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w translations - StockMarkets" sheetId="1" r:id="rId4"/>
    <sheet state="visible" name="StockMarkets" sheetId="2" r:id="rId5"/>
  </sheets>
  <definedNames>
    <definedName hidden="1" localSheetId="0" name="_xlnm._FilterDatabase">'New translations - StockMarkets'!$A$1:$A$2184</definedName>
    <definedName hidden="1" localSheetId="1" name="_xlnm._FilterDatabase">StockMarkets!$A$1:$A$2281</definedName>
  </definedNames>
  <calcPr/>
</workbook>
</file>

<file path=xl/sharedStrings.xml><?xml version="1.0" encoding="utf-8"?>
<sst xmlns="http://schemas.openxmlformats.org/spreadsheetml/2006/main" count="156415" uniqueCount="43338">
  <si>
    <t>project</t>
  </si>
  <si>
    <t>key</t>
  </si>
  <si>
    <t>en</t>
  </si>
  <si>
    <t>ar</t>
  </si>
  <si>
    <t>bg</t>
  </si>
  <si>
    <t>ca</t>
  </si>
  <si>
    <t>cs</t>
  </si>
  <si>
    <t>da</t>
  </si>
  <si>
    <t>de</t>
  </si>
  <si>
    <t>el</t>
  </si>
  <si>
    <t>es</t>
  </si>
  <si>
    <t>fi</t>
  </si>
  <si>
    <t>fr</t>
  </si>
  <si>
    <t>gl</t>
  </si>
  <si>
    <t>hi</t>
  </si>
  <si>
    <t>hu</t>
  </si>
  <si>
    <t>in</t>
  </si>
  <si>
    <t>it</t>
  </si>
  <si>
    <t>iw</t>
  </si>
  <si>
    <t>ja</t>
  </si>
  <si>
    <t>ko</t>
  </si>
  <si>
    <t>ms</t>
  </si>
  <si>
    <t>nl</t>
  </si>
  <si>
    <t>no</t>
  </si>
  <si>
    <t>pl</t>
  </si>
  <si>
    <t>pt</t>
  </si>
  <si>
    <t>ro</t>
  </si>
  <si>
    <t>ru</t>
  </si>
  <si>
    <t>sk</t>
  </si>
  <si>
    <t>sl</t>
  </si>
  <si>
    <t>sr</t>
  </si>
  <si>
    <t>sv</t>
  </si>
  <si>
    <t>th</t>
  </si>
  <si>
    <t>tr</t>
  </si>
  <si>
    <t>uk</t>
  </si>
  <si>
    <t>vi</t>
  </si>
  <si>
    <t>zh</t>
  </si>
  <si>
    <t>zh-rTW</t>
  </si>
  <si>
    <t>chat</t>
  </si>
  <si>
    <t>korea_south</t>
  </si>
  <si>
    <t>Korea, Republic of (South)</t>
  </si>
  <si>
    <t/>
  </si>
  <si>
    <t>Südkorea</t>
  </si>
  <si>
    <t>Corea del Sur</t>
  </si>
  <si>
    <t>Corée du Sud</t>
  </si>
  <si>
    <t>Корея (Южная Корея)</t>
  </si>
  <si>
    <t>Južna Korea</t>
  </si>
  <si>
    <t>teletrader_chat_code</t>
  </si>
  <si>
    <t>baha chat code:</t>
  </si>
  <si>
    <t>mgmt_account_are_you_sure</t>
  </si>
  <si>
    <t>Are you sure?</t>
  </si>
  <si>
    <t>هل أنت متأكد ؟</t>
  </si>
  <si>
    <t>Сигурни ли сте?</t>
  </si>
  <si>
    <t>N\'esteu segur?</t>
  </si>
  <si>
    <t>Bist du dir sicher?</t>
  </si>
  <si>
    <t>¿Estás seguro?</t>
  </si>
  <si>
    <t>Êtes-vous sûr ?</t>
  </si>
  <si>
    <t>Seguro?</t>
  </si>
  <si>
    <t>Biztos vagy ebben?</t>
  </si>
  <si>
    <t>Apakah Anda yakin.?</t>
  </si>
  <si>
    <t>Sei sicuro?</t>
  </si>
  <si>
    <t>よろしいですか?</t>
  </si>
  <si>
    <t>확실합니까?</t>
  </si>
  <si>
    <t>Weet je het zeker?</t>
  </si>
  <si>
    <t>Czy na pewno?</t>
  </si>
  <si>
    <t>Tem a certeza?</t>
  </si>
  <si>
    <t>Вы уверены?</t>
  </si>
  <si>
    <t>Ste si istý?</t>
  </si>
  <si>
    <t>Да ли сте сигурни?</t>
  </si>
  <si>
    <t>Är du säker?</t>
  </si>
  <si>
    <t>Ви впевнені?</t>
  </si>
  <si>
    <t>Bạn chắc chứ?</t>
  </si>
  <si>
    <t>確定?</t>
  </si>
  <si>
    <t>pref_omemo_setting</t>
  </si>
  <si>
    <t>OMEMO Encryption</t>
  </si>
  <si>
    <t>Шифроване OMEMO</t>
  </si>
  <si>
    <t>Encriptació OMEMO</t>
  </si>
  <si>
    <t>OMEMO-Verschlüsselung</t>
  </si>
  <si>
    <t>Cifrado OMEMO</t>
  </si>
  <si>
    <t>Chiffrement OMEMO</t>
  </si>
  <si>
    <t>Encriptación OMEMO</t>
  </si>
  <si>
    <t>OMEMO titkosítás</t>
  </si>
  <si>
    <t>Cifratura OMEMO</t>
  </si>
  <si>
    <t>OMEMO 暗号化</t>
  </si>
  <si>
    <t>OMEMO-versleuteling</t>
  </si>
  <si>
    <t>Szyfrowanie OMEMO</t>
  </si>
  <si>
    <t>OMEMO-шифрование</t>
  </si>
  <si>
    <t>OMEMO 加密</t>
  </si>
  <si>
    <t>action_directions</t>
  </si>
  <si>
    <t>Directions</t>
  </si>
  <si>
    <t>Напътствия</t>
  </si>
  <si>
    <t>Adreces</t>
  </si>
  <si>
    <t>Wegbeschreibungen</t>
  </si>
  <si>
    <t>Direcciones</t>
  </si>
  <si>
    <t>Instructions</t>
  </si>
  <si>
    <t>Direccións</t>
  </si>
  <si>
    <t>Útvonal</t>
  </si>
  <si>
    <t>Direzioni</t>
  </si>
  <si>
    <t>Routebeschrijving</t>
  </si>
  <si>
    <t>Kierunki</t>
  </si>
  <si>
    <t>Упутства</t>
  </si>
  <si>
    <t>bolivia</t>
  </si>
  <si>
    <t>Bolivia</t>
  </si>
  <si>
    <t>Bolivien</t>
  </si>
  <si>
    <t>Bolivie</t>
  </si>
  <si>
    <t>Боливия</t>
  </si>
  <si>
    <t>pref_connection_options</t>
  </si>
  <si>
    <t>Connection</t>
  </si>
  <si>
    <t>الإتصال</t>
  </si>
  <si>
    <t>Връзка</t>
  </si>
  <si>
    <t>Connexió</t>
  </si>
  <si>
    <t>Verbindung</t>
  </si>
  <si>
    <t>Conexión</t>
  </si>
  <si>
    <t>Connexion</t>
  </si>
  <si>
    <t>Kapcsolat</t>
  </si>
  <si>
    <t>Koneksi</t>
  </si>
  <si>
    <t>Connessione</t>
  </si>
  <si>
    <t>接続</t>
  </si>
  <si>
    <t>연결</t>
  </si>
  <si>
    <t>Verbinding</t>
  </si>
  <si>
    <t>Połączenie</t>
  </si>
  <si>
    <t>Conexão</t>
  </si>
  <si>
    <t>Подключение</t>
  </si>
  <si>
    <t>Повезивање</t>
  </si>
  <si>
    <t>Anslutning</t>
  </si>
  <si>
    <t>З\'єднання</t>
  </si>
  <si>
    <t>連接</t>
  </si>
  <si>
    <t>sm</t>
  </si>
  <si>
    <t>market_overview_popup_text</t>
  </si>
  <si>
    <t>Switch views and layouts here.</t>
  </si>
  <si>
    <t>قم بتبديل طريقة العرض والمخططات هنا.</t>
  </si>
  <si>
    <t>Превключвайте изгледи и оформления тук.</t>
  </si>
  <si>
    <t xml:space="preserve"> </t>
  </si>
  <si>
    <t>Zde můžete přepínat zobrazení a rozvržení.</t>
  </si>
  <si>
    <t>Skift visning og layout her.</t>
  </si>
  <si>
    <t>Wechseln Sie hier zwischen Ansichten und Layouts!</t>
  </si>
  <si>
    <t>Εναλλαγή προβολών και διατάξεων εδώ.</t>
  </si>
  <si>
    <t>Cambie las vistas y diseños aquí.</t>
  </si>
  <si>
    <t>Vaihda näkymät ja asettelut täällä.</t>
  </si>
  <si>
    <t>Vous pouvez changer l\'affichage et l\'agencement ici.</t>
  </si>
  <si>
    <t>यहाँ व्यूज और लेआउटों को स्विच करें।</t>
  </si>
  <si>
    <t>Váltson nézetet itt.</t>
  </si>
  <si>
    <t>Alihkan tampilan dan tata letak di sini.</t>
  </si>
  <si>
    <t>Passa vista e schermo qui.</t>
  </si>
  <si>
    <t>החלף תצוגות ופריסות כאן.</t>
  </si>
  <si>
    <t>画面、レイアウトを切り替える</t>
  </si>
  <si>
    <t>이곳에서 뷰와 레이아웃을 바꾸실 수 있습니다.</t>
  </si>
  <si>
    <t>Tukar pandangan dan susun atur di sini.</t>
  </si>
  <si>
    <t>Schakel hier tussen weergaven en lay-outs.</t>
  </si>
  <si>
    <t>Bytt visninger og oppsett her.</t>
  </si>
  <si>
    <t>Zmień widok i wygląd tutaj.</t>
  </si>
  <si>
    <t>Mudar pontos de vista e aspetos aqui.</t>
  </si>
  <si>
    <t>Comută vizualizările și machetele aici.</t>
  </si>
  <si>
    <t>Переключите вид и компоновку здесь.</t>
  </si>
  <si>
    <t>Tu môžete prepínať zobrazenie a rozloženie.</t>
  </si>
  <si>
    <t>Tu preklopite poglede in postavitve.</t>
  </si>
  <si>
    <t>Zameni poglede i raspored ovde.</t>
  </si>
  <si>
    <t>Växla vyer och layouter här.</t>
  </si>
  <si>
    <t>กดที่นี่เพื่อสลับมุมมองและรูปแบบ</t>
  </si>
  <si>
    <t>Görünümleri ve düzenleri buradan değiştirin.</t>
  </si>
  <si>
    <t>Chuyển đổi chế độ xem và bố cục tại đây.</t>
  </si>
  <si>
    <t>在这里更改视图和布局。</t>
  </si>
  <si>
    <t>this_device_has_been_verified</t>
  </si>
  <si>
    <t>This device has been verified</t>
  </si>
  <si>
    <t>تم التحقق من هذا الجهاز</t>
  </si>
  <si>
    <t>Това устройство е потвърдено</t>
  </si>
  <si>
    <t>S\'ha verificat aquest dispositiu</t>
  </si>
  <si>
    <t>Dieses Gerät wurde überprüft</t>
  </si>
  <si>
    <t>Este dispositivo ha sido verificado</t>
  </si>
  <si>
    <t>Cet appareil a été vérifié</t>
  </si>
  <si>
    <t>Este dispositivo foi verificado</t>
  </si>
  <si>
    <t>Ez a készülék ellenőrzött</t>
  </si>
  <si>
    <t>Questo dispositivo è stato verificato</t>
  </si>
  <si>
    <t>このデバイスは検証済です</t>
  </si>
  <si>
    <t>해당 장치가 인증되었습니다</t>
  </si>
  <si>
    <t>Dit apparaat is geverifieerd</t>
  </si>
  <si>
    <t>To urządzenie zostało zweryfikowane</t>
  </si>
  <si>
    <t>Это устройство было подтверждено</t>
  </si>
  <si>
    <t>Овај уређај је оверен.</t>
  </si>
  <si>
    <t>Denna enhet har verifierats</t>
  </si>
  <si>
    <t>Цей пристрій перевірено</t>
  </si>
  <si>
    <t>已經驗證這個設備了</t>
  </si>
  <si>
    <t>tt_info_feedback</t>
  </si>
  <si>
    <t>Send Feedback</t>
  </si>
  <si>
    <t>أرسل تعقيبك</t>
  </si>
  <si>
    <t>Изпратете обратна връзка</t>
  </si>
  <si>
    <t>Poslat zpětnou vazbu</t>
  </si>
  <si>
    <t>Send feedback</t>
  </si>
  <si>
    <t>Feedback senden</t>
  </si>
  <si>
    <t>Στείλτε τα σχόλιά σας</t>
  </si>
  <si>
    <t>Enviar feedback</t>
  </si>
  <si>
    <t>Lähetä palautetta</t>
  </si>
  <si>
    <t>Envoyer un commentaire</t>
  </si>
  <si>
    <t>फीडबैक भेजें</t>
  </si>
  <si>
    <t>Feedback küldése</t>
  </si>
  <si>
    <t>Kirim umpan balik</t>
  </si>
  <si>
    <t>Invia Feedback</t>
  </si>
  <si>
    <t>שלח משוב</t>
  </si>
  <si>
    <t>ご意見</t>
  </si>
  <si>
    <t>피드백 보내기</t>
  </si>
  <si>
    <t>Hantar maklumbalas</t>
  </si>
  <si>
    <t>Stuur feedback</t>
  </si>
  <si>
    <t>Send tilbakemelding</t>
  </si>
  <si>
    <t>Wyślij opinię</t>
  </si>
  <si>
    <t>Enviar comentários</t>
  </si>
  <si>
    <t>Trimite Comentariu</t>
  </si>
  <si>
    <t>Оставить отзыв</t>
  </si>
  <si>
    <t>Poslať spätnú väzbu</t>
  </si>
  <si>
    <t>Pošlji povratno informacijo</t>
  </si>
  <si>
    <t>Pošalji povratnu informaciju</t>
  </si>
  <si>
    <t>Skicka feedback</t>
  </si>
  <si>
    <t>ส่งความคิดเห็น</t>
  </si>
  <si>
    <t>Geribildirim Gönder</t>
  </si>
  <si>
    <t>Gửi phản hồi</t>
  </si>
  <si>
    <t>意见回馈</t>
  </si>
  <si>
    <t>&gt;意見回饋</t>
  </si>
  <si>
    <t>message_copied_to_clipboard</t>
  </si>
  <si>
    <t>Message copied to clipboard</t>
  </si>
  <si>
    <t>تم نسخ الرسالة إلى الحافظة</t>
  </si>
  <si>
    <t>Съобщението е копирано</t>
  </si>
  <si>
    <t>Missatge copiat al portapapers</t>
  </si>
  <si>
    <t>Nachricht in die Zwischenablage kopiert</t>
  </si>
  <si>
    <t>Mensaje copiado en el portapapeles</t>
  </si>
  <si>
    <t>Message copié dans le presse-papier</t>
  </si>
  <si>
    <t>Mensaxe copiada ao portapapeis</t>
  </si>
  <si>
    <t>Üzenet a vágólapra másolva</t>
  </si>
  <si>
    <t>Messaggio copiato negli appunti</t>
  </si>
  <si>
    <t>メッセージをクリップボードにコピーしました</t>
  </si>
  <si>
    <t>Bericht gekopieerd naar klembord</t>
  </si>
  <si>
    <t>Wiadomość skopiowana do schowka</t>
  </si>
  <si>
    <t>Сообщение скопировано в буфер обмена</t>
  </si>
  <si>
    <t>Порука копирана на клипборд</t>
  </si>
  <si>
    <t>tt_cont_contract_future_contract</t>
  </si>
  <si>
    <t>contr.</t>
  </si>
  <si>
    <t>عقد</t>
  </si>
  <si>
    <t>Kontr.</t>
  </si>
  <si>
    <t>kontr.</t>
  </si>
  <si>
    <t>Contrat</t>
  </si>
  <si>
    <t>חוזה</t>
  </si>
  <si>
    <t>CC先物</t>
  </si>
  <si>
    <t>조절</t>
  </si>
  <si>
    <t>skrát.</t>
  </si>
  <si>
    <t>kontrola</t>
  </si>
  <si>
    <t>Sözleşme</t>
  </si>
  <si>
    <t>đ.khiển</t>
  </si>
  <si>
    <t>契约</t>
  </si>
  <si>
    <t>&gt;契約</t>
  </si>
  <si>
    <t>error_trustkey_hint_mutual</t>
  </si>
  <si>
    <t>Hint: In some cases this can be fixed by adding each other your contact lists.</t>
  </si>
  <si>
    <t>Съвет: В някои случаи това може да се оправи, ако се добавите един друг в списъците си с контакти.</t>
  </si>
  <si>
    <t>Suggeriment: en alguns casos això es pot resoldre afegint les vostres llistes de contactes.</t>
  </si>
  <si>
    <t>Tipp: In manchen Fällen kann dies behoben werden, indem man sich gegenseitig zu den Kontaktlisten hinzufügt.</t>
  </si>
  <si>
    <t>Consejo: En algunas ocasiones esto puede corregirse agregando a tu contacto a tu lista de contactos. Tu contacto deberá asegurarse también que estás en su lista de contactos.</t>
  </si>
  <si>
    <t>Indication : Dans certains cas, cela peut être résolu en vous ajoutant respectivement dans votre liste de contacts.</t>
  </si>
  <si>
    <t>Suxerencia: Nalgúns casos, isto pode solucionarse engadíndose mutuamente as súas listas de contactos.</t>
  </si>
  <si>
    <t>Tipp: Bizonyos esetekben ez úgy oldható meg, hogy egymást felveszik a névjegyzékben.</t>
  </si>
  <si>
    <t>Suggerimento: in alcuni casi può essere risolto aggiungendo a vicenda la vostra lista di contatti.</t>
  </si>
  <si>
    <t>ヒント: お互いが名簿に加えれば解決するでしょう。</t>
  </si>
  <si>
    <t>Tip: in sommige gevallen kan dit opgelost worden door elkaar toe te voegen aan je contacten.</t>
  </si>
  <si>
    <t>Podpowiedź: W niektórych przypadkach może pomóc wzajemne dodanie się do listy kontaktów.</t>
  </si>
  <si>
    <t>not_in_roster</t>
  </si>
  <si>
    <t>The contact is not in your roster. Would you like to add it?</t>
  </si>
  <si>
    <t>جهة الاتصال ليست مضافه لديك هل ترغب في إضافتها ؟؟</t>
  </si>
  <si>
    <t>Този контакт не е в списъка Ви. Искате ли да го добавите?</t>
  </si>
  <si>
    <t>El contacte no està a la vostra llista. Voleu afegir-lo?</t>
  </si>
  <si>
    <t>Der Kontakt ist nicht in deiner Kontaktliste. Möchtest du ihn hinzufügen?</t>
  </si>
  <si>
    <t>El contacto no está en tu lista. ¿Quieres añadirlo?</t>
  </si>
  <si>
    <t>Le contact n\'est pas dans votre carnet d\'adresses. Voulez-vous l\'y ajouter ?</t>
  </si>
  <si>
    <t>O contacto non está na sua lista. ¿Queres engadilo?</t>
  </si>
  <si>
    <t>Az ismerős nincs a névsorodban. Hozzáadod?</t>
  </si>
  <si>
    <t>Kontak tidak ada dalam roster Anda. Ingin menambahkannya?</t>
  </si>
  <si>
    <t>Il contatto non è nella tua lista. Vuoi aggiungerlo?</t>
  </si>
  <si>
    <t>連絡先が名簿にありません。追加しますか?</t>
  </si>
  <si>
    <t>연락처가 당신의 명단에 없습니다. 추가하시겠습니까?</t>
  </si>
  <si>
    <t>Het contact staat niet in je contactenlijst. Wil je hem/haar toevoegen?</t>
  </si>
  <si>
    <t>Kontakt nie należy do Twojej listy kontaktów. Czy chcesz go dodać?</t>
  </si>
  <si>
    <t>O contacto não está na sua lista. Deseja adicioná-lo?</t>
  </si>
  <si>
    <t>Контакт не находится в вашем списке. Хотите добавить его?</t>
  </si>
  <si>
    <t>Kontakt sa nenachádza v zozname. Chcete ho pridať?</t>
  </si>
  <si>
    <t>Контакт није на вашем списку контаката. Желите ли да га додате?</t>
  </si>
  <si>
    <t>Kontakten är inte i din kontaktlista. Vill du lägga till den?</t>
  </si>
  <si>
    <t>Контакт відсутній у Вашому списку розмов. Бажаєте додати його?</t>
  </si>
  <si>
    <t>Liên hệ này không có trong danh sách bạn bè. Bạn có muốn thêm nó vào?</t>
  </si>
  <si>
    <t>該連絡人不在您的列表。需要加為連絡人嗎 ?</t>
  </si>
  <si>
    <t>tt_return_parity</t>
  </si>
  <si>
    <t>Return parity</t>
  </si>
  <si>
    <t>رجوع التكافؤ</t>
  </si>
  <si>
    <t>Връщане на паритет</t>
  </si>
  <si>
    <t>Parita návratu</t>
  </si>
  <si>
    <t>Retur paritet</t>
  </si>
  <si>
    <t>Ertragsgleichheit</t>
  </si>
  <si>
    <t>Devolver paridad</t>
  </si>
  <si>
    <t>Palautuspariteetti</t>
  </si>
  <si>
    <t>Parité des rendements</t>
  </si>
  <si>
    <t>रिटर्न पैरिटी</t>
  </si>
  <si>
    <t>Megtérülési paritás</t>
  </si>
  <si>
    <t>Pengembalian Paritas</t>
  </si>
  <si>
    <t>תשואת שוויון</t>
  </si>
  <si>
    <t>リターンパリティ</t>
  </si>
  <si>
    <t>리턴 패리티</t>
  </si>
  <si>
    <t>Pariti Pulangan</t>
  </si>
  <si>
    <t>Pariteit teruggeven</t>
  </si>
  <si>
    <t>Returparitet</t>
  </si>
  <si>
    <t>Parytet zwrotu</t>
  </si>
  <si>
    <t>Devolver paridade</t>
  </si>
  <si>
    <t>Paritate de rambursare</t>
  </si>
  <si>
    <t>Возврат паритета</t>
  </si>
  <si>
    <t>Návrat parity</t>
  </si>
  <si>
    <t>Povratna pariteta</t>
  </si>
  <si>
    <t>Povratni paritet</t>
  </si>
  <si>
    <t>Avkastningsparitet</t>
  </si>
  <si>
    <t>ย้อนกลับไปที่ค่าเสมอภาค</t>
  </si>
  <si>
    <t>İade eşitliği</t>
  </si>
  <si>
    <t>Ngang giá lợi nhuận</t>
  </si>
  <si>
    <t>利率平价</t>
  </si>
  <si>
    <t>shared_images_with_x</t>
  </si>
  <si>
    <t>Shared images with %s</t>
  </si>
  <si>
    <t>Изображения, споделени с %s</t>
  </si>
  <si>
    <t>Imatges compartides amb %s</t>
  </si>
  <si>
    <t>Bilder mit %s geteilt</t>
  </si>
  <si>
    <t>Imágenes compartidas con %s</t>
  </si>
  <si>
    <t>Image partagée avec %s</t>
  </si>
  <si>
    <t>Imaxes compartidas con %s</t>
  </si>
  <si>
    <t>%s partnerrel képeket osztott meg</t>
  </si>
  <si>
    <t>Immagini condivise con %s</t>
  </si>
  <si>
    <t>%s で画像を共有</t>
  </si>
  <si>
    <t>%s로 이미지를 공유</t>
  </si>
  <si>
    <t>Afbeeldingen gedeeld met %s</t>
  </si>
  <si>
    <t>Obraz udostępniony %s</t>
  </si>
  <si>
    <t>Imagens partilhadas com %s</t>
  </si>
  <si>
    <t>Изображения отправлены %s</t>
  </si>
  <si>
    <t>Подељене слике са %s</t>
  </si>
  <si>
    <t>Delade bilder med %s</t>
  </si>
  <si>
    <t>Поділився зображеннями з %s</t>
  </si>
  <si>
    <t>跟 %s 分享的圖片</t>
  </si>
  <si>
    <t>please_tell_us_how_to_make_this_app_better</t>
  </si>
  <si>
    <t>Please tell us how to make this app better</t>
  </si>
  <si>
    <t>يرجى اخبارنا حيال كيفية تحسين هذا التطبيق</t>
  </si>
  <si>
    <t>Моля, кажете ни как да подобрим това приложение</t>
  </si>
  <si>
    <t>Řekněte nám, jak tuto aplikaci vylepšit</t>
  </si>
  <si>
    <t>Fortæl os, hvordan vi kan forbedre denne app</t>
  </si>
  <si>
    <t>Bitte sagen Sie uns wie wir die App verbessern können.</t>
  </si>
  <si>
    <t>Πείτε μας πώς να βελτιώσουμε αυτή την εφαρμογή</t>
  </si>
  <si>
    <t>Por favor, díganos cómo mejorar la aplicación</t>
  </si>
  <si>
    <t>Kerro meille, kuinka voimme tehdä sovelluksesta paremman</t>
  </si>
  <si>
    <t>Dites-bous comment améliorer cette appli!</t>
  </si>
  <si>
    <t>कृपया हमें बताएँ कि इस ऐप को बेहतर कैसे बनाया जाए</t>
  </si>
  <si>
    <t>Kérjük mondja el nekünk, hogyan tudjuk az alkalmazást még jobbá tenni</t>
  </si>
  <si>
    <t>Beri tahu kami cara membuat aplikasi ini lebih baik</t>
  </si>
  <si>
    <t>Per favore, dicci come migliorare questa app</t>
  </si>
  <si>
    <t>אנא הצע לנו כיצד לשפר את האפליקציה הזו</t>
  </si>
  <si>
    <t>このアプリをより良いものにするにはどうしたらよいでしょうか？</t>
  </si>
  <si>
    <t>이 앱을 개선할 수 있는 의견을 나눠주세요</t>
  </si>
  <si>
    <t>Sila maklumkan kepada kami bagaimana untuk membuat apps ini lebih baik</t>
  </si>
  <si>
    <t>Laat ons weten hoe we de app nog verbeteren kunnen.</t>
  </si>
  <si>
    <t>Fortell oss hvordan vi kan gjøre denne appen bedre</t>
  </si>
  <si>
    <t>Prosimy powiedz nam jak ulepszyć tą aplikację</t>
  </si>
  <si>
    <t>Diga-nos como podemos melhorar esta aplicação</t>
  </si>
  <si>
    <t>Te rugăm să ne spui cum să îmbunătățim această aplicație</t>
  </si>
  <si>
    <t>Пожалуйста, поделитесь с нами, как сделать это приложение лучше</t>
  </si>
  <si>
    <t>Povedzte nám, ako vylepšiť túto aplikáciu</t>
  </si>
  <si>
    <t>Povejte nam, kako izboljšati to aplikacijo</t>
  </si>
  <si>
    <t>Recite nam kako da poboljšamo aplikaciju</t>
  </si>
  <si>
    <t>Berätta hur vi kan förbättra appen</t>
  </si>
  <si>
    <t>มาร่วมเป็นส่วนหนึ่งในการพัฒนาแอปไปกับเราด้วยการแสดงความคิดเห็นของคุณ</t>
  </si>
  <si>
    <t>Lütfen uygulamayı nasıl iyileştirebileceğimizi belirtin</t>
  </si>
  <si>
    <t>Vui lòng cho chúng tôi biết cách cải thiện ứng dụng này nhé</t>
  </si>
  <si>
    <t>告诉我们，我们可以做些什么来完善 这个移动应用</t>
  </si>
  <si>
    <t>tt_metals_view</t>
  </si>
  <si>
    <t>Metals View</t>
  </si>
  <si>
    <t>عرض المعادن</t>
  </si>
  <si>
    <t>Преглед на метали</t>
  </si>
  <si>
    <t>Zobrazení kovů</t>
  </si>
  <si>
    <t>Metalvisning</t>
  </si>
  <si>
    <t>Metalle</t>
  </si>
  <si>
    <t>Προβολή μετάλλων</t>
  </si>
  <si>
    <t>Vista de Metales</t>
  </si>
  <si>
    <t>Metallit-näkymä</t>
  </si>
  <si>
    <t>Affichage par métaux</t>
  </si>
  <si>
    <t>मेटल्स व्यू</t>
  </si>
  <si>
    <t>Fémek nézet</t>
  </si>
  <si>
    <t>Tampilan Logam</t>
  </si>
  <si>
    <t>Vista di Metalli</t>
  </si>
  <si>
    <t>תצוגת מתכות</t>
  </si>
  <si>
    <t>金属</t>
  </si>
  <si>
    <t>금속 보기</t>
  </si>
  <si>
    <t>Paparan Logam</t>
  </si>
  <si>
    <t>Metalen overzicht</t>
  </si>
  <si>
    <t>Metallvisning</t>
  </si>
  <si>
    <t>Metale</t>
  </si>
  <si>
    <t>Metais</t>
  </si>
  <si>
    <t>Vizualizare Metale</t>
  </si>
  <si>
    <t>Обзор металлов</t>
  </si>
  <si>
    <t>Zobrazenie kovov</t>
  </si>
  <si>
    <t>Pogled kovin</t>
  </si>
  <si>
    <t>Metali</t>
  </si>
  <si>
    <t>Metallvy</t>
  </si>
  <si>
    <t>ดูโลหะ</t>
  </si>
  <si>
    <t>Metaller Görünümü</t>
  </si>
  <si>
    <t>Chế độ xem Kim loại quý</t>
  </si>
  <si>
    <t>&gt;金屬</t>
  </si>
  <si>
    <t>tt_marketdepth</t>
  </si>
  <si>
    <t>Market Depth</t>
  </si>
  <si>
    <t>عمق السوق</t>
  </si>
  <si>
    <t>Дълбочина на пазара</t>
  </si>
  <si>
    <t>Hloubka trhu</t>
  </si>
  <si>
    <t>Markedsdybde</t>
  </si>
  <si>
    <t>Markttiefe</t>
  </si>
  <si>
    <t>Βάθος αγοράς</t>
  </si>
  <si>
    <t>Profundidad de mercado</t>
  </si>
  <si>
    <t>Markkinoiden syvyys</t>
  </si>
  <si>
    <t>Profondeur du marché</t>
  </si>
  <si>
    <t>मार्केट डेप्थ</t>
  </si>
  <si>
    <t>Ajánlati könyv</t>
  </si>
  <si>
    <t>Kedalaman Pasar</t>
  </si>
  <si>
    <t>Profondità del Mercato</t>
  </si>
  <si>
    <t>עומק שוק</t>
  </si>
  <si>
    <t>市場流動性</t>
  </si>
  <si>
    <t>시장 깊이</t>
  </si>
  <si>
    <t>Kedalaman Pasaran</t>
  </si>
  <si>
    <t>Marktdiepte</t>
  </si>
  <si>
    <t>Arkusz zleceń</t>
  </si>
  <si>
    <t>Profundidade de mercado</t>
  </si>
  <si>
    <t>Adâncimea Pieței</t>
  </si>
  <si>
    <t>Глубина рынка</t>
  </si>
  <si>
    <t>Hĺbka trhu</t>
  </si>
  <si>
    <t>Globina trga</t>
  </si>
  <si>
    <t>Dubina tržišta</t>
  </si>
  <si>
    <t>Marknadsdjup</t>
  </si>
  <si>
    <t>สภาพคล่องในตลาด</t>
  </si>
  <si>
    <t>Piyasa Derinliği</t>
  </si>
  <si>
    <t>Chiều sâu thị trường</t>
  </si>
  <si>
    <t>市场深度</t>
  </si>
  <si>
    <t>&gt;市場深度</t>
  </si>
  <si>
    <t>united_arab_emirates</t>
  </si>
  <si>
    <t>United Arab Emirates</t>
  </si>
  <si>
    <t>Vereinigte Arabische Emirate</t>
  </si>
  <si>
    <t>Emiratos Árabes Unidos</t>
  </si>
  <si>
    <t>Emirats Arabes Unis</t>
  </si>
  <si>
    <t>Объединённые Арабские Эмираты</t>
  </si>
  <si>
    <t>Ujedinjeni Arapski Emirati</t>
  </si>
  <si>
    <t>malaysia</t>
  </si>
  <si>
    <t>Malaysia</t>
  </si>
  <si>
    <t>Malaysien</t>
  </si>
  <si>
    <t>Malasia</t>
  </si>
  <si>
    <t>Malaisie</t>
  </si>
  <si>
    <t>Малайзия</t>
  </si>
  <si>
    <t>Malezija</t>
  </si>
  <si>
    <t>x_messages</t>
  </si>
  <si>
    <t>missing_public_keys</t>
  </si>
  <si>
    <t>Missing public key announcements</t>
  </si>
  <si>
    <t>Липсват обявления за публичен ключ</t>
  </si>
  <si>
    <t>No es troben anuncis de clau pública</t>
  </si>
  <si>
    <t>Öffentlicher Schlüssel fehlt</t>
  </si>
  <si>
    <t>Se han perdido las claves de anuncio públicas</t>
  </si>
  <si>
    <t>Annonce de clef publique manquante</t>
  </si>
  <si>
    <t>Anuncios de chave pública non notificados</t>
  </si>
  <si>
    <t>Hiányzó nyilvános kulcs megadások</t>
  </si>
  <si>
    <t>Pemberitahuan kunci publik tidak ditemukan</t>
  </si>
  <si>
    <t>Annuncio chiave pubblica non effettuato</t>
  </si>
  <si>
    <t>公開鍵の通知がありません</t>
  </si>
  <si>
    <t>공개 키 선언 누락</t>
  </si>
  <si>
    <t>Ontbrekende publieke sleutel-aankondigingen</t>
  </si>
  <si>
    <t>Brak informacji o kluczu publicznym</t>
  </si>
  <si>
    <t>Anúncios de ausência de chave pública</t>
  </si>
  <si>
    <t>Отсутствие анонсирования открытых ключей</t>
  </si>
  <si>
    <t>Chýba oznámenie o verejnom kľúči</t>
  </si>
  <si>
    <t>Недостају објаве јавног кључа</t>
  </si>
  <si>
    <t>Annonsering om publik nyckel saknas</t>
  </si>
  <si>
    <t>Не вистачає повідомлення публічного ключа.</t>
  </si>
  <si>
    <t>Thông báo khoá công cộng bị thất lạc</t>
  </si>
  <si>
    <t>缺少公開金鑰通知</t>
  </si>
  <si>
    <t>on_boarding_message_1_6</t>
  </si>
  <si>
    <t>Breaking Market News</t>
  </si>
  <si>
    <t>أخبار السوق العاجلة</t>
  </si>
  <si>
    <t>Актуални пазарни новини</t>
  </si>
  <si>
    <t>Aktuální zprávy z trhu</t>
  </si>
  <si>
    <t>Seneste Markedsnyheder</t>
  </si>
  <si>
    <t>Wichtige Marktnachrichten</t>
  </si>
  <si>
    <t>Συμβαίνει τώρα στην αγορά</t>
  </si>
  <si>
    <t>Noticias de último momento</t>
  </si>
  <si>
    <t>Uusimmat markkinauutiset</t>
  </si>
  <si>
    <t>dernières nouvelles du marché boursier</t>
  </si>
  <si>
    <t>ब्रेकिंग मार्केट न्यूज़</t>
  </si>
  <si>
    <t>Rendkívüli piaci hírek</t>
  </si>
  <si>
    <t>Berita Pasar Terkini</t>
  </si>
  <si>
    <t>Ultime Notizie di Mercato</t>
  </si>
  <si>
    <t>חדשות חמות מהשוק</t>
  </si>
  <si>
    <t>시장 뉴스 속보</t>
  </si>
  <si>
    <t>Berita Pasaran Terkini</t>
  </si>
  <si>
    <t>Belangrijk marktnieuws</t>
  </si>
  <si>
    <t>Siste markedsnyheter</t>
  </si>
  <si>
    <t>Najważniejsze newsy</t>
  </si>
  <si>
    <t>Últimas notícias do mercado</t>
  </si>
  <si>
    <t>Știri de Piață de Ultimă Oră</t>
  </si>
  <si>
    <t>Последние новости рынка</t>
  </si>
  <si>
    <t>Najnovšie správy o trhu</t>
  </si>
  <si>
    <t>Aktualne tržne novice</t>
  </si>
  <si>
    <t>Najnovije berzanske vesti</t>
  </si>
  <si>
    <t>Senaste marknadsnyheter</t>
  </si>
  <si>
    <t>ข่าวด่วนเกี่ยวกับตลาดหุ้น</t>
  </si>
  <si>
    <t>Yeni Piyasa Haberleri</t>
  </si>
  <si>
    <t>Tin tức thị trường nóng hổi</t>
  </si>
  <si>
    <t>最新的市场新闻</t>
  </si>
  <si>
    <t>on_boarding_message_1_5</t>
  </si>
  <si>
    <t>Fundamental data</t>
  </si>
  <si>
    <t>البيانات الأساسية</t>
  </si>
  <si>
    <t>Основни данни</t>
  </si>
  <si>
    <t>Základní data</t>
  </si>
  <si>
    <t>Grundlæggende data</t>
  </si>
  <si>
    <t>Fundamentaldaten</t>
  </si>
  <si>
    <t>Βασικά δεδομένα</t>
  </si>
  <si>
    <t>Datos fundamentales</t>
  </si>
  <si>
    <t>Perustiedot</t>
  </si>
  <si>
    <t>les données fondamentales</t>
  </si>
  <si>
    <t>आधारभूत डेटा</t>
  </si>
  <si>
    <t>Fundamentális adat</t>
  </si>
  <si>
    <t>Data dasar</t>
  </si>
  <si>
    <t>Dati Fondamentali</t>
  </si>
  <si>
    <t>נתונים בסיסיים</t>
  </si>
  <si>
    <t>基本データ</t>
  </si>
  <si>
    <t>기본 데이터</t>
  </si>
  <si>
    <t>Data asas</t>
  </si>
  <si>
    <t>Fundamentele gegevens</t>
  </si>
  <si>
    <t>Grunnleggende data</t>
  </si>
  <si>
    <t>Dane fundamentalne</t>
  </si>
  <si>
    <t>Dados fundamentais</t>
  </si>
  <si>
    <t>Date fundamentale</t>
  </si>
  <si>
    <t>Фундаментальные данные</t>
  </si>
  <si>
    <t>Základné údaje</t>
  </si>
  <si>
    <t>Temeljni podatki</t>
  </si>
  <si>
    <t>Fundamentalni podaci</t>
  </si>
  <si>
    <t>Grundläggande data</t>
  </si>
  <si>
    <t>ข้อมูลพื้นฐาน</t>
  </si>
  <si>
    <t>Temel veriler</t>
  </si>
  <si>
    <t>Dữ liệu cơ bản</t>
  </si>
  <si>
    <t>基本数据</t>
  </si>
  <si>
    <t>on_boarding_message_1_4</t>
  </si>
  <si>
    <t>Screener</t>
  </si>
  <si>
    <t>فرز</t>
  </si>
  <si>
    <t>Скрийнър</t>
  </si>
  <si>
    <t>Burzovní nástroj</t>
  </si>
  <si>
    <t>Filtro</t>
  </si>
  <si>
    <t>le screener</t>
  </si>
  <si>
    <t>स्क्रीनर</t>
  </si>
  <si>
    <t>Filter</t>
  </si>
  <si>
    <t>מסנן</t>
  </si>
  <si>
    <t>スクリーナー</t>
  </si>
  <si>
    <t>스크리너</t>
  </si>
  <si>
    <t>Penapis</t>
  </si>
  <si>
    <t>Filtru</t>
  </si>
  <si>
    <t>Скринер</t>
  </si>
  <si>
    <t>Triedič</t>
  </si>
  <si>
    <t>Pregledovalnik</t>
  </si>
  <si>
    <t>ตัวสกรีน</t>
  </si>
  <si>
    <t>İzleyeci</t>
  </si>
  <si>
    <t>Công cụ sàng lọc</t>
  </si>
  <si>
    <t>筛选器</t>
  </si>
  <si>
    <t>on_boarding_message_1_3</t>
  </si>
  <si>
    <t>Interactive charting</t>
  </si>
  <si>
    <t>المخططات التفاعلية</t>
  </si>
  <si>
    <t>Интерактивни графики</t>
  </si>
  <si>
    <t>Interaktivní mapování</t>
  </si>
  <si>
    <t>Interaktiv diagram</t>
  </si>
  <si>
    <t>Interaktives Charting</t>
  </si>
  <si>
    <t>Διαδραστική χαρτογράφηση</t>
  </si>
  <si>
    <t>Gráficos interactivos</t>
  </si>
  <si>
    <t>Interaktiivinen kartoitus</t>
  </si>
  <si>
    <t>graphique interactif</t>
  </si>
  <si>
    <t>इंटरएक्टिव चार्टिंग</t>
  </si>
  <si>
    <t>Interaktív grafikon</t>
  </si>
  <si>
    <t>Grafik interaktif</t>
  </si>
  <si>
    <t>Grafici Interativi</t>
  </si>
  <si>
    <t>גרפים אינטראקטיביים</t>
  </si>
  <si>
    <t>インタラクティブチャート作成</t>
  </si>
  <si>
    <t>대화식 차트 작성</t>
  </si>
  <si>
    <t>Carta interaktif</t>
  </si>
  <si>
    <t>Interactieve grafieken</t>
  </si>
  <si>
    <t>Interaktiv kartlegging</t>
  </si>
  <si>
    <t>Interaktywne wykresy</t>
  </si>
  <si>
    <t>Gráficos interativos</t>
  </si>
  <si>
    <t>Grafic interactiv</t>
  </si>
  <si>
    <t>Интерактивное построение графиков</t>
  </si>
  <si>
    <t>Interaktívne grafy</t>
  </si>
  <si>
    <t>Interaktivni grafikoni</t>
  </si>
  <si>
    <t>Interaktiv kartläggning</t>
  </si>
  <si>
    <t>แผนภูมิเชิงโต้ตอบ</t>
  </si>
  <si>
    <t>Etkileşimli grafik</t>
  </si>
  <si>
    <t>Biểu đồ tương tác</t>
  </si>
  <si>
    <t>交互的图表</t>
  </si>
  <si>
    <t>tt_search_3chars</t>
  </si>
  <si>
    <t>The search terms must contain at least 3 characters.</t>
  </si>
  <si>
    <t>يجب أن تحتوي مصطلحات البحث على 3 أحرف على الأقل.</t>
  </si>
  <si>
    <t>Думите за търсене трябва да съдържат най-малко 3 знака.</t>
  </si>
  <si>
    <t>Hledané výrazy musí obsahovat alespoň 3 znaky.</t>
  </si>
  <si>
    <t>Søgetermerne skal indeholde mindst 3 tegn.</t>
  </si>
  <si>
    <t>Der Suchbegriff muss mindestens 3 Zeichen lang sein.</t>
  </si>
  <si>
    <t>Οι όροι αναζήτησης πρέπει να περιέχουν τουλάχιστον 3 χαρακτήρες.</t>
  </si>
  <si>
    <t>Los términos de búsqueda deben contener al menos 3 carácteres.</t>
  </si>
  <si>
    <t>Hakutermien on sisällettävä vähintään 3 merkkiä.</t>
  </si>
  <si>
    <t>Saisissez au moins 3 caractères</t>
  </si>
  <si>
    <t>खोज शब्दों में कम से कम 3 कैरेक्टर होने चाहिए।</t>
  </si>
  <si>
    <t>A keresőbe beírt kifejezésnek legalább 3 karakterből kell állnia.</t>
  </si>
  <si>
    <t>Istilah pencarian harus mengandung setidaknya 3 karakter.</t>
  </si>
  <si>
    <t>I termini di ricerca devono contenere almeno 3 caratteri.</t>
  </si>
  <si>
    <t>מילות החיפוש חייבות להכיל 3 תווים לפחות.</t>
  </si>
  <si>
    <t>検索条件を入力してください。3文字以上入力する必要があります。</t>
  </si>
  <si>
    <t>검색어는 최소 3자 이상이어야 합니다.</t>
  </si>
  <si>
    <t>Istilah carian mesti mengandungi sekurang-kurangnya 3 aksara.</t>
  </si>
  <si>
    <t>De zoekterm dient minimaal 3 karakters te bevatten.</t>
  </si>
  <si>
    <t>Søkeordene må inneholde minst tre tegn.</t>
  </si>
  <si>
    <t>Termin wyszukiwania musi zawierać co najmniej 3 znaki.</t>
  </si>
  <si>
    <t>Os termos de pesquisa devem conter pelo menos três caracteres</t>
  </si>
  <si>
    <t>Termenii de căutare trebuie să conțină cel puțin 3 caractere.</t>
  </si>
  <si>
    <t>Условия поиска должны состоять как минимум из 3х символов</t>
  </si>
  <si>
    <t>Vyhľadávané výrazy musia obsahovať najmenej 3 znaky.</t>
  </si>
  <si>
    <t>Iskani izrazi morajo vsebovati vsaj 3 znake.</t>
  </si>
  <si>
    <t>Pretraživanje ISIN / WKN / imena mora sadržati bar 3 karaktera</t>
  </si>
  <si>
    <t>Söktermerna måste innehålla minst tre tecken.</t>
  </si>
  <si>
    <t>จะต้องมีอย่างน้อย 3 ตัวอักษรในการค้นหา</t>
  </si>
  <si>
    <t>Arama terimleri en az 3 karakter içermelidir.</t>
  </si>
  <si>
    <t>Các thuật ngữ tìm kiếm phải chứa ít nhất 3 ký tự.</t>
  </si>
  <si>
    <t>搜索条件必须包含至少3个字符</t>
  </si>
  <si>
    <t>&gt;搜索條件必須包含至少3個字符</t>
  </si>
  <si>
    <t>on_boarding_message_1_2</t>
  </si>
  <si>
    <t>Portfolios</t>
  </si>
  <si>
    <t>المحافظ</t>
  </si>
  <si>
    <t>Портфолиа</t>
  </si>
  <si>
    <t>Portfolia</t>
  </si>
  <si>
    <t>Porteføljer</t>
  </si>
  <si>
    <t>Musterdepots</t>
  </si>
  <si>
    <t>Χαρτοφυλάκια</t>
  </si>
  <si>
    <t>Carteras</t>
  </si>
  <si>
    <t>Salkut</t>
  </si>
  <si>
    <t>les portefeuilles</t>
  </si>
  <si>
    <t>पोर्टफोलियो</t>
  </si>
  <si>
    <t>portfoliók</t>
  </si>
  <si>
    <t>Portfolio</t>
  </si>
  <si>
    <t>Portafogli</t>
  </si>
  <si>
    <t>תיקי השקעות</t>
  </si>
  <si>
    <t>ポートフォリオ</t>
  </si>
  <si>
    <t>포트폴리오</t>
  </si>
  <si>
    <t>portefeuilles</t>
  </si>
  <si>
    <t>Portfele</t>
  </si>
  <si>
    <t>Carteiras</t>
  </si>
  <si>
    <t>Portofolii</t>
  </si>
  <si>
    <t>Портфели</t>
  </si>
  <si>
    <t>Portfóliá</t>
  </si>
  <si>
    <t>Portfelji</t>
  </si>
  <si>
    <t>Portföljer</t>
  </si>
  <si>
    <t>พอร์ต</t>
  </si>
  <si>
    <t>Portföyler</t>
  </si>
  <si>
    <t>Danh mục đầu tư</t>
  </si>
  <si>
    <t>投资组合</t>
  </si>
  <si>
    <t>on_boarding_message_1_1</t>
  </si>
  <si>
    <t>Watchlists</t>
  </si>
  <si>
    <t>قوائم المتابعة</t>
  </si>
  <si>
    <t>Уочлисти</t>
  </si>
  <si>
    <t>Seznamy sledovaných</t>
  </si>
  <si>
    <t>Overvågningslister</t>
  </si>
  <si>
    <t>Watchlisten</t>
  </si>
  <si>
    <t>Λίστες παρακολούθησης</t>
  </si>
  <si>
    <t>Listas de seguimientos</t>
  </si>
  <si>
    <t>Tarkkailulistat</t>
  </si>
  <si>
    <t>les watchlists</t>
  </si>
  <si>
    <t>वॉचलिस्टें</t>
  </si>
  <si>
    <t>figyelőlista</t>
  </si>
  <si>
    <t>Daftar Pantauan</t>
  </si>
  <si>
    <t>Watchliste</t>
  </si>
  <si>
    <t>רשימות מעקב</t>
  </si>
  <si>
    <t>ウォッチリスト</t>
  </si>
  <si>
    <t>보기목록</t>
  </si>
  <si>
    <t>Senarai Pantau</t>
  </si>
  <si>
    <t>watchlists</t>
  </si>
  <si>
    <t>Overvåkningslister</t>
  </si>
  <si>
    <t>Obserwowane</t>
  </si>
  <si>
    <t>Listas de visualização</t>
  </si>
  <si>
    <t>Liste de urmărire</t>
  </si>
  <si>
    <t>Списки</t>
  </si>
  <si>
    <t>Sledovacie zoznamy</t>
  </si>
  <si>
    <t>Seznami za spremljanje</t>
  </si>
  <si>
    <t>Watch liste</t>
  </si>
  <si>
    <t>Bevakningslistor</t>
  </si>
  <si>
    <t>รายชื่อหุ้นที่ติดตาม</t>
  </si>
  <si>
    <t>İzleme listeleri</t>
  </si>
  <si>
    <t>Danh mục theo dõi</t>
  </si>
  <si>
    <t>收藏夹</t>
  </si>
  <si>
    <t>today</t>
  </si>
  <si>
    <t>Today</t>
  </si>
  <si>
    <t>اليوم</t>
  </si>
  <si>
    <t>Днес</t>
  </si>
  <si>
    <t>Avui</t>
  </si>
  <si>
    <t>Heute</t>
  </si>
  <si>
    <t>Hoy</t>
  </si>
  <si>
    <t>Aujourd\'hui</t>
  </si>
  <si>
    <t>Hoxe</t>
  </si>
  <si>
    <t>Ma</t>
  </si>
  <si>
    <t>Oggi</t>
  </si>
  <si>
    <t>今日</t>
  </si>
  <si>
    <t>Vandaag</t>
  </si>
  <si>
    <t>Dzisiaj</t>
  </si>
  <si>
    <t>Сегодня</t>
  </si>
  <si>
    <t>Данас</t>
  </si>
  <si>
    <t>Сьогодні</t>
  </si>
  <si>
    <t>on_boarding_message_1_0</t>
  </si>
  <si>
    <t>Let\'s get started!</t>
  </si>
  <si>
    <t>دعنا نبدأ!</t>
  </si>
  <si>
    <t>Да започваме!</t>
  </si>
  <si>
    <t>Začněme!</t>
  </si>
  <si>
    <t>Lad os komme igang!</t>
  </si>
  <si>
    <t>Legen wir los!</t>
  </si>
  <si>
    <t>Ας ξεκινήσουμε!</t>
  </si>
  <si>
    <t>¡Comencemos!</t>
  </si>
  <si>
    <t>Aloitetaan!</t>
  </si>
  <si>
    <t>Commençons!</t>
  </si>
  <si>
    <t>आइए शुरू करें!</t>
  </si>
  <si>
    <t>Lássunk neki!</t>
  </si>
  <si>
    <t>Mari kita mulai!</t>
  </si>
  <si>
    <t>Cominciamo!</t>
  </si>
  <si>
    <t>הבה נתחיל!</t>
  </si>
  <si>
    <t>開始する</t>
  </si>
  <si>
    <t>시작해볼까요!</t>
  </si>
  <si>
    <t>Marilah kami bermula!</t>
  </si>
  <si>
    <t>Laten we beginnen!</t>
  </si>
  <si>
    <t>La oss komme i gang!</t>
  </si>
  <si>
    <t>Zaczynajmy!</t>
  </si>
  <si>
    <t>Vamos começar!</t>
  </si>
  <si>
    <t>Să începem!</t>
  </si>
  <si>
    <t>Давайте начнём!</t>
  </si>
  <si>
    <t>Začnime!</t>
  </si>
  <si>
    <t>Začnimo!</t>
  </si>
  <si>
    <t>Krenimo!</t>
  </si>
  <si>
    <t>Vi börjar!</t>
  </si>
  <si>
    <t>ลุยกันเลย!</t>
  </si>
  <si>
    <t>Başlayalım!</t>
  </si>
  <si>
    <t>Chúng ta cùng bắt đầu nào!</t>
  </si>
  <si>
    <t>开始吧！</t>
  </si>
  <si>
    <t>tt_zertifikat</t>
  </si>
  <si>
    <t>Certificate</t>
  </si>
  <si>
    <t>شهادة</t>
  </si>
  <si>
    <t>Сертификат</t>
  </si>
  <si>
    <t>Osvědčení</t>
  </si>
  <si>
    <t>Certifikat</t>
  </si>
  <si>
    <t>Zertifikat</t>
  </si>
  <si>
    <t>Πιστοποιητικό</t>
  </si>
  <si>
    <t>Certificado</t>
  </si>
  <si>
    <t>Todistus</t>
  </si>
  <si>
    <t>Certificat</t>
  </si>
  <si>
    <t>प्रमाणपत्र</t>
  </si>
  <si>
    <t>Certifikát</t>
  </si>
  <si>
    <t>Sertifikat</t>
  </si>
  <si>
    <t>Certificato</t>
  </si>
  <si>
    <t>תעודה</t>
  </si>
  <si>
    <t>債券</t>
  </si>
  <si>
    <t>증서</t>
  </si>
  <si>
    <t>Sijil</t>
  </si>
  <si>
    <t>Certificaat</t>
  </si>
  <si>
    <t>Certyfikat</t>
  </si>
  <si>
    <t>Сертифкат</t>
  </si>
  <si>
    <t>Potrdilo</t>
  </si>
  <si>
    <t>หนังสือรับรอง</t>
  </si>
  <si>
    <t>Belge</t>
  </si>
  <si>
    <t>Chứng chỉ</t>
  </si>
  <si>
    <t>验证</t>
  </si>
  <si>
    <t>&gt;驗證</t>
  </si>
  <si>
    <t>or_you_can_sign_in</t>
  </si>
  <si>
    <t>Or you can sign in with</t>
  </si>
  <si>
    <t>أو يمكنك تسجيل الدخول باستخدام</t>
  </si>
  <si>
    <t>Или можете да влезете с</t>
  </si>
  <si>
    <t>Nebo se můžete přihlásit pomocí</t>
  </si>
  <si>
    <t>Eller du kan logge ind med</t>
  </si>
  <si>
    <t>Oder Sie können sich registerieren mit</t>
  </si>
  <si>
    <t>Ή μπορείτε να συνδεθείτε με</t>
  </si>
  <si>
    <t>O se puede registrar con</t>
  </si>
  <si>
    <t>Tai voit kirjautua sisään</t>
  </si>
  <si>
    <t>Ou connectez-vous avec</t>
  </si>
  <si>
    <t>या आप के साथ साइन-इन कर सकते हैं</t>
  </si>
  <si>
    <t>Vagy be tud jelentkezni</t>
  </si>
  <si>
    <t>Atau anda bisa mendaftar masuk dengan</t>
  </si>
  <si>
    <t>Oppure puoi accedere via</t>
  </si>
  <si>
    <t>או אפשרות להיכנס באמצעות</t>
  </si>
  <si>
    <t>または以下でサインインすることができます</t>
  </si>
  <si>
    <t>또는 다음을 통해 로그인할 수 있습니다</t>
  </si>
  <si>
    <t>Atau anda boleh daftar masuk dengan</t>
  </si>
  <si>
    <t>Of meldt u aan met:</t>
  </si>
  <si>
    <t>Eller du kan logge inn med</t>
  </si>
  <si>
    <t>Możesz też zalogować się za pomocą</t>
  </si>
  <si>
    <t>Ou pode registar-se com</t>
  </si>
  <si>
    <t>Sau te poți conecta cu</t>
  </si>
  <si>
    <t>Или вы можете войти в систему с помощью</t>
  </si>
  <si>
    <t>Alebo sa môžete prihlásiť cez</t>
  </si>
  <si>
    <t>Lahko pa se prijavite s</t>
  </si>
  <si>
    <t>Ili, možete da se uloguješ</t>
  </si>
  <si>
    <t>Eller så kan du logga in med</t>
  </si>
  <si>
    <t>หรือเข้าสู่ระบบด้วย</t>
  </si>
  <si>
    <t>Farklı giriş seçeneği:</t>
  </si>
  <si>
    <t>Hoặc bạn có thể đăng nhập bằng</t>
  </si>
  <si>
    <t>或者用其他账户</t>
  </si>
  <si>
    <t>cayman_islands</t>
  </si>
  <si>
    <t>Cayman Islands</t>
  </si>
  <si>
    <t>Kaimaninseln</t>
  </si>
  <si>
    <t>Islas Caimán</t>
  </si>
  <si>
    <t>Îles Caïmans</t>
  </si>
  <si>
    <t>Каймановы Острова</t>
  </si>
  <si>
    <t>Kajmanska ostrva</t>
  </si>
  <si>
    <t>jid_does_not_match_certificate</t>
  </si>
  <si>
    <t>Jabber ID does not match certificate</t>
  </si>
  <si>
    <t>معرف ID جابر لا يتطابق مع الشهادة</t>
  </si>
  <si>
    <t>Jabber идентификатора не съответства на сертификата</t>
  </si>
  <si>
    <t>L\'identificador de Jabber no coincideix amb el certificat</t>
  </si>
  <si>
    <t>Jabber-ID stimmt nicht dem Zertifikat überein</t>
  </si>
  <si>
    <t>El identificador Jabber no coincide con el del certificado</t>
  </si>
  <si>
    <t>L\'identifiant ne correspond pas au certificat</t>
  </si>
  <si>
    <t>O ID Jabber non coincide co certificado</t>
  </si>
  <si>
    <t>A Jabber azonosító nem egyezik a tanúsítvánnyal</t>
  </si>
  <si>
    <t>L\'ID Jabber non corrisponde al certificato</t>
  </si>
  <si>
    <t>Jabber ID が証明書と一致しません</t>
  </si>
  <si>
    <t>Jabber ID가 인증서와 일치하지 않습니다</t>
  </si>
  <si>
    <t>Jabber-ID komt niet overeen met certificaat</t>
  </si>
  <si>
    <t>Jabber ID nie odpowiada certyfikatowi</t>
  </si>
  <si>
    <t>O ID Jabber não coincide com o certificado</t>
  </si>
  <si>
    <t>Jabber ID не соответствует сертификату</t>
  </si>
  <si>
    <t>Џабер ИД не одговара сертификату</t>
  </si>
  <si>
    <t>Jabber-ID matchar inte certifikat</t>
  </si>
  <si>
    <t>Jabber ID не відповідає сертифікату</t>
  </si>
  <si>
    <t>ID Jabber không khớp với chứng nhận</t>
  </si>
  <si>
    <t>Jabber ID 與證書不匹配</t>
  </si>
  <si>
    <t>pref_quiet_hours_summary</t>
  </si>
  <si>
    <t>Notifications will be silenced during quiet hours</t>
  </si>
  <si>
    <t>سوف تكتم التنبيهات إبان ساعات السكون</t>
  </si>
  <si>
    <t>Известията ще бъдат заглушени по време на тихите часове</t>
  </si>
  <si>
    <t>Les notificacions seràn silenciades a les hores de silenci</t>
  </si>
  <si>
    <t>Benachrichtigungen sind während der ruhigen Stunden stumm.</t>
  </si>
  <si>
    <t>Las notificaciones serán silenciadas durante el horario de silencio</t>
  </si>
  <si>
    <t>Les notifications seront muettes pendant les heures tranquilles.</t>
  </si>
  <si>
    <t>As notificacións serán silenciadas durante estas horas</t>
  </si>
  <si>
    <t>Értesítések el lesznek némítva a csöndes órákban</t>
  </si>
  <si>
    <t>Pemberitahuan akan disunyukan ketika jam sunyi.</t>
  </si>
  <si>
    <t>Le notifiche verranno silenziate durante le ore di quiete</t>
  </si>
  <si>
    <t>消音時間の間、通知は無音になります</t>
  </si>
  <si>
    <t>무음 시간대에는 알림이 해제됩니다</t>
  </si>
  <si>
    <t>Tijdens stille uren worden meldingen onderdrukt</t>
  </si>
  <si>
    <t>Powiadomienia będą wyciszone w wybranym przedziale czasu</t>
  </si>
  <si>
    <t>Notificações serão silenciadas nas horas de tranquilidade</t>
  </si>
  <si>
    <t>Уведомления будут отключены во время «тихих часов»</t>
  </si>
  <si>
    <t>Upozornenia budú počas tichého režimu stlmené</t>
  </si>
  <si>
    <t>Обавештења ће бити ућуткана за време тихих сати</t>
  </si>
  <si>
    <t>Notifieringar kommer vara tysta under tysta timmar</t>
  </si>
  <si>
    <t>Сповіщення не звучатимуть під час годин тиші</t>
  </si>
  <si>
    <t>Thông báo sẽ được tắt trong giờ yên lặng</t>
  </si>
  <si>
    <t>在靜默時間段內通知將保持靜音</t>
  </si>
  <si>
    <t>currencies_txt</t>
  </si>
  <si>
    <t>Currencies</t>
  </si>
  <si>
    <t>العملات</t>
  </si>
  <si>
    <t>Валути</t>
  </si>
  <si>
    <t>Měny</t>
  </si>
  <si>
    <t>Valutaer</t>
  </si>
  <si>
    <t>Währungen</t>
  </si>
  <si>
    <t>Νομίσματα</t>
  </si>
  <si>
    <t>Divisas</t>
  </si>
  <si>
    <t>Valuutat</t>
  </si>
  <si>
    <t>les devises</t>
  </si>
  <si>
    <t>मुद्राएँ</t>
  </si>
  <si>
    <t>Devizanem</t>
  </si>
  <si>
    <t>Mata Uang</t>
  </si>
  <si>
    <t>Valute</t>
  </si>
  <si>
    <t>מטבעות</t>
  </si>
  <si>
    <t>通貨</t>
  </si>
  <si>
    <t>통화</t>
  </si>
  <si>
    <t>Mata Wang</t>
  </si>
  <si>
    <t>valuta\'s</t>
  </si>
  <si>
    <t>Waluty</t>
  </si>
  <si>
    <t>Moedas</t>
  </si>
  <si>
    <t>Валюты</t>
  </si>
  <si>
    <t>Meny</t>
  </si>
  <si>
    <t>Valutor</t>
  </si>
  <si>
    <t>สกุลเงิน</t>
  </si>
  <si>
    <t>Para Birimleri</t>
  </si>
  <si>
    <t>Tiền tệ</t>
  </si>
  <si>
    <t>货币</t>
  </si>
  <si>
    <t>web_address</t>
  </si>
  <si>
    <t>web address</t>
  </si>
  <si>
    <t>уеб адрес</t>
  </si>
  <si>
    <t>Adreça Web</t>
  </si>
  <si>
    <t>Internetadresse</t>
  </si>
  <si>
    <t>dirección web</t>
  </si>
  <si>
    <t>adresse internet</t>
  </si>
  <si>
    <t>Dirección Web</t>
  </si>
  <si>
    <t>webcím</t>
  </si>
  <si>
    <t>indirizzo web</t>
  </si>
  <si>
    <t>webadres</t>
  </si>
  <si>
    <t>adres URL</t>
  </si>
  <si>
    <t>endereço web</t>
  </si>
  <si>
    <t>веб адреса</t>
  </si>
  <si>
    <t>tt_sms</t>
  </si>
  <si>
    <t>SMS</t>
  </si>
  <si>
    <t>رسالة قصيرة</t>
  </si>
  <si>
    <t>Tekstiviesti</t>
  </si>
  <si>
    <t>एसएमएस</t>
  </si>
  <si>
    <t>מסרון</t>
  </si>
  <si>
    <t>ショートメッセージ</t>
  </si>
  <si>
    <t>Смс</t>
  </si>
  <si>
    <t>Tin nhắn</t>
  </si>
  <si>
    <t>短讯</t>
  </si>
  <si>
    <t>&gt;短訊</t>
  </si>
  <si>
    <t>tt_option</t>
  </si>
  <si>
    <t>Option</t>
  </si>
  <si>
    <t>خيار</t>
  </si>
  <si>
    <t>Опция</t>
  </si>
  <si>
    <t>Volba</t>
  </si>
  <si>
    <t>Mulighed</t>
  </si>
  <si>
    <t>Επιλογή</t>
  </si>
  <si>
    <t>Opción</t>
  </si>
  <si>
    <t>Optio</t>
  </si>
  <si>
    <t>विकल्प</t>
  </si>
  <si>
    <t>Opciók</t>
  </si>
  <si>
    <t>Pilihan</t>
  </si>
  <si>
    <t>Opzione</t>
  </si>
  <si>
    <t>אפשרות</t>
  </si>
  <si>
    <t>オプション</t>
  </si>
  <si>
    <t>옵션</t>
  </si>
  <si>
    <t>Optie</t>
  </si>
  <si>
    <t>Alternativ</t>
  </si>
  <si>
    <t>Opcja</t>
  </si>
  <si>
    <t>Opção</t>
  </si>
  <si>
    <t>Opțiune</t>
  </si>
  <si>
    <t>Опцион</t>
  </si>
  <si>
    <t>Opcia</t>
  </si>
  <si>
    <t>Opcija</t>
  </si>
  <si>
    <t>ตัวเลือก</t>
  </si>
  <si>
    <t>Opsiyon</t>
  </si>
  <si>
    <t>Quyền chọn</t>
  </si>
  <si>
    <t>选项</t>
  </si>
  <si>
    <t>&gt;選項</t>
  </si>
  <si>
    <t>pref_scroll_to_bottom</t>
  </si>
  <si>
    <t>Scroll to bottom</t>
  </si>
  <si>
    <t>السحب إلى أسفل</t>
  </si>
  <si>
    <t>Превъртане до дъното</t>
  </si>
  <si>
    <t>Desplaça\'t cap a la part inferior</t>
  </si>
  <si>
    <t>Nach unten scrollen</t>
  </si>
  <si>
    <t>Desplazarse hasta abajo</t>
  </si>
  <si>
    <t>Faire défiler l\'écran jusqu\'en bas</t>
  </si>
  <si>
    <t>Desprazarse ata la parte inferior</t>
  </si>
  <si>
    <t>Görgessen az aljára</t>
  </si>
  <si>
    <t>Scorri in fondo</t>
  </si>
  <si>
    <t>Scrollen naar beneden</t>
  </si>
  <si>
    <t>Przesuń na dół</t>
  </si>
  <si>
    <t>device_does_not_support_data_saver</t>
  </si>
  <si>
    <t>Your device does not support disabling Data saver for Conversations.</t>
  </si>
  <si>
    <t>Устройството Ви не поддържа изключването на съхранението на данни за Conversations.</t>
  </si>
  <si>
    <t>El vostre dispositiu no suporta desactivar el protector de dades de Conversations</t>
  </si>
  <si>
    <t>Dein Gerät unterstützt den Datensparmodus für Conversations nicht.</t>
  </si>
  <si>
    <t>Tu dispositivo no soporta la opción de deshabilitar la optimización de datos para Conversations</t>
  </si>
  <si>
    <t>Votre appareil ne prend pas en charge la désactivation de l\'Économiseur de données pour Conversations.</t>
  </si>
  <si>
    <t>O seu dispositivo non admite deshabilitar o aforro de datos para Conversations.</t>
  </si>
  <si>
    <t>Az eszköz nem támogatja az adatspórolás letiltását.</t>
  </si>
  <si>
    <t>Il tuo dispositivo non supporta la disattivazione del Risparmio dati per Conversations.</t>
  </si>
  <si>
    <t>お使いのデバイスは、Conversationsのデータセーバーを無効にすることはできません。</t>
  </si>
  <si>
    <t>장치는 Conversations 데이터 보호기를 해제 할 수 없습니다.</t>
  </si>
  <si>
    <t>Je apparaat ondersteunt het uitschakelen van gegevensbesparing voor Conversations niet.</t>
  </si>
  <si>
    <t>Twoje urządzenie nie wspiera wyłączenia Oszczędzania danych dla Conversations.</t>
  </si>
  <si>
    <t>Ваше устройство не поддерживает отключение режима экономии трафика для Conversations.</t>
  </si>
  <si>
    <t>Ваш уређај не подржава искључење Чувара протока за Конверзацију.</t>
  </si>
  <si>
    <t>Din enhet stödjer inte att deaktivera databesparing för Conversations.</t>
  </si>
  <si>
    <t>Ваш пристрій не дає можливості вимкнути економію передачі даних з програми Conversations</t>
  </si>
  <si>
    <t>該設備不支援禁用省流量模式</t>
  </si>
  <si>
    <t>tt_password_forgotten</t>
  </si>
  <si>
    <t>Forgotten password? Click here to reset your password</t>
  </si>
  <si>
    <t>هل نسيت كلمة المرور؟ اضغط هنا لإعادة تعيين كلمة المرور</t>
  </si>
  <si>
    <t>Забравена парола? Щракнете тук, за да нулирате паролата си</t>
  </si>
  <si>
    <t>Zapomenuté heslo? Resetovat heslo můžete kliknutím sem.</t>
  </si>
  <si>
    <t>Glemt adgangskode? Klik her for at nulstille din adgangskode</t>
  </si>
  <si>
    <t>Passwort vergessen?</t>
  </si>
  <si>
    <t>Ξεχάσατε τον κωδικό; Κάντε κλικ εδώ για να επαναφέρετε τον κωδικό πρόσβασής σας</t>
  </si>
  <si>
    <t>¿Ha olvidado su contraseña? Haga click aquí para restablecerla.</t>
  </si>
  <si>
    <t>Unohtunut salasana? Palauta salasanasi napsauttamalla tätä</t>
  </si>
  <si>
    <t>Vous avez oublié votre mot de passe? Cliquez ici.</t>
  </si>
  <si>
    <t>पासवर्ड भूल गए हैं? अपने पासवर्ड को रीसेट करने के लिए यहाँ क्लिक करें</t>
  </si>
  <si>
    <t>Elfelejtett jelszó? Kattintson ide az új jelszó beállításához</t>
  </si>
  <si>
    <t>Klik di sini untuk mengatur ulang kata sandi anda</t>
  </si>
  <si>
    <t>Password Dimenticato? Clicca qui per reimpostare</t>
  </si>
  <si>
    <t>שכחת סיסמה? לחץ כאן כדי לאפס את הסיסמה שלך</t>
  </si>
  <si>
    <t>ﾊﾟｽﾜｰﾄﾞをお忘れの方 ﾊﾟｽﾜｰﾄﾞをリセットするにはここをクリックしてください</t>
  </si>
  <si>
    <t>비밀번호를 잊으셨습니까? 비밀번호를 초기화하려면 여기를 클릭하세요</t>
  </si>
  <si>
    <t>Terlupa kata laluan? Klik di sini untuk tetapkan semula kata laluan anda</t>
  </si>
  <si>
    <t>Uw password vergeten? Klik hier om uw password te resetten</t>
  </si>
  <si>
    <t>Glemt passord? Klikk her for å tilbakestille passordet ditt</t>
  </si>
  <si>
    <t>Nie pamiętasz hasła? Kliknij tutaj, aby zresetować hasło</t>
  </si>
  <si>
    <t>Esqueceu a senha? Clique aqui para redefinir sua senha.</t>
  </si>
  <si>
    <t>Parolă uitată? Fă clic aici pentru a reseta parola</t>
  </si>
  <si>
    <t>Забыли пароль? Чтобы изменить пароль нажмите сюда</t>
  </si>
  <si>
    <t>Zabudli ste heslo? Kliknutím tu obnovíte svoje heslo</t>
  </si>
  <si>
    <t>Pozabljeno geslo? Kliknite tukaj, da ponastavite geslo</t>
  </si>
  <si>
    <t>Zaboravljena loinka? Kliknite ovde za novu lozinku</t>
  </si>
  <si>
    <t>Glömt ditt lösenord? Klicka här för att återställa ditt lösenord</t>
  </si>
  <si>
    <t>ลืมรหัสผ่าน? คลิกที่นี่เพื่อตั้งรหัสผ่านใหม่</t>
  </si>
  <si>
    <t>Şifrenizi mi unuttunuz? Şifrenizi sıfırlamak için buraya tıklayın</t>
  </si>
  <si>
    <t>Bạn quên mật khẩu? Nhấn vào đây để đặt lại mật khẩu của bạn</t>
  </si>
  <si>
    <t>忘记密码？点击这里重置密码</t>
  </si>
  <si>
    <t>&gt;忘記密碼？點擊這裡重置密碼</t>
  </si>
  <si>
    <t>user_status_minute_offline</t>
  </si>
  <si>
    <t>\u0020minute offline</t>
  </si>
  <si>
    <t>minute offline</t>
  </si>
  <si>
    <t>minuto offline</t>
  </si>
  <si>
    <t>minute hors ligne</t>
  </si>
  <si>
    <t>perce offline</t>
  </si>
  <si>
    <t>минута оффлайн</t>
  </si>
  <si>
    <t>minut oflajn</t>
  </si>
  <si>
    <t>error_security_exception_during_image_copy</t>
  </si>
  <si>
    <t>The app you used to select this image did not provide us with enough permissions to read the file.\n\n</t>
  </si>
  <si>
    <t>Приложението, което използвахте, за да изберете това изображение, не ни осигури нужните права за прочитането му.\n\n</t>
  </si>
  <si>
    <t>L\'aplicació que heu fet servir per triar la imatge no proporciona els permisos necessaris per llegir el fitxer.\n\n</t>
  </si>
  <si>
    <t>Die App, mit der du das Bild ausgesucht hast, hat uns keine Rechte eingeräumt, das Bild zu betrachten.\n\n</t>
  </si>
  <si>
    <t>La aplicación que usas para seleccionar esta imagen no proporciona suficientes permisos para leer el archivo.\n\n</t>
  </si>
  <si>
    <t>L\'application utilisée ne nous donne pas la permission de lire l\'image.\n\n</t>
  </si>
  <si>
    <t>A aplicación que utiliza para seleccionar imaxes non proporciona suficientes permisos para leer o ficheiro.\n\n</t>
  </si>
  <si>
    <t>A kép kiválasztásához használt alkalmazás nem adott meg elegendő engedélyt a fájl olvasásához.\n\n</t>
  </si>
  <si>
    <t>Aplikasi yang digunakan untuk memilih gambar tidak memberikan izin untuk membaca file.\n\n</t>
  </si>
  <si>
    <t>L’app che hai usato per selezionare questa immagine non ci ha fornito permessi sufficienti per leggere il file.\n\n</t>
  </si>
  <si>
    <t>選択した画像ファイルは、読み取りに必要なアクセス権がありません。\n\n</t>
  </si>
  <si>
    <t>이 이미지를 선택하기 위해 사용한 앱이 이 파일을 읽는데 필요한 충분한 허가를 제공하지 않았습니다. 다른 파일 탐색기를 이용해 이미지를 선택하세요.</t>
  </si>
  <si>
    <t>De app die je gebruikte om de afbeelding te selecteren heeft niet voldoende toegang geleverd om het bestand te lezen.\n\n</t>
  </si>
  <si>
    <t>Aplikacja użyta do wyboru obrazu nie zezwoliła na odczyt pliku.\n\n</t>
  </si>
  <si>
    <t>A aplicação que usou para selecionar esta imagem não nos forneceu permissões suficientes para ler o ficheiro.\n\n</t>
  </si>
  <si>
    <t>Приложение, которое было использовано для выбора изображения не имеет достаточных прав для чтения файла.\n\n</t>
  </si>
  <si>
    <t>Aplikácia zvolená pre výber obrázkov nepovolila prečítanie súboru.\n\n</t>
  </si>
  <si>
    <t>Апликација којом сте изабрали ову слику није дала довољне дозволе за читање фајла.\n\n</t>
  </si>
  <si>
    <t>Applikationen du använde för att välja bilden gav inte tillräckliga rättigheter för att läsa filen.\n\n</t>
  </si>
  <si>
    <t>Програма, яку Ви використали для вибору цього зображення, не надала нам достатнього дозволу для читання файлу.\n\n</t>
  </si>
  <si>
    <t>Ứng dụng mà bạn dùng để chọn hình này không cung cấp đủ quyền truy cập để đọc tập tin.\n\n</t>
  </si>
  <si>
    <t>用來選取圖片的應用程式沒有給予我們足夠的權限以讀取檔案。\n\n&lt;small請使用別的檔案管理器選圖片&lt;/small</t>
  </si>
  <si>
    <t>pitcairn</t>
  </si>
  <si>
    <t>Pitcairn</t>
  </si>
  <si>
    <t>Острова Питкэрн</t>
  </si>
  <si>
    <t>Pitkarn</t>
  </si>
  <si>
    <t>tt_iosbridge_createnewuser_mail_fromname</t>
  </si>
  <si>
    <t>baha Lounge</t>
  </si>
  <si>
    <t>مركز TeleTrader</t>
  </si>
  <si>
    <t>TeleTrader Lounge</t>
  </si>
  <si>
    <t>TeleHandle Lounge</t>
  </si>
  <si>
    <t>टेलीट्रेडर लाउंज</t>
  </si>
  <si>
    <t>Tempat Istirahat TeleTrader</t>
  </si>
  <si>
    <t>טרקלין TeleTrader</t>
  </si>
  <si>
    <t>TeleTrader 라운지</t>
  </si>
  <si>
    <t>Tempat Istirehat TeleTrader</t>
  </si>
  <si>
    <t>Teletrader Lounge</t>
  </si>
  <si>
    <t>TeleTrader-lounge</t>
  </si>
  <si>
    <t>Salão TeleTrader</t>
  </si>
  <si>
    <t>Secțiunea TeleTrader-ului</t>
  </si>
  <si>
    <t>baha lounge</t>
  </si>
  <si>
    <t xml:space="preserve">Spustiť TeleTrader </t>
  </si>
  <si>
    <t>ห้องเทเลเทรดเดอร์</t>
  </si>
  <si>
    <t>TeleTrader Odası</t>
  </si>
  <si>
    <t>Phòng chờ TeleTrader</t>
  </si>
  <si>
    <t>TeleTrader休息室</t>
  </si>
  <si>
    <t>&gt;TeleTrader休息室</t>
  </si>
  <si>
    <t>tt_discount</t>
  </si>
  <si>
    <t>Discount</t>
  </si>
  <si>
    <t>خصم</t>
  </si>
  <si>
    <t>Отстъпка</t>
  </si>
  <si>
    <t>Sleva</t>
  </si>
  <si>
    <t>Rabat</t>
  </si>
  <si>
    <t>Εκπτωση</t>
  </si>
  <si>
    <t>Descuento</t>
  </si>
  <si>
    <t>Alennus</t>
  </si>
  <si>
    <t>Remise</t>
  </si>
  <si>
    <t>छूट</t>
  </si>
  <si>
    <t>Diszkont</t>
  </si>
  <si>
    <t>Diskon</t>
  </si>
  <si>
    <t>Sconto</t>
  </si>
  <si>
    <t>הנחה</t>
  </si>
  <si>
    <t>ディスカウント</t>
  </si>
  <si>
    <t>디스카운트</t>
  </si>
  <si>
    <t>Diskaun</t>
  </si>
  <si>
    <t>Korting</t>
  </si>
  <si>
    <t>Rabatt</t>
  </si>
  <si>
    <t>Dyskonto</t>
  </si>
  <si>
    <t>Desconto</t>
  </si>
  <si>
    <t>Reducere</t>
  </si>
  <si>
    <t>Скидка</t>
  </si>
  <si>
    <t>Zľava</t>
  </si>
  <si>
    <t>Popust</t>
  </si>
  <si>
    <t>Diskont</t>
  </si>
  <si>
    <t>ส่วนลด</t>
  </si>
  <si>
    <t>İndirim</t>
  </si>
  <si>
    <t>Giảm giá</t>
  </si>
  <si>
    <t>折扣</t>
  </si>
  <si>
    <t>tt_daterange_intraday</t>
  </si>
  <si>
    <t>1 Day</t>
  </si>
  <si>
    <t>يوم</t>
  </si>
  <si>
    <t>1 ден</t>
  </si>
  <si>
    <t>1 den</t>
  </si>
  <si>
    <t>1 dag</t>
  </si>
  <si>
    <t>1 Tag</t>
  </si>
  <si>
    <t>1 ημέρα</t>
  </si>
  <si>
    <t>1 Día</t>
  </si>
  <si>
    <t>1 päivä</t>
  </si>
  <si>
    <t>1 jour</t>
  </si>
  <si>
    <t>1 दिन</t>
  </si>
  <si>
    <t>1 Nap</t>
  </si>
  <si>
    <t>1 hari</t>
  </si>
  <si>
    <t>1 Giorno</t>
  </si>
  <si>
    <t>1 יום</t>
  </si>
  <si>
    <t>1日</t>
  </si>
  <si>
    <t>1일</t>
  </si>
  <si>
    <t>1 dzień</t>
  </si>
  <si>
    <t>1 dia</t>
  </si>
  <si>
    <t>1 Zi</t>
  </si>
  <si>
    <t>1 день</t>
  </si>
  <si>
    <t>1.deň</t>
  </si>
  <si>
    <t>1 dan</t>
  </si>
  <si>
    <t>1 วัน</t>
  </si>
  <si>
    <t>1 Gün</t>
  </si>
  <si>
    <t>1 ngày</t>
  </si>
  <si>
    <t>１日</t>
  </si>
  <si>
    <t>&gt;１日</t>
  </si>
  <si>
    <t>pref_headsup_notifications_summary</t>
  </si>
  <si>
    <t>Show Heads-up Notifications</t>
  </si>
  <si>
    <t>Показване на изскачащи известия</t>
  </si>
  <si>
    <t>Mostra les notificacions \"cap amunt\"</t>
  </si>
  <si>
    <t>Zeige Benachrichtigungsvorschau am oberen Bildschirmrand an</t>
  </si>
  <si>
    <t>Mostrar ventana emergente al recibir una notificación</t>
  </si>
  <si>
    <t>Afficher les notifications \"pop-up\"</t>
  </si>
  <si>
    <t>Mostrar notificacións Heads-up</t>
  </si>
  <si>
    <t>Figyelmeztető értesítéseket mutat</t>
  </si>
  <si>
    <t>Mostra notifiche su avvisi</t>
  </si>
  <si>
    <t>Heads-up 通知を表示</t>
  </si>
  <si>
    <t>Heads-up-meldingen weergeven</t>
  </si>
  <si>
    <t>Pokazuj powiadomienia Heads-up</t>
  </si>
  <si>
    <t>Показывать экранные уведомления</t>
  </si>
  <si>
    <t>Показувати сповіщення у спливних повідомленнях</t>
  </si>
  <si>
    <t>顯示頭條通知</t>
  </si>
  <si>
    <t>tt_report_wrong_chart</t>
  </si>
  <si>
    <t>Report wrong chart</t>
  </si>
  <si>
    <t>الإبلاغ عن مخطط خاطئ</t>
  </si>
  <si>
    <t>Докладване на грешна диаграма</t>
  </si>
  <si>
    <t>Nahlásit chybný graf</t>
  </si>
  <si>
    <t>Rapporter forkert diagram</t>
  </si>
  <si>
    <t>Falschen Chart melden</t>
  </si>
  <si>
    <t>Αναφορά λανθασμένου γραφήματος</t>
  </si>
  <si>
    <t>Reportar gráfico erróneo</t>
  </si>
  <si>
    <t>Ilmoita väärästä kaaviosta</t>
  </si>
  <si>
    <t>Signaler un problème avec le graphique</t>
  </si>
  <si>
    <t>गलत चार्ट की रिपोर्ट करें</t>
  </si>
  <si>
    <t>Helyteren grafikon jelentése</t>
  </si>
  <si>
    <t>Laporkan chart yang salah</t>
  </si>
  <si>
    <t>Fornisci grafico errato</t>
  </si>
  <si>
    <t>דווח על תרשים שגוי</t>
  </si>
  <si>
    <t>間違ったチャートを報告する</t>
  </si>
  <si>
    <t>잘못된 차트 신고</t>
  </si>
  <si>
    <t>Laporkan carta yang salah</t>
  </si>
  <si>
    <t>Rapporteer verkeerde grafiek</t>
  </si>
  <si>
    <t>Rapporter feil diagram</t>
  </si>
  <si>
    <t>Zgłoś błędny wykres</t>
  </si>
  <si>
    <t>Reportar gráfico errado</t>
  </si>
  <si>
    <t>Raportează un grafic greșit</t>
  </si>
  <si>
    <t>Сообщить о неверном графике</t>
  </si>
  <si>
    <t>Nahlásiť nesprávny graf</t>
  </si>
  <si>
    <t>Prijavite napačen grafikon</t>
  </si>
  <si>
    <t>Prijavi pogrešan grafikon</t>
  </si>
  <si>
    <t>Anmäl fel diagram</t>
  </si>
  <si>
    <t>รายงานความผิดพลาดของแผนภูมิ</t>
  </si>
  <si>
    <t>Yanlış grafik bildir</t>
  </si>
  <si>
    <t>Báo cáo biểu đồ sai</t>
  </si>
  <si>
    <t>回报错误的图表</t>
  </si>
  <si>
    <t>choose_participants</t>
  </si>
  <si>
    <t>Choose participants</t>
  </si>
  <si>
    <t>إختر المشاركين</t>
  </si>
  <si>
    <t>Изберете участниците</t>
  </si>
  <si>
    <t>Tria els participants</t>
  </si>
  <si>
    <t>Mitglieder wählen</t>
  </si>
  <si>
    <t>Elige a los participantes</t>
  </si>
  <si>
    <t>Choisir les participants</t>
  </si>
  <si>
    <t>Escoller participantes</t>
  </si>
  <si>
    <t>Válaszd ki a résztvevőket</t>
  </si>
  <si>
    <t>Undang user</t>
  </si>
  <si>
    <t>Scegli i partecipanti</t>
  </si>
  <si>
    <t>参加者を選択</t>
  </si>
  <si>
    <t>참가자를 선택</t>
  </si>
  <si>
    <t>Kies deelnemers</t>
  </si>
  <si>
    <t>Wybierz członków</t>
  </si>
  <si>
    <t>Escolher participantes</t>
  </si>
  <si>
    <t>Выбрать участников</t>
  </si>
  <si>
    <t>Додај учеснике</t>
  </si>
  <si>
    <t>Välj deltagare</t>
  </si>
  <si>
    <t>Вибрати учасників</t>
  </si>
  <si>
    <t>選擇成員</t>
  </si>
  <si>
    <t>account_status_tls_error</t>
  </si>
  <si>
    <t>TLS negotiation failed</t>
  </si>
  <si>
    <t>فشلت عملية التفاوض عبر TLS</t>
  </si>
  <si>
    <t>Договарянето чрез TLS беше неуспешно</t>
  </si>
  <si>
    <t>S\'ha produït un error en la negociació de TLS</t>
  </si>
  <si>
    <t>TLS-Aushandlung fehlgeschlagen</t>
  </si>
  <si>
    <t>Error de negociación TLS</t>
  </si>
  <si>
    <t>La négociation TLS a echoué</t>
  </si>
  <si>
    <t>Fallo a negociación TLS</t>
  </si>
  <si>
    <t>A TLS-tárgyalás sikertelen</t>
  </si>
  <si>
    <t>Negoziazione TLS fallita</t>
  </si>
  <si>
    <t>TLS ネゴシエーションに失敗しました</t>
  </si>
  <si>
    <t>TLS-onderhandeling mislukt</t>
  </si>
  <si>
    <t>Nie powiodła się negocjacja TLS</t>
  </si>
  <si>
    <t>Не удалось согласовать TLS</t>
  </si>
  <si>
    <t>ТЛС преговарање није успело</t>
  </si>
  <si>
    <t>Узгодження TLS не відбулося</t>
  </si>
  <si>
    <t>tt_later</t>
  </si>
  <si>
    <t>Later</t>
  </si>
  <si>
    <t>في وقت لاحق</t>
  </si>
  <si>
    <t>По късно</t>
  </si>
  <si>
    <t>Později</t>
  </si>
  <si>
    <t>Senere</t>
  </si>
  <si>
    <t>Später</t>
  </si>
  <si>
    <t>Αργότερα</t>
  </si>
  <si>
    <t>Más tarde</t>
  </si>
  <si>
    <t>Myöhemmin</t>
  </si>
  <si>
    <t>Plus tard</t>
  </si>
  <si>
    <t>बाद में</t>
  </si>
  <si>
    <t>Később</t>
  </si>
  <si>
    <t>Kemudian</t>
  </si>
  <si>
    <t>Dopo</t>
  </si>
  <si>
    <t>אחר כך</t>
  </si>
  <si>
    <t>後で</t>
  </si>
  <si>
    <t>나중에</t>
  </si>
  <si>
    <t>Później</t>
  </si>
  <si>
    <t>Mais tarde</t>
  </si>
  <si>
    <t>Mai târziu</t>
  </si>
  <si>
    <t>Позже</t>
  </si>
  <si>
    <t>Neskôr</t>
  </si>
  <si>
    <t>Pozneje</t>
  </si>
  <si>
    <t>Drugi put</t>
  </si>
  <si>
    <t>Senare</t>
  </si>
  <si>
    <t>ไว้คราวหน้า</t>
  </si>
  <si>
    <t>Sonra</t>
  </si>
  <si>
    <t>Để sau</t>
  </si>
  <si>
    <t>之后</t>
  </si>
  <si>
    <t>&gt;之後</t>
  </si>
  <si>
    <t>tt_register</t>
  </si>
  <si>
    <t>Sign-Up Now</t>
  </si>
  <si>
    <t>سجل الاشتراك الآن</t>
  </si>
  <si>
    <t>Регистриране сега</t>
  </si>
  <si>
    <t>Zaregistrujte se teď</t>
  </si>
  <si>
    <t>Tilmeld dig nu</t>
  </si>
  <si>
    <t>Registrieren Sie sich jetzt</t>
  </si>
  <si>
    <t>Εγγραφείτε τώρα</t>
  </si>
  <si>
    <t>Regístrese ahora</t>
  </si>
  <si>
    <t>Rekisteröidy nyt</t>
  </si>
  <si>
    <t>Créez un compte dès maintenant</t>
  </si>
  <si>
    <t>अभी साइन-अप करें</t>
  </si>
  <si>
    <t>Regisztráljon most</t>
  </si>
  <si>
    <t>Daftarlah Sekarang</t>
  </si>
  <si>
    <t>Iscriviti Adesso</t>
  </si>
  <si>
    <t>הירשם עכשיו</t>
  </si>
  <si>
    <t>ユーザー登録する</t>
  </si>
  <si>
    <t>지금 가입하세요</t>
  </si>
  <si>
    <t>Meld u nu aan</t>
  </si>
  <si>
    <t>Registrer deg nå</t>
  </si>
  <si>
    <t>Zarejestruj się</t>
  </si>
  <si>
    <t>Inscreva-se agora</t>
  </si>
  <si>
    <t>Înscrie-Te Acum</t>
  </si>
  <si>
    <t>Зарегистрироваться</t>
  </si>
  <si>
    <t>Prihlásiť sa teraz</t>
  </si>
  <si>
    <t>Prijavite se zdaj</t>
  </si>
  <si>
    <t>Registrujte se sada...</t>
  </si>
  <si>
    <t>Anmäl dig nu</t>
  </si>
  <si>
    <t>ลงทะเบียนตอนนี้</t>
  </si>
  <si>
    <t>Şimdi Kayıt Ol</t>
  </si>
  <si>
    <t>Đăng ký ngay</t>
  </si>
  <si>
    <t>登入</t>
  </si>
  <si>
    <t>&gt;登入</t>
  </si>
  <si>
    <t>tt_resend_confirmation_email</t>
  </si>
  <si>
    <t>Click here to resend the e-mail confirmation message</t>
  </si>
  <si>
    <t>انقر هنا لإعادة إرسال رسالة تأكيد البريد الإلكتروني</t>
  </si>
  <si>
    <t>Кликнете тук, за да изпратите отново съобщението за потвърждение по имейл</t>
  </si>
  <si>
    <t>Klepnutím sem odešlete e-mailovou potvrzovací zprávu</t>
  </si>
  <si>
    <t>Klik her for at sende bekræftelsesmail igen</t>
  </si>
  <si>
    <t>Bestätigungsmail erneut senden!</t>
  </si>
  <si>
    <t>Κάντε κλικ εδώ για να στείλετε ξανά το μήνυμα επιβεβαίωσης e-mail</t>
  </si>
  <si>
    <t>Haga click aquí para volver a enviar el e-mail de confirmación</t>
  </si>
  <si>
    <t>Napsauta tätä, kun haluat lähettää sähköpostin vahvistusviestin uudelleen</t>
  </si>
  <si>
    <t>Cliquez ici pour envoyer à nouveau l\'email de confirmation</t>
  </si>
  <si>
    <t>ई-मेल पुष्टिकरण मैसेज को दोबारा भेजने के लिए यहाँ क्लिक करें</t>
  </si>
  <si>
    <t>Kattintson ide az visszaigazoló üzenet újraküldéséhez</t>
  </si>
  <si>
    <t>Klik di sini untuk mengirim ulang pesan konfirmasi email</t>
  </si>
  <si>
    <t>Clicca qui per reinviare la e-mail messaggio di conferma</t>
  </si>
  <si>
    <t>לחץ כאן כדי לשלוח שוב את הודעת אישור הדואר האלקטרוני</t>
  </si>
  <si>
    <t>確認のメールを再送する場合はここを押してください</t>
  </si>
  <si>
    <t>이메일 확인 메시지를 재전송하려면 여기를 누르세요</t>
  </si>
  <si>
    <t>Klik di sini untuk menghantar semula pesanan pengesahan e-mel</t>
  </si>
  <si>
    <t>Klik hier om uw bevestigings e-mail nog eens te versturen</t>
  </si>
  <si>
    <t>Klikk her for å sende e-postbekreftelsen på nytt</t>
  </si>
  <si>
    <t>Kliknij tutaj, aby ponownie wysłać wiadomość e-mail z potwierdzeniem</t>
  </si>
  <si>
    <t>Clique aqui para reenviar a mensagem de confirmação de e-mail</t>
  </si>
  <si>
    <t>Fă clic aici pentru a retrimite mesajul de confirmare a emailului</t>
  </si>
  <si>
    <t>Нажмите сюда, чтобы отправить e-mail сообщение с подтверждением еще раз</t>
  </si>
  <si>
    <t>Kliknutím tu znova odošlete potvrdzujúcu e-mailovú správu</t>
  </si>
  <si>
    <t>Kliknite tukaj, če želite poslati sporočilo o potrditvi e-pošte</t>
  </si>
  <si>
    <t>Kliknite ovde za ponovno slanje e-maila potvrde</t>
  </si>
  <si>
    <t>Klicka här för att skicka e-postbekräftelsen igen</t>
  </si>
  <si>
    <t>คลิกที่นี่เพื่อส่งข้อความยืนยันทางอีเมลอีกครั้ง</t>
  </si>
  <si>
    <t>E-posta onay mesajını tekrar göndermek için buraya tıklayın</t>
  </si>
  <si>
    <t>Nhấn vào đây để gửi lại tin nhắn xác nhận email</t>
  </si>
  <si>
    <t>点击这里重新发送电子邮件确认信息</t>
  </si>
  <si>
    <t>&gt;點擊這裡重新發送電子郵件確認信息</t>
  </si>
  <si>
    <t>portfolio_screener_popup_text</t>
  </si>
  <si>
    <t>Switch to screener here!</t>
  </si>
  <si>
    <t>تحويل إلى الفرز هنا!</t>
  </si>
  <si>
    <t>Превключете към скрийнър тук!</t>
  </si>
  <si>
    <t>Tady můlžete přepnout na burzovní nástroj!</t>
  </si>
  <si>
    <t>Skift til screener her!</t>
  </si>
  <si>
    <t>Wechseln Sie hier zum Screener!</t>
  </si>
  <si>
    <t>Εναλλαγή σε screener εδώ!</t>
  </si>
  <si>
    <t>¡Cambiar a Screener aqui!</t>
  </si>
  <si>
    <t>Vaihda screeneriin täällä!</t>
  </si>
  <si>
    <t>Passer à Screener ici!</t>
  </si>
  <si>
    <t>यहाँ स्क्रीनर पर स्विच करें!</t>
  </si>
  <si>
    <t>Váltson a Screenerre itt!</t>
  </si>
  <si>
    <t>Tukar ke filter di sini!</t>
  </si>
  <si>
    <t>Passa a screener qui!</t>
  </si>
  <si>
    <t>עבור למסך כאן!</t>
  </si>
  <si>
    <t>スクリーナーに切り替える！</t>
  </si>
  <si>
    <t>여기에서 스크리너로 전환하세요!</t>
  </si>
  <si>
    <t>Tukar kepada penapis di sini!</t>
  </si>
  <si>
    <t>Schakel hier over naar screener!</t>
  </si>
  <si>
    <t>Bytt til screener her!</t>
  </si>
  <si>
    <t>Przełącz na screener.</t>
  </si>
  <si>
    <t>Mudar para filtro aqui!</t>
  </si>
  <si>
    <t>Comută la filtru aici!</t>
  </si>
  <si>
    <t>Переключитесь на скринер здесь!</t>
  </si>
  <si>
    <t>Prepnite na triedič tu!</t>
  </si>
  <si>
    <t>Preklopite na pregledovalnik tukaj!</t>
  </si>
  <si>
    <t>Ove prebaci na Screener!</t>
  </si>
  <si>
    <t>Växla till screener här!</t>
  </si>
  <si>
    <t>เปลี่ยนเป็นตัวสกรีนที่นี่!</t>
  </si>
  <si>
    <t>İzleyiciye geçin!</t>
  </si>
  <si>
    <t>Chuyển sang công cụ sàng lọc tại đây!</t>
  </si>
  <si>
    <t>在这里打开筛选</t>
  </si>
  <si>
    <t>tt_theoretical_value</t>
  </si>
  <si>
    <t>Fair value</t>
  </si>
  <si>
    <t>القيمة العادلة</t>
  </si>
  <si>
    <t>Справедлива цена</t>
  </si>
  <si>
    <t>Reálná hodnota</t>
  </si>
  <si>
    <t>Reel værdi</t>
  </si>
  <si>
    <t>Fairer Wert</t>
  </si>
  <si>
    <t>Εύλογη αξία</t>
  </si>
  <si>
    <t>Valor real</t>
  </si>
  <si>
    <t>Käypä arvo</t>
  </si>
  <si>
    <t>Juste valeur</t>
  </si>
  <si>
    <t>उचित मूल्य</t>
  </si>
  <si>
    <t>Valós érték</t>
  </si>
  <si>
    <t>Nilai Wajar</t>
  </si>
  <si>
    <t>Valore equo</t>
  </si>
  <si>
    <t>שווי הוגן</t>
  </si>
  <si>
    <t>適正価値</t>
  </si>
  <si>
    <t>공정 가치</t>
  </si>
  <si>
    <t>Nilai adil</t>
  </si>
  <si>
    <t>werkelijke waarde</t>
  </si>
  <si>
    <t>Virkelig verdi</t>
  </si>
  <si>
    <t>Wartość godziwa</t>
  </si>
  <si>
    <t>Valor justo</t>
  </si>
  <si>
    <t>Valoare justă</t>
  </si>
  <si>
    <t>Справедливая стоимость</t>
  </si>
  <si>
    <t>Reálna hodnota</t>
  </si>
  <si>
    <t>Poštena vrednost</t>
  </si>
  <si>
    <t>Fer vrednost</t>
  </si>
  <si>
    <t>Rimligt värde</t>
  </si>
  <si>
    <t>มูลค่ายุติธรรม</t>
  </si>
  <si>
    <t>Makul değer</t>
  </si>
  <si>
    <t>Giá trị hợp lý</t>
  </si>
  <si>
    <t>公平价值</t>
  </si>
  <si>
    <t>error_saving_avatar</t>
  </si>
  <si>
    <t>Could not save avatar to disk</t>
  </si>
  <si>
    <t>تعذر الإحتفاظ بالصورة الرمزية على الذاكرة</t>
  </si>
  <si>
    <t>Неуспешно запазване на аватара на диска</t>
  </si>
  <si>
    <t>No s\'ha pogut desar l\'avatar al disc</t>
  </si>
  <si>
    <t>Avatar kann nicht gespeichert werden</t>
  </si>
  <si>
    <t>No se ha podido guardar la imagen de perfil en disco</t>
  </si>
  <si>
    <t>Impossible de stocker l\'avatar sur le disque</t>
  </si>
  <si>
    <t>Non se puido salvar o avatar no disco</t>
  </si>
  <si>
    <t>Nem tudja menteni a képedet a tárhelyre</t>
  </si>
  <si>
    <t>Tidak dapat menyimpan Avatar ke memori</t>
  </si>
  <si>
    <t>Impossibile salvare l’avatar sulla memoria interna</t>
  </si>
  <si>
    <t>ディスクにアバターを保存できませんでした</t>
  </si>
  <si>
    <t>아바타를 저장할 수 없습니다</t>
  </si>
  <si>
    <t>Fout bij opslaan van avatar</t>
  </si>
  <si>
    <t>Nie udało się zapisać obrazu w pamięci urządzenia</t>
  </si>
  <si>
    <t>Não foi possível guardar o avatar no disco</t>
  </si>
  <si>
    <t>Не удалось сохранить аватар</t>
  </si>
  <si>
    <t>Nepodarilo sa uložiť avatar na disk</t>
  </si>
  <si>
    <t>Не могох да сачувам аватар на диск</t>
  </si>
  <si>
    <t>Kunde inte spara avatarbild till disk</t>
  </si>
  <si>
    <t>Не зміг зберегти аватар на диск</t>
  </si>
  <si>
    <t>Không thể lưu ảnh đại diện vào ổ đĩa</t>
  </si>
  <si>
    <t>不能將頭像保存至磁片</t>
  </si>
  <si>
    <t>tt_info_feature_market_request</t>
  </si>
  <si>
    <t>Feature or market request</t>
  </si>
  <si>
    <t>الميزة أو طلب السوق</t>
  </si>
  <si>
    <t>Характеристика или заявка на пазара</t>
  </si>
  <si>
    <t>Funkce nebo tržní požadavek</t>
  </si>
  <si>
    <t>Funktion eller markedsanmodning</t>
  </si>
  <si>
    <t>Feature oder Marktanfrage</t>
  </si>
  <si>
    <t>Χαρακτηριστικό ή αίτημα αγοράς</t>
  </si>
  <si>
    <t>Característica o solicitud del mercado</t>
  </si>
  <si>
    <t>Ominaisuus tai markkinoiden pyyntö</t>
  </si>
  <si>
    <t>Demande de nouvelles fonctionnalités ou nouveaux marchés</t>
  </si>
  <si>
    <t>विशेषता या बाजार का अनुरोध</t>
  </si>
  <si>
    <t>Észrevételek és kérések</t>
  </si>
  <si>
    <t>Permintaan ciri atau pasaran</t>
  </si>
  <si>
    <t>Richiesta di funzionalità o mercato</t>
  </si>
  <si>
    <t>תכונה או בקשת שוק</t>
  </si>
  <si>
    <t>機能・マーケットの追加をリクエストする</t>
  </si>
  <si>
    <t>기능 요청/시장 요청</t>
  </si>
  <si>
    <t>Feature of beurs verzoek</t>
  </si>
  <si>
    <t>Funksjon eller markedsforespørsel</t>
  </si>
  <si>
    <t>Dodatkowe dane</t>
  </si>
  <si>
    <t>Solicitação de nova função ou mercado</t>
  </si>
  <si>
    <t>Caracteristică sau cerere de piață</t>
  </si>
  <si>
    <t>Запрос функции или рынка</t>
  </si>
  <si>
    <t>Žiadosť o funkciu alebo trh</t>
  </si>
  <si>
    <t>Funkcija ali zahteva trga</t>
  </si>
  <si>
    <t>Funkionalni ili tržišni zahtev</t>
  </si>
  <si>
    <t>Begäran om funktion eller marknad</t>
  </si>
  <si>
    <t>คุณสมบัติและข้อบังคับของตลาดหุ้น</t>
  </si>
  <si>
    <t>Özellik veya pazar talebi</t>
  </si>
  <si>
    <t>Tính năng hoặc yêu cầu thị trường</t>
  </si>
  <si>
    <t>功能或市场要求</t>
  </si>
  <si>
    <t>&gt;功能或市場要求</t>
  </si>
  <si>
    <t>tt_putoption</t>
  </si>
  <si>
    <t>Put Option</t>
  </si>
  <si>
    <t>حدد خيارا</t>
  </si>
  <si>
    <t>Пут опция</t>
  </si>
  <si>
    <t>Podat opci</t>
  </si>
  <si>
    <t>Sæt mulighed</t>
  </si>
  <si>
    <t>Δικαίωμα Put</t>
  </si>
  <si>
    <t>Poner opción</t>
  </si>
  <si>
    <t>Myyntioptio</t>
  </si>
  <si>
    <t>विकल्प रखें</t>
  </si>
  <si>
    <t>Put opció</t>
  </si>
  <si>
    <t>Masukkan Pilihan</t>
  </si>
  <si>
    <t>Opzione Put</t>
  </si>
  <si>
    <t>אופציית מוכר</t>
  </si>
  <si>
    <t>プットオプション</t>
  </si>
  <si>
    <t>풋 옵션</t>
  </si>
  <si>
    <t>Letakkan Pilihan</t>
  </si>
  <si>
    <t>Put optie</t>
  </si>
  <si>
    <t>Salgsopsjon</t>
  </si>
  <si>
    <t>Opcja Put</t>
  </si>
  <si>
    <t>Opção de venda</t>
  </si>
  <si>
    <t>Opțiune de Vânzare</t>
  </si>
  <si>
    <t>Опцион на продажу</t>
  </si>
  <si>
    <t>Vložte možnosť</t>
  </si>
  <si>
    <t>Postavite opcijo</t>
  </si>
  <si>
    <t>Put opcija</t>
  </si>
  <si>
    <t>Ange alternativ</t>
  </si>
  <si>
    <t>พุทออปชัน</t>
  </si>
  <si>
    <t>Seçenek Koy</t>
  </si>
  <si>
    <t>Quyền chọn bán</t>
  </si>
  <si>
    <t>卖权</t>
  </si>
  <si>
    <t>&gt;賣權</t>
  </si>
  <si>
    <t>account_status_disabled</t>
  </si>
  <si>
    <t>Temporarily disabled</t>
  </si>
  <si>
    <t>معطلٌ موقتاً</t>
  </si>
  <si>
    <t>Временно деактивиран</t>
  </si>
  <si>
    <t>Inhabilitat temporalment</t>
  </si>
  <si>
    <t>Vorübergehend abgeschaltet</t>
  </si>
  <si>
    <t>Deshabilitado temporalmente</t>
  </si>
  <si>
    <t>Désactivé temporairement</t>
  </si>
  <si>
    <t>Desactivado temporalmente</t>
  </si>
  <si>
    <t>Átmenetileg letiltva</t>
  </si>
  <si>
    <t>Sementara dimatikan</t>
  </si>
  <si>
    <t>Disattivato temporaneamente</t>
  </si>
  <si>
    <t>一時的に無効</t>
  </si>
  <si>
    <t>임시로 해제</t>
  </si>
  <si>
    <t>Tijdelijk uitgeschakeld</t>
  </si>
  <si>
    <t>Tymczasowo wyłączono</t>
  </si>
  <si>
    <t>Temporariamente desativado</t>
  </si>
  <si>
    <t>Временно отключён</t>
  </si>
  <si>
    <t>Dočasne vypnutý</t>
  </si>
  <si>
    <t>Привремено искључен</t>
  </si>
  <si>
    <t>Tillfälligt inaktiverad</t>
  </si>
  <si>
    <t>Тимчасово вимкнено</t>
  </si>
  <si>
    <t>Tạm thời tắt</t>
  </si>
  <si>
    <t>暫時不可用</t>
  </si>
  <si>
    <t>iceland</t>
  </si>
  <si>
    <t>Iceland</t>
  </si>
  <si>
    <t>Island</t>
  </si>
  <si>
    <t>Islandia</t>
  </si>
  <si>
    <t>Islande</t>
  </si>
  <si>
    <t>Исландия</t>
  </si>
  <si>
    <t>error_compressing_image</t>
  </si>
  <si>
    <t>Error while converting the image file</t>
  </si>
  <si>
    <t>خطأ أثناء تحويل ملف الصورة</t>
  </si>
  <si>
    <t>Грешка при преобразуването на изображението</t>
  </si>
  <si>
    <t>S\'ha produït un error en convertir la imatge</t>
  </si>
  <si>
    <t>Fehler beim Umwandeln des Bildes</t>
  </si>
  <si>
    <t>Error comprimiendo el archivo de imagen</t>
  </si>
  <si>
    <t>Une erreur s\'est produite en convertissant l\'image</t>
  </si>
  <si>
    <t>Erro convertindo o arquivo de imaxe</t>
  </si>
  <si>
    <t>Hiba történt a kép konvertálása közben</t>
  </si>
  <si>
    <t>Terjadi kesalahan saat mengubah berkas gambar</t>
  </si>
  <si>
    <t>Errore durante la conversione dell’immagine</t>
  </si>
  <si>
    <t>画像ファイルの変換中にエラー</t>
  </si>
  <si>
    <t>이미지 파일 변환 중 오류 발생</t>
  </si>
  <si>
    <t>Fout tijdens converteren van afbeelding</t>
  </si>
  <si>
    <t>Błąd kompresji obrazu</t>
  </si>
  <si>
    <t>Erro ao converter o ficheiro de imagem</t>
  </si>
  <si>
    <t>Ошибка при преобразовании изображения</t>
  </si>
  <si>
    <t>Chyba pri konverzii obrázkového súboru</t>
  </si>
  <si>
    <t>Грешка прекодирања фајла слике</t>
  </si>
  <si>
    <t>Fel vid konvertering av bildfilen</t>
  </si>
  <si>
    <t>Помилка при перетворенні файлу зображення</t>
  </si>
  <si>
    <t>Lỗi khi chuyển đổi tập tin hình ảnh</t>
  </si>
  <si>
    <t>圖片轉換時發生錯誤</t>
  </si>
  <si>
    <t>pref_general</t>
  </si>
  <si>
    <t>General</t>
  </si>
  <si>
    <t>عام</t>
  </si>
  <si>
    <t>Общи</t>
  </si>
  <si>
    <t>Allgemeines</t>
  </si>
  <si>
    <t>Général</t>
  </si>
  <si>
    <t>Xeral</t>
  </si>
  <si>
    <t>Általános</t>
  </si>
  <si>
    <t>Umum</t>
  </si>
  <si>
    <t>Generale</t>
  </si>
  <si>
    <t>全般</t>
  </si>
  <si>
    <t>일반</t>
  </si>
  <si>
    <t>Algemeen</t>
  </si>
  <si>
    <t>Główne</t>
  </si>
  <si>
    <t>Geral</t>
  </si>
  <si>
    <t>Общие</t>
  </si>
  <si>
    <t>Všeobecné</t>
  </si>
  <si>
    <t>Опште</t>
  </si>
  <si>
    <t>Generellt</t>
  </si>
  <si>
    <t>Загальне</t>
  </si>
  <si>
    <t>Tổng quan</t>
  </si>
  <si>
    <t>常規</t>
  </si>
  <si>
    <t>tt_widget_enable_updates_title</t>
  </si>
  <si>
    <t>Enable updates</t>
  </si>
  <si>
    <t>تمكين التحديثات</t>
  </si>
  <si>
    <t>Активиране на актуализациите</t>
  </si>
  <si>
    <t>Povolit aktualizace</t>
  </si>
  <si>
    <t>Aktivér opdateringer</t>
  </si>
  <si>
    <t>Kursaktualisierung aktivieren</t>
  </si>
  <si>
    <t>Ενεργοποίηση ενημερώσεων</t>
  </si>
  <si>
    <t>Activar actualizaciones</t>
  </si>
  <si>
    <t>Ota päivitykset käyttöön</t>
  </si>
  <si>
    <t>Autoriser mises à jour automatique</t>
  </si>
  <si>
    <t>अपडेट को इनेबल करें</t>
  </si>
  <si>
    <t>Frissítések engedélyezése</t>
  </si>
  <si>
    <t>Aktifkan pembaruan</t>
  </si>
  <si>
    <t>Abilita gli aggiornamenti</t>
  </si>
  <si>
    <t>אפשר עדכונים</t>
  </si>
  <si>
    <t>アップデート可能</t>
  </si>
  <si>
    <t>업데이트 사용</t>
  </si>
  <si>
    <t>Dayakan kemas kini</t>
  </si>
  <si>
    <t>Stel updates in</t>
  </si>
  <si>
    <t>Aktiver oppdateringer</t>
  </si>
  <si>
    <t>Włącz aktualizacje</t>
  </si>
  <si>
    <t>Ativar atualizações</t>
  </si>
  <si>
    <t>Activează actualizările</t>
  </si>
  <si>
    <t>Включить обновления</t>
  </si>
  <si>
    <t>Povoliť aktualizácie</t>
  </si>
  <si>
    <t>Omogoči posodobitve</t>
  </si>
  <si>
    <t>Omogući ažuriranje</t>
  </si>
  <si>
    <t>Aktivera uppdateringar</t>
  </si>
  <si>
    <t>เปิดใช้งานการอัปเดต</t>
  </si>
  <si>
    <t>Güncellemelerini etkinleştir</t>
  </si>
  <si>
    <t>Bật tính năng cập nhật</t>
  </si>
  <si>
    <t>允许更新</t>
  </si>
  <si>
    <t>&gt;允許更新</t>
  </si>
  <si>
    <t>tt_menu_refresh</t>
  </si>
  <si>
    <t>Refresh</t>
  </si>
  <si>
    <t>تحديث</t>
  </si>
  <si>
    <t>Обновяване</t>
  </si>
  <si>
    <t>Obnovit</t>
  </si>
  <si>
    <t>Opdater</t>
  </si>
  <si>
    <t>Aktualisieren</t>
  </si>
  <si>
    <t>Ανανέωση</t>
  </si>
  <si>
    <t>Actualizar</t>
  </si>
  <si>
    <t>Päivitä</t>
  </si>
  <si>
    <t>Rafraîchir</t>
  </si>
  <si>
    <t>रिफ्रेश करें</t>
  </si>
  <si>
    <t>Frissítés</t>
  </si>
  <si>
    <t>Muat ulang</t>
  </si>
  <si>
    <t>Ricaricare</t>
  </si>
  <si>
    <t>רענן</t>
  </si>
  <si>
    <t>更新</t>
  </si>
  <si>
    <t>새로고침</t>
  </si>
  <si>
    <t>Muat Semula</t>
  </si>
  <si>
    <t>Ververs</t>
  </si>
  <si>
    <t>Oppdater</t>
  </si>
  <si>
    <t>Odśwież</t>
  </si>
  <si>
    <t>Atualizar</t>
  </si>
  <si>
    <t>Reîncarcă</t>
  </si>
  <si>
    <t>Обновить</t>
  </si>
  <si>
    <t>Obnoviť</t>
  </si>
  <si>
    <t>Osveži</t>
  </si>
  <si>
    <t>Osvežiti</t>
  </si>
  <si>
    <t>Uppdatera</t>
  </si>
  <si>
    <t>รีเฟรช</t>
  </si>
  <si>
    <t>Yenile</t>
  </si>
  <si>
    <t>Tải lại</t>
  </si>
  <si>
    <t>&gt;更新</t>
  </si>
  <si>
    <t>delete_selected_keys</t>
  </si>
  <si>
    <t>Delete selected keys</t>
  </si>
  <si>
    <t>إحذف المفاتيح المختارة</t>
  </si>
  <si>
    <t>Изтриване на избраните ключове.</t>
  </si>
  <si>
    <t>Elimineu les tecles seleccionades</t>
  </si>
  <si>
    <t>Ausgewählte Schlüssel löschen</t>
  </si>
  <si>
    <t>Eliminar claves seleccionadas</t>
  </si>
  <si>
    <t>Supprimer les clefs sélectionnées</t>
  </si>
  <si>
    <t>Eliminar as chaves seleccionadas.</t>
  </si>
  <si>
    <t>Kiválasztott kulcsok törlése</t>
  </si>
  <si>
    <t>Cancella le chiavi selezionate</t>
  </si>
  <si>
    <t>選択した鍵を削除</t>
  </si>
  <si>
    <t>Geselecteerde sleutels verwijderen</t>
  </si>
  <si>
    <t>Usuń zaznaczone klucze</t>
  </si>
  <si>
    <t>Apagar chaves seleccionadas</t>
  </si>
  <si>
    <t>Удалить отмеченные</t>
  </si>
  <si>
    <t>Обриши изабране кључеве</t>
  </si>
  <si>
    <t>Ta bort valda nycklar</t>
  </si>
  <si>
    <t>Видалити вибрані ключі</t>
  </si>
  <si>
    <t>刪除選擇的金鑰</t>
  </si>
  <si>
    <t>share_as_uri</t>
  </si>
  <si>
    <t>Share as XMPP URI</t>
  </si>
  <si>
    <t>شاركه كعنوان XMPP</t>
  </si>
  <si>
    <t>Споделяне като адрес на XMPP</t>
  </si>
  <si>
    <t>Comparteix com a XMPP URI</t>
  </si>
  <si>
    <t>Als XMPP URI teilen</t>
  </si>
  <si>
    <t>Compartir como XMPP URI</t>
  </si>
  <si>
    <t>Partager par URI XMPP</t>
  </si>
  <si>
    <t>Compartir como URI XMPP</t>
  </si>
  <si>
    <t>Megosztás XMPP URI-ként</t>
  </si>
  <si>
    <t>Condividi come URI XMPP</t>
  </si>
  <si>
    <t>XMPP URI として共有</t>
  </si>
  <si>
    <t>XMPP URI로 공유</t>
  </si>
  <si>
    <t>Delen als XMPP-URI</t>
  </si>
  <si>
    <t>Udostępnij przez URI XMPP</t>
  </si>
  <si>
    <t>Отправить XMPP URI</t>
  </si>
  <si>
    <t>Подели као ИксМПП УРИ</t>
  </si>
  <si>
    <t>Dela som XMPP URI</t>
  </si>
  <si>
    <t>Поділитися XMPP URI</t>
  </si>
  <si>
    <t>分享 XMPP 網址(URI)</t>
  </si>
  <si>
    <t>messages_channel_name</t>
  </si>
  <si>
    <t>Messages</t>
  </si>
  <si>
    <t>Съобщения</t>
  </si>
  <si>
    <t>Nachrichten</t>
  </si>
  <si>
    <t>Mensajes</t>
  </si>
  <si>
    <t>Mensaxes</t>
  </si>
  <si>
    <t>Üzenetek</t>
  </si>
  <si>
    <t>Messaggi</t>
  </si>
  <si>
    <t>Berichten</t>
  </si>
  <si>
    <t>Wiadomości</t>
  </si>
  <si>
    <t>Поруке</t>
  </si>
  <si>
    <t>tt_rankings_sharpe_ratio</t>
  </si>
  <si>
    <t>Sharpe ratio</t>
  </si>
  <si>
    <t>نسبة محددة</t>
  </si>
  <si>
    <t>Коефициент на Шарп</t>
  </si>
  <si>
    <t>Sharpův poměr</t>
  </si>
  <si>
    <t>Sharpe-forhold</t>
  </si>
  <si>
    <t>Sharpe Ratio</t>
  </si>
  <si>
    <t>Αναλογία Sharpe</t>
  </si>
  <si>
    <t>Índice de Sharpe</t>
  </si>
  <si>
    <t>Sharpen-luku</t>
  </si>
  <si>
    <t>Ratio de Sharpe</t>
  </si>
  <si>
    <t>शार्प अनुपात</t>
  </si>
  <si>
    <t>Sharpe ráta</t>
  </si>
  <si>
    <t>Rasio Sharpe</t>
  </si>
  <si>
    <t>Sharpe rapporto</t>
  </si>
  <si>
    <t>מדד שארפ</t>
  </si>
  <si>
    <t>ｼｬｰﾌﾟレイシオ</t>
  </si>
  <si>
    <t>샤프지수</t>
  </si>
  <si>
    <t>Nisbah Sharpe</t>
  </si>
  <si>
    <t>Sharpe-ratio</t>
  </si>
  <si>
    <t>Wskaźnik Sharpe\'a</t>
  </si>
  <si>
    <t>Raport Sharpe</t>
  </si>
  <si>
    <t>Коэффициент Шарпа</t>
  </si>
  <si>
    <t>Sharpeho pomer</t>
  </si>
  <si>
    <t>Ostro razmerje</t>
  </si>
  <si>
    <t>Šarp racio</t>
  </si>
  <si>
    <t>Sharpe-förhållande</t>
  </si>
  <si>
    <t>ผลตอบแทนเมื่อเทียบกับความเสี่ยง</t>
  </si>
  <si>
    <t>Sharpe oranı</t>
  </si>
  <si>
    <t>Hệ số Sharpe</t>
  </si>
  <si>
    <t>夏普比率</t>
  </si>
  <si>
    <t>&gt;夏普比率</t>
  </si>
  <si>
    <t>pref_autojoin_summary</t>
  </si>
  <si>
    <t>Join and leave group chats according to auto-join flag in your bookmarks.</t>
  </si>
  <si>
    <t>huawei_protected_apps</t>
  </si>
  <si>
    <t>Protected Apps</t>
  </si>
  <si>
    <t>التطبيقات المُؤمَّنَة</t>
  </si>
  <si>
    <t>Защитени приложения</t>
  </si>
  <si>
    <t>Aplicacions protegides</t>
  </si>
  <si>
    <t>Geschützte Apps</t>
  </si>
  <si>
    <t>Aplicaciones protegidas</t>
  </si>
  <si>
    <t>Applications protégées</t>
  </si>
  <si>
    <t>Apps protexidos</t>
  </si>
  <si>
    <t>Védett alkalmazások</t>
  </si>
  <si>
    <t>App protette</t>
  </si>
  <si>
    <t>Beschermde apps</t>
  </si>
  <si>
    <t>Aplikacje chronione</t>
  </si>
  <si>
    <t>tt_indicator_settings_interval</t>
  </si>
  <si>
    <t>Interval</t>
  </si>
  <si>
    <t>فترة</t>
  </si>
  <si>
    <t>Интервал</t>
  </si>
  <si>
    <t>Διάστημα</t>
  </si>
  <si>
    <t>Intervalo</t>
  </si>
  <si>
    <t>Intervalli</t>
  </si>
  <si>
    <t>Intervalle</t>
  </si>
  <si>
    <t>अंतराल</t>
  </si>
  <si>
    <t>intervallum</t>
  </si>
  <si>
    <t>Selang</t>
  </si>
  <si>
    <t>מרווח</t>
  </si>
  <si>
    <t>指標設定区間</t>
  </si>
  <si>
    <t>간격</t>
  </si>
  <si>
    <t>Intervall</t>
  </si>
  <si>
    <t>Przerwa</t>
  </si>
  <si>
    <t>Presledek</t>
  </si>
  <si>
    <t>ช่วงเวลา</t>
  </si>
  <si>
    <t>Aralık</t>
  </si>
  <si>
    <t>Khoảng thời gian</t>
  </si>
  <si>
    <t>间隔</t>
  </si>
  <si>
    <t>&gt;間隔</t>
  </si>
  <si>
    <t>error_publish_avatar_server_reject</t>
  </si>
  <si>
    <t>The server rejected your publication</t>
  </si>
  <si>
    <t>لقد رفض السيرفر منشورك</t>
  </si>
  <si>
    <t>Сървърът отказа Вашето публикуване</t>
  </si>
  <si>
    <t>El servidor ha rebutjat la vostra publicació</t>
  </si>
  <si>
    <t>Der Server hat die Veröffentlichung des Avatars abgelehnt.</t>
  </si>
  <si>
    <t>El servidor rechazó la publicación</t>
  </si>
  <si>
    <t>Le serveur a rejeté votre publication</t>
  </si>
  <si>
    <t>O servidor rexeitou a súa publicación</t>
  </si>
  <si>
    <t>A szerver elutasította a kérésedet</t>
  </si>
  <si>
    <t>Server tidak mengijinkan publikasi Anda</t>
  </si>
  <si>
    <t>Il server ha rifiutato la tua pubblicazione</t>
  </si>
  <si>
    <t>サーバーがあなたの公開を拒否しました</t>
  </si>
  <si>
    <t>서버가 당신의 발표를 거부했습니다</t>
  </si>
  <si>
    <t>De server weigerde de publicatie van je afbeelding</t>
  </si>
  <si>
    <t>Serwer odrzucił żądanie publikacji</t>
  </si>
  <si>
    <t>O servidor rejeitou a sua publicação</t>
  </si>
  <si>
    <t>Сервер отклонил размещение аватара</t>
  </si>
  <si>
    <t>Server odmietol toto zverejnenie</t>
  </si>
  <si>
    <t>Сервер је одбио вашу објаву</t>
  </si>
  <si>
    <t>Servern kunde inte publicera</t>
  </si>
  <si>
    <t>Сервер відхилив Вашу публікацію</t>
  </si>
  <si>
    <t>Máy chủ đã từ chối đăng tải của bạn</t>
  </si>
  <si>
    <t>伺服器拒絕了您的發佈請求</t>
  </si>
  <si>
    <t>tt_commodities_energy</t>
  </si>
  <si>
    <t>Energy</t>
  </si>
  <si>
    <t>الطاقة</t>
  </si>
  <si>
    <t>Енергия</t>
  </si>
  <si>
    <t>Energie</t>
  </si>
  <si>
    <t>Energi</t>
  </si>
  <si>
    <t>Ενέργεια</t>
  </si>
  <si>
    <t>Energía</t>
  </si>
  <si>
    <t>Energia</t>
  </si>
  <si>
    <t>Énergie</t>
  </si>
  <si>
    <t>ऊर्जा</t>
  </si>
  <si>
    <t>Tenaga</t>
  </si>
  <si>
    <t>Prodotti Energetici</t>
  </si>
  <si>
    <t>אנרגיה</t>
  </si>
  <si>
    <t>エネルギー</t>
  </si>
  <si>
    <t>에너지</t>
  </si>
  <si>
    <t>Surowce energetyczne</t>
  </si>
  <si>
    <t>Энергетические</t>
  </si>
  <si>
    <t>Energija</t>
  </si>
  <si>
    <t>พลังงาน</t>
  </si>
  <si>
    <t>Enerji</t>
  </si>
  <si>
    <t>Năng lượng</t>
  </si>
  <si>
    <t>能源</t>
  </si>
  <si>
    <t>&gt;能源</t>
  </si>
  <si>
    <t>tt_edgar_price_revenues_ratio</t>
  </si>
  <si>
    <t>P/Rev.(TTM)</t>
  </si>
  <si>
    <t>السعر/العائدات (اثني عشر شهرًا متتاليًا)</t>
  </si>
  <si>
    <t>P/Rev.(Ttm)</t>
  </si>
  <si>
    <t>KUV (TTM)</t>
  </si>
  <si>
    <t>Precio/ingresos (último trimestre)</t>
  </si>
  <si>
    <t>P/Rev.(टीटीएम)</t>
  </si>
  <si>
    <t>P/Vendite (TTM)</t>
  </si>
  <si>
    <t>מחיר/הכנסה (12 החודשים האחרונים)</t>
  </si>
  <si>
    <t>P/Inkomsten (TTM)</t>
  </si>
  <si>
    <t>P/innt. (TTM)</t>
  </si>
  <si>
    <t>C/Przych (12M)</t>
  </si>
  <si>
    <t>P/Rev. (MTT)</t>
  </si>
  <si>
    <t>Ц/Д (12М)</t>
  </si>
  <si>
    <t>Trz. Cena/Prihodi (TTM)</t>
  </si>
  <si>
    <t>F/G (12 aylık)</t>
  </si>
  <si>
    <t>Lợi nhuận/Doanh thu (TTM)</t>
  </si>
  <si>
    <t>价格/收入比率（TTM）</t>
  </si>
  <si>
    <t>user_status_last_online_yesterday</t>
  </si>
  <si>
    <t>Last online yesterday</t>
  </si>
  <si>
    <t>Zuletzt gestern online</t>
  </si>
  <si>
    <t>Ultima conexión ayer</t>
  </si>
  <si>
    <t>Dernière connexion hier</t>
  </si>
  <si>
    <t>Utoljára online tegnap</t>
  </si>
  <si>
    <t>Последний раз онлайн вчера</t>
  </si>
  <si>
    <t>Poslednji put online juče</t>
  </si>
  <si>
    <t>tt_bonus_yield_percent</t>
  </si>
  <si>
    <t>Bonus yield</t>
  </si>
  <si>
    <t>عائد المكافأة</t>
  </si>
  <si>
    <t>Бонусна доходност</t>
  </si>
  <si>
    <t>Bonusový výnos</t>
  </si>
  <si>
    <t>Bonusudbytte</t>
  </si>
  <si>
    <t>Bonusrendite</t>
  </si>
  <si>
    <t>Απόδοση μπόνους</t>
  </si>
  <si>
    <t>Bonificación de rendimiento</t>
  </si>
  <si>
    <t>Bonustuotto</t>
  </si>
  <si>
    <t>Rendement bonus</t>
  </si>
  <si>
    <t>बोनस लाभ</t>
  </si>
  <si>
    <t>Bónusz hozam</t>
  </si>
  <si>
    <t>Hasil bonus</t>
  </si>
  <si>
    <t>Rendimento di Bonus</t>
  </si>
  <si>
    <t>תשואה בונוס</t>
  </si>
  <si>
    <t>ボーナスイールド</t>
  </si>
  <si>
    <t>보너스 수익성</t>
  </si>
  <si>
    <t>Bonus opbrengst</t>
  </si>
  <si>
    <t>Bonusavkastning</t>
  </si>
  <si>
    <t>Stopa premii</t>
  </si>
  <si>
    <t>Rendimento de bónus</t>
  </si>
  <si>
    <t>Randament bonus</t>
  </si>
  <si>
    <t>Бонусный доход</t>
  </si>
  <si>
    <t>Bonusni donos</t>
  </si>
  <si>
    <t>Bonus prinos</t>
  </si>
  <si>
    <t>อัตราเงินโบนัสตอบแทน</t>
  </si>
  <si>
    <t>Bonus getirisi</t>
  </si>
  <si>
    <t>Lợi tức tiền thưởng</t>
  </si>
  <si>
    <t>红利收益率</t>
  </si>
  <si>
    <t>account_status_policy_violation</t>
  </si>
  <si>
    <t>Policy violation</t>
  </si>
  <si>
    <t>خرق للقواعد</t>
  </si>
  <si>
    <t>Нарушение на политиката</t>
  </si>
  <si>
    <t>Violació de la política</t>
  </si>
  <si>
    <t>Verstoß gegen die Richtlinien</t>
  </si>
  <si>
    <t>Violation de politique</t>
  </si>
  <si>
    <t>Violación da política</t>
  </si>
  <si>
    <t>Irányelv megsértése</t>
  </si>
  <si>
    <t>Violazione della policy</t>
  </si>
  <si>
    <t>ポリシー違反</t>
  </si>
  <si>
    <t>정책 위반</t>
  </si>
  <si>
    <t>Beleidsschending</t>
  </si>
  <si>
    <t>Naruszenie zasad</t>
  </si>
  <si>
    <t>Нарушение правил</t>
  </si>
  <si>
    <t>Нарушавање полисе</t>
  </si>
  <si>
    <t>Kränkning av policy</t>
  </si>
  <si>
    <t>Порушення політики</t>
  </si>
  <si>
    <t>Vi phạm chính sách</t>
  </si>
  <si>
    <t>違反政策</t>
  </si>
  <si>
    <t>account_status_regis_fail</t>
  </si>
  <si>
    <t>Registration failed</t>
  </si>
  <si>
    <t>فشل تسجيل الحساب</t>
  </si>
  <si>
    <t>Неуспешна регистрация</t>
  </si>
  <si>
    <t>El registre ha fallat</t>
  </si>
  <si>
    <t>Registrierung fehlgeschlagen</t>
  </si>
  <si>
    <t>Error en el registro</t>
  </si>
  <si>
    <t>Échec de l\'enregistrement</t>
  </si>
  <si>
    <t>Erro no rexistro</t>
  </si>
  <si>
    <t>Regisztráció nem sikerült</t>
  </si>
  <si>
    <t>Registrasi gagal</t>
  </si>
  <si>
    <t>Registrazione fallita</t>
  </si>
  <si>
    <t>登録に失敗しました</t>
  </si>
  <si>
    <t>등록 실패</t>
  </si>
  <si>
    <t>Registratie mislukt</t>
  </si>
  <si>
    <t>Błąd rejestracji</t>
  </si>
  <si>
    <t>O registo falhou</t>
  </si>
  <si>
    <t>Регистрация не удалась</t>
  </si>
  <si>
    <t>Registrácia zlyhala</t>
  </si>
  <si>
    <t>Регистрација није успела</t>
  </si>
  <si>
    <t>Registreringsfel</t>
  </si>
  <si>
    <t>Не вдалося зареєструватися</t>
  </si>
  <si>
    <t>Đăng ký thất bại</t>
  </si>
  <si>
    <t>註冊失敗</t>
  </si>
  <si>
    <t>tt_dividend_yield</t>
  </si>
  <si>
    <t>Dividend Yield</t>
  </si>
  <si>
    <t>العائد الربحي</t>
  </si>
  <si>
    <t>Доход от дивидент</t>
  </si>
  <si>
    <t>Výnos z dividend</t>
  </si>
  <si>
    <t>Udbytteprocent</t>
  </si>
  <si>
    <t>Dividendenrend.</t>
  </si>
  <si>
    <t>Μερισματική απόδοση</t>
  </si>
  <si>
    <t>Rentabilidad por dividendo</t>
  </si>
  <si>
    <t>Osinkotuotto</t>
  </si>
  <si>
    <t>Rendement des dividendes</t>
  </si>
  <si>
    <t>लाभांश लाभ</t>
  </si>
  <si>
    <t>Osztalékhozam</t>
  </si>
  <si>
    <t>Hasil Dividen</t>
  </si>
  <si>
    <t>Rendimento del dividendo</t>
  </si>
  <si>
    <t>תשואת דיבידנד</t>
  </si>
  <si>
    <t>配当利回り</t>
  </si>
  <si>
    <t>배당수익성</t>
  </si>
  <si>
    <t>Dividend rendement</t>
  </si>
  <si>
    <t>Utbytteavkastning</t>
  </si>
  <si>
    <t>Wskaźnik dywidendy</t>
  </si>
  <si>
    <t>Retorno de dividendo</t>
  </si>
  <si>
    <t>Randament din Dividende</t>
  </si>
  <si>
    <t>Дивидендный доход</t>
  </si>
  <si>
    <t>Dobitek dividende</t>
  </si>
  <si>
    <t>Prinos od dividende</t>
  </si>
  <si>
    <t>Utdelningsavkastning</t>
  </si>
  <si>
    <t>อัตราส่วนเงินปันผลตอบแทน</t>
  </si>
  <si>
    <t>Temettü verimi</t>
  </si>
  <si>
    <t>Lợi tức cổ tức</t>
  </si>
  <si>
    <t>股息收益率</t>
  </si>
  <si>
    <t>&gt;股息收益率</t>
  </si>
  <si>
    <t>mtm_connect_anyway</t>
  </si>
  <si>
    <t>Do you want to connect anyway?</t>
  </si>
  <si>
    <t>بالرغم مِن ذلك هل تريد مواصلة الإتصال ؟</t>
  </si>
  <si>
    <t>Искате ли да се свържете въпреки това?</t>
  </si>
  <si>
    <t>Voleu connectar de totes maneres?</t>
  </si>
  <si>
    <t>Möchtest du trotzdem eine Verbindung herstellen?</t>
  </si>
  <si>
    <t>¿Quieres conectar de todas formas?</t>
  </si>
  <si>
    <t>Désirez-vous quand-même vous connecter ?</t>
  </si>
  <si>
    <t>Queres conectarte de todos os xeitos?</t>
  </si>
  <si>
    <t>Szeretnél akárhogyan is csatlakozni?</t>
  </si>
  <si>
    <t>Vuoi connetterti comunque?</t>
  </si>
  <si>
    <t>それでも接続を希望しますか?</t>
  </si>
  <si>
    <t>Wil je toch verbinding maken?</t>
  </si>
  <si>
    <t>Czy chcesz kontynuować połączenie?</t>
  </si>
  <si>
    <t>cancelled</t>
  </si>
  <si>
    <t>отказано</t>
  </si>
  <si>
    <t>abgebrochen</t>
  </si>
  <si>
    <t>cancelado</t>
  </si>
  <si>
    <t>Annulé</t>
  </si>
  <si>
    <t>cancelada</t>
  </si>
  <si>
    <t>visszavonva</t>
  </si>
  <si>
    <t>annullato</t>
  </si>
  <si>
    <t>geannuleerd</t>
  </si>
  <si>
    <t>anulowane</t>
  </si>
  <si>
    <t>none</t>
  </si>
  <si>
    <t>None</t>
  </si>
  <si>
    <t>لا شيء</t>
  </si>
  <si>
    <t>Нищо</t>
  </si>
  <si>
    <t>Cap</t>
  </si>
  <si>
    <t>Keine</t>
  </si>
  <si>
    <t>Ninguna</t>
  </si>
  <si>
    <t>Aucune</t>
  </si>
  <si>
    <t>Ningunha</t>
  </si>
  <si>
    <t>Semmi</t>
  </si>
  <si>
    <t>Tak satupun</t>
  </si>
  <si>
    <t>Nessuno</t>
  </si>
  <si>
    <t>なし</t>
  </si>
  <si>
    <t>없음</t>
  </si>
  <si>
    <t>Geen</t>
  </si>
  <si>
    <t>Brak</t>
  </si>
  <si>
    <t>Nenhum</t>
  </si>
  <si>
    <t>Нет</t>
  </si>
  <si>
    <t>Žiadny</t>
  </si>
  <si>
    <t>Ниједна</t>
  </si>
  <si>
    <t>Ingen</t>
  </si>
  <si>
    <t>Жодної</t>
  </si>
  <si>
    <t>Không có</t>
  </si>
  <si>
    <t>無</t>
  </si>
  <si>
    <t>tt_info_report_problem</t>
  </si>
  <si>
    <t>Report a problem</t>
  </si>
  <si>
    <t>الإبلاغ عن مشكلة</t>
  </si>
  <si>
    <t>Съобщаване за проблем</t>
  </si>
  <si>
    <t>Nahlásit problém</t>
  </si>
  <si>
    <t>Rapporter et problem</t>
  </si>
  <si>
    <t>ein Problem melden</t>
  </si>
  <si>
    <t>Αναφορά προβλήματος</t>
  </si>
  <si>
    <t>Reportar un problema</t>
  </si>
  <si>
    <t>Ilmoita ongelmasta</t>
  </si>
  <si>
    <t>Signaler un problème</t>
  </si>
  <si>
    <t>समस्या की रिपोर्ट करें</t>
  </si>
  <si>
    <t>Probléma riportálása</t>
  </si>
  <si>
    <t>Laporkan masalah</t>
  </si>
  <si>
    <t>Riporta un problema</t>
  </si>
  <si>
    <t>דווח על בעיה</t>
  </si>
  <si>
    <t>問題を報告する</t>
  </si>
  <si>
    <t>문제 신고</t>
  </si>
  <si>
    <t>Rapporteer een probleem</t>
  </si>
  <si>
    <t>Zgłoś problem</t>
  </si>
  <si>
    <t>Relatar um problema</t>
  </si>
  <si>
    <t>Raportează o problemă</t>
  </si>
  <si>
    <t>Сообщить о проблеме</t>
  </si>
  <si>
    <t>Nahlásiť problém</t>
  </si>
  <si>
    <t>Prijavite težavo</t>
  </si>
  <si>
    <t>Prijavi problem</t>
  </si>
  <si>
    <t>Rapportera ett problem</t>
  </si>
  <si>
    <t>แจ้งปัญหา</t>
  </si>
  <si>
    <t>Sorunu bildir</t>
  </si>
  <si>
    <t>Báo cáo sự cố</t>
  </si>
  <si>
    <t>回报问题</t>
  </si>
  <si>
    <t>&gt;回報問題</t>
  </si>
  <si>
    <t>tt_silver</t>
  </si>
  <si>
    <t>Silver</t>
  </si>
  <si>
    <t>فضة</t>
  </si>
  <si>
    <t>Сребро</t>
  </si>
  <si>
    <t>Stříbro</t>
  </si>
  <si>
    <t>Sølv</t>
  </si>
  <si>
    <t>Silber</t>
  </si>
  <si>
    <t>Ασήμι</t>
  </si>
  <si>
    <t>Plata</t>
  </si>
  <si>
    <t>Hopea</t>
  </si>
  <si>
    <t>Argent</t>
  </si>
  <si>
    <t>चांदी</t>
  </si>
  <si>
    <t>Ezüst</t>
  </si>
  <si>
    <t>Perak</t>
  </si>
  <si>
    <t>Argento</t>
  </si>
  <si>
    <t>כסף</t>
  </si>
  <si>
    <t>銀</t>
  </si>
  <si>
    <t>은</t>
  </si>
  <si>
    <t>Zilver</t>
  </si>
  <si>
    <t>Srebro</t>
  </si>
  <si>
    <t>Prata</t>
  </si>
  <si>
    <t>Argint</t>
  </si>
  <si>
    <t>Серебро</t>
  </si>
  <si>
    <t>Striebro</t>
  </si>
  <si>
    <t>เงิน</t>
  </si>
  <si>
    <t>Gümüş</t>
  </si>
  <si>
    <t>Bạc</t>
  </si>
  <si>
    <t>银</t>
  </si>
  <si>
    <t>&gt;銀</t>
  </si>
  <si>
    <t>error_message_copied_to_clipboard</t>
  </si>
  <si>
    <t>Copied error message to clipboard</t>
  </si>
  <si>
    <t>Съобщението за грешка е копирано</t>
  </si>
  <si>
    <t>Missatge d\'error copiat al portapapers</t>
  </si>
  <si>
    <t>Fehlermeldung in die Zwischenablage kopiert</t>
  </si>
  <si>
    <t>Mensaje de error copiado al portapapeles</t>
  </si>
  <si>
    <t>Message d\'erreur copié dans le presse-papiers</t>
  </si>
  <si>
    <t>Mensaxe do fallo copiado ao portapapeis</t>
  </si>
  <si>
    <t>A hibaüzenetet a vágólapra másoltuk</t>
  </si>
  <si>
    <t>Messaggio di errore copiato negli appunti</t>
  </si>
  <si>
    <t>Foutmelding gekopieerd naar klembord</t>
  </si>
  <si>
    <t>Skopiowano komunikat błędu do schowka</t>
  </si>
  <si>
    <t>authenticate_with_certificate</t>
  </si>
  <si>
    <t>Leave empty to authenticate w/ certificate</t>
  </si>
  <si>
    <t>أتركه فارغًا القيام بالمصادقة عبر شهادة</t>
  </si>
  <si>
    <t>Оставете празно за удостоверяване със сертификат</t>
  </si>
  <si>
    <t>Deixeu-lo en blanc per autenticar amb w/ certificat</t>
  </si>
  <si>
    <t>Leer lassen, um mit Zertifikat anzumelden</t>
  </si>
  <si>
    <t>Dejar vacío para autenticar certificado w/</t>
  </si>
  <si>
    <t>Laisser vide pour s\'identifier avec un certificat</t>
  </si>
  <si>
    <t>Deixar baldeiro autenticar con certificado</t>
  </si>
  <si>
    <t>Hagyja üresen tanúsítvánnyal hitelesítéshez</t>
  </si>
  <si>
    <t>Lasciare vuoto per autenticarsi con certificato</t>
  </si>
  <si>
    <t>空にすると、証明書で認証します</t>
  </si>
  <si>
    <t>공란으로 두면 인증서로 인증합니다</t>
  </si>
  <si>
    <t>Laat leeg om te authenticeren met certificaat</t>
  </si>
  <si>
    <t>Pozostaw puste by autoryzować za pomocą certyfikatu</t>
  </si>
  <si>
    <t>Deixar vazio para autenticar com certificado</t>
  </si>
  <si>
    <t>Оставить пустым для входа с сертификатом</t>
  </si>
  <si>
    <t>Оставите празно за аутентификацију сертификатом</t>
  </si>
  <si>
    <t>Lämna tom för att för att logga in med certifikat</t>
  </si>
  <si>
    <t>Залиште порожнім, щоб авторизувати без сертифіката</t>
  </si>
  <si>
    <t>Bỏ trống để xác minh với chứng nhận</t>
  </si>
  <si>
    <t>留空以認證 w/ 證書</t>
  </si>
  <si>
    <t>removing_from_public_conference</t>
  </si>
  <si>
    <t>You are trying to remove %s from a public group chat. The only way to do that is to ban that user for ever.</t>
  </si>
  <si>
    <t>Опитвате се да премахнете %s от публичен групов разговор. Единственият начин да направите това е да забраните достъпа на този потребител завинаги.</t>
  </si>
  <si>
    <t>Esteu intentant eliminar %s d\'un xat de grup públic. L\'única manera de fer-ho és prohibir l\'usuari per sempre.</t>
  </si>
  <si>
    <t>Du versuchst %s aus einem öffentlichen Gruppenchat zu entfernen. Die einzige Möglichkeit, dies dauerhaft zu tun, ist den Kontakt von diesem Gruppenchat auszuschließen.</t>
  </si>
  <si>
    <t>Estás intentando expulsar a %s de una conversación en grupo de acceso público. La única forma de hacer esto es prohibir su entrada para siempre.</t>
  </si>
  <si>
    <t>Vous essayez d\'exclure %s d\'une conversation de groupe publique. La seule façon de faire cela est de bannir cet utilisateur à jamais.</t>
  </si>
  <si>
    <t>Está intentando eliminar a %s dunha conversa en grupo pública. O único xeito de facelo é prohibir ese usuario para sempre.</t>
  </si>
  <si>
    <t>Ön megpróbálta eltávolítani %s nevű tagot a nyilvános konferenciából. Az egyetlen módja ennek, hogy tiltja a felhasználót örökre.</t>
  </si>
  <si>
    <t>Stai cercando di rimuovere %s da una chat di gruppo pubblica. L\'unico modo per farlo è bandire per sempre quell\'utente.</t>
  </si>
  <si>
    <t>Je probeert %s te verwijderen uit een publiek groepsgesprek. De enige manier om dat te doen is door hem/haar voorgoed te verbannen.</t>
  </si>
  <si>
    <t>Próbujesz usunąć %s z publicznego pokoju. Jedyne co można zrobić to zbanować użytkownika na stałe.</t>
  </si>
  <si>
    <t>Está a tentar remover %s da conversa de grupo. A única maneira de fazer isso é banir esse utilizador para sempre.</t>
  </si>
  <si>
    <t>Вы пытаетесь заблокировать %s из публичной конференции. Единственный способ — это запретить доступ этому пользователю навсегда.</t>
  </si>
  <si>
    <t>Halka açık bir grup sohbetinden% S\'yi çıkarmaya çalışıyorsunuz. Bunu yapmanın tek yolu, bu kullanıcının sonsuza dek yasaklamaktır.</t>
  </si>
  <si>
    <t>armenia</t>
  </si>
  <si>
    <t>Armenia</t>
  </si>
  <si>
    <t>Armenien</t>
  </si>
  <si>
    <t>Arménie</t>
  </si>
  <si>
    <t>Армения</t>
  </si>
  <si>
    <t>Jermenija</t>
  </si>
  <si>
    <t>choose_symbols_in_second_line</t>
  </si>
  <si>
    <t>Choose symbols in second line</t>
  </si>
  <si>
    <t>اختر الرموز في الصف الثاني</t>
  </si>
  <si>
    <t>Изберете символи във втория ред</t>
  </si>
  <si>
    <t>Vyberte symboly na druhém řádku</t>
  </si>
  <si>
    <t>Vælg symboler i anden linje</t>
  </si>
  <si>
    <t>Symbole für zweite Zeile auswählen</t>
  </si>
  <si>
    <t>Επιλέξτε σύμβολα στη δεύτερη γραμμή</t>
  </si>
  <si>
    <t>Elegir símbolos en segunda línea</t>
  </si>
  <si>
    <t>Valitse symbolit toiselle riville</t>
  </si>
  <si>
    <t>choisir les symboles dans la deuxième ligne</t>
  </si>
  <si>
    <t>दूसरी पंक्ति में प्रतीक का चयन करें</t>
  </si>
  <si>
    <t>válasszon szimbólumot a második sorban</t>
  </si>
  <si>
    <t>Pilih simbol di baris kedua</t>
  </si>
  <si>
    <t>Scegli i simboli nella seconda riga</t>
  </si>
  <si>
    <t>בחר סמלים בשורה השנייה</t>
  </si>
  <si>
    <t>2行目のシンボルを選択する</t>
  </si>
  <si>
    <t>두 번째 줄에서 기호 선택</t>
  </si>
  <si>
    <t>kies symbolen uit in de 2e lijn</t>
  </si>
  <si>
    <t>Velg symboler på andre linje</t>
  </si>
  <si>
    <t>Wybierz symbole z drugiej linii</t>
  </si>
  <si>
    <t>Escolha símbolos na segunda linha</t>
  </si>
  <si>
    <t>Alege simbolurile din a doua linie</t>
  </si>
  <si>
    <t>Выберите символы из второй строки</t>
  </si>
  <si>
    <t>Vyberte symboly v druhom riadku</t>
  </si>
  <si>
    <t>V drugi vrstici izberite simbole</t>
  </si>
  <si>
    <t>Izaberi simbole za drugu liniju</t>
  </si>
  <si>
    <t>Välj symboler på andra raden</t>
  </si>
  <si>
    <t>เลือกชื่อย่อหลักทรัพย์ในแถวที่ 2</t>
  </si>
  <si>
    <t>İkinci satırda sembol seçin</t>
  </si>
  <si>
    <t>Chọn công cụ trong dòng thứ hai</t>
  </si>
  <si>
    <t>选择二线股</t>
  </si>
  <si>
    <t>tt_distance_to_strike_price</t>
  </si>
  <si>
    <t>Distance to strikeprice</t>
  </si>
  <si>
    <t>المسافة إلى سعر الممارسة</t>
  </si>
  <si>
    <t>Разстояние до strikeprice</t>
  </si>
  <si>
    <t xml:space="preserve">Vzdálenost k transakční ceně </t>
  </si>
  <si>
    <t>Afstand til strikepris</t>
  </si>
  <si>
    <t>Abstand basispreis</t>
  </si>
  <si>
    <t>Απόσταση έως την τιμή εξάσκησης</t>
  </si>
  <si>
    <t>Distancia al precio de ejercicio</t>
  </si>
  <si>
    <t>Etäisyys toteutushintaan</t>
  </si>
  <si>
    <t>Distance jusqu\'au prix d\'exercice</t>
  </si>
  <si>
    <t>स्ट्राइकप्राइस से दूरी</t>
  </si>
  <si>
    <t>Távolság a kiütési árhoz</t>
  </si>
  <si>
    <t>Jarak ke harga strike</t>
  </si>
  <si>
    <t>Distanza a Prezzo d\'esercizio</t>
  </si>
  <si>
    <t>מרחק למחיר מימוש</t>
  </si>
  <si>
    <t>ディスタンスストライクプライス</t>
  </si>
  <si>
    <t>기준가격까지 거리</t>
  </si>
  <si>
    <t>Jarak ke harga laksana</t>
  </si>
  <si>
    <t>Afstand tot strikeprice</t>
  </si>
  <si>
    <t>Avstand til innløsingskurs</t>
  </si>
  <si>
    <t>Odległość od ceny wykonania</t>
  </si>
  <si>
    <t>Distância para strikeprice</t>
  </si>
  <si>
    <t>Distanța până la prețul de exercitare a opțiunii</t>
  </si>
  <si>
    <t>Расстояние до цены</t>
  </si>
  <si>
    <t>Vzdialenosť k realizačnej cene</t>
  </si>
  <si>
    <t>Razdalja do stavke</t>
  </si>
  <si>
    <t>Razlika do strikeprice</t>
  </si>
  <si>
    <t>Tidsavstånd till lösenpris</t>
  </si>
  <si>
    <t>ระยะห่างจากราคาใช้สิทธิ</t>
  </si>
  <si>
    <t>İşlem fiyatına kalan uzaklık</t>
  </si>
  <si>
    <t>Khoảng cách đến giá thực hiện</t>
  </si>
  <si>
    <t>行使价的距离</t>
  </si>
  <si>
    <t>please_enter_pin</t>
  </si>
  <si>
    <t>Please enter your 6 digit pin.</t>
  </si>
  <si>
    <t>Моля, въведете 6-цифрения си код.</t>
  </si>
  <si>
    <t>Gib bitte deine 6-stellige PIN ein.</t>
  </si>
  <si>
    <t>Por favor, introduce tu código de 6 dígitos.</t>
  </si>
  <si>
    <t>Por favor, introduza o pin de 6 díxitos.</t>
  </si>
  <si>
    <t>Kérjük adja meg a 6 számjegyű PIN-t.</t>
  </si>
  <si>
    <t>Inserisci il pin di 6 cifre.</t>
  </si>
  <si>
    <t>Voer je 6-cijferige code in.</t>
  </si>
  <si>
    <t>Proszę wpisać 6-cyfrowy PIN.</t>
  </si>
  <si>
    <t>Lütfen 6 haneli PIN\'inizi girin.</t>
  </si>
  <si>
    <t>forgot_password_text</t>
  </si>
  <si>
    <t>In order to reset your password you need to provide your e-mail address and we will send you e-mail with further instructions.</t>
  </si>
  <si>
    <t>من اجل تغيير كلمة المرور يجب عليك تزويدنا بالبريد الالكتروني الخاص بك ونحن سنقوم بارسال ايميل لك بخطوات إضافية</t>
  </si>
  <si>
    <t>За да нулирате паролата си, трябва да предоставите своя имейл адрес и ние ще ви изпратим имейл с допълнителни инструкции.</t>
  </si>
  <si>
    <t>Abyste mohli resetovat své heslo, musíte zadat svou e-mailovou adresu a my Vám zašleme e-mail s dalšími pokyny.</t>
  </si>
  <si>
    <t>For at nulstille din adgangskode skal du angive din e-mail, og vi sender dig e-mail med yderligere instruktioner.</t>
  </si>
  <si>
    <t>Bitte geben Sie Ihre E-Mail-Adresse an um Ihr Passwort zurückzusenden. Wir senden Ihnen ein E-Mail mit weiteren Informationen.</t>
  </si>
  <si>
    <t>Για να επαναφέρετε τον κωδικό πρόσβασής σας, πρέπει να παρέχετε τη διεύθυνση e-mail σας και θα σας στείλουμε περαιτέρω οδηγίες μέσω e-mail.</t>
  </si>
  <si>
    <t>Para restablecer su contraseña, tiene que escribir la dirección de su correo electrónico y le enviaremos más instrucciones.</t>
  </si>
  <si>
    <t>Palauttaaksesi salasanasi sinun on annettava sähköpostiosoitteesi, niin lähetämme sinulle sähköpostitse lisäohjeet.</t>
  </si>
  <si>
    <t>Vous devez indiquer votre adresse e-mail pour réinitialiser votre mot de passe. Elle vous permettra de recevoir de plus amples instructions.</t>
  </si>
  <si>
    <t>अपना पासवर्ड रीसेट करने के लिए आपको अपना ई-मेल पता देना होगा और हम आपको आगे के निर्देशों वाला ई-मेल भेजेंगे।</t>
  </si>
  <si>
    <t>A jelszó megváltoztatásához meg kell adnia az e-mail címét és kérnénk az Önnek küldött email alapján beállítani az új jelszót.</t>
  </si>
  <si>
    <t>Untuk mengatur ulang kata sandi Anda, Anda perlu memberikan alamat e-mail Anda dan kami akan mengirimi Anda e-mail dengan instruksi lebih lanjut.</t>
  </si>
  <si>
    <t>Per resettare la tua password devi fornire il tuo indirizzo e-mail e ti invieremo un\'e-mail con ulteriori istruzioni.</t>
  </si>
  <si>
    <t>כדי לאפס את הסיסמה שלך, עליך לספק את כתובת הדוא"ל שלך ואנו נשלח לך דוא"ל עם הוראות נוספות.</t>
  </si>
  <si>
    <t>パスワードをリセットするには、電子メールアドレスをお知らせください。追加の指示を記載した電子メールをお送りします。</t>
  </si>
  <si>
    <t>비밀번호를 리셋하시려면 자세한 안내를 받으실 이메일 주소를 제공하셔야 합니다.</t>
  </si>
  <si>
    <t>Untuk menetapkan semula kata laluan anda, anda perlu memberikan alamat e-mel anda dan kami akan menghantar e-mel kepada anda dengan arahan selanjutnya.</t>
  </si>
  <si>
    <t>Om uw wachtwoord opnieuw in te stellen, moet u uw e-mailadres opgeven en we zullen u een e-mail sturen met verdere instructies.</t>
  </si>
  <si>
    <t>Oppgi e-postadressen din for å tilbakestille passordet ditt, da sender vi deg e-post med ytterligere instruksjoner.</t>
  </si>
  <si>
    <t>W celu zresetowania hasła musisz podać swój adres e-mail na który wyślemy Ci wiadomość z dalszymy instrukcjami.</t>
  </si>
  <si>
    <t>Para redefinir a sua palavra-passe tem de fornecer o seu endereço de e-mail para onde lhe enviaremos mais informações.</t>
  </si>
  <si>
    <t>Pentru resetarea parolei, trebuie să furnizezi adresa de e-mail și îți vom trimite un email cu instrucțiuni suplimentare.</t>
  </si>
  <si>
    <t>Чтобы сбросить пароль, вам необходимо указать свой адрес электронной почты, и мы отправим вам электронное письмо с дальнейшими инструкциями.</t>
  </si>
  <si>
    <t>Na obnovenie hesla musíte zadať svoju e-mailovú adresu a my vám pošleme e-mail s ďalšími pokynmi.</t>
  </si>
  <si>
    <t>Če želite ponastaviti geslo, morate navesti svoj e-poštni naslov in poslali vam bomo e-pošto z nadaljnjimi navodili.</t>
  </si>
  <si>
    <t>da bi ste resetovali lozinku, morate ukucatu Vašu email adresu i mi ćemo poslati email sa daljim instrukcijama.</t>
  </si>
  <si>
    <t>För att återställa ditt lösenord måste du ange din e-postadress så skickar vi e-post med ytterligare instruktioner.</t>
  </si>
  <si>
    <t>คุณจำเป็นต้องป้อนอีเมลเพื่อที่เราจะได้ส่งรายละเอียดคำแนะนำในการตั้งค่ารหัสผ่านใหม่</t>
  </si>
  <si>
    <t>Parolanızı sıfırlamak için e-posta adresinizi girmelisiniz. Size daha fazla talimat içeren bir e-posta göndereceğiz.</t>
  </si>
  <si>
    <t>Để đặt lại mật khẩu, bạn cần cung cấp địa chỉ email và chúng tôi sẽ gửi email cho bạn với các hướng dẫn bổ sung.</t>
  </si>
  <si>
    <t>为了重置您的密码，请向我们提供您的邮件地址， 然后我们向您发送进一步的指示说明</t>
  </si>
  <si>
    <t>registering_account</t>
  </si>
  <si>
    <t>Registering account ...</t>
  </si>
  <si>
    <t>Registrazione dell\'account ...</t>
  </si>
  <si>
    <t>tt_ind_parabolic_stop_and_reversal_short</t>
  </si>
  <si>
    <t>Parabolic Stop and Reversal</t>
  </si>
  <si>
    <t>وقف مكافئ وعكسي</t>
  </si>
  <si>
    <t>Параболично спиране и обръщане</t>
  </si>
  <si>
    <t>Parabolické zastavení a zvrat</t>
  </si>
  <si>
    <t>Parabolsk stop og tilbageføring</t>
  </si>
  <si>
    <t>Παραβολική διακοπή και αναστροφή</t>
  </si>
  <si>
    <t>Parabolinen pysäytys ja käänteinen kauppa</t>
  </si>
  <si>
    <t>पैराबोलिक स्टॉप और रिवर्सल</t>
  </si>
  <si>
    <t>Berhenti dan pembalikan Parabolik</t>
  </si>
  <si>
    <t>עצירה והיפוך פרבולית</t>
  </si>
  <si>
    <t>パラボリック</t>
  </si>
  <si>
    <t>파라볼릭 SAR</t>
  </si>
  <si>
    <t>Hentian dan Pengunduran Parabolik</t>
  </si>
  <si>
    <t>Parabolsk stopp og tilbakeføring</t>
  </si>
  <si>
    <t>Zatrzymanie i odwrócenie paraboliczne</t>
  </si>
  <si>
    <t>Oprire și Inversare Parabolică</t>
  </si>
  <si>
    <t>Параболическая система времени/цены</t>
  </si>
  <si>
    <t>Parabolické zastavenie a naopak</t>
  </si>
  <si>
    <t>Parabolični postanek in preobrat</t>
  </si>
  <si>
    <t>Paraboliskt stopp och reversering</t>
  </si>
  <si>
    <t>Parabolic SaR</t>
  </si>
  <si>
    <t>Parabolik Durdurma ve Tersine Döndürme</t>
  </si>
  <si>
    <t>Dừng và đảo chiều parabol</t>
  </si>
  <si>
    <t>拋物线止损和反转</t>
  </si>
  <si>
    <t>&gt;拋物線止損和反轉</t>
  </si>
  <si>
    <t>do_you_like_stockmartkets</t>
  </si>
  <si>
    <t>Do you like StockMarkets?</t>
  </si>
  <si>
    <t>هل يعجبك تطبيق StockMartkets؟</t>
  </si>
  <si>
    <t>Харесва ли ви StockMartkets?</t>
  </si>
  <si>
    <t>Líbí se Vám StockMartkets?</t>
  </si>
  <si>
    <t>Kan du lide StockMartkets?</t>
  </si>
  <si>
    <t>Gefällt Ihnen StockMarkets?</t>
  </si>
  <si>
    <t>Σας αρέσει το StockMartkets;</t>
  </si>
  <si>
    <t>¿Le gusta StockMarkets?</t>
  </si>
  <si>
    <t>Pidätkö StockMartketsista?</t>
  </si>
  <si>
    <t>Aimez-vous les marchés boursiers ?</t>
  </si>
  <si>
    <t>क्या आपको StockMartkets पसंद है?</t>
  </si>
  <si>
    <t>Kedveli a tőzsdét?</t>
  </si>
  <si>
    <t>Apakah Anda suka StockMartkets?</t>
  </si>
  <si>
    <t>Ti piace il StockMarkets?</t>
  </si>
  <si>
    <t>האם אתה אוהב StockMartkets?</t>
  </si>
  <si>
    <t>株取引はお好きですか？</t>
  </si>
  <si>
    <t>StockMarkets가 마음에 드시나요?</t>
  </si>
  <si>
    <t>Adakah Awak suka StockMarket?</t>
  </si>
  <si>
    <t>Bevalt U de app StockMarkets?</t>
  </si>
  <si>
    <t>Liker du StockMarkets?</t>
  </si>
  <si>
    <t>Czy lubisz rynki akcji ?</t>
  </si>
  <si>
    <t>Gosta da StockMartkets?</t>
  </si>
  <si>
    <t>Îți place PiețeBursiere?</t>
  </si>
  <si>
    <t>Вам нравится StockMarkets?</t>
  </si>
  <si>
    <t>Páči sa vám aplikácia StockMartkets?</t>
  </si>
  <si>
    <t>Vam je všeč aplikacija StockMartkets?</t>
  </si>
  <si>
    <t>Da li Vam se sviđa aplikacija StockMarkets?</t>
  </si>
  <si>
    <t>Gillar du StockMarkets?</t>
  </si>
  <si>
    <t>รู้สึกชอบแอป StockMartkets ไหม?</t>
  </si>
  <si>
    <t>StockMartkets uygulamasını sevdiniz mi?</t>
  </si>
  <si>
    <t>Bạn có thích ứng dụng TTCK không?</t>
  </si>
  <si>
    <t>你喜欢 StockMarkets 吗？</t>
  </si>
  <si>
    <t>done</t>
  </si>
  <si>
    <t>Done</t>
  </si>
  <si>
    <t>تم</t>
  </si>
  <si>
    <t>Готово</t>
  </si>
  <si>
    <t>Fet</t>
  </si>
  <si>
    <t>Fertig</t>
  </si>
  <si>
    <t>Hecho</t>
  </si>
  <si>
    <t>Terminé</t>
  </si>
  <si>
    <t>Feito</t>
  </si>
  <si>
    <t>Kész</t>
  </si>
  <si>
    <t>Selesai</t>
  </si>
  <si>
    <t>Fatto</t>
  </si>
  <si>
    <t>完了</t>
  </si>
  <si>
    <t>완료</t>
  </si>
  <si>
    <t>Klaar</t>
  </si>
  <si>
    <t>Ukończono</t>
  </si>
  <si>
    <t>Concluído</t>
  </si>
  <si>
    <t>Dokončený</t>
  </si>
  <si>
    <t>Klar</t>
  </si>
  <si>
    <t>Зроблено</t>
  </si>
  <si>
    <t>Xong</t>
  </si>
  <si>
    <t>完成</t>
  </si>
  <si>
    <t>chat_image_description</t>
  </si>
  <si>
    <t>Chat image.</t>
  </si>
  <si>
    <t>Chat-Bild.</t>
  </si>
  <si>
    <t>Imagen de chat.</t>
  </si>
  <si>
    <t>Image de chat.</t>
  </si>
  <si>
    <t>Cset kép.</t>
  </si>
  <si>
    <t>Отправить изображение через чат.</t>
  </si>
  <si>
    <t>Čet slika.</t>
  </si>
  <si>
    <t>chart</t>
  </si>
  <si>
    <t>manage_templates</t>
  </si>
  <si>
    <t>Manage templates</t>
  </si>
  <si>
    <t>إدارة القوالب</t>
  </si>
  <si>
    <t>Управление на шаблони</t>
  </si>
  <si>
    <t>Správa šablon</t>
  </si>
  <si>
    <t>Administrer skabeloner</t>
  </si>
  <si>
    <t>Vorlagen verwalten</t>
  </si>
  <si>
    <t>Διαχείριση προτύπων</t>
  </si>
  <si>
    <t>Administrar plantillas</t>
  </si>
  <si>
    <t>Hallitse malleja</t>
  </si>
  <si>
    <t>Gérer les gabarits</t>
  </si>
  <si>
    <t>टेम्प्लेट्स को प्रबंधित करें</t>
  </si>
  <si>
    <t>Sablon kezelése</t>
  </si>
  <si>
    <t>Kelola template</t>
  </si>
  <si>
    <t>Gestisci modelli</t>
  </si>
  <si>
    <t>נהל תבניות</t>
  </si>
  <si>
    <t>テンプレートを管理</t>
  </si>
  <si>
    <t>템플릿 관리</t>
  </si>
  <si>
    <t>Uruskan templat</t>
  </si>
  <si>
    <t>Sjablonen beheren</t>
  </si>
  <si>
    <t>Administrer maler</t>
  </si>
  <si>
    <t>Zarządzaj szablonami</t>
  </si>
  <si>
    <t>Gerir modelos</t>
  </si>
  <si>
    <t>Gestionează șabloanele</t>
  </si>
  <si>
    <t>Управление шаблонами</t>
  </si>
  <si>
    <t>Spravovať šablóny</t>
  </si>
  <si>
    <t>Upravljajte predlogo</t>
  </si>
  <si>
    <t>Upravljanje predlošcima</t>
  </si>
  <si>
    <t>Hantera mallar</t>
  </si>
  <si>
    <t>จัดการเท็มเพล็ต</t>
  </si>
  <si>
    <t>Şablonları yönet</t>
  </si>
  <si>
    <t>Quản lý mẫu</t>
  </si>
  <si>
    <t>管理模板</t>
  </si>
  <si>
    <t>action_delete_contact</t>
  </si>
  <si>
    <t>Delete from roster</t>
  </si>
  <si>
    <t>حذف من الإضافات</t>
  </si>
  <si>
    <t>Изтриване от списъка</t>
  </si>
  <si>
    <t>Elimina de la llista de contactes</t>
  </si>
  <si>
    <t>Aus Kontaktliste entfernen</t>
  </si>
  <si>
    <t>Eliminar contacto de la lista</t>
  </si>
  <si>
    <t>Retirer des contacts</t>
  </si>
  <si>
    <t>Eliminar contacto da lista</t>
  </si>
  <si>
    <t>Névsorból törlés</t>
  </si>
  <si>
    <t>Hapus dari roster</t>
  </si>
  <si>
    <t>Cancella dalla lista</t>
  </si>
  <si>
    <t>名簿から削除</t>
  </si>
  <si>
    <t>명단에서 삭제</t>
  </si>
  <si>
    <t>Verwijderen uit lijst</t>
  </si>
  <si>
    <t>Usuń z rostera</t>
  </si>
  <si>
    <t>Apagar da lista</t>
  </si>
  <si>
    <t>Удалить из списка</t>
  </si>
  <si>
    <t>Vymazať zo zoznamu</t>
  </si>
  <si>
    <t>Обриши са списка контаката</t>
  </si>
  <si>
    <t>Ta bort kontakt</t>
  </si>
  <si>
    <t>Видалити зі списку розмов</t>
  </si>
  <si>
    <t>Xoá khỏi danh sách bạn bè</t>
  </si>
  <si>
    <t>從列表中刪除</t>
  </si>
  <si>
    <t>philippines</t>
  </si>
  <si>
    <t>Philippines</t>
  </si>
  <si>
    <t>Philippinen</t>
  </si>
  <si>
    <t>Filipinas</t>
  </si>
  <si>
    <t>Филиппины</t>
  </si>
  <si>
    <t>Filipini</t>
  </si>
  <si>
    <t>add_contact</t>
  </si>
  <si>
    <t>Add contact</t>
  </si>
  <si>
    <t>اضافة جهة اتصال</t>
  </si>
  <si>
    <t>Добавяне на контакт</t>
  </si>
  <si>
    <t>Afegeix un contacte</t>
  </si>
  <si>
    <t>Kontakt hinzufügen</t>
  </si>
  <si>
    <t>Añadir contacto</t>
  </si>
  <si>
    <t>Ajouter un contact</t>
  </si>
  <si>
    <t>Engadir contacto</t>
  </si>
  <si>
    <t>Ismerős hozzáadása</t>
  </si>
  <si>
    <t>Tambah kontak</t>
  </si>
  <si>
    <t>Aggiungi contatto</t>
  </si>
  <si>
    <t>連絡先を追加</t>
  </si>
  <si>
    <t>연락처 추가</t>
  </si>
  <si>
    <t>Contact toevoegen</t>
  </si>
  <si>
    <t>Dodaj kontakt</t>
  </si>
  <si>
    <t>Adicionar contacto</t>
  </si>
  <si>
    <t>Добавить контакт</t>
  </si>
  <si>
    <t>Pridať kontakt</t>
  </si>
  <si>
    <t>Додај контакт</t>
  </si>
  <si>
    <t>Lägg till kontakt</t>
  </si>
  <si>
    <t>Додати контакт</t>
  </si>
  <si>
    <t>Thêm liên hệ</t>
  </si>
  <si>
    <t>添加連絡人</t>
  </si>
  <si>
    <t>tt_financials_dividendspershare</t>
  </si>
  <si>
    <t>Dividend per Share</t>
  </si>
  <si>
    <t>توزيعات الأرباح للسهم</t>
  </si>
  <si>
    <t>Дивидент на акция</t>
  </si>
  <si>
    <t>Dividenda na akcii</t>
  </si>
  <si>
    <t>Udbytte pr. Aktie</t>
  </si>
  <si>
    <t>Dividende je Aktie</t>
  </si>
  <si>
    <t>Μέρισμα ανά μετοχή</t>
  </si>
  <si>
    <t>Dividendo por acción</t>
  </si>
  <si>
    <t>Osinko/osake</t>
  </si>
  <si>
    <t>Dividende par action</t>
  </si>
  <si>
    <t>प्रति शेयर लाभांश</t>
  </si>
  <si>
    <t>Egy részvényre jutó osztalék</t>
  </si>
  <si>
    <t>Dividen setiap Saham</t>
  </si>
  <si>
    <t>Dividendo per azione</t>
  </si>
  <si>
    <t>דיבידנד למניה</t>
  </si>
  <si>
    <t>1株あたり配当</t>
  </si>
  <si>
    <t>주당 배당금</t>
  </si>
  <si>
    <t>Verdeeld per aandeel</t>
  </si>
  <si>
    <t>Utbytte per aksje</t>
  </si>
  <si>
    <t>Dywidenda na akcję</t>
  </si>
  <si>
    <t>Dividendo por ação</t>
  </si>
  <si>
    <t>Dividend per Acțiune</t>
  </si>
  <si>
    <t>Прибыль на акцию</t>
  </si>
  <si>
    <t>Dividenda na jednu akciu</t>
  </si>
  <si>
    <t>Dividend na delnico</t>
  </si>
  <si>
    <t>Dividenda po akciji</t>
  </si>
  <si>
    <t>Utdelning per aktie</t>
  </si>
  <si>
    <t>เงินปันผลต่อหุ้น</t>
  </si>
  <si>
    <t>Hisse başına temettü</t>
  </si>
  <si>
    <t>Cổ tức trên mỗi cổ phần</t>
  </si>
  <si>
    <t>每股股息</t>
  </si>
  <si>
    <t>&gt;每股股息</t>
  </si>
  <si>
    <t>configuration</t>
  </si>
  <si>
    <t>Configuration</t>
  </si>
  <si>
    <t>التكوين</t>
  </si>
  <si>
    <t>Конфигурация</t>
  </si>
  <si>
    <t>Konfigurace</t>
  </si>
  <si>
    <t>Konfiguration</t>
  </si>
  <si>
    <t>Διαμόρφωση</t>
  </si>
  <si>
    <t>Configuración</t>
  </si>
  <si>
    <t>Kokoonpano</t>
  </si>
  <si>
    <t>la configuration</t>
  </si>
  <si>
    <t>कॉन्फ़िगरेशन</t>
  </si>
  <si>
    <t>Beállítás</t>
  </si>
  <si>
    <t>Konfigurasi</t>
  </si>
  <si>
    <t>Configurazione</t>
  </si>
  <si>
    <t>תצורה</t>
  </si>
  <si>
    <t>構成</t>
  </si>
  <si>
    <t>구성</t>
  </si>
  <si>
    <t>configuratie</t>
  </si>
  <si>
    <t>Konfigurasjon</t>
  </si>
  <si>
    <t>Konfiguracja</t>
  </si>
  <si>
    <t>Configuração</t>
  </si>
  <si>
    <t>Configurație</t>
  </si>
  <si>
    <t>Konfigurácia</t>
  </si>
  <si>
    <t>Konfiguracija</t>
  </si>
  <si>
    <t>การปรับแต่ง</t>
  </si>
  <si>
    <t>Yapılandırma</t>
  </si>
  <si>
    <t>Cấu hình</t>
  </si>
  <si>
    <t>配置</t>
  </si>
  <si>
    <t>pref_expert_options</t>
  </si>
  <si>
    <t>Expert settings</t>
  </si>
  <si>
    <t>إعدادات متقدمة</t>
  </si>
  <si>
    <t>Експертни настройки</t>
  </si>
  <si>
    <t>Configuració d\'experts</t>
  </si>
  <si>
    <t>Experteneinstellungen</t>
  </si>
  <si>
    <t>Opciones para expertos</t>
  </si>
  <si>
    <t>Paramètres avancés</t>
  </si>
  <si>
    <t>Axustes de experto</t>
  </si>
  <si>
    <t>Haladó beállítások</t>
  </si>
  <si>
    <t>Impostazioni esperto</t>
  </si>
  <si>
    <t>エキスパート設定</t>
  </si>
  <si>
    <t>전문가 설정</t>
  </si>
  <si>
    <t>Instellingen voor experts</t>
  </si>
  <si>
    <t>Ustawienia zaawansowane</t>
  </si>
  <si>
    <t>Definições avançadas</t>
  </si>
  <si>
    <t>Расширенные настройки</t>
  </si>
  <si>
    <t>Поставке за стручњаке</t>
  </si>
  <si>
    <t>Expertinställningar</t>
  </si>
  <si>
    <t>Експертні налаштування</t>
  </si>
  <si>
    <t>高級設置</t>
  </si>
  <si>
    <t>password_reset</t>
  </si>
  <si>
    <t>Password has been reset. Please check your email.</t>
  </si>
  <si>
    <t>تمت إعادة تعيين كلمة المرور. يُرجى تفقد بريدك الإلكتروني.</t>
  </si>
  <si>
    <t>Паролата е нулирана. Моля, проверете електронната си поща.</t>
  </si>
  <si>
    <t>Heslo bylo resetováno. Podívejte se prosím do e-mailu.</t>
  </si>
  <si>
    <t>Adgangskoden er nulstillet. Tjek venligst din email.</t>
  </si>
  <si>
    <t>Das Passwort wurde zurückgesetzt. Sie haben ein E-Mail dazu erhalten.</t>
  </si>
  <si>
    <t>Έγινε επαναφορά του κωδικού πρόσβασης. Παρακαλούμε ελέγξτε το email σας.</t>
  </si>
  <si>
    <t>La contraseña ha sido reiniciada. Por favor revise su e-mail.</t>
  </si>
  <si>
    <t>Salasana on nollattu. Ole hyvä ja tarkista sähköpostisi.</t>
  </si>
  <si>
    <t>Votre mot de passe a été réinitialisé. SVP vérifier votre email.</t>
  </si>
  <si>
    <t>पासवर्ड रीसेट कर दिया गया है। कृपया अपने ईमेल की जाँच करें।</t>
  </si>
  <si>
    <t>Jelszavát beállítottuk. Kérjük ellenőrizze az emialjét.</t>
  </si>
  <si>
    <t>Setel ulang kata sandi. Silahkan periksa email anda.</t>
  </si>
  <si>
    <t>Password è stata reimpostata. Per favore controlla la posta.</t>
  </si>
  <si>
    <t>הסיסמה אופסה אנא בדוק את הדוא"ל שלך.</t>
  </si>
  <si>
    <t>パスワードがリセットされました。Eメールを確認してください。</t>
  </si>
  <si>
    <t>비밀번호가 초기화되었습니다. 이메일을 확인하세요.</t>
  </si>
  <si>
    <t>Kata laluan telah ditetapkan semula. Sila periksa e-mel anda.</t>
  </si>
  <si>
    <t>Wachtwoord is gereset. Controleer uw e-mail.</t>
  </si>
  <si>
    <t>Passordet er tilbakestilt. Sjekk e-posten din.</t>
  </si>
  <si>
    <t>Hasło zostało zresetowane. Sprawdź email.</t>
  </si>
  <si>
    <t>A palavra-passe foi redefinida. Por favor verifique o seu email.</t>
  </si>
  <si>
    <t>Parola a fost resetată. Verifică-ți email-ul.</t>
  </si>
  <si>
    <t>Пароль восстановлен. Пожалуйста, проверьте свою эл. почту.</t>
  </si>
  <si>
    <t>Heslo bolo obnovené. Skontrolujte si email.</t>
  </si>
  <si>
    <t>Geslo je ponastavljeno. Prosim, preglejte svojo e-pošto.</t>
  </si>
  <si>
    <t>Lozinka je resetovana, proverite Vaš email.</t>
  </si>
  <si>
    <t>Lösenordet har återställts. Se din e-post.</t>
  </si>
  <si>
    <t>ตั้งรหัสผ่านใหม่เรียบร้อยแล้ว โปรดตรวจสอบอีเมล</t>
  </si>
  <si>
    <t>Şifre sıfırlandı. Lütfen e-postanızı kontrol edin.</t>
  </si>
  <si>
    <t>Mật khẩu đã được đặt lại. Vui lòng kiểm tra email của bạn.</t>
  </si>
  <si>
    <t>秘密被重置。请你查看邮箱。</t>
  </si>
  <si>
    <t>no_camera_permission</t>
  </si>
  <si>
    <t>Conversations needs access to the camera</t>
  </si>
  <si>
    <t>إنّ تطبيق المحادثات Conversations بحاجة إلى النفاذ إلى آلة التصوير</t>
  </si>
  <si>
    <t>Conversations се нуждае от достъп до камерата</t>
  </si>
  <si>
    <t>Conversations necessita accés a la càmera</t>
  </si>
  <si>
    <t>Conversations benötigt Zugriff auf die Kamera</t>
  </si>
  <si>
    <t>Conversations necesita acceder a la cámara</t>
  </si>
  <si>
    <t>Conversations a besoin d\'accéder à l\'appareil photo</t>
  </si>
  <si>
    <t>Conversations necesita acceso á cámara</t>
  </si>
  <si>
    <t>A Conversations-nek hozzáférésre lenne szüksége a kamerához</t>
  </si>
  <si>
    <t>Conversations ha bisogno di accedere alla fotocamera</t>
  </si>
  <si>
    <t>Conversations heeft toegang nodig tot de camera</t>
  </si>
  <si>
    <t>Conversations potrzebuje dostępu do aparatu</t>
  </si>
  <si>
    <t>Conversations necessita de acesso à câmara</t>
  </si>
  <si>
    <t>Conversations требуется доступ к камере</t>
  </si>
  <si>
    <t>fontsize_medium_txt</t>
  </si>
  <si>
    <t>Medium</t>
  </si>
  <si>
    <t>متوسط</t>
  </si>
  <si>
    <t>Среда</t>
  </si>
  <si>
    <t>Střední</t>
  </si>
  <si>
    <t>Mittel</t>
  </si>
  <si>
    <t>Μεσαίο</t>
  </si>
  <si>
    <t>Mediano</t>
  </si>
  <si>
    <t>Keskimääräinen</t>
  </si>
  <si>
    <t>moyen/ne</t>
  </si>
  <si>
    <t>मध्यम</t>
  </si>
  <si>
    <t>közepes</t>
  </si>
  <si>
    <t>Sederhana</t>
  </si>
  <si>
    <t>Medio</t>
  </si>
  <si>
    <t>בינוני</t>
  </si>
  <si>
    <t>中</t>
  </si>
  <si>
    <t>중간</t>
  </si>
  <si>
    <t>gemiddeld</t>
  </si>
  <si>
    <t>Middels</t>
  </si>
  <si>
    <t>Średni</t>
  </si>
  <si>
    <t>Médio</t>
  </si>
  <si>
    <t>Mediu</t>
  </si>
  <si>
    <t>Средний</t>
  </si>
  <si>
    <t>Prostriedok</t>
  </si>
  <si>
    <t>Srednji</t>
  </si>
  <si>
    <t>กลาง</t>
  </si>
  <si>
    <t>Orta</t>
  </si>
  <si>
    <t>Trung bình</t>
  </si>
  <si>
    <t>中等</t>
  </si>
  <si>
    <t>aspic6</t>
  </si>
  <si>
    <t>Новини - Бъдете информирани с най-новите и бързи новини.</t>
  </si>
  <si>
    <t>Zprávy - Buďte informováni s nejnovějšími a nejrychlejšími zprávami.</t>
  </si>
  <si>
    <t>Nyheder - Hold dig informeret om de seneste og hurtigste nyheder.</t>
  </si>
  <si>
    <t>Νέα - Μείνετε ενημερωμένοι με τα πιο πρόσφατα και ταχύτερα νέα.</t>
  </si>
  <si>
    <t>Uutiset - pysy ajan tasalla uusimpien ja nopeimpien uutisten avulla.</t>
  </si>
  <si>
    <t>Nyheter – Hold deg oppdatert om de siste og raskeste nyhetene.</t>
  </si>
  <si>
    <t>Správy - Buďte informovaný s najnovšími a najrýchlejšími správami.</t>
  </si>
  <si>
    <t>Novice - ostanite obveščeni z najnovejšimi in najhitrejšimi novicami.</t>
  </si>
  <si>
    <t>aspic5</t>
  </si>
  <si>
    <t>Икономически календар - Основни икономически събития и тяхното въздействие върху пазарите.</t>
  </si>
  <si>
    <t>Ekonomický kalendář - klíčové ekonomické události a jejich dopad na trhy.</t>
  </si>
  <si>
    <t>Økonomisk kalender - De vigtigste økonomiske begivenheder og deres indflydelse på markederne.</t>
  </si>
  <si>
    <t>Οικονομικό Ημερολόγιο - Βασικά οικονομικά γεγονότα και ο αντίκτυπός τους στις αγορές.</t>
  </si>
  <si>
    <t>Talouskalenteri - keskeiset taloudelliset tapahtumat ja niiden vaikutukset markkinoihin.</t>
  </si>
  <si>
    <t>Økonomisk kalender – Viktige økonomiske hendelser og deres innvirkning på markedene.</t>
  </si>
  <si>
    <t>Ekonomický kalendár - Kľúčové ekonomické udalosti a ich vplyv na trhy.</t>
  </si>
  <si>
    <t>Gospodarski koledar - Ključni gospodarski dogodki in njihov vpliv na trge.</t>
  </si>
  <si>
    <t>message_seen</t>
  </si>
  <si>
    <t>Seen</t>
  </si>
  <si>
    <t>Gesehen</t>
  </si>
  <si>
    <t>Visto</t>
  </si>
  <si>
    <t>Vu</t>
  </si>
  <si>
    <t>Látta</t>
  </si>
  <si>
    <t>Прочитано</t>
  </si>
  <si>
    <t>Viđena</t>
  </si>
  <si>
    <t>aspic2</t>
  </si>
  <si>
    <t>Портфолио - Симулирайте ефективността на портфолиото с реални данни.</t>
  </si>
  <si>
    <t>Portfolio - Simulujte výkon portfolia se skutečnými daty.</t>
  </si>
  <si>
    <t>Portefølje - Simulere porteføljepræstation med reelle data.</t>
  </si>
  <si>
    <t>Χαρτοφυλάκιο - Προσομοιώστε την απόδοση του χαρτοφυλακίου με πραγματικά δεδομένα.</t>
  </si>
  <si>
    <t>Salkku - simuloi salkun tuottavuutta todellisilla tiedoilla.</t>
  </si>
  <si>
    <t>Portefølje – Simuler porteføljens ytelse med ekte data.</t>
  </si>
  <si>
    <t>Portfólio - Simulujte výkon portfólia pomocou skutočných údajov.</t>
  </si>
  <si>
    <t>Portfolio - Simulirajte uspešnost portfelja z resničnimi podatki.</t>
  </si>
  <si>
    <t>tt_max_spread_eur</t>
  </si>
  <si>
    <t>Spread abs</t>
  </si>
  <si>
    <t>انتشار الأوراق المالية المدعومة بالأصول</t>
  </si>
  <si>
    <t>Спред обезпечени с активи ценни книжа (abs)</t>
  </si>
  <si>
    <t>Absolutní hodnota nůžek</t>
  </si>
  <si>
    <t>Spanne absolut</t>
  </si>
  <si>
    <t>Valores respaldados por activos de spread</t>
  </si>
  <si>
    <t>TAA diversifié</t>
  </si>
  <si>
    <t>एब्स को प्रसारित करें</t>
  </si>
  <si>
    <t>Mendistribusikan abs</t>
  </si>
  <si>
    <t>מרווח אבוסלוטי</t>
  </si>
  <si>
    <t>スプレッドabs</t>
  </si>
  <si>
    <t>스프레드 ABS</t>
  </si>
  <si>
    <t>Sebarkan abs</t>
  </si>
  <si>
    <t>Spredt abs</t>
  </si>
  <si>
    <t>Spread bezwzglendny</t>
  </si>
  <si>
    <t>abs spread</t>
  </si>
  <si>
    <t>Spread ABS</t>
  </si>
  <si>
    <t>Спред вкладки</t>
  </si>
  <si>
    <t>Abs rozpätie</t>
  </si>
  <si>
    <t>Širite abs</t>
  </si>
  <si>
    <t>Maks. spread</t>
  </si>
  <si>
    <t>ค่าส่วนต่าง</t>
  </si>
  <si>
    <t>Alım satım farkı abs</t>
  </si>
  <si>
    <t>Chênh lệch tuyệt đối</t>
  </si>
  <si>
    <t>绝对差价（abs差价）</t>
  </si>
  <si>
    <t>download_btNews_app</t>
  </si>
  <si>
    <t>Download the leading app for\nBusiness News\nbaha breaking news app</t>
  </si>
  <si>
    <t>قم بتنزيل افضل تطبيق خاص ل Business News\nbaha breaking news app</t>
  </si>
  <si>
    <t>Изтеглете водещото приложение за\nБизнес новини\nbaha breaking news</t>
  </si>
  <si>
    <t>Stáhněte si přední aplikaci pro\nzprávy z obchodování\nAktuální zprávy TeleTrader</t>
  </si>
  <si>
    <t>Download den førende app til \nVirksomhedsnyheder\nTeleHandel Seneste Nyheder-appen</t>
  </si>
  <si>
    <t>baha breakin News</t>
  </si>
  <si>
    <t>Κάντε λήψη της κορυφαίας εφαρμογής για \nεπιχειρηματικά νέα \nεφαρμογή baha breaking news</t>
  </si>
  <si>
    <t>Descarga la aplicación TeleTrader \nBreakingTheNews</t>
  </si>
  <si>
    <t>Lataa johtava sovellus for\nBusiness News\nbaha breaking news app</t>
  </si>
  <si>
    <t>Télécharger l\'appli baha breaking news</t>
  </si>
  <si>
    <t>\व्यवसायिक समाचार\nटेलीट्रेडर ब्रेकिंग द न्यूज़ ऐप के लिए अग्रणी को ऐप डाउनलोड करें</t>
  </si>
  <si>
    <t>Töltse le a baha breaking news applikációt</t>
  </si>
  <si>
    <t>Scarica l\'app più avanzato nel ambito finanzinario per \nCrypto valute\nTeleTrader CryptoMarkets app</t>
  </si>
  <si>
    <t>הורד את האפליקציה המובילה של \ n חדשות עסקיות \ n אפליקציית חדשות TeleTrader</t>
  </si>
  <si>
    <t>baha breaking newsアプリをダウンロードする</t>
  </si>
  <si>
    <t>비즈니스 뉴스 소식의\n대표적인 앱을 다운로드 하세요\nbaha breaking news 앱</t>
  </si>
  <si>
    <t>Belangrijk marktnieuws \n TeleTrader BreakingTheNews App</t>
  </si>
  <si>
    <t>Last ned den ledende appen for\nforretningsnyheter\nbaha breaking news-appen</t>
  </si>
  <si>
    <t>Pobierz aplikację \n TeleTrader BreakingTheNews App</t>
  </si>
  <si>
    <t>Descarregue a aplicação líder para\nNotícias de negócios\nApp baha breaking news</t>
  </si>
  <si>
    <t>Descarcă aplicația principală pentru\nȘtiri de Afaceri\nȘtiri de Ultimă Oră TeleTrader</t>
  </si>
  <si>
    <t>Загрузите приложение для приложения \n Business News \n TeleTrader Breaking The New</t>
  </si>
  <si>
    <t>Stiahnite si vedúcu aplikáciu a získajte \správy v oblasti obchodu\najnovšie správy z aplikácie TeleTrader</t>
  </si>
  <si>
    <t>Prenesite vodilno aplikacijo za \ n Poslovne novice \ nTeleTrader izrednih novic</t>
  </si>
  <si>
    <t>Preuzmite vodeću aplikaciju za\n poslovne vesti \n baha breaking news</t>
  </si>
  <si>
    <t>Ladda ner den ledande appen för \nFöretagsnyheter\nTeleTrader Nyhets-app</t>
  </si>
  <si>
    <t>ดาวน์โหลดแอปผู้นำแห่ง\โลกข่าวสารวงการธุรกิจ\ แอป baha breaking news จาก TeleTrader</t>
  </si>
  <si>
    <t>Önde gelen\nİş Haberleri\nbaha son dakika haberleri uygulamasını indirin</t>
  </si>
  <si>
    <t>Tải xuống ứng dụng hàng đầu cung cấp\nTin tức thương mại\nTin nóng hổi TeleTrader</t>
  </si>
  <si>
    <t>下载主导应用程序\n商业新闻\nbaha breaking news——最新新闻的应用程序</t>
  </si>
  <si>
    <t>aspic1</t>
  </si>
  <si>
    <t>Преглед на пазарите - Пазари по целия свят с цени в реално време.</t>
  </si>
  <si>
    <t>Přehled trhů - Trhy po celém světě s cenami v reálném čase.</t>
  </si>
  <si>
    <t>Markets Oversigt - Markeder over hele verden med priser i realtid.</t>
  </si>
  <si>
    <t>Επισκόπηση αγορών - Αγορές σε όλο τον κόσμο με τιμές σε πραγματικό χρόνο.</t>
  </si>
  <si>
    <t>Markkinoiden yleiskuvaus - markkinat ympäri maailmaa hintoineen reaaliajassa.</t>
  </si>
  <si>
    <t>Markedsoversikt – Markeder over hele verden med priser i sanntid.</t>
  </si>
  <si>
    <t>Prehľad trhov - Trhy po celom svete s cenami v reálnom čase.</t>
  </si>
  <si>
    <t>Pregled trgov - trgi po vsem svetu s cenami v realnem času.</t>
  </si>
  <si>
    <t>montenegro</t>
  </si>
  <si>
    <t>Montenegro</t>
  </si>
  <si>
    <t>Monténégro</t>
  </si>
  <si>
    <t>Черногория</t>
  </si>
  <si>
    <t>Crna Gora</t>
  </si>
  <si>
    <t>tt_gearing</t>
  </si>
  <si>
    <t>Gearing</t>
  </si>
  <si>
    <t>توجيه</t>
  </si>
  <si>
    <t>Ниво на задлъжнялост</t>
  </si>
  <si>
    <t>Převodovka</t>
  </si>
  <si>
    <t>Hebel</t>
  </si>
  <si>
    <t>Apalancamiento</t>
  </si>
  <si>
    <t>Taux d\'endettement</t>
  </si>
  <si>
    <t>गियरिंग</t>
  </si>
  <si>
    <t>Bersiap</t>
  </si>
  <si>
    <t>Ingranaggio</t>
  </si>
  <si>
    <t>מנוף</t>
  </si>
  <si>
    <t>ギアリング</t>
  </si>
  <si>
    <t>부채비율</t>
  </si>
  <si>
    <t>Penggearan</t>
  </si>
  <si>
    <t>Dźwignia finansowa</t>
  </si>
  <si>
    <t>Engrenagem</t>
  </si>
  <si>
    <t>Angrenare</t>
  </si>
  <si>
    <t>Доля заемных средств</t>
  </si>
  <si>
    <t>Pohon</t>
  </si>
  <si>
    <t>Zahvatanja</t>
  </si>
  <si>
    <t>Utväxling</t>
  </si>
  <si>
    <t>ทด</t>
  </si>
  <si>
    <t>Özkaynakların Borçlara Oranı</t>
  </si>
  <si>
    <t>Đòn bẩy vốn</t>
  </si>
  <si>
    <t>杠杆作用（Gearing）</t>
  </si>
  <si>
    <t>put_ticker_in_the_center_of_the_screen</t>
  </si>
  <si>
    <t>Put Ticker in the center of the screen</t>
  </si>
  <si>
    <t>ضع شريط التداول في وسط الشاشة</t>
  </si>
  <si>
    <t>Поставете Тикер в центъра на екрана</t>
  </si>
  <si>
    <t>Dát ticker do středu obrazovky</t>
  </si>
  <si>
    <t>Sæt rullende ticker i midten af skærmen</t>
  </si>
  <si>
    <t>Ticker in der Mitte des Bildschirms anzeigen</t>
  </si>
  <si>
    <t>Βάλτε το Ticker στο κέντρο της οθόνης</t>
  </si>
  <si>
    <t>Colocar Ticker en el centro de la pantalla</t>
  </si>
  <si>
    <t>Sijoita tikkeri näytön keskelle</t>
  </si>
  <si>
    <t>Mettre le symbole dans le centre de l\'écran</t>
  </si>
  <si>
    <t>टिकर को स्क्रीन के केंद्र में रखें</t>
  </si>
  <si>
    <t>Tegye a Tickert a képernyő közepére</t>
  </si>
  <si>
    <t>Letakkan teller di tengah layar</t>
  </si>
  <si>
    <t>Metti i dati scorrevoli al centro dello schermo.</t>
  </si>
  <si>
    <t>מקם את הטיקר במרכז המסך</t>
  </si>
  <si>
    <t>画面中央にティッカーを置く</t>
  </si>
  <si>
    <t>화면 중앙에 티커 놓기</t>
  </si>
  <si>
    <t>Letakkan Pengira di tengah-tengah skrin</t>
  </si>
  <si>
    <t>Zet Ticker in het midden van het scherm</t>
  </si>
  <si>
    <t>Plasser ticker på midten av skjermen</t>
  </si>
  <si>
    <t>Umieść ticker na środku ekranu</t>
  </si>
  <si>
    <t>Coloque Ticker no centro do ecrã</t>
  </si>
  <si>
    <t>Pune Telegraful în centrul ecranului</t>
  </si>
  <si>
    <t>Поместить тикер в центр экрана</t>
  </si>
  <si>
    <t>Umiestnite ticker do stredu obrazovky</t>
  </si>
  <si>
    <t>Ticker postavite na sredino zaslona</t>
  </si>
  <si>
    <t>Postavi Tiker na centar ekrana</t>
  </si>
  <si>
    <t>Placera Tickern i mitten av skärmen</t>
  </si>
  <si>
    <t>วาง Ticker ไว้ที่กึ่งกลางหน้าจอ</t>
  </si>
  <si>
    <t>Takip Ekranını ekranın ortasına koyun</t>
  </si>
  <si>
    <t>Đặt Ticker ở giữa màn hình</t>
  </si>
  <si>
    <t>把自动收报机纸条放在屏幕中心</t>
  </si>
  <si>
    <t>saint_lucia</t>
  </si>
  <si>
    <t>Saint Lucia</t>
  </si>
  <si>
    <t>St. Lucia</t>
  </si>
  <si>
    <t>Santa Lucía</t>
  </si>
  <si>
    <t>Sainte-Lucie</t>
  </si>
  <si>
    <t>Сент-Люсия</t>
  </si>
  <si>
    <t>Sveta Lucija</t>
  </si>
  <si>
    <t>account_status_tor_unavailable</t>
  </si>
  <si>
    <t>Tor network unavailable</t>
  </si>
  <si>
    <t>شبكة طور غير متاحة</t>
  </si>
  <si>
    <t>Мрежата на Тор е недостъпна</t>
  </si>
  <si>
    <t>La xarxa Tor no està disponible</t>
  </si>
  <si>
    <t>Tor-Netzwerk nicht verfügbar</t>
  </si>
  <si>
    <t>Red Tor no disponible.</t>
  </si>
  <si>
    <t>Réseau Tor inaccessible</t>
  </si>
  <si>
    <t>Sen acceso a rede Tor</t>
  </si>
  <si>
    <t>A Tor hálózat nem érhető el</t>
  </si>
  <si>
    <t>Tor network tidak tersedia</t>
  </si>
  <si>
    <t>Rete Tor non disponibile</t>
  </si>
  <si>
    <t>Tor ネットワークが利用できません</t>
  </si>
  <si>
    <t>Tor 네트워크 사용할 수 없음</t>
  </si>
  <si>
    <t>Tor-netwerk niet beschikbaar</t>
  </si>
  <si>
    <t>Sieć TOR jest niedostepna</t>
  </si>
  <si>
    <t>Rede Tor indisponível</t>
  </si>
  <si>
    <t>Сеть Tor недоступна</t>
  </si>
  <si>
    <t>Тор мрежа недоступна</t>
  </si>
  <si>
    <t>Tor-nätverk ej tillgängligt</t>
  </si>
  <si>
    <t>Мережа Tor не доступна</t>
  </si>
  <si>
    <t>Mạng Tor chưa sẵn sàng</t>
  </si>
  <si>
    <t>Tor network 不可用</t>
  </si>
  <si>
    <t>tt_redemption_price</t>
  </si>
  <si>
    <t>Redemption price</t>
  </si>
  <si>
    <t>سعر الاسترداد</t>
  </si>
  <si>
    <t>Изкупна цена</t>
  </si>
  <si>
    <t>Výkupní cena</t>
  </si>
  <si>
    <t>Indløsningspris</t>
  </si>
  <si>
    <t>Rücknahmepreis</t>
  </si>
  <si>
    <t>Τιμή εξαγοράς</t>
  </si>
  <si>
    <t>Precio de rescate</t>
  </si>
  <si>
    <t>Lunastushinta</t>
  </si>
  <si>
    <t>Prix ​​de rachat</t>
  </si>
  <si>
    <t>मोचन मूल्य</t>
  </si>
  <si>
    <t>Visszaváltási ár</t>
  </si>
  <si>
    <t>Harga penebusan</t>
  </si>
  <si>
    <t>Prezzo di rimborso</t>
  </si>
  <si>
    <t>מחיר פדיון</t>
  </si>
  <si>
    <t>償還金額</t>
  </si>
  <si>
    <t>상환 가격</t>
  </si>
  <si>
    <t>Verkoopprijs</t>
  </si>
  <si>
    <t>Innløsningspris</t>
  </si>
  <si>
    <t>Cena umorzenia</t>
  </si>
  <si>
    <t>Preço de resgate</t>
  </si>
  <si>
    <t>Preț de răscumpărare</t>
  </si>
  <si>
    <t>Выкупная цена</t>
  </si>
  <si>
    <t>Odkupná cena</t>
  </si>
  <si>
    <t>Odkupna cena</t>
  </si>
  <si>
    <t>Cena otkupa</t>
  </si>
  <si>
    <t>Inlösenpris</t>
  </si>
  <si>
    <t>ราคาไถ่ถอน</t>
  </si>
  <si>
    <t>İtfa fiyatı</t>
  </si>
  <si>
    <t>Giá mua lại</t>
  </si>
  <si>
    <t>赎回价格</t>
  </si>
  <si>
    <t>recommend_to_friend_text</t>
  </si>
  <si>
    <t>The perfect free app for all investors with real-time market data and 12 million symbols: baha.com/MobileApps</t>
  </si>
  <si>
    <t>Den perfekte gratis app til alle investorer med markedsdata i realtid og 12 millioner symboler: baha.com/MobileApps</t>
  </si>
  <si>
    <t>Die perfekte kostenlose App für alle Anleger mit Echtzeitdaten und 12 Millionen Einzeltiteln: baha.com/MobileApps</t>
  </si>
  <si>
    <t>La aplicación gratis perfecta para todos los inversores con datos del mercado en tiempo real y 12 millones de símbolos: baha.com/MobileApps</t>
  </si>
  <si>
    <t>Kaikille sijoittajille täydellinen, ilmainen sovellus, joka sisältää reaaliaikaisia markkinatietoja ja 12 miljoonaa symbolia: baha.com/MobileApps</t>
  </si>
  <si>
    <t>Une application gratuite idéale pour tous les investisseurs, avec des informations en temps réel sur les marchés, et 12 millions de mnémo : baha.com/MobileApps</t>
  </si>
  <si>
    <t>Tökéletes alkalmazás befektetők számára ingyen, valós idejű adatokkal és 12 millió értékpapír-szimbólummal: baha.com/MobileApps</t>
  </si>
  <si>
    <t>Aplikasi gratis yang sempurna untuk semua investor dengan data pasar real-time dan 12 juta simbol: baha.com/MobileApps</t>
  </si>
  <si>
    <t>La perfetta app gratuita per tutti gli investitori con i dati sul mercato in tempo reale e 12 milioni di titoli: baha.com/MobileApps</t>
  </si>
  <si>
    <t>リアルタイムの市場データおよび1200万の銘柄を表示。すべての投資家向けの完璧な無料アプリ: baha.com/MobileApps</t>
  </si>
  <si>
    <t>실시간 시장 데이터와 1,200만개의 종목을 대상으로 하는 모든 투자자들을 위한 완벽한 무료 앱: baha.com/MobileApps</t>
  </si>
  <si>
    <t>Apl percuma yang sempurna untuk semua pelabut dengan maklumat pasaran masa sebenar dan 12 juta simbol: baha.com/MobileApps</t>
  </si>
  <si>
    <t>De perfecte gratis app voor alle investeerdes met data in realtime en 12 miljoen symoblen: baha.com/MobileApps.</t>
  </si>
  <si>
    <t>Den perfekte gratis appen for alle investorer, med sanntids markedsdata og 12 millioner symboler: baha.com/MobileApps</t>
  </si>
  <si>
    <t>Doskonała bezpłatna aplikacja dla wszystkich inwestorów z danymi rynkowymi w czasie rzeczywistym i 12 milionami symboli: baha.com/MobileApps</t>
  </si>
  <si>
    <t>A app grátis perfeita para todos os investidores com dados de mercado em tempo real e 12 milhões de símbolos: baha.com/MobileApps</t>
  </si>
  <si>
    <t>Идеальное бесплатное приложение для всех инвесторов с данными о рынках в реальном времени и 12 миллионами тикеров: baha.com/MobileApps</t>
  </si>
  <si>
    <t>Odlična besplatna aplikacija za sve investitora sa market podacima u realnom vremenu i preko 12 miliona simbola: baha.com/MobileApps</t>
  </si>
  <si>
    <t>Den perfekta kostnadsfria investeringsappen med realtidsdata från marknaden och 12 miljoner symboler: baha.com/MobileApps</t>
  </si>
  <si>
    <t>Gerçek zamanlı piyasa verileri ve 12 milyon sembole sahip tüm yatırımcılar için mükemmel bir ücretsiz uygulama: baha.com/MobileApps</t>
  </si>
  <si>
    <t>完美的免费应用程序，为所有投资者提供实时市场数据和1200万交易代码：baha.com/MobileApps</t>
  </si>
  <si>
    <t>tt_aktienanleihe</t>
  </si>
  <si>
    <t>Reverse Convertible</t>
  </si>
  <si>
    <t>قابلة للتحويل العكسي</t>
  </si>
  <si>
    <t>Обратно конвертируеми</t>
  </si>
  <si>
    <t>Reverzně směnitelné</t>
  </si>
  <si>
    <t>Omvende konvertibel</t>
  </si>
  <si>
    <t>Aktienanleihe</t>
  </si>
  <si>
    <t>Αντίστροφη μετατρέψιμη</t>
  </si>
  <si>
    <t>Convertibilidad inversa</t>
  </si>
  <si>
    <t>Vaihtovelkakirja</t>
  </si>
  <si>
    <t>रिवर्स कन्वर्टिबल</t>
  </si>
  <si>
    <t>Visszaváltható</t>
  </si>
  <si>
    <t>Songsang Boleh Tukar</t>
  </si>
  <si>
    <t>Convertibili Inversi</t>
  </si>
  <si>
    <t>המרה הפוכה</t>
  </si>
  <si>
    <t>リバースコンバーチブル債</t>
  </si>
  <si>
    <t>역전환</t>
  </si>
  <si>
    <t>Converteerbare obligatie</t>
  </si>
  <si>
    <t xml:space="preserve">Omvendt konvertibel </t>
  </si>
  <si>
    <t>Zamienna na akcje</t>
  </si>
  <si>
    <t>Invers Convertibil</t>
  </si>
  <si>
    <t>Обратная конвертируемая облигация</t>
  </si>
  <si>
    <t>Reverzný a konvertibilný</t>
  </si>
  <si>
    <t>Povratni kabriolet</t>
  </si>
  <si>
    <t>Reversibilno promenljivo</t>
  </si>
  <si>
    <t>Omvänd konvertibel</t>
  </si>
  <si>
    <t>แปลงสภาพ</t>
  </si>
  <si>
    <t>Ters Çevirilebilir</t>
  </si>
  <si>
    <t>Có thể chuyển đổi ngược</t>
  </si>
  <si>
    <t>可转换债券</t>
  </si>
  <si>
    <t>&gt;可轉換債券</t>
  </si>
  <si>
    <t>remove</t>
  </si>
  <si>
    <t>Remove</t>
  </si>
  <si>
    <t>إزالة</t>
  </si>
  <si>
    <t>Премахване</t>
  </si>
  <si>
    <t>Odstranit</t>
  </si>
  <si>
    <t>Fjerne</t>
  </si>
  <si>
    <t>Entfernen</t>
  </si>
  <si>
    <t>Αφαίρεση</t>
  </si>
  <si>
    <t>Eliminar</t>
  </si>
  <si>
    <t>Poista</t>
  </si>
  <si>
    <t>Supprimer</t>
  </si>
  <si>
    <t>हटाएँ</t>
  </si>
  <si>
    <t>Eltávolít</t>
  </si>
  <si>
    <t>Menghapus</t>
  </si>
  <si>
    <t>Rimuovi</t>
  </si>
  <si>
    <t>הסר</t>
  </si>
  <si>
    <t>削除</t>
  </si>
  <si>
    <t>삭제</t>
  </si>
  <si>
    <t>Keluarkan</t>
  </si>
  <si>
    <t>Verwijderen</t>
  </si>
  <si>
    <t>Fjern</t>
  </si>
  <si>
    <t>Usuń</t>
  </si>
  <si>
    <t>Remover</t>
  </si>
  <si>
    <t>Elimină</t>
  </si>
  <si>
    <t>Удалить</t>
  </si>
  <si>
    <t>Odstrániť</t>
  </si>
  <si>
    <t>Odstranite</t>
  </si>
  <si>
    <t>Obriši</t>
  </si>
  <si>
    <t>Ta bort</t>
  </si>
  <si>
    <t>ลบ</t>
  </si>
  <si>
    <t>Kaldır</t>
  </si>
  <si>
    <t>Gỡ</t>
  </si>
  <si>
    <t>移除</t>
  </si>
  <si>
    <t>create_account</t>
  </si>
  <si>
    <t>Create Account</t>
  </si>
  <si>
    <t>إنشاء حساب</t>
  </si>
  <si>
    <t>Benutzerzugang anlegen</t>
  </si>
  <si>
    <t>Crear cuenta</t>
  </si>
  <si>
    <t>Créer un compte</t>
  </si>
  <si>
    <t>Fiók létrehozása</t>
  </si>
  <si>
    <t>Wujudkan akun</t>
  </si>
  <si>
    <t>Crea il tuo account</t>
  </si>
  <si>
    <t>アカウントを作成</t>
  </si>
  <si>
    <t>Wujudkan akaun</t>
  </si>
  <si>
    <t>Account creëren</t>
  </si>
  <si>
    <t>Stwórz konto</t>
  </si>
  <si>
    <t>Criar conta</t>
  </si>
  <si>
    <t>Создать аккаунт</t>
  </si>
  <si>
    <t>Kreirajte nalog</t>
  </si>
  <si>
    <t>Hesap Oluştur</t>
  </si>
  <si>
    <t>创建新帐户</t>
  </si>
  <si>
    <t>tt_top_share_holders_pie_chart</t>
  </si>
  <si>
    <t>Top Shareholders Pie Chart</t>
  </si>
  <si>
    <t>مخطط أعلى المساهمين الدائري</t>
  </si>
  <si>
    <t>Кръгова диаграма на топ акционерите</t>
  </si>
  <si>
    <t>Výsečový graf horních akcionářů</t>
  </si>
  <si>
    <t>Top Aktionærs cirkeldiagram</t>
  </si>
  <si>
    <t>Wichtigste Anteilseigner Diagramm</t>
  </si>
  <si>
    <t>Γράφημα πίτας κορυφαίων μετόχων</t>
  </si>
  <si>
    <t>Gráfica de los principales accionistas</t>
  </si>
  <si>
    <t>Suosituimpien osakkeenomistajien ympyräkaavio</t>
  </si>
  <si>
    <t>Graphique des meilleurs actionnaires</t>
  </si>
  <si>
    <t>शीर्ष शेयरधारक पाई चार्ट</t>
  </si>
  <si>
    <t>Top részvénytulajdonosok kördiagrammja</t>
  </si>
  <si>
    <t>Chart Pai Pemegang Saham Teratas</t>
  </si>
  <si>
    <t>Maggiori azionisti Grafico a torta</t>
  </si>
  <si>
    <t>גרף עוגה של בעלי מניות עיקריים</t>
  </si>
  <si>
    <t>トップシェアホルダー円グラフ</t>
  </si>
  <si>
    <t>대주주 파이 차트</t>
  </si>
  <si>
    <t>Carta Pai Pemegang Saham Teratas</t>
  </si>
  <si>
    <t>Cirkeldiagram van topaandeelhouders</t>
  </si>
  <si>
    <t>Diagram for ledende aksjonærer</t>
  </si>
  <si>
    <t>Główni akcjonariusze - wykres kołowy</t>
  </si>
  <si>
    <t>Gráfico redondo dos principais acionistas</t>
  </si>
  <si>
    <t>Grafic-Plăcintă al Acționarilor de Top</t>
  </si>
  <si>
    <t>Круговая диаграмма главных акционеров</t>
  </si>
  <si>
    <t>Koláčový graf s najlepšími akcionármi</t>
  </si>
  <si>
    <t>Vrhunski delniški grafikon</t>
  </si>
  <si>
    <t>Glavni Akcionari Pie Chart</t>
  </si>
  <si>
    <t>Toppaktieägares diagram</t>
  </si>
  <si>
    <t>ชื่อผู้ถือหุ้นหลักในแบบแผนภูมิวงกลม</t>
  </si>
  <si>
    <t>En Üst Hissedarlar Çember Grafik</t>
  </si>
  <si>
    <t>Biểu đồ hình tròn cổ đông hàng đầu</t>
  </si>
  <si>
    <t>重要股东的饼图</t>
  </si>
  <si>
    <t>next</t>
  </si>
  <si>
    <t>Next</t>
  </si>
  <si>
    <t>التالي</t>
  </si>
  <si>
    <t>Следващо</t>
  </si>
  <si>
    <t>Següent</t>
  </si>
  <si>
    <t>Weiter</t>
  </si>
  <si>
    <t>Siguiente</t>
  </si>
  <si>
    <t>Suivant</t>
  </si>
  <si>
    <t>Seguinte</t>
  </si>
  <si>
    <t>Következő</t>
  </si>
  <si>
    <t>Selanjutnya</t>
  </si>
  <si>
    <t>Successivo</t>
  </si>
  <si>
    <t>次へ</t>
  </si>
  <si>
    <t>다음</t>
  </si>
  <si>
    <t>Volgende</t>
  </si>
  <si>
    <t>Dalej</t>
  </si>
  <si>
    <t>Próximo</t>
  </si>
  <si>
    <t>Далее</t>
  </si>
  <si>
    <t>Ďalší</t>
  </si>
  <si>
    <t>Следеће</t>
  </si>
  <si>
    <t>Nästa</t>
  </si>
  <si>
    <t>Наступне</t>
  </si>
  <si>
    <t>Tiếp theo</t>
  </si>
  <si>
    <t>下一步</t>
  </si>
  <si>
    <t>saint_vincent</t>
  </si>
  <si>
    <t>Saint Vincent and the Grenadines</t>
  </si>
  <si>
    <t>St. Vincent und Grenadinen</t>
  </si>
  <si>
    <t>San Vicente y las Granadinas</t>
  </si>
  <si>
    <t>Saint-Vincent-et-les-Grenadines</t>
  </si>
  <si>
    <t>Сент-Винсент и Гренадины</t>
  </si>
  <si>
    <t>Sveti Vinsent i Grenadini</t>
  </si>
  <si>
    <t>pref_theme_dark</t>
  </si>
  <si>
    <t>Dark theme</t>
  </si>
  <si>
    <t>سمة مظلمة</t>
  </si>
  <si>
    <t>Тъмна тема</t>
  </si>
  <si>
    <t>Tema fosc</t>
  </si>
  <si>
    <t>Dunkles Design</t>
  </si>
  <si>
    <t>Tema oscuro</t>
  </si>
  <si>
    <t>Thème Sombre</t>
  </si>
  <si>
    <t>Decorado oscuro</t>
  </si>
  <si>
    <t>Sötét téma</t>
  </si>
  <si>
    <t>Tema Gelap</t>
  </si>
  <si>
    <t>Tema scuro</t>
  </si>
  <si>
    <t>ダークテーマ</t>
  </si>
  <si>
    <t>다크 테마</t>
  </si>
  <si>
    <t>Donker thema</t>
  </si>
  <si>
    <t>Ciemna skórka</t>
  </si>
  <si>
    <t>Tema Escuro</t>
  </si>
  <si>
    <t>Тёмная тема</t>
  </si>
  <si>
    <t>Тамна тема</t>
  </si>
  <si>
    <t>Mörkt tema</t>
  </si>
  <si>
    <t>Темна тема</t>
  </si>
  <si>
    <t>黑暗主題</t>
  </si>
  <si>
    <t>tt_area</t>
  </si>
  <si>
    <t>Mountain</t>
  </si>
  <si>
    <t>جبل</t>
  </si>
  <si>
    <t>Възходяща</t>
  </si>
  <si>
    <t>Horský</t>
  </si>
  <si>
    <t>Bjerg</t>
  </si>
  <si>
    <t>Alue</t>
  </si>
  <si>
    <t>Montagne</t>
  </si>
  <si>
    <t>माउंटेन</t>
  </si>
  <si>
    <t>Hegy</t>
  </si>
  <si>
    <t>Gunung</t>
  </si>
  <si>
    <t>Montagna</t>
  </si>
  <si>
    <t>הר</t>
  </si>
  <si>
    <t>領域</t>
  </si>
  <si>
    <t>산</t>
  </si>
  <si>
    <t>Berg</t>
  </si>
  <si>
    <t>Fjell</t>
  </si>
  <si>
    <t>Góra</t>
  </si>
  <si>
    <t>Montanha</t>
  </si>
  <si>
    <t>Munte</t>
  </si>
  <si>
    <t>Линейный график</t>
  </si>
  <si>
    <t>Hora</t>
  </si>
  <si>
    <t>Gora</t>
  </si>
  <si>
    <t>Planina</t>
  </si>
  <si>
    <t>ภูเขา</t>
  </si>
  <si>
    <t>Dağ</t>
  </si>
  <si>
    <t>Núi</t>
  </si>
  <si>
    <t>顶</t>
  </si>
  <si>
    <t>&gt;頂</t>
  </si>
  <si>
    <t>message_options</t>
  </si>
  <si>
    <t>Message options</t>
  </si>
  <si>
    <t>خيارات الرسالة</t>
  </si>
  <si>
    <t>Настройки за съобщенята</t>
  </si>
  <si>
    <t>Opcions del missatge</t>
  </si>
  <si>
    <t>Nachrichtenoptionen</t>
  </si>
  <si>
    <t>Opciones de mensaje</t>
  </si>
  <si>
    <t>Options du message</t>
  </si>
  <si>
    <t>Opcións da mensaxe</t>
  </si>
  <si>
    <t>Műveletek üzenetekkel</t>
  </si>
  <si>
    <t>Opsi pesan</t>
  </si>
  <si>
    <t>Opzioni del messaggio</t>
  </si>
  <si>
    <t>メッセージオプション</t>
  </si>
  <si>
    <t>메세지 설정</t>
  </si>
  <si>
    <t>Berichtopties</t>
  </si>
  <si>
    <t>Opcje wiadomości</t>
  </si>
  <si>
    <t>Opções de mensagem</t>
  </si>
  <si>
    <t>Опции сообщения</t>
  </si>
  <si>
    <t>Možnosti správy</t>
  </si>
  <si>
    <t>Опције поруке</t>
  </si>
  <si>
    <t>Meddelandealternativ</t>
  </si>
  <si>
    <t>Налаштування повідомлення</t>
  </si>
  <si>
    <t>Tuỳ chọn tin nhắn</t>
  </si>
  <si>
    <t>訊息選項</t>
  </si>
  <si>
    <t>this_account_is_disabled</t>
  </si>
  <si>
    <t>You have disabled this account</t>
  </si>
  <si>
    <t>لقد قمت بتعطيل هذا الحساب</t>
  </si>
  <si>
    <t>Вие сте деактивирали този профил</t>
  </si>
  <si>
    <t>Heu desactivat aquest compte</t>
  </si>
  <si>
    <t>Du hast dieses Konto deaktiviert</t>
  </si>
  <si>
    <t>Has deshabilitado esta cuenta</t>
  </si>
  <si>
    <t>Vous avez désactivé ce compte</t>
  </si>
  <si>
    <t>Desactivou esta conta</t>
  </si>
  <si>
    <t>Letiltotta ezt a fiókot</t>
  </si>
  <si>
    <t>Hai disattivato questo account</t>
  </si>
  <si>
    <t>このアカウントを無効にしました</t>
  </si>
  <si>
    <t>이 계정을 비활성화했습니다</t>
  </si>
  <si>
    <t>Je hebt deze account uitgeschakeld</t>
  </si>
  <si>
    <t>Wyłączyłeś to konto</t>
  </si>
  <si>
    <t>Desativou esta conta</t>
  </si>
  <si>
    <t>Вы отключили этот аккаунт</t>
  </si>
  <si>
    <t>Искључили сте овај налог</t>
  </si>
  <si>
    <t>Du har deaktiverat detta konto</t>
  </si>
  <si>
    <t>Ви вимкнули цей обліковий запис</t>
  </si>
  <si>
    <t>你已經禁用了此帳戶</t>
  </si>
  <si>
    <t>tt_indicator_parameters</t>
  </si>
  <si>
    <t>Settings</t>
  </si>
  <si>
    <t>الإعدادات</t>
  </si>
  <si>
    <t>Настройки</t>
  </si>
  <si>
    <t>Nastavení</t>
  </si>
  <si>
    <t>Indstillinger</t>
  </si>
  <si>
    <t>Einstellungen</t>
  </si>
  <si>
    <t>Ρυθμίσεις</t>
  </si>
  <si>
    <t>Ajustes</t>
  </si>
  <si>
    <t>Asetukset</t>
  </si>
  <si>
    <t>Paramètres</t>
  </si>
  <si>
    <t>सेटिंग</t>
  </si>
  <si>
    <t>Beállítások</t>
  </si>
  <si>
    <t>Pengaturan</t>
  </si>
  <si>
    <t>Impostazioni</t>
  </si>
  <si>
    <t>הגדרות</t>
  </si>
  <si>
    <t>設定</t>
  </si>
  <si>
    <t>설정</t>
  </si>
  <si>
    <t>Tetapan</t>
  </si>
  <si>
    <t>Instellingen</t>
  </si>
  <si>
    <t>Innstillinger</t>
  </si>
  <si>
    <t>Ustawienia</t>
  </si>
  <si>
    <t>Configurações</t>
  </si>
  <si>
    <t>Setări</t>
  </si>
  <si>
    <t>Nastavenia</t>
  </si>
  <si>
    <t>Nastavitve</t>
  </si>
  <si>
    <t>Parametri indikatora:</t>
  </si>
  <si>
    <t>Inställningar</t>
  </si>
  <si>
    <t>การตั้งค่า</t>
  </si>
  <si>
    <t>Ayarlar</t>
  </si>
  <si>
    <t>Cài đặt</t>
  </si>
  <si>
    <t>设定</t>
  </si>
  <si>
    <t>&gt;設定</t>
  </si>
  <si>
    <t>no_affiliation</t>
  </si>
  <si>
    <t>No affiliation</t>
  </si>
  <si>
    <t>زائر</t>
  </si>
  <si>
    <t>Няма принадлежност</t>
  </si>
  <si>
    <t>Cap afiliació</t>
  </si>
  <si>
    <t>Keine Zugehörigkeit</t>
  </si>
  <si>
    <t>Sin afiliación</t>
  </si>
  <si>
    <t>Aucune affiliation</t>
  </si>
  <si>
    <t>Sen afiliación</t>
  </si>
  <si>
    <t>Nincs helye</t>
  </si>
  <si>
    <t>Tidak ada afiliasi</t>
  </si>
  <si>
    <t>Nessuna affiliazione</t>
  </si>
  <si>
    <t>所属なし</t>
  </si>
  <si>
    <t>관련 없음</t>
  </si>
  <si>
    <t>Geen aansluiting</t>
  </si>
  <si>
    <t>Brak stanowiska</t>
  </si>
  <si>
    <t>Sem afiliação</t>
  </si>
  <si>
    <t>Посетитель</t>
  </si>
  <si>
    <t>Nepridružený</t>
  </si>
  <si>
    <t>Без припадности</t>
  </si>
  <si>
    <t>Ingen anknytning</t>
  </si>
  <si>
    <t>Не пов\'язаний</t>
  </si>
  <si>
    <t>Không có quan hệ gì</t>
  </si>
  <si>
    <t>沒有從屬關係</t>
  </si>
  <si>
    <t>chad</t>
  </si>
  <si>
    <t>Chad</t>
  </si>
  <si>
    <t>Tschad</t>
  </si>
  <si>
    <t>Tchad</t>
  </si>
  <si>
    <t>Чад</t>
  </si>
  <si>
    <t>Čad</t>
  </si>
  <si>
    <t>actual</t>
  </si>
  <si>
    <t>Act</t>
  </si>
  <si>
    <t>فعل/قانون</t>
  </si>
  <si>
    <t>Акт</t>
  </si>
  <si>
    <t>Jednat</t>
  </si>
  <si>
    <t>Handling</t>
  </si>
  <si>
    <t>Akt.</t>
  </si>
  <si>
    <t>Ενεργήστε</t>
  </si>
  <si>
    <t>Asiapaperi</t>
  </si>
  <si>
    <t>अधिनियम</t>
  </si>
  <si>
    <t>Akt</t>
  </si>
  <si>
    <t>Akta</t>
  </si>
  <si>
    <t>פעולה</t>
  </si>
  <si>
    <t>활동</t>
  </si>
  <si>
    <t>Huidige</t>
  </si>
  <si>
    <t>Faktyczny</t>
  </si>
  <si>
    <t>Ato</t>
  </si>
  <si>
    <t>Acționează</t>
  </si>
  <si>
    <t>Текущий</t>
  </si>
  <si>
    <t>Vykonať</t>
  </si>
  <si>
    <t>Zakon</t>
  </si>
  <si>
    <t>Novo</t>
  </si>
  <si>
    <t>Agera</t>
  </si>
  <si>
    <t>การกระทำ</t>
  </si>
  <si>
    <t>İşlem</t>
  </si>
  <si>
    <t>Tích lũy</t>
  </si>
  <si>
    <t>实际</t>
  </si>
  <si>
    <t>anguilla</t>
  </si>
  <si>
    <t>Anguilla</t>
  </si>
  <si>
    <t>Anguila</t>
  </si>
  <si>
    <t>Ангилья</t>
  </si>
  <si>
    <t>tt_historic6m</t>
  </si>
  <si>
    <t>6 Months</t>
  </si>
  <si>
    <t>6 أشهر</t>
  </si>
  <si>
    <t>6 месеца</t>
  </si>
  <si>
    <t>6 měsíců</t>
  </si>
  <si>
    <t>6 måneder</t>
  </si>
  <si>
    <t>6 Monate</t>
  </si>
  <si>
    <t>6 μήνες</t>
  </si>
  <si>
    <t>6 Meses</t>
  </si>
  <si>
    <t>6 kuukautta</t>
  </si>
  <si>
    <t>6 mois</t>
  </si>
  <si>
    <t>6 महीने</t>
  </si>
  <si>
    <t>6 hónap</t>
  </si>
  <si>
    <t>6 bulan</t>
  </si>
  <si>
    <t>6 Mesi</t>
  </si>
  <si>
    <t>6 חודשים</t>
  </si>
  <si>
    <t>半年</t>
  </si>
  <si>
    <t>6개월</t>
  </si>
  <si>
    <t>6 maanden</t>
  </si>
  <si>
    <t>6-måneders</t>
  </si>
  <si>
    <t>6 miesięcy</t>
  </si>
  <si>
    <t>6 meses</t>
  </si>
  <si>
    <t>6 Luni</t>
  </si>
  <si>
    <t>6 месяцев</t>
  </si>
  <si>
    <t>6 mesiacov</t>
  </si>
  <si>
    <t>6 mesecev</t>
  </si>
  <si>
    <t>6 meseci</t>
  </si>
  <si>
    <t>6 månader</t>
  </si>
  <si>
    <t>6 เดือน</t>
  </si>
  <si>
    <t>6 ay</t>
  </si>
  <si>
    <t>6 tháng</t>
  </si>
  <si>
    <t>６个月</t>
  </si>
  <si>
    <t>&gt;６個月</t>
  </si>
  <si>
    <t>have_an_account_yet</t>
  </si>
  <si>
    <t>Already have an account?</t>
  </si>
  <si>
    <t>ألديك حساب بعد؟</t>
  </si>
  <si>
    <t>Вече имате акаунт?</t>
  </si>
  <si>
    <t>Máte již účet?</t>
  </si>
  <si>
    <t>Har du allerede en konto?</t>
  </si>
  <si>
    <t>Haben Sie schon einen Benutzerzugang?</t>
  </si>
  <si>
    <t>Έχετε ήδη λογαριασμό;</t>
  </si>
  <si>
    <t>¿Ya tiene una cuenta?</t>
  </si>
  <si>
    <t>Onko sinulla jo tili?</t>
  </si>
  <si>
    <t>Vous avez déjà un compte?</t>
  </si>
  <si>
    <t>क्या आपके पास पहले से एक खाता मौजूद है?</t>
  </si>
  <si>
    <t>Már van fiókja?</t>
  </si>
  <si>
    <t>Adakah anda mempunyai akun?</t>
  </si>
  <si>
    <t>Hai già un account?</t>
  </si>
  <si>
    <t>יש לך כבר חשבון?</t>
  </si>
  <si>
    <t>アカウントをお持ちですか？</t>
  </si>
  <si>
    <t>이미 계정이 있으신가요?</t>
  </si>
  <si>
    <t>Adakah anda mempunyai akaun?</t>
  </si>
  <si>
    <t>Heeft U al een account?</t>
  </si>
  <si>
    <t>Już masz konto?</t>
  </si>
  <si>
    <t>Já tem uma conta?</t>
  </si>
  <si>
    <t>Ai deja un cont?</t>
  </si>
  <si>
    <t>У вас уже есть аккаунт?</t>
  </si>
  <si>
    <t>Máte už účet?</t>
  </si>
  <si>
    <t>Ali imate že račun?</t>
  </si>
  <si>
    <t>Već imate nalog?</t>
  </si>
  <si>
    <t>Har du redan ett konto?</t>
  </si>
  <si>
    <t>มีบัญชีแล้วใช่ไหม?</t>
  </si>
  <si>
    <t>Bir hesabınız var mı?</t>
  </si>
  <si>
    <t>Bạn đã có tài khoản?</t>
  </si>
  <si>
    <t>已经有帐户吗？</t>
  </si>
  <si>
    <t>import_google_pf</t>
  </si>
  <si>
    <t>Import Google portfolio</t>
  </si>
  <si>
    <t>استيراد محفظة Google</t>
  </si>
  <si>
    <t>Импортирай Google портфолио</t>
  </si>
  <si>
    <t>Importujte portfolio Google</t>
  </si>
  <si>
    <t>Importer Google-portefølje</t>
  </si>
  <si>
    <t>Google Portfolio importieren</t>
  </si>
  <si>
    <t>Εισαγωγή χαρτοφυλακίου Google</t>
  </si>
  <si>
    <t>Importar Portafolio de Google</t>
  </si>
  <si>
    <t>Tuo Google-salkku</t>
  </si>
  <si>
    <t>Importer le portefeuille Google</t>
  </si>
  <si>
    <t>Google पोर्टफोलियो को इम्पोर्ट करें</t>
  </si>
  <si>
    <t>Google Portfolio importálása</t>
  </si>
  <si>
    <t>Import portfolio Google</t>
  </si>
  <si>
    <t>Importare Google portafoglio</t>
  </si>
  <si>
    <t>יבא את תיק גוגל</t>
  </si>
  <si>
    <t>Googleポートフォリオをインポートする</t>
  </si>
  <si>
    <t>구글 포트폴리오 가져오기</t>
  </si>
  <si>
    <t>Importeer Google portefeuille</t>
  </si>
  <si>
    <t>Importer Google-porteføljen</t>
  </si>
  <si>
    <t>Importuj portfolio Google</t>
  </si>
  <si>
    <t>Importar carteira do Google</t>
  </si>
  <si>
    <t>Importă portofoliul Google</t>
  </si>
  <si>
    <t>Импортировать Google портфель</t>
  </si>
  <si>
    <t>Importovať Google portfólio</t>
  </si>
  <si>
    <t>Uvoz Googlovega portfelja</t>
  </si>
  <si>
    <t>Uvezi Google portfolio</t>
  </si>
  <si>
    <t>Importera Google-portfölj</t>
  </si>
  <si>
    <t>นำเข้าพอร์ตจาก Google</t>
  </si>
  <si>
    <t>Google portföyü içe aktar</t>
  </si>
  <si>
    <t>Nhập danh mục đầu tư của Google</t>
  </si>
  <si>
    <t>输出Google投资组合</t>
  </si>
  <si>
    <t>&gt;輸出Google投資組合</t>
  </si>
  <si>
    <t>tt_at</t>
  </si>
  <si>
    <t>at</t>
  </si>
  <si>
    <t>في</t>
  </si>
  <si>
    <t>в</t>
  </si>
  <si>
    <t>na</t>
  </si>
  <si>
    <t>på</t>
  </si>
  <si>
    <t>am</t>
  </si>
  <si>
    <t>στο</t>
  </si>
  <si>
    <t>kohdalla</t>
  </si>
  <si>
    <t>à</t>
  </si>
  <si>
    <t>पर</t>
  </si>
  <si>
    <t>-kor</t>
  </si>
  <si>
    <t>di</t>
  </si>
  <si>
    <t>a</t>
  </si>
  <si>
    <t>ב-</t>
  </si>
  <si>
    <t>当り</t>
  </si>
  <si>
    <t>위치</t>
  </si>
  <si>
    <t>op</t>
  </si>
  <si>
    <t>w</t>
  </si>
  <si>
    <t>Em</t>
  </si>
  <si>
    <t>la</t>
  </si>
  <si>
    <t>ob</t>
  </si>
  <si>
    <t>kod</t>
  </si>
  <si>
    <t>vid</t>
  </si>
  <si>
    <t>ที่</t>
  </si>
  <si>
    <t>saat:</t>
  </si>
  <si>
    <t>tại</t>
  </si>
  <si>
    <t>在</t>
  </si>
  <si>
    <t>&gt;在</t>
  </si>
  <si>
    <t>offering_x_file</t>
  </si>
  <si>
    <t>Offering %s</t>
  </si>
  <si>
    <t>عرض %s</t>
  </si>
  <si>
    <t>Предлагане на %s</t>
  </si>
  <si>
    <t>Oferint %s</t>
  </si>
  <si>
    <t>%s wird angeboten</t>
  </si>
  <si>
    <t>Ofreciendo %s</t>
  </si>
  <si>
    <t>En train de proposer un(e) %s</t>
  </si>
  <si>
    <t>Ofrecendo %s</t>
  </si>
  <si>
    <t>Felajánlás alatt: %s</t>
  </si>
  <si>
    <t>Menawarkan %s</t>
  </si>
  <si>
    <t>Offrendo %s</t>
  </si>
  <si>
    <t>%s の依頼中</t>
  </si>
  <si>
    <t>%s 제공중</t>
  </si>
  <si>
    <t>Bezig met aanbieden van %s</t>
  </si>
  <si>
    <t>Oferowanie %s</t>
  </si>
  <si>
    <t>Oferecendo %s</t>
  </si>
  <si>
    <t>Предложен %s</t>
  </si>
  <si>
    <t>Ponúkam %s</t>
  </si>
  <si>
    <t>Нудим %s</t>
  </si>
  <si>
    <t>Erbjuder %s</t>
  </si>
  <si>
    <t>Пропозиція %s</t>
  </si>
  <si>
    <t>Đang đề xuất %s</t>
  </si>
  <si>
    <t>提供中 %s</t>
  </si>
  <si>
    <t>jabber_id_copied_to_clipboard</t>
  </si>
  <si>
    <t>Copied Jabber ID to clipboard</t>
  </si>
  <si>
    <t>Jabber идентификаторът е копиран</t>
  </si>
  <si>
    <t>Copia l\'ID de Jabber al portapapers</t>
  </si>
  <si>
    <t>Jabber-ID in die Zwischenablage kopiert</t>
  </si>
  <si>
    <t>Identificador Jabber copiado al portapapeles</t>
  </si>
  <si>
    <t>ID Jabber copiado ao portapapeis</t>
  </si>
  <si>
    <t>A Jabber azonosítót a vágólapra másoltuk</t>
  </si>
  <si>
    <t>ID Jabber copiato negli appunti</t>
  </si>
  <si>
    <t>Jabber-ID gekopieerd naar klembord</t>
  </si>
  <si>
    <t>Skopiowano Jabber ID do schowka</t>
  </si>
  <si>
    <t>tt_ytd</t>
  </si>
  <si>
    <t>Perf. YTD</t>
  </si>
  <si>
    <t>الأداء منذ بداية العامة وحتى تاريخه</t>
  </si>
  <si>
    <t>Perf. От началото на годината</t>
  </si>
  <si>
    <t>Perf. Rok do teď</t>
  </si>
  <si>
    <t>Perf. ÅTD</t>
  </si>
  <si>
    <t>Perf. lfd. Jahr</t>
  </si>
  <si>
    <t>Perf. Tulos tilivuoden alusta</t>
  </si>
  <si>
    <t>Perf. वाईटीडी</t>
  </si>
  <si>
    <t>Telj. YTD</t>
  </si>
  <si>
    <t>Kinerja STI</t>
  </si>
  <si>
    <t>שלמות. מתחילת השנה עד היום</t>
  </si>
  <si>
    <t>年初来</t>
  </si>
  <si>
    <t>실적 YTD</t>
  </si>
  <si>
    <t>Prestasi STI</t>
  </si>
  <si>
    <t>Rendement YTD</t>
  </si>
  <si>
    <t>Wynik YTD</t>
  </si>
  <si>
    <t>Desempenho até à data</t>
  </si>
  <si>
    <t>Активность с начала года</t>
  </si>
  <si>
    <t>Perf. Od začetka leta</t>
  </si>
  <si>
    <t>YTD</t>
  </si>
  <si>
    <t>ประสิทธิภาพ YTD</t>
  </si>
  <si>
    <t>Performans YTD</t>
  </si>
  <si>
    <t>Hoàn hảo YTD</t>
  </si>
  <si>
    <t>今年为止的表现</t>
  </si>
  <si>
    <t>&gt;今年為止的表現</t>
  </si>
  <si>
    <t>tt_net_income</t>
  </si>
  <si>
    <t>Net Income</t>
  </si>
  <si>
    <t>صافي الدخل</t>
  </si>
  <si>
    <t>Нетни доходи</t>
  </si>
  <si>
    <t>Čistý příjem</t>
  </si>
  <si>
    <t>Nettoindkomst</t>
  </si>
  <si>
    <t>Konzernergebnis</t>
  </si>
  <si>
    <t>Καθαρά έσοδα</t>
  </si>
  <si>
    <t>Ingresos Netos</t>
  </si>
  <si>
    <t>Nettotulot</t>
  </si>
  <si>
    <t>Résultat net</t>
  </si>
  <si>
    <t>निवल आय</t>
  </si>
  <si>
    <t>Adózott eredmény</t>
  </si>
  <si>
    <t>Pendapatan Bersih</t>
  </si>
  <si>
    <t>Utile netto</t>
  </si>
  <si>
    <t>הכנסה נטו</t>
  </si>
  <si>
    <t>純利益</t>
  </si>
  <si>
    <t>당기순수익</t>
  </si>
  <si>
    <t>Netto Winst</t>
  </si>
  <si>
    <t>Nettoinntekt</t>
  </si>
  <si>
    <t>Zysk netto</t>
  </si>
  <si>
    <t>Lucro líquido</t>
  </si>
  <si>
    <t>Venit Net</t>
  </si>
  <si>
    <t>Чистая прибыль</t>
  </si>
  <si>
    <t>Čistý príjem</t>
  </si>
  <si>
    <t>Čisti prihodki</t>
  </si>
  <si>
    <t>Neto dobitak</t>
  </si>
  <si>
    <t>Nettoinkomst</t>
  </si>
  <si>
    <t>รายได้สุทธิ</t>
  </si>
  <si>
    <t>Net Gelir</t>
  </si>
  <si>
    <t>Thu nhập ròng</t>
  </si>
  <si>
    <t>净利</t>
  </si>
  <si>
    <t>&gt;淨利</t>
  </si>
  <si>
    <t>pref_manually_change_presence</t>
  </si>
  <si>
    <t>Manage availability manually</t>
  </si>
  <si>
    <t>ضبط حالة الحضور يدويًا</t>
  </si>
  <si>
    <t>Ръчна промяна на присъствието</t>
  </si>
  <si>
    <t>Gestioneu la disponibilitat manualment</t>
  </si>
  <si>
    <t>Status manuell ändern</t>
  </si>
  <si>
    <t>Gestionar disponibilidad manualmente</t>
  </si>
  <si>
    <t>Gérer l\'état de disponibilité manuellement</t>
  </si>
  <si>
    <t>Xestionar a disponibilidade manualmente</t>
  </si>
  <si>
    <t>Elérhetőség manuális beállítása</t>
  </si>
  <si>
    <t>Gestisci manualmente la disponibilità</t>
  </si>
  <si>
    <t>Aanwezigheid handmatig beheren</t>
  </si>
  <si>
    <t>Zarządzaj dostępnością ręcznie</t>
  </si>
  <si>
    <t>Gerir manualmente a disponibilidade</t>
  </si>
  <si>
    <t>server_info_unavailable</t>
  </si>
  <si>
    <t>unavailable</t>
  </si>
  <si>
    <t>غير متاح</t>
  </si>
  <si>
    <t>не е налично</t>
  </si>
  <si>
    <t>No disponible</t>
  </si>
  <si>
    <t>nein</t>
  </si>
  <si>
    <t>No</t>
  </si>
  <si>
    <t>non supporté</t>
  </si>
  <si>
    <t>non dispoñible</t>
  </si>
  <si>
    <t>nem támogatott</t>
  </si>
  <si>
    <t>tidak tersedia</t>
  </si>
  <si>
    <t>non disponibile</t>
  </si>
  <si>
    <t>利用不可</t>
  </si>
  <si>
    <t>불가</t>
  </si>
  <si>
    <t>niet beschikbaar</t>
  </si>
  <si>
    <t>niedostępny</t>
  </si>
  <si>
    <t>indisponível</t>
  </si>
  <si>
    <t>недоступно</t>
  </si>
  <si>
    <t>nedostupný</t>
  </si>
  <si>
    <t>недоступан</t>
  </si>
  <si>
    <t>otillgänglig</t>
  </si>
  <si>
    <t>нема</t>
  </si>
  <si>
    <t>không sẵn sàng</t>
  </si>
  <si>
    <t>無效</t>
  </si>
  <si>
    <t>email_address</t>
  </si>
  <si>
    <t>E-mail address</t>
  </si>
  <si>
    <t>عنوان البريد الإلكتروني</t>
  </si>
  <si>
    <t>Имейл адрес</t>
  </si>
  <si>
    <t>Emailová adresa</t>
  </si>
  <si>
    <t>Email adresse</t>
  </si>
  <si>
    <t>E-Mail-Adresse</t>
  </si>
  <si>
    <t>Διεύθυνση email</t>
  </si>
  <si>
    <t>Dirección de correo electrónico</t>
  </si>
  <si>
    <t>Sähköpostiosoite</t>
  </si>
  <si>
    <t>Adresse e-mail</t>
  </si>
  <si>
    <t>ईमेल पता</t>
  </si>
  <si>
    <t>Email cím</t>
  </si>
  <si>
    <t>Alamat email</t>
  </si>
  <si>
    <t>Indirizzo e-mail</t>
  </si>
  <si>
    <t>כתובת דוא"ל</t>
  </si>
  <si>
    <t>電子メールアドレス</t>
  </si>
  <si>
    <t>이메일 주소</t>
  </si>
  <si>
    <t>Alamat e-mel</t>
  </si>
  <si>
    <t>E-mail adres</t>
  </si>
  <si>
    <t>Epostadresse</t>
  </si>
  <si>
    <t>Adres e-mail</t>
  </si>
  <si>
    <t>Endereço de e-mail</t>
  </si>
  <si>
    <t>Adresa de email</t>
  </si>
  <si>
    <t>Адрес электронной почты</t>
  </si>
  <si>
    <t>Email naslov</t>
  </si>
  <si>
    <t>E-mail adresa</t>
  </si>
  <si>
    <t>E-postadress</t>
  </si>
  <si>
    <t>อีเมล</t>
  </si>
  <si>
    <t>E-posta adresi</t>
  </si>
  <si>
    <t>Địa chỉ email</t>
  </si>
  <si>
    <t>邮件地址</t>
  </si>
  <si>
    <t>tt_days</t>
  </si>
  <si>
    <t>days</t>
  </si>
  <si>
    <t>أيام</t>
  </si>
  <si>
    <t>дни</t>
  </si>
  <si>
    <t>dny</t>
  </si>
  <si>
    <t>dage</t>
  </si>
  <si>
    <t>Tagen</t>
  </si>
  <si>
    <t>ημέρες</t>
  </si>
  <si>
    <t>días</t>
  </si>
  <si>
    <t>päivää</t>
  </si>
  <si>
    <t>jours</t>
  </si>
  <si>
    <t>दिन</t>
  </si>
  <si>
    <t>napok</t>
  </si>
  <si>
    <t>hari</t>
  </si>
  <si>
    <t>Giorni</t>
  </si>
  <si>
    <t>ימים</t>
  </si>
  <si>
    <t>日</t>
  </si>
  <si>
    <t>일</t>
  </si>
  <si>
    <t>dagen</t>
  </si>
  <si>
    <t>dager</t>
  </si>
  <si>
    <t>dni</t>
  </si>
  <si>
    <t>dias</t>
  </si>
  <si>
    <t>zile</t>
  </si>
  <si>
    <t>dnevi</t>
  </si>
  <si>
    <t>dana</t>
  </si>
  <si>
    <t>dagar</t>
  </si>
  <si>
    <t>วัน</t>
  </si>
  <si>
    <t>Günler</t>
  </si>
  <si>
    <t>ngày</t>
  </si>
  <si>
    <t>天</t>
  </si>
  <si>
    <t>&gt;天</t>
  </si>
  <si>
    <t>chat_unmute_user_notifications</t>
  </si>
  <si>
    <t>Unmute user notifications</t>
  </si>
  <si>
    <t>Nutzerbenachrichtigungen laut schalten</t>
  </si>
  <si>
    <t>Reactivar notificaciones de usuario</t>
  </si>
  <si>
    <t>Arrêter d\'ignorer les notifications</t>
  </si>
  <si>
    <t>Felhasználói értesítések némításánák feloldása</t>
  </si>
  <si>
    <t>Включить уведомления пользователя</t>
  </si>
  <si>
    <t>Odblokiraj notifikacije ovog korisnika</t>
  </si>
  <si>
    <t>tt_historic5y</t>
  </si>
  <si>
    <t>5 Years</t>
  </si>
  <si>
    <t>5 سنوات</t>
  </si>
  <si>
    <t>5 години</t>
  </si>
  <si>
    <t>5 let</t>
  </si>
  <si>
    <t>5 år</t>
  </si>
  <si>
    <t>5 Jahre</t>
  </si>
  <si>
    <t>5 έτη</t>
  </si>
  <si>
    <t>5 Años</t>
  </si>
  <si>
    <t>5 vuotta</t>
  </si>
  <si>
    <t>5 ans</t>
  </si>
  <si>
    <t>5 वर्ष</t>
  </si>
  <si>
    <t>5 Év</t>
  </si>
  <si>
    <t>5 tahun</t>
  </si>
  <si>
    <t>5 Anni</t>
  </si>
  <si>
    <t>5 שנים</t>
  </si>
  <si>
    <t>5年</t>
  </si>
  <si>
    <t>5년</t>
  </si>
  <si>
    <t>5 jaren</t>
  </si>
  <si>
    <t>5-års</t>
  </si>
  <si>
    <t>5 lat</t>
  </si>
  <si>
    <t>5 anos</t>
  </si>
  <si>
    <t>5 Ani</t>
  </si>
  <si>
    <t>5 лет</t>
  </si>
  <si>
    <t>5 rokov</t>
  </si>
  <si>
    <t>5 godina</t>
  </si>
  <si>
    <t>5 ปี</t>
  </si>
  <si>
    <t>5 yıl</t>
  </si>
  <si>
    <t>5 năm</t>
  </si>
  <si>
    <t>５年</t>
  </si>
  <si>
    <t>&gt;５年</t>
  </si>
  <si>
    <t>yes</t>
  </si>
  <si>
    <t>Yes</t>
  </si>
  <si>
    <t>Да</t>
  </si>
  <si>
    <t>Ja</t>
  </si>
  <si>
    <t>Sí</t>
  </si>
  <si>
    <t>Si</t>
  </si>
  <si>
    <t>Igen</t>
  </si>
  <si>
    <t>Sì</t>
  </si>
  <si>
    <t>はい</t>
  </si>
  <si>
    <t>Tak</t>
  </si>
  <si>
    <t>tt_add_comparison</t>
  </si>
  <si>
    <t>Add Comparison</t>
  </si>
  <si>
    <t>أضف مقارنة</t>
  </si>
  <si>
    <t>Добави сравнение</t>
  </si>
  <si>
    <t>Přidat srovnání</t>
  </si>
  <si>
    <t>Tilføj sammenligning</t>
  </si>
  <si>
    <t>Wertpapier hinzufügen</t>
  </si>
  <si>
    <t>Προσθήκη σύγκρισης</t>
  </si>
  <si>
    <t>Agregar comparación</t>
  </si>
  <si>
    <t>Lisää vertailu</t>
  </si>
  <si>
    <t>Comparer</t>
  </si>
  <si>
    <t>तुलना को जोड़ें</t>
  </si>
  <si>
    <t>Összehasonlítás hozzáadása</t>
  </si>
  <si>
    <t>Tambahkan Perbandingan</t>
  </si>
  <si>
    <t>Aggiungi Comparazione</t>
  </si>
  <si>
    <t>הוסף השוואה</t>
  </si>
  <si>
    <t>比較追加</t>
  </si>
  <si>
    <t>비교 추가</t>
  </si>
  <si>
    <t>Tambah Perbandingan</t>
  </si>
  <si>
    <t>Voeg vergelijking toe</t>
  </si>
  <si>
    <t>Legg til sammenligning</t>
  </si>
  <si>
    <t>Dodaj porównanie</t>
  </si>
  <si>
    <t>adicionar comparação</t>
  </si>
  <si>
    <t>Adaugă Comparația</t>
  </si>
  <si>
    <t>Добавить для сравнения</t>
  </si>
  <si>
    <t>Pridať porovnanie</t>
  </si>
  <si>
    <t>Dodaj primerjavo</t>
  </si>
  <si>
    <t>Dodaj poređenje</t>
  </si>
  <si>
    <t>Lägg till jämförelse</t>
  </si>
  <si>
    <t>เพิ่มข้อเปรียบเทียบ</t>
  </si>
  <si>
    <t>Karşılaştırma Ekle</t>
  </si>
  <si>
    <t>Thêm so sánh</t>
  </si>
  <si>
    <t>加入比较</t>
  </si>
  <si>
    <t>&gt;加入比較</t>
  </si>
  <si>
    <t>blindly_trusted_omemo_keys</t>
  </si>
  <si>
    <t>Blindly trusted OMEMO keys</t>
  </si>
  <si>
    <t>الثقة العمياء في مفاتيح أوميمو OMEMO</t>
  </si>
  <si>
    <t>Приети на сляпо ключове OMEMO</t>
  </si>
  <si>
    <t>Tecles OMEMO de confiança cega</t>
  </si>
  <si>
    <t>Blind vertraute OMEMO-Schlüssel</t>
  </si>
  <si>
    <t>Huellas digitales OMEMO de confianza ciega</t>
  </si>
  <si>
    <t>Faire aveuglément confiance aux clefs OMEMO</t>
  </si>
  <si>
    <t>Chaves OMEMO con confianza cega</t>
  </si>
  <si>
    <t>Megerősítetlen OMEMO kulcsok</t>
  </si>
  <si>
    <t>Chiavi OMEMO fidate ciecamente</t>
  </si>
  <si>
    <t>OMEMO 鍵を白紙信託しました</t>
  </si>
  <si>
    <t>Blindelings vertrouwde OMEMO-sleutels</t>
  </si>
  <si>
    <t>Klucze OMEMO którym ślepo zaufano</t>
  </si>
  <si>
    <t>Слепо доверенные OMEMO ключи</t>
  </si>
  <si>
    <t>Слепо веруј ОМЕМО кључевима</t>
  </si>
  <si>
    <t>Lita blint på OMEMO-nycklar</t>
  </si>
  <si>
    <t>Ключі OMEMO наосліп прийнято як довірені</t>
  </si>
  <si>
    <t>自動信任的 OMEMO 金鑰</t>
  </si>
  <si>
    <t>holy_see</t>
  </si>
  <si>
    <t>Holy See (Vatican City State)</t>
  </si>
  <si>
    <t>Vatikanstaat</t>
  </si>
  <si>
    <t>El Vaticano</t>
  </si>
  <si>
    <t>Saint-Siège (État de la Cité du Vatican)</t>
  </si>
  <si>
    <t>Ватикан</t>
  </si>
  <si>
    <t>Vatikan</t>
  </si>
  <si>
    <t>tt_send_mail</t>
  </si>
  <si>
    <t>Send e-mail</t>
  </si>
  <si>
    <t>إرسل بريد إلكتروني</t>
  </si>
  <si>
    <t>Изпрати имейл</t>
  </si>
  <si>
    <t>Poslat e-mailem</t>
  </si>
  <si>
    <t>E-mail senden</t>
  </si>
  <si>
    <t>Αποστολή e-mail</t>
  </si>
  <si>
    <t>Enviar e-mail</t>
  </si>
  <si>
    <t>Lähetä sähköposti</t>
  </si>
  <si>
    <t>Envoyer un e-mail</t>
  </si>
  <si>
    <t>ईमेल भेजें</t>
  </si>
  <si>
    <t>Küldjön e-mailt</t>
  </si>
  <si>
    <t>Kirim Email</t>
  </si>
  <si>
    <t>Invia email</t>
  </si>
  <si>
    <t>שלח דוא"ל</t>
  </si>
  <si>
    <t>メールを送る</t>
  </si>
  <si>
    <t>이메일 전송</t>
  </si>
  <si>
    <t>Hantar e-mel</t>
  </si>
  <si>
    <t>Verzend e-mail</t>
  </si>
  <si>
    <t>Send e-post</t>
  </si>
  <si>
    <t>Wyślij e-mail</t>
  </si>
  <si>
    <t>Mandar e-mail</t>
  </si>
  <si>
    <t>Trimite email</t>
  </si>
  <si>
    <t>Отправить по электронной почте</t>
  </si>
  <si>
    <t>Poslať email</t>
  </si>
  <si>
    <t>Pošlji sporočilo</t>
  </si>
  <si>
    <t>Slanje e-maila</t>
  </si>
  <si>
    <t>Skicka epost</t>
  </si>
  <si>
    <t>ส่งอีเมล</t>
  </si>
  <si>
    <t>E-posta gönder</t>
  </si>
  <si>
    <t>Gửi email</t>
  </si>
  <si>
    <t>发送电子邮件</t>
  </si>
  <si>
    <t>&gt;發送電子郵件</t>
  </si>
  <si>
    <t>tt_missing_password</t>
  </si>
  <si>
    <t>Please enter your password.</t>
  </si>
  <si>
    <t>يُرجى إدخال كلمة المرور.</t>
  </si>
  <si>
    <t>Моля, въведете паролата си.</t>
  </si>
  <si>
    <t>Zadejte prosím heslo.</t>
  </si>
  <si>
    <t>Indtast venligst dit kodeord.</t>
  </si>
  <si>
    <t>Geben Sie ihr Passwort ein.</t>
  </si>
  <si>
    <t>Παρακαλώ εισάγετε τον κωδικό σας.</t>
  </si>
  <si>
    <t>Por favor, introduzca su contraseña.</t>
  </si>
  <si>
    <t>Anna salasanasi.</t>
  </si>
  <si>
    <t>Entrez votre mot de passe</t>
  </si>
  <si>
    <t>कृपया अपना पासवर्ड दर्ज करें।</t>
  </si>
  <si>
    <t>Kérjük, adja meg jelszavát</t>
  </si>
  <si>
    <t>Silakan masukkan kata sandi Anda.</t>
  </si>
  <si>
    <t>Inserisci il tuo password</t>
  </si>
  <si>
    <t>הזן את סיסמתך בבקשה.</t>
  </si>
  <si>
    <t>パスワードを入力してください</t>
  </si>
  <si>
    <t>비밀번호를 입력하세요.</t>
  </si>
  <si>
    <t>Sila masukkan kata laluan anda.</t>
  </si>
  <si>
    <t>Vul uw password in.</t>
  </si>
  <si>
    <t>Oppgi passordet ditt.</t>
  </si>
  <si>
    <t>Proszę wpisać swoje hasło.</t>
  </si>
  <si>
    <t>Por favor inserir a senha</t>
  </si>
  <si>
    <t>Introdu parola.</t>
  </si>
  <si>
    <t>Пожалуйста, введите пароль</t>
  </si>
  <si>
    <t>Vložte svoje heslo.</t>
  </si>
  <si>
    <t>Prosimo vnesite svoje geslo.</t>
  </si>
  <si>
    <t>Unesite Vašu lozinku</t>
  </si>
  <si>
    <t>Ange ditt lösenord.</t>
  </si>
  <si>
    <t>โปรดป้อนรหัสผ่าน</t>
  </si>
  <si>
    <t>Lütfen şifrenizi girin.</t>
  </si>
  <si>
    <t>Vui lòng nhập mật khẩu của bạn.</t>
  </si>
  <si>
    <t>请输入您的密码</t>
  </si>
  <si>
    <t>&gt;請輸入您的密碼</t>
  </si>
  <si>
    <t>user_status_days_offline</t>
  </si>
  <si>
    <t>\u0020days offline</t>
  </si>
  <si>
    <t>tage offline</t>
  </si>
  <si>
    <t>días offline</t>
  </si>
  <si>
    <t>jours hors ligne</t>
  </si>
  <si>
    <t>napok óta offline</t>
  </si>
  <si>
    <t>дней оффлайн</t>
  </si>
  <si>
    <t>dana oflajn</t>
  </si>
  <si>
    <t>onboarding_never</t>
  </si>
  <si>
    <t>Never</t>
  </si>
  <si>
    <t>Aldrig</t>
  </si>
  <si>
    <t>Niemals</t>
  </si>
  <si>
    <t>Nunca</t>
  </si>
  <si>
    <t>Ei koskaan</t>
  </si>
  <si>
    <t>Jamais</t>
  </si>
  <si>
    <t>Soha</t>
  </si>
  <si>
    <t>Tidak pernah</t>
  </si>
  <si>
    <t>Mai</t>
  </si>
  <si>
    <t>いいえ</t>
  </si>
  <si>
    <t>전혀 생각 없음</t>
  </si>
  <si>
    <t>Jangan</t>
  </si>
  <si>
    <t>Nooit</t>
  </si>
  <si>
    <t>Aldri</t>
  </si>
  <si>
    <t>Nigdy</t>
  </si>
  <si>
    <t>Никогда</t>
  </si>
  <si>
    <t>Nikada</t>
  </si>
  <si>
    <t>Hiçbir zaman</t>
  </si>
  <si>
    <t>从不</t>
  </si>
  <si>
    <t>tt_template_error_no_file_found</t>
  </si>
  <si>
    <t>No Template found!</t>
  </si>
  <si>
    <t>لا يوجد قالب</t>
  </si>
  <si>
    <t>Няма намерен шаблон!</t>
  </si>
  <si>
    <t>Nebyla nalezena žádná šablona!</t>
  </si>
  <si>
    <t>Ingen skabeloner fundet!</t>
  </si>
  <si>
    <t>Kein Template gefunden!</t>
  </si>
  <si>
    <t>Δεν βρέθηκε πρότυπο!</t>
  </si>
  <si>
    <t>Plantilla no encontrada</t>
  </si>
  <si>
    <t>Mallia ei löytynyt!</t>
  </si>
  <si>
    <t>Aucun modèle n\'a été trouvé!</t>
  </si>
  <si>
    <t>कोई टेम्पलेट नहीं मिला!</t>
  </si>
  <si>
    <t>Tidak ada Template yang ditemukan!</t>
  </si>
  <si>
    <t>Modello non è trovato</t>
  </si>
  <si>
    <t>לא נמצאה תבנית!</t>
  </si>
  <si>
    <t>テンプレートが見つかりません</t>
  </si>
  <si>
    <t>템플릿이 없습니다!</t>
  </si>
  <si>
    <t>Tiada Templat yang dijumpai!</t>
  </si>
  <si>
    <t>Geen Template gevonden!</t>
  </si>
  <si>
    <t>Ingen mal funnet!</t>
  </si>
  <si>
    <t>Nie znaleziono szablonu!</t>
  </si>
  <si>
    <t>Modelo não encontrado</t>
  </si>
  <si>
    <t>Nu a fost găsit niciun Șablon!</t>
  </si>
  <si>
    <t>Не найдено ни одного шаблона</t>
  </si>
  <si>
    <t>Nenašla sa žiadna šablóna!</t>
  </si>
  <si>
    <t>Predloge ni mogoče najti!</t>
  </si>
  <si>
    <t>Nema templejta !</t>
  </si>
  <si>
    <t>Ingen mall hittades!</t>
  </si>
  <si>
    <t>ไม่มีเท็มเพล็ตที่ค้นหา!</t>
  </si>
  <si>
    <t>Şablon bulunamadı!</t>
  </si>
  <si>
    <t>Không tìm thấy mẫu nào!</t>
  </si>
  <si>
    <t>没有模板！</t>
  </si>
  <si>
    <t>&gt;沒有模板!</t>
  </si>
  <si>
    <t>tt_line</t>
  </si>
  <si>
    <t>Line</t>
  </si>
  <si>
    <t>الخط</t>
  </si>
  <si>
    <t>Ред</t>
  </si>
  <si>
    <t>Řádek</t>
  </si>
  <si>
    <t>Linje</t>
  </si>
  <si>
    <t>Linie</t>
  </si>
  <si>
    <t>Γραμμή</t>
  </si>
  <si>
    <t>Linea</t>
  </si>
  <si>
    <t>Viiva</t>
  </si>
  <si>
    <t>Ligne</t>
  </si>
  <si>
    <t>लाइन</t>
  </si>
  <si>
    <t>Vonal</t>
  </si>
  <si>
    <t>Garis</t>
  </si>
  <si>
    <t>Riga</t>
  </si>
  <si>
    <t>קו</t>
  </si>
  <si>
    <t>ライン</t>
  </si>
  <si>
    <t>선</t>
  </si>
  <si>
    <t>Garisan</t>
  </si>
  <si>
    <t>Lijn</t>
  </si>
  <si>
    <t>Linia</t>
  </si>
  <si>
    <t>Linha</t>
  </si>
  <si>
    <t>Линия</t>
  </si>
  <si>
    <t>Riadok</t>
  </si>
  <si>
    <t>Vrstica</t>
  </si>
  <si>
    <t>Linija</t>
  </si>
  <si>
    <t>Rad</t>
  </si>
  <si>
    <t>ไลน์</t>
  </si>
  <si>
    <t>Hat</t>
  </si>
  <si>
    <t>Hàng</t>
  </si>
  <si>
    <t>线</t>
  </si>
  <si>
    <t>&gt;線</t>
  </si>
  <si>
    <t>wrong_username</t>
  </si>
  <si>
    <t>Wrong username</t>
  </si>
  <si>
    <t>اسم مستخدم خاطئ</t>
  </si>
  <si>
    <t>Грешно потребителско име</t>
  </si>
  <si>
    <t>Chybné uživatelské jméno</t>
  </si>
  <si>
    <t>Forkert brugernavn</t>
  </si>
  <si>
    <t>Falscher Benutzername</t>
  </si>
  <si>
    <t>Λάθος όνομα χρήστη</t>
  </si>
  <si>
    <t>Nombre de usuario incorrecto</t>
  </si>
  <si>
    <t>Väärä käyttäjänimi</t>
  </si>
  <si>
    <t>Mauvais nom d\'utilisateur.</t>
  </si>
  <si>
    <t>गलत यूजरनेम</t>
  </si>
  <si>
    <t>Rossz felhasználónév</t>
  </si>
  <si>
    <t>Nama pengguna salah</t>
  </si>
  <si>
    <t>Username sbagliato</t>
  </si>
  <si>
    <t>שם משתמש שגוי</t>
  </si>
  <si>
    <t>ユーザーネームが間違っています</t>
  </si>
  <si>
    <t>잘못된 사용자 이름</t>
  </si>
  <si>
    <t>Verkeerde gebruikersnaam</t>
  </si>
  <si>
    <t>Feil brukernavn</t>
  </si>
  <si>
    <t>Niepoprawna nazwa użytkownika</t>
  </si>
  <si>
    <t>Nome de utilizador errado</t>
  </si>
  <si>
    <t>Nume utilizator greșit</t>
  </si>
  <si>
    <t>Неправильное имя пользователя.</t>
  </si>
  <si>
    <t>Nesprávne používateľské meno</t>
  </si>
  <si>
    <t>Napačno uporabniško ime</t>
  </si>
  <si>
    <t>Pogrešno korisničko ime</t>
  </si>
  <si>
    <t>Fel användarnamn</t>
  </si>
  <si>
    <t>ชื่อผู้ใช้ไม่ถูกต้อง</t>
  </si>
  <si>
    <t>Yanlış kullanıcı adı</t>
  </si>
  <si>
    <t>Tên người dùng sai</t>
  </si>
  <si>
    <t>用户名称错误</t>
  </si>
  <si>
    <t>dialog_manage_certs_positivebutton</t>
  </si>
  <si>
    <t>Delete selection</t>
  </si>
  <si>
    <t>قم بحذف المختارة</t>
  </si>
  <si>
    <t>Изтриване на избраните</t>
  </si>
  <si>
    <t>Esborrar selecció</t>
  </si>
  <si>
    <t>Auswahl löschen</t>
  </si>
  <si>
    <t>Eliminar seleccionados</t>
  </si>
  <si>
    <t>Supprimer la sélection</t>
  </si>
  <si>
    <t>Borrar seleción</t>
  </si>
  <si>
    <t>Kiválasztás törlése</t>
  </si>
  <si>
    <t>Hapus seleksi</t>
  </si>
  <si>
    <t>Cancella la selezione</t>
  </si>
  <si>
    <t>選択を削除</t>
  </si>
  <si>
    <t>선택 삭제</t>
  </si>
  <si>
    <t>Selectie verwijderen</t>
  </si>
  <si>
    <t>Usuń zaznaczone</t>
  </si>
  <si>
    <t>Apagar seleção</t>
  </si>
  <si>
    <t>Vymazať výber</t>
  </si>
  <si>
    <t>Обриши изабрано</t>
  </si>
  <si>
    <t>Ta bort val</t>
  </si>
  <si>
    <t>Видалити вибране</t>
  </si>
  <si>
    <t>Xoá lựa chọn</t>
  </si>
  <si>
    <t>刪除選項</t>
  </si>
  <si>
    <t>tt_derivatives_underlyingname</t>
  </si>
  <si>
    <t>Underlying</t>
  </si>
  <si>
    <t>أساسي</t>
  </si>
  <si>
    <t>Основен</t>
  </si>
  <si>
    <t>Základní</t>
  </si>
  <si>
    <t>Underliggende</t>
  </si>
  <si>
    <t>Basiswert</t>
  </si>
  <si>
    <t>Υποκείμενες</t>
  </si>
  <si>
    <t>Subyacente</t>
  </si>
  <si>
    <t>Taustalla oleva</t>
  </si>
  <si>
    <t>Sous-jacent</t>
  </si>
  <si>
    <t>अंतर्निहित</t>
  </si>
  <si>
    <t>Alaptermék</t>
  </si>
  <si>
    <t>Dasar</t>
  </si>
  <si>
    <t>Sottostante</t>
  </si>
  <si>
    <t>נכס בסיס</t>
  </si>
  <si>
    <t>アンダーライイング</t>
  </si>
  <si>
    <t>기본</t>
  </si>
  <si>
    <t>Asas</t>
  </si>
  <si>
    <t>Onderliggende</t>
  </si>
  <si>
    <t>Bazowy</t>
  </si>
  <si>
    <t>Subjacente</t>
  </si>
  <si>
    <t>Fundamental</t>
  </si>
  <si>
    <t>Базовый актив</t>
  </si>
  <si>
    <t>Základné</t>
  </si>
  <si>
    <t>Osnovno</t>
  </si>
  <si>
    <t>Osnova simbola</t>
  </si>
  <si>
    <t>Underliggande</t>
  </si>
  <si>
    <t>หุ้นอ้างอิง</t>
  </si>
  <si>
    <t>Temelindeki</t>
  </si>
  <si>
    <t>Hợp đồng</t>
  </si>
  <si>
    <t>连结标的</t>
  </si>
  <si>
    <t>&gt;連結標的</t>
  </si>
  <si>
    <t>tt_always</t>
  </si>
  <si>
    <t>Always</t>
  </si>
  <si>
    <t>دائمًا</t>
  </si>
  <si>
    <t>Винаги</t>
  </si>
  <si>
    <t>Vždy</t>
  </si>
  <si>
    <t>Altid</t>
  </si>
  <si>
    <t>Immer</t>
  </si>
  <si>
    <t>Πάντα</t>
  </si>
  <si>
    <t>Siempre</t>
  </si>
  <si>
    <t>Aina</t>
  </si>
  <si>
    <t>Toujours</t>
  </si>
  <si>
    <t>हमेशा</t>
  </si>
  <si>
    <t>Mindig</t>
  </si>
  <si>
    <t>Senantiasa</t>
  </si>
  <si>
    <t>Sempre</t>
  </si>
  <si>
    <t>תמיד</t>
  </si>
  <si>
    <t>ON</t>
  </si>
  <si>
    <t>항상</t>
  </si>
  <si>
    <t>Sentiasa</t>
  </si>
  <si>
    <t>Altijd</t>
  </si>
  <si>
    <t>Alltid</t>
  </si>
  <si>
    <t>Zawsze</t>
  </si>
  <si>
    <t>Mereu</t>
  </si>
  <si>
    <t>Всегда</t>
  </si>
  <si>
    <t>Nenehno</t>
  </si>
  <si>
    <t>Uvek</t>
  </si>
  <si>
    <t>เสมอ</t>
  </si>
  <si>
    <t>Her zaman</t>
  </si>
  <si>
    <t>Luôn luôn</t>
  </si>
  <si>
    <t>永远</t>
  </si>
  <si>
    <t>&gt;永遠</t>
  </si>
  <si>
    <t>currency_converter</t>
  </si>
  <si>
    <t>Curency Converter</t>
  </si>
  <si>
    <t>Currency Converter</t>
  </si>
  <si>
    <t>Konverter Valuta</t>
  </si>
  <si>
    <t>tt_cancel</t>
  </si>
  <si>
    <t>Cancel</t>
  </si>
  <si>
    <t>إلغاء</t>
  </si>
  <si>
    <t>Отказ</t>
  </si>
  <si>
    <t>Zrušit</t>
  </si>
  <si>
    <t>Afbestille</t>
  </si>
  <si>
    <t>Abbrechen</t>
  </si>
  <si>
    <t>Ματαίωση</t>
  </si>
  <si>
    <t>Cancelar</t>
  </si>
  <si>
    <t>Peruuta</t>
  </si>
  <si>
    <t>Annuler</t>
  </si>
  <si>
    <t>रद्द करें</t>
  </si>
  <si>
    <t>Mégse</t>
  </si>
  <si>
    <t>Batalkan</t>
  </si>
  <si>
    <t>Annulla</t>
  </si>
  <si>
    <t>בטל</t>
  </si>
  <si>
    <t>キャンセル</t>
  </si>
  <si>
    <t>취소</t>
  </si>
  <si>
    <t>Annuleer</t>
  </si>
  <si>
    <t>Avbryt</t>
  </si>
  <si>
    <t>Anuluj</t>
  </si>
  <si>
    <t>Anulează</t>
  </si>
  <si>
    <t>Закрыть</t>
  </si>
  <si>
    <t>Zrušiť</t>
  </si>
  <si>
    <t>Prekliči</t>
  </si>
  <si>
    <t>Odustani</t>
  </si>
  <si>
    <t>ยกเลิก</t>
  </si>
  <si>
    <t>İptal Et</t>
  </si>
  <si>
    <t>Hủy</t>
  </si>
  <si>
    <t>取消</t>
  </si>
  <si>
    <t>&gt;取消</t>
  </si>
  <si>
    <t>tt_currency_calculator</t>
  </si>
  <si>
    <t>Currency Calculator</t>
  </si>
  <si>
    <t>حاسبة العملات</t>
  </si>
  <si>
    <t>Валутен калкулатор</t>
  </si>
  <si>
    <t>Kalkulačka měn</t>
  </si>
  <si>
    <t>Valutaomregner</t>
  </si>
  <si>
    <t>Währungsrechner</t>
  </si>
  <si>
    <t>Υπολογιστής νομίσματος</t>
  </si>
  <si>
    <t>Conversor de divisas</t>
  </si>
  <si>
    <t>Valuuttalaskin</t>
  </si>
  <si>
    <t>Convertisseur de devises</t>
  </si>
  <si>
    <t>मुद्रा कैलकुलेटर</t>
  </si>
  <si>
    <t>Deviza árfolyam kalkulátor</t>
  </si>
  <si>
    <t>Kalkulator Mata Uang</t>
  </si>
  <si>
    <t>Convertitore di valute</t>
  </si>
  <si>
    <t>מחשבון מטבעות</t>
  </si>
  <si>
    <t>為替計算</t>
  </si>
  <si>
    <t>통화 계산기</t>
  </si>
  <si>
    <t>Kalkulator Mata Wang</t>
  </si>
  <si>
    <t>Valuta Calculator</t>
  </si>
  <si>
    <t>Valutakalkulator</t>
  </si>
  <si>
    <t>Kalkulator Walut</t>
  </si>
  <si>
    <t>Calculadora de divisa</t>
  </si>
  <si>
    <t>Calculator Valutar</t>
  </si>
  <si>
    <t>Валютный калькулятор</t>
  </si>
  <si>
    <t>Menová kalkulačka</t>
  </si>
  <si>
    <t>Kalkulator valut</t>
  </si>
  <si>
    <t>Kalkulator valuta</t>
  </si>
  <si>
    <t>Valutakalkylator</t>
  </si>
  <si>
    <t>เครื่องคำนวณสกุลเงิน</t>
  </si>
  <si>
    <t>Döviz Hesaplama</t>
  </si>
  <si>
    <t>Máy tính tiền tệ</t>
  </si>
  <si>
    <t>货币计算器</t>
  </si>
  <si>
    <t>&gt;貨幣計算器</t>
  </si>
  <si>
    <t>sending_x_file</t>
  </si>
  <si>
    <t>Sending %s</t>
  </si>
  <si>
    <t>ارسال %s</t>
  </si>
  <si>
    <t>Изпращане на %s</t>
  </si>
  <si>
    <t>Enviant %s</t>
  </si>
  <si>
    <t>%s wird gesendet</t>
  </si>
  <si>
    <t>Enviando %s</t>
  </si>
  <si>
    <t>%s en cours d\'envoi</t>
  </si>
  <si>
    <t>Küldés alatt: %s</t>
  </si>
  <si>
    <t>Mengirim %s</t>
  </si>
  <si>
    <t>Invio %s</t>
  </si>
  <si>
    <t>%s の送信中</t>
  </si>
  <si>
    <t>%s 전송중</t>
  </si>
  <si>
    <t>Bezig met versturen van %s</t>
  </si>
  <si>
    <t>Wysyłanie %s</t>
  </si>
  <si>
    <t>Отправляется %s</t>
  </si>
  <si>
    <t>Posielam %s</t>
  </si>
  <si>
    <t>Шаљем %s</t>
  </si>
  <si>
    <t>Skickar %s</t>
  </si>
  <si>
    <t>Відправка %s</t>
  </si>
  <si>
    <t>Đang gửi %s</t>
  </si>
  <si>
    <t>發送中 %s</t>
  </si>
  <si>
    <t>missing_internet_permission</t>
  </si>
  <si>
    <t>Missing internet permission</t>
  </si>
  <si>
    <t>ينقص تصريح الإتصال بالإنترنت</t>
  </si>
  <si>
    <t>Липсва разрешение за използване на връзката с Интернет</t>
  </si>
  <si>
    <t>Falta el permís d\'Internet</t>
  </si>
  <si>
    <t>Keine Berechtigungen für den Zugriff auf das Internet</t>
  </si>
  <si>
    <t>Falta permiso de acceso a internet</t>
  </si>
  <si>
    <t>Permission Internet manquante</t>
  </si>
  <si>
    <t>Sen permiso de internet</t>
  </si>
  <si>
    <t>Hiányzó internet engedély</t>
  </si>
  <si>
    <t>Autorizzazione internet mancante</t>
  </si>
  <si>
    <t>インターネットアクセス許可が不足しています</t>
  </si>
  <si>
    <t>인터넷 권한이 없음</t>
  </si>
  <si>
    <t>Internetmachtiging ontbreekt</t>
  </si>
  <si>
    <t>Brak pozwolenia na korzystanie z Internetu</t>
  </si>
  <si>
    <t>Доступ в интернет запрещён</t>
  </si>
  <si>
    <t>Недостаје дозвола за интернет</t>
  </si>
  <si>
    <t>Saknar internet-tillåtelse</t>
  </si>
  <si>
    <t>Немає дозволу на Інтернет</t>
  </si>
  <si>
    <t>缺少互聯網許可權</t>
  </si>
  <si>
    <t>svalbard</t>
  </si>
  <si>
    <t>Svalbard and Jan Mayen Islands</t>
  </si>
  <si>
    <t>Svalbard (Spitzbergen) und Jan Mayen</t>
  </si>
  <si>
    <t>Svalbard y Jan Mayen</t>
  </si>
  <si>
    <t>Îles Svalbard et Jan Mayen</t>
  </si>
  <si>
    <t>Шпицберген и Ян-Майен</t>
  </si>
  <si>
    <t>Svalbard i Jan Majenska ostrva</t>
  </si>
  <si>
    <t>presence_xa</t>
  </si>
  <si>
    <t>Not Available</t>
  </si>
  <si>
    <t>مشغول</t>
  </si>
  <si>
    <t>Недостъпен</t>
  </si>
  <si>
    <t>Nicht verfügbar</t>
  </si>
  <si>
    <t>Non disponible</t>
  </si>
  <si>
    <t>Non dipoñible</t>
  </si>
  <si>
    <t>Nem elérhető</t>
  </si>
  <si>
    <t>Tidak Tersedia</t>
  </si>
  <si>
    <t>Non disponibile</t>
  </si>
  <si>
    <t>사용할 수 없음</t>
  </si>
  <si>
    <t>Niet beschikbaar</t>
  </si>
  <si>
    <t>Niedostępny</t>
  </si>
  <si>
    <t>Não disponível</t>
  </si>
  <si>
    <t>Недоступен</t>
  </si>
  <si>
    <t>Недоступан</t>
  </si>
  <si>
    <t>Ej tillgänglig</t>
  </si>
  <si>
    <t>Не доступний</t>
  </si>
  <si>
    <t>離線</t>
  </si>
  <si>
    <t>video_720p</t>
  </si>
  <si>
    <t>High (720p)</t>
  </si>
  <si>
    <t>Високо (720p)</t>
  </si>
  <si>
    <t>Hoch (720p)</t>
  </si>
  <si>
    <t>Alta (720p)</t>
  </si>
  <si>
    <t>Haute (720p)</t>
  </si>
  <si>
    <t>Magas (720p)</t>
  </si>
  <si>
    <t>Hoog (720p)</t>
  </si>
  <si>
    <t>Wysoka (720p)</t>
  </si>
  <si>
    <t>tt_show_more</t>
  </si>
  <si>
    <t>Show more ...</t>
  </si>
  <si>
    <t>عرض المزيد...</t>
  </si>
  <si>
    <t>Покажи повече ...</t>
  </si>
  <si>
    <t>Zobrazit více...</t>
  </si>
  <si>
    <t>Vis mere ...</t>
  </si>
  <si>
    <t>mehr anzeigen...</t>
  </si>
  <si>
    <t>Δείτε περισσότερα ...</t>
  </si>
  <si>
    <t>Ver más...</t>
  </si>
  <si>
    <t>Näytä lisää...</t>
  </si>
  <si>
    <t>Afficher plus…</t>
  </si>
  <si>
    <t>और दिखाएँ ...</t>
  </si>
  <si>
    <t>Mutass többet...</t>
  </si>
  <si>
    <t>Tunjukkan lagi ...</t>
  </si>
  <si>
    <t>Mostra di più</t>
  </si>
  <si>
    <t>הצג יותר ...</t>
  </si>
  <si>
    <t>詳細を見る</t>
  </si>
  <si>
    <t>자세히 보기...</t>
  </si>
  <si>
    <t>Laat meer zien ...</t>
  </si>
  <si>
    <t>Vis mer ...</t>
  </si>
  <si>
    <t>Pokaż więcej ...</t>
  </si>
  <si>
    <t>Mostrar mais…</t>
  </si>
  <si>
    <t>Afișează mai multe ...</t>
  </si>
  <si>
    <t>Показать больше ...</t>
  </si>
  <si>
    <t>Zobraziť viac ...</t>
  </si>
  <si>
    <t>Pokaži več ...</t>
  </si>
  <si>
    <t>Prikaži još...</t>
  </si>
  <si>
    <t>Visa mer ...</t>
  </si>
  <si>
    <t>แสดงเพิ่มเติม ...</t>
  </si>
  <si>
    <t>Daha fazla göster ...</t>
  </si>
  <si>
    <t>Hiển thị nhiều hơn...</t>
  </si>
  <si>
    <t>显示更多</t>
  </si>
  <si>
    <t>&gt;顯示更多…</t>
  </si>
  <si>
    <t>pref_confirm_messages</t>
  </si>
  <si>
    <t>Confirm Messages</t>
  </si>
  <si>
    <t>تأكيد الرسالة</t>
  </si>
  <si>
    <t>Потвърждаване на съобщенията</t>
  </si>
  <si>
    <t>Confirma els missatges</t>
  </si>
  <si>
    <t>Lese- und Empfangsbestätigung senden</t>
  </si>
  <si>
    <t>Confirmar mensajes</t>
  </si>
  <si>
    <t>Confirmation de lecture</t>
  </si>
  <si>
    <t>Confirmación de mensaxes</t>
  </si>
  <si>
    <t>Üzenetek megerősítése</t>
  </si>
  <si>
    <t>Konfirmasi Pesan</t>
  </si>
  <si>
    <t>Conferma messaggi</t>
  </si>
  <si>
    <t>メッセージの確認</t>
  </si>
  <si>
    <t>메세지 확인</t>
  </si>
  <si>
    <t>Bevestig berichten</t>
  </si>
  <si>
    <t>Potwierdzenia wiadomości</t>
  </si>
  <si>
    <t>Confirmar mensagens</t>
  </si>
  <si>
    <t>Отчёты о получении</t>
  </si>
  <si>
    <t>Potvrdzovať správy</t>
  </si>
  <si>
    <t>Потврди поруке</t>
  </si>
  <si>
    <t>Bekräfta meddelanden</t>
  </si>
  <si>
    <t>Повідомлення-підтвердження</t>
  </si>
  <si>
    <t>Xác nhận tin nhắn</t>
  </si>
  <si>
    <t>確認訊息</t>
  </si>
  <si>
    <t>tt_index</t>
  </si>
  <si>
    <t>Index</t>
  </si>
  <si>
    <t>المؤشر</t>
  </si>
  <si>
    <t>Индекс</t>
  </si>
  <si>
    <t>Indeks</t>
  </si>
  <si>
    <t>Δείκτης</t>
  </si>
  <si>
    <t>Índice</t>
  </si>
  <si>
    <t>Indeksi</t>
  </si>
  <si>
    <t>Indice</t>
  </si>
  <si>
    <t>सूचकांक</t>
  </si>
  <si>
    <t>מדד</t>
  </si>
  <si>
    <t>インデックス</t>
  </si>
  <si>
    <t>지표</t>
  </si>
  <si>
    <t>Показатель</t>
  </si>
  <si>
    <t>ดัชนี</t>
  </si>
  <si>
    <t>İndeks</t>
  </si>
  <si>
    <t>Chỉ số</t>
  </si>
  <si>
    <t>指数</t>
  </si>
  <si>
    <t>&gt;指數</t>
  </si>
  <si>
    <t>action_unblock_contact</t>
  </si>
  <si>
    <t>Unblock contact</t>
  </si>
  <si>
    <t>إنهاء حجب جهة اتصال</t>
  </si>
  <si>
    <t>Деблокиране на контакта</t>
  </si>
  <si>
    <t>Desbloqueja el contacte</t>
  </si>
  <si>
    <t>Kontakt entsperren</t>
  </si>
  <si>
    <t>Desbloquear contacto</t>
  </si>
  <si>
    <t>Débloquer le contact</t>
  </si>
  <si>
    <t>Tiltás feloldása</t>
  </si>
  <si>
    <t>Batal blokir kontak</t>
  </si>
  <si>
    <t>Sblocca contatto</t>
  </si>
  <si>
    <t>連絡先のブロックを解除</t>
  </si>
  <si>
    <t>연락처 차단 해제</t>
  </si>
  <si>
    <t>Contact deblokkeren</t>
  </si>
  <si>
    <t>Odblokuj kontakt</t>
  </si>
  <si>
    <t>Разблокировать контакт</t>
  </si>
  <si>
    <t>Odblokovať kontakt</t>
  </si>
  <si>
    <t>Одблокирај контакт</t>
  </si>
  <si>
    <t>Avblockera kontakt</t>
  </si>
  <si>
    <t>Розблокувати контакт</t>
  </si>
  <si>
    <t>Bỏ chặn liên hệ</t>
  </si>
  <si>
    <t>解除封鎖連絡人</t>
  </si>
  <si>
    <t>sm_iPhone</t>
  </si>
  <si>
    <t>login_email_not_changed</t>
  </si>
  <si>
    <t>E-mail not changed. Please try again.</t>
  </si>
  <si>
    <t>لم يتم تغييرالبريد الالكتروني. يرجى المحاولة مرة أخرى.</t>
  </si>
  <si>
    <t>Електронната поща не е променена. Моля, опитайте отново.</t>
  </si>
  <si>
    <t>E-mail se nezměnil. Zkuste to prosím znovu.</t>
  </si>
  <si>
    <t>E-mail ikke ændret. Prøv igen.</t>
  </si>
  <si>
    <t>Το email δεν άλλαξε. Δοκιμάστε ξανά.</t>
  </si>
  <si>
    <t>El e-mail no ha sido modificado. Por favor, intente de nuevo.</t>
  </si>
  <si>
    <t>Sähköposti ei ole muuttunut. Yritä uudelleen.</t>
  </si>
  <si>
    <t>Courriel non modifié. Veuillez réessayer.</t>
  </si>
  <si>
    <t>ई-मेल में परिवर्तन नहीं हुआ है। कृपया दोबारा कोशिश करें।</t>
  </si>
  <si>
    <t>Az e-mail módosítása nem sikerült. Kérjük, próbálja újra.</t>
  </si>
  <si>
    <t>E-mail tidak berubah. Mohon coba lagi.</t>
  </si>
  <si>
    <t>L\'email non è stata modificata. Riprova.</t>
  </si>
  <si>
    <t>הדואר האלקטרוני לא השתנה. אנא נסה שוב.</t>
  </si>
  <si>
    <t>メールアドレスが変更されていません。再度お試しください。</t>
  </si>
  <si>
    <t>이메일이 변경되지 않았습니다. 다시 시도해주세요.</t>
  </si>
  <si>
    <t>E-mel tidak ditukar. Sila cuba semula.</t>
  </si>
  <si>
    <t>E-mailadres niet gewijzigd. Probeer het nog een keer.</t>
  </si>
  <si>
    <t>E-post ikke endret. Prøv igjen.</t>
  </si>
  <si>
    <t>E-mail nie został zmieniony. Spróbuj ponownie.</t>
  </si>
  <si>
    <t>E-mail não alterado. Tente novamente.</t>
  </si>
  <si>
    <t>E-mailul nu a fost schimbat. Te rugăm să încerci din nou.</t>
  </si>
  <si>
    <t>Электронная почта не изменена. Пожалуйста, попробуйте снова.</t>
  </si>
  <si>
    <t>E-mail sa nezmenil. Skúste to znova.</t>
  </si>
  <si>
    <t>E-pošta ni spremenjena. Prosim poskusite ponovno.</t>
  </si>
  <si>
    <t>E-post har inte ändrats. Var god försök igen.</t>
  </si>
  <si>
    <t>ไม่มีการเปลี่ยนแปลงอีเมล โปรดลองอีกครั้ง</t>
  </si>
  <si>
    <t>E-posta değişmedi. Lütfen tekrar deneyin.</t>
  </si>
  <si>
    <t>Email không thay đổi. Vui lòng thử lại.</t>
  </si>
  <si>
    <t>电子邮箱没有更改。请重试。</t>
  </si>
  <si>
    <t>tt_commodities</t>
  </si>
  <si>
    <t>Commodities</t>
  </si>
  <si>
    <t>السلع</t>
  </si>
  <si>
    <t>Стоки</t>
  </si>
  <si>
    <t>Komodity</t>
  </si>
  <si>
    <t>Råvarer</t>
  </si>
  <si>
    <t>Rohstoffe</t>
  </si>
  <si>
    <t>Εμπορεύματα</t>
  </si>
  <si>
    <t>Materias primas</t>
  </si>
  <si>
    <t>Hyödykkeet</t>
  </si>
  <si>
    <t>Matières premières</t>
  </si>
  <si>
    <t>कमोडिटीज</t>
  </si>
  <si>
    <t>Árupiac</t>
  </si>
  <si>
    <t>Komoditas</t>
  </si>
  <si>
    <t>Materie prime</t>
  </si>
  <si>
    <t>סחורות</t>
  </si>
  <si>
    <t>商品</t>
  </si>
  <si>
    <t>상품</t>
  </si>
  <si>
    <t>Komoditi</t>
  </si>
  <si>
    <t>Grondstoffen</t>
  </si>
  <si>
    <t>Towary</t>
  </si>
  <si>
    <t>Matérias-primas</t>
  </si>
  <si>
    <t>Mărfuri</t>
  </si>
  <si>
    <t>Товары</t>
  </si>
  <si>
    <t>Blago</t>
  </si>
  <si>
    <t>Sirovine</t>
  </si>
  <si>
    <t>Råvaror</t>
  </si>
  <si>
    <t>สินค้าโภคภัณฑ์</t>
  </si>
  <si>
    <t>Emtia</t>
  </si>
  <si>
    <t>Hàng hóa</t>
  </si>
  <si>
    <t>&gt;商品</t>
  </si>
  <si>
    <t>oman</t>
  </si>
  <si>
    <t>Oman</t>
  </si>
  <si>
    <t>Omán</t>
  </si>
  <si>
    <t>Оман</t>
  </si>
  <si>
    <t>tt_widget_select_watchlist_summary</t>
  </si>
  <si>
    <t>All symbols from a watchlist are shown.</t>
  </si>
  <si>
    <t>يتم عرض جميع الرموز من قائمة المتابعة.</t>
  </si>
  <si>
    <t>Показват се всички символи от уочлист.</t>
  </si>
  <si>
    <t>Jsou zobrazeny všechny symboly ze seznamu sledovaných.</t>
  </si>
  <si>
    <t>Alle symboler fra en overvågningsliste vises.</t>
  </si>
  <si>
    <t>Alle Wertpapiere aus einer Watchlist werden angezeigt.</t>
  </si>
  <si>
    <t>Εμφανίζονται όλα τα σύμβολα από μια λίστα παρακολούθησης.</t>
  </si>
  <si>
    <t>Se observan todos los símbolos de una lista de seguimiento</t>
  </si>
  <si>
    <t>Kaikki tarkkailulistan symbolit näkyvät.</t>
  </si>
  <si>
    <t>Tous les symboles de la liste personnelle sont affichés</t>
  </si>
  <si>
    <t>वॉचलिस्ट से सभी प्रतीकों को दर्शाया गया है।</t>
  </si>
  <si>
    <t>A figyelőlista összes szimbólumának megjelenítése.</t>
  </si>
  <si>
    <t>Semua simbol dari daftar pantauan ditampilkan.</t>
  </si>
  <si>
    <t>Tutti i simboli dalla watchlist sono mostrati.</t>
  </si>
  <si>
    <t>כל הסמלים מרשימת המעקב מוצגים.</t>
  </si>
  <si>
    <t>すべての銘柄をお気に入りから表示</t>
  </si>
  <si>
    <t>보기목록의 기호가 모두 표시됩니다.</t>
  </si>
  <si>
    <t>Semua simbol dari senarai pantau ditunjukkan.</t>
  </si>
  <si>
    <t>Alle symbolen van een favorietenlijst zijn zichtbaar.</t>
  </si>
  <si>
    <t>Alle symboler fra en overvåkningsliste vises.</t>
  </si>
  <si>
    <t>Wszystkie symbole z listy obserwowanych są widoczne.</t>
  </si>
  <si>
    <t>Todos os símbolos da lista de observações estão mostrados</t>
  </si>
  <si>
    <t>Toate simbolurile dintr-o listă de urmărire sunt afișate.</t>
  </si>
  <si>
    <t>Показаны все наименования списка наблюдения</t>
  </si>
  <si>
    <t>Zobrazia sa všetky symboly zo sledovaného zoznamu.</t>
  </si>
  <si>
    <t>Prikazani so vsi simboli s seznama ogledov.</t>
  </si>
  <si>
    <t>Watch lista koja će biti prikazana u widget-u</t>
  </si>
  <si>
    <t>Alla symboler från en bevakningslista visas.</t>
  </si>
  <si>
    <t>แสดงชื่อย่อหลักทรัพย์ในรายชื่อหุ้นที่ติดตามทั้งหมด</t>
  </si>
  <si>
    <t>Bir izleme listesindeki tüm semboller gösterilir.</t>
  </si>
  <si>
    <t>Hiển thị tất cả các công cụ từ một danh mục theo dõi.</t>
  </si>
  <si>
    <t>显示所有收藏夹检视</t>
  </si>
  <si>
    <t>&gt;顯示所有收藏夾檢視</t>
  </si>
  <si>
    <t>tt_news_segment_18</t>
  </si>
  <si>
    <t>Forex and Interest rates</t>
  </si>
  <si>
    <t>الفوركس وأسعار الفائدة</t>
  </si>
  <si>
    <t>Форекс и лихвени проценти</t>
  </si>
  <si>
    <t>Forex a úrokové sazby</t>
  </si>
  <si>
    <t>Forex og Rentesatser</t>
  </si>
  <si>
    <t>Devisen und Zinsen</t>
  </si>
  <si>
    <t>Forex και επιτόκια</t>
  </si>
  <si>
    <t>Forex y tasas de interés</t>
  </si>
  <si>
    <t>Valuuttakauppa ja korot</t>
  </si>
  <si>
    <t>Forex et taux d\'intérêts</t>
  </si>
  <si>
    <t>विदेशी मुद्रा और ब्याज दरें</t>
  </si>
  <si>
    <t>Devizák és kamatlábak</t>
  </si>
  <si>
    <t>Forex dan Suku Bunga</t>
  </si>
  <si>
    <t>Forex e Tassi di interesse</t>
  </si>
  <si>
    <t>שערי מט"ח וריבית</t>
  </si>
  <si>
    <t>外国為替と金利ﾚｰﾄ</t>
  </si>
  <si>
    <t>외환 및 금리</t>
  </si>
  <si>
    <t>Forex dan Kadar Faedah</t>
  </si>
  <si>
    <t>Forex en rentes</t>
  </si>
  <si>
    <t>Valutahandel og renter</t>
  </si>
  <si>
    <t>Forex i stopy procentowe</t>
  </si>
  <si>
    <t>FX e taxas de juros</t>
  </si>
  <si>
    <t>Ratele Forex și ale Dobânzilor</t>
  </si>
  <si>
    <t>Forex и процентные ставки</t>
  </si>
  <si>
    <t>Forex a úrokové sadzby</t>
  </si>
  <si>
    <t>Forex in obrestne mere</t>
  </si>
  <si>
    <t>Forex i kamatne stope</t>
  </si>
  <si>
    <t>Forex och räntor</t>
  </si>
  <si>
    <t>ฟอเร็กซ์และอัตราดอกเบี้ย</t>
  </si>
  <si>
    <t>Forex ve Faiz oranları</t>
  </si>
  <si>
    <t>Ngoại hối và lãi suất</t>
  </si>
  <si>
    <t>外汇及利率</t>
  </si>
  <si>
    <t>&gt;外匯及利率</t>
  </si>
  <si>
    <t>error_trustkey_device_list</t>
  </si>
  <si>
    <t>Unable to fetch device list</t>
  </si>
  <si>
    <t>تعذر جلب قائمة الأجهزة</t>
  </si>
  <si>
    <t>Неуспешно получаване на списъка с устройства</t>
  </si>
  <si>
    <t>No es pot obtenir la llista de dispositius</t>
  </si>
  <si>
    <t>Geräteliste konnte nicht abgerufen werden</t>
  </si>
  <si>
    <t>No se ha podido conseguir la lista de dispositivos</t>
  </si>
  <si>
    <t>Impossible de récupérer la liste des appareils</t>
  </si>
  <si>
    <t>Non se pode recuperar la lista de dispositivos</t>
  </si>
  <si>
    <t>Nem sikerült lekérni az eszközlistát</t>
  </si>
  <si>
    <t>Ricezione elenco dispositivi fallita</t>
  </si>
  <si>
    <t>Kon lijst met apparaten niet ophalen</t>
  </si>
  <si>
    <t>Nie powiodło się pobranie listy urządzeń</t>
  </si>
  <si>
    <t>Не удалось загрузить список устройств</t>
  </si>
  <si>
    <t>antigua_and_barbuda</t>
  </si>
  <si>
    <t>Antigua and Barbuda</t>
  </si>
  <si>
    <t>Antigua und Barbuda</t>
  </si>
  <si>
    <t>Antigua y Barbuda</t>
  </si>
  <si>
    <t>Antigua-et-Barbuda</t>
  </si>
  <si>
    <t>Антигва и Барбуда</t>
  </si>
  <si>
    <t>Antigua i Barbuda</t>
  </si>
  <si>
    <t>message_decrypting</t>
  </si>
  <si>
    <t>Decrypting message. Please wait…</t>
  </si>
  <si>
    <t>حل شيفرة الرسالة. الرجاء الإنتظار ...</t>
  </si>
  <si>
    <t>Дешифроване на съобщението. Моля, изчакайте…</t>
  </si>
  <si>
    <t>Desxifrant el missatge. Espereu ...</t>
  </si>
  <si>
    <t>Nachricht wird entschlüsselt. Bitte warten …</t>
  </si>
  <si>
    <t>Descifrando mensaje. Por favor, espera...</t>
  </si>
  <si>
    <t>Déchiffrement du message. Veuillez patienter...</t>
  </si>
  <si>
    <t>Descifrando a mensaxe. Por favor agarde...</t>
  </si>
  <si>
    <t>Üzenet dekódolása. Kérem várjon...</t>
  </si>
  <si>
    <t>Mendekripsi pesan. Mohon tunggu…</t>
  </si>
  <si>
    <t>Decifrazione messaggio. Attendere prego...</t>
  </si>
  <si>
    <t>メッセージを復号化しています。しばらくお待ちください…</t>
  </si>
  <si>
    <t>메세지 복호화중입니다. 기다리세요...</t>
  </si>
  <si>
    <t>Bericht aan het ontsleutelen. Even geduld…</t>
  </si>
  <si>
    <t>Odszyfrowywanie wiadomości. To zajmie tylko chwilę...</t>
  </si>
  <si>
    <t>Decifrando a mensagem. Por favor aguarde...</t>
  </si>
  <si>
    <t>Расшифровка сообщения. Подождите…</t>
  </si>
  <si>
    <t>Дешифрујем поруку, сачекајте…</t>
  </si>
  <si>
    <t>Avkrypterar meddelande. Vänta…</t>
  </si>
  <si>
    <t>Розшифровую повідомлення. Зачекайте, будь ласка…</t>
  </si>
  <si>
    <t>Đang giải mã tin nhắn. Xin chờ...</t>
  </si>
  <si>
    <t>訊息解密中，請稍候…</t>
  </si>
  <si>
    <t>sending_file</t>
  </si>
  <si>
    <t>sending (%1$d%% completed)</t>
  </si>
  <si>
    <t>إكتمل الإرسال (%1$d%% بنسبة)</t>
  </si>
  <si>
    <t>изпращане (%1$d%% завършено)</t>
  </si>
  <si>
    <t>Enviant (%1$d%% completat)</t>
  </si>
  <si>
    <t>Senden (%1$d%% abgeschlossen)</t>
  </si>
  <si>
    <t>Enviando (%1$d%% completado)</t>
  </si>
  <si>
    <t>envoi (%1$d%% complété)</t>
  </si>
  <si>
    <t>enviando (%1$d %% completado)</t>
  </si>
  <si>
    <t>Küldés alatt (%1$d%% kész)</t>
  </si>
  <si>
    <t>mengirim (%1$d%% terselesaikan)</t>
  </si>
  <si>
    <t>invio (%1$d%% completato)</t>
  </si>
  <si>
    <t>送信中 (%1$d%% 完了)</t>
  </si>
  <si>
    <t>전송중 (%1$d%% 완료)</t>
  </si>
  <si>
    <t>versturen (%1$d%% voltooid)</t>
  </si>
  <si>
    <t>Wysyłanie (ukończono %1$d%%)</t>
  </si>
  <si>
    <t>a enviar (%1$d%% concluído)</t>
  </si>
  <si>
    <t>отправка (%1$d%% выполнено)</t>
  </si>
  <si>
    <t>posielam (%1$d%% ukončený)</t>
  </si>
  <si>
    <t>шаљем (%1$d%% завршено)</t>
  </si>
  <si>
    <t>skickar (%1$d%% klart)</t>
  </si>
  <si>
    <t>надсилання (%1$d%% завершено)</t>
  </si>
  <si>
    <t>đang gửi (đã hoàn tất %1$d%%)</t>
  </si>
  <si>
    <t>發送中 (已完成 %1$d%%)</t>
  </si>
  <si>
    <t>no_network_connection</t>
  </si>
  <si>
    <t>No network connection.</t>
  </si>
  <si>
    <t>Няма връзка с мрежата.</t>
  </si>
  <si>
    <t>Keine Netzwerkverbindung.</t>
  </si>
  <si>
    <t>No hay conexión de red.</t>
  </si>
  <si>
    <t>Se conexión a rede.</t>
  </si>
  <si>
    <t>Nincs hálózati kapcsolat.</t>
  </si>
  <si>
    <t>Nessuna connessione di rete.</t>
  </si>
  <si>
    <t>Geen netwerkverbinding.</t>
  </si>
  <si>
    <t>Brak połączenia z siecią.</t>
  </si>
  <si>
    <t>pref_dont_trust_system_cas_summary</t>
  </si>
  <si>
    <t>All certificates must be manually approved</t>
  </si>
  <si>
    <t>تقبل أية شهادة يدويا</t>
  </si>
  <si>
    <t>Всички сертификати трябва да бъдат одобрени на ръка</t>
  </si>
  <si>
    <t>Tots els certificats han de ser aprovats manualment</t>
  </si>
  <si>
    <t>Alle Zertifikate müssen manuell bestätigt werden</t>
  </si>
  <si>
    <t>Todos los certificados deben ser aprobados manualmente</t>
  </si>
  <si>
    <t>Tous les certificats doivent être approuvés manuellement.</t>
  </si>
  <si>
    <t>Todos os certificados deberán ser aprobados manualmente</t>
  </si>
  <si>
    <t>Minden tanúsítványt kézzel kell jóváhagyni</t>
  </si>
  <si>
    <t>Semua sertifikat harus disetujui secara manual</t>
  </si>
  <si>
    <t>Tutti i certificati devono essere accettati manualmente</t>
  </si>
  <si>
    <t>すべての証明書を手動で承認する必要があります</t>
  </si>
  <si>
    <t>모든 인증서는 수동으로 승인되어야 함</t>
  </si>
  <si>
    <t>Alle certificaten moeten handmatig goedgekeurd worden</t>
  </si>
  <si>
    <t>Wymagaj ręcznego potwierdzania certyfikatów</t>
  </si>
  <si>
    <t>Todos os certificados têm que ser aprovados manualmente</t>
  </si>
  <si>
    <t>Все сертификаты должны быть подтверждены вручную</t>
  </si>
  <si>
    <t>Všetky certifikáty musia byť ručne schválené</t>
  </si>
  <si>
    <t>Сви сертификати морају ручно да се одобре</t>
  </si>
  <si>
    <t>Alla certifikat måste manuellt godkännas</t>
  </si>
  <si>
    <t>Усі сертифікати мають бути підтверджені вручну</t>
  </si>
  <si>
    <t>Tất cả chứng nhận phải được phê duyệt thủ công</t>
  </si>
  <si>
    <t>所有證書必須人工通過</t>
  </si>
  <si>
    <t>login_password_not_changed</t>
  </si>
  <si>
    <t>Password not changed. Please try again.</t>
  </si>
  <si>
    <t>لم يتم تغيير كلمة المرور. يرجى المحاولة مرة أخرى.</t>
  </si>
  <si>
    <t>Паролата не е променена. Моля, опитайте отново.</t>
  </si>
  <si>
    <t>Heslo se nezměnilo. Zkuste to prosím znovu.</t>
  </si>
  <si>
    <t>Adgangskode er ikke ændret. Prøv igen.</t>
  </si>
  <si>
    <t>Ο κωδικός πρόσβασης δεν άλλαξε. Δοκιμάστε ξανά.</t>
  </si>
  <si>
    <t>La contraseña no fue modificada. Por favor, intentelo de nuevo.</t>
  </si>
  <si>
    <t>Salasanaa ei ole vaihdettu. Yritä uudelleen.</t>
  </si>
  <si>
    <t>Mot de passe non modifié. Veuillez réessayer.</t>
  </si>
  <si>
    <t>पासवर्ड में में परिवर्तन नहीं हुआ है। कृपया दोबारा कोशिश करें।</t>
  </si>
  <si>
    <t>A jelszó módosítása nem sikerült. Kérjük, próbálja újra.</t>
  </si>
  <si>
    <t>Kata sandi tidak berubah. Mohon coba lagi.</t>
  </si>
  <si>
    <t>La password non è stata modificata. Riprova.</t>
  </si>
  <si>
    <t>הסיסמה לא השתנתה. אנא נסה שוב.</t>
  </si>
  <si>
    <t>パスワードが変更されていません。再度お試しください。</t>
  </si>
  <si>
    <t>비밀번호가 변경되지 않았습니다. 다시 시도해주세요.</t>
  </si>
  <si>
    <t>Kata laluan tidak ditukar. Sila cuba semula.</t>
  </si>
  <si>
    <t>Wachtwoord niet gewijzigd. Probeer het nog een keer.</t>
  </si>
  <si>
    <t>Passord ikke endret. Prøv igjen.</t>
  </si>
  <si>
    <t>Hasło nie zostało zmienione. Spróbuj ponownie.</t>
  </si>
  <si>
    <t>Palavra-passe não alterada. Tente novamente.</t>
  </si>
  <si>
    <t>Parola nu a fost modificată. Te rugăm să încerci din nou.</t>
  </si>
  <si>
    <t>Heslo nebolo zmenené. Skúste to znova.</t>
  </si>
  <si>
    <t>Geslo ni spremenjeno. Prosim poskusite ponovno.</t>
  </si>
  <si>
    <t>Lösenordet har inte ändrats. Var god försök igen.</t>
  </si>
  <si>
    <t>ไม่มีการเปลี่ยนแปลงรหัสผ่าน โปรดลองอีกครั้ง</t>
  </si>
  <si>
    <t>Parola değişmedi. Lütfen tekrar deneyin.</t>
  </si>
  <si>
    <t>Mật khẩu không thay đổi. Vui lòng thử lại.</t>
  </si>
  <si>
    <t>密码没有更改。请重试。</t>
  </si>
  <si>
    <t>tt_edgar_price_operating_ratio</t>
  </si>
  <si>
    <t>Price/Operating CF Ratio</t>
  </si>
  <si>
    <t>نسبة السعر/تدفق الأرباح التشغيلية</t>
  </si>
  <si>
    <t>Съотношение цена/паричен поток</t>
  </si>
  <si>
    <t>Poměr cena/provozní CF</t>
  </si>
  <si>
    <t>Pris/drift CF-forhold</t>
  </si>
  <si>
    <t>Kurs/Operativer Cashflow-Verhältnis</t>
  </si>
  <si>
    <t>Αναλογία τιμής/CF λειτουργίας</t>
  </si>
  <si>
    <t>Precio/CF operativo ratio</t>
  </si>
  <si>
    <t>Hinta/käyttö CF-suhde</t>
  </si>
  <si>
    <t>मूल्य/ऑपरेटिंग सीएफ अनुपात</t>
  </si>
  <si>
    <t>Rasio CF Harga/Operasi</t>
  </si>
  <si>
    <t>P/CF Rapporto</t>
  </si>
  <si>
    <t>יחס מחיר/ תזרים מזומנים מפעילות</t>
  </si>
  <si>
    <t>株価キャッシュフロー倍率</t>
  </si>
  <si>
    <t>주가영업현금흐름 비율</t>
  </si>
  <si>
    <t>Nisbah CF Harga/Operasi</t>
  </si>
  <si>
    <t>Kosten/Operationele CF Ratio</t>
  </si>
  <si>
    <t>Pris/drifts CF-forhold</t>
  </si>
  <si>
    <t>Cena/Cash Flow Operacyjny</t>
  </si>
  <si>
    <t>Relação Preço/CF Operacional</t>
  </si>
  <si>
    <t>Raport CF Preț/Operare</t>
  </si>
  <si>
    <t>Коэффициент Ц/ДП от операционной деят.</t>
  </si>
  <si>
    <t>Pomer ceny/prevádzkových peňažných tokov</t>
  </si>
  <si>
    <t>Razmerje med cenami in obratovalnimi CF</t>
  </si>
  <si>
    <t>Trz. Cena/Operativni tok got.</t>
  </si>
  <si>
    <t>Pris/drift CF-förhållande</t>
  </si>
  <si>
    <t>อัตราส่วนต่อราคา/กระแสเงินสดกิจกรรมดำเนินงาน</t>
  </si>
  <si>
    <t>Fiyat/Faaliyet Gösteren Nakit Akım Oranı</t>
  </si>
  <si>
    <t>Hệ số Giá/Dòng tiền từ hoạt động kinh doanh</t>
  </si>
  <si>
    <t>价格/营运现金流比率</t>
  </si>
  <si>
    <t>send_private_message</t>
  </si>
  <si>
    <t>Send private message</t>
  </si>
  <si>
    <t>إبعث برسالة على الخاص</t>
  </si>
  <si>
    <t>Изпращане на лично съобщение</t>
  </si>
  <si>
    <t>Envia un missatge privat</t>
  </si>
  <si>
    <t>Private Nachricht senden</t>
  </si>
  <si>
    <t>Enviar mensaje privado</t>
  </si>
  <si>
    <t>Envoyer un message privé</t>
  </si>
  <si>
    <t>Enviar mensaxe privada</t>
  </si>
  <si>
    <t>Privát üzenet küldése</t>
  </si>
  <si>
    <t>Kirim pesan pribadi</t>
  </si>
  <si>
    <t>Invia messaggio privato</t>
  </si>
  <si>
    <t>プライベートメッセージを送信</t>
  </si>
  <si>
    <t>개인 메세지 전송</t>
  </si>
  <si>
    <t>Privébericht sturen</t>
  </si>
  <si>
    <t>Wyślij wiadomość prywatną</t>
  </si>
  <si>
    <t>Enviar mensagem privada</t>
  </si>
  <si>
    <t>Отправить частное сообщение</t>
  </si>
  <si>
    <t>Poslať súkromnú správu</t>
  </si>
  <si>
    <t>Пошаљи личну поруку</t>
  </si>
  <si>
    <t>Skicka privat meddelande</t>
  </si>
  <si>
    <t>Відправити приватне повідомлення</t>
  </si>
  <si>
    <t>Gửi tin nhắn cá nhân</t>
  </si>
  <si>
    <t>送私密訊息</t>
  </si>
  <si>
    <t>pref_video_compression_summary</t>
  </si>
  <si>
    <t>Lower quality means smaller files</t>
  </si>
  <si>
    <t>По-ниското качество означава, че файловете ще са по-малки</t>
  </si>
  <si>
    <t>Geringere Qualität ermöglicht kleinere Dateien</t>
  </si>
  <si>
    <t>Calidad más baja indica archivos más pequeños</t>
  </si>
  <si>
    <t>Une qualité inférieure signifie des fichiers plus petits</t>
  </si>
  <si>
    <t>Menor calidade significa ficheiros máis pequenos</t>
  </si>
  <si>
    <t>Alacsonyabb minőség kisebb fájlt jelent</t>
  </si>
  <si>
    <t>Una qualità inferiore comporta file più piccoli</t>
  </si>
  <si>
    <t>Een lagere kwaliteit zorgt voor kleinere bestanden</t>
  </si>
  <si>
    <t>Niższa jakość gwarantuje mniejszy rozmiar</t>
  </si>
  <si>
    <t>estonia</t>
  </si>
  <si>
    <t>Estonia</t>
  </si>
  <si>
    <t>Estland</t>
  </si>
  <si>
    <t>Estonie</t>
  </si>
  <si>
    <t>Эстония</t>
  </si>
  <si>
    <t>Estonija</t>
  </si>
  <si>
    <t>tt_set</t>
  </si>
  <si>
    <t>Set</t>
  </si>
  <si>
    <t>تعيين</t>
  </si>
  <si>
    <t>Сет</t>
  </si>
  <si>
    <t>Soubor</t>
  </si>
  <si>
    <t>Sæt</t>
  </si>
  <si>
    <t>OK</t>
  </si>
  <si>
    <t>Σειρά</t>
  </si>
  <si>
    <t>Aseta</t>
  </si>
  <si>
    <t>Définir</t>
  </si>
  <si>
    <t>सेट</t>
  </si>
  <si>
    <t>Tetapkan</t>
  </si>
  <si>
    <t>Imposta</t>
  </si>
  <si>
    <t>הגדר</t>
  </si>
  <si>
    <t>設定する</t>
  </si>
  <si>
    <t>Bevestig</t>
  </si>
  <si>
    <t>Angi</t>
  </si>
  <si>
    <t>Ustaw</t>
  </si>
  <si>
    <t>Definir</t>
  </si>
  <si>
    <t>Stabilește</t>
  </si>
  <si>
    <t>Настроить</t>
  </si>
  <si>
    <t>Nastaviť</t>
  </si>
  <si>
    <t>Nastavite</t>
  </si>
  <si>
    <t>Postavi</t>
  </si>
  <si>
    <t>Uppsättning</t>
  </si>
  <si>
    <t>เซ็ต</t>
  </si>
  <si>
    <t>Ayarla</t>
  </si>
  <si>
    <t>tt_historic3y</t>
  </si>
  <si>
    <t>3 Years</t>
  </si>
  <si>
    <t>3 سنوات</t>
  </si>
  <si>
    <t>3 години</t>
  </si>
  <si>
    <t>3 roky</t>
  </si>
  <si>
    <t>3 år</t>
  </si>
  <si>
    <t>3 Jahre</t>
  </si>
  <si>
    <t>3 έτη</t>
  </si>
  <si>
    <t>3 Años</t>
  </si>
  <si>
    <t>3 vuotta</t>
  </si>
  <si>
    <t>3 ans</t>
  </si>
  <si>
    <t>3 वर्ष</t>
  </si>
  <si>
    <t>3 Év</t>
  </si>
  <si>
    <t>3 tahun</t>
  </si>
  <si>
    <t>3 Anni</t>
  </si>
  <si>
    <t>3 שנים</t>
  </si>
  <si>
    <t>3年</t>
  </si>
  <si>
    <t>3년</t>
  </si>
  <si>
    <t>3 jaren</t>
  </si>
  <si>
    <t>3-års</t>
  </si>
  <si>
    <t>3 lata</t>
  </si>
  <si>
    <t>3 anos</t>
  </si>
  <si>
    <t>3 Ani</t>
  </si>
  <si>
    <t>3 года</t>
  </si>
  <si>
    <t>3 leta</t>
  </si>
  <si>
    <t>3 godine</t>
  </si>
  <si>
    <t>3 ปี</t>
  </si>
  <si>
    <t>3 yıl</t>
  </si>
  <si>
    <t>3 năm</t>
  </si>
  <si>
    <t>３年</t>
  </si>
  <si>
    <t>&gt;３年</t>
  </si>
  <si>
    <t>title_pref_quiet_hours_start_time</t>
  </si>
  <si>
    <t>Start time</t>
  </si>
  <si>
    <t>وقت البداية</t>
  </si>
  <si>
    <t>Начало</t>
  </si>
  <si>
    <t>Hora d\'inici</t>
  </si>
  <si>
    <t>Beginn</t>
  </si>
  <si>
    <t>Hora de comienzo</t>
  </si>
  <si>
    <t>Heure de début</t>
  </si>
  <si>
    <t>Hora de inicio</t>
  </si>
  <si>
    <t>Kezdése</t>
  </si>
  <si>
    <t>Waktu mulai</t>
  </si>
  <si>
    <t>Orario inizio</t>
  </si>
  <si>
    <t>開始時間</t>
  </si>
  <si>
    <t>시작 시간</t>
  </si>
  <si>
    <t>Begintijd</t>
  </si>
  <si>
    <t>Początek</t>
  </si>
  <si>
    <t>Hora de início</t>
  </si>
  <si>
    <t>Čas začiatku</t>
  </si>
  <si>
    <t>Време почетка</t>
  </si>
  <si>
    <t>Starttid</t>
  </si>
  <si>
    <t>Час початку</t>
  </si>
  <si>
    <t>Thời gian bắt đầu</t>
  </si>
  <si>
    <t>tt_iosbridge_gold_gtis</t>
  </si>
  <si>
    <t>Gold</t>
  </si>
  <si>
    <t>ذهب</t>
  </si>
  <si>
    <t>Злато</t>
  </si>
  <si>
    <t>Zlato</t>
  </si>
  <si>
    <t>Guld</t>
  </si>
  <si>
    <t>Χρυσός</t>
  </si>
  <si>
    <t>Oro</t>
  </si>
  <si>
    <t>Kulta</t>
  </si>
  <si>
    <t>Or</t>
  </si>
  <si>
    <t>सोना</t>
  </si>
  <si>
    <t>Arany</t>
  </si>
  <si>
    <t>Emas</t>
  </si>
  <si>
    <t>זהב</t>
  </si>
  <si>
    <t>金</t>
  </si>
  <si>
    <t>금</t>
  </si>
  <si>
    <t>Goud</t>
  </si>
  <si>
    <t>Gull</t>
  </si>
  <si>
    <t>Złoto</t>
  </si>
  <si>
    <t>Ouro</t>
  </si>
  <si>
    <t>Aur</t>
  </si>
  <si>
    <t>Золото</t>
  </si>
  <si>
    <t>ทองคำ</t>
  </si>
  <si>
    <t>Altın</t>
  </si>
  <si>
    <t>Vàng</t>
  </si>
  <si>
    <t>黄金</t>
  </si>
  <si>
    <t>&gt;黃金</t>
  </si>
  <si>
    <t>until_further_notice</t>
  </si>
  <si>
    <t>Until further notice</t>
  </si>
  <si>
    <t>حتى إشعار آخر</t>
  </si>
  <si>
    <t>До отмяна</t>
  </si>
  <si>
    <t>Fins nou avís</t>
  </si>
  <si>
    <t>Bis auf Weiteres</t>
  </si>
  <si>
    <t>Hasta nuevo aviso</t>
  </si>
  <si>
    <t>Jusqu\'à nouvel ordre</t>
  </si>
  <si>
    <t>Ate novo aviso</t>
  </si>
  <si>
    <t>További értesítésig</t>
  </si>
  <si>
    <t>Sampai pemberitahuan selanjutnya</t>
  </si>
  <si>
    <t>Fino a nuovo avviso</t>
  </si>
  <si>
    <t>通知があるまで</t>
  </si>
  <si>
    <t>나중에 알릴때까지</t>
  </si>
  <si>
    <t>Voor onbepaalde duur</t>
  </si>
  <si>
    <t>Ręcznie</t>
  </si>
  <si>
    <t>Até segunda ordem</t>
  </si>
  <si>
    <t>До следующего уведомления</t>
  </si>
  <si>
    <t>Až do odvolania</t>
  </si>
  <si>
    <t>до даљњег</t>
  </si>
  <si>
    <t>Tills vidare</t>
  </si>
  <si>
    <t>До наступного повідомлення</t>
  </si>
  <si>
    <t>Cho đến thông báo tiếp theo</t>
  </si>
  <si>
    <t>直到新的通知</t>
  </si>
  <si>
    <t>tt_click_on_wrong_value</t>
  </si>
  <si>
    <t>Click on wrong value</t>
  </si>
  <si>
    <t>انقر فوق قيمة خاطئة</t>
  </si>
  <si>
    <t>Кликнете върху грешна стойност</t>
  </si>
  <si>
    <t>Klikněte na nesprávnou hodnotu</t>
  </si>
  <si>
    <t>Klik på forkert værdi</t>
  </si>
  <si>
    <t>Falschen Wert anklicken</t>
  </si>
  <si>
    <t>Κάντε κλικ σε λάθος τιμή</t>
  </si>
  <si>
    <t>Haga click en el valor erróneo</t>
  </si>
  <si>
    <t>Napsauta väärää arvoa</t>
  </si>
  <si>
    <t>Cliquer sur la valeur erronée</t>
  </si>
  <si>
    <t>गलत मान पर क्लिक करें</t>
  </si>
  <si>
    <t>Kattintson a helytelen értékre</t>
  </si>
  <si>
    <t>Klik pada nilai yang salah</t>
  </si>
  <si>
    <t>Clicca sul valore sbagliato</t>
  </si>
  <si>
    <t>לחץ על ערך שגוי</t>
  </si>
  <si>
    <t>間違った値をクリック</t>
  </si>
  <si>
    <t>잘못된 값 클릭</t>
  </si>
  <si>
    <t>Klik op verkeerde waarde</t>
  </si>
  <si>
    <t>Klikk på feil verdi</t>
  </si>
  <si>
    <t>Kliknięcie na złej wartości</t>
  </si>
  <si>
    <t>Clique no valor errado</t>
  </si>
  <si>
    <t>Fă clic pe valoarea greșită</t>
  </si>
  <si>
    <t>Нажать на неверное значение</t>
  </si>
  <si>
    <t>Kliknite na nesprávnu hodnotu</t>
  </si>
  <si>
    <t>Kliknite napačno vrednost</t>
  </si>
  <si>
    <t>Klik na pogrešan podatak</t>
  </si>
  <si>
    <t>Klick på fel värde</t>
  </si>
  <si>
    <t>คลิกค่าที่ไม่ถูกต้อง</t>
  </si>
  <si>
    <t>Yanlış değere tıklayın</t>
  </si>
  <si>
    <t>Bấm vào giá trị sai</t>
  </si>
  <si>
    <t>点击值错误</t>
  </si>
  <si>
    <t>tt_mutualfund</t>
  </si>
  <si>
    <t>Mutual Fund</t>
  </si>
  <si>
    <t>صندوق استثمار مشترك</t>
  </si>
  <si>
    <t>Взаимен фонд</t>
  </si>
  <si>
    <t>Podílový fond</t>
  </si>
  <si>
    <t>Gensidig fond</t>
  </si>
  <si>
    <t>Fonds</t>
  </si>
  <si>
    <t>Αμοιβαίο κεφάλαιο</t>
  </si>
  <si>
    <t>Fondos de inversón</t>
  </si>
  <si>
    <t>Sijoitusrahasto</t>
  </si>
  <si>
    <t>Fonds commun</t>
  </si>
  <si>
    <t>म्यूचुअल फंड</t>
  </si>
  <si>
    <t>Befektetési alap</t>
  </si>
  <si>
    <t>Dana Bersama</t>
  </si>
  <si>
    <t>Fondo Comune</t>
  </si>
  <si>
    <t>קרן נאמנות</t>
  </si>
  <si>
    <t>投資信託</t>
  </si>
  <si>
    <t>뮤추얼펀드</t>
  </si>
  <si>
    <t>Beleggingsfonds</t>
  </si>
  <si>
    <t>Aksjefond</t>
  </si>
  <si>
    <t>Fundusze inwestycyjne</t>
  </si>
  <si>
    <t>Fundo mútuo</t>
  </si>
  <si>
    <t>Fond Reciproc</t>
  </si>
  <si>
    <t>Фонд взаимных инвестиций</t>
  </si>
  <si>
    <t>Podielový fond</t>
  </si>
  <si>
    <t>Vzajemni sklad</t>
  </si>
  <si>
    <t>Investicioni fond</t>
  </si>
  <si>
    <t>Aktieandelsfond</t>
  </si>
  <si>
    <t>กองทุนรวม</t>
  </si>
  <si>
    <t>Yatırım Fonu</t>
  </si>
  <si>
    <t>Quỹ tương hỗ</t>
  </si>
  <si>
    <t>互惠基金</t>
  </si>
  <si>
    <t>&gt;互惠基金</t>
  </si>
  <si>
    <t>connection_mode_wifi_txt</t>
  </si>
  <si>
    <t>Only WiFi</t>
  </si>
  <si>
    <t>شبكة WiFi فقط</t>
  </si>
  <si>
    <t>Само WiFi</t>
  </si>
  <si>
    <t>Pouze WiFi</t>
  </si>
  <si>
    <t>Kun WiFi</t>
  </si>
  <si>
    <t>Nur WiFi</t>
  </si>
  <si>
    <t>Μόνο WiFi</t>
  </si>
  <si>
    <t>Solo con Wifi</t>
  </si>
  <si>
    <t>Vain WiFi</t>
  </si>
  <si>
    <t>seulement WiFi</t>
  </si>
  <si>
    <t>केवल वाईफाई</t>
  </si>
  <si>
    <t>csak WiFi</t>
  </si>
  <si>
    <t>WiFi Saja</t>
  </si>
  <si>
    <t>Solo WiFi</t>
  </si>
  <si>
    <t>WiFi בלבד</t>
  </si>
  <si>
    <t>WiFiのみ</t>
  </si>
  <si>
    <t>WiFi 만</t>
  </si>
  <si>
    <t>WiFi Sahaja</t>
  </si>
  <si>
    <t>alleen WIFI</t>
  </si>
  <si>
    <t>Bare WiFi</t>
  </si>
  <si>
    <t>Tylko WiFi</t>
  </si>
  <si>
    <t>Apenas WiFi</t>
  </si>
  <si>
    <t>Doar WiFi</t>
  </si>
  <si>
    <t>Только WiFi</t>
  </si>
  <si>
    <t>Iba WiFi</t>
  </si>
  <si>
    <t>Samo WiFi</t>
  </si>
  <si>
    <t>Endast WiFi</t>
  </si>
  <si>
    <t>WiFi เท่านั้น</t>
  </si>
  <si>
    <t>Sadece WiFi</t>
  </si>
  <si>
    <t>Chỉ trên Wi-Fi</t>
  </si>
  <si>
    <t>仅供Wi-Fi无线连接</t>
  </si>
  <si>
    <t>background_semitransparent_txt</t>
  </si>
  <si>
    <t>Semi-transparent</t>
  </si>
  <si>
    <t>نصف شفاف</t>
  </si>
  <si>
    <t>Полу-прозрачен</t>
  </si>
  <si>
    <t>Poloprůhledný</t>
  </si>
  <si>
    <t>Delvis gennemsigtig</t>
  </si>
  <si>
    <t>Halbtransparent</t>
  </si>
  <si>
    <t>Ημιδιαφανές</t>
  </si>
  <si>
    <t>Semitransparente</t>
  </si>
  <si>
    <t>Osittain läpinäkyvä</t>
  </si>
  <si>
    <t>semi-transparent</t>
  </si>
  <si>
    <t>अर्ध-पारदर्शी</t>
  </si>
  <si>
    <t>részben átlátszó</t>
  </si>
  <si>
    <t>Semi transparan</t>
  </si>
  <si>
    <t>Semi-trasparente</t>
  </si>
  <si>
    <t>שקוף למחצה</t>
  </si>
  <si>
    <t>半透明</t>
  </si>
  <si>
    <t>반투명</t>
  </si>
  <si>
    <t>Separa Lutsinar</t>
  </si>
  <si>
    <t>semi transparant</t>
  </si>
  <si>
    <t>Halvt gjennomsiktig</t>
  </si>
  <si>
    <t>Półprzezroczysty</t>
  </si>
  <si>
    <t>Semitransparent</t>
  </si>
  <si>
    <t>Полупрозрачный</t>
  </si>
  <si>
    <t>Polotransparentné</t>
  </si>
  <si>
    <t>Polprozoren</t>
  </si>
  <si>
    <t>Polu-transparentno</t>
  </si>
  <si>
    <t>กึ่งโปร่งแสง</t>
  </si>
  <si>
    <t>Yarı şeffaf</t>
  </si>
  <si>
    <t>Bán trong suốt</t>
  </si>
  <si>
    <t>半透明的</t>
  </si>
  <si>
    <t>tt_market_options_menu_choose_view_type</t>
  </si>
  <si>
    <t>Choose view type</t>
  </si>
  <si>
    <t>اختر نوع العرض</t>
  </si>
  <si>
    <t>Изберете тип изглед</t>
  </si>
  <si>
    <t>Vyberte typ zobrazení</t>
  </si>
  <si>
    <t>Vælg visningstype</t>
  </si>
  <si>
    <t>Ansicht wählen</t>
  </si>
  <si>
    <t>Επιλέξτε τύπο προβολής</t>
  </si>
  <si>
    <t>Elegir tipo de vista</t>
  </si>
  <si>
    <t>Valitse näkymän tyyppi</t>
  </si>
  <si>
    <t>Choisir type d\'affichage</t>
  </si>
  <si>
    <t>व्यू प्रकार का चयन करें</t>
  </si>
  <si>
    <t>Nézet kiválasztása</t>
  </si>
  <si>
    <t>Pilih jenis tampilan</t>
  </si>
  <si>
    <t>Seleziona tipo di vista</t>
  </si>
  <si>
    <t>בחר סוג תצוגה</t>
  </si>
  <si>
    <t>表示の選択</t>
  </si>
  <si>
    <t>보기 유형 선택</t>
  </si>
  <si>
    <t>Pilih jenis paparan</t>
  </si>
  <si>
    <t>Kies zicht type</t>
  </si>
  <si>
    <t>Velg visningstype</t>
  </si>
  <si>
    <t>Wybierz typ widoku</t>
  </si>
  <si>
    <t>Escolher o tipo de vista</t>
  </si>
  <si>
    <t>Alege tipul de vizualizare</t>
  </si>
  <si>
    <t>Выберите вариант обзора</t>
  </si>
  <si>
    <t>Vyberte typ zobrazenia</t>
  </si>
  <si>
    <t>Izberite vrsto pogleda</t>
  </si>
  <si>
    <t>Izaberi tip pregleda</t>
  </si>
  <si>
    <t>Välj visningstyp</t>
  </si>
  <si>
    <t>เลือกมุมมอง</t>
  </si>
  <si>
    <t>Görünüm türünü seçin</t>
  </si>
  <si>
    <t>Chọn kiểu xem</t>
  </si>
  <si>
    <t>选择视图模式</t>
  </si>
  <si>
    <t>&gt;選擇觀看模式</t>
  </si>
  <si>
    <t>tt_portfolio_view_ipad</t>
  </si>
  <si>
    <t>Portfolio View</t>
  </si>
  <si>
    <t>عرض المحفظة</t>
  </si>
  <si>
    <t>Изглед на портфолио</t>
  </si>
  <si>
    <t>Zobrazení portfolia</t>
  </si>
  <si>
    <t>Vis portofølje</t>
  </si>
  <si>
    <t>Musterdepot Ansicht</t>
  </si>
  <si>
    <t>Προβολή χαρτοφυλακίου</t>
  </si>
  <si>
    <t>Vista de la cartera</t>
  </si>
  <si>
    <t>Salkkunäkymä</t>
  </si>
  <si>
    <t>Afichage du portefeuille</t>
  </si>
  <si>
    <t>पोर्टफोलियो व्यू</t>
  </si>
  <si>
    <t>Portfólió nézet</t>
  </si>
  <si>
    <t>Tampilan Portfolio</t>
  </si>
  <si>
    <t>Vista del portafoglio</t>
  </si>
  <si>
    <t>תצוגת תיק השקעות</t>
  </si>
  <si>
    <t>포트폴리오보기</t>
  </si>
  <si>
    <t>Paparan Portfolio</t>
  </si>
  <si>
    <t>Portefeuille Beeld</t>
  </si>
  <si>
    <t>Porteføljevisning</t>
  </si>
  <si>
    <t>Zobacz portfel</t>
  </si>
  <si>
    <t>Vista da carteira</t>
  </si>
  <si>
    <t>Vizualizare Portofoliu</t>
  </si>
  <si>
    <t>Обзор портфеля</t>
  </si>
  <si>
    <t>Zobrazenie portfólia</t>
  </si>
  <si>
    <t>Pogled portfelja</t>
  </si>
  <si>
    <t>Portföljvy</t>
  </si>
  <si>
    <t>ดูพอร์ต</t>
  </si>
  <si>
    <t>Portföy Görünümü</t>
  </si>
  <si>
    <t>Xem danh mục đầu tư</t>
  </si>
  <si>
    <t>投资组合视图</t>
  </si>
  <si>
    <t>&gt;檢視組合</t>
  </si>
  <si>
    <t>tt_historic3m</t>
  </si>
  <si>
    <t>3 Months</t>
  </si>
  <si>
    <t>3 أشهر</t>
  </si>
  <si>
    <t>3 месеца</t>
  </si>
  <si>
    <t>3 měsíce</t>
  </si>
  <si>
    <t>3 måneder</t>
  </si>
  <si>
    <t>3 Monate</t>
  </si>
  <si>
    <t>3 μήνες</t>
  </si>
  <si>
    <t>3 meses</t>
  </si>
  <si>
    <t>3 kuukautta</t>
  </si>
  <si>
    <t>3 mois</t>
  </si>
  <si>
    <t>3 महीने</t>
  </si>
  <si>
    <t>3 hónap</t>
  </si>
  <si>
    <t>3 bulan</t>
  </si>
  <si>
    <t>3 Mesi</t>
  </si>
  <si>
    <t>3 חודשים</t>
  </si>
  <si>
    <t>3ヶ月</t>
  </si>
  <si>
    <t>3개월</t>
  </si>
  <si>
    <t>3 maanden</t>
  </si>
  <si>
    <t>3-måneders</t>
  </si>
  <si>
    <t>3 miesiące</t>
  </si>
  <si>
    <t>3 Luni</t>
  </si>
  <si>
    <t>3 месяца</t>
  </si>
  <si>
    <t>3 mesiace</t>
  </si>
  <si>
    <t>3 mesece</t>
  </si>
  <si>
    <t>3 meseca</t>
  </si>
  <si>
    <t>3 månader</t>
  </si>
  <si>
    <t>3 เดือน</t>
  </si>
  <si>
    <t>3 ay</t>
  </si>
  <si>
    <t>3 tháng</t>
  </si>
  <si>
    <t>３个月</t>
  </si>
  <si>
    <t>&gt;３個月</t>
  </si>
  <si>
    <t>tt_overview</t>
  </si>
  <si>
    <t>Overview</t>
  </si>
  <si>
    <t>نظرة عامة</t>
  </si>
  <si>
    <t>Преглед</t>
  </si>
  <si>
    <t>Přehled</t>
  </si>
  <si>
    <t>Oversigt</t>
  </si>
  <si>
    <t>Übersicht</t>
  </si>
  <si>
    <t>Σύνοψη</t>
  </si>
  <si>
    <t>Vista general</t>
  </si>
  <si>
    <t>Yleiskatsaus</t>
  </si>
  <si>
    <t>Vue d\'ensemble</t>
  </si>
  <si>
    <t>विहंगावलोकन</t>
  </si>
  <si>
    <t>Áttekintés</t>
  </si>
  <si>
    <t>Ikhtisar</t>
  </si>
  <si>
    <t>Panoramica</t>
  </si>
  <si>
    <t>סקירה כללית</t>
  </si>
  <si>
    <t>概要</t>
  </si>
  <si>
    <t>개요</t>
  </si>
  <si>
    <t>Gambaran Keseluruhan</t>
  </si>
  <si>
    <t>Overzicht</t>
  </si>
  <si>
    <t>Oversikt</t>
  </si>
  <si>
    <t>Przegląd</t>
  </si>
  <si>
    <t>Resumo</t>
  </si>
  <si>
    <t>Prezentare Generală</t>
  </si>
  <si>
    <t>Обзор</t>
  </si>
  <si>
    <t>Prehľad</t>
  </si>
  <si>
    <t>Pregled</t>
  </si>
  <si>
    <t>Opšti pregled</t>
  </si>
  <si>
    <t>Översikt</t>
  </si>
  <si>
    <t>ภาพรวม</t>
  </si>
  <si>
    <t>Genel bakış</t>
  </si>
  <si>
    <t>概览</t>
  </si>
  <si>
    <t>&gt;概覽</t>
  </si>
  <si>
    <t>message_delivered</t>
  </si>
  <si>
    <t>Delivered</t>
  </si>
  <si>
    <t>Erhalten</t>
  </si>
  <si>
    <t>Entregado</t>
  </si>
  <si>
    <t>Livré</t>
  </si>
  <si>
    <t>Kézbesítve</t>
  </si>
  <si>
    <t>Доставлено</t>
  </si>
  <si>
    <t>Isporučena</t>
  </si>
  <si>
    <t>tt_economic_calendar_header</t>
  </si>
  <si>
    <t>Economic Calendar</t>
  </si>
  <si>
    <t>التقويم الاقتصادي</t>
  </si>
  <si>
    <t>Икономически календар</t>
  </si>
  <si>
    <t>Ekonomický kalendář</t>
  </si>
  <si>
    <t>Økonomisk kalender</t>
  </si>
  <si>
    <t>Wirtschaftskalender</t>
  </si>
  <si>
    <t>Οικονομικό ημερολόγιο</t>
  </si>
  <si>
    <t>Calendario económico</t>
  </si>
  <si>
    <t>Talouskalenteri</t>
  </si>
  <si>
    <t>Calendrier économique</t>
  </si>
  <si>
    <t>आर्थिक कैलेंडर</t>
  </si>
  <si>
    <t>Gazdasági naptár</t>
  </si>
  <si>
    <t>Kalender Ekonomik</t>
  </si>
  <si>
    <t>Calendario Economico</t>
  </si>
  <si>
    <t>לוח שנה כלכלי</t>
  </si>
  <si>
    <t>エコノミックカレンダー</t>
  </si>
  <si>
    <t>경제 캘린더</t>
  </si>
  <si>
    <t>Kalendar Ekonomik</t>
  </si>
  <si>
    <t>Economische kalender</t>
  </si>
  <si>
    <t>Kalendarz ekonomiczny</t>
  </si>
  <si>
    <t>Calendário económico</t>
  </si>
  <si>
    <t>Calendar Economic</t>
  </si>
  <si>
    <t>Экономический календарь</t>
  </si>
  <si>
    <t>Ekonomický kalendár</t>
  </si>
  <si>
    <t>Gospodarski koledar</t>
  </si>
  <si>
    <t>Ekonomski Kalendar</t>
  </si>
  <si>
    <t>Ekonomisk kalender</t>
  </si>
  <si>
    <t>ปฏิทินเศรษฐกิจ</t>
  </si>
  <si>
    <t>Ekonomik Takvim</t>
  </si>
  <si>
    <t>Lịch kinh tế</t>
  </si>
  <si>
    <t>财经日历</t>
  </si>
  <si>
    <t>other_news_info</t>
  </si>
  <si>
    <t>Latest news in your chosen language are currently not available. In the meantime you will see news in English. Change settings</t>
  </si>
  <si>
    <t>Die schnellsten Nachrichten in deutscher Sprache sind Montag bis Freitag verfügbar. Aktuell zeigen wir englischsprachige Nachrichten. Einstellungen ändern</t>
  </si>
  <si>
    <t>Les dernières nouvelles dans la langue de votre choix ne sont pas disponibles pour le moment. En attendant, vous verrez des nouvelles en anglais. Modifier les paramètres</t>
  </si>
  <si>
    <t>A legfrissebb hírek az Ön által választott nyelven jelenleg nem elérhetők. Addig is láthatja a híreket angolul. Beállítások módosítása</t>
  </si>
  <si>
    <t>Berita terkini dalam bahasa terpilih Anda saat ini tidak tersedia. Sementara ini Anda akan melihat berita dalam bahasa Inggris. Ubah pengaturan</t>
  </si>
  <si>
    <t>Le notizie più recenti nella lingua da te scelta non sono attualmente disponibili. Nel frattempo, vedrai le notizie in inglese. Modifica le impostazioni</t>
  </si>
  <si>
    <t>選択した言語の最新ニュースは現在ありません。その間、英語のニュースを見ることになるでしょう。設定を変更</t>
  </si>
  <si>
    <t>Berita terkini dalam bahasa terpilih tidak tersedia sekarang. Buat masa ini berita akan dipaparkan dalam Bahasa Inggeris. Tukar tetapan</t>
  </si>
  <si>
    <t>Het laatste nieuws in de door u gekozen taal is op dit moment niet beschikbaar. Ondertussen blijft u het nieuws in het Engels ontvangen. Instellingen wijzigen</t>
  </si>
  <si>
    <t>Najnowsze informacje w wybranym języku są obecnie niedostępne. Póki co będziesz widzieć informacje w języku angielskim. Zmień ustawienia</t>
  </si>
  <si>
    <t>As últimas notícias no idioma escolhido não estão disponíveis no momento. Entretanto, vai ver notícias em inglês. Alterar definições</t>
  </si>
  <si>
    <t>Senaste nyheterna på ditt valda språk är för närvarande inte tillgängliga. Under tiden kommer du att se nyheter på engelska. Ändra inställningar</t>
  </si>
  <si>
    <t>Seçtiğiniz dilde en son haberler şu anda mevcut değil. Hazır olana dek haberleri İngilizce olarak görüntüleyeceksiniz. Ayarları değiştir</t>
  </si>
  <si>
    <t>您所选语言的最新消息目前不可用。在此期间，您将看到英语新闻。更改设置</t>
  </si>
  <si>
    <t>tt_pf_position_detail</t>
  </si>
  <si>
    <t>Position</t>
  </si>
  <si>
    <t>المركز المالي</t>
  </si>
  <si>
    <t>Позиция</t>
  </si>
  <si>
    <t>Pozice</t>
  </si>
  <si>
    <t>Θέση</t>
  </si>
  <si>
    <t>Posición</t>
  </si>
  <si>
    <t>Positio</t>
  </si>
  <si>
    <t>अवस्थिति</t>
  </si>
  <si>
    <t>Pozíció</t>
  </si>
  <si>
    <t>Posisi</t>
  </si>
  <si>
    <t>Posizione</t>
  </si>
  <si>
    <t>עמדה</t>
  </si>
  <si>
    <t>ポジション</t>
  </si>
  <si>
    <t>포지션</t>
  </si>
  <si>
    <t>Positie</t>
  </si>
  <si>
    <t>Posisjon</t>
  </si>
  <si>
    <t>Pozycja</t>
  </si>
  <si>
    <t>Posição</t>
  </si>
  <si>
    <t>Poziţie</t>
  </si>
  <si>
    <t>Pozícia</t>
  </si>
  <si>
    <t>Položaj</t>
  </si>
  <si>
    <t>Pozicija</t>
  </si>
  <si>
    <t>ตำแหน่ง</t>
  </si>
  <si>
    <t>Pozisyon</t>
  </si>
  <si>
    <t>Vị trí</t>
  </si>
  <si>
    <t>持仓</t>
  </si>
  <si>
    <t>&gt;部位</t>
  </si>
  <si>
    <t>graph</t>
  </si>
  <si>
    <t>Graph</t>
  </si>
  <si>
    <t>رسم بياني</t>
  </si>
  <si>
    <t>Диаграма</t>
  </si>
  <si>
    <t>Graf</t>
  </si>
  <si>
    <t>Kurve</t>
  </si>
  <si>
    <t>Γράφημα</t>
  </si>
  <si>
    <t>Gráfico</t>
  </si>
  <si>
    <t>Kaavio</t>
  </si>
  <si>
    <t>Graphique</t>
  </si>
  <si>
    <t>ग्राफ़</t>
  </si>
  <si>
    <t>Diagram</t>
  </si>
  <si>
    <t>Grafik</t>
  </si>
  <si>
    <t>Grafico</t>
  </si>
  <si>
    <t>גרף</t>
  </si>
  <si>
    <t>グラフ</t>
  </si>
  <si>
    <t>그래프</t>
  </si>
  <si>
    <t>Grafiek</t>
  </si>
  <si>
    <t>Wykres</t>
  </si>
  <si>
    <t>Grafic</t>
  </si>
  <si>
    <t>График</t>
  </si>
  <si>
    <t>Grafikon</t>
  </si>
  <si>
    <t>กราฟ</t>
  </si>
  <si>
    <t>Đồ thị</t>
  </si>
  <si>
    <t>图表</t>
  </si>
  <si>
    <t>indonesia</t>
  </si>
  <si>
    <t>Indonesia</t>
  </si>
  <si>
    <t>Indonesien</t>
  </si>
  <si>
    <t>Indonésie</t>
  </si>
  <si>
    <t>Индонезия</t>
  </si>
  <si>
    <t>Indonezija</t>
  </si>
  <si>
    <t>tt_confirm_reset</t>
  </si>
  <si>
    <t>Are you sure you would like to clear all custom settings?</t>
  </si>
  <si>
    <t>هل بالتأكيد تريد حذف جميع الإعدادات المخصصة؟</t>
  </si>
  <si>
    <t>Сигурни ли сте, че искате да изчистите всички персонализирани настройки?</t>
  </si>
  <si>
    <t>Opravdu chcete vymazat všechna vlastní nastavení?</t>
  </si>
  <si>
    <t>Er du sikker på, at du vil rydde alle brugerdefinerede indstillinger?</t>
  </si>
  <si>
    <t>Sind Sie sicher dass Sie alle Ihre benutzerdefinierten Einstellungen löschen wollen?</t>
  </si>
  <si>
    <t>Είστε βέβαιοι ότι θέλετε να διαγράψετε όλες τις προσαρμοσμένες ρυθμίσεις;</t>
  </si>
  <si>
    <t>¿Está seguro que quiere eliminar todos los ajustes personalizados?</t>
  </si>
  <si>
    <t>Haluatko varmasti tyhjentää kaikki mukautetut asetukset?</t>
  </si>
  <si>
    <t>Voulez-vous vraiment réinitialiser les paramètres?</t>
  </si>
  <si>
    <t>क्या आप वाकई सभी कस्टम सेटिंग्स मिटाना चाहते हैं?</t>
  </si>
  <si>
    <t>Biztosan törli az összes saját beállítását?</t>
  </si>
  <si>
    <t>Anda yakin ingin menghapus semua pengaturan khusus?</t>
  </si>
  <si>
    <t>Sei sicuro che vuoi cancellare tutte le impostazioni personalizzate?</t>
  </si>
  <si>
    <t>האם אכן למחוק את כל ההגדרות המותאמות אישית?</t>
  </si>
  <si>
    <t>本当に設定をリセットしますか？</t>
  </si>
  <si>
    <t>모든 맞춤 설정을 제거하시겠습니까?</t>
  </si>
  <si>
    <t>Adakah anda pasti bahawa anda ingin memadamkan semua tetapan tersuai?</t>
  </si>
  <si>
    <t>Weet u zeker dat u alle aangepaste instellingen wilt wissen??</t>
  </si>
  <si>
    <t>Er du sikker på at du vil fjerne alle tilpassede innstillinger?</t>
  </si>
  <si>
    <t>Potwierdź reset</t>
  </si>
  <si>
    <t>Você tem certeza que você gostaria de apagar todas as configurações personalizadas?</t>
  </si>
  <si>
    <t>Sigur vrei să ștergi toate setările personalizate?</t>
  </si>
  <si>
    <t>Вы уверены, что хотите удалить все пользовательские настройки?</t>
  </si>
  <si>
    <t>Naozaj chcete vymazať všetky vlastné nastavenia?</t>
  </si>
  <si>
    <t>Ali ste prepričani, da želite počistiti vse nastavitve po meri?</t>
  </si>
  <si>
    <t>Da li ste sigurni da želite da očistite sva korisnička podešavanja?</t>
  </si>
  <si>
    <t>Är du säker på att du vill ta bort alla anpassade inställningar?</t>
  </si>
  <si>
    <t>คุณแน่ใจแล้วใช่ไหมว่าต้องการลบค่าที่ตั้งเองทั้งหมด?</t>
  </si>
  <si>
    <t>Bütün özel ayarları silmek istediğinizden emin misiniz?</t>
  </si>
  <si>
    <t>Bạn có chắc chắn muốn xóa tất cả các cài đặt tùy chỉnh không?</t>
  </si>
  <si>
    <t>你确定你想清除所有自我定义设置？</t>
  </si>
  <si>
    <t>&gt;你確定你想清除所有自我定義設置?</t>
  </si>
  <si>
    <t>saint_helena</t>
  </si>
  <si>
    <t>Saint Helena and also Tristan Da Cunha</t>
  </si>
  <si>
    <t>St. Helena</t>
  </si>
  <si>
    <t>Santa Helena y Tristán Da Cunha</t>
  </si>
  <si>
    <t>Sainte-Hélène et Tristan Da Cunha</t>
  </si>
  <si>
    <t>Остров Святой Елены и Тристан-да-Кунья</t>
  </si>
  <si>
    <t>Sveta Helena i Tristan Da Kuna</t>
  </si>
  <si>
    <t>mountain_view_rating</t>
  </si>
  <si>
    <t>Mountain View Rating</t>
  </si>
  <si>
    <t>Mountain View vurdering</t>
  </si>
  <si>
    <t>Mountain View luokitus</t>
  </si>
  <si>
    <t>Évaluation de Mountain View</t>
  </si>
  <si>
    <t>Mointain View értékelés</t>
  </si>
  <si>
    <t>Penilaian oleh Mountain View</t>
  </si>
  <si>
    <t>Valutazione di Mountain View</t>
  </si>
  <si>
    <t>マウンテンビュー格付け</t>
  </si>
  <si>
    <t>Penilaian Mountain View</t>
  </si>
  <si>
    <t>Mountain View beoordeling</t>
  </si>
  <si>
    <t>Mountain View rangering</t>
  </si>
  <si>
    <t>Ocena Mountain View</t>
  </si>
  <si>
    <t>Classificação Mountain View</t>
  </si>
  <si>
    <t>Mountain View Betyg</t>
  </si>
  <si>
    <t>Mountain View Derecelendirmesi</t>
  </si>
  <si>
    <t>山景评级</t>
  </si>
  <si>
    <t>tt_edgar_price_book_value_ratio</t>
  </si>
  <si>
    <t>P/B (MRQ)</t>
  </si>
  <si>
    <t>السعر/الحجز (الربع الأخير)</t>
  </si>
  <si>
    <t>KBV (MRQ)</t>
  </si>
  <si>
    <t>PB (último trimestre)</t>
  </si>
  <si>
    <t>पी /बी (एमआरक्यू)</t>
  </si>
  <si>
    <t>מכפיל ההון (P/B) (סך המניות המוחזקות)</t>
  </si>
  <si>
    <t>P/B(MRQ)</t>
  </si>
  <si>
    <t>C/WK (ostatni kwartał)</t>
  </si>
  <si>
    <t>Ц/Б (последний квартал)</t>
  </si>
  <si>
    <t>Trz. Cena/Knjig. vred.</t>
  </si>
  <si>
    <t>F/DD (en güncel çeyrek)</t>
  </si>
  <si>
    <t>市净率（MRQ）</t>
  </si>
  <si>
    <t>pref_notification_grace_period</t>
  </si>
  <si>
    <t>Grace Period</t>
  </si>
  <si>
    <t>فترة السماح</t>
  </si>
  <si>
    <t>Период на пренебрегване</t>
  </si>
  <si>
    <t>Període de gràcia</t>
  </si>
  <si>
    <t>Schonfrist</t>
  </si>
  <si>
    <t>Periodo de gracia</t>
  </si>
  <si>
    <t>Période sans notification</t>
  </si>
  <si>
    <t>Período de graza</t>
  </si>
  <si>
    <t>Türelmi idő</t>
  </si>
  <si>
    <t>Periodo di grazia</t>
  </si>
  <si>
    <t>猶予期間</t>
  </si>
  <si>
    <t>유예기간</t>
  </si>
  <si>
    <t>Uitstelperiode</t>
  </si>
  <si>
    <t>Czas bez powiadomień</t>
  </si>
  <si>
    <t>Грейс-период</t>
  </si>
  <si>
    <t>Период одгоде</t>
  </si>
  <si>
    <t>Notifieringsfrist</t>
  </si>
  <si>
    <t>Період очікування</t>
  </si>
  <si>
    <t>Thời gian gia hạn thông báo</t>
  </si>
  <si>
    <t>靜默期限</t>
  </si>
  <si>
    <t>unable_to_connect_to_server</t>
  </si>
  <si>
    <t>Unable to connect to server.</t>
  </si>
  <si>
    <t>Връзката със сървъра е невъзможна.</t>
  </si>
  <si>
    <t>Verbindung zum Server kann nicht hergestellt werden.</t>
  </si>
  <si>
    <t>No se ha podido conectar al servidor.</t>
  </si>
  <si>
    <t>Non se puido conectar co servidor.</t>
  </si>
  <si>
    <t>Nem sikerül a szerverhez csatlakozni.</t>
  </si>
  <si>
    <t>Impossibile connettersi al server.</t>
  </si>
  <si>
    <t>Kan niet verbinden met server.</t>
  </si>
  <si>
    <t>Nie można połączyć się z serwerem.</t>
  </si>
  <si>
    <t>possible_pin</t>
  </si>
  <si>
    <t>Automatically pasted possible pin from clipboard.</t>
  </si>
  <si>
    <t>Вероятният код беше копиран автоматично.</t>
  </si>
  <si>
    <t>Mögliche PIN aus der Zwischenablage automatisch eingefügt.</t>
  </si>
  <si>
    <t>Automáticamente pegar el posible pin del portapapeles.</t>
  </si>
  <si>
    <t>Copiado automático desde o portapapeis.</t>
  </si>
  <si>
    <t>Automatikusan beillesztett lehetséges PIN a vágólapról.</t>
  </si>
  <si>
    <t>Possibile pin incollato automaticamente dagli appunti.</t>
  </si>
  <si>
    <t>Mogelijke code van het klembord is automatisch geplakt.</t>
  </si>
  <si>
    <t>Automatycznie wklejono prawdopodobny PIN ze schowka.</t>
  </si>
  <si>
    <t>tt_historic2y</t>
  </si>
  <si>
    <t>2 Years</t>
  </si>
  <si>
    <t>سنتان</t>
  </si>
  <si>
    <t>2 години</t>
  </si>
  <si>
    <t>2 roky</t>
  </si>
  <si>
    <t>2 år</t>
  </si>
  <si>
    <t>2 Jahre</t>
  </si>
  <si>
    <t>2 έτη</t>
  </si>
  <si>
    <t>2 Años</t>
  </si>
  <si>
    <t>2 vuotta</t>
  </si>
  <si>
    <t>2 ans</t>
  </si>
  <si>
    <t>2 वर्ष</t>
  </si>
  <si>
    <t>2 Év</t>
  </si>
  <si>
    <t>2 tahun</t>
  </si>
  <si>
    <t>2 Anni</t>
  </si>
  <si>
    <t>שנתיים</t>
  </si>
  <si>
    <t>2年</t>
  </si>
  <si>
    <t>2년</t>
  </si>
  <si>
    <t>2 jaren</t>
  </si>
  <si>
    <t>2-års</t>
  </si>
  <si>
    <t>2 lata</t>
  </si>
  <si>
    <t>2 anos</t>
  </si>
  <si>
    <t>2 Ani</t>
  </si>
  <si>
    <t>2 года</t>
  </si>
  <si>
    <t>2 leti</t>
  </si>
  <si>
    <t>2 godine</t>
  </si>
  <si>
    <t>2 ปี</t>
  </si>
  <si>
    <t>2 yıl</t>
  </si>
  <si>
    <t>2 năm</t>
  </si>
  <si>
    <t>２年</t>
  </si>
  <si>
    <t>&gt;２年</t>
  </si>
  <si>
    <t>tt_get_more_news</t>
  </si>
  <si>
    <t>Load more news</t>
  </si>
  <si>
    <t>تحميل المزيد من الأخبار</t>
  </si>
  <si>
    <t>Зареди още новини</t>
  </si>
  <si>
    <t>Načíst další zprávy</t>
  </si>
  <si>
    <t>Indlæs flere nyheder</t>
  </si>
  <si>
    <t>Mehr Nachrichten laden</t>
  </si>
  <si>
    <t>Φόρτωση περισσότερων ειδήσεων</t>
  </si>
  <si>
    <t>Cargar más noticias</t>
  </si>
  <si>
    <t>Lataa lisää uutisia</t>
  </si>
  <si>
    <t>Afficher plus d\'actualités</t>
  </si>
  <si>
    <t>और अधिक समाचारों को लोड करें</t>
  </si>
  <si>
    <t>Több hír betöltése</t>
  </si>
  <si>
    <t>Muat lebih banyak berita</t>
  </si>
  <si>
    <t>Carica più notizie</t>
  </si>
  <si>
    <t>טען חדשות נוספות</t>
  </si>
  <si>
    <t>ニュース掲載</t>
  </si>
  <si>
    <t>더 많은 뉴스 불러오기</t>
  </si>
  <si>
    <t>Muatkan lagi berita</t>
  </si>
  <si>
    <t>Laad meer nieuws</t>
  </si>
  <si>
    <t>Last inn flere nyheter</t>
  </si>
  <si>
    <t>Pobierz więcej wiadomości</t>
  </si>
  <si>
    <t>Carregar mais notícias</t>
  </si>
  <si>
    <t>Încarcă mai multe știri</t>
  </si>
  <si>
    <t>Загрузить больше новостей</t>
  </si>
  <si>
    <t>Načítať ďalšie správy</t>
  </si>
  <si>
    <t>Naložite več novic</t>
  </si>
  <si>
    <t>Još vesti</t>
  </si>
  <si>
    <t>Läs in fler nyheter</t>
  </si>
  <si>
    <t>โหลดข่าวสารเพิ่มเติม</t>
  </si>
  <si>
    <t>Daha fazla haber yükle</t>
  </si>
  <si>
    <t>Tải thêm tin tức</t>
  </si>
  <si>
    <t>加载更多新闻</t>
  </si>
  <si>
    <t>&gt;加載更多新聞</t>
  </si>
  <si>
    <t>tt_similar_symbols</t>
  </si>
  <si>
    <t>Realtime</t>
  </si>
  <si>
    <t>في الوقت الحالى</t>
  </si>
  <si>
    <t>Реално време</t>
  </si>
  <si>
    <t>Reálný čas</t>
  </si>
  <si>
    <t>Realtid</t>
  </si>
  <si>
    <t>Πραγματικός χρόνος</t>
  </si>
  <si>
    <t>Tosiaikainen</t>
  </si>
  <si>
    <t>Date</t>
  </si>
  <si>
    <t>रियल टाइम</t>
  </si>
  <si>
    <t>Waktu Nyata</t>
  </si>
  <si>
    <t>Tempo reale</t>
  </si>
  <si>
    <t>זמן אמת</t>
  </si>
  <si>
    <t>リアルタイム</t>
  </si>
  <si>
    <t>실시간</t>
  </si>
  <si>
    <t>Masa Sebenar</t>
  </si>
  <si>
    <t>Sanntid</t>
  </si>
  <si>
    <t>Na żywo</t>
  </si>
  <si>
    <t>Tempo real</t>
  </si>
  <si>
    <t>Timp real</t>
  </si>
  <si>
    <t>Режим реального времени</t>
  </si>
  <si>
    <t>Reálny čas</t>
  </si>
  <si>
    <t>V realnem času</t>
  </si>
  <si>
    <t>เรียลไทม์</t>
  </si>
  <si>
    <t>Gerçek zaman</t>
  </si>
  <si>
    <t>Thời gian thực</t>
  </si>
  <si>
    <t>即时的</t>
  </si>
  <si>
    <t>&gt;即時的</t>
  </si>
  <si>
    <t>save_to</t>
  </si>
  <si>
    <t>Save to</t>
  </si>
  <si>
    <t>حفظ في</t>
  </si>
  <si>
    <t>Запази в</t>
  </si>
  <si>
    <t>Uložit do</t>
  </si>
  <si>
    <t>Gem til</t>
  </si>
  <si>
    <t>Speichern unter</t>
  </si>
  <si>
    <t>Αποθήκευση σε</t>
  </si>
  <si>
    <t>Guardar</t>
  </si>
  <si>
    <t>Tallenna kohteeseen</t>
  </si>
  <si>
    <t>Sauvegarder dans</t>
  </si>
  <si>
    <t>में सहेजें</t>
  </si>
  <si>
    <t>Mentés másként</t>
  </si>
  <si>
    <t>Simpan ke</t>
  </si>
  <si>
    <t>Salva</t>
  </si>
  <si>
    <t>שמור ב</t>
  </si>
  <si>
    <t>次の場所に保存</t>
  </si>
  <si>
    <t>다음으로 저장하기</t>
  </si>
  <si>
    <t>Opslaan in</t>
  </si>
  <si>
    <t>Lagre til</t>
  </si>
  <si>
    <t>Zapisz</t>
  </si>
  <si>
    <t>Guardar em</t>
  </si>
  <si>
    <t>Salvează în</t>
  </si>
  <si>
    <t>Сохранить в</t>
  </si>
  <si>
    <t>Uložiť do</t>
  </si>
  <si>
    <t>Shrani v</t>
  </si>
  <si>
    <t>Sačuvaj</t>
  </si>
  <si>
    <t>Spara till</t>
  </si>
  <si>
    <t>บันทึกใน</t>
  </si>
  <si>
    <t>Şuraya kaydet</t>
  </si>
  <si>
    <t>Lưu vào</t>
  </si>
  <si>
    <t>保存到</t>
  </si>
  <si>
    <t>block_jabber_id</t>
  </si>
  <si>
    <t>Block Jabber ID</t>
  </si>
  <si>
    <t>حظر معرف جابر</t>
  </si>
  <si>
    <t>Блокиране на Jabber идентификатор</t>
  </si>
  <si>
    <t>Bloqueja la identificació de Jabber</t>
  </si>
  <si>
    <t>Sperre Jabber-ID</t>
  </si>
  <si>
    <t>Bloquear Identificador Jabber</t>
  </si>
  <si>
    <t>Bloquer l\'ID Jabber</t>
  </si>
  <si>
    <t>Bloquear ID Jabber</t>
  </si>
  <si>
    <t>Jabber azonosító blokkolása</t>
  </si>
  <si>
    <t>Blocca ID Jabber</t>
  </si>
  <si>
    <t>Jabber ID をブロック</t>
  </si>
  <si>
    <t>Jabber ID 차단</t>
  </si>
  <si>
    <t>Jabber-ID blokkeren</t>
  </si>
  <si>
    <t>Zablokuj Jabber ID</t>
  </si>
  <si>
    <t>Заблокировать Jabber ID</t>
  </si>
  <si>
    <t>Блокирај Џабер ИД</t>
  </si>
  <si>
    <t>Blockera Jabber-ID</t>
  </si>
  <si>
    <t>Заблокувати Jabber ID</t>
  </si>
  <si>
    <t>封鎖 Jabber 識別碼</t>
  </si>
  <si>
    <t>battery_optimizations_enabled</t>
  </si>
  <si>
    <t>Battery optimizations enabled</t>
  </si>
  <si>
    <t>وضع تحسين أداء البطارية مفعّل</t>
  </si>
  <si>
    <t>Оптимизациите за използв. на батерията са вкл.</t>
  </si>
  <si>
    <t>Optimitzacions de la bateria habilitades</t>
  </si>
  <si>
    <t>Batterieoptimierung aktiv</t>
  </si>
  <si>
    <t>Optimizaciones de uso de batería habilitadas</t>
  </si>
  <si>
    <t>Optimisations de batterie activées</t>
  </si>
  <si>
    <t>Optimizacións de batería activadas</t>
  </si>
  <si>
    <t>Akkumulátor optimalizációk engedélyezve</t>
  </si>
  <si>
    <t>Pengoptimalan baterai diaktifkan</t>
  </si>
  <si>
    <t>Ottimizzazioni batteria attivate</t>
  </si>
  <si>
    <t>バッテリー最適化が有効</t>
  </si>
  <si>
    <t>배터리 최적화 사용됨</t>
  </si>
  <si>
    <t>Batterij-optimalisaties ingeschakeld</t>
  </si>
  <si>
    <t>Optymalizacje zużycia baterii włączone</t>
  </si>
  <si>
    <t>Otimizações da bateria ativadas</t>
  </si>
  <si>
    <t>Оптимизации энергопотребления разрешены</t>
  </si>
  <si>
    <t>Оптимизација батерије је укључена</t>
  </si>
  <si>
    <t>Batterioptimeringar aktiverade</t>
  </si>
  <si>
    <t>Оптимізацію батареї задіяно</t>
  </si>
  <si>
    <t>Đã bật tối ưu pin</t>
  </si>
  <si>
    <t>啟用節電模式</t>
  </si>
  <si>
    <t>pref_accept_files</t>
  </si>
  <si>
    <t>Accept files</t>
  </si>
  <si>
    <t>ضبط استقبال الملفات</t>
  </si>
  <si>
    <t>Приемане на файлове</t>
  </si>
  <si>
    <t>Accepta els fitxers</t>
  </si>
  <si>
    <t>Dateien annehmen</t>
  </si>
  <si>
    <t>Aceptar archivos</t>
  </si>
  <si>
    <t>Accepter les fichiers</t>
  </si>
  <si>
    <t>Aceptar ficheiros</t>
  </si>
  <si>
    <t>Fájlok fogadása</t>
  </si>
  <si>
    <t>Terima berkas</t>
  </si>
  <si>
    <t>Accetta i file</t>
  </si>
  <si>
    <t>ファイルを受取</t>
  </si>
  <si>
    <t>파일 수락</t>
  </si>
  <si>
    <t>Aanvaard bestanden</t>
  </si>
  <si>
    <t>Akceptuj pliki</t>
  </si>
  <si>
    <t>Aceitar ficheiros</t>
  </si>
  <si>
    <t>Принимать файлы</t>
  </si>
  <si>
    <t>Prijať súbory</t>
  </si>
  <si>
    <t>Прихватај фајлове</t>
  </si>
  <si>
    <t>Acceptera filer</t>
  </si>
  <si>
    <t>Приймати файли</t>
  </si>
  <si>
    <t>Chấp thuận các tập tin</t>
  </si>
  <si>
    <t>接收檔案</t>
  </si>
  <si>
    <t>gp_disable</t>
  </si>
  <si>
    <t>Disable</t>
  </si>
  <si>
    <t>Изключване</t>
  </si>
  <si>
    <t>Inhabilitar</t>
  </si>
  <si>
    <t>Deaktivieren</t>
  </si>
  <si>
    <t>Deshabilitar</t>
  </si>
  <si>
    <t>Désactiver</t>
  </si>
  <si>
    <t>Desactivar</t>
  </si>
  <si>
    <t>Letilt</t>
  </si>
  <si>
    <t>Disattiva</t>
  </si>
  <si>
    <t>Uitschakelen</t>
  </si>
  <si>
    <t>Wyłącz</t>
  </si>
  <si>
    <t>Desativar</t>
  </si>
  <si>
    <t>dialog_title_create_contact</t>
  </si>
  <si>
    <t>Create Contact</t>
  </si>
  <si>
    <t>إضافة جهة اتصال</t>
  </si>
  <si>
    <t>Създаване на контакт</t>
  </si>
  <si>
    <t>Crea un contacte</t>
  </si>
  <si>
    <t>Kontakt erstellen</t>
  </si>
  <si>
    <t>Crear Contacto</t>
  </si>
  <si>
    <t>Créer un contact</t>
  </si>
  <si>
    <t>Crear un contacto</t>
  </si>
  <si>
    <t>Névjegy létrehozása</t>
  </si>
  <si>
    <t>Crea un contatto</t>
  </si>
  <si>
    <t>連絡先を作成</t>
  </si>
  <si>
    <t>Contact aanmaken</t>
  </si>
  <si>
    <t>Utwórz kontakt</t>
  </si>
  <si>
    <t>Criar contacto</t>
  </si>
  <si>
    <t>Создание контакта</t>
  </si>
  <si>
    <t>Направи контакт</t>
  </si>
  <si>
    <t>canada</t>
  </si>
  <si>
    <t>Canada</t>
  </si>
  <si>
    <t>Kanada</t>
  </si>
  <si>
    <t>Canadá</t>
  </si>
  <si>
    <t>Канада</t>
  </si>
  <si>
    <t>moderator</t>
  </si>
  <si>
    <t>Moderator</t>
  </si>
  <si>
    <t>مشرف</t>
  </si>
  <si>
    <t>Модератор</t>
  </si>
  <si>
    <t>Moderador</t>
  </si>
  <si>
    <t>Modérateur</t>
  </si>
  <si>
    <t>Moderátor</t>
  </si>
  <si>
    <t>Moderatore</t>
  </si>
  <si>
    <t>モデレーター</t>
  </si>
  <si>
    <t>중재자</t>
  </si>
  <si>
    <t>Điều phối viên</t>
  </si>
  <si>
    <t>版主</t>
  </si>
  <si>
    <t>security_violation_not_attaching_file</t>
  </si>
  <si>
    <t>File omitted due to security violation.</t>
  </si>
  <si>
    <t>Файлът е пропуснат поради нарушение на сигурността.</t>
  </si>
  <si>
    <t>Die Datei wurde aufgrund von Sicherheitsverletzungen ausgelassen.</t>
  </si>
  <si>
    <t>Fichero omitido por violación de seguridad</t>
  </si>
  <si>
    <t>Fichier omis en raison d\'une violation de la sécurité.</t>
  </si>
  <si>
    <t>Ficheiro omitido debido a transgresión da seguridade.</t>
  </si>
  <si>
    <t>A fájl ki lett hagyva a biztonság megsértése miatt.</t>
  </si>
  <si>
    <t>File omesso per violazione di sicurezza.</t>
  </si>
  <si>
    <t>Bestand weggelaten wegens beveiligingsovertreding.</t>
  </si>
  <si>
    <t>Plik pominięty w związku z naruszeniem bezpieczeństwa.</t>
  </si>
  <si>
    <t>do_let_us_know_about_your_thoughts_your_feedback_matters</t>
  </si>
  <si>
    <t>Do let us know about your thoughts. Your feedback matters!</t>
  </si>
  <si>
    <t>قم بمشاركتنا رأيك اذ انه مهم للغاية لنا!</t>
  </si>
  <si>
    <t>Споделете впечатленията си с нас. Вашите отзиви имат значение!</t>
  </si>
  <si>
    <t>Dejte nám vědět o svých myšlenkách. Na Vaší zpětné vazbě záleží!</t>
  </si>
  <si>
    <t>Fortæl os dine tanker. Din feedback betyder meget!</t>
  </si>
  <si>
    <t>Lassen Sie uns wissen was Sie denken, Ihr Feedback zählt!</t>
  </si>
  <si>
    <t>Ενημερώστε μας για τις σκέψεις σας. Τα σχόλιά σας έχουν σημασία!</t>
  </si>
  <si>
    <t>Dejenos sus comentarios. ¡Su feedback nos interesa!</t>
  </si>
  <si>
    <t>Kerro meille ajatuksistasi. Palautteesi on tärkeä!</t>
  </si>
  <si>
    <t>Faites-nous part de vos commentaires. Ils sont importants à nos yeux!</t>
  </si>
  <si>
    <t>हमें अपने विचारों से अवगत कराएँ। आपकी प्रतिक्रिया मायने रखती है!</t>
  </si>
  <si>
    <t>Kérjük ossze meg velünk véleményét. A visszajelzések fontosak számunkra!</t>
  </si>
  <si>
    <t>Beri tahu kami tentang pandangan Anda. Umpan balik Anda penting!</t>
  </si>
  <si>
    <t>Facci sapere cosa ne pensi. Il tuo feedback conta!</t>
  </si>
  <si>
    <t>שתף אותנו במחשבותיך המשוב שלך חשוב!</t>
  </si>
  <si>
    <t>ご感想を是非お聞かせください。ご意見をお待ちしています。</t>
  </si>
  <si>
    <t>여러분의 의견을 알려주세요. 고객님의 피드백은 소중합니다!</t>
  </si>
  <si>
    <t>Sila maklumkan kepada kami tentang pandangan anda. Pandangan anda sangat penting</t>
  </si>
  <si>
    <t>Heeft U op of aanmerkingen dan laat het ons weten, uw feedback is belangrijk!</t>
  </si>
  <si>
    <t>Fortell oss hva du synes. Din tilbakemelding er viktig!</t>
  </si>
  <si>
    <t>Pozwól nam poznać twoje zdanie.Twoja opinia ma znaczenie!</t>
  </si>
  <si>
    <t>Diga-nos o que pensa. A sua opinião conta!</t>
  </si>
  <si>
    <t>Te rugăm să ne spui ce gândești. Opinia ta contează!</t>
  </si>
  <si>
    <t>Дайте нам знать что Вы думаете. Мы ценим Ваше мнение!</t>
  </si>
  <si>
    <t>Dajte nám vedieť o tom, čo si myslíte. Vaša spätná väzba je dôležitá!</t>
  </si>
  <si>
    <t>Sporočite nam vaše misli. Vaše povratne informacije so pomembne!</t>
  </si>
  <si>
    <t>Pošaljite nam Vaše komentare. Vaše mišljenje nam je važno!</t>
  </si>
  <si>
    <t>Berätta vad du tycker. Din feedback är viktig!</t>
  </si>
  <si>
    <t>เพียงแค่บอกว่าคุณคิดอย่างไร ความคิดเห็นของคุณสำคัญกับเราจริงๆ!</t>
  </si>
  <si>
    <t>Düşüncelerinizi bize bildirin. Geri bildirimleriniz çok değerli!</t>
  </si>
  <si>
    <t>Hãy cho chúng tôi biết cảm nghĩ của bạn. Phản hồi của bạn đóng vai trò rất quan trọng!</t>
  </si>
  <si>
    <t>告诉我们您的看法。您的反馈对我们很重要。</t>
  </si>
  <si>
    <t>tt_open_eula</t>
  </si>
  <si>
    <t>Show Terms Of Use.</t>
  </si>
  <si>
    <t>عرض شروط الاستخدام.</t>
  </si>
  <si>
    <t>Покажи условията за ползване.</t>
  </si>
  <si>
    <t>Zobrazit podmínky použití.</t>
  </si>
  <si>
    <t>Vis brugsbetingelser.</t>
  </si>
  <si>
    <t>Nutzungsbedingungen anzeigen.</t>
  </si>
  <si>
    <t>Εμφάνιση όρων χρήσης.</t>
  </si>
  <si>
    <t>Mostrar los Términos de Uso.</t>
  </si>
  <si>
    <t>Näytä käyttöehdot.</t>
  </si>
  <si>
    <t>Afficher les conditions générales d\'utilisation</t>
  </si>
  <si>
    <t>उपयोग की शर्तें प्रदर्शित करें।</t>
  </si>
  <si>
    <t>ÁSZF mutatása</t>
  </si>
  <si>
    <t>Tunjukkan Ketentuan Penggunaan.</t>
  </si>
  <si>
    <t>Mostra termini d\'uso</t>
  </si>
  <si>
    <t>הצג תנאי שימוש</t>
  </si>
  <si>
    <t>利用規約を表示する</t>
  </si>
  <si>
    <t>이용 약관 표시</t>
  </si>
  <si>
    <t>Tunjukkan Terma Penggunaan.</t>
  </si>
  <si>
    <t>Bekijk de gebruikersovereenkomst.</t>
  </si>
  <si>
    <t>Vis bruksbetingelser.</t>
  </si>
  <si>
    <t>Zobacz warunki użytkowania.</t>
  </si>
  <si>
    <t>Mostrar termos de uso</t>
  </si>
  <si>
    <t>Afișează Termenii de Utilizare.</t>
  </si>
  <si>
    <t>Показать Условия использования</t>
  </si>
  <si>
    <t>Zobraziť podmienky používania.</t>
  </si>
  <si>
    <t>Prikaži pogoje uporabe.</t>
  </si>
  <si>
    <t>Pokaži Uslove o korišćenju</t>
  </si>
  <si>
    <t>Visa användarvillkor.</t>
  </si>
  <si>
    <t>แสดงข้อกำหนดการใช้งาน</t>
  </si>
  <si>
    <t>Kullanım Şartlarını göster.</t>
  </si>
  <si>
    <t>Hiển thị Điều khoản sử dụng.</t>
  </si>
  <si>
    <t>显示使用条款</t>
  </si>
  <si>
    <t>&gt;顯示使用條款</t>
  </si>
  <si>
    <t>title_activity_show_location</t>
  </si>
  <si>
    <t>Show location</t>
  </si>
  <si>
    <t>Показване на местоположението</t>
  </si>
  <si>
    <t>Mostrar ubicació</t>
  </si>
  <si>
    <t>Standort anzeigen</t>
  </si>
  <si>
    <t>Mostrar ubicación</t>
  </si>
  <si>
    <t>Afficher la position</t>
  </si>
  <si>
    <t>Mostrar localización</t>
  </si>
  <si>
    <t>Hely megjelenítése</t>
  </si>
  <si>
    <t>Mostra la posizione</t>
  </si>
  <si>
    <t>Locatie weergeven</t>
  </si>
  <si>
    <t>Pokaż lokalizację</t>
  </si>
  <si>
    <t>Показать местоположение</t>
  </si>
  <si>
    <t>Прикажи локацију</t>
  </si>
  <si>
    <t>all_countries</t>
  </si>
  <si>
    <t>All Countries</t>
  </si>
  <si>
    <t>كل البلدان</t>
  </si>
  <si>
    <t>Всички държави</t>
  </si>
  <si>
    <t>Všechny země</t>
  </si>
  <si>
    <t>Alle lande</t>
  </si>
  <si>
    <t>Alle Länder</t>
  </si>
  <si>
    <t>Ολες οι χώρες</t>
  </si>
  <si>
    <t>Todos los países</t>
  </si>
  <si>
    <t>Kaikki maat</t>
  </si>
  <si>
    <t>Tous les pays</t>
  </si>
  <si>
    <t>सभी देश</t>
  </si>
  <si>
    <t>Minden ország</t>
  </si>
  <si>
    <t>Semua Negara</t>
  </si>
  <si>
    <t>Tutti i paesi</t>
  </si>
  <si>
    <t>כל המדינות</t>
  </si>
  <si>
    <t>すべての国</t>
  </si>
  <si>
    <t>모든 국가</t>
  </si>
  <si>
    <t>alle landen</t>
  </si>
  <si>
    <t>Alle land</t>
  </si>
  <si>
    <t>Wszystkie kraje</t>
  </si>
  <si>
    <t>Todos os países</t>
  </si>
  <si>
    <t>Toate Țările</t>
  </si>
  <si>
    <t>Все страны</t>
  </si>
  <si>
    <t>Všetky krajiny</t>
  </si>
  <si>
    <t>Vse države</t>
  </si>
  <si>
    <t>Sve države</t>
  </si>
  <si>
    <t>Alla länder</t>
  </si>
  <si>
    <t>ทุกประเทศ</t>
  </si>
  <si>
    <t>Tüm Ülkeler</t>
  </si>
  <si>
    <t>Tất cả các quốc gia</t>
  </si>
  <si>
    <t>所有的国家</t>
  </si>
  <si>
    <t>tt_historic1y</t>
  </si>
  <si>
    <t>1 Year</t>
  </si>
  <si>
    <t>سنة</t>
  </si>
  <si>
    <t>1 година</t>
  </si>
  <si>
    <t>1 rok</t>
  </si>
  <si>
    <t>1 år</t>
  </si>
  <si>
    <t>1 Jahr</t>
  </si>
  <si>
    <t>1 έτος</t>
  </si>
  <si>
    <t>1 Año</t>
  </si>
  <si>
    <t>1 vuosi</t>
  </si>
  <si>
    <t>1 an</t>
  </si>
  <si>
    <t>1 वर्ष</t>
  </si>
  <si>
    <t>1 Év</t>
  </si>
  <si>
    <t>1 tahun</t>
  </si>
  <si>
    <t>1 Anno</t>
  </si>
  <si>
    <t>1 שנה</t>
  </si>
  <si>
    <t>1年</t>
  </si>
  <si>
    <t>1년</t>
  </si>
  <si>
    <t>1 jaar</t>
  </si>
  <si>
    <t>1 ano</t>
  </si>
  <si>
    <t>1 An</t>
  </si>
  <si>
    <t>1 год</t>
  </si>
  <si>
    <t>1 leto</t>
  </si>
  <si>
    <t>1 godina</t>
  </si>
  <si>
    <t>1 ปี</t>
  </si>
  <si>
    <t>1 yıl</t>
  </si>
  <si>
    <t>1 năm</t>
  </si>
  <si>
    <t>１年</t>
  </si>
  <si>
    <t>&gt;１年</t>
  </si>
  <si>
    <t>pref_remove_trusted_certificates_summary</t>
  </si>
  <si>
    <t>Delete manually approved certificates</t>
  </si>
  <si>
    <t>إحذف الشهادات التي تقبلتها يدويا</t>
  </si>
  <si>
    <t>Изтриване на сертификатите, одобрени на ръка</t>
  </si>
  <si>
    <t>Esborrar certificats aprovats manualment</t>
  </si>
  <si>
    <t>Als vertrauenswürdig bestätigte Zertifikate löschen</t>
  </si>
  <si>
    <t>Eliminar manualmente certificados aceptados</t>
  </si>
  <si>
    <t>Supprimer les certificats approuvés manuellement.</t>
  </si>
  <si>
    <t>Borrar os certificados aprobados manualmente</t>
  </si>
  <si>
    <t>Törölje a kézzel jóváhagyott tanúsítványokat</t>
  </si>
  <si>
    <t>Hapus sertifikat yang disahkan secara manual</t>
  </si>
  <si>
    <t>Cancella manualmente i certificati già accettati</t>
  </si>
  <si>
    <t>手動で承認された証明書を削除します</t>
  </si>
  <si>
    <t>수동으로 승인된 인증서 삭제</t>
  </si>
  <si>
    <t>Handmatig goedgekeurde certificaten verwijderen</t>
  </si>
  <si>
    <t>Wybierz zaufane certyfikaty do usunięcia</t>
  </si>
  <si>
    <t>Apagar certificados aprovados manualmente</t>
  </si>
  <si>
    <t>Удалить сертификаты, подтверждённые вручную</t>
  </si>
  <si>
    <t>Vymazať ručne schválené certifikáty</t>
  </si>
  <si>
    <t>Обриши ручно одобрене сертификате</t>
  </si>
  <si>
    <t>Ta bort manuellt accepterade certifikat</t>
  </si>
  <si>
    <t>Видалити сертифікати, підтверджені вручну</t>
  </si>
  <si>
    <t>Xoá thủ công các chứng nhận đã phê duyệt</t>
  </si>
  <si>
    <t>刪除人工通過的證書</t>
  </si>
  <si>
    <t>share_with</t>
  </si>
  <si>
    <t>Share with…</t>
  </si>
  <si>
    <t>مشاركة مع</t>
  </si>
  <si>
    <t>Споделяне с…</t>
  </si>
  <si>
    <t>Comparteix amb...</t>
  </si>
  <si>
    <t>Teilen mit…</t>
  </si>
  <si>
    <t>Compartir con...</t>
  </si>
  <si>
    <t>Partager avec…</t>
  </si>
  <si>
    <t>Compartir con</t>
  </si>
  <si>
    <t>Megosztás...</t>
  </si>
  <si>
    <t>Bagikan dengan...</t>
  </si>
  <si>
    <t>Condividi con</t>
  </si>
  <si>
    <t>…で共有</t>
  </si>
  <si>
    <t>공유</t>
  </si>
  <si>
    <t>Delen met…</t>
  </si>
  <si>
    <t>Udostępnij...</t>
  </si>
  <si>
    <t>Compartilhar com...</t>
  </si>
  <si>
    <t>Поделиться с</t>
  </si>
  <si>
    <t>Zdieľať s</t>
  </si>
  <si>
    <t>Подели помоћу…</t>
  </si>
  <si>
    <t>Dela med…</t>
  </si>
  <si>
    <t>Поділитися з…</t>
  </si>
  <si>
    <t>Chia sẻ với...</t>
  </si>
  <si>
    <t>分享…</t>
  </si>
  <si>
    <t>tt_historic1w</t>
  </si>
  <si>
    <t>1 Week</t>
  </si>
  <si>
    <t>أسبوع</t>
  </si>
  <si>
    <t>1 седмица</t>
  </si>
  <si>
    <t>1 týden</t>
  </si>
  <si>
    <t>En uge</t>
  </si>
  <si>
    <t>1 Woche</t>
  </si>
  <si>
    <t>1 εβδομάδα</t>
  </si>
  <si>
    <t>1 Semana</t>
  </si>
  <si>
    <t>1 viikko</t>
  </si>
  <si>
    <t>1 semaine</t>
  </si>
  <si>
    <t>1 सप्ताह</t>
  </si>
  <si>
    <t>1 Hét</t>
  </si>
  <si>
    <t>1 minggu</t>
  </si>
  <si>
    <t>1 Settimana</t>
  </si>
  <si>
    <t>1 שבוע</t>
  </si>
  <si>
    <t>1週間</t>
  </si>
  <si>
    <t>1주</t>
  </si>
  <si>
    <t>1 week</t>
  </si>
  <si>
    <t>1 uke</t>
  </si>
  <si>
    <t>1 tydzień</t>
  </si>
  <si>
    <t>1 Săptămână</t>
  </si>
  <si>
    <t>1 неделя</t>
  </si>
  <si>
    <t>1 týždeň</t>
  </si>
  <si>
    <t>1 teden</t>
  </si>
  <si>
    <t>1 nedelja</t>
  </si>
  <si>
    <t>1 vecka</t>
  </si>
  <si>
    <t>1 สัปดาห์</t>
  </si>
  <si>
    <t>1 hafta</t>
  </si>
  <si>
    <t>1 tuần</t>
  </si>
  <si>
    <t>１星期</t>
  </si>
  <si>
    <t>&gt;１星期</t>
  </si>
  <si>
    <t>tt_newpasswordsdontmatch</t>
  </si>
  <si>
    <t>New password doesn\'t match.</t>
  </si>
  <si>
    <t>كلمة المرور الجديدة غير متطابقة.</t>
  </si>
  <si>
    <t>Новата парола не съвпада.</t>
  </si>
  <si>
    <t>Nové heslo se neshoduje.</t>
  </si>
  <si>
    <t>Ny adgangskode stemmer ikke overens.</t>
  </si>
  <si>
    <t>Neue Passwort stimmt nicht überein.</t>
  </si>
  <si>
    <t>Ο νέος κωδικός πρόσβασης δεν ταιριάζει.</t>
  </si>
  <si>
    <t>La nueva contraseña no coincide.</t>
  </si>
  <si>
    <t>Uusi salasana ei vastaa.</t>
  </si>
  <si>
    <t>Nouveau mot de passe ne correspond pas</t>
  </si>
  <si>
    <t>नया पासवर्ड मेल नहीं खाता है।</t>
  </si>
  <si>
    <t>Új jelszó nem egyezik.</t>
  </si>
  <si>
    <t>Kata sandi baru tidak cocok.</t>
  </si>
  <si>
    <t>Nuovo password non corrisponde</t>
  </si>
  <si>
    <t>סיסמה חדשה אינה תואמת.</t>
  </si>
  <si>
    <t>新しいパスワードは一致しません。</t>
  </si>
  <si>
    <t>새 비밀번호가 일치하지 않습니다.</t>
  </si>
  <si>
    <t>Kata laluan baru tidak padan.</t>
  </si>
  <si>
    <t>Nieuw wachtwoord komt niet overeen.</t>
  </si>
  <si>
    <t>Nytt passord stemmer ikke.</t>
  </si>
  <si>
    <t>Nowe hasło nie pasuje.</t>
  </si>
  <si>
    <t>Nova palavra-passe não corresponde.</t>
  </si>
  <si>
    <t>Parola nouă nu\se potrivește.</t>
  </si>
  <si>
    <t>Новый пароль не совпадают</t>
  </si>
  <si>
    <t>Nové heslo sa nezhoduje.</t>
  </si>
  <si>
    <t>Novo geslo se ne ujema.</t>
  </si>
  <si>
    <t>Nova lozinka se ne slaže</t>
  </si>
  <si>
    <t>Det nya lösenordet matchar inte.</t>
  </si>
  <si>
    <t>รหัสผ่านใหม่ไม่ตรงกัน</t>
  </si>
  <si>
    <t>Yeni şifre eşleşmiyor.</t>
  </si>
  <si>
    <t>Mật khẩu mới không khớp.</t>
  </si>
  <si>
    <t>新的密码不符</t>
  </si>
  <si>
    <t>zimbabwe</t>
  </si>
  <si>
    <t>Zimbabwe</t>
  </si>
  <si>
    <t>Zimbaue</t>
  </si>
  <si>
    <t>Зимбабве</t>
  </si>
  <si>
    <t>Zimbabve</t>
  </si>
  <si>
    <t>british_indian_ocean_territory</t>
  </si>
  <si>
    <t>British Indian Ocean Territory</t>
  </si>
  <si>
    <t>Britisches Gebiet im Indischen Ozean</t>
  </si>
  <si>
    <t>Territorio Británico del Océano Índico</t>
  </si>
  <si>
    <t>Territoire Britannique de l\'Océan Indien</t>
  </si>
  <si>
    <t>Territorio britannico dell\'Oceano Indiano</t>
  </si>
  <si>
    <t>Британская Территория в Индийском Океане</t>
  </si>
  <si>
    <t>Britanska teritorija u Indijskom okeanu</t>
  </si>
  <si>
    <t>tt_itunes_link_free_info</t>
  </si>
  <si>
    <t xml:space="preserve"> the baha StockMarkets app is available for free.</t>
  </si>
  <si>
    <t xml:space="preserve"> Приложението baha StockMarkets е безплатно.</t>
  </si>
  <si>
    <t xml:space="preserve"> aplikace baha baha StockMarkets je k dispozici zdarma.</t>
  </si>
  <si>
    <t xml:space="preserve"> baha StockMarkets-appen er gratis tilgængelig.</t>
  </si>
  <si>
    <t xml:space="preserve"> die baha StockMarkets app ist kostenlos.</t>
  </si>
  <si>
    <t xml:space="preserve"> Η εφαρμογή baha για baha StockMarkets διατίθεται δωρεάν.</t>
  </si>
  <si>
    <t xml:space="preserve"> la aplicación baha StockMarkets está disponible gratis.</t>
  </si>
  <si>
    <t xml:space="preserve"> baha StockMarkets -sovellus on saatavana ilmaiseksi.</t>
  </si>
  <si>
    <t xml:space="preserve"> téléchargez gratuitement l\'application baha StockMarkets dans l\'App Store</t>
  </si>
  <si>
    <t>टेलीट्रेडर आईफोन ऐप निःशुल्क उपलब्ध है।</t>
  </si>
  <si>
    <t>a baha StockMarkets app ingyenesen letölthető.</t>
  </si>
  <si>
    <t xml:space="preserve"> aplikasi baha StockMarkets tersedia secara gratis.</t>
  </si>
  <si>
    <t xml:space="preserve"> baha StockMarkets app è disponibile.</t>
  </si>
  <si>
    <t>אפליקציית baha StockMarkets באייפון זמינה בחינם.</t>
  </si>
  <si>
    <t xml:space="preserve"> baha StockMarkets は</t>
  </si>
  <si>
    <t xml:space="preserve"> aplikasi baha StockMarkets boleh didapati secara percuma.</t>
  </si>
  <si>
    <t xml:space="preserve"> de baha StockMarkets app is gratis verkrijgbaar.</t>
  </si>
  <si>
    <t xml:space="preserve"> baha StockMarkets-appen er tilgjengelig gratis.</t>
  </si>
  <si>
    <t>Aplikacja baha StockMarkets jest dostępna za darmo.</t>
  </si>
  <si>
    <t>o baha StockMarkets app está disponível gratuitamente no</t>
  </si>
  <si>
    <t>Бесплатное приложение baha StockMarkets для Iphone доступно.</t>
  </si>
  <si>
    <t xml:space="preserve"> aplikácia baha StockMarkets je dostupná zadarmo.</t>
  </si>
  <si>
    <t xml:space="preserve"> aplikacija baha StockMarkets je na voljo brezplačno.</t>
  </si>
  <si>
    <t xml:space="preserve"> baha StockMarkets app se besplatno može preuzeti.</t>
  </si>
  <si>
    <t xml:space="preserve"> baha StockMarkets-appen är gratis.</t>
  </si>
  <si>
    <t>แอปจาก baha StockMarkets ฟรีสำหรับ iPhone</t>
  </si>
  <si>
    <t xml:space="preserve"> baha StockMarkets uygulaması ücretsiz olarak kullanılabilir.</t>
  </si>
  <si>
    <t xml:space="preserve"> Ứng dụng baha StockMarkets được cung cấp miễn phí.</t>
  </si>
  <si>
    <t>baha StockMarkets应用程序可免费使用。</t>
  </si>
  <si>
    <t>tt_historic1m</t>
  </si>
  <si>
    <t>1 Month</t>
  </si>
  <si>
    <t>شهر</t>
  </si>
  <si>
    <t>1 месец</t>
  </si>
  <si>
    <t>1 měsíc</t>
  </si>
  <si>
    <t>1 måned</t>
  </si>
  <si>
    <t>1 Monat</t>
  </si>
  <si>
    <t>1 μήνας</t>
  </si>
  <si>
    <t>1 Mes</t>
  </si>
  <si>
    <t>1 kuukausi</t>
  </si>
  <si>
    <t>1 mois</t>
  </si>
  <si>
    <t>1 महीना</t>
  </si>
  <si>
    <t>1 Hónap</t>
  </si>
  <si>
    <t>1 bulan</t>
  </si>
  <si>
    <t>1 Mese</t>
  </si>
  <si>
    <t>1 חודש</t>
  </si>
  <si>
    <t>1ヶ月</t>
  </si>
  <si>
    <t>1개월</t>
  </si>
  <si>
    <t>1 maand</t>
  </si>
  <si>
    <t>1 miesiąc</t>
  </si>
  <si>
    <t>1 mês</t>
  </si>
  <si>
    <t>1 Lună</t>
  </si>
  <si>
    <t>1 месяц</t>
  </si>
  <si>
    <t>1 mesiac</t>
  </si>
  <si>
    <t>1 mesec</t>
  </si>
  <si>
    <t>1 månad</t>
  </si>
  <si>
    <t>1 เดือน</t>
  </si>
  <si>
    <t>1 ay</t>
  </si>
  <si>
    <t>1 tháng</t>
  </si>
  <si>
    <t>１个月</t>
  </si>
  <si>
    <t>&gt;１個月</t>
  </si>
  <si>
    <t>look_and_feel</t>
  </si>
  <si>
    <t>Look and Feel</t>
  </si>
  <si>
    <t>انظر و اشعر</t>
  </si>
  <si>
    <t>Виж и усети</t>
  </si>
  <si>
    <t>Pocitový vzhled</t>
  </si>
  <si>
    <t>Se og føl</t>
  </si>
  <si>
    <t>Aussehen</t>
  </si>
  <si>
    <t>Apariencia</t>
  </si>
  <si>
    <t>Katso ja tunne</t>
  </si>
  <si>
    <t>l\'apparence et le sensation</t>
  </si>
  <si>
    <t>देखें और महसूस करें</t>
  </si>
  <si>
    <t>Éld át</t>
  </si>
  <si>
    <t>Penampilan dan rasa</t>
  </si>
  <si>
    <t>Guarda e Senti</t>
  </si>
  <si>
    <t>תראה ותרגיש</t>
  </si>
  <si>
    <t>ルックアンドフィール</t>
  </si>
  <si>
    <t>룩 앤드 필</t>
  </si>
  <si>
    <t>Rupa dan rasa</t>
  </si>
  <si>
    <t>vorm</t>
  </si>
  <si>
    <t>Patrz i czuj</t>
  </si>
  <si>
    <t>Olhar e sentir</t>
  </si>
  <si>
    <t>Privește și Simte</t>
  </si>
  <si>
    <t>Вид и ощущение</t>
  </si>
  <si>
    <t>Pozrite a pocíťte</t>
  </si>
  <si>
    <t>Poglej in občuti</t>
  </si>
  <si>
    <t>Izgled</t>
  </si>
  <si>
    <t>Utseende och egenskaper</t>
  </si>
  <si>
    <t>มองดูและรู้สึกไปกับมัน</t>
  </si>
  <si>
    <t>Görünüm</t>
  </si>
  <si>
    <t>Xem và cảm nhận</t>
  </si>
  <si>
    <t>外观和感觉</t>
  </si>
  <si>
    <t>malawi</t>
  </si>
  <si>
    <t>Malawi</t>
  </si>
  <si>
    <t>Малави</t>
  </si>
  <si>
    <t>Malavi</t>
  </si>
  <si>
    <t>private_message</t>
  </si>
  <si>
    <t>whispered</t>
  </si>
  <si>
    <t>همس</t>
  </si>
  <si>
    <t>прошепна</t>
  </si>
  <si>
    <t>xiuxiuejat</t>
  </si>
  <si>
    <t>private Nachricht:</t>
  </si>
  <si>
    <t>en privado</t>
  </si>
  <si>
    <t>chuchoté</t>
  </si>
  <si>
    <t>murmurado</t>
  </si>
  <si>
    <t>elsuttogott</t>
  </si>
  <si>
    <t>berbisik</t>
  </si>
  <si>
    <t>sussurrato</t>
  </si>
  <si>
    <t>ささやいた</t>
  </si>
  <si>
    <t>속삭임</t>
  </si>
  <si>
    <t>gefluisterd</t>
  </si>
  <si>
    <t>szepcze</t>
  </si>
  <si>
    <t>sussurrou</t>
  </si>
  <si>
    <t>шёпот</t>
  </si>
  <si>
    <t>súkromná správa</t>
  </si>
  <si>
    <t>шапну</t>
  </si>
  <si>
    <t>privat meddelande</t>
  </si>
  <si>
    <t>шепоче</t>
  </si>
  <si>
    <t>đã thì thầm</t>
  </si>
  <si>
    <t>私聊</t>
  </si>
  <si>
    <t>tt_iosbridge_useralreadyexists</t>
  </si>
  <si>
    <t>Username already used.</t>
  </si>
  <si>
    <t>اسم المستخدم مستخدم بالفعل.</t>
  </si>
  <si>
    <t>Потребителското име вече е използвано.</t>
  </si>
  <si>
    <t>Uživatelské jméno již bylo použito.</t>
  </si>
  <si>
    <t>Brugernavn er allerede brugt.</t>
  </si>
  <si>
    <t>Benutzername bereits vergeben.</t>
  </si>
  <si>
    <t>Το όνομα χρήστη έχει ήδη χρησιμοποιηθεί.</t>
  </si>
  <si>
    <t>El nombre de usuario ya se encuentra en uso.</t>
  </si>
  <si>
    <t>Käyttäjätunnus on jo käytössä.</t>
  </si>
  <si>
    <t>Identifiant déjà utilisé</t>
  </si>
  <si>
    <t>यूजरनेम का पहले से ही उपयोग किया गया है।</t>
  </si>
  <si>
    <t>Felhasználónév már foglalt</t>
  </si>
  <si>
    <t>Nama pengguna telah diambil.</t>
  </si>
  <si>
    <t>Username già utilizzato.</t>
  </si>
  <si>
    <t>שם המשתמש נמצא כבר בשימוש.</t>
  </si>
  <si>
    <t>このユーザーネームは、既に使用されています</t>
  </si>
  <si>
    <t>이미 존재하는 사용자 이름입니다.</t>
  </si>
  <si>
    <t>Gebruikersnaam bestaat al.</t>
  </si>
  <si>
    <t>Brukernavn allerede brukt.</t>
  </si>
  <si>
    <t>Nazwa użytkownika już istnieje.</t>
  </si>
  <si>
    <t>Nome de usuário já utilizado</t>
  </si>
  <si>
    <t>Numele de utilizator a fost utilizat deja.</t>
  </si>
  <si>
    <t>Указанное имя пользователя уже используется</t>
  </si>
  <si>
    <t>Používateľské meno sa už používa.</t>
  </si>
  <si>
    <t>Uporabniško ime je že uporabljeno.</t>
  </si>
  <si>
    <t>Korisničko ime je već u upotrebi.</t>
  </si>
  <si>
    <t>Användarnamnet har redan använts.</t>
  </si>
  <si>
    <t>ชื่อผู้ใช้นี้มีอยู่แล้ว</t>
  </si>
  <si>
    <t>Kullanıcı adı zaten kullanılıyor.</t>
  </si>
  <si>
    <t>Tên người dùng đã được sử dụng.</t>
  </si>
  <si>
    <t>用户名称已被使用</t>
  </si>
  <si>
    <t>&gt;用戶名稱已被使用</t>
  </si>
  <si>
    <t>bermuda</t>
  </si>
  <si>
    <t>Bermuda</t>
  </si>
  <si>
    <t>Bermudas</t>
  </si>
  <si>
    <t>Bermudes</t>
  </si>
  <si>
    <t>Бермудские Острова</t>
  </si>
  <si>
    <t>Bermudi</t>
  </si>
  <si>
    <t>tt_historic1d</t>
  </si>
  <si>
    <t>1 gün</t>
  </si>
  <si>
    <t>tt_pf_cash</t>
  </si>
  <si>
    <t>Invested capital</t>
  </si>
  <si>
    <t>رأس المال المُستثمر</t>
  </si>
  <si>
    <t>Инвестиран капитал</t>
  </si>
  <si>
    <t>Investovaný kapitál</t>
  </si>
  <si>
    <t>Investeret kapital</t>
  </si>
  <si>
    <t>Eingesetztes Kapital</t>
  </si>
  <si>
    <t>Επενδυμένο κεφάλαιο</t>
  </si>
  <si>
    <t>Capital invertido</t>
  </si>
  <si>
    <t>Sijoituspääoma</t>
  </si>
  <si>
    <t>Capitaux investis</t>
  </si>
  <si>
    <t>निवेशित पूंजी</t>
  </si>
  <si>
    <t>Befektetett tőke</t>
  </si>
  <si>
    <t>Modal investasi</t>
  </si>
  <si>
    <t>Capitale investito</t>
  </si>
  <si>
    <t>הון מושקע</t>
  </si>
  <si>
    <t>投資金額</t>
  </si>
  <si>
    <t>투하자본</t>
  </si>
  <si>
    <t>Modal pelaburan</t>
  </si>
  <si>
    <t>Geïnvesteerd kapitaal</t>
  </si>
  <si>
    <t>Investert kapital</t>
  </si>
  <si>
    <t>Zainwestowany kapitał</t>
  </si>
  <si>
    <t>Capital investido</t>
  </si>
  <si>
    <t>Capital investit</t>
  </si>
  <si>
    <t>Инвестированный капитал</t>
  </si>
  <si>
    <t>Vloženi kapital</t>
  </si>
  <si>
    <t>Uložen kapital</t>
  </si>
  <si>
    <t>Investerat kapital</t>
  </si>
  <si>
    <t>เงินทุนที่ลงทุน</t>
  </si>
  <si>
    <t>Yatırılmış sermaye</t>
  </si>
  <si>
    <t>Vốn đầu tư</t>
  </si>
  <si>
    <t>投入资本</t>
  </si>
  <si>
    <t>&gt;投入資本</t>
  </si>
  <si>
    <t>tt_implicite_volatility</t>
  </si>
  <si>
    <t>Implied volatility</t>
  </si>
  <si>
    <t>تقلب ضمني</t>
  </si>
  <si>
    <t>Косвена волатилност</t>
  </si>
  <si>
    <t>Implikovaná volatilita</t>
  </si>
  <si>
    <t>Underforstået volatilitet</t>
  </si>
  <si>
    <t>Implizite Volatilität</t>
  </si>
  <si>
    <t>Σιωπηρή μεταβλητότητα</t>
  </si>
  <si>
    <t>Volatilidad implícita</t>
  </si>
  <si>
    <t>Oletettu volatiliteetti</t>
  </si>
  <si>
    <t>Volatilité implicite</t>
  </si>
  <si>
    <t>अंतर्निहित परिवर्तनशीलता</t>
  </si>
  <si>
    <t>Belső volatilitás</t>
  </si>
  <si>
    <t>Volatilitas implisit</t>
  </si>
  <si>
    <t>Volatilità implicita</t>
  </si>
  <si>
    <t>תנודתיות גלומה</t>
  </si>
  <si>
    <t>インプライドボラティリティ</t>
  </si>
  <si>
    <t>내재변동성</t>
  </si>
  <si>
    <t>Turun naik tersirat</t>
  </si>
  <si>
    <t>Impliciete volatiliteit</t>
  </si>
  <si>
    <t>Underforstått volatilitet</t>
  </si>
  <si>
    <t>Zmienność implikowana</t>
  </si>
  <si>
    <t>Volatilidade implícita</t>
  </si>
  <si>
    <t>Volatilitate implicită</t>
  </si>
  <si>
    <t>Подразумеваемая волатильность</t>
  </si>
  <si>
    <t>Predpokladaná nestálosť</t>
  </si>
  <si>
    <t>Implicirana nestanovitnost</t>
  </si>
  <si>
    <t>Implicitna volatilnost</t>
  </si>
  <si>
    <t>Implicerad volatilitet</t>
  </si>
  <si>
    <t>ค่าความผันผวนแฝง</t>
  </si>
  <si>
    <t>Zımni volatilite</t>
  </si>
  <si>
    <t>Biến động có chủ đích</t>
  </si>
  <si>
    <t>引申波幅</t>
  </si>
  <si>
    <t>tt_color</t>
  </si>
  <si>
    <t>Color</t>
  </si>
  <si>
    <t>اللون</t>
  </si>
  <si>
    <t>Цвят</t>
  </si>
  <si>
    <t>Barva</t>
  </si>
  <si>
    <t>Farve</t>
  </si>
  <si>
    <t>Farbe</t>
  </si>
  <si>
    <t>Χρώμα</t>
  </si>
  <si>
    <t>Väri</t>
  </si>
  <si>
    <t>Couleur</t>
  </si>
  <si>
    <t>रंग</t>
  </si>
  <si>
    <t>Warna</t>
  </si>
  <si>
    <t>Colore</t>
  </si>
  <si>
    <t>צבע</t>
  </si>
  <si>
    <t>色</t>
  </si>
  <si>
    <t>색상</t>
  </si>
  <si>
    <t>kleur</t>
  </si>
  <si>
    <t>Farge</t>
  </si>
  <si>
    <t>Kolor</t>
  </si>
  <si>
    <t>Cor</t>
  </si>
  <si>
    <t>Culoare</t>
  </si>
  <si>
    <t>Цвет</t>
  </si>
  <si>
    <t>Farba</t>
  </si>
  <si>
    <t>Boja</t>
  </si>
  <si>
    <t>Färg</t>
  </si>
  <si>
    <t>สี</t>
  </si>
  <si>
    <t>Renk</t>
  </si>
  <si>
    <t>Màu</t>
  </si>
  <si>
    <t>颜色</t>
  </si>
  <si>
    <t>&gt;顏色</t>
  </si>
  <si>
    <t>selection_too_large</t>
  </si>
  <si>
    <t>The selected area is too large</t>
  </si>
  <si>
    <t>المساحة المحددة كبيرة جدا</t>
  </si>
  <si>
    <t>Избраната област е твърде голяма</t>
  </si>
  <si>
    <t>L\'àrea seleccionada és massa gran</t>
  </si>
  <si>
    <t>Der ausgewählte Bereich ist zu groß</t>
  </si>
  <si>
    <t>El área seleccionada es demasiado grande</t>
  </si>
  <si>
    <t>La zone sélectionnée est trop grande</t>
  </si>
  <si>
    <t>O área selecionada é demasiado grande</t>
  </si>
  <si>
    <t>A kiválasztott terület túl nagy</t>
  </si>
  <si>
    <t>Area yang dipilih terlalu besar</t>
  </si>
  <si>
    <t>L\'area selezionata è troppo grande</t>
  </si>
  <si>
    <t>選択した範囲が大きすぎます</t>
  </si>
  <si>
    <t>선택된 영역이 너무 큽니다</t>
  </si>
  <si>
    <t>Het gekozen vlak is te groot</t>
  </si>
  <si>
    <t>Zaznaczony obszar jest zbyt duży</t>
  </si>
  <si>
    <t>A área selecionada é demasiado grande</t>
  </si>
  <si>
    <t>Выбранная область слишком большая</t>
  </si>
  <si>
    <t>Назначена површина је превелика</t>
  </si>
  <si>
    <t>The valda området är för stort</t>
  </si>
  <si>
    <t>Вибрана ділянка завелика</t>
  </si>
  <si>
    <t>Khu vực chọn quá lớn</t>
  </si>
  <si>
    <t>選擇區域過大</t>
  </si>
  <si>
    <t>continue_chat</t>
  </si>
  <si>
    <t>CONTINUE</t>
  </si>
  <si>
    <t>file_transmission_failed</t>
  </si>
  <si>
    <t>file transmission failed</t>
  </si>
  <si>
    <t>تعذر ارسال الملف</t>
  </si>
  <si>
    <t>неуспешно прехвърляне на файл</t>
  </si>
  <si>
    <t>Arxiu de la transmissió caiguda</t>
  </si>
  <si>
    <t>Übertragung fehlgeschlagen</t>
  </si>
  <si>
    <t>falló la transferencia del archivo</t>
  </si>
  <si>
    <t>Échec de l\'envoi du fichier</t>
  </si>
  <si>
    <t>fallou a transmisión do ficheiro</t>
  </si>
  <si>
    <t>fájlátvitel meghiúsult</t>
  </si>
  <si>
    <t>pengiriman berkas gagal</t>
  </si>
  <si>
    <t>trasmissione del file fallita</t>
  </si>
  <si>
    <t>ファイル転送に失敗しました</t>
  </si>
  <si>
    <t>파일 전송 실패</t>
  </si>
  <si>
    <t>bestandsoverdracht mislukt</t>
  </si>
  <si>
    <t>Przesyłanie pliku nie powiodło się</t>
  </si>
  <si>
    <t>A transmissão do ficheiro falhou</t>
  </si>
  <si>
    <t>передача файла не удалась</t>
  </si>
  <si>
    <t>prenos súboru zlyhal</t>
  </si>
  <si>
    <t>пренос фајла није успео</t>
  </si>
  <si>
    <t>filöverföring lyckades inte</t>
  </si>
  <si>
    <t>передача файла не вдалася</t>
  </si>
  <si>
    <t>chuyển tập tin đã thất bại</t>
  </si>
  <si>
    <t>檔案傳送失敗</t>
  </si>
  <si>
    <t>obsolete</t>
  </si>
  <si>
    <t>onboarding_want_to_informed</t>
  </si>
  <si>
    <t>Want to be informed like an insider at the biggest banks and hedgefunds?</t>
  </si>
  <si>
    <t>Vil du have information som en insider i de største bank og hedgefond?</t>
  </si>
  <si>
    <t>Wollen Sie wie ein Insider bei den größten Banken und Hedgefonds informiert sein?</t>
  </si>
  <si>
    <t>¿Desea estar informado como un insider de los principales bancos y fondos de cobertura?</t>
  </si>
  <si>
    <t>Haluatko pysyä perillä asioista kuin suurimpien pankkien ja hedgerahastojen sisäpiiriläiset?</t>
  </si>
  <si>
    <t>Vous voulez être informé comme un expert des grandes banques et des fonds spéculatifs ?</t>
  </si>
  <si>
    <t>Szeretne bennfentesként értesülni a legnagyobb bankokról és fedezeti alapokról?</t>
  </si>
  <si>
    <t>Ingin mendapatkan informasi seperti orang yang bekerja di bank dan perusahaan pengelola dana terbesar?</t>
  </si>
  <si>
    <t>Vuoi essere informato come un insider presso le più grandi banche e hedgefund?</t>
  </si>
  <si>
    <t>最大手銀行やヘッジファンドの内部関係者のように情報を得たいですか？</t>
  </si>
  <si>
    <t>거대 은행이나 헤지펀드의 내부자와 같이 정보를 받고 싶으십니까?</t>
  </si>
  <si>
    <t>Ingin berpengetahuan seperti orang dalaman di bank dan dana terhad yang terbesar?</t>
  </si>
  <si>
    <t>Wil je worden geïnformeerd als een insider bij de grootste banken en hedgefondsen?</t>
  </si>
  <si>
    <t>Vil du bli informert på samme måte som en insider i de største bankene og hedgefondene?</t>
  </si>
  <si>
    <t>Chcesz być informowany jak ekspert w największych bankach i funduszach hedgingowych?</t>
  </si>
  <si>
    <t>Você quer estar sempre informado como um insider dos grandes bancos e fundos de cobertura?</t>
  </si>
  <si>
    <t>Хотите получать инсайдерскую информацию о крупнейших банках и хедж-фондах?</t>
  </si>
  <si>
    <t>Želite li da budete informisani poput insajdera u najvećim bankama i hedž fondovima?</t>
  </si>
  <si>
    <t>Vill du vara informerad som en insider på de största bankerna och hedgefonderna?</t>
  </si>
  <si>
    <t>En büyük bankalardaki ve yüksek riskli yatırım fonlarındaki içeriden biri gibi bilgi almak ister misiniz?</t>
  </si>
  <si>
    <t>想要像大银行和对冲基金的内幕人士那样消息灵通吗？</t>
  </si>
  <si>
    <t>pref_dnd_on_silent_mode_summary</t>
  </si>
  <si>
    <t>Marks your resource as “Do not disturb” when device is in silent mode</t>
  </si>
  <si>
    <t>Преминава в състояние „отсъстващ“, когато устройството е в тих режим</t>
  </si>
  <si>
    <t>Marqueu el vostre recurs com \"No molesteu\" quan el dispositiu estigui en modo silenciós</t>
  </si>
  <si>
    <t>Setzt deinen Status auf \"Bitte nicht stören\", solange dein Gerät stummgeschaltet ist</t>
  </si>
  <si>
    <t>Cambia tu estado a \"no molestar\" cuando el dispositivo está en modo silencio</t>
  </si>
  <si>
    <t>Marquer cette ressource comme Indisponible quand l\'appareil est en mode silencieux</t>
  </si>
  <si>
    <t>Marca o seu recurso como \"Non molestar\" cando o dispositivo está en modo silencioso</t>
  </si>
  <si>
    <t>Az eszközt \"Ne zavarjon\" jelzéssel jelöli, ha csendes üzemmódban van</t>
  </si>
  <si>
    <t>Segna la tua risorsa come \"Non disturbare\" quando il dispositivo è in modalità silenziosa</t>
  </si>
  <si>
    <t>デバイスがサイレントモードの時に、リソースを “邪魔しないで” としてマークします</t>
  </si>
  <si>
    <t>Stelt je bron in als “Niet storen” wanneer je apparaat in stille modus staat</t>
  </si>
  <si>
    <t>Oznacza twój zasób jako \"Nie przeszkadzać\", gdy urządzenie jest w trybie cichym</t>
  </si>
  <si>
    <t>Помечать ресурс как \"Не беспокоить\", когда устройство в беззвучном режиме</t>
  </si>
  <si>
    <t>Означавање вашег ресурса као „не ометај“ кад је уређај у нечујном режиму</t>
  </si>
  <si>
    <t>Додавати \"Не турбувати\" до імені вашого пристрою, коли пристрій в режимі тиші</t>
  </si>
  <si>
    <t>tt_warning</t>
  </si>
  <si>
    <t>Warning</t>
  </si>
  <si>
    <t>تحذير</t>
  </si>
  <si>
    <t>Предупреждение</t>
  </si>
  <si>
    <t>Varování</t>
  </si>
  <si>
    <t>Advarsel</t>
  </si>
  <si>
    <t>Warnung</t>
  </si>
  <si>
    <t>Προειδοποίηση</t>
  </si>
  <si>
    <t>Advertencia</t>
  </si>
  <si>
    <t>Varoitus</t>
  </si>
  <si>
    <t>चेतावनी</t>
  </si>
  <si>
    <t>Figyelmeztetés</t>
  </si>
  <si>
    <t>Peringatan</t>
  </si>
  <si>
    <t>Avvertimento</t>
  </si>
  <si>
    <t>אזהרה</t>
  </si>
  <si>
    <t>注意</t>
  </si>
  <si>
    <t>경고</t>
  </si>
  <si>
    <t>Amaran</t>
  </si>
  <si>
    <t>Waarschuwing</t>
  </si>
  <si>
    <t>Ostrzeżenie</t>
  </si>
  <si>
    <t>Aviso</t>
  </si>
  <si>
    <t>Avertizare</t>
  </si>
  <si>
    <t>Výstraha</t>
  </si>
  <si>
    <t>Opozorilo</t>
  </si>
  <si>
    <t>Upozorenje</t>
  </si>
  <si>
    <t>Varning</t>
  </si>
  <si>
    <t>คำเตือน</t>
  </si>
  <si>
    <t>Uyarı</t>
  </si>
  <si>
    <t>Cảnh báo</t>
  </si>
  <si>
    <t>警告</t>
  </si>
  <si>
    <t>&gt;警告</t>
  </si>
  <si>
    <t>account_status_stream_opening_error</t>
  </si>
  <si>
    <t>Stream opening error</t>
  </si>
  <si>
    <t>Проблем при отварянето на потока</t>
  </si>
  <si>
    <t>Error d\'obertura de la transmissió</t>
  </si>
  <si>
    <t>Fehler beim Öffnen des Streams</t>
  </si>
  <si>
    <t>Error al abrir la secuencia</t>
  </si>
  <si>
    <t>Erreur d\'ouverture du flux</t>
  </si>
  <si>
    <t>Fallo ao abrir o fluxo</t>
  </si>
  <si>
    <t>Adatfolyam megnyitási hiba</t>
  </si>
  <si>
    <t>Errore apertura flusso</t>
  </si>
  <si>
    <t>Fout bij openen van stream</t>
  </si>
  <si>
    <t>Błąd otwierania strumienia</t>
  </si>
  <si>
    <t>Ошибка открытия потока</t>
  </si>
  <si>
    <t>tt_date</t>
  </si>
  <si>
    <t>التاريخ</t>
  </si>
  <si>
    <t>Дата</t>
  </si>
  <si>
    <t>Datum</t>
  </si>
  <si>
    <t>Dato</t>
  </si>
  <si>
    <t>Ημερομηνία</t>
  </si>
  <si>
    <t>Fecha</t>
  </si>
  <si>
    <t>Päivämäärä</t>
  </si>
  <si>
    <t>तिथि</t>
  </si>
  <si>
    <t>Dátum</t>
  </si>
  <si>
    <t>Tanggal</t>
  </si>
  <si>
    <t>Data</t>
  </si>
  <si>
    <t>תאריך</t>
  </si>
  <si>
    <t>日付</t>
  </si>
  <si>
    <t>날짜</t>
  </si>
  <si>
    <t>Tarikh</t>
  </si>
  <si>
    <t>วันที่</t>
  </si>
  <si>
    <t>Tarih</t>
  </si>
  <si>
    <t>Ngày</t>
  </si>
  <si>
    <t>日期</t>
  </si>
  <si>
    <t>&gt;日期</t>
  </si>
  <si>
    <t>username</t>
  </si>
  <si>
    <t>Username</t>
  </si>
  <si>
    <t>إسم المستخدم</t>
  </si>
  <si>
    <t>Потребителско име</t>
  </si>
  <si>
    <t>Nom d\'usuari</t>
  </si>
  <si>
    <t>Benutzername</t>
  </si>
  <si>
    <t>Usuario</t>
  </si>
  <si>
    <t>Identifiant</t>
  </si>
  <si>
    <t>Identificador</t>
  </si>
  <si>
    <t>Felhasználónév</t>
  </si>
  <si>
    <t>Utente</t>
  </si>
  <si>
    <t>ユーザー名</t>
  </si>
  <si>
    <t>사용자 이름</t>
  </si>
  <si>
    <t>Gebruikersnaam</t>
  </si>
  <si>
    <t>Nazwa użytkownika</t>
  </si>
  <si>
    <t>Nome de utilizador</t>
  </si>
  <si>
    <t>Имя пользователя</t>
  </si>
  <si>
    <t>Užívateľské meno</t>
  </si>
  <si>
    <t>Корисничко име</t>
  </si>
  <si>
    <t>Användarnamn</t>
  </si>
  <si>
    <t>Ім\'я користувача</t>
  </si>
  <si>
    <t>Tên người dùng</t>
  </si>
  <si>
    <t>用戶名</t>
  </si>
  <si>
    <t>encryption_choice_otr</t>
  </si>
  <si>
    <t>OTR</t>
  </si>
  <si>
    <t>رسالة مشفرة عبر OTR</t>
  </si>
  <si>
    <t>ОТР</t>
  </si>
  <si>
    <t>tt_edgar_liquidity_3</t>
  </si>
  <si>
    <t>Liquidity III / Current Ratio</t>
  </si>
  <si>
    <t>السيولة 3 / النسبة الحالية</t>
  </si>
  <si>
    <t>Ликвидност III / Коефициент на текуща ликвидност</t>
  </si>
  <si>
    <t>Likvidita III / aktuální poměr</t>
  </si>
  <si>
    <t>Likviditet III / nuværende forhold</t>
  </si>
  <si>
    <t>Liquiditätsgrad III / Current Ratio</t>
  </si>
  <si>
    <t>Ρευστότητα III / Τρέχουσα αναλογία</t>
  </si>
  <si>
    <t>Liquidez III / Ratio actual</t>
  </si>
  <si>
    <t>Likviditeetti III / nykyinen suhde</t>
  </si>
  <si>
    <t>Liquidité III/Ratio du fonds de roulement</t>
  </si>
  <si>
    <t>तरलता III / वर्तमान अनुपात</t>
  </si>
  <si>
    <t>Rasio Likuiditas III / Saat ini</t>
  </si>
  <si>
    <t>Liquidity III / Current Rapporto</t>
  </si>
  <si>
    <t>יחס נזילות III / זרם</t>
  </si>
  <si>
    <t>リクイデティ III ／流動比率</t>
  </si>
  <si>
    <t>유동성 III/현금 비율</t>
  </si>
  <si>
    <t>Nisbah Kecairan III / Semasa</t>
  </si>
  <si>
    <t>Likviditet III / nåværende forhold</t>
  </si>
  <si>
    <t>Wskaźnik płynności III stopnia</t>
  </si>
  <si>
    <t>Liquidez III / Rácio Corrente</t>
  </si>
  <si>
    <t>Rata de Lichiditate III / Actuală</t>
  </si>
  <si>
    <t>Ликвидность III/ Коэффициент текущей ликвидности</t>
  </si>
  <si>
    <t>Likvidita III / aktuálny pomer</t>
  </si>
  <si>
    <t>Likvidnost III / sedanje razmerje</t>
  </si>
  <si>
    <t>Likvidnost III/Tekuci racio</t>
  </si>
  <si>
    <t>Likviditet III / aktuellt förhållande</t>
  </si>
  <si>
    <t>อัตราส่วนสภาพคล่อง III / ทุนหมุนเวียน</t>
  </si>
  <si>
    <t>Likidite III / Cari Oran</t>
  </si>
  <si>
    <t>Hệ số thanh khoản III/thanh toán hiện thời</t>
  </si>
  <si>
    <t>III流通性/流动比率</t>
  </si>
  <si>
    <t>tt_historic10y</t>
  </si>
  <si>
    <t>10 Years</t>
  </si>
  <si>
    <t>10 سنوات</t>
  </si>
  <si>
    <t>10 години</t>
  </si>
  <si>
    <t>10 let</t>
  </si>
  <si>
    <t>10 år</t>
  </si>
  <si>
    <t>10 Jahre</t>
  </si>
  <si>
    <t>10 έτη</t>
  </si>
  <si>
    <t>10 Años</t>
  </si>
  <si>
    <t>10 vuotta</t>
  </si>
  <si>
    <t>10 ans</t>
  </si>
  <si>
    <t>10 वर्ष</t>
  </si>
  <si>
    <t>10 Év</t>
  </si>
  <si>
    <t>10 Tahun</t>
  </si>
  <si>
    <t>10 Anni</t>
  </si>
  <si>
    <t>10 שנים</t>
  </si>
  <si>
    <t>10年</t>
  </si>
  <si>
    <t>10년</t>
  </si>
  <si>
    <t>10 jaren</t>
  </si>
  <si>
    <t>10-års</t>
  </si>
  <si>
    <t>10 lat</t>
  </si>
  <si>
    <t>10 anos</t>
  </si>
  <si>
    <t>10 Ani</t>
  </si>
  <si>
    <t>10 лет</t>
  </si>
  <si>
    <t>10 rokov</t>
  </si>
  <si>
    <t>10 godina</t>
  </si>
  <si>
    <t>10 ปี</t>
  </si>
  <si>
    <t>10 yıl</t>
  </si>
  <si>
    <t>10 năm</t>
  </si>
  <si>
    <t>１０年</t>
  </si>
  <si>
    <t>&gt;１０年</t>
  </si>
  <si>
    <t>tt_edgar_liquidity_2</t>
  </si>
  <si>
    <t>Liquidity II / Quick Ratio</t>
  </si>
  <si>
    <t>السيولة 2 / نسبة السيولة</t>
  </si>
  <si>
    <t>Ликвидност II / Коефициент на бърза ликвидност</t>
  </si>
  <si>
    <t>Likvidita II / rychlý poměr</t>
  </si>
  <si>
    <t>Likviditet II / hurtig forhold</t>
  </si>
  <si>
    <t>Liquiditätsgrad II / Quick Ratio</t>
  </si>
  <si>
    <t>Ρευστότητα II / Γρήγορη αναλογία</t>
  </si>
  <si>
    <t>Liquidez II / Ratio rápido</t>
  </si>
  <si>
    <t>Likviditeetti II / nopea suhde</t>
  </si>
  <si>
    <t>Liquidité II /Ratio de liquidité réduite</t>
  </si>
  <si>
    <t>तरलता II / त्वरित अनुपात</t>
  </si>
  <si>
    <t>Rasio Likuiditas II / Pantas</t>
  </si>
  <si>
    <t>Liquidity II / Quick Rapporto</t>
  </si>
  <si>
    <t>נזילות II / יחס מהיר</t>
  </si>
  <si>
    <t>リクイデティ II ／当座比率</t>
  </si>
  <si>
    <t>유동성 II/현금 비율</t>
  </si>
  <si>
    <t>Nisbah Kecairan II / Pantas</t>
  </si>
  <si>
    <t>Likviditet II / hurtigforhold</t>
  </si>
  <si>
    <t>Wskaźnik płynności II stopnia</t>
  </si>
  <si>
    <t>Liquidez II / Rácio Rápido</t>
  </si>
  <si>
    <t>Raportul de Lichiditate II / Rapid</t>
  </si>
  <si>
    <t>Ликвидность II/ Коэффициент быстрой ликвидности</t>
  </si>
  <si>
    <t>Likvidita II / rýchly pomer</t>
  </si>
  <si>
    <t>Likvidnost II / hitro razmerje</t>
  </si>
  <si>
    <t>Likvidnost II/Brzi racio</t>
  </si>
  <si>
    <t>Likviditet II / snabbförhållande</t>
  </si>
  <si>
    <t>อัตราส่วนสภาพคล่อง II / ทุนหมุนเวียนเร็ว</t>
  </si>
  <si>
    <t>Likidite 2 / Likidite Oranı</t>
  </si>
  <si>
    <t>Hệ số thanh khoản II/thanh toán nhanh</t>
  </si>
  <si>
    <t>II流通性/速动比率</t>
  </si>
  <si>
    <t>unable_to_fetch_mam_prefs</t>
  </si>
  <si>
    <t>Unable to fetch archiving preferences</t>
  </si>
  <si>
    <t>Неуспешно получаване на настройките за архивирането</t>
  </si>
  <si>
    <t>No es poden obtenir les preferències d\'arxivat</t>
  </si>
  <si>
    <t>Archivierungseinstellungen konnten nicht abgerufen werden</t>
  </si>
  <si>
    <t>No se ha podido conseguir las preferencias de archivado</t>
  </si>
  <si>
    <t>Impossible de récupérer les paramètres d\'archivage</t>
  </si>
  <si>
    <t>Non se obtiveron os axustes de gardado</t>
  </si>
  <si>
    <t>Nem lehet az archiválási beállításokat betölteni</t>
  </si>
  <si>
    <t>Impossibile raccogliere le preferenze di archiviazione</t>
  </si>
  <si>
    <t>アーカイブの設定を取得できません</t>
  </si>
  <si>
    <t>보관 설정을 가져올 수 없습니다.</t>
  </si>
  <si>
    <t>Kon archiefvoorkeuren niet ophalen</t>
  </si>
  <si>
    <t>Nie można pobrać preferencji archiwizacji</t>
  </si>
  <si>
    <t>Não foi possível obter as preferências de arquivamento</t>
  </si>
  <si>
    <t>Не удалось получить настройки архивирования</t>
  </si>
  <si>
    <t>Не могу да добавим поставке архивисања</t>
  </si>
  <si>
    <t>Kan ej hämta arkiveringsinställningar</t>
  </si>
  <si>
    <t>Не зміг отримати налаштування збереження</t>
  </si>
  <si>
    <t>獲取壓縮設置失敗</t>
  </si>
  <si>
    <t>tt_edgar_liquidity_1</t>
  </si>
  <si>
    <t>Liquidity I / Cash Ratio</t>
  </si>
  <si>
    <t>السيولة 1 / نسبة السيولة</t>
  </si>
  <si>
    <t>Ликвидност I / Съотношение на паричните средства</t>
  </si>
  <si>
    <t>Likvidita I / hotovostní poměr</t>
  </si>
  <si>
    <t>Likviditet I / kontant forhold</t>
  </si>
  <si>
    <t>Liquiditätsgrad I / Cash Ratio</t>
  </si>
  <si>
    <t>Ρευστότητα Ι / Αναλογία μετρητών</t>
  </si>
  <si>
    <t>Liquidez I/Ratio de efectivo</t>
  </si>
  <si>
    <t>Likviditeetti I / käteissuhde</t>
  </si>
  <si>
    <t>Liquidité I / Cash Ratio</t>
  </si>
  <si>
    <t>तरलता I / नकद अनुपात</t>
  </si>
  <si>
    <t>Rasio Likuiditas I / Tunai</t>
  </si>
  <si>
    <t>Liquidity I / Cash Rapporto</t>
  </si>
  <si>
    <t>יחס נזילות I / מזומן</t>
  </si>
  <si>
    <t>リクイデティI ／現金比率</t>
  </si>
  <si>
    <t>유동성 I/현금 비율</t>
  </si>
  <si>
    <t>Nisbah Kecairan I / Tunai</t>
  </si>
  <si>
    <t>Likviditet I / kontantforhold</t>
  </si>
  <si>
    <t>Wskaźnik płynności I stopnia</t>
  </si>
  <si>
    <t>Liquidez I / Rácio de Caixa</t>
  </si>
  <si>
    <t>Rata de Lichiditate I / Numerar</t>
  </si>
  <si>
    <t>Ликвидность I/ Коэффициент наличности</t>
  </si>
  <si>
    <t>Likvidita I / hotovostný pomer</t>
  </si>
  <si>
    <t>Likvidnost I / Denarno razmerje</t>
  </si>
  <si>
    <t>Likvidnost I/Gotov. racio</t>
  </si>
  <si>
    <t>Likviditet I / kontantförhållande</t>
  </si>
  <si>
    <t>อัตราส่วนสภาพคล่อง I / เงินสด</t>
  </si>
  <si>
    <t>Likidite 1 / Nakit Oranı</t>
  </si>
  <si>
    <t>Hệ số thanh khoản I/thanh toán tiền mặt</t>
  </si>
  <si>
    <t>I流通性/现金比率</t>
  </si>
  <si>
    <t>tt_youmustrebootyourapplicationforthechangestotakeeffect</t>
  </si>
  <si>
    <t>You must restart the application for the changes to take effect.</t>
  </si>
  <si>
    <t>يجب إعادة تشغيل التطبيق لتدخل التغييرات حيز السريان.</t>
  </si>
  <si>
    <t>Трябва да рестартирате приложението, за да влязат в сила промените.</t>
  </si>
  <si>
    <t>Změny se projeví až po restartování aplikace.</t>
  </si>
  <si>
    <t>Du skal genstarte applikationen for at ændringerne kan træde i kraft.</t>
  </si>
  <si>
    <t>Die Anwendung muss neu gestartet werden damit die Änderung aktiv wird.</t>
  </si>
  <si>
    <t>Πρέπει να κάνετε επανεκκίνηση της εφαρμογής για να τεθούν σε ισχύ οι αλλαγές.</t>
  </si>
  <si>
    <t>Debe reiniciar la aplicación para que los cambios se efectuen.</t>
  </si>
  <si>
    <t>Sinun on käynnistettävä sovellus uudelleen, jotta muutokset tulevat voimaan.</t>
  </si>
  <si>
    <t>Vous devez redémarrer l\'application pour que les modifications soient effectives</t>
  </si>
  <si>
    <t>परिवर्तनों को प्रभावी करने के लिए आपको एप्लिकेशन को रिस्टार्ट करना होगा।</t>
  </si>
  <si>
    <t>Indítsa újra az alkalmazást a változtatások aktiválásához</t>
  </si>
  <si>
    <t>Anda harus me-restart aplikasi agar perubahan dilakukan.</t>
  </si>
  <si>
    <t>Devi riavviare l\'applicazione perché i cambi prendessero l\'effetto.</t>
  </si>
  <si>
    <t>עליך להפעיל מחדש את האפליקציה כדי שהשינויים ייכנסו לתוקף.</t>
  </si>
  <si>
    <t>変更を反映するためにアプリケーションを再起動してください</t>
  </si>
  <si>
    <t>변경 사항을 적용하려면 앱을 다시 시작해야 합니다.</t>
  </si>
  <si>
    <t>Anda mesti memulakan semula aplikasi supaya perubahan boleh dilakukan.</t>
  </si>
  <si>
    <t>U dient de applicatie te herstarten zodat de aanpassingen effectief worden.</t>
  </si>
  <si>
    <t>Du må starte applikasjonen på nytt for at endringene skal tre i kraft.</t>
  </si>
  <si>
    <t>Należy ponownie uruchomić aplikację, aby zmiany odniosły skutek.</t>
  </si>
  <si>
    <t>Você deve reiniciar o aplicativo para que as alterações entrem em vigor</t>
  </si>
  <si>
    <t>Trebuie să repornești aplicația pentru ca modificările să intre în vigoare.</t>
  </si>
  <si>
    <t>Чтобы изменения вступили в силу, необходимо перезапустить приложение</t>
  </si>
  <si>
    <t>Aby sa zmeny prejavili, musíte aplikáciu reštartovať.</t>
  </si>
  <si>
    <t>Če želite, da spremembe začnejo veljati, morate znova zagnati aplikacijo.</t>
  </si>
  <si>
    <t>Morate ponovo pokrenuti aplikaciju kako bi izmene bile primenjene.</t>
  </si>
  <si>
    <t>Du måste starta om applikationen för att ändringarna ska aktiveras.</t>
  </si>
  <si>
    <t>คุณจำเป็นต้องรีสตาร์ทแอปพลิเคชันเพื่อใช้งานค่าที่ตั้งใหม่</t>
  </si>
  <si>
    <t>Değişikliklerin uygulanması için uygulamayı yeniden başlatmanız gerek.</t>
  </si>
  <si>
    <t>Bạn phải khởi động lại ứng dụng để những thay đổi có hiệu lực.</t>
  </si>
  <si>
    <t>必须重新启动应用程式以更新</t>
  </si>
  <si>
    <t>&gt;必須重新啟動應用程式以更新</t>
  </si>
  <si>
    <t>macedonia</t>
  </si>
  <si>
    <t>Macedonia, Republic of</t>
  </si>
  <si>
    <t>Mazedonien</t>
  </si>
  <si>
    <t>Macedonia</t>
  </si>
  <si>
    <t>Macédoine, République de</t>
  </si>
  <si>
    <t>Македония</t>
  </si>
  <si>
    <t>Makedonija</t>
  </si>
  <si>
    <t>ghana</t>
  </si>
  <si>
    <t>Ghana</t>
  </si>
  <si>
    <t>Гана</t>
  </si>
  <si>
    <t>Gana</t>
  </si>
  <si>
    <t>tt_holdings_top_shares_pie_chart</t>
  </si>
  <si>
    <t>Top Shares Pie Chart</t>
  </si>
  <si>
    <t>أهم الأسهم للمخطط</t>
  </si>
  <si>
    <t>Кръгова диаграма на топ акции</t>
  </si>
  <si>
    <t>Výsečový graf nejvýznamnějších podílových akcií</t>
  </si>
  <si>
    <t>Top aktie cirkeldiagram</t>
  </si>
  <si>
    <t>Wichtigste Anteile Diagramm</t>
  </si>
  <si>
    <t>Διάγραμμα κορυφαίων μετοχών</t>
  </si>
  <si>
    <t>Gráfica de las principales participaciones</t>
  </si>
  <si>
    <t>Suosituimpien osakkeiden ympyräkaavio</t>
  </si>
  <si>
    <t>Graphique des meilleures actions</t>
  </si>
  <si>
    <t>शीर्ष शेयर पाई चार्ट</t>
  </si>
  <si>
    <t>Top részvények kördiagrammja</t>
  </si>
  <si>
    <t>Kepemilikan teratas saham bagain pie</t>
  </si>
  <si>
    <t>Titoli Top Grafico a Torta</t>
  </si>
  <si>
    <t>תרשים עוגה עליון</t>
  </si>
  <si>
    <t>トップシェア円グラフ</t>
  </si>
  <si>
    <t>상위주 파이 차트</t>
  </si>
  <si>
    <t>Carta Pai Saham Teratas</t>
  </si>
  <si>
    <t>Topaandelen Cirkeldiagram</t>
  </si>
  <si>
    <t>Diagram for ledende aksjer</t>
  </si>
  <si>
    <t>Największe pozycje - wykres kołowy</t>
  </si>
  <si>
    <t>Gráfico redondo de principais ações</t>
  </si>
  <si>
    <t>Grafic-Plăcintă al Acțiunilor de Top</t>
  </si>
  <si>
    <t>Круговая диаграмма главных акций</t>
  </si>
  <si>
    <t>Koláčový graf s top akciami</t>
  </si>
  <si>
    <t>Tortni diagram najboljših delnic</t>
  </si>
  <si>
    <t>Glavni udeli Pie Chart</t>
  </si>
  <si>
    <t>Toppaktiediagram</t>
  </si>
  <si>
    <t>หุ้นยอดนิยมแบบแผนภูมิวงกลม</t>
  </si>
  <si>
    <t>En yüksek payların yuvarlak grafiği</t>
  </si>
  <si>
    <t>Bảng xếp hạng cổ phiếu hàng đầu</t>
  </si>
  <si>
    <t>重要股票的饼图</t>
  </si>
  <si>
    <t>tt_indicator_settings_shift</t>
  </si>
  <si>
    <t>Shift</t>
  </si>
  <si>
    <t>تبديل</t>
  </si>
  <si>
    <t>Изместване</t>
  </si>
  <si>
    <t>Posunout</t>
  </si>
  <si>
    <t>Flyt</t>
  </si>
  <si>
    <t>Μετατόπιση</t>
  </si>
  <si>
    <t>Cambio</t>
  </si>
  <si>
    <t>Siirrä</t>
  </si>
  <si>
    <t>शिफ्ट करें</t>
  </si>
  <si>
    <t>Syif</t>
  </si>
  <si>
    <t>הסטה</t>
  </si>
  <si>
    <t>シフト</t>
  </si>
  <si>
    <t>전환</t>
  </si>
  <si>
    <t>Verschuif</t>
  </si>
  <si>
    <t>Skifte</t>
  </si>
  <si>
    <t>Przesunięcie</t>
  </si>
  <si>
    <t>Turno</t>
  </si>
  <si>
    <t>Schimb</t>
  </si>
  <si>
    <t>Отклонения</t>
  </si>
  <si>
    <t>Posun</t>
  </si>
  <si>
    <t>Skift</t>
  </si>
  <si>
    <t>ชิพ</t>
  </si>
  <si>
    <t>Vardiya</t>
  </si>
  <si>
    <t>Ca</t>
  </si>
  <si>
    <t>移动</t>
  </si>
  <si>
    <t>&gt;移動</t>
  </si>
  <si>
    <t>attach_file</t>
  </si>
  <si>
    <t>Attach file</t>
  </si>
  <si>
    <t>ارفاق ملف</t>
  </si>
  <si>
    <t>Прикачане на файл</t>
  </si>
  <si>
    <t>Envia un arxiu</t>
  </si>
  <si>
    <t>Datei anfügen</t>
  </si>
  <si>
    <t>Adjuntar</t>
  </si>
  <si>
    <t>Joindre un fichier</t>
  </si>
  <si>
    <t>Adxuntar</t>
  </si>
  <si>
    <t>Fájl csatolása</t>
  </si>
  <si>
    <t>Sisipkan berkas</t>
  </si>
  <si>
    <t>Allega file</t>
  </si>
  <si>
    <t>添付ファイル</t>
  </si>
  <si>
    <t>파일 첨부</t>
  </si>
  <si>
    <t>Bestand bijvoegen</t>
  </si>
  <si>
    <t>Dołącz plik</t>
  </si>
  <si>
    <t>Anexar arquivo</t>
  </si>
  <si>
    <t>Прикрепить файл</t>
  </si>
  <si>
    <t>Priložiť súbor</t>
  </si>
  <si>
    <t>Приложи фајл</t>
  </si>
  <si>
    <t>Bifoga fil</t>
  </si>
  <si>
    <t>Додати файл</t>
  </si>
  <si>
    <t>Đính kèm tập tin</t>
  </si>
  <si>
    <t>附加檔案</t>
  </si>
  <si>
    <t>media_browser</t>
  </si>
  <si>
    <t>Media browser</t>
  </si>
  <si>
    <t>Разглеждане на медийното съдържание</t>
  </si>
  <si>
    <t>Medienbrowser</t>
  </si>
  <si>
    <t>Galería</t>
  </si>
  <si>
    <t>Navigateur de média</t>
  </si>
  <si>
    <t>Navegador de medios</t>
  </si>
  <si>
    <t>Multimédia böngésző</t>
  </si>
  <si>
    <t>Browser multimediale</t>
  </si>
  <si>
    <t>Mediabrowser</t>
  </si>
  <si>
    <t>Przeglądarka mediów</t>
  </si>
  <si>
    <t>account_status_offline</t>
  </si>
  <si>
    <t>Offline</t>
  </si>
  <si>
    <t>غير متصل</t>
  </si>
  <si>
    <t>Извън линия</t>
  </si>
  <si>
    <t>Fora de línia</t>
  </si>
  <si>
    <t>Desconectado</t>
  </si>
  <si>
    <t>Hors-ligne</t>
  </si>
  <si>
    <t>Szétkapcsolva</t>
  </si>
  <si>
    <t>オフライン</t>
  </si>
  <si>
    <t>오프라인</t>
  </si>
  <si>
    <t>Rozłączono</t>
  </si>
  <si>
    <t>Не в сети</t>
  </si>
  <si>
    <t>Ван везе</t>
  </si>
  <si>
    <t>Не в мережі</t>
  </si>
  <si>
    <t>Ngoại tuyến</t>
  </si>
  <si>
    <t>tt_period_weekly</t>
  </si>
  <si>
    <t>שבוע 1</t>
  </si>
  <si>
    <t>1 Hafta</t>
  </si>
  <si>
    <t>tt_spread</t>
  </si>
  <si>
    <t>Spread</t>
  </si>
  <si>
    <t>نشر</t>
  </si>
  <si>
    <t>Спред</t>
  </si>
  <si>
    <t>Nůžky</t>
  </si>
  <si>
    <t>Extender</t>
  </si>
  <si>
    <t>प्रसार</t>
  </si>
  <si>
    <t>Sebarkan</t>
  </si>
  <si>
    <t>スプレッド</t>
  </si>
  <si>
    <t>스프레드</t>
  </si>
  <si>
    <t>Spredt</t>
  </si>
  <si>
    <t>Rozpätie</t>
  </si>
  <si>
    <t>Širjenje</t>
  </si>
  <si>
    <t>Spridning</t>
  </si>
  <si>
    <t>ช่วงราคา</t>
  </si>
  <si>
    <t>Alım-satım farkı</t>
  </si>
  <si>
    <t>Chênh lệch</t>
  </si>
  <si>
    <t>价差</t>
  </si>
  <si>
    <t>&gt;價差</t>
  </si>
  <si>
    <t>tt_mini_chart_view</t>
  </si>
  <si>
    <t>MiniChart View</t>
  </si>
  <si>
    <t>عرض مخطط صغير</t>
  </si>
  <si>
    <t>MiniChart Изглед</t>
  </si>
  <si>
    <t>Zobrazení MiniChart</t>
  </si>
  <si>
    <t>Lille diagram-visning</t>
  </si>
  <si>
    <t>Mini Chart</t>
  </si>
  <si>
    <t>Προβολή MiniChart</t>
  </si>
  <si>
    <t>Mini Gráfico</t>
  </si>
  <si>
    <t>Minikaavionäkymä</t>
  </si>
  <si>
    <t>Mini graphique</t>
  </si>
  <si>
    <t>मिनीचार्ट व्यू</t>
  </si>
  <si>
    <t>MiniGrafikon nézet</t>
  </si>
  <si>
    <t>Tampilan Chart Mini</t>
  </si>
  <si>
    <t>Vista MiniChart</t>
  </si>
  <si>
    <t>הצג מיני-גרף</t>
  </si>
  <si>
    <t>ミニチャート表示</t>
  </si>
  <si>
    <t>미니차트 보기</t>
  </si>
  <si>
    <t>Paparan Carta Mini</t>
  </si>
  <si>
    <t>Mini grafiek overzicht</t>
  </si>
  <si>
    <t>Minidiagramvisning</t>
  </si>
  <si>
    <t>Mini wykres</t>
  </si>
  <si>
    <t>Vista de mini gráfico</t>
  </si>
  <si>
    <t>Vizualizare MiniGrafic</t>
  </si>
  <si>
    <t>Режим мини-графика</t>
  </si>
  <si>
    <t>Zobrazenie MiniChart</t>
  </si>
  <si>
    <t>Postavi šablon kao podrazumevani</t>
  </si>
  <si>
    <t>MiniChart-vy</t>
  </si>
  <si>
    <t>มุมมองแผนภูมิขนาดเล็ก</t>
  </si>
  <si>
    <t>Mini Grafik Görünümü</t>
  </si>
  <si>
    <t>Chế độ xem thu nhỏ</t>
  </si>
  <si>
    <t>小图表视图</t>
  </si>
  <si>
    <t>&gt;查看mini chart</t>
  </si>
  <si>
    <t>nickname</t>
  </si>
  <si>
    <t>Nickname</t>
  </si>
  <si>
    <t>Псевдоним</t>
  </si>
  <si>
    <t>Sobrenom</t>
  </si>
  <si>
    <t>Apodo</t>
  </si>
  <si>
    <t>Surnom</t>
  </si>
  <si>
    <t>Alcume</t>
  </si>
  <si>
    <t>Becenév</t>
  </si>
  <si>
    <t>Soprannome</t>
  </si>
  <si>
    <t>Bijnaam</t>
  </si>
  <si>
    <t>Pseudonim</t>
  </si>
  <si>
    <t>Надимак</t>
  </si>
  <si>
    <t>show_error_message</t>
  </si>
  <si>
    <t>Show error message</t>
  </si>
  <si>
    <t>أظهر رسالة الخطأ</t>
  </si>
  <si>
    <t>Показване на грешка</t>
  </si>
  <si>
    <t>Mostra el missatge d\'error</t>
  </si>
  <si>
    <t>Zeige Fehlermeldung</t>
  </si>
  <si>
    <t>Mostrar mensaje de error</t>
  </si>
  <si>
    <t>Afficher le message d\'erreur</t>
  </si>
  <si>
    <t>Mostrar mensaxe do fallo</t>
  </si>
  <si>
    <t>Hibaüzenet mutatása</t>
  </si>
  <si>
    <t>Mostra messaggio di errore</t>
  </si>
  <si>
    <t>エラーメッセージを表示</t>
  </si>
  <si>
    <t>에러 메세지 보이기</t>
  </si>
  <si>
    <t>Toon foutbericht</t>
  </si>
  <si>
    <t>Pokaż komunikaty błędów</t>
  </si>
  <si>
    <t>Mostrar mensagem de erro</t>
  </si>
  <si>
    <t>Текст ошибки</t>
  </si>
  <si>
    <t>Прикажи поруку грешке</t>
  </si>
  <si>
    <t>Visa felmeddelande</t>
  </si>
  <si>
    <t>Показати повідомлення про помилку</t>
  </si>
  <si>
    <t>顯示錯誤訊息</t>
  </si>
  <si>
    <t>sri_lanka</t>
  </si>
  <si>
    <t>Sri Lanka</t>
  </si>
  <si>
    <t>Шри-Ланка</t>
  </si>
  <si>
    <t>Šri Lanka</t>
  </si>
  <si>
    <t>user_has_joined_chat</t>
  </si>
  <si>
    <t>has joined baha Chat!</t>
  </si>
  <si>
    <t>hat sich mit baha Chat verbunden!</t>
  </si>
  <si>
    <t>se ha unido al Chat de TeleTrader.</t>
  </si>
  <si>
    <t>a rejoint le Chat TeleTrader!</t>
  </si>
  <si>
    <t>csatlakozva a TeleTrader Csethez!</t>
  </si>
  <si>
    <t>присоединился к TeleTrader чату!</t>
  </si>
  <si>
    <t>se priključio TeleTrader četu!</t>
  </si>
  <si>
    <t>Baha Chat\'a katıldı!</t>
  </si>
  <si>
    <t>mali</t>
  </si>
  <si>
    <t>Mali</t>
  </si>
  <si>
    <t>Мали</t>
  </si>
  <si>
    <t>send_failed</t>
  </si>
  <si>
    <t>delivery failed</t>
  </si>
  <si>
    <t>فشل التسليم</t>
  </si>
  <si>
    <t>доставянето се провали</t>
  </si>
  <si>
    <t>L\'enviament ha fallat</t>
  </si>
  <si>
    <t>Zustellung fehlgeschlagen</t>
  </si>
  <si>
    <t>Error al enviar</t>
  </si>
  <si>
    <t>Échec de l\'envoi</t>
  </si>
  <si>
    <t>Erro ao enviar</t>
  </si>
  <si>
    <t>Kézbesítés meghiúsult</t>
  </si>
  <si>
    <t>pengiriman gagal</t>
  </si>
  <si>
    <t>Invio fallito</t>
  </si>
  <si>
    <t>配信に失敗しました</t>
  </si>
  <si>
    <t>전송 실패</t>
  </si>
  <si>
    <t>afleveren mislukt</t>
  </si>
  <si>
    <t>wysyłanie nie powiodło się</t>
  </si>
  <si>
    <t>a entrega falhou</t>
  </si>
  <si>
    <t>доставка не удалась</t>
  </si>
  <si>
    <t>doručenie zlyhalo</t>
  </si>
  <si>
    <t>испорука није успела</t>
  </si>
  <si>
    <t>sändning misslyckades</t>
  </si>
  <si>
    <t>Надсилання не відбулося</t>
  </si>
  <si>
    <t>thất bại khi chuyển</t>
  </si>
  <si>
    <t>傳遞失敗</t>
  </si>
  <si>
    <t>tt_value</t>
  </si>
  <si>
    <t>Value</t>
  </si>
  <si>
    <t>القيمة</t>
  </si>
  <si>
    <t>Стойност</t>
  </si>
  <si>
    <t>Hodnota</t>
  </si>
  <si>
    <t>Værdi</t>
  </si>
  <si>
    <t>Wert</t>
  </si>
  <si>
    <t>Αξία</t>
  </si>
  <si>
    <t>Valor</t>
  </si>
  <si>
    <t>Arvo</t>
  </si>
  <si>
    <t>Valeur</t>
  </si>
  <si>
    <t>मूल्य</t>
  </si>
  <si>
    <t>Érték</t>
  </si>
  <si>
    <t>Nilai</t>
  </si>
  <si>
    <t>Valore</t>
  </si>
  <si>
    <t>ערך</t>
  </si>
  <si>
    <t>価額</t>
  </si>
  <si>
    <t>값</t>
  </si>
  <si>
    <t>Waarde</t>
  </si>
  <si>
    <t>Verdi</t>
  </si>
  <si>
    <t>Wartość</t>
  </si>
  <si>
    <t>Valoare</t>
  </si>
  <si>
    <t>Стоимость</t>
  </si>
  <si>
    <t>Vrednost</t>
  </si>
  <si>
    <t>Värde</t>
  </si>
  <si>
    <t>มูลค่า</t>
  </si>
  <si>
    <t>Değer</t>
  </si>
  <si>
    <t>Giá trị</t>
  </si>
  <si>
    <t>价值</t>
  </si>
  <si>
    <t>&gt;價值</t>
  </si>
  <si>
    <t>congo_brazzaville</t>
  </si>
  <si>
    <t>Congo (Brazzaville)</t>
  </si>
  <si>
    <t>Kongo (Brazzaville)</t>
  </si>
  <si>
    <t>Конго (Браззавиль)</t>
  </si>
  <si>
    <t>Kongo (Brazavil)</t>
  </si>
  <si>
    <t>previous</t>
  </si>
  <si>
    <t>Prev</t>
  </si>
  <si>
    <t>السابق</t>
  </si>
  <si>
    <t>Предишна</t>
  </si>
  <si>
    <t>Předchozí</t>
  </si>
  <si>
    <t>Forhåndsvisning</t>
  </si>
  <si>
    <t>Vorh.</t>
  </si>
  <si>
    <t>Προηγ</t>
  </si>
  <si>
    <t>Anterior</t>
  </si>
  <si>
    <t>Edell</t>
  </si>
  <si>
    <t>Préc</t>
  </si>
  <si>
    <t>पिछला</t>
  </si>
  <si>
    <t>Elő</t>
  </si>
  <si>
    <t>Sebelumnya</t>
  </si>
  <si>
    <t>Prec.</t>
  </si>
  <si>
    <t>קודם</t>
  </si>
  <si>
    <t>前の</t>
  </si>
  <si>
    <t>이전</t>
  </si>
  <si>
    <t>Vorige</t>
  </si>
  <si>
    <t>Forrige</t>
  </si>
  <si>
    <t>Poprzedni</t>
  </si>
  <si>
    <t>prev</t>
  </si>
  <si>
    <t>Предыдущий</t>
  </si>
  <si>
    <t>Predchádzajúce</t>
  </si>
  <si>
    <t>Pre</t>
  </si>
  <si>
    <t>ก่อนหน้า</t>
  </si>
  <si>
    <t>Önceki</t>
  </si>
  <si>
    <t>Trước</t>
  </si>
  <si>
    <t>以前的</t>
  </si>
  <si>
    <t>send_location</t>
  </si>
  <si>
    <t>Send location</t>
  </si>
  <si>
    <t>إرسل موقعك</t>
  </si>
  <si>
    <t>Изпращане на местоположението</t>
  </si>
  <si>
    <t>Enviar localització</t>
  </si>
  <si>
    <t>Standort senden</t>
  </si>
  <si>
    <t>Enviar ubicación</t>
  </si>
  <si>
    <t>Envoyer la position</t>
  </si>
  <si>
    <t>Enviar localización</t>
  </si>
  <si>
    <t>Hely küldése</t>
  </si>
  <si>
    <t>Kirim lokasi</t>
  </si>
  <si>
    <t>Invia la posizione</t>
  </si>
  <si>
    <t>位置を送信</t>
  </si>
  <si>
    <t>위치 전송</t>
  </si>
  <si>
    <t>Locatie versturen</t>
  </si>
  <si>
    <t>Wyślij lokalizację</t>
  </si>
  <si>
    <t>Enviar localização</t>
  </si>
  <si>
    <t>Отправить местоположение</t>
  </si>
  <si>
    <t>Poslať polohu</t>
  </si>
  <si>
    <t>Пошаљи локацију</t>
  </si>
  <si>
    <t>Skicka position</t>
  </si>
  <si>
    <t>Відправити місцезнаходження</t>
  </si>
  <si>
    <t>Gửi vị trí</t>
  </si>
  <si>
    <t>發送位置</t>
  </si>
  <si>
    <t>onboarding_you_can_always_change</t>
  </si>
  <si>
    <t>You can always change notifications later in the app settings.</t>
  </si>
  <si>
    <t>Du kan altid ændre underretninger senere i appindstillingerne.</t>
  </si>
  <si>
    <t>Sie können die Benachrichtigungen jederzeit später in den App-Einstellungen ändern.</t>
  </si>
  <si>
    <t>Puede cambiar las notificaciones en cualquier momento en los ajustes de la aplicación.</t>
  </si>
  <si>
    <t>Voit aina muuttaa ilmoituksia myöhemmin sovelluksen asetuksista.</t>
  </si>
  <si>
    <t>Vous pouvez toujours modifier les notifications ultérieurement dans les paramètres de l\'application.</t>
  </si>
  <si>
    <t>Az értesítéseket később bármikor megváltoztathatja az alkalmazás beállításai között.</t>
  </si>
  <si>
    <t>Anda dapat mengubah notifikasi di pengaturan aplikasi kapan saja.</t>
  </si>
  <si>
    <t>Puoi sempre modificare le notifiche in un secondo momento nelle impostazioni dell\'app.</t>
  </si>
  <si>
    <t>アプリの設定で後からいつでも通知を変更することができます。</t>
  </si>
  <si>
    <t>앱 설정에서 언제든지 나중에 알림 설정을 변경할 수 있습니다.</t>
  </si>
  <si>
    <t>Anda sentiasa dapat mengubah pemberitahuan kemudian di tetapan aplikasi.</t>
  </si>
  <si>
    <t>Je kunt meldingen altijd later wijzigen in de app-instellingen.</t>
  </si>
  <si>
    <t>Du kan alltids endre varslingene i appinnstillingene.</t>
  </si>
  <si>
    <t>Zawsze możesz zmienić powiadomienia później w ustawieniach aplikacji.</t>
  </si>
  <si>
    <t>Você pode alterar as notificações quando quiser, através das configurações do aplicativo.</t>
  </si>
  <si>
    <t>Изменить параметры уведомлений можно позже в настройках приложения.</t>
  </si>
  <si>
    <t>Obaveštenja uvek možete da promenite kasnije u postavkama aplikacije.</t>
  </si>
  <si>
    <t>Du kan alltid ändra aviseringar senare i appens inställningar.</t>
  </si>
  <si>
    <t>İstediğiniz zaman uygulama ayarlarından bildirimleri değiştirebilirsiniz.</t>
  </si>
  <si>
    <t>你始终可以在App设置中更改通知。</t>
  </si>
  <si>
    <t>pref_expert_options_other</t>
  </si>
  <si>
    <t>Other</t>
  </si>
  <si>
    <t>أخرى</t>
  </si>
  <si>
    <t>Други</t>
  </si>
  <si>
    <t>Altres</t>
  </si>
  <si>
    <t>Sonstiges</t>
  </si>
  <si>
    <t>Otros</t>
  </si>
  <si>
    <t>Autres</t>
  </si>
  <si>
    <t>Outro</t>
  </si>
  <si>
    <t>Egyéb</t>
  </si>
  <si>
    <t>Lainnya</t>
  </si>
  <si>
    <t>Altro</t>
  </si>
  <si>
    <t>その他</t>
  </si>
  <si>
    <t>기타</t>
  </si>
  <si>
    <t>Andere</t>
  </si>
  <si>
    <t>Inne</t>
  </si>
  <si>
    <t>Outros</t>
  </si>
  <si>
    <t>Другие</t>
  </si>
  <si>
    <t>Остало</t>
  </si>
  <si>
    <t>Annat</t>
  </si>
  <si>
    <t>Інше</t>
  </si>
  <si>
    <t>Khác</t>
  </si>
  <si>
    <t>其他</t>
  </si>
  <si>
    <t>pref_theme_light</t>
  </si>
  <si>
    <t>Light theme</t>
  </si>
  <si>
    <t>سمة فاتحة</t>
  </si>
  <si>
    <t>Светла тема</t>
  </si>
  <si>
    <t>Tema clar</t>
  </si>
  <si>
    <t>Helles Design</t>
  </si>
  <si>
    <t>Tema claro</t>
  </si>
  <si>
    <t>Thème Clair</t>
  </si>
  <si>
    <t>Decorado claro</t>
  </si>
  <si>
    <t>Világos téma</t>
  </si>
  <si>
    <t>Tema Terang</t>
  </si>
  <si>
    <t>Tema chiaro</t>
  </si>
  <si>
    <t>ライトテーマ</t>
  </si>
  <si>
    <t>라이트 테마</t>
  </si>
  <si>
    <t>Licht thema</t>
  </si>
  <si>
    <t>Jasna skórka</t>
  </si>
  <si>
    <t>Tema Claro</t>
  </si>
  <si>
    <t>Светлая тема</t>
  </si>
  <si>
    <t>Ljust tema</t>
  </si>
  <si>
    <t>Світла тема</t>
  </si>
  <si>
    <t>明亮主題</t>
  </si>
  <si>
    <t>edit_status_message</t>
  </si>
  <si>
    <t>Edit status message</t>
  </si>
  <si>
    <t>تعديل رسالة حالة الحضور</t>
  </si>
  <si>
    <t>Редактиране на съобщението за състоянието</t>
  </si>
  <si>
    <t>Edita el missatge d\'estat</t>
  </si>
  <si>
    <t>Statusnachricht bearbeiten</t>
  </si>
  <si>
    <t>Editar mensaje de estado</t>
  </si>
  <si>
    <t>Modifier le message de statut</t>
  </si>
  <si>
    <t>Editar a menxase de estado</t>
  </si>
  <si>
    <t>állapotüzenet szerkesztése</t>
  </si>
  <si>
    <t>Modifica il messaggio di stato</t>
  </si>
  <si>
    <t>在席状況メッセージを編集</t>
  </si>
  <si>
    <t>Statusbericht bewerken</t>
  </si>
  <si>
    <t>Edytuj komunikat statusu</t>
  </si>
  <si>
    <t>Редактировать статусное сообщение</t>
  </si>
  <si>
    <t>tt_platinum</t>
  </si>
  <si>
    <t>Platinum</t>
  </si>
  <si>
    <t>بلاتين</t>
  </si>
  <si>
    <t>Платина</t>
  </si>
  <si>
    <t>Platina</t>
  </si>
  <si>
    <t>Platin</t>
  </si>
  <si>
    <t>Πλατίνα</t>
  </si>
  <si>
    <t>Platino</t>
  </si>
  <si>
    <t>प्लैटिनम</t>
  </si>
  <si>
    <t>פלטינה</t>
  </si>
  <si>
    <t>プラチナ</t>
  </si>
  <si>
    <t>백금</t>
  </si>
  <si>
    <t>Platyna</t>
  </si>
  <si>
    <t>Platină</t>
  </si>
  <si>
    <t>ทองคำขาว</t>
  </si>
  <si>
    <t>Bạch kim</t>
  </si>
  <si>
    <t>铂金</t>
  </si>
  <si>
    <t>&gt;鉑金</t>
  </si>
  <si>
    <t>tt_profile_businessdescr</t>
  </si>
  <si>
    <t>Business description</t>
  </si>
  <si>
    <t>وصف العمل</t>
  </si>
  <si>
    <t>Бизнес описание</t>
  </si>
  <si>
    <t>Popis podniku</t>
  </si>
  <si>
    <t>Virksomhedsbeskrivelse</t>
  </si>
  <si>
    <t>Unternehmensportrait</t>
  </si>
  <si>
    <t>Περιγραφή δουλειάς</t>
  </si>
  <si>
    <t>Descripción del negocio</t>
  </si>
  <si>
    <t>Yrityksen kuvaus</t>
  </si>
  <si>
    <t>À propos de l\'entreprise</t>
  </si>
  <si>
    <t>व्यावसायिक विवरण</t>
  </si>
  <si>
    <t>Cégbemutató</t>
  </si>
  <si>
    <t>Butiran perniagaan</t>
  </si>
  <si>
    <t>Descrizione dell\'attività</t>
  </si>
  <si>
    <t>תיאור עסקי</t>
  </si>
  <si>
    <t>業種</t>
  </si>
  <si>
    <t>영업 종목</t>
  </si>
  <si>
    <t>Zakenbeschrijving</t>
  </si>
  <si>
    <t>Virksomhetsbeskrivelse</t>
  </si>
  <si>
    <t>Opis działalności</t>
  </si>
  <si>
    <t>Descrição do negócio</t>
  </si>
  <si>
    <t>Descrierea activității</t>
  </si>
  <si>
    <t>Описание деятельности</t>
  </si>
  <si>
    <t>Popis podnikania</t>
  </si>
  <si>
    <t>Opis poslovanja</t>
  </si>
  <si>
    <t>Verksamhetens beskrivning</t>
  </si>
  <si>
    <t>รายละเอียดธุรกิจ</t>
  </si>
  <si>
    <t>İş tanımı</t>
  </si>
  <si>
    <t>Mô tả doanh nghiệp</t>
  </si>
  <si>
    <t>业务描述</t>
  </si>
  <si>
    <t>&gt;業務描述</t>
  </si>
  <si>
    <t>chat_share_contact</t>
  </si>
  <si>
    <t>Share contact</t>
  </si>
  <si>
    <t>Kontakt teilen</t>
  </si>
  <si>
    <t>Compartir contacto</t>
  </si>
  <si>
    <t>Partager le contact</t>
  </si>
  <si>
    <t>Partner megosztása</t>
  </si>
  <si>
    <t>Поделиться контактом</t>
  </si>
  <si>
    <t>Šeruj kontakt</t>
  </si>
  <si>
    <t>login_validation_whitespace</t>
  </si>
  <si>
    <t>Leading/trailing whitespaces not allowed in password.</t>
  </si>
  <si>
    <t>لا يمكن ان يكون هنالك أي مسافة فارغة في كلمة المرور</t>
  </si>
  <si>
    <t>Празни пространства не са разрешени в паролата.</t>
  </si>
  <si>
    <t>Mezery na začátku a na konci nejsou v hesle povoleny.</t>
  </si>
  <si>
    <t>Førende/bageste mellemrum er ikke tilladt i adgangskode.</t>
  </si>
  <si>
    <t>Δεν επιτρέπονται αρχικά/τελικά κενά διαστήματα στον κωδικό πρόσβασης.</t>
  </si>
  <si>
    <t>Los espacios en blanco no están permitidos en la contraseña</t>
  </si>
  <si>
    <t>Ennen/jälkeen olevia välilyöntejä ei sallita salasanassa.</t>
  </si>
  <si>
    <t>Les espacements de début/fin ne sont pas autorisés dans le mot de passe.</t>
  </si>
  <si>
    <t>पासवर्ड में प्रमुख / अनुगामी व्हाइटस्पेस की अनुमति नहीं है।</t>
  </si>
  <si>
    <t>A jelszóban a kezdő vagy befejező "space" karakter nem megengedett.</t>
  </si>
  <si>
    <t>Jeda spasi di depan/di belakang tidak diizinkan dalam kata sandi.</t>
  </si>
  <si>
    <t>Gli spazi all\'inizio/alla fine non sono consentiti nella password.</t>
  </si>
  <si>
    <t>תווים בלתי נראים מובילים או נגררים אינם מורשים בסיסמה.</t>
  </si>
  <si>
    <t>先頭/末尾のスペースはパスワードに使えません。</t>
  </si>
  <si>
    <t>비밀번호 앞뒤로 띄어쓰기를 넣을 수 없습니다.</t>
  </si>
  <si>
    <t>Ruang kosong permulaan/belakang tidak dibenarkan dalam kata laluan.</t>
  </si>
  <si>
    <t>Spaties voor en na het wachtwoord zijn niet toegestaan.</t>
  </si>
  <si>
    <t>Ledende/etterfølgende mellomrom er ikke tillatt i passord.</t>
  </si>
  <si>
    <t>W haśle nie są dozwolone odstępy na początku ani na końcu.</t>
  </si>
  <si>
    <t>Não são permitidos espaços antes e depois da palavra-passe.</t>
  </si>
  <si>
    <t>În parolă nu sunt permise spațiile libere de început/de încheiere.</t>
  </si>
  <si>
    <t>Пробелы в пароле не разрешены.</t>
  </si>
  <si>
    <t>Začiatočné/koncové medzery nie sú v hesle povolené.</t>
  </si>
  <si>
    <t>V geslu niso dovoljeni beli prostori, ki so vodilni/zadnji.</t>
  </si>
  <si>
    <t>Inledande/efterföljande blanksteg är inte tillåtna i lösenord.</t>
  </si>
  <si>
    <t>ไม่สามารถมีช่องว่างด้านหน้า/หลังในรหัสผ่านได้</t>
  </si>
  <si>
    <t>Şifrede başta/sonda boşluklara izin verilmez.</t>
  </si>
  <si>
    <t>Không chấp nhận khoảng trắng ở đầu/cuối mật khẩu.</t>
  </si>
  <si>
    <t>密码中不允许有前导/尾随空格。</t>
  </si>
  <si>
    <t>tt_dividend</t>
  </si>
  <si>
    <t>Dividend</t>
  </si>
  <si>
    <t>توزيعات الأرباح</t>
  </si>
  <si>
    <t>Дивидент</t>
  </si>
  <si>
    <t>Dividenda</t>
  </si>
  <si>
    <t>Udbytte</t>
  </si>
  <si>
    <t>Dividende</t>
  </si>
  <si>
    <t>Μέρισμα</t>
  </si>
  <si>
    <t>Dividendo</t>
  </si>
  <si>
    <t>Osinko</t>
  </si>
  <si>
    <t>लाभांश</t>
  </si>
  <si>
    <t>Osztalék</t>
  </si>
  <si>
    <t>Dividen</t>
  </si>
  <si>
    <t>דיבידנד</t>
  </si>
  <si>
    <t>配当金</t>
  </si>
  <si>
    <t>배당</t>
  </si>
  <si>
    <t>Utbytte</t>
  </si>
  <si>
    <t>Dywidenda</t>
  </si>
  <si>
    <t>Дивиденд</t>
  </si>
  <si>
    <t>Utdelning</t>
  </si>
  <si>
    <t>เงินปันผล</t>
  </si>
  <si>
    <t>Temettü</t>
  </si>
  <si>
    <t>Cổ tức</t>
  </si>
  <si>
    <t>股息</t>
  </si>
  <si>
    <t>maldives</t>
  </si>
  <si>
    <t>Maldives</t>
  </si>
  <si>
    <t>Malediven</t>
  </si>
  <si>
    <t>Maldivas</t>
  </si>
  <si>
    <t>Мальдивы</t>
  </si>
  <si>
    <t>Maldivi</t>
  </si>
  <si>
    <t>tt_cap</t>
  </si>
  <si>
    <t>غطاء</t>
  </si>
  <si>
    <t>Ограничение</t>
  </si>
  <si>
    <t>Víčko</t>
  </si>
  <si>
    <t>Kapasitet</t>
  </si>
  <si>
    <t>Κεφαλαιοποίηση</t>
  </si>
  <si>
    <t>Capitalización</t>
  </si>
  <si>
    <t>Pääoma</t>
  </si>
  <si>
    <t>Plafond</t>
  </si>
  <si>
    <t>कैप</t>
  </si>
  <si>
    <t>Felső limit</t>
  </si>
  <si>
    <t>Batasan</t>
  </si>
  <si>
    <t>Capitalizzazione</t>
  </si>
  <si>
    <t>היוון</t>
  </si>
  <si>
    <t>上限</t>
  </si>
  <si>
    <t>CAP</t>
  </si>
  <si>
    <t>Had</t>
  </si>
  <si>
    <t>Górne ograniczenie</t>
  </si>
  <si>
    <t>Teto</t>
  </si>
  <si>
    <t>Limită</t>
  </si>
  <si>
    <t>Капитализация</t>
  </si>
  <si>
    <t>Strop</t>
  </si>
  <si>
    <t>Kap</t>
  </si>
  <si>
    <t>Gräns</t>
  </si>
  <si>
    <t>มูลค่าการลงทุน</t>
  </si>
  <si>
    <t>Aktifleştirme</t>
  </si>
  <si>
    <t>Vốn hóa</t>
  </si>
  <si>
    <t>资本化</t>
  </si>
  <si>
    <t>daily_events</t>
  </si>
  <si>
    <t>Daily Events</t>
  </si>
  <si>
    <t>الأحداث اليومية</t>
  </si>
  <si>
    <t>Дневни събития</t>
  </si>
  <si>
    <t>Denní události</t>
  </si>
  <si>
    <t>Daglige begivenheder</t>
  </si>
  <si>
    <t>Tägliche Events</t>
  </si>
  <si>
    <t>Καθημερινές εκδηλώσεις</t>
  </si>
  <si>
    <t>Eventos del día</t>
  </si>
  <si>
    <t>Päivittäiset tapahtumat</t>
  </si>
  <si>
    <t>Evénements quotidiens</t>
  </si>
  <si>
    <t>दैनिक घटनाएँ</t>
  </si>
  <si>
    <t>Napi események</t>
  </si>
  <si>
    <t>Acara Harian</t>
  </si>
  <si>
    <t>Eventi giornalieri</t>
  </si>
  <si>
    <t>אירועים יומיים</t>
  </si>
  <si>
    <t>デイリーイベント</t>
  </si>
  <si>
    <t>일간 사건</t>
  </si>
  <si>
    <t>dagelijkse evenementen</t>
  </si>
  <si>
    <t>Daglige hendelser</t>
  </si>
  <si>
    <t>Wydarzenia</t>
  </si>
  <si>
    <t>Eventos diários</t>
  </si>
  <si>
    <t>Evenimente Zilnice</t>
  </si>
  <si>
    <t>Ежедневные события</t>
  </si>
  <si>
    <t>Denné udalosti</t>
  </si>
  <si>
    <t>Dnevni dogodki</t>
  </si>
  <si>
    <t>Dnevni događaji</t>
  </si>
  <si>
    <t>Dagliga händelser</t>
  </si>
  <si>
    <t>สถานการณ์ประจำวัน</t>
  </si>
  <si>
    <t>Günlük Olaylar</t>
  </si>
  <si>
    <t>Sự kiện hàng ngày</t>
  </si>
  <si>
    <t>每日事件</t>
  </si>
  <si>
    <t>hostname_or_onion</t>
  </si>
  <si>
    <t>Server- or .onion-Address</t>
  </si>
  <si>
    <t>خادوم أو عنوان .onion</t>
  </si>
  <si>
    <t>Адрес на сървър или .onion</t>
  </si>
  <si>
    <t>Servidor- or adreça-.onion</t>
  </si>
  <si>
    <t>Server- oder .onion-Adresse</t>
  </si>
  <si>
    <t>Adresse du serveur ou .onion</t>
  </si>
  <si>
    <t>Servidor- ou enderezo .onion</t>
  </si>
  <si>
    <t>Szerver vagy .onion Cím</t>
  </si>
  <si>
    <t>Indirizzo server o .onion</t>
  </si>
  <si>
    <t>サーバーまたは .onion アドレス</t>
  </si>
  <si>
    <t>서버 또는 .onion 주소</t>
  </si>
  <si>
    <t>Server- of .onion-adres</t>
  </si>
  <si>
    <t>Adres serwera lub adres \".onion\"</t>
  </si>
  <si>
    <t>Servidor ou endereço .onion</t>
  </si>
  <si>
    <t>Сервер- или .onion-адрес</t>
  </si>
  <si>
    <t>Сервер или .onion адреса</t>
  </si>
  <si>
    <t>Server- eller .onion-adress</t>
  </si>
  <si>
    <t>Адреса серверу або .onion</t>
  </si>
  <si>
    <t>Máy chủ- hoặc địa chỉ .onion-</t>
  </si>
  <si>
    <t>伺服器 - 或者 .orion 地址</t>
  </si>
  <si>
    <t>symbol_detail_overview_popup_body</t>
  </si>
  <si>
    <t>Swipe for more information such as constituents and ratios! Rotate the screen to enable interactive charting!</t>
  </si>
  <si>
    <t>مرر لمزيد من المعلومات مثل المكونات والنسب! قم بتدوير الشاشة لتمكين المخططات التفاعلية!</t>
  </si>
  <si>
    <t>Плъзнете с пръст за повече информация като компоненти и съотношения! Завъртете екрана, за да активирате интерактивни графики!</t>
  </si>
  <si>
    <t>Přejetím prstem získáte další informace, například složky a poměry! Otočte obrazovku a budou povoleny interaktivní grafy!</t>
  </si>
  <si>
    <t>Stryg for at få flere oplysninger, f.eks. bestanddele og forhold! Drej på skærmen for at aktivere interaktiv diagram!</t>
  </si>
  <si>
    <t>Wischen Sie für mehr Informationen, wie Indexbestandteile und Kennzahlen! Drehen Sie den Bildschirm um das interaktive Charting zu aktivieren!</t>
  </si>
  <si>
    <t>Σύρετε για περισσότερες πληροφορίες, όπως συστατικά και αναλογίες! Περιστρέψτε την οθόνη για να ενεργοποιήσετε τη διαδραστική χαρτογράφηση!</t>
  </si>
  <si>
    <t>¡Deslice para más información sobre valores asociados y ratios! Gira la pantalla para activar los gráficos interactivos!</t>
  </si>
  <si>
    <t>Pyyhkäisemällä lisätietoja, kuten osakkaat ja suhteet! Kierrä näyttöä salliaksesi interaktiivisen kartoituksen!</t>
  </si>
  <si>
    <t>Balayez vers la gauche pour plus d\'informations comme les constituants et les ratios! Faire pivoter l\'écran pour permettre le graphique interactif!</t>
  </si>
  <si>
    <t>घटक और अनुपात जैसी अधिक जानकारी के लिए स्वाइप करें! इंटरैक्टिव चार्टिंग को इनेबल करने के लिए स्क्रीन को घुमाएँ!</t>
  </si>
  <si>
    <t>Csúsztassa el még több információért, pl komponensekért, arányszámokért. Fordítsa el a képernyőt az interaktív grafikonért!</t>
  </si>
  <si>
    <t>Geser untuk informasi lebih lanjut seperti elemen dan rasi! Putar layer untuk memungkinkan bagan interaktif!</t>
  </si>
  <si>
    <t>Scorri per ulteriori informazioni come componenti e rapporti! Ruota lo schermo per abilitare i grafici interattivi!</t>
  </si>
  <si>
    <t>החלק למידע נוסף כגון מרכיבים ויחסים! סובב את המסך כדי להפעיל תרשים אינטראקטיבי!</t>
  </si>
  <si>
    <t>構成や比率等の詳細を見るにはスワイプしてください！インタラクティブチャートを作成するためには画面を回転させてください！</t>
  </si>
  <si>
    <t>구성 및 비율과 같은 자세한 정보를 보려면 옆으로 미세요! 대화 형차트 기능을 사용하려면 화면을 회전시키세요!</t>
  </si>
  <si>
    <t>Leret untuk maklumat lanjut seperti unsur dan nisbah! Putar skrin untuk membolehkan carta interaktif!</t>
  </si>
  <si>
    <t>Veeg voor meer informatie, zoals bestanddelen en ratio\'s! Roteer het scherm om interactieve grafieken in te schakelen!</t>
  </si>
  <si>
    <t>Sveip for mer informasjon som bestanddeler og forholdstall! Drei skjermen for å aktivere interaktiv kartlegging!</t>
  </si>
  <si>
    <t>Przewiń dla dalszych informacji takich jak wskaźniki. Obróć ekran w celu analizy wykresu.</t>
  </si>
  <si>
    <t>Deslize para mais informação, tais como constituintes e proporções! Gire o ecrã para permitir gráficos interativos!</t>
  </si>
  <si>
    <t>Glisați pentru mai multe informații, cum ar fi componentele și raporturile! Rotește ecranul pentru a activa graficul interactiv!</t>
  </si>
  <si>
    <t>Проведите по экрану налево для дополнительной информации, как например, компоненты и коэффициенты! Переверните экран, чтобы активировать интерактивное построение графиков!</t>
  </si>
  <si>
    <t>Potiahnutím získate ďalšie informácie, napríklad o zmocniteľoch a pomeroch! Otočením obrazovky aktivujte interaktívne grafy!</t>
  </si>
  <si>
    <t>Povlecite za več informacij, kot so sestavine in razmerja! Zavrtite zaslon, da omogočite interaktivni grafikon!</t>
  </si>
  <si>
    <t>Povuci levo za još informacija kao što su konstituenti i racija! Rotiraj ekran za interaktivni grafikon!</t>
  </si>
  <si>
    <t>Svep för mer information som komponenter och förhållanden! Vrid på skärmen för att aktivera interaktiv kartläggning!</t>
  </si>
  <si>
    <t>ปัดเพื่อดูข้อมูลเพิ่มเติม เช่น การคำนวณและอัตราส่วน! หมุนหน้าจอเพื่อใช้งานแผนภูมิเชิงโต้ตอบ</t>
  </si>
  <si>
    <t>Bileşenler ve oranlar gibi daha fazla bilgi için kaydırın! Etkileşimli grafikleri etkinleştirmek için ekranı döndürün!</t>
  </si>
  <si>
    <t>Vuốt để biết thêm thông tin như các thành phần và hệ số! Xoay màn hình để bật biểu đồ tương tác!</t>
  </si>
  <si>
    <t>欲知进一步的信息，滑动后看看成分股和比率等等！旋转屏幕为了启用交互的图表！</t>
  </si>
  <si>
    <t>action_edit_subject</t>
  </si>
  <si>
    <t>Edit group chat subject</t>
  </si>
  <si>
    <t>تعديل موضوع مجموعة المحادثة</t>
  </si>
  <si>
    <t>Редактиране на темата на груповия разговор</t>
  </si>
  <si>
    <t>Edita el tema del xat de grup</t>
  </si>
  <si>
    <t>Gruppenchatthema bearbeiten</t>
  </si>
  <si>
    <t>Editar asunto de la conversación</t>
  </si>
  <si>
    <t>Modifier le sujet de la conversation de groupe</t>
  </si>
  <si>
    <t>Editar o tema da conversa en grupo</t>
  </si>
  <si>
    <t>Konferencia témájának beállítása</t>
  </si>
  <si>
    <t>Modifica titolo chat di gruppo</t>
  </si>
  <si>
    <t>談話室の題を編集</t>
  </si>
  <si>
    <t>Gespreksonderwerp bewerken</t>
  </si>
  <si>
    <t>Edytuj tytuł konferencji</t>
  </si>
  <si>
    <t>Editar tema da conversa em grupo</t>
  </si>
  <si>
    <t>Редактировать тему конференции</t>
  </si>
  <si>
    <t>Уреди предмет групног ћаскања</t>
  </si>
  <si>
    <t>tt_iosbridge_palladium_gtis</t>
  </si>
  <si>
    <t>Palladium</t>
  </si>
  <si>
    <t>البلاديوم</t>
  </si>
  <si>
    <t>Паладий</t>
  </si>
  <si>
    <t>Παλλάδιο</t>
  </si>
  <si>
    <t>Paladio</t>
  </si>
  <si>
    <t>पैलेडियम</t>
  </si>
  <si>
    <t>Palládium</t>
  </si>
  <si>
    <t>Palladio</t>
  </si>
  <si>
    <t>פלדיום</t>
  </si>
  <si>
    <t>パラジウム</t>
  </si>
  <si>
    <t>팔라듐</t>
  </si>
  <si>
    <t>Pallad</t>
  </si>
  <si>
    <t>Paládio</t>
  </si>
  <si>
    <t>Paladiu</t>
  </si>
  <si>
    <t>Палладий</t>
  </si>
  <si>
    <t>Paládium</t>
  </si>
  <si>
    <t>Paladij</t>
  </si>
  <si>
    <t>Paladijum</t>
  </si>
  <si>
    <t>พาลาเดียม</t>
  </si>
  <si>
    <t>Paladyum</t>
  </si>
  <si>
    <t>Pallađi</t>
  </si>
  <si>
    <t>钯</t>
  </si>
  <si>
    <t>&gt;鈀</t>
  </si>
  <si>
    <t>tt_template_file_invalid</t>
  </si>
  <si>
    <t>Template File invalid.</t>
  </si>
  <si>
    <t>ملف القالب غير صالح.</t>
  </si>
  <si>
    <t>Файлът на шаблона е невалиден.</t>
  </si>
  <si>
    <t>Soubor šablony je neplatný.</t>
  </si>
  <si>
    <t>Skabelonfil ugyldig.</t>
  </si>
  <si>
    <t>Fehler beim Laden des Templates.</t>
  </si>
  <si>
    <t>Το αρχείο προτύπου δεν είναι έγκυρο.</t>
  </si>
  <si>
    <t>Archivo de plantilla inválido.</t>
  </si>
  <si>
    <t>Mallitiedosto on virheellinen.</t>
  </si>
  <si>
    <t>Fichier modèle invalide</t>
  </si>
  <si>
    <t>टेम्पलेट फ़ाइल अमान्य है।</t>
  </si>
  <si>
    <t>File Template tidak valid.</t>
  </si>
  <si>
    <t>File di modello non è valido.</t>
  </si>
  <si>
    <t>קובץ התבנית אינו חוקי.</t>
  </si>
  <si>
    <t>テンプレート・ファイルが無効です</t>
  </si>
  <si>
    <t>템플릭 파일이 유효하지 않습니다.</t>
  </si>
  <si>
    <t>Fail Templat tidak sah.</t>
  </si>
  <si>
    <t>Template File ongeldig.</t>
  </si>
  <si>
    <t>Malfil er ugyldig.</t>
  </si>
  <si>
    <t>Plik szablonu nieprawidłowy.</t>
  </si>
  <si>
    <t>Arquivo de modelo inválido</t>
  </si>
  <si>
    <t>Fișierul Șablon este nevalid.</t>
  </si>
  <si>
    <t>Неверный файл для шаблона</t>
  </si>
  <si>
    <t>Súbor šablóny je neplatný.</t>
  </si>
  <si>
    <t>Datoteka predloge ni veljavna.</t>
  </si>
  <si>
    <t>Neodgovarajući templet fajl</t>
  </si>
  <si>
    <t>Ogiltig mallfil.</t>
  </si>
  <si>
    <t>ไฟล์เท็มเพล็ตไม่ถูกต้อง</t>
  </si>
  <si>
    <t>Şablon Dosyası geçersiz.</t>
  </si>
  <si>
    <t>Tệp mẫu không hợp lệ.</t>
  </si>
  <si>
    <t>无效模板！</t>
  </si>
  <si>
    <t>&gt;無效模板!</t>
  </si>
  <si>
    <t>tt_never</t>
  </si>
  <si>
    <t>تعطيل</t>
  </si>
  <si>
    <t>Zakázat</t>
  </si>
  <si>
    <t>Deaktiver</t>
  </si>
  <si>
    <t>Ausschalten</t>
  </si>
  <si>
    <t>Απενεργοποίηση</t>
  </si>
  <si>
    <t>Poista käytöstä</t>
  </si>
  <si>
    <t>डिसेबल करें</t>
  </si>
  <si>
    <t>Kikapcsolás</t>
  </si>
  <si>
    <t>Copot pemasangan</t>
  </si>
  <si>
    <t>Disattivare</t>
  </si>
  <si>
    <t>OFF</t>
  </si>
  <si>
    <t>사용 중지</t>
  </si>
  <si>
    <t>Nyahpasang</t>
  </si>
  <si>
    <t>Dezactivează</t>
  </si>
  <si>
    <t>Отключить</t>
  </si>
  <si>
    <t>Zakázať</t>
  </si>
  <si>
    <t>Onemogoči</t>
  </si>
  <si>
    <t>Isključi</t>
  </si>
  <si>
    <t>Inaktivera</t>
  </si>
  <si>
    <t>ปิดใช้งาน</t>
  </si>
  <si>
    <t>Devre dışı bırak</t>
  </si>
  <si>
    <t>Tắt</t>
  </si>
  <si>
    <t>无法</t>
  </si>
  <si>
    <t>&gt;無法</t>
  </si>
  <si>
    <t>tt_pf_error_numofshares</t>
  </si>
  <si>
    <t>You cannot sell more shares ({1}) than you have in the portfolio! ({2})</t>
  </si>
  <si>
    <t>لا يمكنك بيع المزيد من أسهم ({1}) مما لديك في المحفظة! ({2})</t>
  </si>
  <si>
    <t>Не можете да продадете повече акции ({1}), отколкото имате в портфолиото! ({2})</t>
  </si>
  <si>
    <t>Nemůžete prodat více podílových akcií ({1}), než kolik máte v portfoliu! ({2})</t>
  </si>
  <si>
    <t>Du kan ikke sælge flere aktier ({1}), end du har i porteføljen! ({2})</t>
  </si>
  <si>
    <t>Sie können nicht mehr Stück ({1}) verkaufen als im Depot verfügbar ({2}) sind!</t>
  </si>
  <si>
    <t>Δεν μπορείτε να πουλήσετε περισσότερες μετοχές ({1}) από ό, τι έχετε στο χαρτοφυλάκιο! ({2})</t>
  </si>
  <si>
    <t>¡No puede vender más acciones ({1}) de las que tiene en la cartera! ({2})</t>
  </si>
  <si>
    <t>Et voi myydä enemmän osakkeita ({1}) kuin sinulla on salkussa! ({2})</t>
  </si>
  <si>
    <t>Vous ne pouvez pas vendre plus d\'actions que vous n\'en avez dans votre portefeuille</t>
  </si>
  <si>
    <t>आप पोर्टफोलियो मौजूद शेयरों की तुलना में अधिक शेयर ({1}) नहीं बेच सकते हैं! ({2})</t>
  </si>
  <si>
    <t>Nem adhat el több részvényt {(1)}, mint amennyivel a portfólióban rendelkezik.</t>
  </si>
  <si>
    <t>Anda tidak dapat menjual lebih banyak saham ({1}) dari apa yang anda miliki dalam portfolio! ({2})</t>
  </si>
  <si>
    <t>Non puoi vendere più azioni di quante ne hai nel potfolio.</t>
  </si>
  <si>
    <t>אינך יכול למכור יותר מניות ({1}) ממה שיש לך בתיק ההשקעות! ({2})</t>
  </si>
  <si>
    <t>ポートフォリオにある数量 ({2}) より 多い数量 ({1})を売却することはできません！</t>
  </si>
  <si>
    <t>포트폴리오에 있는 것보다 더 많은 ({1}) 주식을 매도할 수 없습니다! ({2})</t>
  </si>
  <si>
    <t>Anda tidak boleh jual lebih banyak saham ({1}) daripada apa yang anda ada dalam portfolio! ({2})</t>
  </si>
  <si>
    <t>U kunt niet meer aandelen verkopen ({1}) dan u heeft in uw portefeuille! ({2})</t>
  </si>
  <si>
    <t>Du kan ikke selge flere aksjer ({1}) enn du har i porteføljen! ({2})</t>
  </si>
  <si>
    <t>Nie można sprzedać więcej akcji ({1}), niż masz w portfelu! ({2})</t>
  </si>
  <si>
    <t>Você não pode vender mais ações ({1} ) do que você tem na carteira ! ( { 2 } )</t>
  </si>
  <si>
    <t>Nu poți vinde mai multe acțiuni ({1}) decât ai în portofoliu! ({2})</t>
  </si>
  <si>
    <t>Вы не можете продать больше акций ({1}), чем доступно в вашем портфеле ({2})</t>
  </si>
  <si>
    <t>Nemôžete predať viac akcií ({1}), ako máte v portfóliu! ({2})</t>
  </si>
  <si>
    <t>Ne morete prodati več delnic ({1}), kot jih imate v portfelju! ({2})</t>
  </si>
  <si>
    <t>Ne možete prodati više akcija ({1}) nego što imate u portfoliju! ({2})</t>
  </si>
  <si>
    <t>Du kan inte sälja fler aktier ({1}) än du har i portföljen! ({2})</t>
  </si>
  <si>
    <t>คุณไม่สามารถขายหุ้นมากกว่า ({1}) ที่มีในพอร์ต! ({2})</t>
  </si>
  <si>
    <t>Portföydeki hisselerinizden daha fazla hisse ({1}) satamazsınız! ({2})</t>
  </si>
  <si>
    <t>Bạn không thể bán nhiều cổ phiếu ({1}) hơn số tiền bạn có trong danh mục đầu tư! ({2})</t>
  </si>
  <si>
    <t>你不能出售比现有投资组合（{2}）更多的股票（{1}）</t>
  </si>
  <si>
    <t>&gt;你不能出售比現有投資組合({2})更多的股票({1})</t>
  </si>
  <si>
    <t>tt_unspecified_error</t>
  </si>
  <si>
    <t>An error has occurred. Please try again later!</t>
  </si>
  <si>
    <t>حدث خطأ. يُرجى إعادة المحاولة في وقت لاحق!</t>
  </si>
  <si>
    <t>Възникна грешка. Моля, опитайте отново по-късно!</t>
  </si>
  <si>
    <t>Došlo k chybě. Zkuste to prosím znovu později!</t>
  </si>
  <si>
    <t>Der opstod en fejl. Prøv igen senere!</t>
  </si>
  <si>
    <t>Ein Fehler ist aufgetreten. Bitte versuchen Sie es später noch einmal!</t>
  </si>
  <si>
    <t>Παρουσιάστηκε σφάλμα. Δοκιμάστε ξανά αργότερα!</t>
  </si>
  <si>
    <t>Ocurrió un error. ¡Por favor, inténtelo de nuevo mas tarde!</t>
  </si>
  <si>
    <t>Tapahtui virhe. Yritä uudelleen myöhemmin!</t>
  </si>
  <si>
    <t>Une erreur s\'est produite, veuillez réessayer plus tard</t>
  </si>
  <si>
    <t>एक त्रुटि घटित हुई है। कृपया बाद में दोबारा कोशिश करें!</t>
  </si>
  <si>
    <t>Hiba lépett fel. Kérjük, próbálja újra.</t>
  </si>
  <si>
    <t>Masalah telah terjadi. Silakan coba lagi nanti!</t>
  </si>
  <si>
    <t>L\'errore. Per favore prova di nuovo dopo.</t>
  </si>
  <si>
    <t>אירעה שגיאה. אנא נסה שוב מאוחר יותר!</t>
  </si>
  <si>
    <t>エラーが発生の場合は後ほどログインしてください</t>
  </si>
  <si>
    <t>오류가 발생했습니다. 나중에 다시 시도하세요!</t>
  </si>
  <si>
    <t>Masalah telah berlaku. Sila cuba sebentar lagi!</t>
  </si>
  <si>
    <t>Er is een fout opgetreden. Probeer later nog eens aub!!</t>
  </si>
  <si>
    <t>Det har oppstått en feil.</t>
  </si>
  <si>
    <t>Wystąpił błąd. Spróbuj ponownie później!</t>
  </si>
  <si>
    <t>Um erro ocorreu. Por favor, tente novamente mais tarde!</t>
  </si>
  <si>
    <t>S-a produs o eroare. Te rugăm să încerci din nou mai târziu!</t>
  </si>
  <si>
    <t>Произошла ошибка. Пожалуйста, повторите попытку позже!</t>
  </si>
  <si>
    <t>Vyskytla sa chyba. Skúste to neskôr!</t>
  </si>
  <si>
    <t>Prišlo je do napake. Prosim poskusite kasneje!</t>
  </si>
  <si>
    <t>Pojavila se greška. Molimo pokušajte ponovo.</t>
  </si>
  <si>
    <t>Ett fel har uppstått. Vänligen försök igen senare!</t>
  </si>
  <si>
    <t>มีความขัดข้องเกิดขึ้น โปรดลองอีกครั้งภายหลัง</t>
  </si>
  <si>
    <t>Bir hata oluştu. Lütfen daha sonra tekrar deneyin!</t>
  </si>
  <si>
    <t>Đã xảy ra lỗi. Vui lòng thử lại sau!</t>
  </si>
  <si>
    <t>发生错误。请稍后再试！</t>
  </si>
  <si>
    <t>&gt;發生錯誤。請稍後再試！</t>
  </si>
  <si>
    <t>tt_ind_stochastic_slow_short</t>
  </si>
  <si>
    <t>Stochastic Slow</t>
  </si>
  <si>
    <t>تسلسل عشوائي بطيء</t>
  </si>
  <si>
    <t>Бавно стохастично</t>
  </si>
  <si>
    <t>Stochastická pomalá</t>
  </si>
  <si>
    <t>Langsom Stokastisk</t>
  </si>
  <si>
    <t>Stokastinen hidas</t>
  </si>
  <si>
    <t>Stochastique lente</t>
  </si>
  <si>
    <t>स्टोकेस्टिक स्लो</t>
  </si>
  <si>
    <t>Perlahan Stochastic</t>
  </si>
  <si>
    <t>איטי סטוכסטי</t>
  </si>
  <si>
    <t>スロー・ストキャスティクス</t>
  </si>
  <si>
    <t>스토캐스틱(느림)</t>
  </si>
  <si>
    <t>Stokastisk sakte</t>
  </si>
  <si>
    <t>Estocástica devagar</t>
  </si>
  <si>
    <t>Oscilator Stohastic Lin</t>
  </si>
  <si>
    <t>Медленный стохастик</t>
  </si>
  <si>
    <t>Stochastický a pomalý</t>
  </si>
  <si>
    <t>Stohastični počasi</t>
  </si>
  <si>
    <t>Stokastisk nedsaktning</t>
  </si>
  <si>
    <t>Yavaş Stokastik</t>
  </si>
  <si>
    <t>Dao động ngẫu nhiên chậm</t>
  </si>
  <si>
    <t>快速随机指标</t>
  </si>
  <si>
    <t>&gt;快速随機指标</t>
  </si>
  <si>
    <t>tt_editperc</t>
  </si>
  <si>
    <t>Edit %@</t>
  </si>
  <si>
    <t>تحرير ٪\@</t>
  </si>
  <si>
    <t>Редактиране %@</t>
  </si>
  <si>
    <t>Upravit %@</t>
  </si>
  <si>
    <t>Rediger %@</t>
  </si>
  <si>
    <t>Bearbeiten %@</t>
  </si>
  <si>
    <t>Επεξεργασία %@</t>
  </si>
  <si>
    <t>Editar%@</t>
  </si>
  <si>
    <t>Muokkaus %@</t>
  </si>
  <si>
    <t>Editer</t>
  </si>
  <si>
    <t>%@ को एडिट करें</t>
  </si>
  <si>
    <t>Szerkesztés %@</t>
  </si>
  <si>
    <t>Sunting %\@</t>
  </si>
  <si>
    <t>Modifica %@</t>
  </si>
  <si>
    <t>ערוך %@</t>
  </si>
  <si>
    <t>編集する</t>
  </si>
  <si>
    <t>%\@ 편집</t>
  </si>
  <si>
    <t>Pas percentage aan %@</t>
  </si>
  <si>
    <t>Edycja% @</t>
  </si>
  <si>
    <t>Editar %@</t>
  </si>
  <si>
    <t>Editează %</t>
  </si>
  <si>
    <t>Редактировать %@</t>
  </si>
  <si>
    <t>Upraviť %@</t>
  </si>
  <si>
    <t>Uredi %@</t>
  </si>
  <si>
    <t>Redigera %@</t>
  </si>
  <si>
    <t>แก้ไข %@</t>
  </si>
  <si>
    <t>%\@ Düzenle</t>
  </si>
  <si>
    <t>Chỉnh sửa %@</t>
  </si>
  <si>
    <t>编辑 %@</t>
  </si>
  <si>
    <t>&gt;編輯 %@</t>
  </si>
  <si>
    <t>tt_zoom_tool</t>
  </si>
  <si>
    <t>Zoom</t>
  </si>
  <si>
    <t>تكبير</t>
  </si>
  <si>
    <t>Мащабиране</t>
  </si>
  <si>
    <t>Zvětšení</t>
  </si>
  <si>
    <t>Zoomaus</t>
  </si>
  <si>
    <t>ज़ूम करें</t>
  </si>
  <si>
    <t>Zum</t>
  </si>
  <si>
    <t>תקריב</t>
  </si>
  <si>
    <t>拡大</t>
  </si>
  <si>
    <t>확대</t>
  </si>
  <si>
    <t>Powiększ</t>
  </si>
  <si>
    <t>Lupă</t>
  </si>
  <si>
    <t>Увеличить/Увеличение</t>
  </si>
  <si>
    <t>Priblížiť</t>
  </si>
  <si>
    <t>Povečava</t>
  </si>
  <si>
    <t>Zooma</t>
  </si>
  <si>
    <t>ขยาย</t>
  </si>
  <si>
    <t>Yakınlaştır</t>
  </si>
  <si>
    <t>Thu phóng</t>
  </si>
  <si>
    <t>放大</t>
  </si>
  <si>
    <t>&gt;放大</t>
  </si>
  <si>
    <t>luxembourg</t>
  </si>
  <si>
    <t>Luxembourg</t>
  </si>
  <si>
    <t>Luxemburgo</t>
  </si>
  <si>
    <t>Люксембург</t>
  </si>
  <si>
    <t>Luksemburg</t>
  </si>
  <si>
    <t>bulgaria</t>
  </si>
  <si>
    <t>Bulgaria</t>
  </si>
  <si>
    <t>Bulgarien</t>
  </si>
  <si>
    <t>Bulgarie</t>
  </si>
  <si>
    <t>Болгария</t>
  </si>
  <si>
    <t>Bugarska</t>
  </si>
  <si>
    <t>landscape_mode</t>
  </si>
  <si>
    <t>وضع أفقي</t>
  </si>
  <si>
    <t>NOT NEEDED PLEASE IGNORE</t>
  </si>
  <si>
    <t>what_to_show_on_ticker</t>
  </si>
  <si>
    <t>What to show on Ticker</t>
  </si>
  <si>
    <t>ما يجب عرضه في شريط التداول</t>
  </si>
  <si>
    <t>Какво да покажа на Тикер</t>
  </si>
  <si>
    <t>Co ukazovat na tickeru</t>
  </si>
  <si>
    <t>Hvad skal vises på Ticker</t>
  </si>
  <si>
    <t>Was soll im Ticker gezeigt werden?</t>
  </si>
  <si>
    <t>Τι να προβάλλεται στο Ticker</t>
  </si>
  <si>
    <t>¿Qué mostrar en Ticker?</t>
  </si>
  <si>
    <t>Mitä näyttää Tickerissä</t>
  </si>
  <si>
    <t>Quoi montrer sur le symbole</t>
  </si>
  <si>
    <t>टिकर पर क्या प्रदर्शित करना है</t>
  </si>
  <si>
    <t>Mit mutasson a Ticker</t>
  </si>
  <si>
    <t>Hal-hal untuk ditampilkan di Display</t>
  </si>
  <si>
    <t>Cosa mostrare nelle notizie scorrevoli.</t>
  </si>
  <si>
    <t>מה להציג בטיקר</t>
  </si>
  <si>
    <t>ティッカーに表示する内容</t>
  </si>
  <si>
    <t>티커에 표시할 내용</t>
  </si>
  <si>
    <t>Perkara untuk ditunjukkan pada Paparan</t>
  </si>
  <si>
    <t>Wat te tonen op Ticker</t>
  </si>
  <si>
    <t>Dette kan du se på Ticker</t>
  </si>
  <si>
    <t>Co pokazać na tickerze</t>
  </si>
  <si>
    <t>O que mostrar no Ticker</t>
  </si>
  <si>
    <t>Ce să se afișeze pe Telegraf</t>
  </si>
  <si>
    <t>Что показывать на тикере</t>
  </si>
  <si>
    <t>Čo zobraziť na tickeri</t>
  </si>
  <si>
    <t>Kaj pokazati na Tickerju</t>
  </si>
  <si>
    <t>Šta prikazati na Tikeru</t>
  </si>
  <si>
    <t>Vad ska synas på Tickern</t>
  </si>
  <si>
    <t>มีอะไรใน Ticker</t>
  </si>
  <si>
    <t>Takip Ekranında gösterilecekler</t>
  </si>
  <si>
    <t>Nội dung hiển thị trên Ticker</t>
  </si>
  <si>
    <t>再自动收报机纸条上什么显示</t>
  </si>
  <si>
    <t>visitor</t>
  </si>
  <si>
    <t>Visitor</t>
  </si>
  <si>
    <t>Посетител</t>
  </si>
  <si>
    <t>Visitant</t>
  </si>
  <si>
    <t>Besucher</t>
  </si>
  <si>
    <t>Visitante</t>
  </si>
  <si>
    <t>Visiteur</t>
  </si>
  <si>
    <t>Látogató</t>
  </si>
  <si>
    <t>Pengunjung</t>
  </si>
  <si>
    <t>Visitatore</t>
  </si>
  <si>
    <t>ビジター</t>
  </si>
  <si>
    <t>방문자</t>
  </si>
  <si>
    <t>Bezoeker</t>
  </si>
  <si>
    <t>Gość</t>
  </si>
  <si>
    <t>Návštevník</t>
  </si>
  <si>
    <t>Посетилац</t>
  </si>
  <si>
    <t>Besökare</t>
  </si>
  <si>
    <t>Відвідувач</t>
  </si>
  <si>
    <t>Khách</t>
  </si>
  <si>
    <t>訪客</t>
  </si>
  <si>
    <t>encryption_choice_unencrypted</t>
  </si>
  <si>
    <t>Unencrypted</t>
  </si>
  <si>
    <t>غير مشفر</t>
  </si>
  <si>
    <t>Нешифровано</t>
  </si>
  <si>
    <t>Sense xifrar</t>
  </si>
  <si>
    <t>Unverschlüsselt</t>
  </si>
  <si>
    <t>Sin cifrado</t>
  </si>
  <si>
    <t>Non chiffré</t>
  </si>
  <si>
    <t>Non cifrado</t>
  </si>
  <si>
    <t>Titkosítatlan</t>
  </si>
  <si>
    <t>Non cifrato</t>
  </si>
  <si>
    <t>暗号化されていない</t>
  </si>
  <si>
    <t>암호화되지 않음</t>
  </si>
  <si>
    <t>Onversleuteld</t>
  </si>
  <si>
    <t>Bez szyfrowania</t>
  </si>
  <si>
    <t>Não cifrado</t>
  </si>
  <si>
    <t>Без шифра</t>
  </si>
  <si>
    <t>Nezašifrovaný</t>
  </si>
  <si>
    <t>Okrypterat</t>
  </si>
  <si>
    <t>Незашифровано</t>
  </si>
  <si>
    <t>Không mã hoá</t>
  </si>
  <si>
    <t>未加密</t>
  </si>
  <si>
    <t>let_us_chat</t>
  </si>
  <si>
    <t>Download Stock Markets application and let us Chat!</t>
  </si>
  <si>
    <t>Laden Sie die StockMarkets App herunter und nehmen Sie am Chat teil!</t>
  </si>
  <si>
    <t>¡Descarga la app Stock Markets y chateemos!</t>
  </si>
  <si>
    <t>Téléchargez l\'application StockMarkets et laissez-nous Chat!</t>
  </si>
  <si>
    <t>Töltse le a Stock Markets applikációt és cseteljen velünk!</t>
  </si>
  <si>
    <t>Scarica l\'applicazione dei mercati azionari e lasciaci chattare!</t>
  </si>
  <si>
    <t>Скачайте приложение Stock Markets и давайте общаться!</t>
  </si>
  <si>
    <t>Skini aplikaciju Stock Markets i hajde da četujemo!</t>
  </si>
  <si>
    <t>title_undo_swipe_out_conversation</t>
  </si>
  <si>
    <t>Conversation closed</t>
  </si>
  <si>
    <t>تم إغلاق المحادثة</t>
  </si>
  <si>
    <t>Conversation се затвори</t>
  </si>
  <si>
    <t>Conversa tancada</t>
  </si>
  <si>
    <t>Unterhaltung beendet</t>
  </si>
  <si>
    <t>Conversación cerrada</t>
  </si>
  <si>
    <t>Conversation fermée</t>
  </si>
  <si>
    <t>Pechouse a conversa</t>
  </si>
  <si>
    <t>A beszélgetés lezárult</t>
  </si>
  <si>
    <t>Percakapan tertutup</t>
  </si>
  <si>
    <t>Conversazione interrotta</t>
  </si>
  <si>
    <t>会話が閉じられました</t>
  </si>
  <si>
    <t>대화 끝남</t>
  </si>
  <si>
    <t>Gesprek gesloten</t>
  </si>
  <si>
    <t>Zamknięto konwersację</t>
  </si>
  <si>
    <t>Conversa fechada</t>
  </si>
  <si>
    <t>Беседа окончена</t>
  </si>
  <si>
    <t>Konverzácia zatvorená</t>
  </si>
  <si>
    <t>Преписка затворена</t>
  </si>
  <si>
    <t>Konversation stängd</t>
  </si>
  <si>
    <t>Розмову закрито</t>
  </si>
  <si>
    <t>Đã đóng cuộc hội thoại</t>
  </si>
  <si>
    <t>Conversation 已關閉</t>
  </si>
  <si>
    <t>tt_period_intraday60</t>
  </si>
  <si>
    <t>60 Minutes</t>
  </si>
  <si>
    <t>60 دقيقة</t>
  </si>
  <si>
    <t>60 минути</t>
  </si>
  <si>
    <t>60 minut</t>
  </si>
  <si>
    <t>60 minutter</t>
  </si>
  <si>
    <t>60 Minuten</t>
  </si>
  <si>
    <t>60 λεπτά</t>
  </si>
  <si>
    <t>60 minuuttia</t>
  </si>
  <si>
    <t>60 mintues</t>
  </si>
  <si>
    <t>60 मिनट</t>
  </si>
  <si>
    <t>60 menit</t>
  </si>
  <si>
    <t>60 Minuti</t>
  </si>
  <si>
    <t>60 דקות</t>
  </si>
  <si>
    <t>60分</t>
  </si>
  <si>
    <t>60분</t>
  </si>
  <si>
    <t>60 minit</t>
  </si>
  <si>
    <t>60 minuten</t>
  </si>
  <si>
    <t>60-minutters</t>
  </si>
  <si>
    <t>60 minuty</t>
  </si>
  <si>
    <t>60 Minutos</t>
  </si>
  <si>
    <t>60 de Minute</t>
  </si>
  <si>
    <t>60 минут</t>
  </si>
  <si>
    <t>60 minút</t>
  </si>
  <si>
    <t>60 minuter</t>
  </si>
  <si>
    <t>60 นาที</t>
  </si>
  <si>
    <t>60 Dakika</t>
  </si>
  <si>
    <t>60 phút</t>
  </si>
  <si>
    <t>６０分钟</t>
  </si>
  <si>
    <t>&gt;６０分鐘</t>
  </si>
  <si>
    <t>kiribati</t>
  </si>
  <si>
    <t>Kiribati</t>
  </si>
  <si>
    <t>Кирибати</t>
  </si>
  <si>
    <t>contacts</t>
  </si>
  <si>
    <t>Contacts</t>
  </si>
  <si>
    <t>جهات الإتصال</t>
  </si>
  <si>
    <t>Контакти</t>
  </si>
  <si>
    <t>Contactes</t>
  </si>
  <si>
    <t>Kontakte</t>
  </si>
  <si>
    <t>Contactos</t>
  </si>
  <si>
    <t>Névjegyek</t>
  </si>
  <si>
    <t>Kontak</t>
  </si>
  <si>
    <t>Contatti</t>
  </si>
  <si>
    <t>連絡先</t>
  </si>
  <si>
    <t>연락처</t>
  </si>
  <si>
    <t>Contacten</t>
  </si>
  <si>
    <t>Kontakty</t>
  </si>
  <si>
    <t>Контакты</t>
  </si>
  <si>
    <t>Kontakter</t>
  </si>
  <si>
    <t>Danh bạ</t>
  </si>
  <si>
    <t>連絡人</t>
  </si>
  <si>
    <t>what_would_you_like_us_to_improve</t>
  </si>
  <si>
    <t>What would you like us to improve?</t>
  </si>
  <si>
    <t>ماذا تود منا ان تقوم بتحسين؟</t>
  </si>
  <si>
    <t>Какво бихте искали да подобрим?</t>
  </si>
  <si>
    <t>Co byste chtěli, abychom se zlepšili?</t>
  </si>
  <si>
    <t>Hvad vil du have, at vi forbedrer?</t>
  </si>
  <si>
    <t>Was können wir verbessern?</t>
  </si>
  <si>
    <t>Τι θα θέλατε να βελτιώσουμε;</t>
  </si>
  <si>
    <t>¿Qué le gustaría que mejoráramos?</t>
  </si>
  <si>
    <t>Mitä haluaisit meidän parantavan?</t>
  </si>
  <si>
    <t>Qu\'aimeriez-vous que nous améliorions?</t>
  </si>
  <si>
    <t>आप हममें क्या सुधारना करना चाहेंगे?</t>
  </si>
  <si>
    <t>Érdeklödni szeretnénk, hogy miben tudunk még jobbak lenni Ön szerint?</t>
  </si>
  <si>
    <t>Apa yang Anda ingin kami tingkatkan?</t>
  </si>
  <si>
    <t>Cosa vorresti che migliorassimo</t>
  </si>
  <si>
    <t>מה תרצה שנשפר?</t>
  </si>
  <si>
    <t>何を改善してほしいですか？</t>
  </si>
  <si>
    <t>저희가 어떻게 개선하면 좋을까요?</t>
  </si>
  <si>
    <t>Apa yang anda mahu kami tambah baik</t>
  </si>
  <si>
    <t>Waar ziet U graag verbeteringen</t>
  </si>
  <si>
    <t>Hva ønsker du vi skal forbedre?</t>
  </si>
  <si>
    <t>Co chciałbyś ulepszyć</t>
  </si>
  <si>
    <t>O que gostaria que melhorassemos?</t>
  </si>
  <si>
    <t>Ce ai vrea să îmbunătățim?</t>
  </si>
  <si>
    <t>Что бы вы хотели, чтобы мы улучшили?</t>
  </si>
  <si>
    <t>Čo by ste chceli, aby sme vylepšili?</t>
  </si>
  <si>
    <t>Kaj bi radi, da izboljšamo?</t>
  </si>
  <si>
    <t>Šta biste želeli da poboljšamo?</t>
  </si>
  <si>
    <t>Vad vill du att vi ska förbättra?</t>
  </si>
  <si>
    <t>คุณอยากให้เราปรับปรุงตรงไหนไหม?</t>
  </si>
  <si>
    <t>Neyi iyileştirmemizi istersiniz?</t>
  </si>
  <si>
    <t>Bạn muốn chúng tôi cải thiện điều gì?</t>
  </si>
  <si>
    <t>您认为如何提高 Stock Markets?</t>
  </si>
  <si>
    <t>action_contact_details</t>
  </si>
  <si>
    <t>Contact details</t>
  </si>
  <si>
    <t>بيانات جهة الإتصال</t>
  </si>
  <si>
    <t>Подробности за контакта</t>
  </si>
  <si>
    <t>Detalls del contacte</t>
  </si>
  <si>
    <t>Kontaktdetails</t>
  </si>
  <si>
    <t>Detalles del contacto</t>
  </si>
  <si>
    <t>Détails du contact</t>
  </si>
  <si>
    <t>Detalles do contacto</t>
  </si>
  <si>
    <t>Kapcsolat részletek</t>
  </si>
  <si>
    <t>Detil Kontak</t>
  </si>
  <si>
    <t>Dettagli del contatto</t>
  </si>
  <si>
    <t>連絡先の詳細</t>
  </si>
  <si>
    <t>연락처 정보</t>
  </si>
  <si>
    <t>Contactgegevens</t>
  </si>
  <si>
    <t>Szczegóły kontaktu</t>
  </si>
  <si>
    <t>Detalhes do contacto</t>
  </si>
  <si>
    <t>Сведения о контакте</t>
  </si>
  <si>
    <t>Detaily kontaktu</t>
  </si>
  <si>
    <t>Детаљи контакта</t>
  </si>
  <si>
    <t>Kontaktdetaljer</t>
  </si>
  <si>
    <t>Деталі контакту</t>
  </si>
  <si>
    <t>Thông tin liên hệ</t>
  </si>
  <si>
    <t>聯絡人詳情</t>
  </si>
  <si>
    <t>tt_portfolio_value</t>
  </si>
  <si>
    <t>Portfolio value</t>
  </si>
  <si>
    <t>قيمة المحفظة</t>
  </si>
  <si>
    <t>Стойност на портфолио</t>
  </si>
  <si>
    <t>Hodnota portfolia</t>
  </si>
  <si>
    <t>Porteføljeværdi</t>
  </si>
  <si>
    <t>Depotwert</t>
  </si>
  <si>
    <t>Αξία χαρτοφυλακίου</t>
  </si>
  <si>
    <t>Valor de la cartera</t>
  </si>
  <si>
    <t>Salkun arvo</t>
  </si>
  <si>
    <t>Valeur du portefeuille</t>
  </si>
  <si>
    <t>पोर्टफोलियो मूल्य</t>
  </si>
  <si>
    <t>Portfolió érték</t>
  </si>
  <si>
    <t>Nilai portfolio</t>
  </si>
  <si>
    <t>Valore del portafoglio</t>
  </si>
  <si>
    <t>ערך תיק השקעות</t>
  </si>
  <si>
    <t>資産価値</t>
  </si>
  <si>
    <t>포트폴리오 가치</t>
  </si>
  <si>
    <t>Portefeuille waarde</t>
  </si>
  <si>
    <t>Porteføljeverdi</t>
  </si>
  <si>
    <t>Wartość portfela</t>
  </si>
  <si>
    <t>Valor atual da carteira</t>
  </si>
  <si>
    <t>Valoarea portofoliului</t>
  </si>
  <si>
    <t>Стоимость портфеля</t>
  </si>
  <si>
    <t>Hodnota portfólia</t>
  </si>
  <si>
    <t>Vrednost portfelja</t>
  </si>
  <si>
    <t>Vrednost portfolija</t>
  </si>
  <si>
    <t>Portföljvärde</t>
  </si>
  <si>
    <t>มูลค่าพอร์ต</t>
  </si>
  <si>
    <t>Portföy değeri</t>
  </si>
  <si>
    <t>Giá trị danh mục đầu tư</t>
  </si>
  <si>
    <t>投资组合价值</t>
  </si>
  <si>
    <t>&gt;投資組合價值</t>
  </si>
  <si>
    <t>guyana</t>
  </si>
  <si>
    <t>Guyana</t>
  </si>
  <si>
    <t>Guayana</t>
  </si>
  <si>
    <t>Guyane</t>
  </si>
  <si>
    <t>Гвиана</t>
  </si>
  <si>
    <t>Gvajana</t>
  </si>
  <si>
    <t>error_no_keys_to_trust_presence</t>
  </si>
  <si>
    <t>There are no usable keys available for this contact.\nMake sure you have mutual presence subscription.</t>
  </si>
  <si>
    <t>Няма ключове, които могат да бъдат използвани за този контакт.\nУверете се, че и двамата имате абонамент за присъствието.</t>
  </si>
  <si>
    <t>No hi ha claus disponibles per a aquest contacte.\nAssegureu-vos que teniu una subscripció de presència mútua.</t>
  </si>
  <si>
    <t>Für diesen Kontakt sind keine benutzbaren Schlüssel verfügbar.\nStelle sicher, dass du den gegenseitigen Online-Status aktiviert hast.</t>
  </si>
  <si>
    <t>No hay claves disponibles para este contacto.\n Asegúrate que tenéis suscripción de presencia mutua.</t>
  </si>
  <si>
    <t>Il n\'y a aucune clé utilisable disponible pour ce contact.\nAssurez-vous d\'avoir un abonnement de présence mutuelle.</t>
  </si>
  <si>
    <t>Non hai chaves utilizables dispoñibles para este contacto.\nAsegúrese de que ambos teñen mutua suscrición de presenza.</t>
  </si>
  <si>
    <t>Ehhez a kapcsolathoz nem áll rendelkezésre használható kulcs.\nGyőződjön meg róla, hogy kölcsönösen felíratkoztak egymás állapotfrissítéseire.</t>
  </si>
  <si>
    <t>Non ci sono chiavi utilizzabili per questo contatto.\nAssicurati di avere reciprocamente la sottoscrizione sulla presenza.</t>
  </si>
  <si>
    <t>この連絡先で利用可能な鍵はありません。\n相互存在サブスクリプションあることを確認してください。</t>
  </si>
  <si>
    <t>Er zijn geen bruikbare sleutels beschikbaar voor dit contact.\nZorg dat je allebei op elkaars aanwezigheidsupdates bent geabonneerd.</t>
  </si>
  <si>
    <t>Brak dostępnych kluczy dla tego kontaktu.\nUpewnij się, że wzajemnie powiadamiacie się o obecności.</t>
  </si>
  <si>
    <t>Нет доступных ключей для данного контакта.\nУбедитесь, что у вас есть подписка на взаимное присутствие.</t>
  </si>
  <si>
    <t>Нема употребљивих кључева за овај контакт.\nПроверите да ли имате пријаву на узајамну присутност.</t>
  </si>
  <si>
    <t>Немає ключів для цього контакту.\nПеревірте, що ви взаємно підписані на присутність.</t>
  </si>
  <si>
    <t>tt_view</t>
  </si>
  <si>
    <t>View</t>
  </si>
  <si>
    <t>عرض</t>
  </si>
  <si>
    <t>Изглед</t>
  </si>
  <si>
    <t>Zobrazení</t>
  </si>
  <si>
    <t>Se</t>
  </si>
  <si>
    <t>Ansicht</t>
  </si>
  <si>
    <t>Προβολή</t>
  </si>
  <si>
    <t>Vista</t>
  </si>
  <si>
    <t>Näkymä</t>
  </si>
  <si>
    <t>Affichage</t>
  </si>
  <si>
    <t>व्यू</t>
  </si>
  <si>
    <t>Nézet</t>
  </si>
  <si>
    <t>Pandangan</t>
  </si>
  <si>
    <t>Visualizzazione</t>
  </si>
  <si>
    <t>תצוגה</t>
  </si>
  <si>
    <t>表示</t>
  </si>
  <si>
    <t>보기</t>
  </si>
  <si>
    <t>Beeld</t>
  </si>
  <si>
    <t>Visning</t>
  </si>
  <si>
    <t>Widok</t>
  </si>
  <si>
    <t>Vizualizare</t>
  </si>
  <si>
    <t>Вид</t>
  </si>
  <si>
    <t>Zobraziť</t>
  </si>
  <si>
    <t>Pogled</t>
  </si>
  <si>
    <t>Vy</t>
  </si>
  <si>
    <t>ดู</t>
  </si>
  <si>
    <t>Chế độ xem</t>
  </si>
  <si>
    <t>视图</t>
  </si>
  <si>
    <t>&gt;觀看</t>
  </si>
  <si>
    <t>notification_group_status_information</t>
  </si>
  <si>
    <t>Status Information</t>
  </si>
  <si>
    <t>Информация за състоянието</t>
  </si>
  <si>
    <t>Statusinformation</t>
  </si>
  <si>
    <t>Información de estado</t>
  </si>
  <si>
    <t>Information sur l\'état</t>
  </si>
  <si>
    <t>Información do estado</t>
  </si>
  <si>
    <t>Állapotinformáció</t>
  </si>
  <si>
    <t>Informazioni di stato</t>
  </si>
  <si>
    <t>Statusinformatie</t>
  </si>
  <si>
    <t>Wiadomość Statusu</t>
  </si>
  <si>
    <t>tt_edgar_income_before_taxes</t>
  </si>
  <si>
    <t>Income Before Taxes</t>
  </si>
  <si>
    <t>الدخل قبل الضرائب</t>
  </si>
  <si>
    <t>Приходи преди данъци</t>
  </si>
  <si>
    <t>Výnosy před zdaněním</t>
  </si>
  <si>
    <t>Indkomst før skat</t>
  </si>
  <si>
    <t>Ergebnis vor Steuern</t>
  </si>
  <si>
    <t>Έσοδα προ φόρων</t>
  </si>
  <si>
    <t>Ingresos brutos</t>
  </si>
  <si>
    <t>Tulot ennen veroja</t>
  </si>
  <si>
    <t>Résultat courant avant impôt</t>
  </si>
  <si>
    <t>कर पूर्व आय</t>
  </si>
  <si>
    <t>Pendapatan Sebelum Pajak</t>
  </si>
  <si>
    <t>Reddito prima dei tassi</t>
  </si>
  <si>
    <t>הכנסה לפני מסים</t>
  </si>
  <si>
    <t>税引前利益</t>
  </si>
  <si>
    <t>법인세비용차감전 순수익</t>
  </si>
  <si>
    <t>Pendapatan Sebelum Cukai</t>
  </si>
  <si>
    <t>Omzet voor belastingen</t>
  </si>
  <si>
    <t>Inntekt før skatt</t>
  </si>
  <si>
    <t>Zysk przed opodatkowaniem</t>
  </si>
  <si>
    <t>Lucro antes dos impostos</t>
  </si>
  <si>
    <t>Venit Înainte de Impozite</t>
  </si>
  <si>
    <t>Доход до уплаты налогов</t>
  </si>
  <si>
    <t>Príjem pred zdanením</t>
  </si>
  <si>
    <t>Prihodki pred davki</t>
  </si>
  <si>
    <t>Bruto dobit</t>
  </si>
  <si>
    <t>Resultat före skatt</t>
  </si>
  <si>
    <t>รายรับก่อนหักภาษี</t>
  </si>
  <si>
    <t>Vergiden önceki gelir</t>
  </si>
  <si>
    <t>Thu nhập trước thuế</t>
  </si>
  <si>
    <t>税前收入</t>
  </si>
  <si>
    <t>error_fetching_omemo_key</t>
  </si>
  <si>
    <t>Error fetching OMEMO key!</t>
  </si>
  <si>
    <t>خطأ أثناء جلب مفتاح أوميمو OMEMO !</t>
  </si>
  <si>
    <t>Грешка при получаването на ключа за OMEMO!</t>
  </si>
  <si>
    <t>S\'ha produït un error en obtenir la clau OMEMO!.</t>
  </si>
  <si>
    <t>Kann OMEMO-Schlüssel nicht empfangen!</t>
  </si>
  <si>
    <t>¡Error buscando clave OMEMO!</t>
  </si>
  <si>
    <t>Erreur lors de la récupération de la clef OMEMO !</t>
  </si>
  <si>
    <t>Fallo obtendo a chave OMEMO!</t>
  </si>
  <si>
    <t>Hiba történt az OMEMO kulcs megszerzésében!</t>
  </si>
  <si>
    <t>Errore ricezione chiave OMEMO!</t>
  </si>
  <si>
    <t>OMEMO 鍵の取得中にエラー!</t>
  </si>
  <si>
    <t>OMEMO key를 가져오는 도중 오류가 발생했습니다</t>
  </si>
  <si>
    <t>Fout bij ophalen van OMEMO-sleutel!</t>
  </si>
  <si>
    <t>Błąd pobierania klucza OMEMO!</t>
  </si>
  <si>
    <t>Erro ao obter a chave OMEMO!</t>
  </si>
  <si>
    <t>Ошибка при получении OMEMO ключа!</t>
  </si>
  <si>
    <t>Грешка добављања ОМЕМО кључа!</t>
  </si>
  <si>
    <t>Misslyckades med att hämta OMEMO-nyckel!</t>
  </si>
  <si>
    <t>Помилка отримання ключа OMEMO!</t>
  </si>
  <si>
    <t>Lỗi nhập khoá OMEMO!</t>
  </si>
  <si>
    <t>獲取 OMEMO 金鑰錯誤！</t>
  </si>
  <si>
    <t>tt_fundprofile_mininvestment</t>
  </si>
  <si>
    <t>Minimum investment</t>
  </si>
  <si>
    <t>الحد الأدنى للاستثمار</t>
  </si>
  <si>
    <t>Минимална инвестиция</t>
  </si>
  <si>
    <t>Minimální investice</t>
  </si>
  <si>
    <t>Minimum investering</t>
  </si>
  <si>
    <t>Mindestveranlagung</t>
  </si>
  <si>
    <t>Ελάχιστη επένδυση</t>
  </si>
  <si>
    <t>Inversión mínima</t>
  </si>
  <si>
    <t>Minimisijoitus</t>
  </si>
  <si>
    <t>Investissement minimum</t>
  </si>
  <si>
    <t>न्यूनतम निवेश</t>
  </si>
  <si>
    <t>Minimum befektetés</t>
  </si>
  <si>
    <t>Investasi minimum</t>
  </si>
  <si>
    <t>Investimento Minimo</t>
  </si>
  <si>
    <t>השקעה מינימלית</t>
  </si>
  <si>
    <t>最低取引金額</t>
  </si>
  <si>
    <t>최소 투자액</t>
  </si>
  <si>
    <t>Pelaburan minima</t>
  </si>
  <si>
    <t>Minimale investering</t>
  </si>
  <si>
    <t>Minsteinvestering</t>
  </si>
  <si>
    <t>Minimalna inwestycja</t>
  </si>
  <si>
    <t>Investimento mínimo</t>
  </si>
  <si>
    <t>Investiție minimă</t>
  </si>
  <si>
    <t>Минимальное вложение</t>
  </si>
  <si>
    <t>Minimálna investícia</t>
  </si>
  <si>
    <t>Minimalna naložba</t>
  </si>
  <si>
    <t>Minimalna investicija</t>
  </si>
  <si>
    <t>Minsta investering</t>
  </si>
  <si>
    <t>การลงทุนขั้นต่ำ</t>
  </si>
  <si>
    <t>Asgari yatırım</t>
  </si>
  <si>
    <t>Khoản đầu tư tối thiểu</t>
  </si>
  <si>
    <t>最少投资金额</t>
  </si>
  <si>
    <t>&gt;最少投資金額</t>
  </si>
  <si>
    <t>tt_maximum_yield_percent</t>
  </si>
  <si>
    <t>Maximum yield</t>
  </si>
  <si>
    <t>العائد الأقصى</t>
  </si>
  <si>
    <t>Максимална печалба</t>
  </si>
  <si>
    <t>Maximální výnos</t>
  </si>
  <si>
    <t>Maksimal udbytte</t>
  </si>
  <si>
    <t>Maximalrendite</t>
  </si>
  <si>
    <t>Μέγιστη απόδοση</t>
  </si>
  <si>
    <t>Rendimiento máximo</t>
  </si>
  <si>
    <t>Suurin tuotto</t>
  </si>
  <si>
    <t>Rendement maximum</t>
  </si>
  <si>
    <t>अधिकतम लाभ</t>
  </si>
  <si>
    <t>Maximum hozam</t>
  </si>
  <si>
    <t>Hasil yang maksimal</t>
  </si>
  <si>
    <t>Max. Rendimento</t>
  </si>
  <si>
    <t>תשואה מקסימלית</t>
  </si>
  <si>
    <t>最高収量</t>
  </si>
  <si>
    <t>최대 수익성</t>
  </si>
  <si>
    <t>Hasil maksima</t>
  </si>
  <si>
    <t>Maximale opbrengst</t>
  </si>
  <si>
    <t>Maksimal avkastning</t>
  </si>
  <si>
    <t>Maksymalna stopa zwrotu</t>
  </si>
  <si>
    <t>Rendimento máximo</t>
  </si>
  <si>
    <t>Randament maxim</t>
  </si>
  <si>
    <t>Максимальный доход</t>
  </si>
  <si>
    <t>Maximálny výnos</t>
  </si>
  <si>
    <t>Največji izkoristek</t>
  </si>
  <si>
    <t>Maksimalni prinos</t>
  </si>
  <si>
    <t>Maximal avkastning</t>
  </si>
  <si>
    <t>ผลตอบแทนสูงสุด</t>
  </si>
  <si>
    <t>Maksimum getiri</t>
  </si>
  <si>
    <t>Năng suất tối đa</t>
  </si>
  <si>
    <t>最大收益率</t>
  </si>
  <si>
    <t>tt_widget_updates_interval_title</t>
  </si>
  <si>
    <t>Updates interval</t>
  </si>
  <si>
    <t>فترات التحديثات</t>
  </si>
  <si>
    <t>Интервал на актуализации</t>
  </si>
  <si>
    <t>Interval aktualizací</t>
  </si>
  <si>
    <t>Opdateringsinterval</t>
  </si>
  <si>
    <t>Aktualisierungsintervall</t>
  </si>
  <si>
    <t>Διάστημα ενημερώσεων</t>
  </si>
  <si>
    <t>Intervalo de actualizaciones</t>
  </si>
  <si>
    <t>Päivitysväli</t>
  </si>
  <si>
    <t>Intervalle des mise à jour</t>
  </si>
  <si>
    <t>अंतराल को अपडेट करता है</t>
  </si>
  <si>
    <t>Frissítési gyakoriság</t>
  </si>
  <si>
    <t>Perbarui interval</t>
  </si>
  <si>
    <t>Intervallo di aggiornamento</t>
  </si>
  <si>
    <t>מרווח עדכונים</t>
  </si>
  <si>
    <t>アップデート間隔</t>
  </si>
  <si>
    <t>업데이트 간격</t>
  </si>
  <si>
    <t>Selang kemas kini</t>
  </si>
  <si>
    <t>Frequentie updates</t>
  </si>
  <si>
    <t>Oppdateringsintervall</t>
  </si>
  <si>
    <t>Częstotliwość aktualizacji</t>
  </si>
  <si>
    <t>Intervalo de atualizações</t>
  </si>
  <si>
    <t>Intervalul actualizărilor</t>
  </si>
  <si>
    <t>Интервал обновлений</t>
  </si>
  <si>
    <t>Interval aktualizácií</t>
  </si>
  <si>
    <t>Interval posodobitev</t>
  </si>
  <si>
    <t>Interval ažuriranja</t>
  </si>
  <si>
    <t>Uppdateringsintervall</t>
  </si>
  <si>
    <t>อัปเดตช่วงเวลา</t>
  </si>
  <si>
    <t>Güncelleme aralığı</t>
  </si>
  <si>
    <t>Cập nhật khoảng thời gian</t>
  </si>
  <si>
    <t>更新间隔</t>
  </si>
  <si>
    <t>&gt;更新間隔</t>
  </si>
  <si>
    <t>tt_line_style</t>
  </si>
  <si>
    <t>line style</t>
  </si>
  <si>
    <t>نمط الخط</t>
  </si>
  <si>
    <t>линеен стил</t>
  </si>
  <si>
    <t>styl čáry</t>
  </si>
  <si>
    <t>linjestil</t>
  </si>
  <si>
    <t>Linientyp</t>
  </si>
  <si>
    <t>στυλ γραμμής</t>
  </si>
  <si>
    <t>Estilo de línea</t>
  </si>
  <si>
    <t>Viivan tyyli</t>
  </si>
  <si>
    <t>Type de lignes</t>
  </si>
  <si>
    <t>लाइन की शैली</t>
  </si>
  <si>
    <t>Line style</t>
  </si>
  <si>
    <t>gaya garis</t>
  </si>
  <si>
    <t>tipo di riga</t>
  </si>
  <si>
    <t>סגנון קו</t>
  </si>
  <si>
    <t>線の種類</t>
  </si>
  <si>
    <t>선 스타일</t>
  </si>
  <si>
    <t>gaya garisan</t>
  </si>
  <si>
    <t>lijnstijl</t>
  </si>
  <si>
    <t>linestil</t>
  </si>
  <si>
    <t>Styl linii</t>
  </si>
  <si>
    <t>Estilo de linha</t>
  </si>
  <si>
    <t>stil de linie</t>
  </si>
  <si>
    <t>Тип линии</t>
  </si>
  <si>
    <t>Štýl riadka</t>
  </si>
  <si>
    <t>linijski slog</t>
  </si>
  <si>
    <t>Stil</t>
  </si>
  <si>
    <t>รูปแบบเส้น</t>
  </si>
  <si>
    <t>hat türü</t>
  </si>
  <si>
    <t>kiểu dòng</t>
  </si>
  <si>
    <t>线型</t>
  </si>
  <si>
    <t>&gt;線型</t>
  </si>
  <si>
    <t>tt_ind_price_rate_of_change_short</t>
  </si>
  <si>
    <t>Price Rate Of Change</t>
  </si>
  <si>
    <t>معدل سعر التغيير</t>
  </si>
  <si>
    <t>Цена на промяна</t>
  </si>
  <si>
    <t>Cenová sazba změny</t>
  </si>
  <si>
    <t>Prisen på ændring</t>
  </si>
  <si>
    <t>Ποσοστό αλλαγής τιμής</t>
  </si>
  <si>
    <t>ROC</t>
  </si>
  <si>
    <t>Rate Of Change Price</t>
  </si>
  <si>
    <t>मूल्य परिवर्तन की दर</t>
  </si>
  <si>
    <t>Tingkat Perubahan Harga</t>
  </si>
  <si>
    <t>שיעור השינוי</t>
  </si>
  <si>
    <t>プライス・レート・オブ・チェンジ</t>
  </si>
  <si>
    <t>가격 ROC</t>
  </si>
  <si>
    <t>Kadar Perubahan Harga</t>
  </si>
  <si>
    <t>Pris for endring</t>
  </si>
  <si>
    <t>Mudança da taxa de preço</t>
  </si>
  <si>
    <t>Rata de Schimb a Prețului</t>
  </si>
  <si>
    <t>Скорость изменения цены</t>
  </si>
  <si>
    <t>Sadzba zmeny ceny</t>
  </si>
  <si>
    <t>Sprememba cenovne mere</t>
  </si>
  <si>
    <t>Förändringspris</t>
  </si>
  <si>
    <t>อัตราการเปลี่ยนแปลงราคา</t>
  </si>
  <si>
    <t>Fiyatlardaki Değişimin Oranı</t>
  </si>
  <si>
    <t>Tỷ lệ thay đổi giá</t>
  </si>
  <si>
    <t>价格变化率</t>
  </si>
  <si>
    <t>&gt;價格變化率</t>
  </si>
  <si>
    <t>your_nick_has_been_changed</t>
  </si>
  <si>
    <t>Your nickname has been changed</t>
  </si>
  <si>
    <t>تم تغيير لقبك بنجاح</t>
  </si>
  <si>
    <t>Псевдонимът Ви беше променен</t>
  </si>
  <si>
    <t>S\'ha canviat el sobrenom</t>
  </si>
  <si>
    <t>Dein Nickname wurde geändert</t>
  </si>
  <si>
    <t>Tu apodo se ha modificado</t>
  </si>
  <si>
    <t>Votre identifiant a été changé</t>
  </si>
  <si>
    <t>Modificouse o teu apodo</t>
  </si>
  <si>
    <t>Beceneved megváltozott</t>
  </si>
  <si>
    <t>Nick kamu telah dirubah</t>
  </si>
  <si>
    <t>Il tuo nome utente è stato cambiato</t>
  </si>
  <si>
    <t>あなたのニックネームが変更されました</t>
  </si>
  <si>
    <t>닉네임이 변경되었습니다</t>
  </si>
  <si>
    <t>Je naam is veranderd</t>
  </si>
  <si>
    <t>Twój nick został zmieniony</t>
  </si>
  <si>
    <t>O seu apelido foi alterado</t>
  </si>
  <si>
    <t>Ваш псевдоним был изменён</t>
  </si>
  <si>
    <t>Prezývka sa zmenila</t>
  </si>
  <si>
    <t>Ваш надимак је промењен</t>
  </si>
  <si>
    <t>Ditt nick har ändrats</t>
  </si>
  <si>
    <t>Ваш псевдонім змінено</t>
  </si>
  <si>
    <t>Biệt danh của bạn đã được đổi</t>
  </si>
  <si>
    <t>昵稱修改成功</t>
  </si>
  <si>
    <t>kenya</t>
  </si>
  <si>
    <t>Kenya</t>
  </si>
  <si>
    <t>Kenia</t>
  </si>
  <si>
    <t>Кения</t>
  </si>
  <si>
    <t>Kenija</t>
  </si>
  <si>
    <t>northern_mariana_islands</t>
  </si>
  <si>
    <t>Northern Mariana Islands</t>
  </si>
  <si>
    <t>Nördliche Marianen Inseln</t>
  </si>
  <si>
    <t>Islas Marianas del Norte</t>
  </si>
  <si>
    <t>Îles Mariannes du Nord</t>
  </si>
  <si>
    <t>Северные Марианские Острова</t>
  </si>
  <si>
    <t>Severna Mariana ostrva</t>
  </si>
  <si>
    <t>tt_text_missingportfolio</t>
  </si>
  <si>
    <t>You have not yet created a virtual portfolio.</t>
  </si>
  <si>
    <t>لم تقم بإنشاء محفظة افتراضية بعد.</t>
  </si>
  <si>
    <t>Все още не сте създали виртуално портфолио.</t>
  </si>
  <si>
    <t>Dosud jste nevytvořili virtuální portfolio.</t>
  </si>
  <si>
    <t>Du har endnu ikke oprettet en virtuel portefølje.</t>
  </si>
  <si>
    <t>Sie haben noch kein Musterdepot angelegt.</t>
  </si>
  <si>
    <t>Δεν έχετε δημιουργήσει ακόμη εικονικό χαρτοφυλάκιο.</t>
  </si>
  <si>
    <t>Todavía no ha creado ninguna cartera virtual.</t>
  </si>
  <si>
    <t>Et ole vielä luonut virtuaalisalkkua.</t>
  </si>
  <si>
    <t>Vous n\'avez pas encore créé de portefeuille virtuel</t>
  </si>
  <si>
    <t>आपने अभी तक वर्चुअल पोर्टफोलियो नहीं बनाया है।</t>
  </si>
  <si>
    <t>Még nem rendelkezik virtuális portfólióval.</t>
  </si>
  <si>
    <t>Anda belum membuat portfolio maya.</t>
  </si>
  <si>
    <t>Non hai creato il tuo portafoglio virtuale.</t>
  </si>
  <si>
    <t>עדיין לא יצרת תיק השקעות וירטואלי.</t>
  </si>
  <si>
    <t>仮想ポートフォリオがまだ作成されていません</t>
  </si>
  <si>
    <t>아직 가상 포트폴리오를 생성하지 않았습니다.</t>
  </si>
  <si>
    <t>Anda masih belum wujudkan portfolio maya.</t>
  </si>
  <si>
    <t>U heeft nog geen nieuwe portefeuille gecreërd.</t>
  </si>
  <si>
    <t>Du har ennå ikke opprettet en virtuell portefølje.</t>
  </si>
  <si>
    <t>Jeszcze nie stworzyłeś wirtualnego portela.</t>
  </si>
  <si>
    <t>Você ainda não criou uma carteira virtual.</t>
  </si>
  <si>
    <t>Nu ai creat încă un portofoliu virtual.</t>
  </si>
  <si>
    <t>Вы еще не создали ни одного виртуального портфеля</t>
  </si>
  <si>
    <t>Zatiaľ ste nevytvorili virtuálne portfólio.</t>
  </si>
  <si>
    <t>Navideznega portfelja še niste ustvarili.</t>
  </si>
  <si>
    <t>Još uvek niste kreirali virtuelni portfolio.</t>
  </si>
  <si>
    <t>Du har ännu inte skapat en virtuell portfölj.</t>
  </si>
  <si>
    <t>คุณยังไม่ได้สร้างพอร์ตจำลอง</t>
  </si>
  <si>
    <t>Henüz sanal bir portföy oluşturmadınız.</t>
  </si>
  <si>
    <t>Bạn chưa tạo danh mục đầu tư ảo.</t>
  </si>
  <si>
    <t>你尚未建立虚拟投资组合</t>
  </si>
  <si>
    <t>&gt;你尚未建立虛擬投資組合</t>
  </si>
  <si>
    <t>thailand</t>
  </si>
  <si>
    <t>Thailand</t>
  </si>
  <si>
    <t>Tailandia</t>
  </si>
  <si>
    <t>Thaïlande</t>
  </si>
  <si>
    <t>Таиланд</t>
  </si>
  <si>
    <t>Tajland</t>
  </si>
  <si>
    <t>american_samoa</t>
  </si>
  <si>
    <t>American Samoa</t>
  </si>
  <si>
    <t>Amerikanisch-Samoa</t>
  </si>
  <si>
    <t>Samoa Americana</t>
  </si>
  <si>
    <t>Samoa Américaine</t>
  </si>
  <si>
    <t>Американское Самоа</t>
  </si>
  <si>
    <t>Američka Samoa</t>
  </si>
  <si>
    <t>action_account</t>
  </si>
  <si>
    <t>Manage account</t>
  </si>
  <si>
    <t>Управление на профила</t>
  </si>
  <si>
    <t>Administrar compte</t>
  </si>
  <si>
    <t>Konto verwalten</t>
  </si>
  <si>
    <t>Gestionar cuenta</t>
  </si>
  <si>
    <t>Gérer le compte</t>
  </si>
  <si>
    <t>Xestionar conta</t>
  </si>
  <si>
    <t>Fiók kezelése</t>
  </si>
  <si>
    <t>Gestisci account</t>
  </si>
  <si>
    <t>アカウントの管理</t>
  </si>
  <si>
    <t>Account beheren</t>
  </si>
  <si>
    <t>Zarządzaj kontem</t>
  </si>
  <si>
    <t>portugal</t>
  </si>
  <si>
    <t>Portugal</t>
  </si>
  <si>
    <t>Португалия</t>
  </si>
  <si>
    <t>contact_has_stopped_typing</t>
  </si>
  <si>
    <t>%s has stopped typing</t>
  </si>
  <si>
    <t>توقف %s عن الكتابة</t>
  </si>
  <si>
    <t>%s спря да пише</t>
  </si>
  <si>
    <t>%s ha deixat d\'escriure</t>
  </si>
  <si>
    <t>%s schreibt nicht mehr</t>
  </si>
  <si>
    <t>%s ha dejado de escribir</t>
  </si>
  <si>
    <t>%s a arrêté d\'écrire</t>
  </si>
  <si>
    <t>%s deixou de escribir</t>
  </si>
  <si>
    <t>%s abbahagyta az írást</t>
  </si>
  <si>
    <t>%s telah berhenti mengetik</t>
  </si>
  <si>
    <t>%s ha smesso di digitare</t>
  </si>
  <si>
    <t>%s は入力を停止しました</t>
  </si>
  <si>
    <t>%s 이(가) 입력을 중단했습니다</t>
  </si>
  <si>
    <t>%s is gestopt met typen</t>
  </si>
  <si>
    <t>%s przestał(a) pisać</t>
  </si>
  <si>
    <t>%s parou de escrever</t>
  </si>
  <si>
    <t>Timpuri &amp;amp; Vânzări</t>
  </si>
  <si>
    <t>%s prestal písať</t>
  </si>
  <si>
    <t>%s престаде да куца</t>
  </si>
  <si>
    <t>%s har slutat skriva</t>
  </si>
  <si>
    <t>%s припинив друкувати</t>
  </si>
  <si>
    <t>%s đã ngừng gõ</t>
  </si>
  <si>
    <t>%s 停止輸入了</t>
  </si>
  <si>
    <t>type_phone</t>
  </si>
  <si>
    <t>Mobile phone</t>
  </si>
  <si>
    <t>هاتف نقال</t>
  </si>
  <si>
    <t>Мобилен телефон</t>
  </si>
  <si>
    <t>Telèfon mòbil</t>
  </si>
  <si>
    <t>Mobiltelefon</t>
  </si>
  <si>
    <t>Teléfono móvil</t>
  </si>
  <si>
    <t>Smartphone</t>
  </si>
  <si>
    <t>Teléfono móbil</t>
  </si>
  <si>
    <t>Cellulare</t>
  </si>
  <si>
    <t>携帯電話</t>
  </si>
  <si>
    <t>휴대폰</t>
  </si>
  <si>
    <t>Mobiele telefoon</t>
  </si>
  <si>
    <t>Komórka</t>
  </si>
  <si>
    <t>Telefone móvel</t>
  </si>
  <si>
    <t>Телефон</t>
  </si>
  <si>
    <t>Мобилни телефон</t>
  </si>
  <si>
    <t>Мобільний телефон</t>
  </si>
  <si>
    <t>行動電話</t>
  </si>
  <si>
    <t>tt_timesandsales</t>
  </si>
  <si>
    <t>Times&amp;amp;Sales</t>
  </si>
  <si>
    <t>الأوقات وعمليات البيع</t>
  </si>
  <si>
    <t>Дати и продажби</t>
  </si>
  <si>
    <t>Časy a prodeje</t>
  </si>
  <si>
    <t>Tider og salg</t>
  </si>
  <si>
    <t>Ώρες και πωλήσεις</t>
  </si>
  <si>
    <t>Ajat ja myynti</t>
  </si>
  <si>
    <t>Dernières transactions</t>
  </si>
  <si>
    <t>टाइम्स&amp; amp,बिक्री</t>
  </si>
  <si>
    <t>Kötéslista</t>
  </si>
  <si>
    <t>Waktu&amp;amp;Penjualan</t>
  </si>
  <si>
    <t>Data e ora di vendite</t>
  </si>
  <si>
    <t>זמנים ומגבר, מכירות</t>
  </si>
  <si>
    <t>時系列出来高</t>
  </si>
  <si>
    <t>Masa&amp;amp;Jualan</t>
  </si>
  <si>
    <t>Tijden &amp;amp; Omzet</t>
  </si>
  <si>
    <t>Lista transakcji</t>
  </si>
  <si>
    <t>Hora e vendas</t>
  </si>
  <si>
    <t>Лента</t>
  </si>
  <si>
    <t>Termíny a predaje</t>
  </si>
  <si>
    <t>Časi in prodaja</t>
  </si>
  <si>
    <t>Times &amp;amp; Sales</t>
  </si>
  <si>
    <t>Gånger&amp;amp;Försäljning</t>
  </si>
  <si>
    <t>เวลา การขาย</t>
  </si>
  <si>
    <t>Saatler ve Satışlar</t>
  </si>
  <si>
    <t>Thời gian&amp;amp,Doanh số</t>
  </si>
  <si>
    <t>实时报价</t>
  </si>
  <si>
    <t>&gt;即時報價</t>
  </si>
  <si>
    <t>notification_group_messages</t>
  </si>
  <si>
    <t>pref_omemo_setting_summary_default_on</t>
  </si>
  <si>
    <t>OMEMO will be used by default for new conversations.</t>
  </si>
  <si>
    <t>OMEMO ще се използва по подразбиране за новите разговори.</t>
  </si>
  <si>
    <t>OMEMO s\'utilitzarà per defecte per a les noves converses.</t>
  </si>
  <si>
    <t>OMEMO wird standardmäßig für neue Unterhaltungen verwendet.</t>
  </si>
  <si>
    <t>OMEMO será usado por defecto para nuevas conversaciones.</t>
  </si>
  <si>
    <t>OMEMO sera utilisé par défaut pour les nouvelles discussions.</t>
  </si>
  <si>
    <t>OMEMO utilizarase por defecto para as novas conversacións.</t>
  </si>
  <si>
    <t>OMEMO lesz az alapértelmezett az új beszélgetésekhez.</t>
  </si>
  <si>
    <t>OMEMO verrà usato in modo predefinito nelle nuove conversazioni.</t>
  </si>
  <si>
    <t>デフォルトで新しい会話で OMEMO を使用します。</t>
  </si>
  <si>
    <t>OMEMO zal standaard gebruikt worden voor nieuwe gesprekken.</t>
  </si>
  <si>
    <t>OMEMO będzie używane domyślnie dla nowych rozmów.</t>
  </si>
  <si>
    <t>新的對話預設會用 OMEMO 加密</t>
  </si>
  <si>
    <t>tt_logout</t>
  </si>
  <si>
    <t>Logout</t>
  </si>
  <si>
    <t>تسجيل الخروج</t>
  </si>
  <si>
    <t>Излезане от профила</t>
  </si>
  <si>
    <t>Odhlásit se</t>
  </si>
  <si>
    <t>Log ud</t>
  </si>
  <si>
    <t>Abmelden</t>
  </si>
  <si>
    <t>Αποσύνδεση</t>
  </si>
  <si>
    <t>Cerrar sesión</t>
  </si>
  <si>
    <t>Kirjaudu ulos</t>
  </si>
  <si>
    <t>Se déconnecter</t>
  </si>
  <si>
    <t>लॉगआउट करें</t>
  </si>
  <si>
    <t>Kijelentkezés</t>
  </si>
  <si>
    <t>Daftar Keluar</t>
  </si>
  <si>
    <t>Esci</t>
  </si>
  <si>
    <t>התנתקות</t>
  </si>
  <si>
    <t>ログアウト</t>
  </si>
  <si>
    <t>로그아웃</t>
  </si>
  <si>
    <t>Uitloggen</t>
  </si>
  <si>
    <t>Logg ut</t>
  </si>
  <si>
    <t>Wyloguj</t>
  </si>
  <si>
    <t>Fazer Logout</t>
  </si>
  <si>
    <t>Deconectare</t>
  </si>
  <si>
    <t>Выйти</t>
  </si>
  <si>
    <t>Odhlásiť sa</t>
  </si>
  <si>
    <t>Odjava</t>
  </si>
  <si>
    <t>Logga ut</t>
  </si>
  <si>
    <t>ออกจากระบบ</t>
  </si>
  <si>
    <t>Çıkış Yap</t>
  </si>
  <si>
    <t>Đăng xuất</t>
  </si>
  <si>
    <t>登出</t>
  </si>
  <si>
    <t>&gt;登出</t>
  </si>
  <si>
    <t>unknown_api_error_response</t>
  </si>
  <si>
    <t>Unknown response from server.</t>
  </si>
  <si>
    <t>Непознат отговор от сървъра.</t>
  </si>
  <si>
    <t>Unbekannte Rückmeldung vom Server.</t>
  </si>
  <si>
    <t>Respuesta de servidor desconocida.</t>
  </si>
  <si>
    <t>Resposta descoñecida desde o servidor.</t>
  </si>
  <si>
    <t>Ismeretlen válasz a szervertől.</t>
  </si>
  <si>
    <t>Risposta dal server sconosciuta.</t>
  </si>
  <si>
    <t>Onbekend serverantwoord.</t>
  </si>
  <si>
    <t>Nieznana odpowiedź serwera.</t>
  </si>
  <si>
    <t>remove_bookmark_text</t>
  </si>
  <si>
    <t>Would you like to remove %s as a bookmark? The conversation associated with this bookmark will not be removed.</t>
  </si>
  <si>
    <t>هل ترغب في حذف %s من المفضلات? المحادثات المحفوظه ستبقى كما هي</t>
  </si>
  <si>
    <t>Искате ли да премахнете отметката за %s? Разговорът, свързан с тази отметка, няма да бъде премахнат.</t>
  </si>
  <si>
    <t>Voleu eliminar %s dels marcadors? La conversa associada amb aquest marcador no serà eliminada.</t>
  </si>
  <si>
    <t>Möchtest du %s von deiner Kontaktliste entfernen? Die Unterhaltung mit dieser Konferenz wird dabei nicht entfernt.</t>
  </si>
  <si>
    <t>¿Quieres eliminar %s de tus marcadores? La conversación asociada con este marcador no se eliminará.</t>
  </si>
  <si>
    <t>Voulez-vous retirer %s des favoris? La conversation associée à ce favori ne sera pas supprimée.</t>
  </si>
  <si>
    <t>Quere eliminar %s como marcador? A conversa asociada a este marcador non será eliminada.</t>
  </si>
  <si>
    <t>Szeretnéd eltávolítani %s nevű névjegyet a könyvjelzőkből? A beszélgetésetek nem fog törlődni.</t>
  </si>
  <si>
    <t>Apakah Anda ingin menghapus %s dari bookmark? Percakapan yang terkait dengan bookmark ini tidak akan dihapus.</t>
  </si>
  <si>
    <t>Vuoi rimuovere il segnalibro %s? La conversazione associata con questo contatto non sarà rimossa.</t>
  </si>
  <si>
    <t>ブックマークとして %s を削除しますか? このブックマークに関連した会話は削除されません。</t>
  </si>
  <si>
    <t>%s 를 즐겨찾기에서 삭제할까요? 이 즐겨찾기와 연관된 대화는 삭제되지 않습니다.</t>
  </si>
  <si>
    <t>Wil je %s als bladwijzer verwijderen? Het gesprek met deze account zal niet worden verwijderd.</t>
  </si>
  <si>
    <t>Czy usunąć zakładkę %s? Konwersacja powiązana z zakładką nie zostanie usunięta.</t>
  </si>
  <si>
    <t>Deseja remover %s dos favoritos? A conversa associada a este favorito não será removida.</t>
  </si>
  <si>
    <t>Вы хотите удалить %s из избранного? Беседы, связанные с данной закладкой будут сохранены</t>
  </si>
  <si>
    <t>Chcete odstrániť %s zo záložiek? Konverzácie spojené s touto záložkou nebudú odstránené.</t>
  </si>
  <si>
    <t>Желите ли да уклоните %s са обележивача? Преписка са овим контактом неће бити уклоњена.</t>
  </si>
  <si>
    <t>Vill du ta bort %s som bokmärke? Konversationer associerade med detta bokmärke kommer inte tas bort.</t>
  </si>
  <si>
    <t>%s\'yi bir yer imini olarak kaldırmak ister misiniz? Bu yer imiyle ilişkilendirilen konuşma kaldırılmayacak.</t>
  </si>
  <si>
    <t>Бажаєте видалити %s із закладок? Розмова, закріплена цією закладкою, не буде видалена.</t>
  </si>
  <si>
    <t>Bạn có muốn xoá đánh dấu %s? Hội thoại gắn với đánh dấu này sẽ không bị xoá.</t>
  </si>
  <si>
    <t>從書簽中移除 %s ？相關會話消息不會被清除 .</t>
  </si>
  <si>
    <t>tt_template_save_as_short</t>
  </si>
  <si>
    <t>Save as</t>
  </si>
  <si>
    <t>حفظ باسم</t>
  </si>
  <si>
    <t>Запази като</t>
  </si>
  <si>
    <t>Uložit jako</t>
  </si>
  <si>
    <t>Gem som</t>
  </si>
  <si>
    <t>Speichern als</t>
  </si>
  <si>
    <t>Αποθήκευση ως</t>
  </si>
  <si>
    <t>Guardar como</t>
  </si>
  <si>
    <t>Tallenna nimellä</t>
  </si>
  <si>
    <t>Sauvegarder sous</t>
  </si>
  <si>
    <t>के रूप में सहेजें</t>
  </si>
  <si>
    <t>Simpan sebagai</t>
  </si>
  <si>
    <t>Salva come</t>
  </si>
  <si>
    <t>שמור כ</t>
  </si>
  <si>
    <t>名前をつけて保存</t>
  </si>
  <si>
    <t>다른 이름으로 저장</t>
  </si>
  <si>
    <t>Sla op als</t>
  </si>
  <si>
    <t>Lagre som</t>
  </si>
  <si>
    <t>Zapisz jako</t>
  </si>
  <si>
    <t>Salvar como</t>
  </si>
  <si>
    <t>Salvează ca</t>
  </si>
  <si>
    <t>Сохранить как</t>
  </si>
  <si>
    <t>Uložiť ako</t>
  </si>
  <si>
    <t>Shranite kot</t>
  </si>
  <si>
    <t>Sačuvaj kao</t>
  </si>
  <si>
    <t>Spara som</t>
  </si>
  <si>
    <t>บันทึกเป็น</t>
  </si>
  <si>
    <t>Farklı kaydet</t>
  </si>
  <si>
    <t>Lưu thành</t>
  </si>
  <si>
    <t>储存</t>
  </si>
  <si>
    <t>&gt;儲存</t>
  </si>
  <si>
    <t>data_protection_policy</t>
  </si>
  <si>
    <t>Data Protection Policy</t>
  </si>
  <si>
    <t>سياسة حماية البيانات</t>
  </si>
  <si>
    <t>Политика за защита на данните</t>
  </si>
  <si>
    <t>Zásady ochrany údajů</t>
  </si>
  <si>
    <t>Databeskyttelsespolitik</t>
  </si>
  <si>
    <t>Datenschutzrichtlinie</t>
  </si>
  <si>
    <t>Πολιτική προστασίας δεδομένων</t>
  </si>
  <si>
    <t>Política de privacidad de datos</t>
  </si>
  <si>
    <t>Tietosuojakäytäntö</t>
  </si>
  <si>
    <t>Politique de protection des données</t>
  </si>
  <si>
    <t>डेटा सुरक्षा नीति</t>
  </si>
  <si>
    <t>Adatvédelmi szabályzat</t>
  </si>
  <si>
    <t>Kebijakan Perlindungan Data</t>
  </si>
  <si>
    <t>Politica di protezione dei dati.</t>
  </si>
  <si>
    <t>מדיניות הגנה על נתונים</t>
  </si>
  <si>
    <t>データ保護ポリシー</t>
  </si>
  <si>
    <t>데이터 보호 정책</t>
  </si>
  <si>
    <t>Dasar Perlindungan Data</t>
  </si>
  <si>
    <t>Gegevensbescherming</t>
  </si>
  <si>
    <t>Retningslinjer for personvern</t>
  </si>
  <si>
    <t>Ochrony danych</t>
  </si>
  <si>
    <t>Política de Proteção de Dados</t>
  </si>
  <si>
    <t>Politica de Protecție a Datelor</t>
  </si>
  <si>
    <t>Политика защиты данных</t>
  </si>
  <si>
    <t>Zásady ochrany údajov</t>
  </si>
  <si>
    <t>Politika varstva podatkov</t>
  </si>
  <si>
    <t>Politika zaštite podataka</t>
  </si>
  <si>
    <t>Dataskyddspolicy</t>
  </si>
  <si>
    <t>นโยบายความปลอดภัยของข้อมูล</t>
  </si>
  <si>
    <t>Veri Koruma Politikası</t>
  </si>
  <si>
    <t>Chính sách bảo vệ dữ liệu</t>
  </si>
  <si>
    <t>数据保护政策</t>
  </si>
  <si>
    <t>large</t>
  </si>
  <si>
    <t>Large</t>
  </si>
  <si>
    <t>Голям</t>
  </si>
  <si>
    <t>Gran</t>
  </si>
  <si>
    <t>Groß</t>
  </si>
  <si>
    <t>Grande</t>
  </si>
  <si>
    <t>Nagy</t>
  </si>
  <si>
    <t>大</t>
  </si>
  <si>
    <t>Groot</t>
  </si>
  <si>
    <t>Duża</t>
  </si>
  <si>
    <t>Большой</t>
  </si>
  <si>
    <t>remove_contact_text</t>
  </si>
  <si>
    <t>Would you like to remove %s from your roster? The conversation associated with this contact will not be removed.</t>
  </si>
  <si>
    <t>هل ترغب بحذف جهة الإتصال %s من اضافاتك? ستبقى محادثاتك معه محفوظه</t>
  </si>
  <si>
    <t>Искате ли да премахнете %s от списъка си? Разговорът с него няма да бъде премахнат.</t>
  </si>
  <si>
    <t>Voleu eliminar a %s de la vostra llista de contactes? La conversa associada a aquest contacte no s\'eliminarà.</t>
  </si>
  <si>
    <t>Möchtest du %s von deiner Kontaktliste entfernen? Die Unterhaltung mit diesem Kontakt wird dabei nicht entfernt.</t>
  </si>
  <si>
    <t>¿Quieres eliminar a %s de tu lista? La conversación asociada a esta cuenta no se eliminará.</t>
  </si>
  <si>
    <t>Voulez-vous supprimer %s de votre liste ? Les conversations associées à ce contact ne seront pas supprimées.</t>
  </si>
  <si>
    <t>¿Queres eliminar a %s da túa lista?. A conversa asociada a esta conta non se eliminará.</t>
  </si>
  <si>
    <t>Szeretnéd eltávolítani %s nevű ismerősöd a listádról? A beszélgetésetek nem fog törlődni.</t>
  </si>
  <si>
    <t>Apakah Anda ingin menghapus %s dari roster Anda? Percakapan yang terkait dengan kontak ini tidak akan dihapus.</t>
  </si>
  <si>
    <t>Vuoi rimuovere %s dalla tua lista contatti? La conversazione associata con questo contatto non sarà rimossa.</t>
  </si>
  <si>
    <t>あなたの名簿から %s を削除しますか? この連絡先と関連した会話は削除されません。</t>
  </si>
  <si>
    <t>%s 를 당신의 명단에서 삭제하시겠습니까? 이 연락처와 연관된 대화는 삭제되지 않습니다.</t>
  </si>
  <si>
    <t>Wil je %s uit je lijst verwijderen? Het gesprek met deze account zal niet worden verwijderd.</t>
  </si>
  <si>
    <t>Czy na pewno chcesz usunąć %s ze swojego rostera? Konwersacja powiązana z tym kontaktem nie zostanie usunięta.</t>
  </si>
  <si>
    <t>Deseja remover %s da sua lista? A conversa associada a este contacto não será removida.</t>
  </si>
  <si>
    <t>Вы хотите удалить %s из своего списка? Беседы, связанные с этим аккаунтом будут сохранены.</t>
  </si>
  <si>
    <t>Chceli by ste odstrániť %s zo svojho zoznamu? Konverzácie spojené s týmto kontaktom nebudú odstránené.</t>
  </si>
  <si>
    <t>Желите ли да уклоните %s са вашег списка контаката? Преписка са овим контактом неће бити уклоњена.</t>
  </si>
  <si>
    <t>Vill du ta bort %s från din kontaktlista? Konversationer associerade med denna kontakt kommer inte tas bort.</t>
  </si>
  <si>
    <t>Бажаєте видалити %s зі свого списку розмов? Розмова, пов\'язана з цим контактом залишиться.</t>
  </si>
  <si>
    <t>Bạn có muốn xoá %s khỏi danh sách bạn bè? Hội thoại gắn với liên hệ này sẽ không bị xoá.</t>
  </si>
  <si>
    <t>將 %s 從列表中移除? 與該連絡人的會話消息不會清除.</t>
  </si>
  <si>
    <t>tt_wrong_value</t>
  </si>
  <si>
    <t>Wrong value:</t>
  </si>
  <si>
    <t>قيمة خاطئة:</t>
  </si>
  <si>
    <t>Грешна стойност:</t>
  </si>
  <si>
    <t>Chybná hodnota:</t>
  </si>
  <si>
    <t>Forkert værdi:</t>
  </si>
  <si>
    <t>Falsche Wert:</t>
  </si>
  <si>
    <t>Λάθος τιμή:</t>
  </si>
  <si>
    <t>Valor erróneo:</t>
  </si>
  <si>
    <t>Väärä arvo:</t>
  </si>
  <si>
    <t>Valeur erronée:</t>
  </si>
  <si>
    <t>गलत मूल्य:</t>
  </si>
  <si>
    <t>Helytelen érték:</t>
  </si>
  <si>
    <t>Nilai salah:</t>
  </si>
  <si>
    <t>Valore sbagliato</t>
  </si>
  <si>
    <t>ערך שגוי:</t>
  </si>
  <si>
    <t>間違った値</t>
  </si>
  <si>
    <t>잘못된 값:</t>
  </si>
  <si>
    <t>Verkeerde waarde:</t>
  </si>
  <si>
    <t>Feil verdi:</t>
  </si>
  <si>
    <t>Zła wartość:</t>
  </si>
  <si>
    <t>Valor errado:</t>
  </si>
  <si>
    <t>Valoare greșită:</t>
  </si>
  <si>
    <t>Неверное значение:</t>
  </si>
  <si>
    <t>Nesprávna hodnota:</t>
  </si>
  <si>
    <t>Napačna vrednost:</t>
  </si>
  <si>
    <t>Pogrešna vrednost:</t>
  </si>
  <si>
    <t>Fel värde:</t>
  </si>
  <si>
    <t>ค่าที่ผิด:</t>
  </si>
  <si>
    <t>Yanlış değer:</t>
  </si>
  <si>
    <t>Giá trị sai:</t>
  </si>
  <si>
    <t>值错误：</t>
  </si>
  <si>
    <t>pref_away_when_screen_off_summary</t>
  </si>
  <si>
    <t>Marks your resource as away when the screen is turned off</t>
  </si>
  <si>
    <t>Преминава в състояние „отсъстващ“ когато екранът бъде изключен</t>
  </si>
  <si>
    <t>Marqueu el vostre recurs quan la pantalla estigui desactivada</t>
  </si>
  <si>
    <t>Setzt deinen Status auf \"abwesend\", solange dein Bildschirm abgeschaltet ist</t>
  </si>
  <si>
    <t>Cambia tu estado a ausente cuando la pantalla está apagada</t>
  </si>
  <si>
    <t>Marquer cette ressource comme absente quand l\'écran est éteint.</t>
  </si>
  <si>
    <t>Marca o seu recurso como non dipoñíble cando se apaga a pantalla</t>
  </si>
  <si>
    <t>Kikapcsolt képernyőnél a neved alatt egy \"távol\" címke látható</t>
  </si>
  <si>
    <t>Imposta la tua risorsa come non disponibile quando lo schermo è spento</t>
  </si>
  <si>
    <t>画面がオフになっているとき、リソースを離席としてマークします</t>
  </si>
  <si>
    <t>화면이 꺼져있을 경우에 자리 비움으로 상태를 표시함</t>
  </si>
  <si>
    <t>Stelt je bron in als even weg wanneer het scherm uitgeschakeld is</t>
  </si>
  <si>
    <t>Oznacza twój zasób jako \"Oddalony\", gdy wyświetlacz jest wyłączony</t>
  </si>
  <si>
    <t>Define o seu recurso como ausente quando o ecrã está desligado</t>
  </si>
  <si>
    <t>Отмечает ваш ресурс как «вышел» когда экран выключен</t>
  </si>
  <si>
    <t>Означавање вашег ресурса као одсутан кад је екран искључен</t>
  </si>
  <si>
    <t>Sätter din tillgänglighet till borta när skrämen är av</t>
  </si>
  <si>
    <t>Показувати стан як відійшов, якщо екран вимкнуто</t>
  </si>
  <si>
    <t>Hiện ứng dụng là \'vắng mặt\' khi màn hình tắt</t>
  </si>
  <si>
    <t>當螢幕關閉時將標記您的資源為離開狀態</t>
  </si>
  <si>
    <t>alert_cant_be_added</t>
  </si>
  <si>
    <t>Alert can\'t be added,</t>
  </si>
  <si>
    <t>لا يمكن إضافة تنبيه</t>
  </si>
  <si>
    <t>Сигналът не може да се добави,</t>
  </si>
  <si>
    <t>Upozornění nelze přidat,</t>
  </si>
  <si>
    <t>Alarm kan ikke tilføjes,</t>
  </si>
  <si>
    <t>Δεν είναι δυνατή η προσθήκη ειδοποίησης,</t>
  </si>
  <si>
    <t>La alerta no pudo ser agregada</t>
  </si>
  <si>
    <t>Hälytystä ei voida lisätä,</t>
  </si>
  <si>
    <t>L\'alerte ne peut pas être ajoutée,</t>
  </si>
  <si>
    <t>अलर्ट को जोड़ा नहीं जा सकता,</t>
  </si>
  <si>
    <t>Figyelmeztetés nem adható hozzá,</t>
  </si>
  <si>
    <t>Pemberitahuan tidak bisa ditambahkan,</t>
  </si>
  <si>
    <t>L\'allarme non può essere aggiunto,</t>
  </si>
  <si>
    <t>לא ניתן להוסיף התראה</t>
  </si>
  <si>
    <t>アラートを追加できません。</t>
  </si>
  <si>
    <t>알람을 추가할 수 없습니다</t>
  </si>
  <si>
    <t>Makluman tidak dapat ditambahkan,</t>
  </si>
  <si>
    <t>De alarmering kan niet worden toegevoegd,</t>
  </si>
  <si>
    <t>Varsling kan ikke legges til,</t>
  </si>
  <si>
    <t>Nie można dodać alertu,</t>
  </si>
  <si>
    <t>O alerta não pode ser adicionado,</t>
  </si>
  <si>
    <t>Alerta nu poate fi adăugată,</t>
  </si>
  <si>
    <t>Nie je možné pridať upozornenie,</t>
  </si>
  <si>
    <t>Opozorila ni mogoče dodati,</t>
  </si>
  <si>
    <t>Varningen kan inte läggas till,</t>
  </si>
  <si>
    <t>ไม่สามารถเพิ่มการแจ้งเตือนได้</t>
  </si>
  <si>
    <t>Uyarı eklenemiyor,</t>
  </si>
  <si>
    <t>Không thể thêm cảnh báo,</t>
  </si>
  <si>
    <t>警报无法添加，</t>
  </si>
  <si>
    <t>pref_quick_action_summary</t>
  </si>
  <si>
    <t>Replace send button with quick action</t>
  </si>
  <si>
    <t>إستبدال زر الارسال بحركة سريعة</t>
  </si>
  <si>
    <t>Замяна на бутона за изпращане с бързо действие</t>
  </si>
  <si>
    <t>Reemplaça el botó d\'enviar per una acció ràpida</t>
  </si>
  <si>
    <t>Ersetze \"Senden\"-Schaltfläche durch Schnell-Tasten</t>
  </si>
  <si>
    <t>Cambiar el botón de enviar por botón de acción rápida</t>
  </si>
  <si>
    <t>Remplacer le bouton Envoyer par une action rapide.</t>
  </si>
  <si>
    <t>Substitúa o botón enviar con unha acción rápida</t>
  </si>
  <si>
    <t>Küldés gomb helyett választott funkciógomb</t>
  </si>
  <si>
    <t>Timpa tombol kirim dengan aksi cepat</t>
  </si>
  <si>
    <t>Sostituisci il tasto invio con un\'azione rapida</t>
  </si>
  <si>
    <t>送信ボタンをクイックアクションで置き換えます</t>
  </si>
  <si>
    <t>전송 버튼을 빠른 동작 버튼으로 교체</t>
  </si>
  <si>
    <t>Vervang verzendknop door snelle actie</t>
  </si>
  <si>
    <t>Zastąp przycisk wysyłania szybką akcją</t>
  </si>
  <si>
    <t>Substituir botão enviar com ação rápida</t>
  </si>
  <si>
    <t>Заменить кнопку отправки кнопкой быстрого действия</t>
  </si>
  <si>
    <t>Nahradiť tlačidlo poslať rýchlou akciou</t>
  </si>
  <si>
    <t>Замени дугме за слање брзом радњом</t>
  </si>
  <si>
    <t>Byt sänd-knappen mot snabbfunktion</t>
  </si>
  <si>
    <t>Замінити клавішу відправити швидкими діями</t>
  </si>
  <si>
    <t>Thay nút gửi với thao tác nhanh</t>
  </si>
  <si>
    <t>以快速動作替代發送按鈕</t>
  </si>
  <si>
    <t>tt_edgar_earnings_per_share_basic</t>
  </si>
  <si>
    <t>EPS (basic)</t>
  </si>
  <si>
    <t>الأرباح للسهم (أساسي)</t>
  </si>
  <si>
    <t>EPS (основен)</t>
  </si>
  <si>
    <t>EPS (základní)</t>
  </si>
  <si>
    <t>EPS (grundlæggende)</t>
  </si>
  <si>
    <t>Ergebnis je Aktie</t>
  </si>
  <si>
    <t>EPS (βασικό)</t>
  </si>
  <si>
    <t>Beneficio por acción (básico)</t>
  </si>
  <si>
    <t>EPS (perus)</t>
  </si>
  <si>
    <t>Gain par action (basic)</t>
  </si>
  <si>
    <t>ईपीएस (मूल)</t>
  </si>
  <si>
    <t>EPS (dasar)</t>
  </si>
  <si>
    <t>רווח למניה (בסיסי)</t>
  </si>
  <si>
    <t>EPS (基本)</t>
  </si>
  <si>
    <t>EPS(기본)</t>
  </si>
  <si>
    <t>EPS (asas)</t>
  </si>
  <si>
    <t>Winst per aandeel (basis)</t>
  </si>
  <si>
    <t>EPS (grunnleggende)</t>
  </si>
  <si>
    <t>Zysk na akcję (podstawowy)</t>
  </si>
  <si>
    <t>EPS (básico)</t>
  </si>
  <si>
    <t>EPS (de bază)</t>
  </si>
  <si>
    <t>Чистая прибыль на акцию</t>
  </si>
  <si>
    <t>EPS (základné)</t>
  </si>
  <si>
    <t>EPS (osnovno)</t>
  </si>
  <si>
    <t>Dobit po akciji (osnovna)</t>
  </si>
  <si>
    <t>EPS (grundläggande)</t>
  </si>
  <si>
    <t>EPS (พื้นฐาน)</t>
  </si>
  <si>
    <t>HBK (temel)</t>
  </si>
  <si>
    <t>EPS (cơ bản)</t>
  </si>
  <si>
    <t>基本每股收益</t>
  </si>
  <si>
    <t>omemo_fingerprint_selected_message</t>
  </si>
  <si>
    <t>OMEMO fingerprint of message</t>
  </si>
  <si>
    <t>بصمة OMEMO للرسالة</t>
  </si>
  <si>
    <t>Отпечатък OMEMO на съобщението</t>
  </si>
  <si>
    <t>Empremta digital OMEMO del missatge</t>
  </si>
  <si>
    <t>OMEMO-Fingerabdruck der Nachricht</t>
  </si>
  <si>
    <t>Huella digital OMEMO del mensaje</t>
  </si>
  <si>
    <t>Empreinte OMEMO du message</t>
  </si>
  <si>
    <t>Pegada OMEMO da mensaxe</t>
  </si>
  <si>
    <t>Az üzenet OMEMO ujjlenyomata</t>
  </si>
  <si>
    <t>Impronta OMEMO del messaggio</t>
  </si>
  <si>
    <t>メッセージの OMEMO フィンガープリント</t>
  </si>
  <si>
    <t>메세지의 OMEMO 핑거프린트</t>
  </si>
  <si>
    <t>OMEMO-vingerafdruk van bericht</t>
  </si>
  <si>
    <t>Odcisk OMEMO wiadomości</t>
  </si>
  <si>
    <t>Impressão digital OMEMO da mensagem</t>
  </si>
  <si>
    <t>OMEMO отпечаток сообщения</t>
  </si>
  <si>
    <t>OMEMO identifkátor správy</t>
  </si>
  <si>
    <t>ОМЕМО отисак поруке</t>
  </si>
  <si>
    <t>Meddelandets OMEMO-fingeravtryck</t>
  </si>
  <si>
    <t>Відбиток OMEMO повідомлення</t>
  </si>
  <si>
    <t>Dấu vân tay OMEMO của tin nhắn</t>
  </si>
  <si>
    <t>訊息的 OMEMO 指紋</t>
  </si>
  <si>
    <t>tt_pf_position_value</t>
  </si>
  <si>
    <t>評価額</t>
  </si>
  <si>
    <t>tt_performanceview</t>
  </si>
  <si>
    <t>Performance View</t>
  </si>
  <si>
    <t>عرض الأداء</t>
  </si>
  <si>
    <t>Изглед на производителността</t>
  </si>
  <si>
    <t>Zobrazení výkonu</t>
  </si>
  <si>
    <t>Vis Ydeevne</t>
  </si>
  <si>
    <t>Performanceansicht</t>
  </si>
  <si>
    <t>Προβολή απόδοσης</t>
  </si>
  <si>
    <t>Vista del rendimiento</t>
  </si>
  <si>
    <t>Tuottavuusnäkymä</t>
  </si>
  <si>
    <t>Affichage par performance</t>
  </si>
  <si>
    <t>प्रदर्शन व्यू</t>
  </si>
  <si>
    <t>Teljesítmény nézet</t>
  </si>
  <si>
    <t>Paparan Prestasi</t>
  </si>
  <si>
    <t>Vista di Prestazioni</t>
  </si>
  <si>
    <t>תצוגת ביצועים</t>
  </si>
  <si>
    <t>運用実績</t>
  </si>
  <si>
    <t>실적 보기</t>
  </si>
  <si>
    <t>Rendementsoverzicht</t>
  </si>
  <si>
    <t>Ytelsesvisning</t>
  </si>
  <si>
    <t>Przegląd wyników</t>
  </si>
  <si>
    <t>Relatório de desempenho</t>
  </si>
  <si>
    <t>Vizualizare Performanță</t>
  </si>
  <si>
    <t>Обзор результатов</t>
  </si>
  <si>
    <t>Zobrazenie výkonu</t>
  </si>
  <si>
    <t>Pogled uspešnosti</t>
  </si>
  <si>
    <t>Performanse</t>
  </si>
  <si>
    <t>Prestandavy</t>
  </si>
  <si>
    <t>ดูประสิทธิภาพการประมวลผล</t>
  </si>
  <si>
    <t>Performans Görünümü</t>
  </si>
  <si>
    <t>Chế độ xem hiệu suất</t>
  </si>
  <si>
    <t>表现视图</t>
  </si>
  <si>
    <t>&gt;表現概覽</t>
  </si>
  <si>
    <t>no_application_to_share_uri</t>
  </si>
  <si>
    <t>No application found to share URI</t>
  </si>
  <si>
    <t>تعذر العثور على تطبيق يُمكنُ بواسطته مشاركة الرابط</t>
  </si>
  <si>
    <t>Няма намерено приложение за споделяне на адреса</t>
  </si>
  <si>
    <t>No s\'ha trobat cap aplicació que comparteixi URI</t>
  </si>
  <si>
    <t>Keine Anwendung zum Teilen der URI gefunden</t>
  </si>
  <si>
    <t>No se ha encontrado ninguna aplicación para compartir la URI</t>
  </si>
  <si>
    <t>Aucune application trouvée pour partager l\'URI</t>
  </si>
  <si>
    <t>Non se atopou un aplicativo para compartir URI</t>
  </si>
  <si>
    <t>Nem találtunk URI-t használó alkalmazást</t>
  </si>
  <si>
    <t>Nessuna applicazione trovata per condividere l\'URI</t>
  </si>
  <si>
    <t>URI を共有するアプリケーションが見つかりません</t>
  </si>
  <si>
    <t>URI를 공유하는 응용 프로그램을 찾을 수 없습니다</t>
  </si>
  <si>
    <t>Geen applicatie om URI te delen</t>
  </si>
  <si>
    <t>Nie odnaleziono aplikacji skojarzonej z URI</t>
  </si>
  <si>
    <t>Não foi encontrada nenhuma aplicação para partilhar o URI</t>
  </si>
  <si>
    <t>Не найдено приложения для отправки</t>
  </si>
  <si>
    <t>Нема апликације за дељење веза</t>
  </si>
  <si>
    <t>Ingen applikation kunde hittas för att dela URI</t>
  </si>
  <si>
    <t>Не знайдено програми, щоб поділитися URI</t>
  </si>
  <si>
    <t>找不到可以分享網址(URI)的應用程式</t>
  </si>
  <si>
    <t>onboarding_stay_updated</t>
  </si>
  <si>
    <t>Stay updated</t>
  </si>
  <si>
    <t>Blijf op de hoogte</t>
  </si>
  <si>
    <t>Bliv opdateret</t>
  </si>
  <si>
    <t>Bleiben Sie auf dem Laufenden</t>
  </si>
  <si>
    <t>Manténgase actualizado</t>
  </si>
  <si>
    <t>Pysy ajan tasalla</t>
  </si>
  <si>
    <t>Restez informé</t>
  </si>
  <si>
    <t>Всегда в курсе событий</t>
  </si>
  <si>
    <t>Dapatkan info terkini</t>
  </si>
  <si>
    <t>Legyen naprakész</t>
  </si>
  <si>
    <t>Rimani aggiornato</t>
  </si>
  <si>
    <t>常に最新情報を得る</t>
  </si>
  <si>
    <t>업데이트를 받아보세요</t>
  </si>
  <si>
    <t>Ikuti perkembangan terkini</t>
  </si>
  <si>
    <t>Hold deg oppdatert</t>
  </si>
  <si>
    <t>Bądź na bieżąco</t>
  </si>
  <si>
    <t>Permaneça atualizado</t>
  </si>
  <si>
    <t>Budite u toku</t>
  </si>
  <si>
    <t>Håll dig uppdaterad</t>
  </si>
  <si>
    <t>Gelişmelerden haberdar olun</t>
  </si>
  <si>
    <t>最新消息早知道</t>
  </si>
  <si>
    <t>tt_performance_overview_mode</t>
  </si>
  <si>
    <t>Performance</t>
  </si>
  <si>
    <t>الأداء</t>
  </si>
  <si>
    <t>Производителност</t>
  </si>
  <si>
    <t>Výkon</t>
  </si>
  <si>
    <t>Ydeevne</t>
  </si>
  <si>
    <t>Wertentwicklung</t>
  </si>
  <si>
    <t>Απόδοση</t>
  </si>
  <si>
    <t>Rendimiento</t>
  </si>
  <si>
    <t>Tuottavuus</t>
  </si>
  <si>
    <t>प्रदर्शन</t>
  </si>
  <si>
    <t>Kinerja</t>
  </si>
  <si>
    <t>Prestazioni</t>
  </si>
  <si>
    <t>ביצועים</t>
  </si>
  <si>
    <t>パフォーマンス</t>
  </si>
  <si>
    <t>실적</t>
  </si>
  <si>
    <t>Prestasi</t>
  </si>
  <si>
    <t>Rendement</t>
  </si>
  <si>
    <t>Ytelse</t>
  </si>
  <si>
    <t>Wynik</t>
  </si>
  <si>
    <t>Rendimento</t>
  </si>
  <si>
    <t>Performanţă</t>
  </si>
  <si>
    <t>Результаты</t>
  </si>
  <si>
    <t>Izvedba</t>
  </si>
  <si>
    <t>Prestanda</t>
  </si>
  <si>
    <t>ประสิทธิภาพ</t>
  </si>
  <si>
    <t>Performans</t>
  </si>
  <si>
    <t>Hiệu suất</t>
  </si>
  <si>
    <t>表现</t>
  </si>
  <si>
    <t>&gt;表現</t>
  </si>
  <si>
    <t>no_active_contacts_empty_list</t>
  </si>
  <si>
    <t>No active contacts</t>
  </si>
  <si>
    <t>Keine aktiven Kontakte</t>
  </si>
  <si>
    <t>Sin contactos activos</t>
  </si>
  <si>
    <t>Aucun contact actif</t>
  </si>
  <si>
    <t>Nincs aktív kontakt.</t>
  </si>
  <si>
    <t>Нет активных контактов</t>
  </si>
  <si>
    <t>Nema aktivnih kontakata</t>
  </si>
  <si>
    <t>presence_chat</t>
  </si>
  <si>
    <t>Free for Chat</t>
  </si>
  <si>
    <t>جاهز للدردشة</t>
  </si>
  <si>
    <t>Свободен за разговор</t>
  </si>
  <si>
    <t>Lliure per xatejar</t>
  </si>
  <si>
    <t>Frei zum Chatten</t>
  </si>
  <si>
    <t>Libre para hablar</t>
  </si>
  <si>
    <t>Disponible</t>
  </si>
  <si>
    <t>Dispoñible para conversar</t>
  </si>
  <si>
    <t>Beszélgetésre kész</t>
  </si>
  <si>
    <t>Tersedia</t>
  </si>
  <si>
    <t>Disponibile a chattare</t>
  </si>
  <si>
    <t>いつでもチャットできます</t>
  </si>
  <si>
    <t>대화 가능</t>
  </si>
  <si>
    <t>Beschikbaar voor gesprek</t>
  </si>
  <si>
    <t>Chętny do rozmowy</t>
  </si>
  <si>
    <t>Disponível para conversar</t>
  </si>
  <si>
    <t>Свободен для общения</t>
  </si>
  <si>
    <t>Слободан за ћаскање</t>
  </si>
  <si>
    <t>Tillgänglig</t>
  </si>
  <si>
    <t>Вільний для розмови</t>
  </si>
  <si>
    <t>免費聊天室</t>
  </si>
  <si>
    <t>unpublish_pgp_message</t>
  </si>
  <si>
    <t>Are you sure you want to remove your OpenPGP public key from your presence announcement?\nYour contacts will no longer be able to send you OpenPGP encrypted messages.</t>
  </si>
  <si>
    <t>Наистина ли искате да премахнете своя публичен OpenPGP ключ от известяването си за присъствие?\nКонтактите Ви вече няма да могат да Ви изпращат съобщение, шифровани чрез OpenPGP.</t>
  </si>
  <si>
    <t>Esteu segur que voleu eliminar la vostra clau pública d\'OpenPGP de l\'anunci de la vostra presència?\nEls vostres contactes ja no podran enviar missatges xifrats amb OpenPGP.</t>
  </si>
  <si>
    <t>Bist du sicher, dass du deinen öffentlichen OpenPGP-Schlüssel aus deiner Anwesenheitsmitteilung entfernen möchtest?\nDeine Kontakte können dir dann keine OpenPGP-verschlüsselten Nachrichten senden.</t>
  </si>
  <si>
    <t>¿Estás seguro de que quieres eliminar tu clave pública OpenPGP de tu anuncio de presencia?\nTus contactos no podrán enviarte mensajes cifrados con OpenPGP.</t>
  </si>
  <si>
    <t>Êtes vous sûr de vouloir supprimer votre clef publique OpenPGP de votre annonce de présence ?\nVos contacts ne pourront plus vous envoyer de message chiffrés avec OpenPGP.</t>
  </si>
  <si>
    <t>Está seguro de que quere eliminar a súa chave pública OpenPGP do seu anuncio de presencia? \nOs seus contactos non poderán enviarlle mensaxes cifradas con OpenPGP.</t>
  </si>
  <si>
    <t>Biztosan eltávolítja az OpenPGP nyilvános kulcsát a jelenléti bejelentésből?\nA kapcsolatai többé nem tudnak OpenPGP titkosított üzeneteket küldeni Önnek.</t>
  </si>
  <si>
    <t>Sei sicuro di volere rimuovere la tua chiave pubblica OpenPGP dalla dichiarazione di presenza?\nI tuoi contatti non potranno più inviarti messaggi cifrati con OpenPGP.</t>
  </si>
  <si>
    <t>在席通知から OpenPGP 公開鍵を削除してもよろしいですか?\n連絡先はあなたに OpenPGP 暗号化メッセージを送信できなくなります。</t>
  </si>
  <si>
    <t>Weet je zeker dat je je OpenPGP-publieke sleutel uit je aanwezigheidsaankondiging wil verwijderen?\nJe contacten zullen je geen OpenPGP-versleutelde berichten meer kunnen sturen.</t>
  </si>
  <si>
    <t>Czy na pewno chcesz usunąć klucz publiczny OpenPGP ze swojej propagacji obecności?\nTwoje kontakty nie będą już mogły wysyłać Ci wiadomości zaszyfrowanych OpenPGP.</t>
  </si>
  <si>
    <t>Вы действительно хотите удалить ваш OpenPGP публичный ключ из опубликованных?\nВаши собеседники не смогут больше отправлять вам зашифрованные OpenPGP сообщения.</t>
  </si>
  <si>
    <t>Желите ли заиста да уклоните ваш ОпенПГП кључ из ваше објаве присутности?\nВаши контакти више неће моћи да вам шаљу ОпенПГП шифроване поруке.</t>
  </si>
  <si>
    <t>Är du säker på att du vill ta bort din OpenPGP publik nyckel från din tillgänglighetsuppdatering?\nDina kontakter kommer inte längre att kunna skicka dig OpenPGP-krypterade meddelande.</t>
  </si>
  <si>
    <t>Ви впевнені, що хочете видалити ваш публічний ключ OpenPGP з вашого оголошення про присутність?\nВаші контакти більше не зможуть надсилати вам повідомлення, зашифровані OpenPGP.</t>
  </si>
  <si>
    <t>確定要移除上線狀態中的 OpenPGP 公開金鑰嗎？\n這樣一來，你的聯絡人就無法傳送以 OpenPGP 加密的訊息給你了。</t>
  </si>
  <si>
    <t>show_ticker_third_line</t>
  </si>
  <si>
    <t>Show third Ticker line</t>
  </si>
  <si>
    <t>عرض خط شريط التداول الثالث</t>
  </si>
  <si>
    <t>Показване на трета Тикер линия</t>
  </si>
  <si>
    <t>Zobrazit třetí řádek tickeru</t>
  </si>
  <si>
    <t>Vis tredje Ticker-linje</t>
  </si>
  <si>
    <t>Dritte Tickerzeile anzeigen</t>
  </si>
  <si>
    <t>Εμφάνιση τρίτης γραμμής Ticker</t>
  </si>
  <si>
    <t>Mostrar tercera línea de Ticker</t>
  </si>
  <si>
    <t>Näytä kolmas tikkeririvi</t>
  </si>
  <si>
    <t>montrer troisième ligne de symbole boursier</t>
  </si>
  <si>
    <t>तीसरी टिकर लाइन को प्रदर्शित करें</t>
  </si>
  <si>
    <t>mutasd a harmadik Ticker sort</t>
  </si>
  <si>
    <t>Tampilkan garis tie ketiga</t>
  </si>
  <si>
    <t>Mostra La terza riga dei dati scorrevoli</t>
  </si>
  <si>
    <t>הצג קו טיקר שלישי</t>
  </si>
  <si>
    <t>3番目のティッカーラインを表示する</t>
  </si>
  <si>
    <t>세 번째 티커 줄 표시</t>
  </si>
  <si>
    <t>Tunjukkan barisan Pengira ketiga</t>
  </si>
  <si>
    <t>Toon derde Ticker-regel</t>
  </si>
  <si>
    <t>Vis tredje ticker-linje</t>
  </si>
  <si>
    <t>Pokaż trzecią linię tickera</t>
  </si>
  <si>
    <t>Mostrar terceira linha de Ticker</t>
  </si>
  <si>
    <t>Afișează a treia linie a Telegrafului</t>
  </si>
  <si>
    <t>Показать третью строку тикера</t>
  </si>
  <si>
    <t>Zobraziť tretí riadok tickera</t>
  </si>
  <si>
    <t>Pokaži tretjo vrstico Ticker</t>
  </si>
  <si>
    <t>Prikaži treću Tiker liniju</t>
  </si>
  <si>
    <t>Visa tredje Ticker-rad</t>
  </si>
  <si>
    <t>แสดงเส้นที่ 3 ของ Ticker</t>
  </si>
  <si>
    <t>Üçüncü Takip Ekranı hattını göster</t>
  </si>
  <si>
    <t>Hiển thị dòng Ticker thứ ba</t>
  </si>
  <si>
    <t>显示第三个第二个自动收报机纸条行</t>
  </si>
  <si>
    <t>topic</t>
  </si>
  <si>
    <t>Topic</t>
  </si>
  <si>
    <t>Тема</t>
  </si>
  <si>
    <t>Assumpte</t>
  </si>
  <si>
    <t>Thema</t>
  </si>
  <si>
    <t>Asunto</t>
  </si>
  <si>
    <t>Sujet</t>
  </si>
  <si>
    <t>Téma</t>
  </si>
  <si>
    <t>Argomento</t>
  </si>
  <si>
    <t>Onderwerp</t>
  </si>
  <si>
    <t>Temat</t>
  </si>
  <si>
    <t>Tópico</t>
  </si>
  <si>
    <t>location</t>
  </si>
  <si>
    <t>Location</t>
  </si>
  <si>
    <t>الموقع</t>
  </si>
  <si>
    <t>Местоположение</t>
  </si>
  <si>
    <t>Localització</t>
  </si>
  <si>
    <t>Standort</t>
  </si>
  <si>
    <t>Ubicación</t>
  </si>
  <si>
    <t>Localización</t>
  </si>
  <si>
    <t>Hely</t>
  </si>
  <si>
    <t>Lokasi</t>
  </si>
  <si>
    <t>位置</t>
  </si>
  <si>
    <t>Locatie</t>
  </si>
  <si>
    <t>Lokalizacja</t>
  </si>
  <si>
    <t>Localização</t>
  </si>
  <si>
    <t>Poloha</t>
  </si>
  <si>
    <t>Локација</t>
  </si>
  <si>
    <t>Місцезнаходження</t>
  </si>
  <si>
    <t>set_live_wallpaper</t>
  </si>
  <si>
    <t>SET LIVE WALLPAPER</t>
  </si>
  <si>
    <t>تعيين خلفية مباشرة</t>
  </si>
  <si>
    <t>ЗАДАЙ ЖИВ ТАПЕТ</t>
  </si>
  <si>
    <t>NASTAVIT ANIMOVANOU TAPETU</t>
  </si>
  <si>
    <t>INDSTIL LIVE TAPET</t>
  </si>
  <si>
    <t>LIVE-WALLPAPER EINRICHTEN</t>
  </si>
  <si>
    <t>ΟΡΙΣΜΟΣ ΖΩΝΤΑΝΗΣ ΤΑΠΕΤΣΑΡΙΑΣ</t>
  </si>
  <si>
    <t>Establecer fondo de pantalla en vivo</t>
  </si>
  <si>
    <t>ASETA LIVE-TAUSTAKUVA</t>
  </si>
  <si>
    <t>définir le fond d\'écran en directe</t>
  </si>
  <si>
    <t>लाइव वॉलपेपर को सेट करें</t>
  </si>
  <si>
    <t>Élő háttérkép beállítása</t>
  </si>
  <si>
    <t>TETAPKAN KERTAS DINDING LANGSUNG</t>
  </si>
  <si>
    <t>Mettere il Live Sfondo</t>
  </si>
  <si>
    <t>הגדר תמונת רקע חיה</t>
  </si>
  <si>
    <t>실시간 월페이퍼 설정</t>
  </si>
  <si>
    <t>STEL LIVE WALLPAPER IN</t>
  </si>
  <si>
    <t>ANGI LIVE BAKGRUNNSBILDE</t>
  </si>
  <si>
    <t>Ustaw tapetę</t>
  </si>
  <si>
    <t>DEFINIR PAPEL DE PAREDE AO VIVO</t>
  </si>
  <si>
    <t>SETEAZĂ IMAGINEA DE FUNDAL LIVE</t>
  </si>
  <si>
    <t>НАСТРОИТЬ ЖИВЫЕ ОБОИ</t>
  </si>
  <si>
    <t>NASTAVIŤ ŽIVÚ TAPETU</t>
  </si>
  <si>
    <t>NASTAVITE ŽIVO OZADJE</t>
  </si>
  <si>
    <t>POSTAVI LIVE TAPET</t>
  </si>
  <si>
    <t>STÄLL IN LIVE-BAKGRUND</t>
  </si>
  <si>
    <t>ตั้งเป็นไลฟ์วอลเปเปอร์</t>
  </si>
  <si>
    <t>CANLI DUVAR KAĞIDI SEÇ</t>
  </si>
  <si>
    <t>ĐẶT HÌNH NỀN ĐỘNG</t>
  </si>
  <si>
    <t>选择动态壁纸</t>
  </si>
  <si>
    <t>pref_use_share_location_plugin</t>
  </si>
  <si>
    <t>Share Location Plugin</t>
  </si>
  <si>
    <t>Разширение за споделяне на местоположението</t>
  </si>
  <si>
    <t>Plugin per Compartir Ubicació</t>
  </si>
  <si>
    <t>Plugin zum Standort teilen</t>
  </si>
  <si>
    <t>Plugin para Compartir Ubicación</t>
  </si>
  <si>
    <t>Plugin de partage de localisation</t>
  </si>
  <si>
    <t>Engadido para Compartir Localización</t>
  </si>
  <si>
    <t>Helymegosztás bővítmény</t>
  </si>
  <si>
    <t>Plugin Condivisione Posizione</t>
  </si>
  <si>
    <t>Plug-in voor delen van locatie</t>
  </si>
  <si>
    <t>Wtyczka Udostępniania Lokalizacji</t>
  </si>
  <si>
    <t>tt_volatility_3years</t>
  </si>
  <si>
    <t>Volatility 3 years</t>
  </si>
  <si>
    <t>تقلّب الأسعار 3 سنوات</t>
  </si>
  <si>
    <t>Волатилност 3 години</t>
  </si>
  <si>
    <t>Volatilita 3 roky</t>
  </si>
  <si>
    <t>Volatilitet 3 år</t>
  </si>
  <si>
    <t>Volatilität 3 Jahre</t>
  </si>
  <si>
    <t>Μεταβλητότητα 3 ετών</t>
  </si>
  <si>
    <t>Volatilidad 3 años</t>
  </si>
  <si>
    <t>Volatiliteetti 3 vuotta</t>
  </si>
  <si>
    <t>Volatilité 3 ans</t>
  </si>
  <si>
    <t>परिवर्तनशील 3 वर्ष</t>
  </si>
  <si>
    <t>3 évs volatilitás</t>
  </si>
  <si>
    <t>Volatilitas 3 tahun</t>
  </si>
  <si>
    <t>Volatilità 3 anni</t>
  </si>
  <si>
    <t>תנודתיות 3 שנים</t>
  </si>
  <si>
    <t>3年間ボラリティ</t>
  </si>
  <si>
    <t>변동성 3년</t>
  </si>
  <si>
    <t>Volatiliti 3 tahun</t>
  </si>
  <si>
    <t>Volatiliteit 3 ​​jaar</t>
  </si>
  <si>
    <t>3-års flyktighet</t>
  </si>
  <si>
    <t>Zmienność 3 letnia</t>
  </si>
  <si>
    <t>Volatilidade 3 anos</t>
  </si>
  <si>
    <t>Volatilitate 3 ani</t>
  </si>
  <si>
    <t>Волатильность 3 года</t>
  </si>
  <si>
    <t>Volatilita na 3 roky</t>
  </si>
  <si>
    <t>Volatilnost 3 godine</t>
  </si>
  <si>
    <t>ความผันผวน 3 ปี</t>
  </si>
  <si>
    <t>Volatilite 3 yıl</t>
  </si>
  <si>
    <t>Biến động 3 năm</t>
  </si>
  <si>
    <t>3年波动</t>
  </si>
  <si>
    <t>foreground_service_channel_name</t>
  </si>
  <si>
    <t>Foreground service</t>
  </si>
  <si>
    <t>Услуга на преден план</t>
  </si>
  <si>
    <t>Vordergrunddienst</t>
  </si>
  <si>
    <t>Servicio en primer plano</t>
  </si>
  <si>
    <t>Service au premier plan</t>
  </si>
  <si>
    <t>Servizo en segundo plano</t>
  </si>
  <si>
    <t>Előtér szolgáltatás</t>
  </si>
  <si>
    <t>Servizio in primo piano</t>
  </si>
  <si>
    <t>Voorgronddienst</t>
  </si>
  <si>
    <t>Usługa na pierwszym planie</t>
  </si>
  <si>
    <t>load_more_messages</t>
  </si>
  <si>
    <t>Load more messages</t>
  </si>
  <si>
    <t>أظهر أكثر</t>
  </si>
  <si>
    <t>Зареждане на още съобщения</t>
  </si>
  <si>
    <t>Carregueu més missatges</t>
  </si>
  <si>
    <t>Weitere Nachrichten laden</t>
  </si>
  <si>
    <t>Cargar más mensajes</t>
  </si>
  <si>
    <t>Charger plus de messages</t>
  </si>
  <si>
    <t>Cargar máis mensaxes</t>
  </si>
  <si>
    <t>További üzenetek betöltése</t>
  </si>
  <si>
    <t>Carica altri messaggi</t>
  </si>
  <si>
    <t>さらにメッセージをロード</t>
  </si>
  <si>
    <t>메세지 더 불러오기</t>
  </si>
  <si>
    <t>Laad meer berichten</t>
  </si>
  <si>
    <t>Załaduj wiecej wiadomości</t>
  </si>
  <si>
    <t>Carregar mais mensagens</t>
  </si>
  <si>
    <t>Загрузить больше сообщений</t>
  </si>
  <si>
    <t>Учитај још порука</t>
  </si>
  <si>
    <t>Ladda fler meddelanden</t>
  </si>
  <si>
    <t>Завантажити більше повідомлень</t>
  </si>
  <si>
    <t>載入更多訊息</t>
  </si>
  <si>
    <t>disable_encryption_message</t>
  </si>
  <si>
    <t>Are you sure you want to disable OMEMO encryption for this conversation?\nThis will allow your server administrator to read your messages, but it might be the only way to communicate with people using outdated clients.</t>
  </si>
  <si>
    <t>Наистина ли искате да изключите шифроването чрез OMEMO за този разговор?\nТова ще позволи на администратора Ви да чете съобщенията Ви, но пък най-вероятно е единственият начин за общуване с хората, използващи стари клиенти.</t>
  </si>
  <si>
    <t>Estàs segur que vols desactivar el xifratge OMEMO per a aquesta conversa?\nAixò permetrà que l\'administrador del servidor llegeixi els missatges, però pot ser l\'única forma de comunicar-se amb persones que utilitzin clients obsolets.</t>
  </si>
  <si>
    <t>Bist du sicher, dass du die OMEMO-Verschlüsselung für dieses Gespräch deaktivieren möchtest?\nDies wird es deinem Serveradministrator ermöglichen, deine Nachrichten zu lesen, aber es könnte die einzige Möglichkeit sein, mit Personen zu kommunizieren, die veraltete Clients verwenden.</t>
  </si>
  <si>
    <t>¿Estás seguro de que quieres deshabilitar el cifrado OMEMO para esta conversación?\nEsto permitiría al administrador de tu servidor leer tus mensajes, aunque esta podría ser la única via de comunicación con personas que usen clientes desactualizados.</t>
  </si>
  <si>
    <t>Êtes-vous sûr de vouloir désactiver le chiffrement OMEMO pour cette discussion ?\nCeci permettra à l\'administrateur de votre serveur de lire vos messages, mais cela peut être le seul moyen de communiquer avec des personnes utilisant un vieux client.</t>
  </si>
  <si>
    <t>¿Está segura de que quere desactivar o cifrado OMEMO para esta conversación? Isto permitirá que o administrador do seu servidor lea as súas mensaxes, pero pode ser a única forma de comunicarse con persoas que usan clientes obsoletos.</t>
  </si>
  <si>
    <t>Biztosan le szeretné tiltani az OMEMO titkosítást ehhez a beszélgetéshez?\nEz lehetővé fogja tenni a kiszolgáló rendszergazdájának, hogy elolvassa az üzeneteket(ha rosszat akar); de ez lehet az egyetlen módja annak, hogy kommunikáljon az elavult ügyfeleket használó emberekkel.</t>
  </si>
  <si>
    <t>Sei sicuro di disattivare la cifratura OMEMO per questa conversazione?\nCiò permetterà all\'amministratore del server di leggere i tuoi messaggi, ma potrebbe essere il solo modo di comunicare con persone che usano client obsoleti.</t>
  </si>
  <si>
    <t>Weet je zeker dat je OMEMO-versleuteling voor dit gesprek wil uitschakelen?\nDit zal je serverbeheerder de mogelijkheid geven je berichten in te kijken, maar is mogelijk de enige manier om te communiceren met anderen die gebruik maken van verouderde cliënten.</t>
  </si>
  <si>
    <t>Czy na pewno chcesz wyłączyć szyfrowanie OMEMO dla tej konwersacji? Administrator twojego serwera będzie mógł czytać twoje wiadomości, ale może to być jedyny sposób aby komunikować się z ludźmi korzystającymi ze starych klientów.</t>
  </si>
  <si>
    <t>certificate_does_not_contain_jid</t>
  </si>
  <si>
    <t>Certificate does not contain a Jabber ID</t>
  </si>
  <si>
    <t>الشهادة لا تحتوي على مُعرّف جابر ID</t>
  </si>
  <si>
    <t>Сертификатът не съдържа Jabber идентификатор</t>
  </si>
  <si>
    <t>El certificat no conté una identificació de Jabber</t>
  </si>
  <si>
    <t>Zertifikat enthält keine Jabber-ID</t>
  </si>
  <si>
    <t>El certificado no contiene un identificador Jabber</t>
  </si>
  <si>
    <t>Le certificat ne contient pas d\'ID Jabber</t>
  </si>
  <si>
    <t>O certificado non contén un ID Jabber</t>
  </si>
  <si>
    <t>A tanúsítvány nem tartalmaz Jabber azonosítót</t>
  </si>
  <si>
    <t>Il certificato non contiene un ID Jabber</t>
  </si>
  <si>
    <t>証明書に Jabber ID が含まれていません</t>
  </si>
  <si>
    <t>Certificaat bevat geen Jabber-ID</t>
  </si>
  <si>
    <t>Certyfikat nie zawiera Jabber ID</t>
  </si>
  <si>
    <t>Сертификат не содержит Jabber ID</t>
  </si>
  <si>
    <t>Сертификат не садржи Џабер ИД</t>
  </si>
  <si>
    <t>Сертифікат не містить ідентифікатора Jabber ID</t>
  </si>
  <si>
    <t>tt_daterange_3years</t>
  </si>
  <si>
    <t>3 Yıl</t>
  </si>
  <si>
    <t>contacts_have_read_up_to_this_point</t>
  </si>
  <si>
    <t>%s have read up to this point</t>
  </si>
  <si>
    <t>لقد قرأ %s الرسائل إلى غاية هذا السطر</t>
  </si>
  <si>
    <t>%s човека са прочели до тук</t>
  </si>
  <si>
    <t>%s han llegit fins aquí</t>
  </si>
  <si>
    <t>%s haben bis zu diesem Punkt gelesen</t>
  </si>
  <si>
    <t>%s han leído hasta aquí</t>
  </si>
  <si>
    <t>%s a tout lu jusqu\'ici</t>
  </si>
  <si>
    <t>%s leu ate este punto</t>
  </si>
  <si>
    <t>%seddig olvasta</t>
  </si>
  <si>
    <t>%s ha letto fino a questo punto</t>
  </si>
  <si>
    <t>%s hebben tot hier gelezen</t>
  </si>
  <si>
    <t>%s przeczytali do tego miejsca</t>
  </si>
  <si>
    <t>%s прочитали сообщения до этого момента</t>
  </si>
  <si>
    <t>%s је прочитао/ла довде</t>
  </si>
  <si>
    <t>switzerland</t>
  </si>
  <si>
    <t>Switzerland</t>
  </si>
  <si>
    <t>Schweiz</t>
  </si>
  <si>
    <t>Suiza</t>
  </si>
  <si>
    <t>Suisse</t>
  </si>
  <si>
    <t>Швейцария</t>
  </si>
  <si>
    <t>Švajcarska</t>
  </si>
  <si>
    <t>tt_interest_rate</t>
  </si>
  <si>
    <t>Interest rate</t>
  </si>
  <si>
    <t>سعر الفائدة</t>
  </si>
  <si>
    <t>Лихвен процент</t>
  </si>
  <si>
    <t>Úroková sazba</t>
  </si>
  <si>
    <t>Rentesats</t>
  </si>
  <si>
    <t>Kupon-Höhe</t>
  </si>
  <si>
    <t>Επιτόκιο</t>
  </si>
  <si>
    <t>Tasa de interés</t>
  </si>
  <si>
    <t>Korko</t>
  </si>
  <si>
    <t>Taux d\'intérêt</t>
  </si>
  <si>
    <t>ब्याज दर</t>
  </si>
  <si>
    <t>Kamat</t>
  </si>
  <si>
    <t>Tingkat</t>
  </si>
  <si>
    <t>Tasso d\'interesse</t>
  </si>
  <si>
    <t>שיעור ריבית</t>
  </si>
  <si>
    <t>金利</t>
  </si>
  <si>
    <t>금리</t>
  </si>
  <si>
    <t>Kadar faedah</t>
  </si>
  <si>
    <t>Rente</t>
  </si>
  <si>
    <t>Stopa oprocentowania</t>
  </si>
  <si>
    <t>Taxa de juro</t>
  </si>
  <si>
    <t>Rata dobânzii</t>
  </si>
  <si>
    <t>Процентная ставка</t>
  </si>
  <si>
    <t>Úroková sadzba</t>
  </si>
  <si>
    <t>Kamatna stopa</t>
  </si>
  <si>
    <t>Ränta</t>
  </si>
  <si>
    <t>อัตราดอกเบี้ย</t>
  </si>
  <si>
    <t>Faiz oranı</t>
  </si>
  <si>
    <t>Lãi suất</t>
  </si>
  <si>
    <t>利率</t>
  </si>
  <si>
    <t>symbol_detail_overview_popup_body_short</t>
  </si>
  <si>
    <t>Swipe for more information such as constituents and ratios!</t>
  </si>
  <si>
    <t>مرر لمزيد من المعلومات مثل المكونات والنسب!</t>
  </si>
  <si>
    <t>Плъзнете с пръст за повече информация като компоненти и съотношения!</t>
  </si>
  <si>
    <t>Přejetím prstem získáte další informace, například složky a poměry!</t>
  </si>
  <si>
    <t>Stryg for at få flere oplysninger, f.eks. bestanddele og forhold!</t>
  </si>
  <si>
    <t>Wischen Sie für mehr Informationen, wie Indexbestandteile und Kennzahlen!</t>
  </si>
  <si>
    <t>Σύρετε για περισσότερες πληροφορίες, όπως συστατικά και αναλογίες!</t>
  </si>
  <si>
    <t>¡Deslice para más información sobre valores asociados y ratios!</t>
  </si>
  <si>
    <t>Pyyhkäisemällä lisätietoja, kuten osakkaat ja suhteet!</t>
  </si>
  <si>
    <t>Balayez vers la gauche pour plus d\'informations comme les constituants et les ratios!</t>
  </si>
  <si>
    <t>घटक और अनुपात जैसी अधिक जानकारी के लिए स्वाइप करें!</t>
  </si>
  <si>
    <t>Csúsztassa el még több információért, pl komponensekért, arányszámokért.</t>
  </si>
  <si>
    <t>Geser untuk informasi lebih lanjut seperti elemen dan rasio!</t>
  </si>
  <si>
    <t>Swipe per più informazioni come i costituenti e rapporti.</t>
  </si>
  <si>
    <t>החלק למידע נוסף כגון חברים ויחסים!</t>
  </si>
  <si>
    <t>構成や比率などの詳細については、スワイプしてください！</t>
  </si>
  <si>
    <t>구성 및 비율과 같은 자세한 정보를 보려면 옆으로 미세요!</t>
  </si>
  <si>
    <t>Leret untuk maklumat lanjut seperti unsur dan nisbah!</t>
  </si>
  <si>
    <t>Veeg voor meer informatie, zoals bestanddelen en ratio\'s!</t>
  </si>
  <si>
    <t>Sveip for mer informasjon som bestanddeler og forholdstall!</t>
  </si>
  <si>
    <t>Przewiń dla dalszych informacji takich jak wskaźniki.</t>
  </si>
  <si>
    <t>Deslize para mais informação, tais como constituintes e proporções!</t>
  </si>
  <si>
    <t>Glisează pentru mai multe informații, cum ar fi componentele și raporturile!</t>
  </si>
  <si>
    <t>Проведите по экрану налево для дополнительной информации, как например, компоненты и коэффициенты!</t>
  </si>
  <si>
    <t>Potiahnutím získate ďalšie informácie, napríklad o zmocniteľoch a pomeroch!</t>
  </si>
  <si>
    <t>Povuci levo za još informacija kao što su konstituenti i racija!</t>
  </si>
  <si>
    <t>Svep för mer information som komponenter och förhållanden!</t>
  </si>
  <si>
    <t>ปัดเพื่อดูข้อมูลเพิ่มเติม เช่น การคำนวณและอัตราส่วน!</t>
  </si>
  <si>
    <t>Bileşenler ve oranlar gibi daha fazla bilgi için kaydırın!</t>
  </si>
  <si>
    <t>Vuốt để biết thêm thông tin như các thành phần và hệ số!</t>
  </si>
  <si>
    <t>hw</t>
  </si>
  <si>
    <t>on_boarding_message_1_1_huawei_insert</t>
  </si>
  <si>
    <t>HUAWEI Assistant</t>
  </si>
  <si>
    <t>مساعدك HUAWEI</t>
  </si>
  <si>
    <t>HUAWEI асистент</t>
  </si>
  <si>
    <t>Asistent HUAWEI</t>
  </si>
  <si>
    <t>HUAWEI Assistent</t>
  </si>
  <si>
    <t>Βοηθός HUAWEI</t>
  </si>
  <si>
    <t>HUAWEI-avustaja</t>
  </si>
  <si>
    <t>Assistant HUAWEI</t>
  </si>
  <si>
    <t>HUAWEI सहायक</t>
  </si>
  <si>
    <t>HUAWEI asszisztens</t>
  </si>
  <si>
    <t>Asisten HUAWEI</t>
  </si>
  <si>
    <t>Assistente rapido</t>
  </si>
  <si>
    <t>עוזר HUAWEI</t>
  </si>
  <si>
    <t>HUAWEI 어시스턴트</t>
  </si>
  <si>
    <t>HUAWEI-assistent</t>
  </si>
  <si>
    <t>Assistente HUAWEI</t>
  </si>
  <si>
    <t>HUAWEI pomočnik</t>
  </si>
  <si>
    <t>ผู้ช่วยอัจริยะ HUAWEI</t>
  </si>
  <si>
    <t>HUAWEI Asistanı</t>
  </si>
  <si>
    <t>Trợ lý HUAWEI</t>
  </si>
  <si>
    <t>华为助手</t>
  </si>
  <si>
    <t>tt_low</t>
  </si>
  <si>
    <t>Low</t>
  </si>
  <si>
    <t>منخفض</t>
  </si>
  <si>
    <t>Ниско</t>
  </si>
  <si>
    <t>Nízký</t>
  </si>
  <si>
    <t>Lav</t>
  </si>
  <si>
    <t>Tief</t>
  </si>
  <si>
    <t>Χαμηλός</t>
  </si>
  <si>
    <t>Mín</t>
  </si>
  <si>
    <t>Matala</t>
  </si>
  <si>
    <t>Bas</t>
  </si>
  <si>
    <t>निम्न</t>
  </si>
  <si>
    <t>Min</t>
  </si>
  <si>
    <t>Rendah</t>
  </si>
  <si>
    <t>Basso</t>
  </si>
  <si>
    <t>נמוך</t>
  </si>
  <si>
    <t>安値</t>
  </si>
  <si>
    <t>낮음</t>
  </si>
  <si>
    <t>Laag</t>
  </si>
  <si>
    <t>Scăzut</t>
  </si>
  <si>
    <t>Мин</t>
  </si>
  <si>
    <t>Nízky</t>
  </si>
  <si>
    <t>Nizek</t>
  </si>
  <si>
    <t>Låg</t>
  </si>
  <si>
    <t>ต่ำ</t>
  </si>
  <si>
    <t>Düşük</t>
  </si>
  <si>
    <t>Đáy</t>
  </si>
  <si>
    <t>低的</t>
  </si>
  <si>
    <t>&gt;低的</t>
  </si>
  <si>
    <t>click_back_again_to_exit</t>
  </si>
  <si>
    <t>Please click BACK again to exit</t>
  </si>
  <si>
    <t>الرجاء النقر فوق خيار رجوع مرة أخرى للخروج</t>
  </si>
  <si>
    <t>Моля, щракнете отново НАЗАД, за да излезете</t>
  </si>
  <si>
    <t>Opětovným kliknutím na ZPĚT opusíte nabídku</t>
  </si>
  <si>
    <t>Klik på TILBAGE igen for at afslutte</t>
  </si>
  <si>
    <t>Bitte klicken Sie auf zurück um auszusteigen</t>
  </si>
  <si>
    <t>Κάντε κλικ ξανά στο BACK για έξοδο</t>
  </si>
  <si>
    <t>Para salir haga click de nuevo en VOLVER</t>
  </si>
  <si>
    <t>Napsauta uudelleen TAKAISIN poistuaksesi</t>
  </si>
  <si>
    <t>Cliquer de nouveau sur RETOUR pour quitter</t>
  </si>
  <si>
    <t>कृपया बाहर निकलने के लिए दोबारा BACK क्लिक करें</t>
  </si>
  <si>
    <t>A kilépéshez kattintson a "vissza" gombra.</t>
  </si>
  <si>
    <t>Silahkan klik KEMBALI untuk keluar</t>
  </si>
  <si>
    <t>Clicca di nuovo su INDIETRO per uscire</t>
  </si>
  <si>
    <t>אנא לחץ שוב על "חזרה" כדי לצאת</t>
  </si>
  <si>
    <t>退出するにはもう一度BACKをクリックしてください</t>
  </si>
  <si>
    <t>종료하려면 뒤로를 다시 누르세요</t>
  </si>
  <si>
    <t>Sila klik KEMBALI semula untuk keluar</t>
  </si>
  <si>
    <t>druk aub nogmaals op TERUG om te verlaten</t>
  </si>
  <si>
    <t>Klikk på TILBAKE igjen for å avslutte</t>
  </si>
  <si>
    <t>Kliknij ponownie POWRÓT aby wyjść</t>
  </si>
  <si>
    <t>Por favor, clique em BACK novamente para sair</t>
  </si>
  <si>
    <t>Fă clic din nou pe ÎNAPOI pentru a ieși</t>
  </si>
  <si>
    <t>Нажмите кнопку BACK еще раз, чтобы выйти</t>
  </si>
  <si>
    <t>Opätovným kliknutím na SPÄŤ ukončite program</t>
  </si>
  <si>
    <t>Za izhod kliknite znova NAZAJ</t>
  </si>
  <si>
    <t>Pritisnite BACK još jednom za izlazak</t>
  </si>
  <si>
    <t>Klicka på TILLBAKA igen för att avsluta</t>
  </si>
  <si>
    <t>คลิกกลับอีกครั้งเพื่อออก</t>
  </si>
  <si>
    <t>Lütfen çıkmak için tekrar GERİ seçeneğine tıklayın</t>
  </si>
  <si>
    <t>Vui lòng nhấn TRỞ LẠI lần nữa để thoát</t>
  </si>
  <si>
    <t>再接一下退出</t>
  </si>
  <si>
    <t>temporarily_unavailable</t>
  </si>
  <si>
    <t>Temporarily unavailable. Try again later.</t>
  </si>
  <si>
    <t>Временно недостъпно. Опитайте отново по-късно.</t>
  </si>
  <si>
    <t>Vorübergehend nicht verfügbar. Versuche es später noch einmal.</t>
  </si>
  <si>
    <t>Temporalmente no disponible. Inténtalo más tarde.</t>
  </si>
  <si>
    <t>Non dispoñible temporalmente. Inténteo máis tarde.</t>
  </si>
  <si>
    <t>Ideiglenesen nem elérhető. Próbáld újra később.</t>
  </si>
  <si>
    <t>Temporaneamente non disponibile. Riprova più tardi.</t>
  </si>
  <si>
    <t>Tijdelijk niet beschikbaar; probeer het later opnieuw.</t>
  </si>
  <si>
    <t>Tymczasowo niedostępne. Spróbuj później.</t>
  </si>
  <si>
    <t>tt_line_weight</t>
  </si>
  <si>
    <t>line weight</t>
  </si>
  <si>
    <t>وزن الخط</t>
  </si>
  <si>
    <t>плътност на кривата</t>
  </si>
  <si>
    <t>váha čáry</t>
  </si>
  <si>
    <t>linjevægt</t>
  </si>
  <si>
    <t>Linienstärke</t>
  </si>
  <si>
    <t>βάρος γραμμής</t>
  </si>
  <si>
    <t>Line weight</t>
  </si>
  <si>
    <t>Viivan paksuus</t>
  </si>
  <si>
    <t>Epaisseur des traits</t>
  </si>
  <si>
    <t>लाइन वजन</t>
  </si>
  <si>
    <t>berat garis</t>
  </si>
  <si>
    <t>larghezza di riga</t>
  </si>
  <si>
    <t>משקל קו</t>
  </si>
  <si>
    <t>線の太さ</t>
  </si>
  <si>
    <t>선 두께</t>
  </si>
  <si>
    <t>berat garisan</t>
  </si>
  <si>
    <t>lijngewicht</t>
  </si>
  <si>
    <t>linjevekt</t>
  </si>
  <si>
    <t>Grubość linii</t>
  </si>
  <si>
    <t>Espessura da linha</t>
  </si>
  <si>
    <t>greutatea liniei</t>
  </si>
  <si>
    <t>Толщина линии</t>
  </si>
  <si>
    <t>Váha riadka</t>
  </si>
  <si>
    <t>linijska teža</t>
  </si>
  <si>
    <t>Debljina</t>
  </si>
  <si>
    <t>radvikt</t>
  </si>
  <si>
    <t>ความหนาของเส้น</t>
  </si>
  <si>
    <t>hat ağırlığı</t>
  </si>
  <si>
    <t>độ dày đường</t>
  </si>
  <si>
    <t>线宽</t>
  </si>
  <si>
    <t>&gt;線寬</t>
  </si>
  <si>
    <t>falkland_islands</t>
  </si>
  <si>
    <t>Falkland Islands (Malvinas)</t>
  </si>
  <si>
    <t>Falkland Inseln (Malvinas)</t>
  </si>
  <si>
    <t>Islas Malvinas</t>
  </si>
  <si>
    <t>Îles Falkland (Malvinas)</t>
  </si>
  <si>
    <t>Фолклендские острова (Мальвинские острова)</t>
  </si>
  <si>
    <t>Folklandska ostrva (Malvini)</t>
  </si>
  <si>
    <t>tt_period_intraday30</t>
  </si>
  <si>
    <t>30 Minutes</t>
  </si>
  <si>
    <t>30 دقيقة</t>
  </si>
  <si>
    <t>30 минути</t>
  </si>
  <si>
    <t>30 minut</t>
  </si>
  <si>
    <t>30 minutter</t>
  </si>
  <si>
    <t>30 Minuten</t>
  </si>
  <si>
    <t>30 λεπτά</t>
  </si>
  <si>
    <t>30 minuuttia</t>
  </si>
  <si>
    <t>30 मिनिट</t>
  </si>
  <si>
    <t>30 menit</t>
  </si>
  <si>
    <t>30 Minuti</t>
  </si>
  <si>
    <t>30 דקות</t>
  </si>
  <si>
    <t>30分</t>
  </si>
  <si>
    <t>30분</t>
  </si>
  <si>
    <t>30 minit</t>
  </si>
  <si>
    <t>30 minuten</t>
  </si>
  <si>
    <t>30 minuty</t>
  </si>
  <si>
    <t>30 Minutos</t>
  </si>
  <si>
    <t>30 de Minute</t>
  </si>
  <si>
    <t>30 минут</t>
  </si>
  <si>
    <t>30 minút</t>
  </si>
  <si>
    <t>30 minuter</t>
  </si>
  <si>
    <t>30 นาที</t>
  </si>
  <si>
    <t>30 Dakika</t>
  </si>
  <si>
    <t>30 phút</t>
  </si>
  <si>
    <t>３０分钟</t>
  </si>
  <si>
    <t>&gt;３０分鐘</t>
  </si>
  <si>
    <t>tt_categories</t>
  </si>
  <si>
    <t>Categories</t>
  </si>
  <si>
    <t>الفئات</t>
  </si>
  <si>
    <t>Категории</t>
  </si>
  <si>
    <t>Kategorie</t>
  </si>
  <si>
    <t>Kategorier</t>
  </si>
  <si>
    <t>Kategorien</t>
  </si>
  <si>
    <t>Κατηγορίες</t>
  </si>
  <si>
    <t>Categorías</t>
  </si>
  <si>
    <t>Kategoriat</t>
  </si>
  <si>
    <t>Catégories</t>
  </si>
  <si>
    <t>श्रेणियाँ</t>
  </si>
  <si>
    <t>Kategóriák</t>
  </si>
  <si>
    <t>Kategori</t>
  </si>
  <si>
    <t>Categorie</t>
  </si>
  <si>
    <t>קטגוריות</t>
  </si>
  <si>
    <t>カテゴリ</t>
  </si>
  <si>
    <t>카테고리</t>
  </si>
  <si>
    <t>Categorieën</t>
  </si>
  <si>
    <t>Categorias</t>
  </si>
  <si>
    <t>Categorii</t>
  </si>
  <si>
    <t>Kategórie</t>
  </si>
  <si>
    <t>Kategorije</t>
  </si>
  <si>
    <t>หมวดหมู่</t>
  </si>
  <si>
    <t>Kategoriler</t>
  </si>
  <si>
    <t>Loại</t>
  </si>
  <si>
    <t>分类</t>
  </si>
  <si>
    <t>&gt;分類</t>
  </si>
  <si>
    <t>fetching_history_from_server</t>
  </si>
  <si>
    <t>Fetching history from server</t>
  </si>
  <si>
    <t>جلب المحفوظات من السرفر</t>
  </si>
  <si>
    <t>Получаване на историята от сървъра</t>
  </si>
  <si>
    <t>Anar a cercar la història als servidors</t>
  </si>
  <si>
    <t>Lade Chatverlauf…</t>
  </si>
  <si>
    <t>Buscando historial en el servidor</t>
  </si>
  <si>
    <t>Récupération de l\'historique sur le serveur</t>
  </si>
  <si>
    <t>Obtendo historial desde o servidor</t>
  </si>
  <si>
    <t>Előzmények lekérése a szerverről</t>
  </si>
  <si>
    <t>Mengambil data dari server</t>
  </si>
  <si>
    <t>Caricamento della cronologia dal server</t>
  </si>
  <si>
    <t>サーバーから履歴を取得中</t>
  </si>
  <si>
    <t>서버로부터 기록 가져오는중</t>
  </si>
  <si>
    <t>Geschiedenis van server halen</t>
  </si>
  <si>
    <t>Pobieranie historii z serwera</t>
  </si>
  <si>
    <t>Obtendo o histórico do servidor</t>
  </si>
  <si>
    <t>Получение истории с сервера</t>
  </si>
  <si>
    <t>Načítať históriu zo serveru</t>
  </si>
  <si>
    <t>Добављам историјат са сервера</t>
  </si>
  <si>
    <t>Hämtar historik från server</t>
  </si>
  <si>
    <t>Отримую історію з сервера</t>
  </si>
  <si>
    <t>Đang nhận lịch sử từ máy chủ</t>
  </si>
  <si>
    <t>從伺服器獲取歷史記錄</t>
  </si>
  <si>
    <t>action_settings</t>
  </si>
  <si>
    <t>Preferències</t>
  </si>
  <si>
    <t>Axustes</t>
  </si>
  <si>
    <t>Definições</t>
  </si>
  <si>
    <t>Поставке</t>
  </si>
  <si>
    <t>Налаштування</t>
  </si>
  <si>
    <t>check_x_filesize_on_host</t>
  </si>
  <si>
    <t>Check %1$s size on %2$s</t>
  </si>
  <si>
    <t>Проверете размера на %1$s на %2$s</t>
  </si>
  <si>
    <t>Verificació de la mida de %1$s en %2$s</t>
  </si>
  <si>
    <t>Check %1$s velikost na %2$s</t>
  </si>
  <si>
    <t>Kontrollér %1$s størrelse på %2$s</t>
  </si>
  <si>
    <t>%1$s-Größe auf %2$s prüfen</t>
  </si>
  <si>
    <t>Comprobar tamaño de %1$s en %2$s</t>
  </si>
  <si>
    <t>Tarkista %1$s kokoa %2$s</t>
  </si>
  <si>
    <t>Vérification de la taille de %1$s sur %2$s</t>
  </si>
  <si>
    <t>Comporbar o tamaño de %1$s en %2$s</t>
  </si>
  <si>
    <t>Ellenőrizze a %1$s méretét a %2$s oldalon</t>
  </si>
  <si>
    <t>Periksa %1$s ukuran pada %2$s</t>
  </si>
  <si>
    <t>Controlla dimensione %1$s su %2$s</t>
  </si>
  <si>
    <t>%2$s で %1$s のサイズを確認</t>
  </si>
  <si>
    <t>%2$s의 %1$s 크기 확인</t>
  </si>
  <si>
    <t>Semak %1$s saiz pada %2$s</t>
  </si>
  <si>
    <t>Bestandsgrootte van %1$s op %2$s controleren</t>
  </si>
  <si>
    <t>Sjekk %1$s størrelse på %2$s</t>
  </si>
  <si>
    <t>Sprawdź rozmiar %1$s na %2$s</t>
  </si>
  <si>
    <t>Verifique o tamanho de %1$s em %2$s</t>
  </si>
  <si>
    <t>Verificați %1$s dimensiune pe %2$s</t>
  </si>
  <si>
    <t>Проверить размер %1$s на %2$s</t>
  </si>
  <si>
    <t>Skontrolujte veľkosť %1$s na %2$s</t>
  </si>
  <si>
    <t>Провери величину %1$s na %2$s</t>
  </si>
  <si>
    <t>Kontrollera filstorlek för %1$s på %2$s</t>
  </si>
  <si>
    <t>%1$s boyutunu %2$s</t>
  </si>
  <si>
    <t>Перевірити %1$s розмір на %2$s</t>
  </si>
  <si>
    <t>在 %2$s 上檢查 %1$s 的大小</t>
  </si>
  <si>
    <t>tt_onboarding_settings_login</t>
  </si>
  <si>
    <t>Log in</t>
  </si>
  <si>
    <t>تسجيل الدخول</t>
  </si>
  <si>
    <t>Влизане</t>
  </si>
  <si>
    <t>Přihlásit se</t>
  </si>
  <si>
    <t>Log på</t>
  </si>
  <si>
    <t>Einloggen</t>
  </si>
  <si>
    <t>Σύνδεση</t>
  </si>
  <si>
    <t>Iniciar sesión</t>
  </si>
  <si>
    <t>Kirjaudu sisään</t>
  </si>
  <si>
    <t>S\'identifier</t>
  </si>
  <si>
    <t>लॉग इन करें</t>
  </si>
  <si>
    <t>Belépés</t>
  </si>
  <si>
    <t>Daftar masuk</t>
  </si>
  <si>
    <t>Accedi</t>
  </si>
  <si>
    <t>התחברות</t>
  </si>
  <si>
    <t>ログイン</t>
  </si>
  <si>
    <t>로그인</t>
  </si>
  <si>
    <t>Logg inn</t>
  </si>
  <si>
    <t>Zaloguj się</t>
  </si>
  <si>
    <t>Entrar</t>
  </si>
  <si>
    <t>Autentificare</t>
  </si>
  <si>
    <t>Войти</t>
  </si>
  <si>
    <t>Prihlásiť sa</t>
  </si>
  <si>
    <t>Vpišite se</t>
  </si>
  <si>
    <t>Prijavi se</t>
  </si>
  <si>
    <t>Logga in</t>
  </si>
  <si>
    <t>เข้าสู่ระบบ</t>
  </si>
  <si>
    <t>Oturum aç</t>
  </si>
  <si>
    <t>Đăng nhập</t>
  </si>
  <si>
    <t>title_activity_settings</t>
  </si>
  <si>
    <t>إعدادات</t>
  </si>
  <si>
    <t>Configuració</t>
  </si>
  <si>
    <t>設置</t>
  </si>
  <si>
    <t>tt_fundprofile_branch_positions</t>
  </si>
  <si>
    <t>Branches</t>
  </si>
  <si>
    <t>الفروع</t>
  </si>
  <si>
    <t>Клонове</t>
  </si>
  <si>
    <t>Větve</t>
  </si>
  <si>
    <t>Grene</t>
  </si>
  <si>
    <t>Sektoren</t>
  </si>
  <si>
    <t>Παραρτήματα</t>
  </si>
  <si>
    <t>Sectores</t>
  </si>
  <si>
    <t>Sivukonttori</t>
  </si>
  <si>
    <t>शाखाएँ</t>
  </si>
  <si>
    <t>Szektor</t>
  </si>
  <si>
    <t>Cabang</t>
  </si>
  <si>
    <t>Filiali</t>
  </si>
  <si>
    <t>ענפים</t>
  </si>
  <si>
    <t>支店</t>
  </si>
  <si>
    <t>지점</t>
  </si>
  <si>
    <t>Cawangan</t>
  </si>
  <si>
    <t>Grener</t>
  </si>
  <si>
    <t>Segmenty</t>
  </si>
  <si>
    <t>Ramos</t>
  </si>
  <si>
    <t>Ramuri</t>
  </si>
  <si>
    <t>Филиалы</t>
  </si>
  <si>
    <t>Vetvy</t>
  </si>
  <si>
    <t>Podružnice</t>
  </si>
  <si>
    <t>Grane</t>
  </si>
  <si>
    <t>Grenar</t>
  </si>
  <si>
    <t>สาขา</t>
  </si>
  <si>
    <t>Dallar</t>
  </si>
  <si>
    <t>Nhánh</t>
  </si>
  <si>
    <t>分行</t>
  </si>
  <si>
    <t>omemo_fingerprint_x509</t>
  </si>
  <si>
    <t>v\\OMEMO fingerprint</t>
  </si>
  <si>
    <t>بصمة v\\OMEMO</t>
  </si>
  <si>
    <t>Отпечатък v\\OMEMO</t>
  </si>
  <si>
    <t>Empremta digital v\\OMEMO</t>
  </si>
  <si>
    <t>v\\OMEMO-Fingerabdruck</t>
  </si>
  <si>
    <t>Huella digital v\\OMEMO</t>
  </si>
  <si>
    <t>v\\Empreinte OMEMO</t>
  </si>
  <si>
    <t>v\\pegada OMEMO</t>
  </si>
  <si>
    <t>v\\OMEMO ujjlenyomat</t>
  </si>
  <si>
    <t>v\\OMEMO impronta</t>
  </si>
  <si>
    <t>v\\OMEMO フィンガープリント</t>
  </si>
  <si>
    <t>v\\OMEMO 핑거프린트</t>
  </si>
  <si>
    <t>v\\OMEMO-vingerafdruk</t>
  </si>
  <si>
    <t>Odcisk v\\OMEMO</t>
  </si>
  <si>
    <t>Impressão digital v\\OMEMO</t>
  </si>
  <si>
    <t>v\\OMEMO отпечаток</t>
  </si>
  <si>
    <t>v\\ОМЕМО отисак</t>
  </si>
  <si>
    <t>v\\OMEMO-fingeravtryck</t>
  </si>
  <si>
    <t>Відбиток v\\OMEMO</t>
  </si>
  <si>
    <t>Dấu vân tay v\\OMEMO</t>
  </si>
  <si>
    <t>v\\OMEMO 指紋</t>
  </si>
  <si>
    <t>pref_allow_message_correction_summary</t>
  </si>
  <si>
    <t>Allow your contacts to retroactively edit their messages</t>
  </si>
  <si>
    <t>السماح لمراسليك بتعديل رسائلهم</t>
  </si>
  <si>
    <t>Позволяване на контактите да редактират съобщенията си след като са ги изпратили.</t>
  </si>
  <si>
    <t>Permet que els contactes editin de manera retroactiva els missatges</t>
  </si>
  <si>
    <t>Erlaube deinen Kontakten das nachträgliche Korrigieren ihrer Nachrichten</t>
  </si>
  <si>
    <t>Permitir a tus contactos editar mensajes previamente enviados</t>
  </si>
  <si>
    <t>Permet à vos contacts d\'éditer leurs messages rétroactivement</t>
  </si>
  <si>
    <t>Permitir aos seus contactos editar as súas mensaxes de xeito retroactivo</t>
  </si>
  <si>
    <t>Visszamenőlegesen is megengedi az üzenetek szerkesztését</t>
  </si>
  <si>
    <t>Consenti ai tuoi contatti di modificare retroattivamente i loro messaggi</t>
  </si>
  <si>
    <t>連絡先が、遡及的に自分のメッセージを編集することを許可します</t>
  </si>
  <si>
    <t>친구들이 메세지를 소급 수정할 수 있도록 허가</t>
  </si>
  <si>
    <t>Sta je contacten toe hun berichten na het versturen te verbeteren</t>
  </si>
  <si>
    <t>Pozwól swoim kontaktom poprawiać wiadomości</t>
  </si>
  <si>
    <t>Permitir que os seus contactos editem as suas mensagens depois de enviadas</t>
  </si>
  <si>
    <t>Позволить контактам редактировать сообщения</t>
  </si>
  <si>
    <t>Дозвољава вашим контактима да ретроактивно уређују њихове поруке</t>
  </si>
  <si>
    <t>Tillåt att dina kontakter kan ändra sina meddelanden i efterhand</t>
  </si>
  <si>
    <t>Дозволити контактам редагувати свої повідомлення після відправки</t>
  </si>
  <si>
    <t>允許您的連絡人追回編輯他們的訊息</t>
  </si>
  <si>
    <t>tt_log</t>
  </si>
  <si>
    <t>Logarithmic</t>
  </si>
  <si>
    <t>لوغاريتمي</t>
  </si>
  <si>
    <t>Логаритмични</t>
  </si>
  <si>
    <t>Logaritmické</t>
  </si>
  <si>
    <t>Logaritmisk</t>
  </si>
  <si>
    <t>Logarithmisch</t>
  </si>
  <si>
    <t>Λογαριθμική</t>
  </si>
  <si>
    <t>Logarítmico</t>
  </si>
  <si>
    <t>Logaritminen</t>
  </si>
  <si>
    <t>Logarithmique</t>
  </si>
  <si>
    <t>लघुगणक</t>
  </si>
  <si>
    <t>Logaritmikus</t>
  </si>
  <si>
    <t>Logaritma</t>
  </si>
  <si>
    <t>Logaritmica</t>
  </si>
  <si>
    <t>לוגריתמי</t>
  </si>
  <si>
    <t>log</t>
  </si>
  <si>
    <t>대수</t>
  </si>
  <si>
    <t>Logaritmisch</t>
  </si>
  <si>
    <t>Logarytmiczny</t>
  </si>
  <si>
    <t>Logarítmica</t>
  </si>
  <si>
    <t>Logaritmic</t>
  </si>
  <si>
    <t>Логарифмический</t>
  </si>
  <si>
    <t>Logaritmický</t>
  </si>
  <si>
    <t>Logaritmična</t>
  </si>
  <si>
    <t>Logaritamska</t>
  </si>
  <si>
    <t>แบบล็อกการิทึม</t>
  </si>
  <si>
    <t>Logaritmik</t>
  </si>
  <si>
    <t>Logarit</t>
  </si>
  <si>
    <t>对数的</t>
  </si>
  <si>
    <t>&gt;對數的</t>
  </si>
  <si>
    <t>tt_limits</t>
  </si>
  <si>
    <t>Alerts</t>
  </si>
  <si>
    <t>التنبيهات</t>
  </si>
  <si>
    <t>Сигнали</t>
  </si>
  <si>
    <t>Upozornění</t>
  </si>
  <si>
    <t>Advarsler</t>
  </si>
  <si>
    <t>Limits</t>
  </si>
  <si>
    <t>Ειδοποιήσεις</t>
  </si>
  <si>
    <t>Límites</t>
  </si>
  <si>
    <t>Hälytykset</t>
  </si>
  <si>
    <t>Alertes</t>
  </si>
  <si>
    <t>अलर्ट</t>
  </si>
  <si>
    <t>Riasztások</t>
  </si>
  <si>
    <t>Keterangan</t>
  </si>
  <si>
    <t>Avvisi</t>
  </si>
  <si>
    <t>התראות</t>
  </si>
  <si>
    <t>アラート</t>
  </si>
  <si>
    <t>알람</t>
  </si>
  <si>
    <t>Makluman</t>
  </si>
  <si>
    <t>Notificaties</t>
  </si>
  <si>
    <t>Varsler</t>
  </si>
  <si>
    <t>Limity</t>
  </si>
  <si>
    <t>Limites</t>
  </si>
  <si>
    <t>Alerte</t>
  </si>
  <si>
    <t>Предельные стоимости</t>
  </si>
  <si>
    <t>Upozornenia</t>
  </si>
  <si>
    <t>Opozorila</t>
  </si>
  <si>
    <t>Alarmi</t>
  </si>
  <si>
    <t>Varningar</t>
  </si>
  <si>
    <t>แจ้งเตือน</t>
  </si>
  <si>
    <t>Uyarılar</t>
  </si>
  <si>
    <t>警示</t>
  </si>
  <si>
    <t>&gt;警示</t>
  </si>
  <si>
    <t>conference_destroyed</t>
  </si>
  <si>
    <t>This group chat has been destroyed</t>
  </si>
  <si>
    <t>Този групов разговор е унищожен</t>
  </si>
  <si>
    <t>Aquest xat en grup ha estat destruït</t>
  </si>
  <si>
    <t>Dieser Gruppenchat wurde aufgelöst</t>
  </si>
  <si>
    <t>Esta conversación en grupo ha sido destruida</t>
  </si>
  <si>
    <t>Cette conversation de groupe a été supprimée</t>
  </si>
  <si>
    <t>Esta conversa de grupo foi destruída</t>
  </si>
  <si>
    <t>Ez a konferencia megszűnt</t>
  </si>
  <si>
    <t>Questa chat di gruppo è stata distrutta</t>
  </si>
  <si>
    <t>Dit groepsgesprek is verwijderd</t>
  </si>
  <si>
    <t>Ta konferencja została usunięta</t>
  </si>
  <si>
    <t>Ово групно ћаскање је обрисано</t>
  </si>
  <si>
    <t>regenerate_omemo_key</t>
  </si>
  <si>
    <t>Regenerate OMEMO key</t>
  </si>
  <si>
    <t>إعادة إنشاء مفتاح أوميمو OMEMO</t>
  </si>
  <si>
    <t>Повторно създаване на ключа OMEMO</t>
  </si>
  <si>
    <t>Regenerar la clau OMEMO</t>
  </si>
  <si>
    <t>OMEMO-Schlüssel erneuern</t>
  </si>
  <si>
    <t>Regenerar clave OMEMO</t>
  </si>
  <si>
    <t>Régénérer l\'empreinte OMEMO</t>
  </si>
  <si>
    <t>Rexenerar a chave OMEMO</t>
  </si>
  <si>
    <t>OMEMO kulcs regenerálása</t>
  </si>
  <si>
    <t>Rigenera chiave OMEMO</t>
  </si>
  <si>
    <t>OMEMO 鍵を再生成</t>
  </si>
  <si>
    <t>OMEMO 키 다시 생성</t>
  </si>
  <si>
    <t>OMEMO-sleutel opnieuw aanmaken</t>
  </si>
  <si>
    <t>Wygeneruj ponownie klucz OMEMO</t>
  </si>
  <si>
    <t>Regenerar a chave OMEMO</t>
  </si>
  <si>
    <t>Создать заново ключ OMEMO</t>
  </si>
  <si>
    <t>Поново генериши ОМЕМО кључ</t>
  </si>
  <si>
    <t>Regenerera OMEMO-nyckel</t>
  </si>
  <si>
    <t>Згенерувати ключ OMEMO</t>
  </si>
  <si>
    <t>Tạo lại khoá OMEMO</t>
  </si>
  <si>
    <t>重新生成 OMEMO 金鑰</t>
  </si>
  <si>
    <t>usa</t>
  </si>
  <si>
    <t>United States of America</t>
  </si>
  <si>
    <t>USA</t>
  </si>
  <si>
    <t>Estados Unidos</t>
  </si>
  <si>
    <t>Etats-Unis d\'Amerique</t>
  </si>
  <si>
    <t>Stati Uniti d\'America</t>
  </si>
  <si>
    <t>Соединённые Штаты Америки</t>
  </si>
  <si>
    <t>Amerika</t>
  </si>
  <si>
    <t>guam</t>
  </si>
  <si>
    <t>Guam</t>
  </si>
  <si>
    <t>Территория Гуам</t>
  </si>
  <si>
    <t>tt_name</t>
  </si>
  <si>
    <t>Name</t>
  </si>
  <si>
    <t>الاسم</t>
  </si>
  <si>
    <t>Име</t>
  </si>
  <si>
    <t>Název</t>
  </si>
  <si>
    <t>Navn</t>
  </si>
  <si>
    <t>Ονομα</t>
  </si>
  <si>
    <t>Nombre</t>
  </si>
  <si>
    <t>Nimi</t>
  </si>
  <si>
    <t>Nom</t>
  </si>
  <si>
    <t>नाम</t>
  </si>
  <si>
    <t>Név</t>
  </si>
  <si>
    <t>Nama</t>
  </si>
  <si>
    <t>Nome</t>
  </si>
  <si>
    <t>שם</t>
  </si>
  <si>
    <t>名前</t>
  </si>
  <si>
    <t>이름</t>
  </si>
  <si>
    <t>Naam</t>
  </si>
  <si>
    <t>Nazwa</t>
  </si>
  <si>
    <t>Denumire</t>
  </si>
  <si>
    <t>Наим.</t>
  </si>
  <si>
    <t>Názov</t>
  </si>
  <si>
    <t>Ime</t>
  </si>
  <si>
    <t>Namn</t>
  </si>
  <si>
    <t>ชื่อ</t>
  </si>
  <si>
    <t>Adı</t>
  </si>
  <si>
    <t>Tên</t>
  </si>
  <si>
    <t>名称</t>
  </si>
  <si>
    <t>&gt;名稱</t>
  </si>
  <si>
    <t>copy_omemo_clipboard_description</t>
  </si>
  <si>
    <t>Copy OMEMO fingerprint to clipboard</t>
  </si>
  <si>
    <t>انسخ بصمة OMEMO إلى الحافظة</t>
  </si>
  <si>
    <t>Копиране на отпечатъка OMEMO</t>
  </si>
  <si>
    <t>Copieu l\'empremta digital OMEMO al porta-retalls</t>
  </si>
  <si>
    <t>OMEMO-Fingerabdruck in Zwischenablage kopieren</t>
  </si>
  <si>
    <t>Copiar huella digital OMEMO al portapapeles</t>
  </si>
  <si>
    <t>Copier l\'empreinte OMEMO dans le presse-papier</t>
  </si>
  <si>
    <t>Copiar pegada OMEMO ao portapapeis</t>
  </si>
  <si>
    <t>Másolja az OMEMO ujjlenyomatát a vágólapra</t>
  </si>
  <si>
    <t>Copia impronta OMEMO negli appunti</t>
  </si>
  <si>
    <t>OMEMO フィンガープリントをクリップボードにコピー</t>
  </si>
  <si>
    <t>OMEMO 핑거프린트를 클립보드에 복사</t>
  </si>
  <si>
    <t>OMEMO-vingerafdruk kopiëren naar klembord</t>
  </si>
  <si>
    <t>Skopiuj odcisk klucza OMEMO do schowka</t>
  </si>
  <si>
    <t>Copiar a impressão digital OMEMO para a área de transferência</t>
  </si>
  <si>
    <t>Скопировать OMEMO-отпечаток в буфер обмена</t>
  </si>
  <si>
    <t>Skopírovať OMEMO identifikátor do schránky</t>
  </si>
  <si>
    <t>Копирај ОМЕМО отисак на клипборд</t>
  </si>
  <si>
    <t>Kopiera OMEMO-fingeravtryck till urklipp</t>
  </si>
  <si>
    <t>Скопіювати OMEMO відбиток до комірки обліку</t>
  </si>
  <si>
    <t>Sao chép dấu vân tay OMEMO vào clipboard</t>
  </si>
  <si>
    <t>拷貝 OMEMO 指紋到剪貼板</t>
  </si>
  <si>
    <t>tt_valor</t>
  </si>
  <si>
    <t>شجاعة</t>
  </si>
  <si>
    <t>Вальор</t>
  </si>
  <si>
    <t>Chrabrost</t>
  </si>
  <si>
    <t>Ανδρεία</t>
  </si>
  <si>
    <t>वेलोर</t>
  </si>
  <si>
    <t>ייצוב מחיר</t>
  </si>
  <si>
    <t>Hvaležnost</t>
  </si>
  <si>
    <t>Valör</t>
  </si>
  <si>
    <t>Bình ổn</t>
  </si>
  <si>
    <t>标识符（Valor）</t>
  </si>
  <si>
    <t>&gt;Valor</t>
  </si>
  <si>
    <t>cameroon</t>
  </si>
  <si>
    <t>Cameroon</t>
  </si>
  <si>
    <t>Kamerun</t>
  </si>
  <si>
    <t>Camerún</t>
  </si>
  <si>
    <t>Cameroun</t>
  </si>
  <si>
    <t>Камерун</t>
  </si>
  <si>
    <t>malta</t>
  </si>
  <si>
    <t>Malta</t>
  </si>
  <si>
    <t>Malte</t>
  </si>
  <si>
    <t>Мальта</t>
  </si>
  <si>
    <t>server_info_blocking</t>
  </si>
  <si>
    <t>XEP-0191: Blocking Command</t>
  </si>
  <si>
    <t>XEP-0191: بروتوكول حظر الاتصالات</t>
  </si>
  <si>
    <t>XEP-0191: Команда за блокиране</t>
  </si>
  <si>
    <t>XEP-0191: Ordre de bloqueig</t>
  </si>
  <si>
    <t>XEP-0191 : Commande de bloquage</t>
  </si>
  <si>
    <t>XEP-0191: Bloqueo de ordes</t>
  </si>
  <si>
    <t>XEP-0191: ブロッキング コマンド</t>
  </si>
  <si>
    <t>XEP-0191: Команда блокирования</t>
  </si>
  <si>
    <t>XEP-0191: наредба блокирања</t>
  </si>
  <si>
    <t>XEP-0191: команди блокування</t>
  </si>
  <si>
    <t>XEP-0191: 封鎖指令</t>
  </si>
  <si>
    <t>tt_sendbye_mail</t>
  </si>
  <si>
    <t>Send by e-mail</t>
  </si>
  <si>
    <t>إرسل بالبريد الإلكترونى</t>
  </si>
  <si>
    <t>Изпратен по имейл</t>
  </si>
  <si>
    <t>Odeslat e-mailem</t>
  </si>
  <si>
    <t>Send via email</t>
  </si>
  <si>
    <t>Als E-Mail versenden</t>
  </si>
  <si>
    <t>Αποστολή με email</t>
  </si>
  <si>
    <t>Enviar via e-mail.</t>
  </si>
  <si>
    <t>Lähetä sähköpostitse</t>
  </si>
  <si>
    <t>Envoyer par email</t>
  </si>
  <si>
    <t>ईमेल द्वारा भेजें</t>
  </si>
  <si>
    <t>Küldés emailben</t>
  </si>
  <si>
    <t>Kirim melalui emeil</t>
  </si>
  <si>
    <t>Invia con email</t>
  </si>
  <si>
    <t>שלח בדואר אלקטרוני</t>
  </si>
  <si>
    <t>メールで送信する</t>
  </si>
  <si>
    <t>이메일로 전송</t>
  </si>
  <si>
    <t>Hantar melalui emel</t>
  </si>
  <si>
    <t>Stuur via e-mail</t>
  </si>
  <si>
    <t>Send via e-post</t>
  </si>
  <si>
    <t>Wyślij przez e-mail</t>
  </si>
  <si>
    <t>Enviado por e-mail</t>
  </si>
  <si>
    <t>Trimis prin email</t>
  </si>
  <si>
    <t>Poslať e-mailom</t>
  </si>
  <si>
    <t>Poslati prek emaila</t>
  </si>
  <si>
    <t>Pošalji e-mail</t>
  </si>
  <si>
    <t>Skicka via e-post</t>
  </si>
  <si>
    <t>ส่งด้วยอีเมล</t>
  </si>
  <si>
    <t>E-posta ile gönder</t>
  </si>
  <si>
    <t>Gửi qua email</t>
  </si>
  <si>
    <t>电邮发送</t>
  </si>
  <si>
    <t>&gt;電郵發送</t>
  </si>
  <si>
    <t>pref_never_send_crash</t>
  </si>
  <si>
    <t>Never send crash reports</t>
  </si>
  <si>
    <t>لا ترسل تقارير أخطاء</t>
  </si>
  <si>
    <t>Никога да не се изпращат доклади за сривове</t>
  </si>
  <si>
    <t>Mai enviïs informes d\'errors</t>
  </si>
  <si>
    <t>Niemals Absturzberichte senden</t>
  </si>
  <si>
    <t>Nunca informar de errores</t>
  </si>
  <si>
    <t>Ne pas envoyer de rapports d\'erreurs</t>
  </si>
  <si>
    <t>Nunca enviar informe de erros</t>
  </si>
  <si>
    <t>Ne küldjön programhiba jelentéseket</t>
  </si>
  <si>
    <t>Jangan kirim laporan kerusakan</t>
  </si>
  <si>
    <t>Non inviare mai segnalazioni di errore</t>
  </si>
  <si>
    <t>クラッシュレポートを送信しない</t>
  </si>
  <si>
    <t>충돌 보고서 보내지 않음</t>
  </si>
  <si>
    <t>Verstuur nooit crashrapportages</t>
  </si>
  <si>
    <t>Nie wysyłaj raportów awarii</t>
  </si>
  <si>
    <t>Nunca enviar relatórios de falhas</t>
  </si>
  <si>
    <t>Не отправлять отчёты об ошибках</t>
  </si>
  <si>
    <t>Neodosielať detaily o zlyhaní aplikácie</t>
  </si>
  <si>
    <t>Никад не шаљи извештаје о паду</t>
  </si>
  <si>
    <t>Skicka aldrig krasch-rapporter</t>
  </si>
  <si>
    <t>Ніколи не надсилати звіти про збої</t>
  </si>
  <si>
    <t>Không bao giờ gửi báo cáo dừng chạy</t>
  </si>
  <si>
    <t>總不發送崩潰報告</t>
  </si>
  <si>
    <t>tt_fundsymbol_fundtype</t>
  </si>
  <si>
    <t>Fund type</t>
  </si>
  <si>
    <t>نوع الصندوق</t>
  </si>
  <si>
    <t>Тип на фонда</t>
  </si>
  <si>
    <t>Typ fondu</t>
  </si>
  <si>
    <t>Fondstype</t>
  </si>
  <si>
    <t>Fondstyp</t>
  </si>
  <si>
    <t>Τύπος κεφαλαίου</t>
  </si>
  <si>
    <t>Tipo de fondo</t>
  </si>
  <si>
    <t>Rahastotyyppi</t>
  </si>
  <si>
    <t>Type de fonds</t>
  </si>
  <si>
    <t>निधि का प्रकार</t>
  </si>
  <si>
    <t>Alap típusa</t>
  </si>
  <si>
    <t>Jenis dana</t>
  </si>
  <si>
    <t>Tippo del Fondo</t>
  </si>
  <si>
    <t>סוג הקרן</t>
  </si>
  <si>
    <t>ファンドタイプ</t>
  </si>
  <si>
    <t>펀드 유형</t>
  </si>
  <si>
    <t>Typ funduszu</t>
  </si>
  <si>
    <t>Tipo de fundo</t>
  </si>
  <si>
    <t>Tip de fond</t>
  </si>
  <si>
    <t>Тип финансорования</t>
  </si>
  <si>
    <t>Vrsta sklada</t>
  </si>
  <si>
    <t>Vrsta fonda</t>
  </si>
  <si>
    <t>Fondtyp</t>
  </si>
  <si>
    <t>ประเภทกองทุน</t>
  </si>
  <si>
    <t>Fon tipi</t>
  </si>
  <si>
    <t>Loại quỹ</t>
  </si>
  <si>
    <t>基金类型</t>
  </si>
  <si>
    <t>&gt;基金類型</t>
  </si>
  <si>
    <t>new_caledonia</t>
  </si>
  <si>
    <t>New Caledonia</t>
  </si>
  <si>
    <t>Neukaledonien</t>
  </si>
  <si>
    <t>Nueva Caledonia</t>
  </si>
  <si>
    <t>Nouvelle Calédonie</t>
  </si>
  <si>
    <t>Новая Каледония</t>
  </si>
  <si>
    <t>Nova Kaledonija</t>
  </si>
  <si>
    <t>tt_enable</t>
  </si>
  <si>
    <t>Enable</t>
  </si>
  <si>
    <t>تمكين</t>
  </si>
  <si>
    <t>Активиране</t>
  </si>
  <si>
    <t>Umožnit</t>
  </si>
  <si>
    <t>Aktiver</t>
  </si>
  <si>
    <t>Aktivieren</t>
  </si>
  <si>
    <t>Ενεργοποίηση</t>
  </si>
  <si>
    <t>Hablitar</t>
  </si>
  <si>
    <t>Ota käyttöön</t>
  </si>
  <si>
    <t>Actif</t>
  </si>
  <si>
    <t>इनेबल करें</t>
  </si>
  <si>
    <t>Aktivál</t>
  </si>
  <si>
    <t>izinkan</t>
  </si>
  <si>
    <t>Abilita</t>
  </si>
  <si>
    <t>הפעל</t>
  </si>
  <si>
    <t>有効にする</t>
  </si>
  <si>
    <t>사용</t>
  </si>
  <si>
    <t>Dayakan</t>
  </si>
  <si>
    <t>Stel in staat</t>
  </si>
  <si>
    <t>Włącz</t>
  </si>
  <si>
    <t>Permite</t>
  </si>
  <si>
    <t>Включить</t>
  </si>
  <si>
    <t>Povoliť</t>
  </si>
  <si>
    <t>Omogoči</t>
  </si>
  <si>
    <t>Aktiviraj</t>
  </si>
  <si>
    <t>Aktivera</t>
  </si>
  <si>
    <t>เปิดใช้งาน</t>
  </si>
  <si>
    <t>Etkinleştir</t>
  </si>
  <si>
    <t>Kích hoạt</t>
  </si>
  <si>
    <t>允许</t>
  </si>
  <si>
    <t>&gt;允許</t>
  </si>
  <si>
    <t>macao</t>
  </si>
  <si>
    <t>Macao (SAR China)</t>
  </si>
  <si>
    <t>Macau</t>
  </si>
  <si>
    <t>Macao</t>
  </si>
  <si>
    <t>Макао (САР КНР)</t>
  </si>
  <si>
    <t>Makao</t>
  </si>
  <si>
    <t>could_not_modify_conference_options</t>
  </si>
  <si>
    <t>Could not modify group chat options</t>
  </si>
  <si>
    <t>تعذر تغيير خيارات فريق المحادثة</t>
  </si>
  <si>
    <t>Неуспешна промяна на настройките на груповия разговор</t>
  </si>
  <si>
    <t>No s\'han pogut modificar les opcions de xat de grup</t>
  </si>
  <si>
    <t>Gruppenchatoptionen konnten nicht modifiziert werden</t>
  </si>
  <si>
    <t>No se pueden modificar las opciones de la conversación</t>
  </si>
  <si>
    <t>mpossible de modifier les options de groupe de discussion</t>
  </si>
  <si>
    <t>Non se puideron modificar as opcións da conversa en grupo</t>
  </si>
  <si>
    <t>Nem tudta módosítani a konferencia beállításokat!</t>
  </si>
  <si>
    <t>Impossibile modificare le opzioni della chat di gruppo</t>
  </si>
  <si>
    <t>談話室のオプションを変更できませんでした</t>
  </si>
  <si>
    <t>Kon gespreksopties niet aanpassen</t>
  </si>
  <si>
    <t>Nie można zmodyfikować ustawień konferencji</t>
  </si>
  <si>
    <t>Não foi possível modificar as opções da conversa em grupo</t>
  </si>
  <si>
    <t>Не удалось изменить настройки конференции</t>
  </si>
  <si>
    <t>Не могу да изменим опције групног ћаскања</t>
  </si>
  <si>
    <t>greece</t>
  </si>
  <si>
    <t>Greece</t>
  </si>
  <si>
    <t>Griechenland</t>
  </si>
  <si>
    <t>Grecia</t>
  </si>
  <si>
    <t>Grèce</t>
  </si>
  <si>
    <t>Греция</t>
  </si>
  <si>
    <t>Grčka</t>
  </si>
  <si>
    <t>tt_email_text_ad</t>
  </si>
  <si>
    <t>Hello,</t>
  </si>
  <si>
    <t>مرحبًا،</t>
  </si>
  <si>
    <t>Здравейте,</t>
  </si>
  <si>
    <t>Ahoj,</t>
  </si>
  <si>
    <t>Hej,</t>
  </si>
  <si>
    <t>Hallo,</t>
  </si>
  <si>
    <t>Χαίρετε,</t>
  </si>
  <si>
    <t>Hola,</t>
  </si>
  <si>
    <t>Hei</t>
  </si>
  <si>
    <t>Bonjour</t>
  </si>
  <si>
    <t>नमस्ते,</t>
  </si>
  <si>
    <t>Szia,</t>
  </si>
  <si>
    <t>Helo,</t>
  </si>
  <si>
    <t>Salve,</t>
  </si>
  <si>
    <t>שלום,</t>
  </si>
  <si>
    <t>ここにテキストを入力します</t>
  </si>
  <si>
    <t>안녕하세요.</t>
  </si>
  <si>
    <t>Witaj,</t>
  </si>
  <si>
    <t>Olá</t>
  </si>
  <si>
    <t>Buna,</t>
  </si>
  <si>
    <t>Здравствуйте,</t>
  </si>
  <si>
    <t>Zdravo,</t>
  </si>
  <si>
    <t>สวัสดี</t>
  </si>
  <si>
    <t>Merhaba,</t>
  </si>
  <si>
    <t>Xin chào,</t>
  </si>
  <si>
    <t>您好，</t>
  </si>
  <si>
    <t>&gt;您好，</t>
  </si>
  <si>
    <t>not_a_valid_phone_number</t>
  </si>
  <si>
    <t>%s is not a valid phone number.</t>
  </si>
  <si>
    <t>%s не е правилен телефонен номер.</t>
  </si>
  <si>
    <t>%s ist keine gültige Telefonnummer.</t>
  </si>
  <si>
    <t>%sno es un número válido.</t>
  </si>
  <si>
    <t>%s n\'est pas un numéro de téléphone valide.</t>
  </si>
  <si>
    <t>%s non é un número de teléfono válido.</t>
  </si>
  <si>
    <t>%s nem egy valós telefonszám.</t>
  </si>
  <si>
    <t>%s non è un numero di telefono valido.</t>
  </si>
  <si>
    <t>%s is geen geldig telefoonnummer.</t>
  </si>
  <si>
    <t>%s nie jest prawidłowym numerem telefonu</t>
  </si>
  <si>
    <t>qr_code_scanner_needs_access_to_camera</t>
  </si>
  <si>
    <t>The QR code scanner needs access to the camera</t>
  </si>
  <si>
    <t>Сканирането на QR-код се нуждае от достъп до камерата</t>
  </si>
  <si>
    <t>L\'escàner de codi QR necessita accés a la càmera</t>
  </si>
  <si>
    <t>Der QR-Codescanner benötigt Zugriff auf die Kamera</t>
  </si>
  <si>
    <t>El escáner de código QR necesita acceso a la cámara</t>
  </si>
  <si>
    <t>La lecture d\'un QR Code nécessite l\'accès à l\'appareil photo</t>
  </si>
  <si>
    <t>O escaner de código QR necesita acceso á cámara.</t>
  </si>
  <si>
    <t>A QR-kódos szkennernek hozzáférésre van szüksége a fényképezőgéphez</t>
  </si>
  <si>
    <t>Lo scanner di codici QR ha bisogno di accedere alla fotocamera</t>
  </si>
  <si>
    <t>De QR-codescanner heeft toegang nodig tot de camera</t>
  </si>
  <si>
    <t>Skaner kodów QR potrzebuje dostępu do aparatu</t>
  </si>
  <si>
    <t>enter_5_digit_code</t>
  </si>
  <si>
    <t>Enter 5 - digit code</t>
  </si>
  <si>
    <t>myanmar</t>
  </si>
  <si>
    <t>Myanmar</t>
  </si>
  <si>
    <t>Мьянма</t>
  </si>
  <si>
    <t>Mijanmar</t>
  </si>
  <si>
    <t>tt_current_risk_protection</t>
  </si>
  <si>
    <t>Risk protection</t>
  </si>
  <si>
    <t>الحماية من المخاطر</t>
  </si>
  <si>
    <t>Защита на риска</t>
  </si>
  <si>
    <t>Ochrana rizik</t>
  </si>
  <si>
    <t>Risikobeskyttelse</t>
  </si>
  <si>
    <t>Risikoschutz</t>
  </si>
  <si>
    <t>Προστασία κινδύνου</t>
  </si>
  <si>
    <t>Protección de riesgos</t>
  </si>
  <si>
    <t>Riskien suojaaminen</t>
  </si>
  <si>
    <t>Protection des risques</t>
  </si>
  <si>
    <t>जोखिम सुरक्षा</t>
  </si>
  <si>
    <t>Kockázati védelem</t>
  </si>
  <si>
    <t>Perlindungan Risiko</t>
  </si>
  <si>
    <t>protezione dai rischi</t>
  </si>
  <si>
    <t>הגנת סיכונים</t>
  </si>
  <si>
    <t>リスク保護</t>
  </si>
  <si>
    <t>위험 보호</t>
  </si>
  <si>
    <t>Risicobescherming</t>
  </si>
  <si>
    <t>Ochrona ryzyka</t>
  </si>
  <si>
    <t>Proteção de risco</t>
  </si>
  <si>
    <t>Protecție împotriva riscurilor</t>
  </si>
  <si>
    <t>Защита от рисков</t>
  </si>
  <si>
    <t>Ochrana pred rizikami</t>
  </si>
  <si>
    <t>Zaščita pred tveganji</t>
  </si>
  <si>
    <t>Zaštita od rizika</t>
  </si>
  <si>
    <t>Riskskydd</t>
  </si>
  <si>
    <t>การป้องกันความเสี่ยง</t>
  </si>
  <si>
    <t>Risk koruması</t>
  </si>
  <si>
    <t>Bảo vệ khỏi rủi ro</t>
  </si>
  <si>
    <t>风险保护</t>
  </si>
  <si>
    <t>tt_edgar_price_book_ratio</t>
  </si>
  <si>
    <t>Price/Book Ratio</t>
  </si>
  <si>
    <t>نسبة السعر/القيمة الدفترية</t>
  </si>
  <si>
    <t>Коефициент P/B</t>
  </si>
  <si>
    <t>Poměr cena/kniha</t>
  </si>
  <si>
    <t>Pris/bog-forhold</t>
  </si>
  <si>
    <t>Kurs/Buchwert-Verhältnis</t>
  </si>
  <si>
    <t>Δείκτης τιμής/λογιστικής αξίας</t>
  </si>
  <si>
    <t>Price-to-book ratio</t>
  </si>
  <si>
    <t>P/B-luku</t>
  </si>
  <si>
    <t>मूल्य/बुक अनुपात</t>
  </si>
  <si>
    <t>Rasio Harga/Buku</t>
  </si>
  <si>
    <t>Prezzo/Libro Rapporto</t>
  </si>
  <si>
    <t>יחס מחיר/הון עצמי</t>
  </si>
  <si>
    <t>株価純資産倍率</t>
  </si>
  <si>
    <t>주가순자산비율</t>
  </si>
  <si>
    <t>Nisbah Harga/Buku</t>
  </si>
  <si>
    <t>Kosten/Boek Ratio</t>
  </si>
  <si>
    <t>Pris/bestillingsforhold</t>
  </si>
  <si>
    <t>Cena/wartość księgowa (12M)</t>
  </si>
  <si>
    <t>Relação preço/livro</t>
  </si>
  <si>
    <t>Raport Preț/Carte</t>
  </si>
  <si>
    <t>Цена/Балансовая стоимость</t>
  </si>
  <si>
    <t>Pomer ceny/knihy</t>
  </si>
  <si>
    <t>Razmerje med ceno in knjigo</t>
  </si>
  <si>
    <t>Trz. Cena/Knjig.vred.</t>
  </si>
  <si>
    <t>Pris/bokförhållande</t>
  </si>
  <si>
    <t>อัตราราคาหุ้นต่อมูลค่าหุ้นทางบัญชี</t>
  </si>
  <si>
    <t>Fiyat/Defter Değeri Oranı</t>
  </si>
  <si>
    <t>Tỷ lệ giá ghi sổ</t>
  </si>
  <si>
    <t>市净率</t>
  </si>
  <si>
    <t>tt_period_intraday15</t>
  </si>
  <si>
    <t>15 Minutes</t>
  </si>
  <si>
    <t>15 دقيقة</t>
  </si>
  <si>
    <t>15 минути</t>
  </si>
  <si>
    <t>15 minut</t>
  </si>
  <si>
    <t>15 minutter</t>
  </si>
  <si>
    <t>15 Minuten</t>
  </si>
  <si>
    <t>15 λεπτά</t>
  </si>
  <si>
    <t>15 minuuttia</t>
  </si>
  <si>
    <t>15 मिनट</t>
  </si>
  <si>
    <t>15 menit</t>
  </si>
  <si>
    <t>15 Minuti</t>
  </si>
  <si>
    <t>15 דקות</t>
  </si>
  <si>
    <t>15分</t>
  </si>
  <si>
    <t>15분</t>
  </si>
  <si>
    <t>15 minit</t>
  </si>
  <si>
    <t>15 minuten</t>
  </si>
  <si>
    <t>15-minutters</t>
  </si>
  <si>
    <t>15 minuty</t>
  </si>
  <si>
    <t>15 Minutos</t>
  </si>
  <si>
    <t>15 Minute</t>
  </si>
  <si>
    <t>15 минут</t>
  </si>
  <si>
    <t>15 minút</t>
  </si>
  <si>
    <t>15 minuter</t>
  </si>
  <si>
    <t>15 นาที</t>
  </si>
  <si>
    <t>15 Dakika</t>
  </si>
  <si>
    <t>15 phút</t>
  </si>
  <si>
    <t>１５分钟</t>
  </si>
  <si>
    <t>&gt;１５分鐘</t>
  </si>
  <si>
    <t>tt_calculatedvalues</t>
  </si>
  <si>
    <t>Calculated values</t>
  </si>
  <si>
    <t>القيم المحسوبة</t>
  </si>
  <si>
    <t>Изчислени стойности</t>
  </si>
  <si>
    <t>Vypočítané hodnoty</t>
  </si>
  <si>
    <t>Beregnede værdier</t>
  </si>
  <si>
    <t>Kennzahlen</t>
  </si>
  <si>
    <t>Υπολογισμένες τιμές</t>
  </si>
  <si>
    <t>Valores estimados</t>
  </si>
  <si>
    <t>Lasketut arvot</t>
  </si>
  <si>
    <t>परिकलित मान</t>
  </si>
  <si>
    <t>Kalkulált értékek</t>
  </si>
  <si>
    <t>Nilai yang dihitung</t>
  </si>
  <si>
    <t>Valori calcolati</t>
  </si>
  <si>
    <t>ערכים מחושבים</t>
  </si>
  <si>
    <t>適正価格</t>
  </si>
  <si>
    <t>측정 값</t>
  </si>
  <si>
    <t>Nilai yang dikira</t>
  </si>
  <si>
    <t>Gecalculeerde waarden</t>
  </si>
  <si>
    <t>Beregnede verdier</t>
  </si>
  <si>
    <t>Obliczone wartości</t>
  </si>
  <si>
    <t>Valores calculados</t>
  </si>
  <si>
    <t>Valori calculate</t>
  </si>
  <si>
    <t>Рассчетные значения</t>
  </si>
  <si>
    <t>Izračunane vrednosti</t>
  </si>
  <si>
    <t>Sračunate vrednosti</t>
  </si>
  <si>
    <t>Beräknade värden</t>
  </si>
  <si>
    <t>ค่าที่คำนวณ</t>
  </si>
  <si>
    <t>Hesaplanan değerler</t>
  </si>
  <si>
    <t>Giá trị đã tính</t>
  </si>
  <si>
    <t>计算值</t>
  </si>
  <si>
    <t>&gt;計算值</t>
  </si>
  <si>
    <t>lithuania</t>
  </si>
  <si>
    <t>Lithuania</t>
  </si>
  <si>
    <t>Litauen</t>
  </si>
  <si>
    <t>Lithuanie</t>
  </si>
  <si>
    <t>Литва</t>
  </si>
  <si>
    <t>Litvanija</t>
  </si>
  <si>
    <t>tt_period_intraday10</t>
  </si>
  <si>
    <t>10 Minutes</t>
  </si>
  <si>
    <t>10 دقائق</t>
  </si>
  <si>
    <t>10 минути</t>
  </si>
  <si>
    <t>10 minut</t>
  </si>
  <si>
    <t>10 minutter</t>
  </si>
  <si>
    <t>10 Minuten</t>
  </si>
  <si>
    <t>10 λεπτά</t>
  </si>
  <si>
    <t>10 minutos</t>
  </si>
  <si>
    <t>10 minuuttia</t>
  </si>
  <si>
    <t>10 मिनट</t>
  </si>
  <si>
    <t>10 perc</t>
  </si>
  <si>
    <t>10 menit</t>
  </si>
  <si>
    <t>10 Minuti</t>
  </si>
  <si>
    <t>10 דקות</t>
  </si>
  <si>
    <t>10分</t>
  </si>
  <si>
    <t>10분</t>
  </si>
  <si>
    <t>10 minit</t>
  </si>
  <si>
    <t>10 minuten</t>
  </si>
  <si>
    <t>10-minutters</t>
  </si>
  <si>
    <t>10 minuty</t>
  </si>
  <si>
    <t>10 Minutos</t>
  </si>
  <si>
    <t>10 Minute</t>
  </si>
  <si>
    <t>10 минут</t>
  </si>
  <si>
    <t>10 minút</t>
  </si>
  <si>
    <t>10 minuter</t>
  </si>
  <si>
    <t>10 นาที</t>
  </si>
  <si>
    <t>10 Dakika</t>
  </si>
  <si>
    <t>10 phút</t>
  </si>
  <si>
    <t>１０分钟</t>
  </si>
  <si>
    <t>&gt;１０分鐘</t>
  </si>
  <si>
    <t>tt_edgar_increase_decrease_in_cash</t>
  </si>
  <si>
    <t>Inc/dec in Cash</t>
  </si>
  <si>
    <t>الزيادة/النقص في النقد</t>
  </si>
  <si>
    <t>Вкл./отстъпка в брой</t>
  </si>
  <si>
    <t>Vzestup/pokles hotovosti</t>
  </si>
  <si>
    <t>Inc/dec kontant</t>
  </si>
  <si>
    <t>Veränderung der liquiden Mittel</t>
  </si>
  <si>
    <t>Inc/dec σε μετρητά</t>
  </si>
  <si>
    <t>Inc./Dism. de efectivo</t>
  </si>
  <si>
    <t>Inc/dec käteisenä</t>
  </si>
  <si>
    <t>Augmentation / baisse des liquidités</t>
  </si>
  <si>
    <t>नकद में Inc/dec</t>
  </si>
  <si>
    <t>Inc./dec. in Cash</t>
  </si>
  <si>
    <t>Penambahan/Pengurangan Tunai</t>
  </si>
  <si>
    <t>Cambio in liquidità</t>
  </si>
  <si>
    <t>כלול/דצמבר במזומן</t>
  </si>
  <si>
    <t>現金増減額</t>
  </si>
  <si>
    <t>현금 증가/감소</t>
  </si>
  <si>
    <t>Inkomsten/dec. In cash</t>
  </si>
  <si>
    <t>Inkl./des. i kontanter</t>
  </si>
  <si>
    <t>Zmiana stanu środków pieniężnych</t>
  </si>
  <si>
    <t>Inc / dec de Dinheiro</t>
  </si>
  <si>
    <t>Creșteri/Descreșteri în Numerar</t>
  </si>
  <si>
    <t>Рост/пад. налич.</t>
  </si>
  <si>
    <t>zvýšenie/zníženie v hotovosti</t>
  </si>
  <si>
    <t>Inc/dec v gotovini</t>
  </si>
  <si>
    <t>Pov./smanj. gotovine</t>
  </si>
  <si>
    <t>Ökn./minskn. i kontanter</t>
  </si>
  <si>
    <t>Inc/dec เป็นเงินสด</t>
  </si>
  <si>
    <t>Nakit olarak Artma/Azalma</t>
  </si>
  <si>
    <t>Tăng/giảm tiền mặt</t>
  </si>
  <si>
    <t>现金增加/减少</t>
  </si>
  <si>
    <t>tt_pb_ratio</t>
  </si>
  <si>
    <t>Price-To-Book Ratio</t>
  </si>
  <si>
    <t>نسبة السعر إلى القيمة الدفترية</t>
  </si>
  <si>
    <t>Poměr cena-kniha</t>
  </si>
  <si>
    <t>Pris-til-bog-forhold</t>
  </si>
  <si>
    <t>Kurs-Buchwert-Verhältnis</t>
  </si>
  <si>
    <t>Ratio Precio/Valor libros</t>
  </si>
  <si>
    <t>मूल्य-से-बुक अनुपात</t>
  </si>
  <si>
    <t>P/B mutató</t>
  </si>
  <si>
    <t>Rasio Harga-Ke-Buku</t>
  </si>
  <si>
    <t>יחס מחיר להון עצמי</t>
  </si>
  <si>
    <t>Nisbah Harga-Ke-Buku</t>
  </si>
  <si>
    <t>Boekwaarde ratio</t>
  </si>
  <si>
    <t>Pris-for-bestilling forhold</t>
  </si>
  <si>
    <t>Cena/wartość księgowa</t>
  </si>
  <si>
    <t>Relação entre cotação e valor contabilístico</t>
  </si>
  <si>
    <t>Raport Preț-Valoare Contabilă</t>
  </si>
  <si>
    <t>Коэффициент цена/балансовая стоимость</t>
  </si>
  <si>
    <t>Pomer cena - účtovná kniha</t>
  </si>
  <si>
    <t>P/B Racio</t>
  </si>
  <si>
    <t>Pris-till-bokförhållande</t>
  </si>
  <si>
    <t>Fiyat Defter Değeri Oranı</t>
  </si>
  <si>
    <t>Tỷ lệ giá trên sổ sách</t>
  </si>
  <si>
    <t>股价与帐面价值比率</t>
  </si>
  <si>
    <t>&gt;股價與帳面價值比率</t>
  </si>
  <si>
    <t>edit_status_message_title</t>
  </si>
  <si>
    <t>Edit Status Message</t>
  </si>
  <si>
    <t>Editar Mensaje de Estado</t>
  </si>
  <si>
    <t>Modifier le message de l\'état</t>
  </si>
  <si>
    <t>Editar a Menxase de Estado</t>
  </si>
  <si>
    <t>Állapotüzenet szerkesztése</t>
  </si>
  <si>
    <t>Modifica messaggio di stato</t>
  </si>
  <si>
    <t>allow</t>
  </si>
  <si>
    <t>Allow</t>
  </si>
  <si>
    <t>إسمح</t>
  </si>
  <si>
    <t>Позволяване</t>
  </si>
  <si>
    <t>Permetre</t>
  </si>
  <si>
    <t>Erlauben</t>
  </si>
  <si>
    <t>Permitir</t>
  </si>
  <si>
    <t>Autoriser</t>
  </si>
  <si>
    <t>Megenged</t>
  </si>
  <si>
    <t>Consenti</t>
  </si>
  <si>
    <t>許可</t>
  </si>
  <si>
    <t>허가</t>
  </si>
  <si>
    <t>Toestaan</t>
  </si>
  <si>
    <t>Pozwól</t>
  </si>
  <si>
    <t>Разрешить</t>
  </si>
  <si>
    <t>Дозволи</t>
  </si>
  <si>
    <t>Tillåt</t>
  </si>
  <si>
    <t>Дозволити</t>
  </si>
  <si>
    <t>允許</t>
  </si>
  <si>
    <t>your_name</t>
  </si>
  <si>
    <t>Your name</t>
  </si>
  <si>
    <t>Името Ви</t>
  </si>
  <si>
    <t>Dein Name</t>
  </si>
  <si>
    <t>Tu nombre</t>
  </si>
  <si>
    <t>O seu nome</t>
  </si>
  <si>
    <t>A neve</t>
  </si>
  <si>
    <t>Il tuo nome</t>
  </si>
  <si>
    <t>Je naam</t>
  </si>
  <si>
    <t>Twoja nazwa</t>
  </si>
  <si>
    <t>tt_ind_macd_forest_short</t>
  </si>
  <si>
    <t>MACD Forest</t>
  </si>
  <si>
    <t>مؤشر ماك دي فوريست (تقارب وتباعد المتوسطات المتحركة)</t>
  </si>
  <si>
    <t>MACD metsä</t>
  </si>
  <si>
    <t>एमएसीडी फॉरेस्ट</t>
  </si>
  <si>
    <t>Hutan MACD</t>
  </si>
  <si>
    <t>מתנד החפיפה/סטיה (MACD) - קרן נאמנות פורסט</t>
  </si>
  <si>
    <t>MACD</t>
  </si>
  <si>
    <t>MACD 포레스트</t>
  </si>
  <si>
    <t>MACD Ormanı</t>
  </si>
  <si>
    <t>Rừng cây MACD</t>
  </si>
  <si>
    <t>MACD柱线</t>
  </si>
  <si>
    <t>&gt;MACD柱線</t>
  </si>
  <si>
    <t>ratings_view</t>
  </si>
  <si>
    <t>عرض التقييمات</t>
  </si>
  <si>
    <t>dominica</t>
  </si>
  <si>
    <t>Dominica</t>
  </si>
  <si>
    <t>Dominika</t>
  </si>
  <si>
    <t>Dominiqe</t>
  </si>
  <si>
    <t>Доминика</t>
  </si>
  <si>
    <t>send_never</t>
  </si>
  <si>
    <t>Never ask again</t>
  </si>
  <si>
    <t>لا تسألني ثانية</t>
  </si>
  <si>
    <t>Не ме питайте повече</t>
  </si>
  <si>
    <t>No preguntis de nou</t>
  </si>
  <si>
    <t>Nie mehr nachfragen</t>
  </si>
  <si>
    <t>No preguntar de nuevo</t>
  </si>
  <si>
    <t>Ne plus me demander</t>
  </si>
  <si>
    <t>Non preguntar de novo</t>
  </si>
  <si>
    <t>Ne kérdezze többször</t>
  </si>
  <si>
    <t>Jangan tanya lagi</t>
  </si>
  <si>
    <t>Non chiedere più</t>
  </si>
  <si>
    <t>今後表示しない</t>
  </si>
  <si>
    <t>더이상 묻지 않기</t>
  </si>
  <si>
    <t>Niet opnieuw vragen</t>
  </si>
  <si>
    <t>Nie pytaj ponownie</t>
  </si>
  <si>
    <t>Não perguntar novamente</t>
  </si>
  <si>
    <t>Больше не спрашивать</t>
  </si>
  <si>
    <t>Nepýtať sa znova</t>
  </si>
  <si>
    <t>Не питај више</t>
  </si>
  <si>
    <t>Fråga aldrig igen</t>
  </si>
  <si>
    <t>Ніколи не питати знову</t>
  </si>
  <si>
    <t>Đừng hỏi lại nữa</t>
  </si>
  <si>
    <t>不再詢問</t>
  </si>
  <si>
    <t>palau</t>
  </si>
  <si>
    <t>Palau</t>
  </si>
  <si>
    <t>Belau (Palau)</t>
  </si>
  <si>
    <t>Palaos</t>
  </si>
  <si>
    <t>Палау</t>
  </si>
  <si>
    <t>tt_ind_moving_average_convergence_divergence_short</t>
  </si>
  <si>
    <t>مؤشر ماك دي</t>
  </si>
  <si>
    <t>एमएसीडी</t>
  </si>
  <si>
    <t>מתנד החפיפה/סטיה (MACD)</t>
  </si>
  <si>
    <t>Схождение/Расхождение скользящего среднего</t>
  </si>
  <si>
    <t>指数平滑异同移动平均线（MACD）</t>
  </si>
  <si>
    <t>&gt;指數平滑異同移動平均線(MACD)</t>
  </si>
  <si>
    <t>tt_volatility_ytd</t>
  </si>
  <si>
    <t>Volatility YTD</t>
  </si>
  <si>
    <t>تقلّب الأسعار منذ بداية العام وحتى تاريخه</t>
  </si>
  <si>
    <t>Волатилност YTD</t>
  </si>
  <si>
    <t>Volatilita od začátku roku</t>
  </si>
  <si>
    <t>Volatilitet ÅTD</t>
  </si>
  <si>
    <t>Volatilität YTD</t>
  </si>
  <si>
    <t>Μεταβλητότητα YTD</t>
  </si>
  <si>
    <t>Volatilidad un año a la fecha</t>
  </si>
  <si>
    <t>Volatiliteetti YTD</t>
  </si>
  <si>
    <t>Volatilité depuis le début de l\'exercice</t>
  </si>
  <si>
    <t>परिवर्तनशील वाईटीडी</t>
  </si>
  <si>
    <t>YTD volatilitás</t>
  </si>
  <si>
    <t>Volatilitas STI</t>
  </si>
  <si>
    <t>Volatilità YTD</t>
  </si>
  <si>
    <t>תנודתיות מתחילת השנה ועד היום</t>
  </si>
  <si>
    <t>年初来ボラリティ</t>
  </si>
  <si>
    <t>변동성 YTD</t>
  </si>
  <si>
    <t>Volatiliti STI</t>
  </si>
  <si>
    <t>Volatiliteit YTD</t>
  </si>
  <si>
    <t>Flyktighet ÅTD</t>
  </si>
  <si>
    <t>Zmienność YTD</t>
  </si>
  <si>
    <t>Volatilidade YTD</t>
  </si>
  <si>
    <t>Volatilitatea YTD</t>
  </si>
  <si>
    <t>Волатильность с начала года</t>
  </si>
  <si>
    <t>Nestálosť YTD</t>
  </si>
  <si>
    <t>Volatilnost od začetka leta</t>
  </si>
  <si>
    <t>Volatilnost YTD</t>
  </si>
  <si>
    <t>Volatilitet YTD</t>
  </si>
  <si>
    <t>ความผันผวนจากต้นปีจนถึงปัจจุบัน</t>
  </si>
  <si>
    <t>Volatilite YTD</t>
  </si>
  <si>
    <t>Biến động YTD</t>
  </si>
  <si>
    <t>今年为止的波动</t>
  </si>
  <si>
    <t>data_saver_enabled_explained</t>
  </si>
  <si>
    <t>Your operating system is restricting Conversations from accessing the Internet when in background. To receive notifications of new messages you should allow Conversations unrestricted access when Data saver is on.\nConversations will still make an effort to save data when possible.</t>
  </si>
  <si>
    <t>Операционната Ви система не позволява на Conversations да се свързва с Интернет когато работи на заден фон. За да получавате известия за новите съобщения, трябва да дадете на Conversations неограничен достъп когато съхранението на данни е включено.\nConversations ще продължи да се опитва да записва данните когато е възможно.</t>
  </si>
  <si>
    <t>El vostre sistema operatiu restringeix a Conversations d\'accedir a Internet quan en segon pla. Per rebre notificacions de missatges nous, haureu de permetre que l\'accés sense restriccions a Conversations quan el protector de dades estigui activat.\nConversations encara farà un esforç per guardar dades quan sigui possible.</t>
  </si>
  <si>
    <t>Dein Betriebssystem verbietet Conversations im Hintergrund den Zugang zum Internet. Um Benachrichtigungen erhalten zu können, solltest du Conversations den Zugang erlauben, wenn der Datensparmodus aktiv ist. Conversations wird dennoch versuchen, so viele Daten wie möglich einzusparen.</t>
  </si>
  <si>
    <t>Tu sistema operativo está restringiendo a Conversations acceder a internet cuando está en segundo plano. Para recibir notificaciones de nuevos mensajes deberías permitir a Conversations acceder a internet cuando la optimización de datos está habilitada.\nConversations realizará igualmente optimizaciones para ahorrar datos cuando sea posible.</t>
  </si>
  <si>
    <t>Votre système d\'exploitation empêche Conversations d’accéder à Internet lorsque l\'application est en arrière plan. Pour recevoir les notifications de nouveaux messages, vous devez autoriser Conversations à accéder au réseau sans restriction quand l\'Économiseur de données est activé.\n Conversations tentera de consommer le moins de données possible.</t>
  </si>
  <si>
    <t>O seu sistema operativo está restrinxindo a Conversations para acceder a internet cando está en segundo plano. Para recibir notificacións de novas mensaxes debería permitir a Conversations acceso non restrinxido cando o aforro de datos está acendido.\nConversations fará todo o posible para aforrar consumo de datos.</t>
  </si>
  <si>
    <t>Az operációs rendszer korlátozza a Conversations hozzáférését az internethez, amikor a háttérben fut. Az új üzeneteket értesítésének fogadásához lehetővé kell tennie a Conversations korlátlan hozzáférését, ha az Adatspórolás aktív.\nConversations továbbra is arra törekszik, hogy spóroljon az adatokat, ha lehetséges.</t>
  </si>
  <si>
    <t>Il tuo sistema operativo sta limitando l\'accesso internet a Conversations quando è in background. Per ricevere le notifiche di nuovi messaggi dovresti consentire l\'accesso senza limiti a Conversations quando il Risparmio dati è attivo.\nConversations cercherà comunque di risparmiare dati quando possibile.</t>
  </si>
  <si>
    <t>お使いのオペレーティングシステムは、Conversationsがバックグラウンドのときにインターネットにアクセスすることを制限しています。新しいメッセージの通知を受信するには、データセーバーがオンになっているとき、Conversationsに無制限のアクセスを許可する必要があります。\nConversationsは可能なときにデータを保存するための努力をします。</t>
  </si>
  <si>
    <t>운영 시스템은 Conversations 백그라운드 때 인터넷에 액세스하는 것을 제한하고 있습니다. 새 메시지 알림을 수신하려면 데이터 보호기가 켜져있을 때, Conversations에 무제한 액세스를 허용해야합니다. \n Conversations는 가능하면 데이터를 저장하기 위해 노력하고 있습니다.</t>
  </si>
  <si>
    <t>Je besturingssysteem verhindert Conversations toegang tot het internet wanneer Conversations zich in de achtergrond bevindt. Om meldingen van nieuwe berichten te krijgen moet je Conversations onbeperkte toegang geven wanneer gegevensbesparing is ingeschakeld.\nConversations zal nog steeds proberen wanneer mogelijk gegevens te besparen.</t>
  </si>
  <si>
    <t>Twój system operacyjny blokuje dostęp do internetu Conversations, kiedy jest w tle. Aby dostawać powiadomienia dla nowych wiadomości powinieneś/powinnaś dać Conversations nieograniczony dostęp do internetu, kiedy Oszczędzanie danych jest włączone.Conversations będzie wciąż ograniczał transfer danych, kiedy tylko to jest możliwe.</t>
  </si>
  <si>
    <t>Ваша операционная система не позволяет Conversations получать доступ в Интернет в фоновом режиме. Для получения уведомлений вы должны разрешить Conversations неограниченный доступ когда режим экономии трафика включен.\nConversations постарается сохранить трафик когда это возможно.</t>
  </si>
  <si>
    <t>Ваш оперативни систем ограничава Конверзацији приступ интернету када ради у позадини. Да бисте примали обавештења за нове поруке, треба да дозволите приступ Конверзацији и када је чувар протока укључен.\nКонверзација ће и даље водити рачуна да троши само колико је неопходно.</t>
  </si>
  <si>
    <t>Ditt operativsystem begränsar Internet-access för Conversations i när den är i bakgrunden. För att få notifieringar vid nya meddelanden behöver du ge Conversations obegränsad access när databesparing är påslaget.\nConversations kommer ändå försöka minska dataanvändningen när det är möjligt.</t>
  </si>
  <si>
    <t>Ваша операційна система обмежує програмі Conversations доступ до Інтернету, коли вона не на екрані. Щоб отримувати сповіщення про нові повідомлення, вам слід дозволити програмі Conversations необмежений доступ, коли включено економію передачі даних.\nПрограма Conversations все одно буде намагатися зекономити дані, коли це можливо.</t>
  </si>
  <si>
    <t>您的作業系統禁止本程式在後臺運行時存取網際網路。為了收到新訊息提示，您需要在流量節省模式下允許本程式有不受限制的存取權。\n本程式仍會盡可能節省流量。</t>
  </si>
  <si>
    <t>copy_link</t>
  </si>
  <si>
    <t>Copy web address</t>
  </si>
  <si>
    <t>Копиране на уеб адрес</t>
  </si>
  <si>
    <t>Copiar adreça web</t>
  </si>
  <si>
    <t>Internetadresse kopieren</t>
  </si>
  <si>
    <t>Copiar dirección web</t>
  </si>
  <si>
    <t>Copier l\'adresse internet</t>
  </si>
  <si>
    <t>Copiar a dirección web</t>
  </si>
  <si>
    <t>Webcím másolása</t>
  </si>
  <si>
    <t>Copia indirizzo web</t>
  </si>
  <si>
    <t>ウェブアドレスをコピー</t>
  </si>
  <si>
    <t>Webadres kopiëren</t>
  </si>
  <si>
    <t>Skopiuj URL</t>
  </si>
  <si>
    <t>Копирај веб адресу</t>
  </si>
  <si>
    <t>file_deleted</t>
  </si>
  <si>
    <t>The file has been deleted</t>
  </si>
  <si>
    <t>تم حذف الملف</t>
  </si>
  <si>
    <t>Файлът беше изтрит</t>
  </si>
  <si>
    <t>L\'arxiu ha sigut eliminat</t>
  </si>
  <si>
    <t>Datei wurde gelöscht</t>
  </si>
  <si>
    <t>El archivo ha sido eliminado</t>
  </si>
  <si>
    <t>Le fichier a été supprimé</t>
  </si>
  <si>
    <t>Este ficheiro eliminouse</t>
  </si>
  <si>
    <t>A fájl törlésre került</t>
  </si>
  <si>
    <t>Berkas sudah dihapus</t>
  </si>
  <si>
    <t>Il file è stato eliminato</t>
  </si>
  <si>
    <t>ファイルを削除しました</t>
  </si>
  <si>
    <t>파일이 삭제되었습니다</t>
  </si>
  <si>
    <t>Het bestand is verwijderd</t>
  </si>
  <si>
    <t>Plik został usunięty</t>
  </si>
  <si>
    <t>O ficheiro foi eliminado</t>
  </si>
  <si>
    <t>Файл был удалён</t>
  </si>
  <si>
    <t>Súbor bol vymazaný</t>
  </si>
  <si>
    <t>Фајл је обрисан</t>
  </si>
  <si>
    <t>Filen har blivit borttagen</t>
  </si>
  <si>
    <t>Файл видалено</t>
  </si>
  <si>
    <t>Đã xoá tập tin</t>
  </si>
  <si>
    <t>檔案已經刪除了</t>
  </si>
  <si>
    <t>tt_already_logged_in</t>
  </si>
  <si>
    <t>Real-time quotes are not available because your are already logged in on another device.</t>
  </si>
  <si>
    <t>لا تتوفر عروض الأسعار في الوقت الفعلي نظرًا لتسجيلك الدخول على جهاز آخر بالفعل.</t>
  </si>
  <si>
    <t>Котировки в реално време не са налични, защото сте влезли от друго устройство.</t>
  </si>
  <si>
    <t>Nabídky v reálném čase nejsou k dispozici, protože jste právě přihlášen(a) na jiném zařízení.</t>
  </si>
  <si>
    <t>Kvoter i realtid er ikke tilgængelige, fordi du allerede er logget ind på en anden enhed.</t>
  </si>
  <si>
    <t>Keine Echtzeitkurse verfügbar, da ihr Benutzerzugang bereits woanders eingeloggt ist.</t>
  </si>
  <si>
    <t>Οι προσφορές σε πραγματικό χρόνο δεν είναι διαθέσιμες, επειδή έχετε ήδη συνδεθεί σε άλλη συσκευή.</t>
  </si>
  <si>
    <t>Las cotizaciones en tiempo real no están disponibles porque ya ha iniciado sesión desde otro dispositivo.</t>
  </si>
  <si>
    <t>Reaaliaikaiset tarjoukset eivät ole käytettävissä, koska olet jo kirjautunut sisään toisella laitteella.</t>
  </si>
  <si>
    <t>La cotation en temps réel n\'est pas disponible car vous êtes déjà connecté sur un autre appareil</t>
  </si>
  <si>
    <t>रियल-टाइम कोट्स उपलब्ध नहीं हैं क्योंकि आपके पहले से ही किसी अन्य डिवाइस पर लॉग-इन हैं।</t>
  </si>
  <si>
    <t>A real-time adatok nem érhetők el, mert egy másik TeleTrader alkalmazásban is be van jelentkezve.</t>
  </si>
  <si>
    <t>Kutipan real-time tidak tersedia karena Anda sudah masuk di perangkat yang lain.</t>
  </si>
  <si>
    <t>Le quotazioni in tempo reale non sono disponibili perché sei già connesso con un altro dispositivo.</t>
  </si>
  <si>
    <t>הצעות מחיר בזמן אמת אינן זמינות מכיוון שאתה כבר מחובר למכשיר אחר.</t>
  </si>
  <si>
    <t>リアルタイム配信は使用できません。他のデバイスに現在ログインしています。</t>
  </si>
  <si>
    <t>사용자가 이미 다른 장치에 로그인되어 있기 때문에 실시간 시세를 이용할 수 없습니다.</t>
  </si>
  <si>
    <t>Sebut harga masa nyata tidak tersedia kerana anda sudah log masuk pada peranti yang lain.</t>
  </si>
  <si>
    <t>Real-time quotes zijn niet beschikbaar omdat u al ingelogd bent op een ander apparaat.</t>
  </si>
  <si>
    <t>Sanntidskurser er ikke tilgjengelig siden du allerede er innlogget med en annen enhet.</t>
  </si>
  <si>
    <t>Notowań w czasie rzeczywistym, nie są dostępne, ponieważ jesteś już zalogowany na innym urządzeniu.</t>
  </si>
  <si>
    <t>Cotações em tempo real não estão disponíveis porque o seu já está já tem sessão iniciada noutro dispositivo.</t>
  </si>
  <si>
    <t>Ofertele în timp real nu sunt disponibile deoarece ești deja conectat pe un alt dispozitiv</t>
  </si>
  <si>
    <t>Котировки в реальном времени недоступны,так как вы зашли под вашим аккаунтом на другом устройстве</t>
  </si>
  <si>
    <t>Ponuky v reálnom čase nie sú k dispozícii, pretože ste už prihlásený na inom zariadení.</t>
  </si>
  <si>
    <t>Izjave v realnem času niso na voljo, ker ste že prijavljeni v drugi napravi.</t>
  </si>
  <si>
    <t>Podaci u realnom vremenu nisu dostupni zato što ste već prijavljeni na drugom uređaju.</t>
  </si>
  <si>
    <t>Noteringar i realtid är inte tillgängliga eftersom du redan är inloggad på en annan enhet.</t>
  </si>
  <si>
    <t>ไม่สามารถใช้การเสนอราคาแบบเรียลไทม์ได้เนื่องจากมีการเข้าสู่ระบบค้างไว้ในอุปกรณ์อื่น</t>
  </si>
  <si>
    <t>Gerçek zamanlı teklifler, başka bir cihazda zaten oturum açmış olduğunuz için mevcut değildir.</t>
  </si>
  <si>
    <t>Tính năng báo giá thời gian thực không khả dụng vì bạn đã đăng nhập trên thiết bị khác.</t>
  </si>
  <si>
    <t>你已在其他装置登入，不能使用即时报价</t>
  </si>
  <si>
    <t>&gt;你已在其他裝置登入，不能使用即時報價</t>
  </si>
  <si>
    <t>tt_widget_updates_interval_summary</t>
  </si>
  <si>
    <t>Define how often widget updates will be performed</t>
  </si>
  <si>
    <t>تحديد عدد مرات إجراء تحديثات لعناصر واجهة المستخدم</t>
  </si>
  <si>
    <t>Задайте честота на актуализации на уиджети</t>
  </si>
  <si>
    <t>Určete, jak často budou prováděny aktualizace widgetů</t>
  </si>
  <si>
    <t>Definer, hvor ofte widgetopdateringer skal udføres</t>
  </si>
  <si>
    <t>Definiere wie oft die Kursdaten aktualisiert werden.</t>
  </si>
  <si>
    <t>Καθορίστε πόσο συχνά θα εκτελούνται ενημερώσεις widget</t>
  </si>
  <si>
    <t>Defina con que frecuencia se actualiza el widget</t>
  </si>
  <si>
    <t>Määritä, kuinka usein widget-päivitykset suoritetaan</t>
  </si>
  <si>
    <t>Définir la fréquence d\'actualisation des widgets</t>
  </si>
  <si>
    <t>निश्चित करें कि कितनी बार विजेट अपडेट किए जाएंगे</t>
  </si>
  <si>
    <t>A widget frissítések elvégzési gyakoriságának meghatározása</t>
  </si>
  <si>
    <t>Tentukan seberapa sering pembaruan widget akan dilakukan</t>
  </si>
  <si>
    <t>Definisci quanto spesso widget aggiornamenti verranno eseguiti.</t>
  </si>
  <si>
    <t>הגדר באיזו תדירות יבוצעו עדכוני widget</t>
  </si>
  <si>
    <t>ウィジェットがどのくらいの頻度でアップデートされるのが明確にする</t>
  </si>
  <si>
    <t>위젯 업데이트 빈도 설정</t>
  </si>
  <si>
    <t>Tentukan betapa kerapnya kemas kini widget akan dilakukan</t>
  </si>
  <si>
    <t>Bepaal hoe vaak de applicatie updates moeten worden uitgevoerd</t>
  </si>
  <si>
    <t>Definer hvor ofte widget-oppdateringer skal utføres</t>
  </si>
  <si>
    <t>Określ, jak często będą wykonywane aktualizacje</t>
  </si>
  <si>
    <t>Definir a frequência das atualizações do widget</t>
  </si>
  <si>
    <t>Definește cât de des se vor face actualizările widget-urilor</t>
  </si>
  <si>
    <t>Установите частоту обновлений приложения</t>
  </si>
  <si>
    <t>Určite, ako často sa budú vykonávať aktualizácie widgetov</t>
  </si>
  <si>
    <t>Določite, kako pogosto se bodo izvajale posodobitve pripomočkov</t>
  </si>
  <si>
    <t>Definiši koliko često će se vršiti ažuriranje podataka</t>
  </si>
  <si>
    <t>Definiera hur ofta widgetuppdateringar ska utföras</t>
  </si>
  <si>
    <t>กำหนดความถี่ของการอัปเดตวิตเก็ต</t>
  </si>
  <si>
    <t>Widget güncellemelerinin ne sıklıkla gerçekleştirileceğini tanımla</t>
  </si>
  <si>
    <t>Xác định tần suất thực hiện cập nhật widget</t>
  </si>
  <si>
    <t>定义多久部件的更新将执行</t>
  </si>
  <si>
    <t>&gt;定義多久部件的更新將執行</t>
  </si>
  <si>
    <t>openpgp_has_been_published</t>
  </si>
  <si>
    <t>OpenPGP public key has been published.</t>
  </si>
  <si>
    <t>لقد تم نشر مفتاح OpenPGP العمومي.</t>
  </si>
  <si>
    <t>Публичният OpenPGP ключ беше публикуван.</t>
  </si>
  <si>
    <t>S\'ha publicat la clau pública d\'OpenPGP.</t>
  </si>
  <si>
    <t>Öffentlicher OpenPGP-Schlüssel wurde veröffentlicht.</t>
  </si>
  <si>
    <t>Clave pública OpenPGP ha sido publicada.</t>
  </si>
  <si>
    <t>La clef publique OpenPGP a été publiée</t>
  </si>
  <si>
    <t>Publicouse a chave pública OpenPGP</t>
  </si>
  <si>
    <t>OpenPGP publikus kulcs meg lett adva.</t>
  </si>
  <si>
    <t>La chiave pubblica OpenPGP è stata pubblicata.</t>
  </si>
  <si>
    <t>OpenPGP 公開鍵を公開しました。</t>
  </si>
  <si>
    <t>OpenPGP 공개키를 공개했습니다.</t>
  </si>
  <si>
    <t>OpenPGP-publieke sleutel is gepubliceerd.</t>
  </si>
  <si>
    <t>Klucz publiczny OpenPGP został opublikowany.</t>
  </si>
  <si>
    <t>Открытый ключ OpenPGP был опубликован.</t>
  </si>
  <si>
    <t>ОпенПГП јавни кључ је објављен.</t>
  </si>
  <si>
    <t>OpenPGP-nyckel har publicerats.</t>
  </si>
  <si>
    <t>Публічний ключ OpenPGP опубліковано.</t>
  </si>
  <si>
    <t>Đã phát hành khoá công cộng OpenPGP.</t>
  </si>
  <si>
    <t>OpenPGP 公開金鑰已發佈</t>
  </si>
  <si>
    <t>tt_premium</t>
  </si>
  <si>
    <t>Premium</t>
  </si>
  <si>
    <t>قسط</t>
  </si>
  <si>
    <t>Премиум</t>
  </si>
  <si>
    <t>Pojistné</t>
  </si>
  <si>
    <t>Aufgeld</t>
  </si>
  <si>
    <t>Ασφάλιστρο</t>
  </si>
  <si>
    <t>प्रीमियम</t>
  </si>
  <si>
    <t>Prémium</t>
  </si>
  <si>
    <t>Premio</t>
  </si>
  <si>
    <t>פרימיום</t>
  </si>
  <si>
    <t>プレミアム</t>
  </si>
  <si>
    <t>프리미엄</t>
  </si>
  <si>
    <t>Premie</t>
  </si>
  <si>
    <t>Premia</t>
  </si>
  <si>
    <t>Премия</t>
  </si>
  <si>
    <t>พรีเมียม</t>
  </si>
  <si>
    <t>Cao cấp</t>
  </si>
  <si>
    <t>溢价</t>
  </si>
  <si>
    <t>pref_display_enter_key_summary</t>
  </si>
  <si>
    <t>Change the emoticons key to an enter key</t>
  </si>
  <si>
    <t>تغيير مفتاح الرموز إلى مفتاح الدخول</t>
  </si>
  <si>
    <t>Смяна на клавиша за емотикони с клавиша Enter</t>
  </si>
  <si>
    <t>Canviar la clau dels emoticones per un botó d\'entrada</t>
  </si>
  <si>
    <t>Taste durch Eingabe-Taste ersetzen</t>
  </si>
  <si>
    <t>Cambiar la tecla de emoticonos por la tecla Intro</t>
  </si>
  <si>
    <t>Remplacer la touche Émoticônes par une touche Entrée.</t>
  </si>
  <si>
    <t>Cambiar a chave de emoticonas pola tecla Enter</t>
  </si>
  <si>
    <t>Hangulatjel helyett enter-t használjon</t>
  </si>
  <si>
    <t>Mengubah kunci untuk memasukan kunci</t>
  </si>
  <si>
    <t>Cambia il tasto delle faccine nel tasto di invio</t>
  </si>
  <si>
    <t>絵文字キーを Enter キーに変更</t>
  </si>
  <si>
    <t>이모티콘 키를 엔터 키로 바꿉니다</t>
  </si>
  <si>
    <t>Verander de emoticon-toets in een enter-toets</t>
  </si>
  <si>
    <t>Zamień klawisz emotikon na klawisz Enter</t>
  </si>
  <si>
    <t>Alterar a tecla dos emoticons para uma tecla enter</t>
  </si>
  <si>
    <t>Поменять кнопку смайликов на кнопку ввода</t>
  </si>
  <si>
    <t>Zmeniť klávesu s emotikonmi na klávesu enter</t>
  </si>
  <si>
    <t>Промени тастер за емотиконе у ентер тастер</t>
  </si>
  <si>
    <t>Byt ut emoticons-tangenten mot en enter-tangent</t>
  </si>
  <si>
    <t>Змінити кнопку смайлів на кнопку enter</t>
  </si>
  <si>
    <t>Đổi nút biểu tượng cảm xúc thành nút Enter</t>
  </si>
  <si>
    <t>改變表情鍵為回車鍵</t>
  </si>
  <si>
    <t>action_accounts</t>
  </si>
  <si>
    <t>Manage accounts</t>
  </si>
  <si>
    <t>إدارة الحسابات</t>
  </si>
  <si>
    <t>Управление на профилите</t>
  </si>
  <si>
    <t>Gestiona els comptes</t>
  </si>
  <si>
    <t>Konten verwalten</t>
  </si>
  <si>
    <t>Gestionar cuentas</t>
  </si>
  <si>
    <t>Gérer les comptes</t>
  </si>
  <si>
    <t>Xestionar contas</t>
  </si>
  <si>
    <t>Fiókok kezelése</t>
  </si>
  <si>
    <t>Pengaturan Akun</t>
  </si>
  <si>
    <t>계정</t>
  </si>
  <si>
    <t>Accounts beheren</t>
  </si>
  <si>
    <t>Zarządzaj kontami</t>
  </si>
  <si>
    <t>Gerir contas</t>
  </si>
  <si>
    <t>Управление аккаунтами</t>
  </si>
  <si>
    <t>Nastavenie účtov</t>
  </si>
  <si>
    <t>Управљај налозима</t>
  </si>
  <si>
    <t>Kontoinställningar</t>
  </si>
  <si>
    <t>Впорядкувати облікові записи</t>
  </si>
  <si>
    <t>Quản lý tài khoản</t>
  </si>
  <si>
    <t>管理帳戶</t>
  </si>
  <si>
    <t>recommend_first_row</t>
  </si>
  <si>
    <t>Recommend</t>
  </si>
  <si>
    <t>Anbefal</t>
  </si>
  <si>
    <t>Empfehlen Sie</t>
  </si>
  <si>
    <t>Recomiende</t>
  </si>
  <si>
    <t>Suosittele</t>
  </si>
  <si>
    <t>Recommandez</t>
  </si>
  <si>
    <t>baha stocks</t>
  </si>
  <si>
    <t>Raccomanda</t>
  </si>
  <si>
    <t>「baha stocks」</t>
  </si>
  <si>
    <t>Syorkan</t>
  </si>
  <si>
    <t>Anbefalt</t>
  </si>
  <si>
    <t>Poleć</t>
  </si>
  <si>
    <t>Recomendar</t>
  </si>
  <si>
    <t>Рекомендовать</t>
  </si>
  <si>
    <t>Preporučite</t>
  </si>
  <si>
    <t>Rekommendera</t>
  </si>
  <si>
    <t>推荐</t>
  </si>
  <si>
    <t>moderated</t>
  </si>
  <si>
    <t>Moderated</t>
  </si>
  <si>
    <t>تحت الرقابة</t>
  </si>
  <si>
    <t>С модератор</t>
  </si>
  <si>
    <t>Moderat</t>
  </si>
  <si>
    <t>Moderiert</t>
  </si>
  <si>
    <t>Moderada</t>
  </si>
  <si>
    <t>Modéré</t>
  </si>
  <si>
    <t>Moderált</t>
  </si>
  <si>
    <t>Moderata</t>
  </si>
  <si>
    <t>司会</t>
  </si>
  <si>
    <t>중재됨</t>
  </si>
  <si>
    <t>Gemodereerd</t>
  </si>
  <si>
    <t>Moderowany</t>
  </si>
  <si>
    <t>Moderado</t>
  </si>
  <si>
    <t>Модерируемая</t>
  </si>
  <si>
    <t>Уређивана</t>
  </si>
  <si>
    <t>Modererad</t>
  </si>
  <si>
    <t>Модеровано</t>
  </si>
  <si>
    <t>Đã điều phối</t>
  </si>
  <si>
    <t>tt_pf_custquote_error</t>
  </si>
  <si>
    <t>Invalid quote!</t>
  </si>
  <si>
    <t>عرض أسعار غير صالح!</t>
  </si>
  <si>
    <t>Невалидна котировка!</t>
  </si>
  <si>
    <t>Neplatná nabídka!</t>
  </si>
  <si>
    <t>Ugyldigt kvote!</t>
  </si>
  <si>
    <t>Ungültiger Eingabe für den Kurs!</t>
  </si>
  <si>
    <t>Μη έγκυρη προσφορά!</t>
  </si>
  <si>
    <t>¡Valor Inválido!</t>
  </si>
  <si>
    <t>Virheellinen tarjous!</t>
  </si>
  <si>
    <t>Cotation invalide!</t>
  </si>
  <si>
    <t>अमान्य क्वोट!</t>
  </si>
  <si>
    <t>Description for error when (pfCustQuote &amp;lt; 0.0001) or (pfCustQuote &amp;gt; 1000000000)</t>
  </si>
  <si>
    <t>Penawaran tidak valid!</t>
  </si>
  <si>
    <t>Quotazione Invalido!</t>
  </si>
  <si>
    <t>הצעת מחיר לא חוקית!</t>
  </si>
  <si>
    <t>無効な数字です</t>
  </si>
  <si>
    <t>유효하지 않은 시세입니다!</t>
  </si>
  <si>
    <t>Sebut harga tidak sah!</t>
  </si>
  <si>
    <t>Ongeldige quote!</t>
  </si>
  <si>
    <t>Ugyldig kurs!</t>
  </si>
  <si>
    <t>Błędne notowanie!</t>
  </si>
  <si>
    <t>Cotação inválida!</t>
  </si>
  <si>
    <t>Cotație nevalidă!</t>
  </si>
  <si>
    <t>Неверная котировка!</t>
  </si>
  <si>
    <t>Neplatná ponuka!</t>
  </si>
  <si>
    <t>Neveljaven citat!</t>
  </si>
  <si>
    <t>Opis greške kad (pfCustQuote &amp;lt; 0.0001) or (pfCustQuote &amp;gt; 1000000000)</t>
  </si>
  <si>
    <t>Ogiltig notering!</t>
  </si>
  <si>
    <t>การเสนอราคาไม่ถูกต้อง!</t>
  </si>
  <si>
    <t>Geçersiz fiyat teklifi</t>
  </si>
  <si>
    <t>Báo giá không hợp lệ!</t>
  </si>
  <si>
    <t>报价不正确</t>
  </si>
  <si>
    <t>&gt;報價不正確</t>
  </si>
  <si>
    <t>retry_decryption</t>
  </si>
  <si>
    <t>Retry decryption</t>
  </si>
  <si>
    <t>إعادة محاولة فك التشفير</t>
  </si>
  <si>
    <t>Повторен опит за дешифроване</t>
  </si>
  <si>
    <t>Torneu a provar el desxifratge</t>
  </si>
  <si>
    <t>Entschlüsseln wiederholen</t>
  </si>
  <si>
    <t>Reintentar descifrado</t>
  </si>
  <si>
    <t>Nouvelle tentative de déchiffrement</t>
  </si>
  <si>
    <t>Voltar a intentar o descifrado</t>
  </si>
  <si>
    <t>Próbálja újra a dekódolást</t>
  </si>
  <si>
    <t>Ritenta decifrazione</t>
  </si>
  <si>
    <t>復号化を再試行</t>
  </si>
  <si>
    <t>Ontsleutelen opnieuw proberen</t>
  </si>
  <si>
    <t>Ponownie spróbuj odszyfrować</t>
  </si>
  <si>
    <t>Повторить расшифровку</t>
  </si>
  <si>
    <t>Покушај дешифровање поново</t>
  </si>
  <si>
    <t>Försök dekryptera igen</t>
  </si>
  <si>
    <t>Спробувати знову розшифрувати</t>
  </si>
  <si>
    <t>再試解密ㄧ次</t>
  </si>
  <si>
    <t>tt_yes</t>
  </si>
  <si>
    <t>نعم</t>
  </si>
  <si>
    <t>Ano</t>
  </si>
  <si>
    <t>Ναι</t>
  </si>
  <si>
    <t>Kyllä</t>
  </si>
  <si>
    <t>Oui</t>
  </si>
  <si>
    <t>जी हाँ</t>
  </si>
  <si>
    <t>Ya</t>
  </si>
  <si>
    <t>כן</t>
  </si>
  <si>
    <t>예</t>
  </si>
  <si>
    <t>Sim</t>
  </si>
  <si>
    <t>Da</t>
  </si>
  <si>
    <t>Áno</t>
  </si>
  <si>
    <t>ใช่</t>
  </si>
  <si>
    <t>Evet</t>
  </si>
  <si>
    <t>Có</t>
  </si>
  <si>
    <t>是</t>
  </si>
  <si>
    <t>&gt;是</t>
  </si>
  <si>
    <t>current_password</t>
  </si>
  <si>
    <t>Current password</t>
  </si>
  <si>
    <t>كلمة المرور الحالية</t>
  </si>
  <si>
    <t>Текуща парола</t>
  </si>
  <si>
    <t>Contrasenya actual</t>
  </si>
  <si>
    <t>Aktuelles Passwort</t>
  </si>
  <si>
    <t>Contraseña actual</t>
  </si>
  <si>
    <t>Mot de passe actuel</t>
  </si>
  <si>
    <t>Contrasinal actual</t>
  </si>
  <si>
    <t>Jelenlegi jelszó</t>
  </si>
  <si>
    <t>Password sekarang</t>
  </si>
  <si>
    <t>Password attuale</t>
  </si>
  <si>
    <t>現在のパスワード</t>
  </si>
  <si>
    <t>현재 암호</t>
  </si>
  <si>
    <t>Huidig wachtwoord</t>
  </si>
  <si>
    <t>Obecne hasło</t>
  </si>
  <si>
    <t>Palavra-passe atual</t>
  </si>
  <si>
    <t>Текущий пароль</t>
  </si>
  <si>
    <t>Aktuálne heslo</t>
  </si>
  <si>
    <t>Текућа лозинка</t>
  </si>
  <si>
    <t>Nuvarande lösenord</t>
  </si>
  <si>
    <t>Поточний пароль</t>
  </si>
  <si>
    <t>Mật khẩu hiện tại</t>
  </si>
  <si>
    <t>當前密碼</t>
  </si>
  <si>
    <t>hide</t>
  </si>
  <si>
    <t>Hide</t>
  </si>
  <si>
    <t>إخفاء</t>
  </si>
  <si>
    <t>Скрий</t>
  </si>
  <si>
    <t>Skrýt</t>
  </si>
  <si>
    <t>Skjule</t>
  </si>
  <si>
    <t>Ausblenden</t>
  </si>
  <si>
    <t>Απόκρυψη</t>
  </si>
  <si>
    <t>Ocultar</t>
  </si>
  <si>
    <t>Piilota</t>
  </si>
  <si>
    <t>Cacher</t>
  </si>
  <si>
    <t>छिपाएँ</t>
  </si>
  <si>
    <t>Elrejt</t>
  </si>
  <si>
    <t>Sembunyikan</t>
  </si>
  <si>
    <t>Nascondere</t>
  </si>
  <si>
    <t>הסתר</t>
  </si>
  <si>
    <t>表示しない</t>
  </si>
  <si>
    <t>숨기기</t>
  </si>
  <si>
    <t>Verbergen</t>
  </si>
  <si>
    <t>Skjul</t>
  </si>
  <si>
    <t>Ukryj</t>
  </si>
  <si>
    <t>Ascunde</t>
  </si>
  <si>
    <t>Скрыть</t>
  </si>
  <si>
    <t>Skryť</t>
  </si>
  <si>
    <t>Skrijte se</t>
  </si>
  <si>
    <t>Sakrij</t>
  </si>
  <si>
    <t>Dölj</t>
  </si>
  <si>
    <t>ซ่อน</t>
  </si>
  <si>
    <t>Sakla</t>
  </si>
  <si>
    <t>Ẩn</t>
  </si>
  <si>
    <t>隐藏</t>
  </si>
  <si>
    <t>verifying_omemo_keys_trusted_source</t>
  </si>
  <si>
    <t>You are about to verify the OMEMO keys of %1$s after clicking a link. This is only secure if you followed this link from a trusted source where only %2$s could have published this link.</t>
  </si>
  <si>
    <t>На път сте да потвърдите ключовете OMEMO на %1$s, след като сте щракнали връзка. Това е безопасна операция, само ако сте последвали тази връзка от доверено място, където само %2$s би могъл да я публикува.</t>
  </si>
  <si>
    <t>Esteu a punt de verificar les claus OMEMO de %1$sdesprés de fer clic a un enllaç. Això només és segur si seguiu aquest enllaç des d\'una font de confiança on només %2$s podria haver publicat aquest enllaç.</t>
  </si>
  <si>
    <t>Du bist dabei, die OMEMO-Schlüssel von %1$s nach dem Klick auf diesen Link zu überprüfen. Dies ist nur sicher, wenn du diesen Link von einer vertrauenswürdigen Quelle erhalten hast, der nur von %2$s veröffentlicht werden konnte.</t>
  </si>
  <si>
    <t>Vas a verificar las claves OMEMO de %1$s después de hacer click en el enlace. Esto solo es seguro si conseguiste este enlace desde una fuente de confianza donde solo %2$s pudo haber publicado el enlace</t>
  </si>
  <si>
    <t>Voit tarkistaa %1$s: n omemon avaimet napsauttamalla linkkiä. Tämä on vain turvallinen, jos seurasit tätä linkkiä luotettavasta lähteestä, jossa vain %2$s olisi voinut julkaista tämän linkin.</t>
  </si>
  <si>
    <t>Vous êtes sur le point de vérifier les clefs OMEMO de %1$s en cliquant sur un lien. Cette procédure n\'est sécurisée que si le lien en question n\'a pu être publié que par %2$s et que vous l\'avez obtenu d\'une source digne de confiance.</t>
  </si>
  <si>
    <t>Vai verificar as chaves OMEMO de %1$s despois de pulsar na ligazón. Esto só é seguro si sigueu esta ligazón desde unha fonte de confianza onde só %2$s a podería ter publicado.</t>
  </si>
  <si>
    <t>A linkre kattintás után %1$s OMEMO kulcsát ellenőrizni fogja. Ez csak akkor biztonságos, ha ezt a linket egy megbízható forrásból kapta, ahol csak %2$s tudta közzétenni ezt a linket.</t>
  </si>
  <si>
    <t>Stai per verificare le chiavi OMEMO di %1$s cliccando un link. Questo metodo è sicuro solo se hai seguito il link da una fonte fidata dove solo %2$s può averlo pubblicato.</t>
  </si>
  <si>
    <t>リンクをクリックした後、%1$s の OMEMO 鍵を検証しようとしています。 これは、%2$s がこのリンクを公開した、信頼できるソースからこのリンクをたどった場合にのみ安全です。</t>
  </si>
  <si>
    <t>링크를 클릭 한 후 %1$s의 OMEMO 키를 확인하려고 합니다. 이것은 %2$s이 링크를 공개한 신뢰할 수 있는 소스에서 따라가고 있을 때만 안전합니다.</t>
  </si>
  <si>
    <t>Je staat op het punt de OMEMO-sleutels van %1$s te verifiëren door op een link te klikken. Dit is enkel veilig als je de link van een betrouwbare bron hebt gevolgd, waarbij enkel %2$s de link gepubliceerd kan hebben.</t>
  </si>
  <si>
    <t>Du er i ferd med å bekrefte Omemo-tastene på %1$s etter å ha klikket på en lenke. Dette er bare sikkert hvis du fulgte denne lenken fra en pålitelig kilde der bare %2$s kunne ha publisert denne lenken.</t>
  </si>
  <si>
    <t>Zaraz zweryfikujesz klucz OMEMO %1$s klikając w link. Jest to bezpieczne jedynie, kiedy link pochodzi z zaufanego źródła gdzie tylko %2$s mógł go opublikować.</t>
  </si>
  <si>
    <t>Вы потвердите OMEMO ключи %1$s после нажатия на ссылку. Это безопасно только если вы перешли по ссылке из доверенного источника, где только %2$sмог разместить эту ссылку.</t>
  </si>
  <si>
    <t>Du håller på att verifiera OMEMO-nyckeln för %1$s efter att du följt en länk. Detta är endast säkert om du följde länken från en trovärdig källa där endast %2$s kan ha publiserat denna länk.</t>
  </si>
  <si>
    <t>Bir linke tıkladıktan sonra %1$s\'nin OMEMO tuşlarını doğrulamak üzeresiniz. Bu, yalnızca bu bağlantıyı yalnızca %2$s oların bu bağlantıyı yayınlayabileceği güvenilir bir kaynaktan takip ettiyseniz güvenlidir.</t>
  </si>
  <si>
    <t>Ви збираєтеся підтвердити ключі OMEMO для %1$s після переходу за посиланням. Це безпечно, лише якщо ви отримали посилання з довіреного джерела, де лише %2$s міг опублікувати це посилання.</t>
  </si>
  <si>
    <t>點了連結以後將會驗證 %1$s 的 OMEMO 金鑰。這個行為只有在該連結的來源可信任，並且只有 %2$s 可以提供該連結的情況下，才是安全無虞的。</t>
  </si>
  <si>
    <t>tt_ebit</t>
  </si>
  <si>
    <t>EBIT</t>
  </si>
  <si>
    <t>الأرباح قبل الفوائد والضرائب</t>
  </si>
  <si>
    <t>ईबीआईटी</t>
  </si>
  <si>
    <t>שולי הרווח התפעולי</t>
  </si>
  <si>
    <t>Прибыль до вычета процентов и налогов</t>
  </si>
  <si>
    <t>กำไรก่อนดอกเบี้ยและภาษี</t>
  </si>
  <si>
    <t>FVÖK</t>
  </si>
  <si>
    <t>息税前利润（EBIT）</t>
  </si>
  <si>
    <t>&gt;息税前利潤(EBIT)</t>
  </si>
  <si>
    <t>tt_cont_contract_adjusted</t>
  </si>
  <si>
    <t>CC adj.</t>
  </si>
  <si>
    <t>CC προσαρμογή</t>
  </si>
  <si>
    <t>सीसी adj.</t>
  </si>
  <si>
    <t>CC agg.</t>
  </si>
  <si>
    <t>חוזה עתידי מותאם</t>
  </si>
  <si>
    <t>CC調整済み</t>
  </si>
  <si>
    <t>CC 조정</t>
  </si>
  <si>
    <t>KK sko.</t>
  </si>
  <si>
    <t>CC Adjustado</t>
  </si>
  <si>
    <t>DS ayarlanmış</t>
  </si>
  <si>
    <t>HĐ vô thời hạn có điều chỉnh</t>
  </si>
  <si>
    <t>展期契约调整后</t>
  </si>
  <si>
    <t>&gt;展期契約調整後</t>
  </si>
  <si>
    <t>tt_pf_transaction_sell</t>
  </si>
  <si>
    <t>Sell</t>
  </si>
  <si>
    <t>بيع</t>
  </si>
  <si>
    <t>Продава</t>
  </si>
  <si>
    <t>Prodat</t>
  </si>
  <si>
    <t>Sælge</t>
  </si>
  <si>
    <t>Verkauf</t>
  </si>
  <si>
    <t>Πώληση</t>
  </si>
  <si>
    <t>Vender</t>
  </si>
  <si>
    <t>Myy</t>
  </si>
  <si>
    <t>Vendre</t>
  </si>
  <si>
    <t>बेचें</t>
  </si>
  <si>
    <t>Eladás</t>
  </si>
  <si>
    <t>Jual</t>
  </si>
  <si>
    <t>Vendita</t>
  </si>
  <si>
    <t>מכירה</t>
  </si>
  <si>
    <t>売り</t>
  </si>
  <si>
    <t>매도</t>
  </si>
  <si>
    <t>Verkoop</t>
  </si>
  <si>
    <t>Selg</t>
  </si>
  <si>
    <t>Sprzedaj / Sprzedaż</t>
  </si>
  <si>
    <t>Vinde</t>
  </si>
  <si>
    <t>Продать</t>
  </si>
  <si>
    <t>Predať</t>
  </si>
  <si>
    <t>Prodaja</t>
  </si>
  <si>
    <t>Prodaj</t>
  </si>
  <si>
    <t>Sälj</t>
  </si>
  <si>
    <t>ขาย</t>
  </si>
  <si>
    <t>Sat</t>
  </si>
  <si>
    <t>Bán</t>
  </si>
  <si>
    <t>卖出</t>
  </si>
  <si>
    <t>&gt;賣出</t>
  </si>
  <si>
    <t>this_device_is_no_longer_in_use</t>
  </si>
  <si>
    <t>This device is no longer in use</t>
  </si>
  <si>
    <t>لم يعُد هذا الجهاز مُستعمَلًا</t>
  </si>
  <si>
    <t>Това устройство вече не се използва</t>
  </si>
  <si>
    <t>Aquest dispositiu ja no està en ús</t>
  </si>
  <si>
    <t>Dieses Gerät ist nicht länger in Benutzung</t>
  </si>
  <si>
    <t>Este dispositivo ya no está en uso</t>
  </si>
  <si>
    <t>Cet appareil n\'est plus utilisé</t>
  </si>
  <si>
    <t>Este dispositivo xa non está en uso</t>
  </si>
  <si>
    <t>Ez az eszköz már nincs használatban</t>
  </si>
  <si>
    <t>Questo dispositivo non è più in uso</t>
  </si>
  <si>
    <t>このデバイスは、現在使用されていません</t>
  </si>
  <si>
    <t>이 장치는 현재 사용되고 있지 않습니다</t>
  </si>
  <si>
    <t>Dit apparaat wordt niet meer gebruikt</t>
  </si>
  <si>
    <t>Urządzenie to nie jest już używane</t>
  </si>
  <si>
    <t>Este dispositivo já não está em uso</t>
  </si>
  <si>
    <t>Данное устройство больше не используется</t>
  </si>
  <si>
    <t>Овај уређај више није у употреби</t>
  </si>
  <si>
    <t>Denna enhet används inte längre</t>
  </si>
  <si>
    <t>Цей пристрій більше не використовується</t>
  </si>
  <si>
    <t>此設備不再使用</t>
  </si>
  <si>
    <t>onboarding_stay_up_to_date</t>
  </si>
  <si>
    <t>Stay up to date with 24/7 breaking news coverage and your personal price alerts.</t>
  </si>
  <si>
    <t>Hold dig ajour døgnet rundt med løbende nyheder og dine personlige prisadvarsler.</t>
  </si>
  <si>
    <t>Bleiben Sie auf dem Laufenden mit 24/7 Eilmeldungen und Ihren persönlichen Kursalarmen.</t>
  </si>
  <si>
    <t>Manténgase actualizado con cobertura de noticias y alertas de precios personalizadas, las 24 horas del día, 7 días a la semana.</t>
  </si>
  <si>
    <t>Pysy ajan tasalla ympärivuorokautisten uutisten ja henkilökohtaisten hintailmoitustesi avulla.</t>
  </si>
  <si>
    <t>Restez au courant des dernières nouvelles 24 heures sur 24, 7 jours sur 7, et de vos alertes personnelles sur les prix.</t>
  </si>
  <si>
    <t>Folyamatos tájékoztatás, friss hírek és személyes árfolyam-figyelmeztetések a nap 24 órájában.</t>
  </si>
  <si>
    <t>Tetap dapatkan info terkini melalui liputan berita 24 jam dan notifikasi harga untuk Anda.</t>
  </si>
  <si>
    <t>Rimani aggiornato con la copertura delle ultime notizie 24 ore su 24, 7 giorni su 7 e i tuoi avvisi sui prezzi personali.</t>
  </si>
  <si>
    <t>24時間365日のニュース速報と個人向けの価格アラートで最新の情報を入手しましょう。</t>
  </si>
  <si>
    <t>주 7일 하루 24시간 속보와 지정 가격 알림을 받으십시오</t>
  </si>
  <si>
    <t>Kekal dikemaskini 24/7 dengan liputan berita terkini dan pemberitahuan harga peribadi.</t>
  </si>
  <si>
    <t>Blijf op de hoogte met 24/7 breaking-news berichten en jouw eigen gepersonaliseerde price-alerts.</t>
  </si>
  <si>
    <t>Hold deg oppdatert døgnet rundt med nyhetsdekning og personlige prisvarsler.</t>
  </si>
  <si>
    <t>Bądź na bieżąco z najświeższymi wiadomościami 24/7 i osobistymi alertami cenowymi.</t>
  </si>
  <si>
    <t>Mantenha-se atualizado com uma cobertura de notícias de urgentes 24 horas por dia, 7 dias por semana e receba seus alertas de preços pessoais.</t>
  </si>
  <si>
    <t>Получайте самые актуальные новости 24/7 и индивидуальные предупреждения о ценах.</t>
  </si>
  <si>
    <t>Budite u toku uz izveštavanje o najnovijim vestima 24 sata dnevno, 7 dana u nedelji i vašim ličnim upozorenjima o cenama.</t>
  </si>
  <si>
    <t>7/24 flaş haberler ve kişisel fiyat uyarılarınız ile hiçbir gelişmeyi kaçırmayın.</t>
  </si>
  <si>
    <t>全天候突发新闻报道和个人价格警报，随时了解最新动态。</t>
  </si>
  <si>
    <t>tt_active</t>
  </si>
  <si>
    <t>Active</t>
  </si>
  <si>
    <t>نشط</t>
  </si>
  <si>
    <t>Активни</t>
  </si>
  <si>
    <t>Aktivní</t>
  </si>
  <si>
    <t>Aktiv</t>
  </si>
  <si>
    <t>Aktiviert</t>
  </si>
  <si>
    <t>Ενεργό</t>
  </si>
  <si>
    <t>Activo</t>
  </si>
  <si>
    <t>Aktiivinen</t>
  </si>
  <si>
    <t>सक्रिय करें</t>
  </si>
  <si>
    <t>Aktív</t>
  </si>
  <si>
    <t>Aktif</t>
  </si>
  <si>
    <t>Attivo</t>
  </si>
  <si>
    <t>פעיל</t>
  </si>
  <si>
    <t>摘要する</t>
  </si>
  <si>
    <t>활성</t>
  </si>
  <si>
    <t>Aktief</t>
  </si>
  <si>
    <t>Aktywny</t>
  </si>
  <si>
    <t>Ativo</t>
  </si>
  <si>
    <t>Activ</t>
  </si>
  <si>
    <t>Активный/Активен</t>
  </si>
  <si>
    <t>Aktívny</t>
  </si>
  <si>
    <t>Aktivno</t>
  </si>
  <si>
    <t>Aktivan</t>
  </si>
  <si>
    <t>Etkin</t>
  </si>
  <si>
    <t>Hoạt động</t>
  </si>
  <si>
    <t>启动</t>
  </si>
  <si>
    <t>&gt;啟動</t>
  </si>
  <si>
    <t>tt_fundprofile_ter</t>
  </si>
  <si>
    <t>TER</t>
  </si>
  <si>
    <t>نسبة النفقات الإجمالية</t>
  </si>
  <si>
    <t>总费用比率</t>
  </si>
  <si>
    <t>&gt;總費用比率</t>
  </si>
  <si>
    <t>tt_selected</t>
  </si>
  <si>
    <t>selected</t>
  </si>
  <si>
    <t>تم التحديد</t>
  </si>
  <si>
    <t>избрани</t>
  </si>
  <si>
    <t>vybraný</t>
  </si>
  <si>
    <t>valgte</t>
  </si>
  <si>
    <t>ausgewählt</t>
  </si>
  <si>
    <t>επιλεγμένο</t>
  </si>
  <si>
    <t>seleccionado</t>
  </si>
  <si>
    <t>valittu</t>
  </si>
  <si>
    <t>Sélectionné</t>
  </si>
  <si>
    <t>चयनित</t>
  </si>
  <si>
    <t>kiválasztott</t>
  </si>
  <si>
    <t>dipilih</t>
  </si>
  <si>
    <t>selezionato</t>
  </si>
  <si>
    <t>נבחר</t>
  </si>
  <si>
    <t>選択されている項目</t>
  </si>
  <si>
    <t>선택됨</t>
  </si>
  <si>
    <t>geselecteerd</t>
  </si>
  <si>
    <t>valgt</t>
  </si>
  <si>
    <t>wybrany</t>
  </si>
  <si>
    <t>Selecionado</t>
  </si>
  <si>
    <t>selectat</t>
  </si>
  <si>
    <t>выделенные</t>
  </si>
  <si>
    <t>zvolený</t>
  </si>
  <si>
    <t>izbrano</t>
  </si>
  <si>
    <t>Izabrano</t>
  </si>
  <si>
    <t>vald</t>
  </si>
  <si>
    <t>เลือกแล้ว</t>
  </si>
  <si>
    <t>seçildi</t>
  </si>
  <si>
    <t>đã chọn</t>
  </si>
  <si>
    <t>已拣选</t>
  </si>
  <si>
    <t>&gt;已揀選</t>
  </si>
  <si>
    <t>tt_onboarding_settings_click_on_x</t>
  </si>
  <si>
    <t>Click on X to disable popups</t>
  </si>
  <si>
    <t>انقر فوق الرمز X لتعطيل النوافذ المنبثقة</t>
  </si>
  <si>
    <t>Кликнете върху X, за да деактивирате изскачащите прозорци</t>
  </si>
  <si>
    <t>Klepnutím na X zakážete vyskakovací okna</t>
  </si>
  <si>
    <t>Klik på X for at deaktivere popups</t>
  </si>
  <si>
    <t>Klicken Sie auf das X um die Popups zu deaktivieren</t>
  </si>
  <si>
    <t>Κάντε κλικ στο X για να απενεργοποιήσετε τα αναδυόμενα παράθυρα</t>
  </si>
  <si>
    <t>Haga click en la X para desactivar las ventanas emergentes</t>
  </si>
  <si>
    <t>Poista ponnahdusikkunat napsauttamalla X</t>
  </si>
  <si>
    <t>पॉपअप को डिसेबल करने के लिए X पर क्लिक करें</t>
  </si>
  <si>
    <t>Kattintson az X-re az ablak lezárásához</t>
  </si>
  <si>
    <t>Klik pada X untuk menyahdayakan pop timbul.</t>
  </si>
  <si>
    <t>Clicca X per disabilitare i pop-ups.</t>
  </si>
  <si>
    <t>לחץ על X כדי להשבית חלונות קופצים</t>
  </si>
  <si>
    <t>Xをクリックしてポップアップを無効にする</t>
  </si>
  <si>
    <t>팝업을 비활성화하려면 X 버튼을 클릭하세요.</t>
  </si>
  <si>
    <t>Klik op X om pop-ups uit te schakelen</t>
  </si>
  <si>
    <t>Klikk på X for å deaktivere popup-vinduer</t>
  </si>
  <si>
    <t>– Kliknij X aby wyłączyć wyskakujące okienka</t>
  </si>
  <si>
    <t>Clique no X para desativar popups</t>
  </si>
  <si>
    <t>Fă clic pe X pentru a dezactiva ferestrele de tip pop-up</t>
  </si>
  <si>
    <t>Нажмите на Х, чтобы отключить всплывающие окна</t>
  </si>
  <si>
    <t>Kliknutím na X zakážete kontextové okná</t>
  </si>
  <si>
    <t>Kliknite na X, da onemogočite pojavna okna</t>
  </si>
  <si>
    <t>Kliknite na X da isključite oblačiće</t>
  </si>
  <si>
    <t>Klicka på X för att inaktivera popup-fönster</t>
  </si>
  <si>
    <t>คลิกที่ X เพื่อปิดใช้งานป็อปอัพ</t>
  </si>
  <si>
    <t>Açılır pencereleri devre dışı bırakmak için X ögesine tıklayın</t>
  </si>
  <si>
    <t>Nhấn vào dấu X để tắt quảng cáo</t>
  </si>
  <si>
    <t>点击X为了禁用弹出窗口</t>
  </si>
  <si>
    <t>tt_ind_stochastic_fast_short</t>
  </si>
  <si>
    <t>Stochastic Fast</t>
  </si>
  <si>
    <t>تسلسل عشوائي سريع</t>
  </si>
  <si>
    <t>Бързо стохастично</t>
  </si>
  <si>
    <t>Stochastická rychlá</t>
  </si>
  <si>
    <t>Hurtig Stokastisk</t>
  </si>
  <si>
    <t>Stokastinen nopea</t>
  </si>
  <si>
    <t>Stochastique rapide</t>
  </si>
  <si>
    <t>स्टोकेस्टिक फास्ट</t>
  </si>
  <si>
    <t>Keceptan Stochastic</t>
  </si>
  <si>
    <t>סטוכסטי מהיר</t>
  </si>
  <si>
    <t>ファースト・ストキャスティクス</t>
  </si>
  <si>
    <t>스토캐스틱(빠름)</t>
  </si>
  <si>
    <t>Laju Stochastic</t>
  </si>
  <si>
    <t>Stokastisk raskt</t>
  </si>
  <si>
    <t>Estocástica rápida</t>
  </si>
  <si>
    <t>Oscilator Stohastic Rapid</t>
  </si>
  <si>
    <t>Быстрый стохастик</t>
  </si>
  <si>
    <t>Náhodný a rýchly</t>
  </si>
  <si>
    <t>Stohastično hitro</t>
  </si>
  <si>
    <t>Stokastisk snabb</t>
  </si>
  <si>
    <t>สโตแคสติกส์แบบเร็ว</t>
  </si>
  <si>
    <t>Hızlı Stokastik</t>
  </si>
  <si>
    <t>Dao động ngẫu nhiên nhanh</t>
  </si>
  <si>
    <t>慢速随机指标</t>
  </si>
  <si>
    <t>&gt;慢速随機指标</t>
  </si>
  <si>
    <t>login_validation_phone_format</t>
  </si>
  <si>
    <t>Phone format is not valid.</t>
  </si>
  <si>
    <t>ان رقم الهاتف خاطئ</t>
  </si>
  <si>
    <t>Форматът на телефона не е валиден.</t>
  </si>
  <si>
    <t>Formát telefonu není platný.</t>
  </si>
  <si>
    <t>Ikke gyldig telefonformat.</t>
  </si>
  <si>
    <t>Η μορφή τηλεφώνου δεν είναι έγκυρη.</t>
  </si>
  <si>
    <t>El formato del celular no es válido</t>
  </si>
  <si>
    <t>Puhelimen muoto ei kelpaa.</t>
  </si>
  <si>
    <t>Le format du téléphone n\'est pas valide.</t>
  </si>
  <si>
    <t>फोन प्रारूप मान्य नहीं है।</t>
  </si>
  <si>
    <t>A telefon formátuma érvénytelen.</t>
  </si>
  <si>
    <t>Format nomor telepon tidak benar.</t>
  </si>
  <si>
    <t>Il formato del cellulare non è valido.</t>
  </si>
  <si>
    <t>פורמט הטלפון אינו תקף.</t>
  </si>
  <si>
    <t>スマートフォンのフォーマットが有効ではありません。</t>
  </si>
  <si>
    <t>전화 포맷은 유효하지 않습니다.</t>
  </si>
  <si>
    <t>Format telefon tidak sah.</t>
  </si>
  <si>
    <t>De indeling van het telefoonnummer is niet geldig.</t>
  </si>
  <si>
    <t>Telefonformatet er ikke gyldig.</t>
  </si>
  <si>
    <t>Nieprawidłowy format numeru telefonu.</t>
  </si>
  <si>
    <t>O formato do telefone não é válido.</t>
  </si>
  <si>
    <t>Formatul telefonului nu este valid.</t>
  </si>
  <si>
    <t>Formát telefónu nie je platný.</t>
  </si>
  <si>
    <t>Format telefona ni veljaven.</t>
  </si>
  <si>
    <t>Telefonformatet är inte giltigt.</t>
  </si>
  <si>
    <t>รูปแบบโทรศัพท์ไม่ถูกต้อง</t>
  </si>
  <si>
    <t>Geçersiz telefon formatı.</t>
  </si>
  <si>
    <t>Định dạng điện thoại không hợp lệ.</t>
  </si>
  <si>
    <t>电话格式无效。</t>
  </si>
  <si>
    <t>tt_login_in_progress</t>
  </si>
  <si>
    <t>Login currently in progress!</t>
  </si>
  <si>
    <t>تسجيل الدخول قيد التقدم حاليًا!</t>
  </si>
  <si>
    <t>В момента се осъществява влизане!</t>
  </si>
  <si>
    <t>Přihlášení právě probíhá!</t>
  </si>
  <si>
    <t>Log ind er i gang!</t>
  </si>
  <si>
    <t>Login wird aktuell ausgeführt!</t>
  </si>
  <si>
    <t>Η σύνδεση βρίσκεται σε εξέλιξη!</t>
  </si>
  <si>
    <t>¡Iniciando sesión!</t>
  </si>
  <si>
    <t>Sisäänkirjautuminen käynnissä!</t>
  </si>
  <si>
    <t>Connexion en cours…</t>
  </si>
  <si>
    <t>लॉग अभी चल रहा है!</t>
  </si>
  <si>
    <t>A bejelentkezés folyamatban!</t>
  </si>
  <si>
    <t>Sedang mendaftar masuk!</t>
  </si>
  <si>
    <t>Accesso in corso!</t>
  </si>
  <si>
    <t>מתבצעת כעת התחברות</t>
  </si>
  <si>
    <t>ログイン中</t>
  </si>
  <si>
    <t>현재 로그인하는 중입니다!</t>
  </si>
  <si>
    <t>Het inloggen is momenteel in uitvoering!!</t>
  </si>
  <si>
    <t>Innlogging pågår!</t>
  </si>
  <si>
    <t>Logowanie obecnie w toku!</t>
  </si>
  <si>
    <t>Login actualmente em andamento!</t>
  </si>
  <si>
    <t>Autentificarea este în curs de desfășurare!</t>
  </si>
  <si>
    <t>Процесс входа в учетную запись</t>
  </si>
  <si>
    <t>Prihlásenie práve prebieha!</t>
  </si>
  <si>
    <t>Prijava trenutno poteka!</t>
  </si>
  <si>
    <t>Prijava u toku!</t>
  </si>
  <si>
    <t>Inloggning pågår!</t>
  </si>
  <si>
    <t>กำลังเข้าสู่ระบบ!</t>
  </si>
  <si>
    <t>Oturum açma işlemi devam ediyor</t>
  </si>
  <si>
    <t>Đang thực hiện đăng nhập!</t>
  </si>
  <si>
    <t>正在登入</t>
  </si>
  <si>
    <t>&gt;正在登入</t>
  </si>
  <si>
    <t>try_again</t>
  </si>
  <si>
    <t>Try again</t>
  </si>
  <si>
    <t>حاول مرة أخرى</t>
  </si>
  <si>
    <t>Повторен опит</t>
  </si>
  <si>
    <t>Intenta una altra vegada</t>
  </si>
  <si>
    <t>Erneut versuchen</t>
  </si>
  <si>
    <t>Intentar de nuevo</t>
  </si>
  <si>
    <t>Réessayer</t>
  </si>
  <si>
    <t>Inténteo de novo</t>
  </si>
  <si>
    <t>megpróbálja újra</t>
  </si>
  <si>
    <t>Coba lagi</t>
  </si>
  <si>
    <t>Prova di nuovo</t>
  </si>
  <si>
    <t>再度実行してください</t>
  </si>
  <si>
    <t>다시 시도하세요</t>
  </si>
  <si>
    <t>Opnieuw proberen</t>
  </si>
  <si>
    <t>Spróbuj ponownie</t>
  </si>
  <si>
    <t>Tentar novamente</t>
  </si>
  <si>
    <t>Повторить</t>
  </si>
  <si>
    <t>Skúste znova</t>
  </si>
  <si>
    <t>Покушај поново</t>
  </si>
  <si>
    <t>Försök igen</t>
  </si>
  <si>
    <t>Спробуйте ще</t>
  </si>
  <si>
    <t>Thử lại</t>
  </si>
  <si>
    <t>再試一遍</t>
  </si>
  <si>
    <t>battery_optimizations_enabled_explained</t>
  </si>
  <si>
    <t>Your device is doing some heavy battery optimizations on baha chat that might lead to delayed notifications or even message loss.\nIt is recommended to disable those.</t>
  </si>
  <si>
    <t>Устройството Ви прилага сериозни оптимизации за използването на батерията върху Conversations, а те може да доведат до забавени известия и дори пропуснати съобщения.\nПрепоръчително е до ги изключите.</t>
  </si>
  <si>
    <t>El vostre dispositiu fa algunes optimitzacions pesades de la bateria i Conversations pot provocar notificacions retardades o fins i tot pèrdua de missatges.\nEs recomana desactivar-les.</t>
  </si>
  <si>
    <t>Dein Telefon verwendet Batterioptimierungen bei Conversations, welche verspätete Benachrichtigungen oder Nachrichtenverlust verursachen können.\nEs wird empfohlen, diese zu deaktivieren.</t>
  </si>
  <si>
    <t>Tu dispositivo está realizando optimizaciones de uso de batería en Conversations que pueden hacer que los mensajes se retrasen o incluso hacer que se pierdan.\nEs recomendable deshabilitarlas.</t>
  </si>
  <si>
    <t>Votre appareil applique sur Conversations des optimisations de batterie très strictes qui pourraient provoquer des retards dans les notifications, voire des pertes de messages.\nNous vous recommandons de les désactiver.</t>
  </si>
  <si>
    <t>O seu dispositivo está a realizar algunhas optimizacións de batería extremas en Conversations que poderían levar a notificacións con retraso ou incluso perda das mesmas.\nÉ recomendado desactivalas.</t>
  </si>
  <si>
    <t>A készülék erős akkumulátor optimalizálást végez a Conversations programon, ami késleltetett értesítésekhez, vagy akár üzenetek elvesztéséhet is vezethet.\nJavasolt kikapcsolni ezt.</t>
  </si>
  <si>
    <t>Il tuo dispositivo sta facendo delle ingenti ottimizzazioni della batteria per Conversations che potrebbero portare ritardi alle notifiche o anche perdita di messaggi.\nSi consiglia di disattivarle.</t>
  </si>
  <si>
    <t>お使いのデバイスは、Conversations で、通知の遅延やメッセージの損失につながる可能性のある、いくつかの重いバッテリーの最適化を行っています。\nそれらを無効にすることをお勧めします。</t>
  </si>
  <si>
    <t>당신의 기기는 메세지를 받지 못하게 되거나 알림을 지연시킬 수도 있는 고강도의 배터리 최적화를 Conversations에 하고 있습니다.\n배터리 최적화를 해제하는 것을 추천합니다.</t>
  </si>
  <si>
    <t>Je apparaat voert sterke batterij-optimalisaties uit op Conversations, die kunnen leiden tot vertraagde meldingen of zelfs verlies van berichten.\nHet is aangeraden deze optimalisaties uit te schakelen.</t>
  </si>
  <si>
    <t>Twoje urządzenie wykonuje poważnie optymalizacje zużycia baterii przez Conversations, które mogą powodować opóźnienie powiadomień lub nawet utratę wiadomości.\nZaleca się ich wyłączenie.</t>
  </si>
  <si>
    <t>O seu dispositivo está a fazer otimizações de bateria bastante agressivas na aplicação Conversations que poderão levar a notificações atrasadas ou até mesmo a perda de mensagens.\nÉ recomendado que as desative.</t>
  </si>
  <si>
    <t>Ваше устройство использует сильные оптимизации энергопотребления, что может привести к задержке уведомлений и даже потере сообщений.\nРекомендуется их отключить.</t>
  </si>
  <si>
    <t>Ваш уређај користи оптимизацију потрошње батерије за Конверзацију што може да доведе до застоја обавештења или чак губитка порука.\nПрепоручљиво је да то искључите.</t>
  </si>
  <si>
    <t>Din enhet har kraftiga batterioptimeringar som påverkar Conversations på så sätt att inkommande meddelanden kan försenas eller kan till och med gå förlorade.\nDet är rekommenderat att deaktivera batterioptimeringarna.</t>
  </si>
  <si>
    <t>Cihazınız, BAHA Sohbeti\'nde gecikmeli bildirimleri veya hatta mesaj kaybına neden olabilecek bazı ağır pil optimizasyonları yapıyor. \ Nit\'in bunları devre dışı bırakmak için önerilir.</t>
  </si>
  <si>
    <t>Ваш пристрій здійснює деяку агресивну оптимізацію Розмов для збереження заряду батареї, яка може призвести до затримки сповіщення або навіть втрати повідомлень.\nРекомендовано відключити цю оптимізацію.</t>
  </si>
  <si>
    <t>Thiết bị đang thực hiện tối ưu hoá pin trên Conversations và nó có thể gây trì hoãn thông báo hay thậm chí làm mất tin nhắn.\nBạn nên tắt chế độ đó đi.</t>
  </si>
  <si>
    <t>你的設備正在為Conversations進行電池優化，這可能導致通知的延遲甚至訊息的丟失。</t>
  </si>
  <si>
    <t>nigeria</t>
  </si>
  <si>
    <t>Nigeria</t>
  </si>
  <si>
    <t>Нигерия</t>
  </si>
  <si>
    <t>Nigerija</t>
  </si>
  <si>
    <t>tt_sign_up</t>
  </si>
  <si>
    <t>Sign up</t>
  </si>
  <si>
    <t>تسجيل الاشتراك</t>
  </si>
  <si>
    <t>Регистриране</t>
  </si>
  <si>
    <t>Tilmeld</t>
  </si>
  <si>
    <t>Registrieren</t>
  </si>
  <si>
    <t>Εγγραφή</t>
  </si>
  <si>
    <t>Registrarse</t>
  </si>
  <si>
    <t>Rekisteröidy</t>
  </si>
  <si>
    <t>S\'inscrire</t>
  </si>
  <si>
    <t>साइन अप करें</t>
  </si>
  <si>
    <t>Bejelentkezés</t>
  </si>
  <si>
    <t>Daftar</t>
  </si>
  <si>
    <t>Iscriviti</t>
  </si>
  <si>
    <t>הירשם</t>
  </si>
  <si>
    <t>署名</t>
  </si>
  <si>
    <t>가입</t>
  </si>
  <si>
    <t>Meld aan</t>
  </si>
  <si>
    <t>Registrering</t>
  </si>
  <si>
    <t>Inscrever-se</t>
  </si>
  <si>
    <t>Înscrie-te</t>
  </si>
  <si>
    <t>Prijavite se</t>
  </si>
  <si>
    <t>Registrera dig</t>
  </si>
  <si>
    <t>ลงทะเบียนใช้งาน</t>
  </si>
  <si>
    <t>Kayıt ol</t>
  </si>
  <si>
    <t>Đăng ký</t>
  </si>
  <si>
    <t>注册</t>
  </si>
  <si>
    <t>&gt;註冊</t>
  </si>
  <si>
    <t>title_activity_manage_accounts</t>
  </si>
  <si>
    <t>Manage Accounts</t>
  </si>
  <si>
    <t>Gestionar Cuentas</t>
  </si>
  <si>
    <t>Gestion des comptes</t>
  </si>
  <si>
    <t>계정 관리</t>
  </si>
  <si>
    <t>Управљање налозима</t>
  </si>
  <si>
    <t>Hantera konton</t>
  </si>
  <si>
    <t>error</t>
  </si>
  <si>
    <t>An error has occurred</t>
  </si>
  <si>
    <t>حدث خطأ ما</t>
  </si>
  <si>
    <t>Възникна грешка</t>
  </si>
  <si>
    <t>S\'ha produït un error</t>
  </si>
  <si>
    <t>Ein Fehler ist aufgetreten</t>
  </si>
  <si>
    <t>Ha ocurrido un error</t>
  </si>
  <si>
    <t>Une erreur s\'est produite</t>
  </si>
  <si>
    <t>Produciuse un erro</t>
  </si>
  <si>
    <t>Hiba történt</t>
  </si>
  <si>
    <t>Sebuah kesalahan terjadi</t>
  </si>
  <si>
    <t>Si è verificato un errore</t>
  </si>
  <si>
    <t>エラーが発生しました</t>
  </si>
  <si>
    <t>오류가 발생했습니다</t>
  </si>
  <si>
    <t>Er is een fout opgetreden</t>
  </si>
  <si>
    <t>Wystąpił błąd</t>
  </si>
  <si>
    <t>Ocorreu um erro</t>
  </si>
  <si>
    <t>Произошла ошибка</t>
  </si>
  <si>
    <t>Došlo k chybe</t>
  </si>
  <si>
    <t>Десила се грешка</t>
  </si>
  <si>
    <t>Ett fel har inträffat</t>
  </si>
  <si>
    <t>Сталася помилка</t>
  </si>
  <si>
    <t>Đã có lỗi xảy ra</t>
  </si>
  <si>
    <t>產生了一個錯誤</t>
  </si>
  <si>
    <t>silent_messages_channel_name</t>
  </si>
  <si>
    <t>Silent messages</t>
  </si>
  <si>
    <t>Тихи съобщения</t>
  </si>
  <si>
    <t>Lautlose Nachrichten</t>
  </si>
  <si>
    <t>Mensajes sin sonido</t>
  </si>
  <si>
    <t>Messages silencieux</t>
  </si>
  <si>
    <t>Mensaxes acalados</t>
  </si>
  <si>
    <t>Csendes üzenetek</t>
  </si>
  <si>
    <t>Messaggi silenziosi</t>
  </si>
  <si>
    <t>Stille berichten</t>
  </si>
  <si>
    <t>Ciche wiadomości</t>
  </si>
  <si>
    <t>Тихе поруке</t>
  </si>
  <si>
    <t>tt_mail_tell_a_friend_body</t>
  </si>
  <si>
    <t>\n\nhttps://play.google.com/store/apps/details?id=com.teletrader.android</t>
  </si>
  <si>
    <t>\n\nhttps://play.google.com/store/apps/details؟id=com.teletrader.android</t>
  </si>
  <si>
    <t>https://play.google.com/store/apps/details?id=com.teletrader.android</t>
  </si>
  <si>
    <t>&gt;\n\nhttps://play.google.com/store/apps/details?id=com.teletrader.android</t>
  </si>
  <si>
    <t>back_to_home</t>
  </si>
  <si>
    <t>BACK TO HOME</t>
  </si>
  <si>
    <t>الرجوع الى الرئيسية</t>
  </si>
  <si>
    <t>ОБРАТНО КЪМ НАЧАЛЕН ЕКРАН</t>
  </si>
  <si>
    <t>ZPÁTKY DOMŮ</t>
  </si>
  <si>
    <t>TILBAGE TIL HJEM</t>
  </si>
  <si>
    <t>Zurück zu Home</t>
  </si>
  <si>
    <t>ΠΙΣΩ ΣΤΗΝ ΑΡΧΙΚΗ</t>
  </si>
  <si>
    <t>Volver al Inicio</t>
  </si>
  <si>
    <t>TAKAISIN ALOITUSNÄYTTÖÖN</t>
  </si>
  <si>
    <t>VERS L\'ACCUEIL</t>
  </si>
  <si>
    <t>होम पर वापिस जाएँ</t>
  </si>
  <si>
    <t>Vissza a főoldalra</t>
  </si>
  <si>
    <t>KEMBALI KE RUMAH</t>
  </si>
  <si>
    <t>TORNA ALLA HOME</t>
  </si>
  <si>
    <t>חזרה לדף הבית</t>
  </si>
  <si>
    <t>ホームへ戻る</t>
  </si>
  <si>
    <t>홈으로 돌아가기</t>
  </si>
  <si>
    <t>PULANG KERUMAH</t>
  </si>
  <si>
    <t>Terug naar startpagina</t>
  </si>
  <si>
    <t>TILBAKE TIL HJEM</t>
  </si>
  <si>
    <t>Powrót do domu</t>
  </si>
  <si>
    <t>REGRESSAR AO INÍCIO</t>
  </si>
  <si>
    <t>ÎNAPOI ACASĂ</t>
  </si>
  <si>
    <t>ВЕРНУТЬСЯ НА ГЛАВНУЮ СТРАНИЦУ</t>
  </si>
  <si>
    <t>SPÄŤ NA DOMOVSKÚ STRÁNKU</t>
  </si>
  <si>
    <t>NAZAJ DOMOV</t>
  </si>
  <si>
    <t>POVRATAK NA POČETNU STRANU</t>
  </si>
  <si>
    <t>TILLBAKA TILL START</t>
  </si>
  <si>
    <t>กลับไปที่หน้าแรก</t>
  </si>
  <si>
    <t>ANA SAYFAYA DÖN</t>
  </si>
  <si>
    <t>TRỞ VỀ TRANG CHÍNH</t>
  </si>
  <si>
    <t>返回主屏幕</t>
  </si>
  <si>
    <t>tt_inner_value</t>
  </si>
  <si>
    <t>Intrinsic value</t>
  </si>
  <si>
    <t>القيمة الجوهرية</t>
  </si>
  <si>
    <t>Присъща стойност</t>
  </si>
  <si>
    <t>Intrinsická hodnota</t>
  </si>
  <si>
    <t>Intrinsisk værdi</t>
  </si>
  <si>
    <t>Innerer Wert</t>
  </si>
  <si>
    <t>Εσωτερική τιμή</t>
  </si>
  <si>
    <t>Valor intrínseco</t>
  </si>
  <si>
    <t>Perusarvo</t>
  </si>
  <si>
    <t>Valeur intrinsèque</t>
  </si>
  <si>
    <t>आंतरिक मूल्य</t>
  </si>
  <si>
    <t>Belső érték</t>
  </si>
  <si>
    <t>Nilai intrinsik</t>
  </si>
  <si>
    <t>Valore intrinseco</t>
  </si>
  <si>
    <t>ערך פנימי</t>
  </si>
  <si>
    <t>本源的価値</t>
  </si>
  <si>
    <t>내재가치</t>
  </si>
  <si>
    <t>Intrinsieke waarde</t>
  </si>
  <si>
    <t>Egenverdi</t>
  </si>
  <si>
    <t>Wartość wewnętrzna</t>
  </si>
  <si>
    <t>Valoare intrinsecă</t>
  </si>
  <si>
    <t>Внутренняя стоимость</t>
  </si>
  <si>
    <t>Skutočná hodnota</t>
  </si>
  <si>
    <t>Notranja vrednost</t>
  </si>
  <si>
    <t>Suštinska vrednost</t>
  </si>
  <si>
    <t>Egenvärde</t>
  </si>
  <si>
    <t>มูลค่าที่แท้จริง</t>
  </si>
  <si>
    <t>Gerçek değer</t>
  </si>
  <si>
    <t>Giá trị nội tại</t>
  </si>
  <si>
    <t>内在值</t>
  </si>
  <si>
    <t>tt_historical_volatility</t>
  </si>
  <si>
    <t>Historic volatility</t>
  </si>
  <si>
    <t>التقلبات التاريخية</t>
  </si>
  <si>
    <t>Историческа волатилност</t>
  </si>
  <si>
    <t>Historická volatilita</t>
  </si>
  <si>
    <t>Historisk volatilitet</t>
  </si>
  <si>
    <t>Historische Volatilität</t>
  </si>
  <si>
    <t>Ιστορική μεταβλητότητα</t>
  </si>
  <si>
    <t>Historical volatility</t>
  </si>
  <si>
    <t>Historiallinen volatiliteetti</t>
  </si>
  <si>
    <t>Volatilité historique</t>
  </si>
  <si>
    <t>ऐतिहासिक परिवर्तनशीलता</t>
  </si>
  <si>
    <t>Múltbéli volatilitás</t>
  </si>
  <si>
    <t>Volatilitas bersejarah</t>
  </si>
  <si>
    <t>Volatilità storica</t>
  </si>
  <si>
    <t>תנודתיות היסטורית</t>
  </si>
  <si>
    <t>ヒストリカルボラティリティ</t>
  </si>
  <si>
    <t>역사적 주가변동성</t>
  </si>
  <si>
    <t>Turun naik bersejarah</t>
  </si>
  <si>
    <t>Historische volatiliteit</t>
  </si>
  <si>
    <t>Historisk flyktighet</t>
  </si>
  <si>
    <t>Zmienność historyczna</t>
  </si>
  <si>
    <t>Volatilidade histórica</t>
  </si>
  <si>
    <t>Volatilitatea istorică</t>
  </si>
  <si>
    <t>Историческая волатильность</t>
  </si>
  <si>
    <t>Historická nestálosť</t>
  </si>
  <si>
    <t>Zgodovinska nestanovitnost</t>
  </si>
  <si>
    <t>Istorijska volatilnost</t>
  </si>
  <si>
    <t>ประวัติความผันผวน</t>
  </si>
  <si>
    <t>Tarihsel volatilite</t>
  </si>
  <si>
    <t>Biến động lịch sử</t>
  </si>
  <si>
    <t>历史波动</t>
  </si>
  <si>
    <t>pref_notifications_from_strangers_summary</t>
  </si>
  <si>
    <t>Notify for messages received from strangers.</t>
  </si>
  <si>
    <t>القيام بإخطاري عندما أتلقى رسائل مِن طرف غُرباء.</t>
  </si>
  <si>
    <t>Известяване за съобщения от непознати.</t>
  </si>
  <si>
    <t>Notifica per als missatges rebuts d\'estrangers.</t>
  </si>
  <si>
    <t>Benachrichtigen bei Erhalt einer neuen Nachricht von Unbekannten.</t>
  </si>
  <si>
    <t>Notificar mensajes recibidos de contactos desconocidos.</t>
  </si>
  <si>
    <t>Notifier pour les messages envoyés par des personnes inconnues</t>
  </si>
  <si>
    <t>Notifica as mensaxes recibidas por parte de estraños.</t>
  </si>
  <si>
    <t>Értesítsen az idegenektől kapott üzenetekről.</t>
  </si>
  <si>
    <t>Notifica i messaggi ricevuti da sconosciuti.</t>
  </si>
  <si>
    <t>知らない人から受信したメッセージを通知します。</t>
  </si>
  <si>
    <t>모르는 사람으로부터 받은 메시지를 알립니다.</t>
  </si>
  <si>
    <t>Melding bij berichten van onbekenden.</t>
  </si>
  <si>
    <t>Powiadamiaj o wiadomościach otrzymanych od nieznajomych</t>
  </si>
  <si>
    <t>Уведомлять о сообщениях от незнакомых контактов.</t>
  </si>
  <si>
    <t>Обавештења за поруке од непознатих.</t>
  </si>
  <si>
    <t>Notifiera för meddelanden från främlingar.</t>
  </si>
  <si>
    <t>Сповіщувати про повідомлення від незнайомців.</t>
  </si>
  <si>
    <t>當收到來自陌生人的訊息時顯示通知。</t>
  </si>
  <si>
    <t>tt_tick_size</t>
  </si>
  <si>
    <t>Tick Size</t>
  </si>
  <si>
    <t>حجم أصغر حركة سعر</t>
  </si>
  <si>
    <t>Размер на отметката</t>
  </si>
  <si>
    <t>Velikost ticku</t>
  </si>
  <si>
    <t>Afkrydsningsstørrelse</t>
  </si>
  <si>
    <t>Tick-Größe</t>
  </si>
  <si>
    <t>Μέγεθος Tick</t>
  </si>
  <si>
    <t>Tamaño del Tick</t>
  </si>
  <si>
    <t>Merkin koko</t>
  </si>
  <si>
    <t>Taille du tick</t>
  </si>
  <si>
    <t>टिक आकार</t>
  </si>
  <si>
    <t>Tick méret</t>
  </si>
  <si>
    <t>Ukuran Tampilan</t>
  </si>
  <si>
    <t>Dimensione del tick</t>
  </si>
  <si>
    <t>גודל טיק</t>
  </si>
  <si>
    <t>ティッカーサイズ</t>
  </si>
  <si>
    <t>틱 규모</t>
  </si>
  <si>
    <t>Saiz Paparan</t>
  </si>
  <si>
    <t>Tickgrootte</t>
  </si>
  <si>
    <t>Ticker størrelse</t>
  </si>
  <si>
    <t>Wielkość tika</t>
  </si>
  <si>
    <t>Tamanho de tick</t>
  </si>
  <si>
    <t>Dimensiunea Standardului</t>
  </si>
  <si>
    <t>Размер тика</t>
  </si>
  <si>
    <t>Veľkosť dielika</t>
  </si>
  <si>
    <t>Velikost označite</t>
  </si>
  <si>
    <t>Tick veličina</t>
  </si>
  <si>
    <t>Tickstorlek</t>
  </si>
  <si>
    <t>ช่วงห่างของราคา</t>
  </si>
  <si>
    <t>Tick Boyutu</t>
  </si>
  <si>
    <t>Kích thước tick</t>
  </si>
  <si>
    <t>交易纪录数量</t>
  </si>
  <si>
    <t>unblock_contact_text</t>
  </si>
  <si>
    <t>Would you like to unblock %s and allow them to send you messages?</t>
  </si>
  <si>
    <t>هل ترغب في انهاء حجب %s والسماح له بمراسلتك?</t>
  </si>
  <si>
    <t>Искате ли да деблокирате %s, така че отново да може да Ви праща съобщения?</t>
  </si>
  <si>
    <t>Us agradaria desbloquejar %s i permetre que us enviï missatges?</t>
  </si>
  <si>
    <t>Möchtest du %s entsperren und wieder Nachrichten empfangen?</t>
  </si>
  <si>
    <t>¿Quieres desbloquear a %s y permitirle que te envíe mensajes?</t>
  </si>
  <si>
    <t>Voulez-vous débloquer %s et lui permettre de vous envoyer des messages ?</t>
  </si>
  <si>
    <t>Desexa desbloquear %s e permitirlles que lle envíen mensaxes?</t>
  </si>
  <si>
    <t>Szeretnéd %s nevű ismerősöd tiltását feloldani és megengedni az üzenetváltást vele?</t>
  </si>
  <si>
    <t>Apakah Anda ingin membuka blokir %s dan membolehkannya untuk mengirim pesan?</t>
  </si>
  <si>
    <t>Vorresti permettere a %s di inviarti messaggi?</t>
  </si>
  <si>
    <t>%s のブロックを解除し、あなたにメッセージを送信できるようにしますか?</t>
  </si>
  <si>
    <t>%s 로부터 메세지를 받을 수 있도록 차단을 해제할까요?</t>
  </si>
  <si>
    <t>Wil je %s deblokkeren en er weer berichten van kunnen ontvangen?</t>
  </si>
  <si>
    <t>Czy na pewno chcesz odblokować wiadomości przychodzące od użytkownika %s?</t>
  </si>
  <si>
    <t>Deseja desbloquear o recebimento de mensagens de %s?</t>
  </si>
  <si>
    <t>Вы хотите разблокировать пользователя %s?</t>
  </si>
  <si>
    <t>Chceli by ste odblokovať %s a povoliť prijímanie správ?</t>
  </si>
  <si>
    <t>Желите ли да одблокирате %s и допустите им да вам шаљу поруке?</t>
  </si>
  <si>
    <t>Vill du avblockera %s och tillåta denne att skicka dig meddelanden?</t>
  </si>
  <si>
    <t>%s\'yi engellemek ve size mesaj göndermelerine izin vermek ister misiniz?</t>
  </si>
  <si>
    <t>Бажаєте розблокувати %s і дозволити цій особі надсилати Вам повідомлення?</t>
  </si>
  <si>
    <t>Bạn có muốn bỏ chặn %s và cho phép họ gửi tin nhắn cho bạn?</t>
  </si>
  <si>
    <t>要解除封鎖 %s 讓它可以送訊息給你嗎？</t>
  </si>
  <si>
    <t>we_have_sent_you_another_sms</t>
  </si>
  <si>
    <t>We have sent you another SMS with a 5 digit code.</t>
  </si>
  <si>
    <t>Изпратихме Ви още едно мобилно съобщение с 6-цифрен код.</t>
  </si>
  <si>
    <t>Wir haben dir eine weitere SMS mit einem 6-stelligen Code geschickt.</t>
  </si>
  <si>
    <t>Hemos enviado otro mensaje SMS con un código de 6 dígitos.</t>
  </si>
  <si>
    <t>Nous vous avons envoyé un autre SMS avec un code à 6 chiffres.</t>
  </si>
  <si>
    <t>Enviamoslle outro SMS con un código de 6 díxitos.</t>
  </si>
  <si>
    <t>Küldtünk neked egy másik 6 számjegyű kódot SMS-ben.</t>
  </si>
  <si>
    <t>Ti abbiamo inviato un altro SMS con un codice di 6 cifre.</t>
  </si>
  <si>
    <t>We hebben je nóg een sms gestuurd met 6-cijferige code.</t>
  </si>
  <si>
    <t>Wysłaliśmy kolejny SMS z 6 cyfrowym kodem.</t>
  </si>
  <si>
    <t>send_chart_by_chat</t>
  </si>
  <si>
    <t>Send Chart By Chat</t>
  </si>
  <si>
    <t>Chart über Chat senden</t>
  </si>
  <si>
    <t>Enviar gráfica por chat</t>
  </si>
  <si>
    <t>Envoyer un graphique par chat</t>
  </si>
  <si>
    <t>Grafikon küldése Cseten keresztül</t>
  </si>
  <si>
    <t>Отправить график через чат</t>
  </si>
  <si>
    <t>Pošalji čart četom</t>
  </si>
  <si>
    <t>tt_login</t>
  </si>
  <si>
    <t>Login</t>
  </si>
  <si>
    <t>Anmelden</t>
  </si>
  <si>
    <t>Se connecter</t>
  </si>
  <si>
    <t>Daftar Masuk</t>
  </si>
  <si>
    <t>Inloggen</t>
  </si>
  <si>
    <t>Logowanie</t>
  </si>
  <si>
    <t>Fazer Login</t>
  </si>
  <si>
    <t>Логин</t>
  </si>
  <si>
    <t>Prijava</t>
  </si>
  <si>
    <t>server_info_carbon_messages</t>
  </si>
  <si>
    <t>XEP-0280: Message Carbons</t>
  </si>
  <si>
    <t>XEP-0280: نُسَخ كربونية</t>
  </si>
  <si>
    <t>XEP-0280: Копия на съобщенията</t>
  </si>
  <si>
    <t>XEP-0280: Duplicat de missatges</t>
  </si>
  <si>
    <t>XEP-0280 : Copies carbone</t>
  </si>
  <si>
    <t>XEP-0280: Copia de mensaxes</t>
  </si>
  <si>
    <t>XEP-0280: メッセージ カーボン</t>
  </si>
  <si>
    <t>XEP-0280: Kopie wiadomości</t>
  </si>
  <si>
    <t>XEP-0280: Дублиров. сообщений</t>
  </si>
  <si>
    <t>XEP-0280: копије порука</t>
  </si>
  <si>
    <t>XEP-0280: копії повідомлень</t>
  </si>
  <si>
    <t>XEP-0280: 訊息複本</t>
  </si>
  <si>
    <t>tt_startupscreen</t>
  </si>
  <si>
    <t>Startup screen</t>
  </si>
  <si>
    <t>شاشة بدء التشغيل</t>
  </si>
  <si>
    <t>Начален екран</t>
  </si>
  <si>
    <t>Úvodní obrazovka</t>
  </si>
  <si>
    <t>Startskærm</t>
  </si>
  <si>
    <t>Startseite</t>
  </si>
  <si>
    <t>Οθόνη εκκίνησης</t>
  </si>
  <si>
    <t>Pantalla de inicio</t>
  </si>
  <si>
    <t>Käynnistysnäyttö</t>
  </si>
  <si>
    <t>Écran de démarrage</t>
  </si>
  <si>
    <t>स्टार्टअप स्क्रीन</t>
  </si>
  <si>
    <t>Főképernyő</t>
  </si>
  <si>
    <t>Layar permulaan</t>
  </si>
  <si>
    <t>Schermo avvio</t>
  </si>
  <si>
    <t>מסך הפעלה</t>
  </si>
  <si>
    <t>起動画面</t>
  </si>
  <si>
    <t>시작 화면</t>
  </si>
  <si>
    <t>Skrin permulaan</t>
  </si>
  <si>
    <t>Beginscherm</t>
  </si>
  <si>
    <t>Oppstartsskjerm</t>
  </si>
  <si>
    <t>Ekran startowy</t>
  </si>
  <si>
    <t>Ecrã inicial</t>
  </si>
  <si>
    <t>Ecran de pornire</t>
  </si>
  <si>
    <t>Экран загрузки</t>
  </si>
  <si>
    <t>Úvodná obrazovka</t>
  </si>
  <si>
    <t>Zagon zaslon</t>
  </si>
  <si>
    <t>Početni ekran</t>
  </si>
  <si>
    <t>Startskärm</t>
  </si>
  <si>
    <t>การสกรีน Startup</t>
  </si>
  <si>
    <t>Başlangıç ​​ekranı</t>
  </si>
  <si>
    <t>Màn hình khởi động</t>
  </si>
  <si>
    <t>启动画面</t>
  </si>
  <si>
    <t>&gt;啟動畫面</t>
  </si>
  <si>
    <t>please_wait</t>
  </si>
  <si>
    <t>Please wait…</t>
  </si>
  <si>
    <t>Моля, изчакайте…</t>
  </si>
  <si>
    <t>Si us plau, esperi...</t>
  </si>
  <si>
    <t>Bitte warten...</t>
  </si>
  <si>
    <t>Por favor, espera...</t>
  </si>
  <si>
    <t>Veuillez patienter...</t>
  </si>
  <si>
    <t>Por favor, agarde...</t>
  </si>
  <si>
    <t>Kérlek várj…</t>
  </si>
  <si>
    <t>Attendere prego...</t>
  </si>
  <si>
    <t>しばらくお待ちください…</t>
  </si>
  <si>
    <t>Even geduld…</t>
  </si>
  <si>
    <t>Proszę czekać...</t>
  </si>
  <si>
    <t>Пожалуйста, подождите…</t>
  </si>
  <si>
    <t>Сачекајте…</t>
  </si>
  <si>
    <t>pref_treat_vibrate_as_dnd_summary</t>
  </si>
  <si>
    <t>Marks your resource as “Do not disturb” when device is on vibrate</t>
  </si>
  <si>
    <t>Преминава в състояние „отсъстващ“, когато устройството е в режим на вибриране.</t>
  </si>
  <si>
    <t>Marqueu el vostre recurs com \"No molesteu\" quan el dispositiu estigui en vibració</t>
  </si>
  <si>
    <t>Setzt deinen Status auf \"Bitte nicht stören\", solange das Gerät auf Vibration geschaltet ist</t>
  </si>
  <si>
    <t>Cambia tu estado a \"no molestar\" cuando el dispositivo está en modo vibración</t>
  </si>
  <si>
    <t>Marquer cette ressource comme Indisponible quand l\'appareil est en mode vibreur</t>
  </si>
  <si>
    <t>Marca o seu recurso como \"Non molestar\" cando o dispositivo está en modo vibración</t>
  </si>
  <si>
    <t>Az eszközt \"Ne zavarjon\" jelzéssel jelöli, ha rezgő módban van</t>
  </si>
  <si>
    <t>Segna la tua risorsa come \"Non disturbare\" quando il dispositivo ha solo la vibrazione</t>
  </si>
  <si>
    <t>デバイスがバイブレートの時に、リソースを “邪魔しないで” としてマークします</t>
  </si>
  <si>
    <t>Stelt je bron in als “Niet storen” wanneer je apparaat in trilmodus staat</t>
  </si>
  <si>
    <t>Oznacza twój zasób jako \"Nie przeszkadzać\", gdy urządzenie jest w trybie wibracji</t>
  </si>
  <si>
    <t>Помечать ресурс как \"Не беспокоить\", когда устройство на вибрации</t>
  </si>
  <si>
    <t>Означавање вашег ресурса као „не ометај“ кад је уређај у режиму вибрирања</t>
  </si>
  <si>
    <t>Додавати \"Не турбувати\" до імені вашого пристрою, коли пристрій в режимі вібрації</t>
  </si>
  <si>
    <t>belgium</t>
  </si>
  <si>
    <t>Belgium</t>
  </si>
  <si>
    <t>Belgien</t>
  </si>
  <si>
    <t>Bélgica</t>
  </si>
  <si>
    <t>Belgique</t>
  </si>
  <si>
    <t>Бельгия</t>
  </si>
  <si>
    <t>Belgija</t>
  </si>
  <si>
    <t>server_info_csi</t>
  </si>
  <si>
    <t>XEP-0352: Client State Indication</t>
  </si>
  <si>
    <t>XEP-0352: مؤشر حالة العميل</t>
  </si>
  <si>
    <t>XEP-0352: Показания за състоянието на клиента</t>
  </si>
  <si>
    <t>XEP-0352: Indicació de l\'estat del client</t>
  </si>
  <si>
    <t>XEP-0352: CSI</t>
  </si>
  <si>
    <t>XEP-0352 : Indication statut client</t>
  </si>
  <si>
    <t>XEP-0352: Indicativo do estado do cliente</t>
  </si>
  <si>
    <t>XEP-0352: クライアント状態表示</t>
  </si>
  <si>
    <t>XEP-0352: Состояние клиента</t>
  </si>
  <si>
    <t>XEP-0352: индикација стања клијента</t>
  </si>
  <si>
    <t>XEP-0352: індикація стану клієнта</t>
  </si>
  <si>
    <t>XEP-0352: Biểu thị trạng thái máy trạm</t>
  </si>
  <si>
    <t>XEP-0352: 用戶端狀態指示</t>
  </si>
  <si>
    <t>comoros</t>
  </si>
  <si>
    <t>Comoros</t>
  </si>
  <si>
    <t>Komoren</t>
  </si>
  <si>
    <t>Comoras</t>
  </si>
  <si>
    <t>Comores</t>
  </si>
  <si>
    <t>Коморы</t>
  </si>
  <si>
    <t>Komoros</t>
  </si>
  <si>
    <t>sao_tome</t>
  </si>
  <si>
    <t>Sao Tome and Principe</t>
  </si>
  <si>
    <t>Sao Tome und Principe</t>
  </si>
  <si>
    <t>Santo Tomé y Príncipe</t>
  </si>
  <si>
    <t>Sao Tomé et Principe</t>
  </si>
  <si>
    <t>Сан-Томе и Принсипи</t>
  </si>
  <si>
    <t>Sao Tome i Prinčipe</t>
  </si>
  <si>
    <t>crypto</t>
  </si>
  <si>
    <t>Crypto Currencies</t>
  </si>
  <si>
    <t>العملات المشفرة</t>
  </si>
  <si>
    <t>Криптовалути</t>
  </si>
  <si>
    <t>Kryptoměny</t>
  </si>
  <si>
    <t>Crypto valutaer</t>
  </si>
  <si>
    <t>Κρυπτονομίσματα</t>
  </si>
  <si>
    <t>Criptomonedas</t>
  </si>
  <si>
    <t>Kryptovaluutat</t>
  </si>
  <si>
    <t>Cryptomonnaies</t>
  </si>
  <si>
    <t>क्रिप्टोकरेंसी</t>
  </si>
  <si>
    <t>Kriptovaluták</t>
  </si>
  <si>
    <t>Mata Uang Crypto</t>
  </si>
  <si>
    <t>Criptovalute</t>
  </si>
  <si>
    <t>מטבעות מבוזרים</t>
  </si>
  <si>
    <t>クリプトカレンシー</t>
  </si>
  <si>
    <t>가상화폐</t>
  </si>
  <si>
    <t>Mata Wang Crypto</t>
  </si>
  <si>
    <t>Crypto-valuta\'s</t>
  </si>
  <si>
    <t>Kryptovalutaer</t>
  </si>
  <si>
    <t>kryptowaluty</t>
  </si>
  <si>
    <t>Criptomoedas</t>
  </si>
  <si>
    <t>Criptomonede</t>
  </si>
  <si>
    <t>Крипто валюты</t>
  </si>
  <si>
    <t>Krypto meny</t>
  </si>
  <si>
    <t>Kripto valute</t>
  </si>
  <si>
    <t>Crypto Valute</t>
  </si>
  <si>
    <t>Kryptokurser</t>
  </si>
  <si>
    <t>สกุลเงินคริปโต</t>
  </si>
  <si>
    <t>Kripto Kurlar</t>
  </si>
  <si>
    <t>Tiền mã hóa</t>
  </si>
  <si>
    <t>加密货币</t>
  </si>
  <si>
    <t>martinique</t>
  </si>
  <si>
    <t>Martinique</t>
  </si>
  <si>
    <t>Martinica</t>
  </si>
  <si>
    <t>Мартиника</t>
  </si>
  <si>
    <t>Martinik</t>
  </si>
  <si>
    <t>tt_commodities_livestock</t>
  </si>
  <si>
    <t>Livestock</t>
  </si>
  <si>
    <t>الماشية</t>
  </si>
  <si>
    <t>Добитък</t>
  </si>
  <si>
    <t>Hospodářská zvířata</t>
  </si>
  <si>
    <t>Tierprodukte</t>
  </si>
  <si>
    <t>Ζώα</t>
  </si>
  <si>
    <t>Ganado</t>
  </si>
  <si>
    <t>Karja</t>
  </si>
  <si>
    <t>Bétail</t>
  </si>
  <si>
    <t>पशुधन</t>
  </si>
  <si>
    <t>Élőállat</t>
  </si>
  <si>
    <t>Ternak</t>
  </si>
  <si>
    <t>Carni</t>
  </si>
  <si>
    <t>משק החי</t>
  </si>
  <si>
    <t>畜産</t>
  </si>
  <si>
    <t>축산물</t>
  </si>
  <si>
    <t>Ternakan</t>
  </si>
  <si>
    <t>Levend vlees</t>
  </si>
  <si>
    <t>Husdyr</t>
  </si>
  <si>
    <t>Trzoda Chlewna</t>
  </si>
  <si>
    <t>Pecuária</t>
  </si>
  <si>
    <t>Șeptel</t>
  </si>
  <si>
    <t>Животноводческие</t>
  </si>
  <si>
    <t>Hospodárske zvieratá</t>
  </si>
  <si>
    <t>Živina</t>
  </si>
  <si>
    <t>Stoka</t>
  </si>
  <si>
    <t>Boskap</t>
  </si>
  <si>
    <t>การปศุสัตว์</t>
  </si>
  <si>
    <t>Çiftlik hayvanları</t>
  </si>
  <si>
    <t>Chăn nuôi</t>
  </si>
  <si>
    <t>牲畜</t>
  </si>
  <si>
    <t>&gt;牲畜</t>
  </si>
  <si>
    <t>tt_name_already_exists</t>
  </si>
  <si>
    <t>Name already exists.</t>
  </si>
  <si>
    <t>الاسم موجود بالفعل.</t>
  </si>
  <si>
    <t>Името вече съществува.</t>
  </si>
  <si>
    <t>Jméno již existuje.</t>
  </si>
  <si>
    <t>Navnet findes allerede.</t>
  </si>
  <si>
    <t>Name existiert bereits</t>
  </si>
  <si>
    <t>Το όνομα υπάρχει ήδη.</t>
  </si>
  <si>
    <t>El nombre ya existe.</t>
  </si>
  <si>
    <t>Nimi on jo olemassa.</t>
  </si>
  <si>
    <t>Ce nom existe déjà</t>
  </si>
  <si>
    <t>नाम पहले से ही मौजूद है।</t>
  </si>
  <si>
    <t>Ez a név már létezik.</t>
  </si>
  <si>
    <t>Nama sudah ada.</t>
  </si>
  <si>
    <t>Nome già utilizzato.</t>
  </si>
  <si>
    <t>השם קיים כבר.</t>
  </si>
  <si>
    <t>名前が既に存在します</t>
  </si>
  <si>
    <t>이미 존재하는 이름입니다.</t>
  </si>
  <si>
    <t>Nama sudah wujud.</t>
  </si>
  <si>
    <t>De naam bestaat al.</t>
  </si>
  <si>
    <t>Navnet eksisterer allerede.</t>
  </si>
  <si>
    <t>Nazwa już istnieje.</t>
  </si>
  <si>
    <t>Nome já existe</t>
  </si>
  <si>
    <t>Numele există deja.</t>
  </si>
  <si>
    <t>Пользователь с таким именем уже существует</t>
  </si>
  <si>
    <t>Meno už existuje.</t>
  </si>
  <si>
    <t>Ime že obstaja.</t>
  </si>
  <si>
    <t>Ime već postoji</t>
  </si>
  <si>
    <t>Namnet finns redan.</t>
  </si>
  <si>
    <t>มีชื่อนี้อยู่แล้ว</t>
  </si>
  <si>
    <t>Bu isim zaten mevcut.</t>
  </si>
  <si>
    <t>Tên đã tồn tại.</t>
  </si>
  <si>
    <t>名称已经存在</t>
  </si>
  <si>
    <t>&gt;名稱已經存在</t>
  </si>
  <si>
    <t>pref_show_connection_options_summary</t>
  </si>
  <si>
    <t>Show hostname and port settings when setting up an account</t>
  </si>
  <si>
    <t>عرض اسم المضيف وإعدادات المنفذ عند تنصيب حساب</t>
  </si>
  <si>
    <t>Показване на настройките за сървър и порт при установка на профил</t>
  </si>
  <si>
    <t>Mostra el nom de la màquina i la configuració del port quan configureu un compte</t>
  </si>
  <si>
    <t>Hostname- und Port-Optionen bei Kontoeinrichtung anzeigen</t>
  </si>
  <si>
    <t>Mostrar el hostname y el puerto cuando se está creando una cuenta</t>
  </si>
  <si>
    <t>Montrer le nom d\'hôte et le port lors du paramétrage d\'un compte</t>
  </si>
  <si>
    <t>Mostar axustes de servidor e porto cando se configura unha conta</t>
  </si>
  <si>
    <t>Mutassa a gazdanevet és a port beállításokat új fiók létrehozásakor</t>
  </si>
  <si>
    <t>Mostra nome host e impostazioni della porta quando configuri un account</t>
  </si>
  <si>
    <t>アカウントを設定するときにホスト名とポートの設定を表示します</t>
  </si>
  <si>
    <t>계정을 설정할 때 호스트 이름과 포트 설정을 표시합니다</t>
  </si>
  <si>
    <t>Toon hostnaam- en poortinstellingen bij instellen van een account</t>
  </si>
  <si>
    <t>Pokaż nazwę hosta i ustawienia portu przy dodawaniu konta</t>
  </si>
  <si>
    <t>Mostrar as definições do hostname e do porto ao configurar uma conta</t>
  </si>
  <si>
    <t>Показывать имя сервера и порт в настройках аккаунтов</t>
  </si>
  <si>
    <t>Приказ домаћина и порта у поставкама налога</t>
  </si>
  <si>
    <t>Visa val av servernamn och port vid inställning av konto</t>
  </si>
  <si>
    <t>Показати налаштування імені хосту та порту при налаштуванні облікового запису</t>
  </si>
  <si>
    <t>註冊帳戶時顯示主機名稱和埠</t>
  </si>
  <si>
    <t>tt_indicator_settings_trigger</t>
  </si>
  <si>
    <t>Trigger</t>
  </si>
  <si>
    <t>إطلاق</t>
  </si>
  <si>
    <t>Tригер</t>
  </si>
  <si>
    <t>Spoušť</t>
  </si>
  <si>
    <t>Udløser</t>
  </si>
  <si>
    <t>Έναυσμα</t>
  </si>
  <si>
    <t>Triggeri</t>
  </si>
  <si>
    <t>Pencetus</t>
  </si>
  <si>
    <t>טריגר</t>
  </si>
  <si>
    <t>トリガー</t>
  </si>
  <si>
    <t>트리거</t>
  </si>
  <si>
    <t>Utløser</t>
  </si>
  <si>
    <t>Declanșator</t>
  </si>
  <si>
    <t>Триггер</t>
  </si>
  <si>
    <t>Spustiť</t>
  </si>
  <si>
    <t>Sprožilec</t>
  </si>
  <si>
    <t>กลไก</t>
  </si>
  <si>
    <t>Tetik</t>
  </si>
  <si>
    <t>Nhân tố kích hoạt</t>
  </si>
  <si>
    <t>触发</t>
  </si>
  <si>
    <t>&gt;觸發</t>
  </si>
  <si>
    <t>tt_backtosymbol</t>
  </si>
  <si>
    <t>Back to security</t>
  </si>
  <si>
    <t>رجوع إلى الأمان</t>
  </si>
  <si>
    <t>Обратно към сигурността</t>
  </si>
  <si>
    <t>Zpět do bezpečí</t>
  </si>
  <si>
    <t>Tilbage til sikkerhed</t>
  </si>
  <si>
    <t>Zurück zum Wertpapier</t>
  </si>
  <si>
    <t>Επιστροφή στην ασφάλεια</t>
  </si>
  <si>
    <t>Volver a seguridad</t>
  </si>
  <si>
    <t>Takaisin arvopaperiin</t>
  </si>
  <si>
    <t>Retour à la liste des titres</t>
  </si>
  <si>
    <t>सुरक्षा पर वापिस जाएँ</t>
  </si>
  <si>
    <t>Vissza az értékpapírhoz</t>
  </si>
  <si>
    <t>Kembali ke keselamatan</t>
  </si>
  <si>
    <t>Indietro al simbolo</t>
  </si>
  <si>
    <t>חזרה לנייר ערך</t>
  </si>
  <si>
    <t>戻る</t>
  </si>
  <si>
    <t>유가증권으로 돌아가기</t>
  </si>
  <si>
    <t>Kembali kepada keselamatan</t>
  </si>
  <si>
    <t>Terug naar waardepapier</t>
  </si>
  <si>
    <t>Tilbake til sikkerhet</t>
  </si>
  <si>
    <t>Powrót do instrumentu</t>
  </si>
  <si>
    <t>Voltar ao símbolo</t>
  </si>
  <si>
    <t>Înapoi la securitate</t>
  </si>
  <si>
    <t>Назад к ценной бумаге</t>
  </si>
  <si>
    <t>Späť na zabezpečenie</t>
  </si>
  <si>
    <t>Nazaj k varnosti</t>
  </si>
  <si>
    <t>Natrag na HoV</t>
  </si>
  <si>
    <t>Tillbaka till säkerheten</t>
  </si>
  <si>
    <t>กลับไปที่หลักทรัพย์</t>
  </si>
  <si>
    <t>Güvenliğe dön</t>
  </si>
  <si>
    <t>Trở lại Bảo mật</t>
  </si>
  <si>
    <t>返回证券</t>
  </si>
  <si>
    <t>&gt;返回證券</t>
  </si>
  <si>
    <t>we_have_sent_you_an_sms_to_x</t>
  </si>
  <si>
    <t>image</t>
  </si>
  <si>
    <t>صورة</t>
  </si>
  <si>
    <t>изображение</t>
  </si>
  <si>
    <t>imatge</t>
  </si>
  <si>
    <t>Bild</t>
  </si>
  <si>
    <t>imagen</t>
  </si>
  <si>
    <t>imaxe</t>
  </si>
  <si>
    <t>kép</t>
  </si>
  <si>
    <t>Gambar</t>
  </si>
  <si>
    <t>immagine</t>
  </si>
  <si>
    <t>画像</t>
  </si>
  <si>
    <t>이미지</t>
  </si>
  <si>
    <t>afbeelding</t>
  </si>
  <si>
    <t>obraz</t>
  </si>
  <si>
    <t>imagem</t>
  </si>
  <si>
    <t>obrázok</t>
  </si>
  <si>
    <t>слика</t>
  </si>
  <si>
    <t>bild</t>
  </si>
  <si>
    <t>зображення</t>
  </si>
  <si>
    <t>hình ảnh</t>
  </si>
  <si>
    <t>圖像</t>
  </si>
  <si>
    <t>tt_edgar_pe_ratio</t>
  </si>
  <si>
    <t>P/E (TTM)</t>
  </si>
  <si>
    <t>السعر/الربح (اثني عشر شهرًا متتاليًا)</t>
  </si>
  <si>
    <t>KGV (TTM)</t>
  </si>
  <si>
    <t>PER (1Año)</t>
  </si>
  <si>
    <t>पी / ई (टीटीएम)</t>
  </si>
  <si>
    <t>Rapporto PE (ttm)</t>
  </si>
  <si>
    <t>מכפיל רווח (12 החודשים האחרונים)</t>
  </si>
  <si>
    <t>P/E(TTM)</t>
  </si>
  <si>
    <t>Kosten/Opbrengsten (TTM)</t>
  </si>
  <si>
    <t>C/Z (12M)</t>
  </si>
  <si>
    <t>P/E (MTT)</t>
  </si>
  <si>
    <t>F/K (12 yıl)</t>
  </si>
  <si>
    <t>市盈率（TTM）</t>
  </si>
  <si>
    <t>tt_close</t>
  </si>
  <si>
    <t>Close</t>
  </si>
  <si>
    <t>إغلاق</t>
  </si>
  <si>
    <t>Затвори</t>
  </si>
  <si>
    <t>Zavřít</t>
  </si>
  <si>
    <t>Luk</t>
  </si>
  <si>
    <t>Schluß</t>
  </si>
  <si>
    <t>Κλείσιμο</t>
  </si>
  <si>
    <t>Cierre</t>
  </si>
  <si>
    <t>Sulje</t>
  </si>
  <si>
    <t>Clôture</t>
  </si>
  <si>
    <t>बंद करें</t>
  </si>
  <si>
    <t>Záró</t>
  </si>
  <si>
    <t>Tutup</t>
  </si>
  <si>
    <t>Chiusura</t>
  </si>
  <si>
    <t>סגור</t>
  </si>
  <si>
    <t>閉じる</t>
  </si>
  <si>
    <t>닫기</t>
  </si>
  <si>
    <t>Slot</t>
  </si>
  <si>
    <t>Lukk</t>
  </si>
  <si>
    <t>Zamknij</t>
  </si>
  <si>
    <t>Fechar</t>
  </si>
  <si>
    <t>Închide</t>
  </si>
  <si>
    <t>Zavrieť</t>
  </si>
  <si>
    <t>Zapri</t>
  </si>
  <si>
    <t>Zatvori</t>
  </si>
  <si>
    <t>Stäng</t>
  </si>
  <si>
    <t>ปิด</t>
  </si>
  <si>
    <t>Kapat</t>
  </si>
  <si>
    <t>Đóng</t>
  </si>
  <si>
    <t>收盘价</t>
  </si>
  <si>
    <t>&gt;收盤價</t>
  </si>
  <si>
    <t>type_in_your_phone</t>
  </si>
  <si>
    <t>To be able to use the chat feature, please type in your phone number to receive the activation code.</t>
  </si>
  <si>
    <t>Um das Chat-Feature nutzen zu können, geben Sie bitte Ihre Telefonnummer zum Erhalt des Aktivierungscodes ein.</t>
  </si>
  <si>
    <t>Para poder usar la función de chat, por favor introduce tu número de teléfono y recibirás tu código de activación.</t>
  </si>
  <si>
    <t>Pour pouvoir utiliser la fonctionnalité de chat, saisissez votre numéro de téléphone pour recevoir le code d\'activation.</t>
  </si>
  <si>
    <t>A csevegő funkció használatához kérjük adja meg telefonszámát, majd egy aktiváló kódot fog kapni.</t>
  </si>
  <si>
    <t>Для использования функции чата, пожалуйста, введите Ваш номер телефона для получения кода активации.</t>
  </si>
  <si>
    <t>Da bi ste koristili čet, molimo vas upišite vaš telefonski broj da bi ste dobili aktivacioni kod.</t>
  </si>
  <si>
    <t>tt_eula</t>
  </si>
  <si>
    <t>Terms of Use</t>
  </si>
  <si>
    <t>شروط الاستخدام</t>
  </si>
  <si>
    <t>Условия за ползване</t>
  </si>
  <si>
    <t>Podmínky použití</t>
  </si>
  <si>
    <t>Brugsbetingelser</t>
  </si>
  <si>
    <t>Nutzungsbedingungen</t>
  </si>
  <si>
    <t>Όροι χρήσης</t>
  </si>
  <si>
    <t>Condiciones de uso</t>
  </si>
  <si>
    <t>Käyttöehdot</t>
  </si>
  <si>
    <t>Conditions d\'utilisation</t>
  </si>
  <si>
    <t>उपयोग की शर्तें</t>
  </si>
  <si>
    <t>Felhasználási feltételek</t>
  </si>
  <si>
    <t>Syarat Penggunaan</t>
  </si>
  <si>
    <t>Condizioni d\'uso</t>
  </si>
  <si>
    <t>תנאי שימוש</t>
  </si>
  <si>
    <t>利用規約</t>
  </si>
  <si>
    <t>이용 약관</t>
  </si>
  <si>
    <t>Gebruiksovereenkomst</t>
  </si>
  <si>
    <t>Bruksvilkår</t>
  </si>
  <si>
    <t>Warunki korzystania z serwisu</t>
  </si>
  <si>
    <t>Termos de uso</t>
  </si>
  <si>
    <t>Termeni de Utilizare</t>
  </si>
  <si>
    <t>Условия использования</t>
  </si>
  <si>
    <t>Podmienky používania</t>
  </si>
  <si>
    <t>Pogoji uporabe</t>
  </si>
  <si>
    <t>Uslovi korišćenja</t>
  </si>
  <si>
    <t>Villkor</t>
  </si>
  <si>
    <t>ข้อกำหนดการใช้งาน</t>
  </si>
  <si>
    <t>Kullanım Şartları</t>
  </si>
  <si>
    <t>Điều khoản sử dụng</t>
  </si>
  <si>
    <t>使用条款</t>
  </si>
  <si>
    <t>&gt;使用條款</t>
  </si>
  <si>
    <t>Appstore</t>
  </si>
  <si>
    <t>appstore_picture6</t>
  </si>
  <si>
    <t>الأخبار
  ابق على اطلاع على احدث الأخبار.</t>
  </si>
  <si>
    <t>Novinky / Buďte informováni s nejnovějšími a nejrychlejšími zprávami.</t>
  </si>
  <si>
    <t>Nyheder / Bliv informeret om de seneste og hurtigste nyheder.</t>
  </si>
  <si>
    <t>Νέα / Μείνετε ενημερωμένοι με τα τελευταία και ταχύτερα νέα.</t>
  </si>
  <si>
    <t>Uutiset / Pysy ajan tasalla uusimmilla ja nopeimmilla uutisilla.</t>
  </si>
  <si>
    <t>समाचार / ताजा और सबसे तेज़ समाचार से अवगत रहें।</t>
  </si>
  <si>
    <t>חדשות / התעדכן בחדשות האחרונות והמהירות ביותר.</t>
  </si>
  <si>
    <t>뉴스
  가장 빠른 최신 뉴스를 지속적으로 제공</t>
  </si>
  <si>
    <t>Nyheter / Hold deg oppdatert med de siste og raskeste nyhetene.</t>
  </si>
  <si>
    <t>Știri / Fii la curent cu cele mai noi și mai rapide știri.</t>
  </si>
  <si>
    <t>Novinky / Buďte informovaný pomocou najnovších a najrýchlejších správ.</t>
  </si>
  <si>
    <t>Novice / Bodite obveščeni z najnovejšimi in najhitrejšimi novicami.</t>
  </si>
  <si>
    <t>Nyheter / Håll dig informerad om de senaste och snabbaste nyheterna.</t>
  </si>
  <si>
    <t>ข่าว / รับข่าวสารล่าสุดและเร็วที่สุด</t>
  </si>
  <si>
    <t>Tin tức/Cập nhật những tin tức mới nhất và nhanh nhất.</t>
  </si>
  <si>
    <t>appstore_picture5</t>
  </si>
  <si>
    <t>التقويم الاقتصادي
  الأحداث الاقتصادية الرئيسية وتأثيرها على الأسواق.</t>
  </si>
  <si>
    <t>Икономически календар / Основни икономически събития и тяхното въздействие върху пазарите.</t>
  </si>
  <si>
    <t>Ekonomický kalendář / Klíčové ekonomické události a jejich dopad na trhy.</t>
  </si>
  <si>
    <t>Økonomisk kalender / vigtigste økonomiske begivenheder og deres indvirkning på markederne.</t>
  </si>
  <si>
    <t>Οικονομικό Ημερολόγιο / Βασικά οικονομικά γεγονότα και ο αντίκτυπός τους στις αγορές.</t>
  </si>
  <si>
    <t>Talouskalenteri / Keskeiset taloudelliset tapahtumat ja niiden vaikutukset markkinoihin.</t>
  </si>
  <si>
    <t>आर्थिक कैलेंडर / प्रमुख आर्थिक घटनाएँ और बाजारों पर उनका प्रभाव।</t>
  </si>
  <si>
    <t>לוח כלכלי / אירועים כלכליים מרכזיים והשפעתם על השווקים.</t>
  </si>
  <si>
    <t>경제 캘린더
  주요 경제 사건 및 시장에 미치는 영향.</t>
  </si>
  <si>
    <t>Økonomisk kalender / viktige økonomiske hendelser og deres innvirkning på markedene.</t>
  </si>
  <si>
    <t>Calendar Economic / Evenimente economice cheie și impactul lor asupra piețelor.</t>
  </si>
  <si>
    <t>Ekonomický kalendár / Kľúčové ekonomické udalosti a ich dopad na trhy.</t>
  </si>
  <si>
    <t>Gospodarski koledar / Ključni gospodarski dogodki in njihov vpliv na trge.</t>
  </si>
  <si>
    <t>Ekonomisk kalender / viktiga ekonomiska händelser och deras inverkan på marknaderna.</t>
  </si>
  <si>
    <t>สถานการณ์ปฏิทินเศรษฐกิจ / ภาวะเศรษฐกิจที่สำคัญและผลกระทบที่มีต่อตลาดหุ้น</t>
  </si>
  <si>
    <t>Lịch kinh tế/Sự kiện kinh tế quan trọng và tác động của chúng trên thị trường.</t>
  </si>
  <si>
    <t>appstore_picture2</t>
  </si>
  <si>
    <t>المحفظة
  محاكاة المحفظة باستخدام بيانات حقيقية.</t>
  </si>
  <si>
    <t>Портфолио /  Симулирайте ефективността на портфолио с реални данни.</t>
  </si>
  <si>
    <t>Portfolio /  Simulujte výkon portfolia se skutečnými daty.</t>
  </si>
  <si>
    <t>Portefølje /  Simulere porteføljeydelse med reelle data.</t>
  </si>
  <si>
    <t>Χαρτοφυλάκιο /  Προσομοίωση απόδοσης χαρτοφυλακίου με πραγματικά δεδομένα.</t>
  </si>
  <si>
    <t>Salkku / Simuloi salkun tuottavuutta todellisilla tiedoilla.</t>
  </si>
  <si>
    <t>पोर्टफोलियो / वास्तविक डेटा के साथ पोर्टफोलियो प्रदर्शन का अनुकरण करें।</t>
  </si>
  <si>
    <t>תיק / סימולציה של ניהול תיק השקעות עם נתונים אמיתיים.</t>
  </si>
  <si>
    <t>포트폴리오
  실제 데이터로 포트폴리오 성능 시뮬레이션.</t>
  </si>
  <si>
    <t>Portefølje /  Simulere porteføljeytelse med reelle data.</t>
  </si>
  <si>
    <t>Portofoliu / Simuleaz[ performanța portofoliului cu date reale.</t>
  </si>
  <si>
    <t>Portfólio /  Simulujte výkon portfólia pomocou skutočných údajov.</t>
  </si>
  <si>
    <t>Portfolio /  Simulirajte uspešnost portfelja z resničnimi podatki.</t>
  </si>
  <si>
    <t>Portfölj / Simulera portföljprestanda med riktiga data.</t>
  </si>
  <si>
    <t>พอร์ตการลงทุน / พอร์ตจำลองที่แสดงผลโดยใช้ข้อมูลจริง</t>
  </si>
  <si>
    <t>Danh mục đầu tư/Mô phỏng hiệu suất danh mục đầu tư với dữ liệu thực.</t>
  </si>
  <si>
    <t>tt_period_small_intraday5</t>
  </si>
  <si>
    <t>5 min.</t>
  </si>
  <si>
    <t>5 دقائق</t>
  </si>
  <si>
    <t>5 минути.</t>
  </si>
  <si>
    <t>5 minut.</t>
  </si>
  <si>
    <t>5 λεπτά.</t>
  </si>
  <si>
    <t>5 मिनट।</t>
  </si>
  <si>
    <t>5 דקות.</t>
  </si>
  <si>
    <t>5分</t>
  </si>
  <si>
    <t>5분</t>
  </si>
  <si>
    <t>5 minutos</t>
  </si>
  <si>
    <t>5 мин.</t>
  </si>
  <si>
    <t>5 min</t>
  </si>
  <si>
    <t>5 นาที</t>
  </si>
  <si>
    <t>5 dk.</t>
  </si>
  <si>
    <t>5 phút</t>
  </si>
  <si>
    <t>５分钟</t>
  </si>
  <si>
    <t>&gt;５分鐘</t>
  </si>
  <si>
    <t>appstore_picture1</t>
  </si>
  <si>
    <t>نظرة عامة على الأسواق
  الأسواق حول العالم و معرفة الأسعار.</t>
  </si>
  <si>
    <t>Преглед на пазарите /  Пазари по целия свят с цени в реално време.</t>
  </si>
  <si>
    <t>Přehled trhů /  Trhy po celém světě s cenami v reálném čase.</t>
  </si>
  <si>
    <t>Markedsoversigt /  Markeder over hele verden med priser i realtid.</t>
  </si>
  <si>
    <t>Επισκόπηση αγορών /  Αγορές σε όλο τον κόσμο με τιμές σε πραγματικό χρόνο.</t>
  </si>
  <si>
    <t>Markkinoiden yleiskuvaus /  Markkinat ympäri maailmaa reaaliajassa hintoineen.</t>
  </si>
  <si>
    <t>बाजार विहंगावलोकन / रियल टाइम में कीमतों के साथ दुनिया भर के बाजार।</t>
  </si>
  <si>
    <t>סקירת שווקים / שווקים ברחבי העולם עם מחירים בזמן אמת.</t>
  </si>
  <si>
    <t>시장 개요
  전세계 시장의 가격을 실시간으로 표시.</t>
  </si>
  <si>
    <t>Markedsoversikt / Markeder over hele verden med priser i sanntid.</t>
  </si>
  <si>
    <t>Prezentarea Generală a Piețelor /  Piețe din întreaga lume cu prețuri în timp real.</t>
  </si>
  <si>
    <t>Prehľad trhov /  trhy po celom svete s cenami v reálnom čase.</t>
  </si>
  <si>
    <t>Pregled trgov /  trgi po vsem svetu s cenami v realnem času.</t>
  </si>
  <si>
    <t>Marknadsöversikt / Marknader runt om i världen med priser i realtid.</t>
  </si>
  <si>
    <t>ภาพรวมตลาด / ตลาดทั่วโลกพร้อมราคาแบบเรียลไทม์</t>
  </si>
  <si>
    <t>Tổng quan thị trường/Thị trường trên toàn thế giới với giá trực tiếp.</t>
  </si>
  <si>
    <t>tt_period_small_intraday1</t>
  </si>
  <si>
    <t>1 min</t>
  </si>
  <si>
    <t>دقيقة</t>
  </si>
  <si>
    <t>1 минута</t>
  </si>
  <si>
    <t>1 λεπτό</t>
  </si>
  <si>
    <t>1 minuutti</t>
  </si>
  <si>
    <t>1 मिनट</t>
  </si>
  <si>
    <t>1 menit</t>
  </si>
  <si>
    <t>1 דקה</t>
  </si>
  <si>
    <t>1分</t>
  </si>
  <si>
    <t>1분</t>
  </si>
  <si>
    <t>1 minit</t>
  </si>
  <si>
    <t>1 minuto</t>
  </si>
  <si>
    <t>1 minúta</t>
  </si>
  <si>
    <t>1 นาที</t>
  </si>
  <si>
    <t>1 dk.</t>
  </si>
  <si>
    <t>1 phút</t>
  </si>
  <si>
    <t>１分钟</t>
  </si>
  <si>
    <t>&gt;１分鐘</t>
  </si>
  <si>
    <t>rate_limited</t>
  </si>
  <si>
    <t>You are rate limited</t>
  </si>
  <si>
    <t>Имате времево ограничение</t>
  </si>
  <si>
    <t>Du bist limitiert</t>
  </si>
  <si>
    <t>Taxa de transferencia limitada</t>
  </si>
  <si>
    <t>Az Ön rátája limitált</t>
  </si>
  <si>
    <t>Je bent beperkt</t>
  </si>
  <si>
    <t>Wykorzystałeś limit zapytań</t>
  </si>
  <si>
    <t>nicaragua</t>
  </si>
  <si>
    <t>Nicaragua</t>
  </si>
  <si>
    <t>Никарагуа</t>
  </si>
  <si>
    <t>Nikaragva</t>
  </si>
  <si>
    <t>norfolk_island</t>
  </si>
  <si>
    <t>Norfolk Island</t>
  </si>
  <si>
    <t>Norfolk Inseln</t>
  </si>
  <si>
    <t>Isla Norfolk</t>
  </si>
  <si>
    <t>Île Norfolk</t>
  </si>
  <si>
    <t>Остров Норфолк</t>
  </si>
  <si>
    <t>Norfolčka ostrva</t>
  </si>
  <si>
    <t>tt_text_missingworkspace</t>
  </si>
  <si>
    <t>You did not yet upload a baha Professional workspace.</t>
  </si>
  <si>
    <t>لم تقم بعد بتحميل مساحة عمل TeleTrader Professional.</t>
  </si>
  <si>
    <t>Все още не сте качили работно пространство TeleTrader Professional.</t>
  </si>
  <si>
    <t>Dosud jste nenahráli pracovní prostor TeleTrader Professional.</t>
  </si>
  <si>
    <t>Du har endnu ikke uploadet et TeleTrader Professionel arbejdsområde.</t>
  </si>
  <si>
    <t>Hol dir jetzt die führende App für \nWirtschafts- und Finanznachrichten \n baha breaking news App</t>
  </si>
  <si>
    <t>Δεν έχετε ανεβάσει ακόμη ένα χώρο εργασίας TeleTrader Professional.</t>
  </si>
  <si>
    <t>Todavía no ha cargado ninguna área de trabajo TeleTrader Professional.</t>
  </si>
  <si>
    <t>Et ole vielä ladannut TeleTrader Professional -työtilaa.</t>
  </si>
  <si>
    <t>Vous n\'avez pas encore téléchargé le poste de travail TeleTrader Professional.</t>
  </si>
  <si>
    <t>आपने अभी तक एक टेलीट्रेडर व्यावसायिक कार्यक्षेत्र को अपलोड नहीं किया है।</t>
  </si>
  <si>
    <t>Még nem töltötte fel TeleTrader Professional munkaterületét</t>
  </si>
  <si>
    <t>Anda belum mengunggah ruang kerja TeleTrader Professional.</t>
  </si>
  <si>
    <t>Non hai ancora uploadato a TeleTrader Professional workspace.</t>
  </si>
  <si>
    <t>עדיין לא העלית סביבת עבודה של TeleTrader Professional.</t>
  </si>
  <si>
    <t>ワークスペースがアップロードされていません</t>
  </si>
  <si>
    <t>아직 TeleTrader Professional 작업 공간을 업로드하지 않았습니다.</t>
  </si>
  <si>
    <t>Anda belum lagi memuat naik ruangan kerja TeleTrader Professional.</t>
  </si>
  <si>
    <t>U heeft nog geen Teletrader Professional Workspace ge-upload.</t>
  </si>
  <si>
    <t>Du har ikke lastet opp et TeleTrader Professional-arbeidsområde ennå.</t>
  </si>
  <si>
    <t>Obszar roboczy TeleTrader Professional nie został jeszcze załadowany.</t>
  </si>
  <si>
    <t>Você ainda não fez o upload do espaço de trabalho profissional Teletrader</t>
  </si>
  <si>
    <t>Nu ai încărcat încă un spațiu de lucru TeleTrader Professional.</t>
  </si>
  <si>
    <t>TeleTrader Professional workspace еще не загружено</t>
  </si>
  <si>
    <t>Zatiaľ ste si nestiahli pracovný priestor TeleTrader Professional.</t>
  </si>
  <si>
    <t>Še niste naložili delovnega prostora TeleTrader Professional.</t>
  </si>
  <si>
    <t>Još niste poslali TeleTrader radni prostor</t>
  </si>
  <si>
    <t>Du har ännu inte laddat upp ett TeleTrader Professional workspace.</t>
  </si>
  <si>
    <t>คุณยังไม่ได้อัปโหลด TeleTrader Professional workspace</t>
  </si>
  <si>
    <t>Henüz bir TeleTrader Professional çalışma alanı yüklemediniz.</t>
  </si>
  <si>
    <t>Bạn chưa tải lên không gian làm việc TeleTrader Professional.</t>
  </si>
  <si>
    <t>您还未上传Teletrader的专业工作页面</t>
  </si>
  <si>
    <t>&gt;您還未上傳Teletrader的專業工作頁面</t>
  </si>
  <si>
    <t>uganda</t>
  </si>
  <si>
    <t>Uganda</t>
  </si>
  <si>
    <t>Ouganda</t>
  </si>
  <si>
    <t>Уганда</t>
  </si>
  <si>
    <t>tt_no_matching_news_found</t>
  </si>
  <si>
    <t>Newsarticle not available.</t>
  </si>
  <si>
    <t>المقال الإخباري غير متوافر.</t>
  </si>
  <si>
    <t>Newsarticle не е наличен.</t>
  </si>
  <si>
    <t>Článek není k dispozici.</t>
  </si>
  <si>
    <t>Nyhedsartikel ikke tilgængelig.</t>
  </si>
  <si>
    <t>Nachricht nicht verfügbar.</t>
  </si>
  <si>
    <t>Το άρθρο δεν είναι διαθέσιμο.</t>
  </si>
  <si>
    <t>Artículo de noticias no está disponible.</t>
  </si>
  <si>
    <t>Uutista ei ole saatavana.</t>
  </si>
  <si>
    <t>Article non disponible.</t>
  </si>
  <si>
    <t>समाचार आलेख उपलब्ध नहीं है।</t>
  </si>
  <si>
    <t>Hírek nem elérhetőek.</t>
  </si>
  <si>
    <t>Surat berita tidak tersedia.</t>
  </si>
  <si>
    <t>Articolo di notizie non disponibile</t>
  </si>
  <si>
    <t>אין חדשות זמינות.</t>
  </si>
  <si>
    <t>記事情報入手不可</t>
  </si>
  <si>
    <t>가능한 뉴스 기사가 없습니다.</t>
  </si>
  <si>
    <t>Nieuwsartikel niet beschikbaar.</t>
  </si>
  <si>
    <t>Nyhetsartikkel ikke tilgjengelig.</t>
  </si>
  <si>
    <t>Artykuły niedostępne.</t>
  </si>
  <si>
    <t>Notícia não disponível</t>
  </si>
  <si>
    <t>Articolul de știri nu este disponibil.</t>
  </si>
  <si>
    <t>Статья недоступна</t>
  </si>
  <si>
    <t>Novinový článok nie je dostupný.</t>
  </si>
  <si>
    <t>Časopis ni na voljo.</t>
  </si>
  <si>
    <t>Clanak nije dostupan.</t>
  </si>
  <si>
    <t>Nyhetsartikel inte tillgänglig.</t>
  </si>
  <si>
    <t>ไม่มีข่าวสาร</t>
  </si>
  <si>
    <t>Haber bülteni mevcut değil.</t>
  </si>
  <si>
    <t>Bản tin không có sẵn.</t>
  </si>
  <si>
    <t>没有新闻</t>
  </si>
  <si>
    <t>&gt;沒有新聞</t>
  </si>
  <si>
    <t>timor</t>
  </si>
  <si>
    <t>Timor-Leste</t>
  </si>
  <si>
    <t>Timor Oriental</t>
  </si>
  <si>
    <t>Тимор-Лесте</t>
  </si>
  <si>
    <t>host_does_not_support_group_chat_avatars</t>
  </si>
  <si>
    <t>Host does not support group chat avatars</t>
  </si>
  <si>
    <t>Сървърът не поддържа аватари за груповите разговори</t>
  </si>
  <si>
    <t>El host no suporta avatars de xat de grup</t>
  </si>
  <si>
    <t>Host unterstützt keine Gruppenchat-Avatare</t>
  </si>
  <si>
    <t>El servidor no soporta avatares en conversaciones en grupo</t>
  </si>
  <si>
    <t>Le serveur ne prend pas en charge les avatars pour les groupes de discussion</t>
  </si>
  <si>
    <t>O servidor non soporta o avatar na conversa de grupo</t>
  </si>
  <si>
    <t>A gazdagép nem támogatja a konferencia profilképeket</t>
  </si>
  <si>
    <t>L\'host non supporta gli avatar per chat di gruppo</t>
  </si>
  <si>
    <t>Host ondersteunt geen gespreksafbeeldingen</t>
  </si>
  <si>
    <t>Serwer nie wspiera awatarów konwersacji</t>
  </si>
  <si>
    <t>Домаћин не подржава аватар групног ћаскања</t>
  </si>
  <si>
    <t>pref_expert_options_summary</t>
  </si>
  <si>
    <t>Please be careful with these</t>
  </si>
  <si>
    <t>كن حذراً مع هذه من فضلك</t>
  </si>
  <si>
    <t>Моля, бъдете внимателни с тези</t>
  </si>
  <si>
    <t>Aneu amb cura</t>
  </si>
  <si>
    <t>Hier bitte vorsichtig sein</t>
  </si>
  <si>
    <t>Por favor, cuidado con estas opciones</t>
  </si>
  <si>
    <t>À utiliser avec précaution.</t>
  </si>
  <si>
    <t>Por favor teña coidado con estos axustes</t>
  </si>
  <si>
    <t>Kérlek, légy óvatos!</t>
  </si>
  <si>
    <t>Harap berhati-hati dengan ini</t>
  </si>
  <si>
    <t>Fai attenzione con queste impostazioni</t>
  </si>
  <si>
    <t>ご利用は注意してください</t>
  </si>
  <si>
    <t>설정시 주의하시기 바랍니다</t>
  </si>
  <si>
    <t>Wees voorzichtig met deze instellingen</t>
  </si>
  <si>
    <t>Modyfikuj ustawienia ostrożnie</t>
  </si>
  <si>
    <t>Por favor tenha cuidado com estas</t>
  </si>
  <si>
    <t>Пожалуйста, будьте осторожны с данными настройками</t>
  </si>
  <si>
    <t>S týmto narábajte veľmi opatrne, prosím</t>
  </si>
  <si>
    <t>Будите пажљиви са овим</t>
  </si>
  <si>
    <t>Var försiktig med dem</t>
  </si>
  <si>
    <t>Будь ласка, будьте обережними з цим</t>
  </si>
  <si>
    <t>Xin hãy cẩn trọng với chúng</t>
  </si>
  <si>
    <t>請謹慎使用</t>
  </si>
  <si>
    <t>no_permission_to_access_x</t>
  </si>
  <si>
    <t>No permission to access %s</t>
  </si>
  <si>
    <t>Няма позволение за достъп до %s</t>
  </si>
  <si>
    <t>No hi ha permís per accedir %s</t>
  </si>
  <si>
    <t>Keine Berechtigung um auf %s zuzugreifen</t>
  </si>
  <si>
    <t>Sin permiso de acceso a %s</t>
  </si>
  <si>
    <t>Permission d\'accéder à %s refusée</t>
  </si>
  <si>
    <t>Se permiso para acceder %s</t>
  </si>
  <si>
    <t>Nincs jogosultságod, hogy hozzáférj ehhez: %s</t>
  </si>
  <si>
    <t>Nessuna autorizzazione per accedere a %s</t>
  </si>
  <si>
    <t>%s にアクセスする権限がありません</t>
  </si>
  <si>
    <t>%s에 접근할 권한이 없음</t>
  </si>
  <si>
    <t>Geen toestemming om toegang te krijgen tot %s</t>
  </si>
  <si>
    <t>Brak pozwolenia na dostęp do %s</t>
  </si>
  <si>
    <t>Нет доступа к %s</t>
  </si>
  <si>
    <t>Нема дозвола за приступ %s</t>
  </si>
  <si>
    <t>Saknar rättigheter för access till %s</t>
  </si>
  <si>
    <t>Немає дозволу на доступ до %s</t>
  </si>
  <si>
    <t>沒有訪問 %s 的許可</t>
  </si>
  <si>
    <t>tt_ind_relative_strength_index_short</t>
  </si>
  <si>
    <t>RSI</t>
  </si>
  <si>
    <t>مؤشر القوة النسبية</t>
  </si>
  <si>
    <t>आरएसआई</t>
  </si>
  <si>
    <t>índice de força relativa</t>
  </si>
  <si>
    <t>Индекс относительной силы</t>
  </si>
  <si>
    <t>RGİ</t>
  </si>
  <si>
    <t>相对强弱指数（RSI）</t>
  </si>
  <si>
    <t>&gt;相對強弱指數(RSI)</t>
  </si>
  <si>
    <t>on_boarding_welcome_1_huawei_insert</t>
  </si>
  <si>
    <t>Quick access</t>
  </si>
  <si>
    <t>الوصول السريع</t>
  </si>
  <si>
    <t>Бърз достъп</t>
  </si>
  <si>
    <t>Rychlý přístup</t>
  </si>
  <si>
    <t>Hurtig adgang</t>
  </si>
  <si>
    <t>Γρήγορη πρόσβαση</t>
  </si>
  <si>
    <t>Nopea pääsy</t>
  </si>
  <si>
    <t>Accès rapide</t>
  </si>
  <si>
    <t>त्वरित एक्सेस</t>
  </si>
  <si>
    <t>Gyors elérés</t>
  </si>
  <si>
    <t>Akses cepat</t>
  </si>
  <si>
    <t>Accesso rapido</t>
  </si>
  <si>
    <t>גישה מהירה</t>
  </si>
  <si>
    <t>クイックアクセス</t>
  </si>
  <si>
    <t>빠른 접근</t>
  </si>
  <si>
    <t>Akses pintas</t>
  </si>
  <si>
    <t>Snel toegang</t>
  </si>
  <si>
    <t>Rask tilgang</t>
  </si>
  <si>
    <t>Szybki dostęp</t>
  </si>
  <si>
    <t>Acesso rápido</t>
  </si>
  <si>
    <t>Acces rapid</t>
  </si>
  <si>
    <t>Rýchly prístup</t>
  </si>
  <si>
    <t>Hiter dostop</t>
  </si>
  <si>
    <t>Snabb åtkomst</t>
  </si>
  <si>
    <t>การเข้าถึงแบบด่วน</t>
  </si>
  <si>
    <t>Hızlı erişim</t>
  </si>
  <si>
    <t>Truy cập nhanh</t>
  </si>
  <si>
    <t>快速访问</t>
  </si>
  <si>
    <t>onboarding_price_alerts</t>
  </si>
  <si>
    <t>Personal price alerts.</t>
  </si>
  <si>
    <t>Persoonlijke prijsmeldingen.</t>
  </si>
  <si>
    <t>Persönliche Kursalarme.</t>
  </si>
  <si>
    <t>Personlige prisadvarsler.</t>
  </si>
  <si>
    <t>Alertas personales de precios</t>
  </si>
  <si>
    <t>Henkilökohtaiset hintailmoitukset.</t>
  </si>
  <si>
    <t>Alertes personnelles sur les prix.</t>
  </si>
  <si>
    <t>Személyes árfolyam-figyelmeztetések.</t>
  </si>
  <si>
    <t>Peringatan harga personal.</t>
  </si>
  <si>
    <t>Avvisi personali sui prezzi.</t>
  </si>
  <si>
    <t>Kişisel fiyat uyarıları.</t>
  </si>
  <si>
    <t>個人向け価格のアラート</t>
  </si>
  <si>
    <t>개인 가격 알림.</t>
  </si>
  <si>
    <t>Makluman harga peribadi.</t>
  </si>
  <si>
    <t>Personlige prisvarsler.</t>
  </si>
  <si>
    <t>Osobiste alerty cenowe.</t>
  </si>
  <si>
    <t>Alertas de preços personalizados.</t>
  </si>
  <si>
    <t>Персональные оповещения о ценах.</t>
  </si>
  <si>
    <t>Lična upozorenja o cenama.</t>
  </si>
  <si>
    <t>Personliga prisvarningar.</t>
  </si>
  <si>
    <t>个人价格警报。</t>
  </si>
  <si>
    <t>disable</t>
  </si>
  <si>
    <t>Non-aktifkan</t>
  </si>
  <si>
    <t>無効</t>
  </si>
  <si>
    <t>해제</t>
  </si>
  <si>
    <t>Запретить</t>
  </si>
  <si>
    <t>Искључи</t>
  </si>
  <si>
    <t>Deaktivera</t>
  </si>
  <si>
    <t>Відключити</t>
  </si>
  <si>
    <t>禁用</t>
  </si>
  <si>
    <t>error_publish_avatar_offline</t>
  </si>
  <si>
    <t>You need to be connected to publish your avatar.</t>
  </si>
  <si>
    <t>يجب أن تكون متصلا ليسمح لك بنشر الصورة الرمزية الخاصة بك.</t>
  </si>
  <si>
    <t>Трябва да бъдете свързан(а), за да публикувате аватара си.</t>
  </si>
  <si>
    <t>Cal que us connecteu per publicar el vostre avatar.</t>
  </si>
  <si>
    <t>Du musst verbunden sein, um deinen Avatar zu veröffentlichen.</t>
  </si>
  <si>
    <t>Debes estar conectado para publicar la imagen de perfil</t>
  </si>
  <si>
    <t>Vous devez être connecté pour publier votre avatar.</t>
  </si>
  <si>
    <t>Precisa estar conectada para publicar o seu avatar.</t>
  </si>
  <si>
    <t>Csatlakozni kell, hogy közzé tudd tenni a arcképedet.</t>
  </si>
  <si>
    <t>Devi essere connesso per pubblicare l\'avatar.</t>
  </si>
  <si>
    <t>アバターを公開するには接続する必要があります。</t>
  </si>
  <si>
    <t>아바타를 게시하려면 연결된 상태여야 합니다.</t>
  </si>
  <si>
    <t>Je moet verbonden zijn om je avatar te kunnen publiceren.</t>
  </si>
  <si>
    <t>Musisz być połączony/na, aby opublikować swój awatar.</t>
  </si>
  <si>
    <t>Precisa de estar ligado para publicar o seu avatar.</t>
  </si>
  <si>
    <t>Вы должны подключиться для публикации аватара.</t>
  </si>
  <si>
    <t>Морате бити повезани да бисте објавили ваш аватар.</t>
  </si>
  <si>
    <t>Du måste vara ansluten för att publicera din avatarbild</t>
  </si>
  <si>
    <t>Потрібно підключення, щоб можна було опублікувати аватару.</t>
  </si>
  <si>
    <t>你需要連接才能發佈頭像</t>
  </si>
  <si>
    <t>location_disabled</t>
  </si>
  <si>
    <t>Location sharing is disabled</t>
  </si>
  <si>
    <t>Споделянето на местоположението е изключено</t>
  </si>
  <si>
    <t>L\'ús compartit d\'ubicacions està desactivat</t>
  </si>
  <si>
    <t>Standort teilen ist deaktiviert</t>
  </si>
  <si>
    <t>Compartir ubicación está deshabilitado</t>
  </si>
  <si>
    <t>Le partage de positionnement est désactivé.</t>
  </si>
  <si>
    <t>Compartir Localización está desactivado</t>
  </si>
  <si>
    <t>A helymegosztás le van tiltva</t>
  </si>
  <si>
    <t>La condivisione della posizione è disattivata</t>
  </si>
  <si>
    <t>Delen van locatie is uitgeschakeld</t>
  </si>
  <si>
    <t>Udostępnianie lokalizacji jest wyłączone</t>
  </si>
  <si>
    <t>Дељење локације је искључено</t>
  </si>
  <si>
    <t>button_ok</t>
  </si>
  <si>
    <t>send_pgp_message</t>
  </si>
  <si>
    <t>Send OpenPGP encrypted message</t>
  </si>
  <si>
    <t>إرسال رسالة مشفرة عبر OpenPGP</t>
  </si>
  <si>
    <t>Изпр. на съобщение, шифр. чрез OpenPGP</t>
  </si>
  <si>
    <t>Envia un missatge xifrat amb OpenPGP</t>
  </si>
  <si>
    <t>OpenPGP-verschlüsselt schreiben…</t>
  </si>
  <si>
    <t>Enviar mensaje cifrado con OpenPGP</t>
  </si>
  <si>
    <t>Envoyer un message chiffré avec OpenPGP</t>
  </si>
  <si>
    <t>Enviar mensaxe cifrado con OpenPGP</t>
  </si>
  <si>
    <t>OpenPGP titkosított üzenet küldése</t>
  </si>
  <si>
    <t>Kirim pesan terenskripsi OpenPGP</t>
  </si>
  <si>
    <t>Messaggio OpenPGP</t>
  </si>
  <si>
    <t>OpenPGP 暗号化メッセージを送信</t>
  </si>
  <si>
    <t>OpenPGP 암호화된 메세지 전송</t>
  </si>
  <si>
    <t>Verstuur OpenPGP-versleuteld bericht</t>
  </si>
  <si>
    <t>Wyślij zaszyfrowaną wiadomość (OpenPGP)</t>
  </si>
  <si>
    <t>Enviar mensagem cifrada com OpenPGP</t>
  </si>
  <si>
    <t>OpenPGP зашифр. сообщение</t>
  </si>
  <si>
    <t>Poslať OpenPGP šifrovanú správu</t>
  </si>
  <si>
    <t>Пошаљи ОпенПГП шифровану поруку</t>
  </si>
  <si>
    <t>Skicka OpenPGP-krypterat meddelande</t>
  </si>
  <si>
    <t>Відправити повідомлення, зашифроване OpenPGP</t>
  </si>
  <si>
    <t>Gửi tin nhắn mã hoá OpenPGP</t>
  </si>
  <si>
    <t>送 OpenPGP 加密訊息</t>
  </si>
  <si>
    <t>tt_widget_watchlist_category</t>
  </si>
  <si>
    <t>Watchlist</t>
  </si>
  <si>
    <t>قائمة المتابعة</t>
  </si>
  <si>
    <t>Уочлист</t>
  </si>
  <si>
    <t>Seznam sledovaného</t>
  </si>
  <si>
    <t>Observationsliste</t>
  </si>
  <si>
    <t>Λίστα παρακολούθησης</t>
  </si>
  <si>
    <t>Listas de seguimiento</t>
  </si>
  <si>
    <t>Tarkkailulista</t>
  </si>
  <si>
    <t>Liste personnelle</t>
  </si>
  <si>
    <t>वॉचलिस्ट</t>
  </si>
  <si>
    <t>Figyelőlista</t>
  </si>
  <si>
    <t>רשימת מעקב</t>
  </si>
  <si>
    <t>お気に入り</t>
  </si>
  <si>
    <t>Overvåkningsliste</t>
  </si>
  <si>
    <t>Lista de observações</t>
  </si>
  <si>
    <t>Listă de urmărire</t>
  </si>
  <si>
    <t>Список наблюдения</t>
  </si>
  <si>
    <t>Sledované zoznamy</t>
  </si>
  <si>
    <t>Seznam ogledov</t>
  </si>
  <si>
    <t>Watch lista</t>
  </si>
  <si>
    <t>Bevakningslista</t>
  </si>
  <si>
    <t>İzleme listesi</t>
  </si>
  <si>
    <t>&gt;收藏夾</t>
  </si>
  <si>
    <t>tt_conditions</t>
  </si>
  <si>
    <t>Conditions</t>
  </si>
  <si>
    <t>الظروف</t>
  </si>
  <si>
    <t>Условия</t>
  </si>
  <si>
    <t>Podmínky</t>
  </si>
  <si>
    <t>Betingelser</t>
  </si>
  <si>
    <t>Konditionen</t>
  </si>
  <si>
    <t>Όροι</t>
  </si>
  <si>
    <t>Condiciones</t>
  </si>
  <si>
    <t>Olosuhteet</t>
  </si>
  <si>
    <t>शर्तेँ</t>
  </si>
  <si>
    <t>Feltételek</t>
  </si>
  <si>
    <t>Syarat-Syarat</t>
  </si>
  <si>
    <t>Condizioni</t>
  </si>
  <si>
    <t>תנאים</t>
  </si>
  <si>
    <t>コンディション</t>
  </si>
  <si>
    <t>조건</t>
  </si>
  <si>
    <t>Condities</t>
  </si>
  <si>
    <t>Warunki</t>
  </si>
  <si>
    <t>Condições</t>
  </si>
  <si>
    <t>Condiții</t>
  </si>
  <si>
    <t>Podmienky</t>
  </si>
  <si>
    <t>Pogoji</t>
  </si>
  <si>
    <t>Uslovi</t>
  </si>
  <si>
    <t>เงื่อนไข</t>
  </si>
  <si>
    <t>Koşullar</t>
  </si>
  <si>
    <t>Điều kiện</t>
  </si>
  <si>
    <t>条件</t>
  </si>
  <si>
    <t>&gt;條件</t>
  </si>
  <si>
    <t>tt_ind_save</t>
  </si>
  <si>
    <t>Save</t>
  </si>
  <si>
    <t>حفظ</t>
  </si>
  <si>
    <t>Запази</t>
  </si>
  <si>
    <t>Uložit</t>
  </si>
  <si>
    <t>Gem</t>
  </si>
  <si>
    <t>Speichern</t>
  </si>
  <si>
    <t>Αποθήκευση</t>
  </si>
  <si>
    <t>Tallenna</t>
  </si>
  <si>
    <t>Sauvegarder</t>
  </si>
  <si>
    <t>सहेजें</t>
  </si>
  <si>
    <t>Mentés</t>
  </si>
  <si>
    <t>Simpan</t>
  </si>
  <si>
    <t>שמור</t>
  </si>
  <si>
    <t>保存</t>
  </si>
  <si>
    <t>저장</t>
  </si>
  <si>
    <t>Sla op</t>
  </si>
  <si>
    <t>Lagre</t>
  </si>
  <si>
    <t>Salvar</t>
  </si>
  <si>
    <t>Salvează</t>
  </si>
  <si>
    <t>Сохранить</t>
  </si>
  <si>
    <t>Uložiť</t>
  </si>
  <si>
    <t>Shranite</t>
  </si>
  <si>
    <t>Spara</t>
  </si>
  <si>
    <t>บันทึก</t>
  </si>
  <si>
    <t>Kaydet</t>
  </si>
  <si>
    <t>Lưu</t>
  </si>
  <si>
    <t>touch_to_fix</t>
  </si>
  <si>
    <t>Touch here to manage your accounts</t>
  </si>
  <si>
    <t>المس الشاشه لعرض المحادثات</t>
  </si>
  <si>
    <t>Докоснете тук за управление на Вашите профили</t>
  </si>
  <si>
    <t>Premeu aquí per gestionar els vostres comptes</t>
  </si>
  <si>
    <t>Hier antippen, um deine Konten zu verwalten</t>
  </si>
  <si>
    <t>Pulsa aquí para gestionar tus cuentas</t>
  </si>
  <si>
    <t>Appuyez pour gérer vos comptes.</t>
  </si>
  <si>
    <t>Pulse aquí para xestionar as súas contas</t>
  </si>
  <si>
    <t>Érintsd meg itt fiókjaid beállításához</t>
  </si>
  <si>
    <t>Sentuh untuk mengatur akun</t>
  </si>
  <si>
    <t>Tocca qui per gestire i tuoi utenti</t>
  </si>
  <si>
    <t>ここをタッチして、アカウントの管理</t>
  </si>
  <si>
    <t>여기를 선택해 당신의 계정을 관리하세요</t>
  </si>
  <si>
    <t>Tik hier op om accounts te beheren</t>
  </si>
  <si>
    <t>Dotknij tutaj aby zarządzać swoimi kontami</t>
  </si>
  <si>
    <t>Toque aqui para gerir suas contas</t>
  </si>
  <si>
    <t>Нажмите здесь, чтобы настроить свои аккаунты</t>
  </si>
  <si>
    <t>Pre nastavenie účtov kliknite tu</t>
  </si>
  <si>
    <t>Тапните овде да бисте управљали вашим налозима</t>
  </si>
  <si>
    <t>Tryck här för att hantera dina konton</t>
  </si>
  <si>
    <t>Торкніться тут, щоб впорядкувати Ваші облікові записи</t>
  </si>
  <si>
    <t>Chạm vào đây để quản lý các tài khoản</t>
  </si>
  <si>
    <t>點擊此處管理帳戶</t>
  </si>
  <si>
    <t>syria</t>
  </si>
  <si>
    <t>Syrian Arab Republic (Syria)</t>
  </si>
  <si>
    <t>Syrien</t>
  </si>
  <si>
    <t>Siria</t>
  </si>
  <si>
    <t>République arabe syrienne (Syrie)</t>
  </si>
  <si>
    <t>Сирийская Арабская Республика (Сирия)</t>
  </si>
  <si>
    <t>Sirija</t>
  </si>
  <si>
    <t>send_presence_updates</t>
  </si>
  <si>
    <t>Send presence updates</t>
  </si>
  <si>
    <t>ارسال تحديثات الظهور</t>
  </si>
  <si>
    <t>Изпращане на актуализации за присъствието</t>
  </si>
  <si>
    <t>Envia actualitzacions de presència</t>
  </si>
  <si>
    <t>Online-Status senden</t>
  </si>
  <si>
    <t>Enviar actualizaciones de presencia</t>
  </si>
  <si>
    <t>Envoyer mes màj de disponibilité</t>
  </si>
  <si>
    <t>Enviar actualizacións de presencia</t>
  </si>
  <si>
    <t>Állapot frissítések küldése</t>
  </si>
  <si>
    <t>Kirim pembaruan kehadiran</t>
  </si>
  <si>
    <t>Invia aggiornamenti della presenza</t>
  </si>
  <si>
    <t>参加アップデートを送信</t>
  </si>
  <si>
    <t>프레즌스 업데이트 보내기</t>
  </si>
  <si>
    <t>Verstuur aanwezigheidsupdates</t>
  </si>
  <si>
    <t>Wysyłaj powiadomienia obecności</t>
  </si>
  <si>
    <t>Enviar atualizações de presença</t>
  </si>
  <si>
    <t>Отправлять присутствие</t>
  </si>
  <si>
    <t>Zasielať zmeny stavu</t>
  </si>
  <si>
    <t>Шаљи ажурирања присутности</t>
  </si>
  <si>
    <t>Skicka tillgänglighetsuppdatering</t>
  </si>
  <si>
    <t>Надсилати оновлення про присутність</t>
  </si>
  <si>
    <t>Gửi cập nhật hiện diện</t>
  </si>
  <si>
    <t>發送線上連絡人列表更新</t>
  </si>
  <si>
    <t>joining_conference</t>
  </si>
  <si>
    <t>Joining group chat…</t>
  </si>
  <si>
    <t>في صدد الإنظمام إلى مجموعة المحادثة ...</t>
  </si>
  <si>
    <t>Присъединяване в групов разговор…</t>
  </si>
  <si>
    <t>S\'està unint al xat de grup...</t>
  </si>
  <si>
    <t>Gruppenchat wird beigetreten…</t>
  </si>
  <si>
    <t>Uniéndose a conversación...</t>
  </si>
  <si>
    <t>Rejoindre la conversation de groupe</t>
  </si>
  <si>
    <t>Entrando na conversa en grupo</t>
  </si>
  <si>
    <t>Konferenciához csatlakozás...</t>
  </si>
  <si>
    <t>Ingresso nella chat di gruppo...</t>
  </si>
  <si>
    <t>談話室に参加しています…</t>
  </si>
  <si>
    <t>Deelnemen aan groepsgesprek…</t>
  </si>
  <si>
    <t>Dołączanie do konferencji</t>
  </si>
  <si>
    <t>Вход в конференцию…</t>
  </si>
  <si>
    <t>Улазим у групно ћаскање…</t>
  </si>
  <si>
    <t>we_will_be_verifying_phone_number</t>
  </si>
  <si>
    <t>We will be verifying the phone number:</t>
  </si>
  <si>
    <t>Wir werden die folgende Telefonnummer verifizieren:</t>
  </si>
  <si>
    <t>Vamos a verificar el número de teléfono:</t>
  </si>
  <si>
    <t>Nous allons vérifier le numéro de telephone:</t>
  </si>
  <si>
    <t>Leellenőrizzük a telefonszámot:</t>
  </si>
  <si>
    <t>Мы собираемся проверить номер телефона:</t>
  </si>
  <si>
    <t>Verifikovaćemo telefonski broj:</t>
  </si>
  <si>
    <t>not_a_valid_port</t>
  </si>
  <si>
    <t>This is not a valid port number</t>
  </si>
  <si>
    <t>هذا ليس برقم منفذٍ صالح</t>
  </si>
  <si>
    <t>Това не е правилен номер на порт</t>
  </si>
  <si>
    <t>Aquest no és un número de port vàlid</t>
  </si>
  <si>
    <t>Dies ist keine gültige Port-Nummer</t>
  </si>
  <si>
    <t>Éste no es un número de puerto válido</t>
  </si>
  <si>
    <t>Ce numéro de port n\'est pas valide</t>
  </si>
  <si>
    <t>Este non é un número válido de porto</t>
  </si>
  <si>
    <t>Ez nem egy érvényes portszám</t>
  </si>
  <si>
    <t>Questo non è un numero di porta valido</t>
  </si>
  <si>
    <t>これは有効なポート番号ではありません</t>
  </si>
  <si>
    <t>올바른 포트 번호가 아닙니다</t>
  </si>
  <si>
    <t>Dit is geen geldig poortnummer</t>
  </si>
  <si>
    <t>To nie jest prawidłowy numer portu</t>
  </si>
  <si>
    <t>Este não é um número de porto válido</t>
  </si>
  <si>
    <t>Это недопустимый номер порта</t>
  </si>
  <si>
    <t>Ово није исправан број порта</t>
  </si>
  <si>
    <t>Inte ett giltigt portnummer</t>
  </si>
  <si>
    <t>Це не дійсний номер порту</t>
  </si>
  <si>
    <t>Đây không phải là số cổng hợp lệ</t>
  </si>
  <si>
    <t>該埠號無效</t>
  </si>
  <si>
    <t>server_info_broken</t>
  </si>
  <si>
    <t>Broken</t>
  </si>
  <si>
    <t>مكسر</t>
  </si>
  <si>
    <t>Повредено</t>
  </si>
  <si>
    <t>Trencat</t>
  </si>
  <si>
    <t>Fehlerhaft</t>
  </si>
  <si>
    <t>Error</t>
  </si>
  <si>
    <t>Détraqué</t>
  </si>
  <si>
    <t>Roto</t>
  </si>
  <si>
    <t>Hibás</t>
  </si>
  <si>
    <t>Rusak</t>
  </si>
  <si>
    <t>Rotto</t>
  </si>
  <si>
    <t>壊れています</t>
  </si>
  <si>
    <t>손상됨</t>
  </si>
  <si>
    <t>Gebroken</t>
  </si>
  <si>
    <t>Zepsute</t>
  </si>
  <si>
    <t>Existe um problema</t>
  </si>
  <si>
    <t>Повреждено</t>
  </si>
  <si>
    <t>Оштећен</t>
  </si>
  <si>
    <t>Sönder</t>
  </si>
  <si>
    <t>Поламано</t>
  </si>
  <si>
    <t>Bị hỏng</t>
  </si>
  <si>
    <t>損壞</t>
  </si>
  <si>
    <t>tt_currencies</t>
  </si>
  <si>
    <t>Devises</t>
  </si>
  <si>
    <t>Devizák</t>
  </si>
  <si>
    <t>Valuta’s</t>
  </si>
  <si>
    <t>Kurlar</t>
  </si>
  <si>
    <t>币别</t>
  </si>
  <si>
    <t>&gt;幣別</t>
  </si>
  <si>
    <t>tt_metals_oz</t>
  </si>
  <si>
    <t>oz.tr.</t>
  </si>
  <si>
    <t>وزن تروي</t>
  </si>
  <si>
    <t>Once Troy</t>
  </si>
  <si>
    <t>אונקיה</t>
  </si>
  <si>
    <t>トロイオンス</t>
  </si>
  <si>
    <t>uncja</t>
  </si>
  <si>
    <t>Onça</t>
  </si>
  <si>
    <t>Унц</t>
  </si>
  <si>
    <t>金衡盎司</t>
  </si>
  <si>
    <t>&gt;金衡盎司</t>
  </si>
  <si>
    <t>error_out_of_memory</t>
  </si>
  <si>
    <t>Out of memory. Image is too large</t>
  </si>
  <si>
    <t>خارج الذاكرة. الصورة كبيرة جدا</t>
  </si>
  <si>
    <t>Няма достатъчно памет. Изображението е твърде голямо.</t>
  </si>
  <si>
    <t>Memòria exhaurida. La imatge és massa gran.</t>
  </si>
  <si>
    <t>Zu wenig Speicher vorhanden. Das Bild ist zu groß</t>
  </si>
  <si>
    <t>Sin memoria. La imagen es demasiado grande</t>
  </si>
  <si>
    <t>Plus de mémoire disponible. L\'image est trop volumineuse.</t>
  </si>
  <si>
    <t>Exceso de memoria. A imaxe é demasiado grande</t>
  </si>
  <si>
    <t>Nincs elég memória. Képfájl túl nagy</t>
  </si>
  <si>
    <t>Memori habis. Gambar terlalu besar</t>
  </si>
  <si>
    <t>Memoria esaurita. L’immagine è tropppo grande</t>
  </si>
  <si>
    <t>メモリ不足です。画像が大きすぎます</t>
  </si>
  <si>
    <t>메모리 부족. 이미지 용량이 너무 큽니다</t>
  </si>
  <si>
    <t>Geen geheugen beschikbaar. Afbeelding is te groot</t>
  </si>
  <si>
    <t>Brak pamięci, obraz jest za duży</t>
  </si>
  <si>
    <t>Memória insuficiente. A imagem é muito grande</t>
  </si>
  <si>
    <t>Недостаточно памяти. Изображение слишком большое</t>
  </si>
  <si>
    <t>Nedostatok pamäti. Obrázok je príliš veľký</t>
  </si>
  <si>
    <t>Нестало меморије. Слика је превелика</t>
  </si>
  <si>
    <t>Slut på minne. Bilden är för stor</t>
  </si>
  <si>
    <t>Пам\'ять вичерпано. Завелике зображення.</t>
  </si>
  <si>
    <t>Hết bộ nhớ. Ảnh quá lớn</t>
  </si>
  <si>
    <t>空間不足。圖片過大</t>
  </si>
  <si>
    <t>tt_email_address</t>
  </si>
  <si>
    <t>E-mail</t>
  </si>
  <si>
    <t>البريد الإلكتروني</t>
  </si>
  <si>
    <t>Имейл</t>
  </si>
  <si>
    <t>E-Mail</t>
  </si>
  <si>
    <t>Sähköposti</t>
  </si>
  <si>
    <t>Email</t>
  </si>
  <si>
    <t>ईमेल</t>
  </si>
  <si>
    <t>דוא"ל</t>
  </si>
  <si>
    <t>メール</t>
  </si>
  <si>
    <t>이메일</t>
  </si>
  <si>
    <t>E-mel</t>
  </si>
  <si>
    <t>E-post</t>
  </si>
  <si>
    <t>E-naslov</t>
  </si>
  <si>
    <t>E-Posta</t>
  </si>
  <si>
    <t>电邮</t>
  </si>
  <si>
    <t>&gt;電郵</t>
  </si>
  <si>
    <t>tt_fundprofile_asset_positions</t>
  </si>
  <si>
    <t>Assets</t>
  </si>
  <si>
    <t>الأصول</t>
  </si>
  <si>
    <t>Активи</t>
  </si>
  <si>
    <t>Aktiva</t>
  </si>
  <si>
    <t>Ενεργητικό</t>
  </si>
  <si>
    <t>Activos</t>
  </si>
  <si>
    <t>Varat</t>
  </si>
  <si>
    <t>Capitaux</t>
  </si>
  <si>
    <t>परिसंपत्तियाँ</t>
  </si>
  <si>
    <t>Eszközök</t>
  </si>
  <si>
    <t>Aset</t>
  </si>
  <si>
    <t>Attività</t>
  </si>
  <si>
    <t>נכסים</t>
  </si>
  <si>
    <t>資産</t>
  </si>
  <si>
    <t>자산</t>
  </si>
  <si>
    <t>Middelen</t>
  </si>
  <si>
    <t>Aktywa</t>
  </si>
  <si>
    <t>Ativos</t>
  </si>
  <si>
    <t>Активы</t>
  </si>
  <si>
    <t>Aktíva</t>
  </si>
  <si>
    <t>Sredstva</t>
  </si>
  <si>
    <t>Tillgångar</t>
  </si>
  <si>
    <t>ทรัพย์สิน</t>
  </si>
  <si>
    <t>Varlıklar</t>
  </si>
  <si>
    <t>Tài sản</t>
  </si>
  <si>
    <t>资产</t>
  </si>
  <si>
    <t>tt_view_types</t>
  </si>
  <si>
    <t>Choose view</t>
  </si>
  <si>
    <t>اختيار العرض</t>
  </si>
  <si>
    <t>Избери изглед</t>
  </si>
  <si>
    <t>Vyberte zobrazení</t>
  </si>
  <si>
    <t>Vælg visning</t>
  </si>
  <si>
    <t>Επιλέξτε προβολή</t>
  </si>
  <si>
    <t>Elegir vista</t>
  </si>
  <si>
    <t>Valitse näkymä</t>
  </si>
  <si>
    <t>Choisir mode d\'affichage</t>
  </si>
  <si>
    <t>व्यू का चयन करें</t>
  </si>
  <si>
    <t>Pilih pandangan</t>
  </si>
  <si>
    <t>Scegli la vista</t>
  </si>
  <si>
    <t>בחר תצוגה</t>
  </si>
  <si>
    <t>表示選択</t>
  </si>
  <si>
    <t>보기 선택</t>
  </si>
  <si>
    <t>Kies beeld</t>
  </si>
  <si>
    <t>Velg visning</t>
  </si>
  <si>
    <t>Wybierz widok</t>
  </si>
  <si>
    <t>Escolher vista</t>
  </si>
  <si>
    <t>Alege vizualizarea</t>
  </si>
  <si>
    <t>Выберите режим отображения</t>
  </si>
  <si>
    <t>Vyberte zobrazenie</t>
  </si>
  <si>
    <t>Izberite pogled</t>
  </si>
  <si>
    <t>Izaberi pogled</t>
  </si>
  <si>
    <t>Välj vy</t>
  </si>
  <si>
    <t>Görünümü seç</t>
  </si>
  <si>
    <t>Chọn chế độ xem</t>
  </si>
  <si>
    <t>tt_indicator_type39</t>
  </si>
  <si>
    <t>Ultimate Oscillator</t>
  </si>
  <si>
    <t>المذبذب النهائي</t>
  </si>
  <si>
    <t>Краен осцилатор</t>
  </si>
  <si>
    <t>Konečný oscilátor</t>
  </si>
  <si>
    <t>Ultimativt Oscillator</t>
  </si>
  <si>
    <t>Äärimmäinen oskillaattori</t>
  </si>
  <si>
    <t>अंतिम आसलैटर</t>
  </si>
  <si>
    <t>Oscillator Muktamad</t>
  </si>
  <si>
    <t>מתנד אולטימטיבי</t>
  </si>
  <si>
    <t>アルティメット・オシレーター</t>
  </si>
  <si>
    <t>궁극 오실레이터</t>
  </si>
  <si>
    <t>Ultimate oscillator</t>
  </si>
  <si>
    <t>Oscilador final</t>
  </si>
  <si>
    <t>Oscilator de bază</t>
  </si>
  <si>
    <t>Окончательный осциллятор</t>
  </si>
  <si>
    <t>Základný oscilátor</t>
  </si>
  <si>
    <t>Končni oscilator</t>
  </si>
  <si>
    <t>UO</t>
  </si>
  <si>
    <t>Nihai Osilatör</t>
  </si>
  <si>
    <t>Dao động cuối cùng</t>
  </si>
  <si>
    <t>终极摆动指标</t>
  </si>
  <si>
    <t>&gt;終極擺動指標</t>
  </si>
  <si>
    <t>tt_indicator_type38</t>
  </si>
  <si>
    <t>Stochastic RSI</t>
  </si>
  <si>
    <t>التسلسل العشوائي لمؤشر القوة النسبية</t>
  </si>
  <si>
    <t>Стохастичен RSI</t>
  </si>
  <si>
    <t>Stochastické RSI</t>
  </si>
  <si>
    <t>Stokastisk RSI</t>
  </si>
  <si>
    <t>Stokastinen RSI</t>
  </si>
  <si>
    <t>स्टोकेस्टिक आरएसआई</t>
  </si>
  <si>
    <t>RSI Stochastic</t>
  </si>
  <si>
    <t>מדד עוצמה יחסית (RSI) סטוכסטי</t>
  </si>
  <si>
    <t>ストキャスティクスRSI</t>
  </si>
  <si>
    <t>스토캐스틱 RSI</t>
  </si>
  <si>
    <t xml:space="preserve">Oscilator Stohastic RSI </t>
  </si>
  <si>
    <t>Стохастический индекс относительной силы</t>
  </si>
  <si>
    <t>Stohastični RSI</t>
  </si>
  <si>
    <t>Stokastik RSI</t>
  </si>
  <si>
    <t>RSI ngẫu nhiên</t>
  </si>
  <si>
    <t>随机强弱相对指标</t>
  </si>
  <si>
    <t>&gt;隨機強弱相對指標</t>
  </si>
  <si>
    <t>share_uri_with</t>
  </si>
  <si>
    <t>Share URI with…</t>
  </si>
  <si>
    <t>شارك الرابط مع ...</t>
  </si>
  <si>
    <t>Споделяне на адреса с…</t>
  </si>
  <si>
    <t>Comparteix l\'URI amb...</t>
  </si>
  <si>
    <t>Teile URI mit…</t>
  </si>
  <si>
    <t>Compartir URI con...</t>
  </si>
  <si>
    <t>Partager l\'URI avec...</t>
  </si>
  <si>
    <t>Megosztás URI-ként</t>
  </si>
  <si>
    <t>Bagikan URI dengan...</t>
  </si>
  <si>
    <t>Condividi l\'URI con...</t>
  </si>
  <si>
    <t>…で URI を共有</t>
  </si>
  <si>
    <t>URI를 공유할 대상...</t>
  </si>
  <si>
    <t>URI delen met…</t>
  </si>
  <si>
    <t>Udostępnij URI za pomocą...</t>
  </si>
  <si>
    <t>Partilhar URI com...</t>
  </si>
  <si>
    <t>Отправить URI…</t>
  </si>
  <si>
    <t>Подели везу помоћу…</t>
  </si>
  <si>
    <t>Dela URI med...</t>
  </si>
  <si>
    <t>Uri\'yi paylaşın ...</t>
  </si>
  <si>
    <t>Поділитися URI з…</t>
  </si>
  <si>
    <t>分享網址(URI)…</t>
  </si>
  <si>
    <t>wrong_email</t>
  </si>
  <si>
    <t>Wrong e-mail</t>
  </si>
  <si>
    <t>ان البريد الالكتروني خاطئ</t>
  </si>
  <si>
    <t>Грешен имейл</t>
  </si>
  <si>
    <t>Nesprávný e-mail</t>
  </si>
  <si>
    <t>Forkert e-mail</t>
  </si>
  <si>
    <t>Falsche E-Mail-Adresse</t>
  </si>
  <si>
    <t>Λάθος email</t>
  </si>
  <si>
    <t>La dirección de correo electrónico es incorrecta</t>
  </si>
  <si>
    <t>Väärä sähköposti</t>
  </si>
  <si>
    <t>Adresse e-mail erronée</t>
  </si>
  <si>
    <t>गलत ई-मेल</t>
  </si>
  <si>
    <t>Rossz email cím</t>
  </si>
  <si>
    <t>Email yang salah</t>
  </si>
  <si>
    <t>Spiacenti, non riconosciamo questa email</t>
  </si>
  <si>
    <t>דואר אלקטרוני שגוי</t>
  </si>
  <si>
    <t>間違った電子メール</t>
  </si>
  <si>
    <t>잘못된 이메일</t>
  </si>
  <si>
    <t>E-mel yang salah</t>
  </si>
  <si>
    <t>Onbekende e-mail adres</t>
  </si>
  <si>
    <t>Feil e-post</t>
  </si>
  <si>
    <t>Nieprawdiłowy adres e-mail</t>
  </si>
  <si>
    <t>E-mail errado</t>
  </si>
  <si>
    <t>Email gresit</t>
  </si>
  <si>
    <t>Неправильный адрес электронной почты</t>
  </si>
  <si>
    <t>Nesprávny e-mail</t>
  </si>
  <si>
    <t>Napačna e-pošta</t>
  </si>
  <si>
    <t>Pogrešan e-mail</t>
  </si>
  <si>
    <t>Fel e-post</t>
  </si>
  <si>
    <t>อีเมลไม่ถูกต้อง</t>
  </si>
  <si>
    <t>Hatalı e-posta</t>
  </si>
  <si>
    <t>Email sai</t>
  </si>
  <si>
    <t>错误的电子邮件</t>
  </si>
  <si>
    <t>attach_record_video</t>
  </si>
  <si>
    <t>Record video</t>
  </si>
  <si>
    <t>تسجيل فيديو</t>
  </si>
  <si>
    <t>Запис на видео</t>
  </si>
  <si>
    <t>Grava vídeo</t>
  </si>
  <si>
    <t>Video aufnehmen</t>
  </si>
  <si>
    <t>Grabar video</t>
  </si>
  <si>
    <t>Enregistrer une vidéo</t>
  </si>
  <si>
    <t>Gravar vídeo</t>
  </si>
  <si>
    <t>Videó felvétele</t>
  </si>
  <si>
    <t>Registra un video</t>
  </si>
  <si>
    <t>ビデオを録画</t>
  </si>
  <si>
    <t>Video opnemen</t>
  </si>
  <si>
    <t>Nagraj film</t>
  </si>
  <si>
    <t>Записать видео</t>
  </si>
  <si>
    <t>Сними видео</t>
  </si>
  <si>
    <t>tt_indicator_type37</t>
  </si>
  <si>
    <t>Directional Movement Minus</t>
  </si>
  <si>
    <t>الحركة الاتجاهية السالبة</t>
  </si>
  <si>
    <t>Посока на движение Надолу</t>
  </si>
  <si>
    <t>Směrový pohyb minus</t>
  </si>
  <si>
    <t>Retningsbestemt bevægelse Minus</t>
  </si>
  <si>
    <t>Αρνητική κατεύθυνση κίνησης</t>
  </si>
  <si>
    <t>DMI-miinus</t>
  </si>
  <si>
    <t>Indicateur directionel négatif</t>
  </si>
  <si>
    <t>निर्देशात्मक गतिविधि माइनस</t>
  </si>
  <si>
    <t>Pergerakan Berarah Tolak</t>
  </si>
  <si>
    <t>תנועה כיוונית מינוס</t>
  </si>
  <si>
    <t>下降トレンド</t>
  </si>
  <si>
    <t>방향 이동 마이너스</t>
  </si>
  <si>
    <t>Retningsbevegelse minus</t>
  </si>
  <si>
    <t>Movimento direcional menos</t>
  </si>
  <si>
    <t>Mișcarea Direcțională Minus</t>
  </si>
  <si>
    <t>Направленное движение вниз</t>
  </si>
  <si>
    <t>Smerový pohyb mínus</t>
  </si>
  <si>
    <t>Minus smernega gibanja</t>
  </si>
  <si>
    <t>ทิศทางการเคลื่อนที่ของราคาเป็นลบ</t>
  </si>
  <si>
    <t>Eksi Yönde Hareket</t>
  </si>
  <si>
    <t>Chuyển động định hướng âm</t>
  </si>
  <si>
    <t>负向动量（-DI）</t>
  </si>
  <si>
    <t>&gt;負向動量(+DI)</t>
  </si>
  <si>
    <t>tt_indicator_type36</t>
  </si>
  <si>
    <t>Directional Movement Plus</t>
  </si>
  <si>
    <t>الحركة الاتجاهية الزائدة</t>
  </si>
  <si>
    <t>Посока на движение Нагоре</t>
  </si>
  <si>
    <t>Směrový pohyb plus</t>
  </si>
  <si>
    <t>Retningsbestemt bevægelse Plus</t>
  </si>
  <si>
    <t>Θετική κατεύθυνση κίνησης</t>
  </si>
  <si>
    <t>DMI-plus</t>
  </si>
  <si>
    <t>Indicateur directionel positif</t>
  </si>
  <si>
    <t>निर्देशात्मक गतिविधि प्लस</t>
  </si>
  <si>
    <t>Pergerakan Berarah Tambah</t>
  </si>
  <si>
    <t>תנועה כיוונית פלוס</t>
  </si>
  <si>
    <t>上昇トレンド</t>
  </si>
  <si>
    <t>방향 이동 플러스</t>
  </si>
  <si>
    <t>Retningsbevegelse pluss</t>
  </si>
  <si>
    <t>Movimento direcional mais</t>
  </si>
  <si>
    <t>Mișcarea Direcțională Plus</t>
  </si>
  <si>
    <t>Направленное движение вверх</t>
  </si>
  <si>
    <t>Smerový pohyb plus</t>
  </si>
  <si>
    <t>Usmerjeno gibanje Plus</t>
  </si>
  <si>
    <t>ทิศทางการเคลื่อนที่ของราคาเป็นบวก</t>
  </si>
  <si>
    <t>Artı Yönde Hareket</t>
  </si>
  <si>
    <t>Chuyển động định hướng dương</t>
  </si>
  <si>
    <t>正向动量（+DI）</t>
  </si>
  <si>
    <t>&gt;正向動量(+DI)</t>
  </si>
  <si>
    <t>san_marino</t>
  </si>
  <si>
    <t>San Marino</t>
  </si>
  <si>
    <t>Saint Marin</t>
  </si>
  <si>
    <t>Сан-Марино</t>
  </si>
  <si>
    <t>tt_indicator_type35</t>
  </si>
  <si>
    <t>Bollinger Band Width</t>
  </si>
  <si>
    <t>عرض نطاق بولينجر</t>
  </si>
  <si>
    <t>Ширина на кривата на Болинджър</t>
  </si>
  <si>
    <t>Šířka Bollingerova pásma</t>
  </si>
  <si>
    <t>Bollinger Båndbredde</t>
  </si>
  <si>
    <t>Πλάτος ζώνης Bollinger</t>
  </si>
  <si>
    <t>Bollinger bandin kaistanleveys</t>
  </si>
  <si>
    <t>Bollinger Bandwidth</t>
  </si>
  <si>
    <t>बोलिंगर बैंड विथ</t>
  </si>
  <si>
    <t>Lebar Lingkaran Bollinger</t>
  </si>
  <si>
    <t>רוחב רצועת בולינג'ר</t>
  </si>
  <si>
    <t>バンド幅</t>
  </si>
  <si>
    <t>볼린저 밴드 폭</t>
  </si>
  <si>
    <t>Lățimea Benzii Bollinger</t>
  </si>
  <si>
    <t>Индикатор Bollinger Band</t>
  </si>
  <si>
    <t>Šírka Bollingerového pásma</t>
  </si>
  <si>
    <t>Širina pasu Bollinger</t>
  </si>
  <si>
    <t>Bollinger BandWidth</t>
  </si>
  <si>
    <t>Bollinger Bant Genişliği</t>
  </si>
  <si>
    <t>Độ rộng dải bollinger</t>
  </si>
  <si>
    <t>布林带宽指标（BW）</t>
  </si>
  <si>
    <t>&gt;布林帶寬指標(BW)</t>
  </si>
  <si>
    <t>tt_indicator_type34</t>
  </si>
  <si>
    <t>RSI Levy</t>
  </si>
  <si>
    <t>مؤشر القوة النسبية ليفي</t>
  </si>
  <si>
    <t>RSI (Индекс на относителната сила) на Леви</t>
  </si>
  <si>
    <t>आरएसआई लेवी</t>
  </si>
  <si>
    <t>Levi RSI</t>
  </si>
  <si>
    <t>מיסוי מדד עוצמה יחסית (RSI)</t>
  </si>
  <si>
    <t>ＲＳＩ加重</t>
  </si>
  <si>
    <t>RSI-utligning</t>
  </si>
  <si>
    <t>RSI după Impozit</t>
  </si>
  <si>
    <t>RSI odvod</t>
  </si>
  <si>
    <t>Dajatev RSI</t>
  </si>
  <si>
    <t>相对强弱指数征费（RSI Levy）</t>
  </si>
  <si>
    <t>&gt;RSI Levy</t>
  </si>
  <si>
    <t>account_status_regis_success</t>
  </si>
  <si>
    <t>Registration completed</t>
  </si>
  <si>
    <t>تم تسجيل حسابك بنجاح</t>
  </si>
  <si>
    <t>Регистрацията е завършена</t>
  </si>
  <si>
    <t>S\'ha completat el registre</t>
  </si>
  <si>
    <t>Registrierung abgeschlossen</t>
  </si>
  <si>
    <t>Registro completado</t>
  </si>
  <si>
    <t>Enregistrement réussi</t>
  </si>
  <si>
    <t>Rexistro completado</t>
  </si>
  <si>
    <t>Sikeres regisztráció</t>
  </si>
  <si>
    <t>Registrasi berhasil</t>
  </si>
  <si>
    <t>Registrazione completata</t>
  </si>
  <si>
    <t>登録が完了しました</t>
  </si>
  <si>
    <t>등록 성공</t>
  </si>
  <si>
    <t>Registratie voltooid</t>
  </si>
  <si>
    <t>Zarejestrowano pomyślnie</t>
  </si>
  <si>
    <t>Registo efetuado com sucesso</t>
  </si>
  <si>
    <t>Регистрация завершена</t>
  </si>
  <si>
    <t>Registrácia ukončená</t>
  </si>
  <si>
    <t>Регистрација завршена</t>
  </si>
  <si>
    <t>Registrering klar</t>
  </si>
  <si>
    <t>Реєстрацію виконано</t>
  </si>
  <si>
    <t>Đăng ký hoàn tất</t>
  </si>
  <si>
    <t>註冊完成</t>
  </si>
  <si>
    <t>tt_indicator_type33</t>
  </si>
  <si>
    <t>True Range</t>
  </si>
  <si>
    <t>المدى الحقيقي</t>
  </si>
  <si>
    <t>Истински диапазон</t>
  </si>
  <si>
    <t>Skutečný rozsah</t>
  </si>
  <si>
    <t>Ægte rækkevidde</t>
  </si>
  <si>
    <t>Αληθινή εμβέλεια</t>
  </si>
  <si>
    <t>Rango real</t>
  </si>
  <si>
    <t>Todellinen vaihteluväli</t>
  </si>
  <si>
    <t>वास्तविक सीमा</t>
  </si>
  <si>
    <t>Jangkauan Sebenar</t>
  </si>
  <si>
    <t>טווח אמיתי</t>
  </si>
  <si>
    <t>トゥルー・レンジ</t>
  </si>
  <si>
    <t>실제변폭</t>
  </si>
  <si>
    <t>Julat Sebenar</t>
  </si>
  <si>
    <t>Bevegelse</t>
  </si>
  <si>
    <t>Interval Adevărat</t>
  </si>
  <si>
    <t>Истинный диапазон</t>
  </si>
  <si>
    <t>Skutočný rozsah</t>
  </si>
  <si>
    <t>Resnični obseg</t>
  </si>
  <si>
    <t>Gerçek Değişim Aralığı</t>
  </si>
  <si>
    <t>Phạm vi thực</t>
  </si>
  <si>
    <t>真正的范围</t>
  </si>
  <si>
    <t>&gt;真正的範圍</t>
  </si>
  <si>
    <t>tt_indicator_type32</t>
  </si>
  <si>
    <t>Average Directional Index</t>
  </si>
  <si>
    <t>متوسط ​​مؤشر الاتجاه</t>
  </si>
  <si>
    <t>Среден индекс на посоката на движение</t>
  </si>
  <si>
    <t>Průměrný směrový index</t>
  </si>
  <si>
    <t>Gennemsnitligt retningsindeks</t>
  </si>
  <si>
    <t>Μέσος δείκτης κατεύθυνσης</t>
  </si>
  <si>
    <t>ADX-indeksi</t>
  </si>
  <si>
    <t>Average Directional Index (ADX)</t>
  </si>
  <si>
    <t>औसत निर्देशात्मक सूचकांक</t>
  </si>
  <si>
    <t>Indeks Arah rata-rata</t>
  </si>
  <si>
    <t>מדד כיווני ממוצע</t>
  </si>
  <si>
    <t>ADX</t>
  </si>
  <si>
    <t>평균방향이동지표</t>
  </si>
  <si>
    <t>Indeks Arah Purata</t>
  </si>
  <si>
    <t>Gjennomsnittlig retningsindeks</t>
  </si>
  <si>
    <t>Índice direcional médio</t>
  </si>
  <si>
    <t>Indice Direcțional Mediu</t>
  </si>
  <si>
    <t>Индекс среднего направления движения</t>
  </si>
  <si>
    <t>Priemerný smerový index</t>
  </si>
  <si>
    <t>Povprečni smerni indeks</t>
  </si>
  <si>
    <t>Ortalama Yön Endeksi</t>
  </si>
  <si>
    <t>Chỉ số định hướng trung bình</t>
  </si>
  <si>
    <t>平均方向指标</t>
  </si>
  <si>
    <t>&gt;平均方向指標</t>
  </si>
  <si>
    <t>tt_indicator_type31</t>
  </si>
  <si>
    <t>Parabolic SAR</t>
  </si>
  <si>
    <t>تقرير الأنشطة المشبوه المكافئ</t>
  </si>
  <si>
    <t>Параболичен SAR</t>
  </si>
  <si>
    <t>Parabolický SAR</t>
  </si>
  <si>
    <t>Parabolisk SAR</t>
  </si>
  <si>
    <t>Παραβολική SAR</t>
  </si>
  <si>
    <t>Parabolinen SAR</t>
  </si>
  <si>
    <t>पैराबोलिक एसएआर</t>
  </si>
  <si>
    <t>SAR Parabola</t>
  </si>
  <si>
    <t>עצירה והטיפוך פרבולית</t>
  </si>
  <si>
    <t>Parabolsk SAR</t>
  </si>
  <si>
    <t>SAR Parabolic</t>
  </si>
  <si>
    <t>Параболическая система времени-цены</t>
  </si>
  <si>
    <t>Parabolická SAR</t>
  </si>
  <si>
    <t>Parabolični SAR</t>
  </si>
  <si>
    <t>Parabolik SAR</t>
  </si>
  <si>
    <t>SAR hình parabol</t>
  </si>
  <si>
    <t>拋物线转向指标</t>
  </si>
  <si>
    <t>&gt;拋物線轉向指標</t>
  </si>
  <si>
    <t>last_seen_now</t>
  </si>
  <si>
    <t>last seen just now</t>
  </si>
  <si>
    <t>آخر ظهور الآن</t>
  </si>
  <si>
    <t>последно видян току-що</t>
  </si>
  <si>
    <t>darrera connexió: ara mateix</t>
  </si>
  <si>
    <t>gerade eben noch gesehen</t>
  </si>
  <si>
    <t>Visto última vez ahora</t>
  </si>
  <si>
    <t>en ligne à l\'instant</t>
  </si>
  <si>
    <t>acaba de estar dispoñible</t>
  </si>
  <si>
    <t>éppen most volt aktív</t>
  </si>
  <si>
    <t>terakhir terlihat sekarang</t>
  </si>
  <si>
    <t>visto adesso</t>
  </si>
  <si>
    <t>ちょうど今会いました</t>
  </si>
  <si>
    <t>방금 전까지 접속했었음</t>
  </si>
  <si>
    <t>zojuist voor het laatst gezien</t>
  </si>
  <si>
    <t>widziany chwilę temu</t>
  </si>
  <si>
    <t>visto agora há pouco</t>
  </si>
  <si>
    <t>Присутствие: только что</t>
  </si>
  <si>
    <t>práve prihlásený</t>
  </si>
  <si>
    <t>виђен/а мало пре</t>
  </si>
  <si>
    <t>senast sedd just nu</t>
  </si>
  <si>
    <t>востаннє бачили щойно</t>
  </si>
  <si>
    <t>thấy lần cuối vừa đây</t>
  </si>
  <si>
    <t>剛剛查看過</t>
  </si>
  <si>
    <t>tt_indicator_type30</t>
  </si>
  <si>
    <t>TRIX</t>
  </si>
  <si>
    <t>टीआरआईएक्स</t>
  </si>
  <si>
    <t>Трикс</t>
  </si>
  <si>
    <t>三重指数平滑移动平均指标（TRIX）</t>
  </si>
  <si>
    <t>&gt;三重指數平滑移動平均指標(TRIX)</t>
  </si>
  <si>
    <t>problem_connecting_to_account</t>
  </si>
  <si>
    <t>Unable to connect to account</t>
  </si>
  <si>
    <t>لا يمكن تسجيل الدخول لحسابك</t>
  </si>
  <si>
    <t>Неуспешно свързване с профила</t>
  </si>
  <si>
    <t>No s\'ha pogut connectar al compte</t>
  </si>
  <si>
    <t>Es gibt Probleme beim Verbindungsaufbau mit einem Konto</t>
  </si>
  <si>
    <t>No se ha podido conectar a la cuenta</t>
  </si>
  <si>
    <t>Impossible de se connecter au compte.</t>
  </si>
  <si>
    <t>Non puido conectarse a conta</t>
  </si>
  <si>
    <t>Nem sikerül a fiókhoz csatlakozni</t>
  </si>
  <si>
    <t>Tidak terhubung ke akun</t>
  </si>
  <si>
    <t>Impossibile collegarsi tramite questo utente</t>
  </si>
  <si>
    <t>アカウントに接続できません</t>
  </si>
  <si>
    <t>계정에 접속할 수 없습니다</t>
  </si>
  <si>
    <t>Verbinding maken met account mislukt</t>
  </si>
  <si>
    <t>Nie można połączyć się z kontem</t>
  </si>
  <si>
    <t>Não foi possível ligar-se à conta</t>
  </si>
  <si>
    <t>Не удалось подключиться к аккаунту</t>
  </si>
  <si>
    <t>Pripojenie k účtu zlyhalo</t>
  </si>
  <si>
    <t>Не могу да се повежем са налогом</t>
  </si>
  <si>
    <t>Kan inte ansluta till konto</t>
  </si>
  <si>
    <t>Не можу з\'єднатися з обліковим записом</t>
  </si>
  <si>
    <t>Không thể kết nối đến tài khoản</t>
  </si>
  <si>
    <t>無法連接至帳戶</t>
  </si>
  <si>
    <t>cancel_transmission</t>
  </si>
  <si>
    <t>Cancel transmission</t>
  </si>
  <si>
    <t>الغاء الارسال</t>
  </si>
  <si>
    <t>Отказ на прехвърлянето</t>
  </si>
  <si>
    <t>Transmissió cancelada</t>
  </si>
  <si>
    <t>Übertragung abbrechen</t>
  </si>
  <si>
    <t>Cancelar transferencia</t>
  </si>
  <si>
    <t>Annuler l\'envoi</t>
  </si>
  <si>
    <t>Cancelar a transmisión</t>
  </si>
  <si>
    <t>Átvitel megszakítása</t>
  </si>
  <si>
    <t>batalkan pengiriman</t>
  </si>
  <si>
    <t>Annulla trasmissione</t>
  </si>
  <si>
    <t>転送をキャンセル</t>
  </si>
  <si>
    <t>전송 취소</t>
  </si>
  <si>
    <t>Bestandsoverdracht annuleren</t>
  </si>
  <si>
    <t>Anuluj przesyłanie</t>
  </si>
  <si>
    <t>Cancelar transmissão</t>
  </si>
  <si>
    <t>Отменить передачу</t>
  </si>
  <si>
    <t>Zrušiť prenos</t>
  </si>
  <si>
    <t>Прекини пренос</t>
  </si>
  <si>
    <t>Avbryt överföring</t>
  </si>
  <si>
    <t>Припинити передачу</t>
  </si>
  <si>
    <t>Huỷ chuyển tập tin</t>
  </si>
  <si>
    <t>取消傳送</t>
  </si>
  <si>
    <t>file_url</t>
  </si>
  <si>
    <t>File URL</t>
  </si>
  <si>
    <t>رابط الملف</t>
  </si>
  <si>
    <t>Адрес на файла</t>
  </si>
  <si>
    <t>URL del fitxer</t>
  </si>
  <si>
    <t>Datei-URL</t>
  </si>
  <si>
    <t>URL de archivo</t>
  </si>
  <si>
    <t>URL du fichier</t>
  </si>
  <si>
    <t>URL do ficheiro</t>
  </si>
  <si>
    <t>Fájl URL-je</t>
  </si>
  <si>
    <t>URL Berkas</t>
  </si>
  <si>
    <t>URL del file</t>
  </si>
  <si>
    <t>ファイル URL</t>
  </si>
  <si>
    <t>파일 URL</t>
  </si>
  <si>
    <t>Bestands-URL</t>
  </si>
  <si>
    <t>URL pliku</t>
  </si>
  <si>
    <t>URL файла</t>
  </si>
  <si>
    <t>URL súbor</t>
  </si>
  <si>
    <t>УРЛ фајла</t>
  </si>
  <si>
    <t>Fil-URL</t>
  </si>
  <si>
    <t>URL tập tin</t>
  </si>
  <si>
    <t>檔案位址(URL)</t>
  </si>
  <si>
    <t>success</t>
  </si>
  <si>
    <t>Success</t>
  </si>
  <si>
    <t>نجاح</t>
  </si>
  <si>
    <t>Успешно</t>
  </si>
  <si>
    <t>Úspěch</t>
  </si>
  <si>
    <t>Succes</t>
  </si>
  <si>
    <t>Επιτυχία</t>
  </si>
  <si>
    <t>Exitoso</t>
  </si>
  <si>
    <t>Onnistui</t>
  </si>
  <si>
    <t>Succès</t>
  </si>
  <si>
    <t>सफलता</t>
  </si>
  <si>
    <t>Sikerült!</t>
  </si>
  <si>
    <t>Sukses</t>
  </si>
  <si>
    <t>Successo</t>
  </si>
  <si>
    <t>הצלחה</t>
  </si>
  <si>
    <t>成功</t>
  </si>
  <si>
    <t>성공</t>
  </si>
  <si>
    <t>Berjaya</t>
  </si>
  <si>
    <t>Gelukt.</t>
  </si>
  <si>
    <t>Vellykket</t>
  </si>
  <si>
    <t>Powodzenie</t>
  </si>
  <si>
    <t>Bem-sucedido</t>
  </si>
  <si>
    <t>Úspešné</t>
  </si>
  <si>
    <t>Uspeh</t>
  </si>
  <si>
    <t>Framgång</t>
  </si>
  <si>
    <t>ความสำเร็จ</t>
  </si>
  <si>
    <t>Başarılı</t>
  </si>
  <si>
    <t>Thành công</t>
  </si>
  <si>
    <t>tt_daterange_small_intraday</t>
  </si>
  <si>
    <t>1D</t>
  </si>
  <si>
    <t>1T</t>
  </si>
  <si>
    <t>1J</t>
  </si>
  <si>
    <t>1डी</t>
  </si>
  <si>
    <t>1N</t>
  </si>
  <si>
    <t>1H</t>
  </si>
  <si>
    <t>1Д</t>
  </si>
  <si>
    <t>1Ng</t>
  </si>
  <si>
    <t>tt_info_question_feedback</t>
  </si>
  <si>
    <t>Questions</t>
  </si>
  <si>
    <t>الأسئلة</t>
  </si>
  <si>
    <t>Въпроси</t>
  </si>
  <si>
    <t>Otázky</t>
  </si>
  <si>
    <t>Spørgsmål</t>
  </si>
  <si>
    <t>Feedback</t>
  </si>
  <si>
    <t>Ερωτήσεις</t>
  </si>
  <si>
    <t>Preguntas</t>
  </si>
  <si>
    <t>Kysymykset</t>
  </si>
  <si>
    <t>प्रश्न</t>
  </si>
  <si>
    <t>Kérdések</t>
  </si>
  <si>
    <t>Pertanyaan</t>
  </si>
  <si>
    <t>Domande</t>
  </si>
  <si>
    <t>שאלות</t>
  </si>
  <si>
    <t>質問またはご意見</t>
  </si>
  <si>
    <t>질문</t>
  </si>
  <si>
    <t>Soalan</t>
  </si>
  <si>
    <t>Vragen</t>
  </si>
  <si>
    <t>Spørsmål</t>
  </si>
  <si>
    <t>Pytania</t>
  </si>
  <si>
    <t>Perguntas ou comentários</t>
  </si>
  <si>
    <t>Întrebări</t>
  </si>
  <si>
    <t>Вопросы</t>
  </si>
  <si>
    <t>Vprašanja</t>
  </si>
  <si>
    <t>Pitanje</t>
  </si>
  <si>
    <t>Frågor</t>
  </si>
  <si>
    <t>คำถาม</t>
  </si>
  <si>
    <t>Sorular</t>
  </si>
  <si>
    <t>Câu hỏi</t>
  </si>
  <si>
    <t>问题</t>
  </si>
  <si>
    <t>&gt;問題</t>
  </si>
  <si>
    <t>tt_charts</t>
  </si>
  <si>
    <t>Charts</t>
  </si>
  <si>
    <t>المخططات</t>
  </si>
  <si>
    <t>Графики</t>
  </si>
  <si>
    <t>Grafy</t>
  </si>
  <si>
    <t>Diagrammer</t>
  </si>
  <si>
    <t>Γραφήματα</t>
  </si>
  <si>
    <t>Gráficos</t>
  </si>
  <si>
    <t>Kaaviot</t>
  </si>
  <si>
    <t>Graphiques</t>
  </si>
  <si>
    <t>चार्ट</t>
  </si>
  <si>
    <t>Grafikonok</t>
  </si>
  <si>
    <t>Grafici</t>
  </si>
  <si>
    <t>גרפים</t>
  </si>
  <si>
    <t>チャート</t>
  </si>
  <si>
    <t>차트</t>
  </si>
  <si>
    <t>Carta</t>
  </si>
  <si>
    <t>Grafieken</t>
  </si>
  <si>
    <t>Wykresy</t>
  </si>
  <si>
    <t>Grafice</t>
  </si>
  <si>
    <t>Grafikoni</t>
  </si>
  <si>
    <t>แผนภูมิ</t>
  </si>
  <si>
    <t>Grafikler</t>
  </si>
  <si>
    <t>Biểu đồ</t>
  </si>
  <si>
    <t>&gt;圖表</t>
  </si>
  <si>
    <t>burundi</t>
  </si>
  <si>
    <t>Burundi</t>
  </si>
  <si>
    <t>Бурунди</t>
  </si>
  <si>
    <t>pref_accept_files_summary</t>
  </si>
  <si>
    <t>Automatically accept files smaller than…</t>
  </si>
  <si>
    <t>اقبل تلقائيا الملفات أقل من</t>
  </si>
  <si>
    <t>Автоматично приемане на файлове с размер, по-малък от…</t>
  </si>
  <si>
    <t>Accepta fitxers automàticament amb una mida menor a…</t>
  </si>
  <si>
    <t>Dateien automatisch annehmen, die kleiner sind als …</t>
  </si>
  <si>
    <t>De forma automática aceptar archivos menores que…</t>
  </si>
  <si>
    <t>Accepter automatiquement les fichiers plus petits que…</t>
  </si>
  <si>
    <t>De forma automática aceptar ficheiros menores de…</t>
  </si>
  <si>
    <t>Automatikusan fogadjon ennél kisebb fájlokat...</t>
  </si>
  <si>
    <t>Otomatis menerima berkas lebih kecil dari...</t>
  </si>
  <si>
    <t>Accetta automaticamente i file più piccoli di…</t>
  </si>
  <si>
    <t>自動的に小さいファイルを受取…</t>
  </si>
  <si>
    <t>이 크기보다 작은 파일을 자동으로 수락</t>
  </si>
  <si>
    <t>Aanvaard automatisch bestanden kleiner dan…</t>
  </si>
  <si>
    <t>Automatycznie akceptuj pliki mniejsze niż...</t>
  </si>
  <si>
    <t>Automaticamente aceitar ficheiros menores que...</t>
  </si>
  <si>
    <t>Автоматический приём файлов…</t>
  </si>
  <si>
    <t>Automaticky prijať súbory menšie ako…</t>
  </si>
  <si>
    <t>Аутоматски прихватај фајлове мање од…</t>
  </si>
  <si>
    <t>Acceptera automatiskt filer som är mindre än…</t>
  </si>
  <si>
    <t>Автоматично приймати файли менші за…</t>
  </si>
  <si>
    <t>Tự động chấp thuận các tập tin nhỏ hơn...</t>
  </si>
  <si>
    <t>自動接收小於 … 的檔案</t>
  </si>
  <si>
    <t>bad_key_for_encryption</t>
  </si>
  <si>
    <t>Bad key for encryption.</t>
  </si>
  <si>
    <t>Неправилен ключ за шифроване.</t>
  </si>
  <si>
    <t>Clau dolenta per encriptar.</t>
  </si>
  <si>
    <t>Fehlerhafter Schlüssel für die Verschlüsselung.</t>
  </si>
  <si>
    <t>Clave errónea para el cifrado.</t>
  </si>
  <si>
    <t>Chave incorrecta para cifrar.</t>
  </si>
  <si>
    <t>Rossz kulcs a titkosításhoz.</t>
  </si>
  <si>
    <t>Chiave di cifratura non valida.</t>
  </si>
  <si>
    <t>Slechte versleutelingsleutel.</t>
  </si>
  <si>
    <t>Zły klucz szyfrowania.</t>
  </si>
  <si>
    <t>contact_name</t>
  </si>
  <si>
    <t>Contact name</t>
  </si>
  <si>
    <t>Име на контакта</t>
  </si>
  <si>
    <t>Nom de contacte</t>
  </si>
  <si>
    <t>Kontaktname</t>
  </si>
  <si>
    <t>Nombre del contacto</t>
  </si>
  <si>
    <t>Nom du contact</t>
  </si>
  <si>
    <t>Nome do contacto</t>
  </si>
  <si>
    <t>Kapcsolatnév</t>
  </si>
  <si>
    <t>Nome contatto</t>
  </si>
  <si>
    <t>Contactnaam</t>
  </si>
  <si>
    <t>Nazwa kontaktu</t>
  </si>
  <si>
    <t>Име контакта</t>
  </si>
  <si>
    <t>tt_onboarding_settings_click_on_skip_tutorial</t>
  </si>
  <si>
    <t>Click on Skip tutorial to disable popups.</t>
  </si>
  <si>
    <t>انقر فوق تخطي البرنامج التعليمي لتعطيل النوافذ المنبثقة.</t>
  </si>
  <si>
    <t>Кликнете върху Пропускане на урока, за да деактивирате изскачащите прозорци.</t>
  </si>
  <si>
    <t>Klepnutím na „Přeskočit kurz“ deaktivujte vyskakovací okna.</t>
  </si>
  <si>
    <t>Klik på Spring over tutorial for at deaktivere popups.</t>
  </si>
  <si>
    <t>Klicken Sie auf Tutorial überspringen um die Meldungen zu deaktivieren.</t>
  </si>
  <si>
    <t>Κάντε κλικ στο Skip tutorial για να απενεργοποιήσετε τα αναδυόμενα παράθυρα.</t>
  </si>
  <si>
    <t>Haga click en Saltar tutorial para desactivar las ventanas emergentes.</t>
  </si>
  <si>
    <t>Poista ponnahdusikkunat napsauttamalla Ohita opastus.</t>
  </si>
  <si>
    <t>Cliquez sur "Ignorer tutoriel" pour désactiver les pop-ups.</t>
  </si>
  <si>
    <t>पॉपअप को डिसेबल करने के लिए स्किप ट्यूटोरियल पर क्लिक करें।</t>
  </si>
  <si>
    <t>Kattintson a Skip tutorial-ra az ablak lezáráshoz.</t>
  </si>
  <si>
    <t>Klik pada Langkaui bimbingan untuk menyahdayakan pop timbul.</t>
  </si>
  <si>
    <t>Clicca Skip Tutorial per disabilitare i pop-ups.</t>
  </si>
  <si>
    <t>לחץ על "דלג על הדרכה" כדי להשבית חלונות קופצים.</t>
  </si>
  <si>
    <t>チュートリアルのスキップをクリックして、ポップアップを無効にする</t>
  </si>
  <si>
    <t>팝업을 비활성화하려면 튜토리얼 넘기기를 클릭하세요.</t>
  </si>
  <si>
    <t>Klik op Skip tutorial om pop-ups uit te schakelen.</t>
  </si>
  <si>
    <t>Klikk på hopp over veiledningen for å deaktivere popup.</t>
  </si>
  <si>
    <t>Kliknij "Pomiń tutorial" aby wyłączyć wyskakujące okienka.</t>
  </si>
  <si>
    <t>Clique em Ignorar tutorial para desativar pop-ups.</t>
  </si>
  <si>
    <t>Fă clic pe Sari peste tutorial pentru a dezactiva ferestrele tip pop-up.</t>
  </si>
  <si>
    <t>Нажмите на Пропустить инструкцию для отключения всплывающих окон.</t>
  </si>
  <si>
    <t>Kliknutím na Preskočiť príručku zakážete kontextové okná.</t>
  </si>
  <si>
    <t>Za onemogočanje pojavnih oken kliknite na Skip tutorial.</t>
  </si>
  <si>
    <t>Kliknite na Preskoči uputstva da isključite oblačiće</t>
  </si>
  <si>
    <t>Klicka på Hoppa över handledning för att inaktivera popups.</t>
  </si>
  <si>
    <t>คลิกเพื่อข้ามการสาธิตการปิดใช้งานป๊อปอัพ</t>
  </si>
  <si>
    <t>Açılır pencereleri devre dışı bırakmak için Eğiticiyi atla ögesine tıklayın.</t>
  </si>
  <si>
    <t>Nhấn vào bỏ qua hướng dẫn để tắt cửa sổ bật lên.</t>
  </si>
  <si>
    <t>点击跳过教程为了禁用弹出窗口。</t>
  </si>
  <si>
    <t>search_groups</t>
  </si>
  <si>
    <t>Search group chats</t>
  </si>
  <si>
    <t>Търсене в груповите разговори</t>
  </si>
  <si>
    <t>Buscar xats en grup</t>
  </si>
  <si>
    <t>Gruppenchats durchsuchen</t>
  </si>
  <si>
    <t>Buscar conversaciones en grupo</t>
  </si>
  <si>
    <t>Rechercher dans les conversations de groupe</t>
  </si>
  <si>
    <t>Buscar conversas en grupo</t>
  </si>
  <si>
    <t>Konferenciák keresése</t>
  </si>
  <si>
    <t>Cerca chat di gruppo</t>
  </si>
  <si>
    <t>Groepsgesprekken zoeken</t>
  </si>
  <si>
    <t>Przeszukuj konferencje</t>
  </si>
  <si>
    <t>Procurar conversas em grupo</t>
  </si>
  <si>
    <t>Поиск конференций</t>
  </si>
  <si>
    <t>Тражи групна ћаскања</t>
  </si>
  <si>
    <t>pref_validate_hostname_summary</t>
  </si>
  <si>
    <t>Server certificates that contain the validated hostname are considered verified</t>
  </si>
  <si>
    <t>Сървърните сертификати, които съдържат проверено име на сървъра, се смятат за потвърдени</t>
  </si>
  <si>
    <t>Els certificats de servidor que contenen el nom de host validat es consideren verificats</t>
  </si>
  <si>
    <t>Serverzertifikate, die den überprüften Hostnamen enthalten, werden als verifiziert betrachtet</t>
  </si>
  <si>
    <t>Los certificados del servidor que contienen el hostname validado son considerados verificados</t>
  </si>
  <si>
    <t>Les certificats serveur qui comportent le nom de domaine validé sont considérés comme validés</t>
  </si>
  <si>
    <t>Os certificados de servidor que conteñen o nome de servidor validado considéranse verificados</t>
  </si>
  <si>
    <t>A hitelesített gazdanevet tartalmazó kiszolgálói tanúsítványok hitelesek</t>
  </si>
  <si>
    <t>I certificati dei server che contengono l\'hostname convalidato sono considerati verificati</t>
  </si>
  <si>
    <t>検証されたホスト名を含むサーバー証明書は検証済みと見なされます</t>
  </si>
  <si>
    <t>Servercertificaten die de gevalideerde hostnaam bevatten worden beschouwd als geverifieerd</t>
  </si>
  <si>
    <t>Certyfikaty serwera posiadające prawidłową nazwę hosta są uznawane za zweryfikowane</t>
  </si>
  <si>
    <t>Серверные сертификаты, содержащие проверенное имя хоста, считаются проверенными</t>
  </si>
  <si>
    <t>Сертифікати, які містять завірену адресу, вважаються засвідченими</t>
  </si>
  <si>
    <t>tt_exchange</t>
  </si>
  <si>
    <t>Exchange</t>
  </si>
  <si>
    <t>تبادل</t>
  </si>
  <si>
    <t>Обмен</t>
  </si>
  <si>
    <t>Výměna</t>
  </si>
  <si>
    <t>Udveksle</t>
  </si>
  <si>
    <t>Börse</t>
  </si>
  <si>
    <t>Ανταλλαγή</t>
  </si>
  <si>
    <t>Mercado de intercambio</t>
  </si>
  <si>
    <t>Pörssi</t>
  </si>
  <si>
    <t>Marché</t>
  </si>
  <si>
    <t>विनिमय</t>
  </si>
  <si>
    <t>Tőzsde</t>
  </si>
  <si>
    <t>Tukar</t>
  </si>
  <si>
    <t>Borsa</t>
  </si>
  <si>
    <t>חליפין</t>
  </si>
  <si>
    <t>取引所</t>
  </si>
  <si>
    <t>환전</t>
  </si>
  <si>
    <t>Beurs</t>
  </si>
  <si>
    <t>Veksling</t>
  </si>
  <si>
    <t>Giełda</t>
  </si>
  <si>
    <t>Bolsa</t>
  </si>
  <si>
    <t>Schimb valutar</t>
  </si>
  <si>
    <t>Биржа</t>
  </si>
  <si>
    <t>Výmena</t>
  </si>
  <si>
    <t>Izmenjava</t>
  </si>
  <si>
    <t>Berza</t>
  </si>
  <si>
    <t>Utbyte</t>
  </si>
  <si>
    <t>การแลกเปลี่ยน</t>
  </si>
  <si>
    <t>Kur</t>
  </si>
  <si>
    <t>Trao đổi</t>
  </si>
  <si>
    <t>交易所</t>
  </si>
  <si>
    <t>&gt;交易所</t>
  </si>
  <si>
    <t>tt_indicator_type29</t>
  </si>
  <si>
    <t>Williams Acc Dist</t>
  </si>
  <si>
    <t>توزيع تراكم ويليامز</t>
  </si>
  <si>
    <t>Уилямс Акумулация/разпределение</t>
  </si>
  <si>
    <t>Vzdálenost Williamsova ak.</t>
  </si>
  <si>
    <t>विलियम्स Acc Dist</t>
  </si>
  <si>
    <t>קו צבירה / הפצה (Acc/Dist) של ויליאמס</t>
  </si>
  <si>
    <t>ウィリアム分布表</t>
  </si>
  <si>
    <t>윌리엄스 Acc Dist</t>
  </si>
  <si>
    <t>Indice Williams Acumulare/Distribuire</t>
  </si>
  <si>
    <t>Индикатор накоплнения/распределения Уильямса</t>
  </si>
  <si>
    <t>WillA. İndikatörü</t>
  </si>
  <si>
    <t>Phân phối tích lũy Williams</t>
  </si>
  <si>
    <t>威廉姆斯累积/派发指标（Williams A/D）</t>
  </si>
  <si>
    <t>&gt;威廉姆斯累積/派發指標(Williams A/D)</t>
  </si>
  <si>
    <t>tt_indicator_type28</t>
  </si>
  <si>
    <t>Weighted Average</t>
  </si>
  <si>
    <t>المتوسط المرجح</t>
  </si>
  <si>
    <t>Средно претеглена стойност</t>
  </si>
  <si>
    <t>Vážený průměr</t>
  </si>
  <si>
    <t>Vægtet gennemsnit</t>
  </si>
  <si>
    <t>Σταθμισμένος μέσος όρος</t>
  </si>
  <si>
    <t>Promedio Ponderado</t>
  </si>
  <si>
    <t>Painotettu keskiarvo</t>
  </si>
  <si>
    <t>Moyenne pondérée</t>
  </si>
  <si>
    <t>भारित औसत</t>
  </si>
  <si>
    <t>rata-rata Berat</t>
  </si>
  <si>
    <t>加重平均</t>
  </si>
  <si>
    <t>가중 평균</t>
  </si>
  <si>
    <t>Purata Berat</t>
  </si>
  <si>
    <t>Gewogen Gemiddelde</t>
  </si>
  <si>
    <t>Vektlagt gjennomsnitt</t>
  </si>
  <si>
    <t>Średnia ważona</t>
  </si>
  <si>
    <t>Média ponderada</t>
  </si>
  <si>
    <t>Medie Ponderată</t>
  </si>
  <si>
    <t>Среднее арифметическое взвешенное</t>
  </si>
  <si>
    <t>Vážený priemer</t>
  </si>
  <si>
    <t>Tehtana povprečna vrednost</t>
  </si>
  <si>
    <t>Vägt genomsnitt</t>
  </si>
  <si>
    <t>ค่าเฉลี่ยถ่วงน้ำหนัก</t>
  </si>
  <si>
    <t>Ağırlıklı Ortalama</t>
  </si>
  <si>
    <t>Trung bình có trọng số</t>
  </si>
  <si>
    <t>加权平均值</t>
  </si>
  <si>
    <t>&gt;加權平均值</t>
  </si>
  <si>
    <t>tt_indicator_type27</t>
  </si>
  <si>
    <t>Volatility</t>
  </si>
  <si>
    <t>التقلب</t>
  </si>
  <si>
    <t>Волатилност</t>
  </si>
  <si>
    <t>Volatilita</t>
  </si>
  <si>
    <t>Volatilitet</t>
  </si>
  <si>
    <t>Μεταβλητότητα</t>
  </si>
  <si>
    <t>Volatilidad</t>
  </si>
  <si>
    <t>Volatiliteetti</t>
  </si>
  <si>
    <t>Volatilité</t>
  </si>
  <si>
    <t>परिवर्तनशीलता</t>
  </si>
  <si>
    <t>Volatilitás</t>
  </si>
  <si>
    <t>Volatilitas</t>
  </si>
  <si>
    <t>ボラティリティ</t>
  </si>
  <si>
    <t>변동성</t>
  </si>
  <si>
    <t>Volatiliti</t>
  </si>
  <si>
    <t>Volatiliteit</t>
  </si>
  <si>
    <t>Zmienność</t>
  </si>
  <si>
    <t>Volatilidade</t>
  </si>
  <si>
    <t>Volatilitate</t>
  </si>
  <si>
    <t>Изменчивость</t>
  </si>
  <si>
    <t>Nestálosť</t>
  </si>
  <si>
    <t>Nestanovitnost</t>
  </si>
  <si>
    <t>Volatilnost</t>
  </si>
  <si>
    <t>Volaitilitet</t>
  </si>
  <si>
    <t>การผันผวน</t>
  </si>
  <si>
    <t>Volatilite</t>
  </si>
  <si>
    <t>Biến động</t>
  </si>
  <si>
    <t>波动性</t>
  </si>
  <si>
    <t>&gt;波動性</t>
  </si>
  <si>
    <t>tt_indicator_type26</t>
  </si>
  <si>
    <t>Triple Moving Avgerage</t>
  </si>
  <si>
    <t>متوسط التحرك الثلاثي</t>
  </si>
  <si>
    <t>Индикатор на тройната подвижна средна стойнот</t>
  </si>
  <si>
    <t>Trojitý pohyblivý průměr</t>
  </si>
  <si>
    <t>Tredobbelt bevægende gennemsnit</t>
  </si>
  <si>
    <t>Τριπλός Κινούμενος Μέσος</t>
  </si>
  <si>
    <t>Triple Moving Average</t>
  </si>
  <si>
    <t>Kolminkertainen liikkuva keskiarvo</t>
  </si>
  <si>
    <t>Moyenne mobile triple</t>
  </si>
  <si>
    <t>ट्रिपल मूविंग औसत</t>
  </si>
  <si>
    <t>rata-rata Bergerak Berganda Tiga</t>
  </si>
  <si>
    <t>移動平均（トリプル）</t>
  </si>
  <si>
    <t>삼중 이동 평균</t>
  </si>
  <si>
    <t>Purata Bergerak Berganda Tiga</t>
  </si>
  <si>
    <t>Tredobbel glidende gjennomsnitt</t>
  </si>
  <si>
    <t>Média móvel tripla</t>
  </si>
  <si>
    <t>Media Triplă în Mișcare</t>
  </si>
  <si>
    <t>Тройное скользящее среднее</t>
  </si>
  <si>
    <t>Trojnásobný kĺzavý priemer</t>
  </si>
  <si>
    <t>Trojno premično povprečje</t>
  </si>
  <si>
    <t>เส้นค่าเฉลี่ยเคลื่อนที่</t>
  </si>
  <si>
    <t>Üçlü Hareketli Ortalama</t>
  </si>
  <si>
    <t>Trung bình động ba</t>
  </si>
  <si>
    <t>三重移动平均线</t>
  </si>
  <si>
    <t>&gt;三重移動平均線</t>
  </si>
  <si>
    <t>italy</t>
  </si>
  <si>
    <t>Italy</t>
  </si>
  <si>
    <t>Italien</t>
  </si>
  <si>
    <t>Italia</t>
  </si>
  <si>
    <t>Italie</t>
  </si>
  <si>
    <t>Италия</t>
  </si>
  <si>
    <t>Italija</t>
  </si>
  <si>
    <t>tt_indicator_type25</t>
  </si>
  <si>
    <t>Standard Deviation</t>
  </si>
  <si>
    <t>الانحراف المعياري</t>
  </si>
  <si>
    <t>Стандартно отклонение</t>
  </si>
  <si>
    <t>Standardní odchylka</t>
  </si>
  <si>
    <t>Standardafvigelse</t>
  </si>
  <si>
    <t>Τυπική απόκλιση</t>
  </si>
  <si>
    <t>Desviación estándar</t>
  </si>
  <si>
    <t>Vakiopoikkeama</t>
  </si>
  <si>
    <t>मानक विचलन</t>
  </si>
  <si>
    <t>Standar Deviasi</t>
  </si>
  <si>
    <t>標準偏差値</t>
  </si>
  <si>
    <t>표준 편차</t>
  </si>
  <si>
    <t>Sisihan Piawai</t>
  </si>
  <si>
    <t>Standaard Deviatie</t>
  </si>
  <si>
    <t>Standardavvik</t>
  </si>
  <si>
    <t>Odchylenie standardowe</t>
  </si>
  <si>
    <t>Desvio padrão</t>
  </si>
  <si>
    <t>Deviație Standard</t>
  </si>
  <si>
    <t>Стандартное отклонение</t>
  </si>
  <si>
    <t>Štandardná odchýlka</t>
  </si>
  <si>
    <t>Standardni odklon</t>
  </si>
  <si>
    <t>Standardavvikelse</t>
  </si>
  <si>
    <t>ค่าเบี่ยงเบนมาตรฐาน</t>
  </si>
  <si>
    <t>Standart Sapma</t>
  </si>
  <si>
    <t>Độ lệch chuẩn</t>
  </si>
  <si>
    <t>标准差</t>
  </si>
  <si>
    <t>&gt;標準差</t>
  </si>
  <si>
    <t>tt_indicator_type24</t>
  </si>
  <si>
    <t>Rolling Average</t>
  </si>
  <si>
    <t>متوسط ​​المتداول</t>
  </si>
  <si>
    <t>Пълзяща средна стойност</t>
  </si>
  <si>
    <t>Klouzavý průměr</t>
  </si>
  <si>
    <t>Rullende gennemsnit</t>
  </si>
  <si>
    <t>Κυλιόμενος μέσος όρος</t>
  </si>
  <si>
    <t>Promedio móvil</t>
  </si>
  <si>
    <t>Liukuva keskiarvo</t>
  </si>
  <si>
    <t>Moyenne mobile</t>
  </si>
  <si>
    <t>रोलिंग औसत</t>
  </si>
  <si>
    <t>rata-rata Bergulir</t>
  </si>
  <si>
    <t>ローリングリターン平均</t>
  </si>
  <si>
    <t>이동 평균</t>
  </si>
  <si>
    <t>Purata Bergulir</t>
  </si>
  <si>
    <t>Voortschrijdend Gemiddelde</t>
  </si>
  <si>
    <t>Rullende gjennomsnitt</t>
  </si>
  <si>
    <t>Średnia krocząca</t>
  </si>
  <si>
    <t>Média móvel</t>
  </si>
  <si>
    <t>Media Rotativă</t>
  </si>
  <si>
    <t>Скользящее среднее</t>
  </si>
  <si>
    <t>Kĺzavý priemer</t>
  </si>
  <si>
    <t>Tekoče povprečje</t>
  </si>
  <si>
    <t>Rullande medelvärde</t>
  </si>
  <si>
    <t>ค่าเฉลี่ยเคลื่อนที่</t>
  </si>
  <si>
    <t>Ortalama Yuvarlama</t>
  </si>
  <si>
    <t>Đường trung bình trượt</t>
  </si>
  <si>
    <t>滚动平均值</t>
  </si>
  <si>
    <t>&gt;滾動平均值</t>
  </si>
  <si>
    <t>shared_file_with_x</t>
  </si>
  <si>
    <t>Shared file with %s</t>
  </si>
  <si>
    <t>Файлът е споделен с %s</t>
  </si>
  <si>
    <t>Fitxer compartit amb %s</t>
  </si>
  <si>
    <t>Datei mit %s geteilt</t>
  </si>
  <si>
    <t>Archivo compartido con %s</t>
  </si>
  <si>
    <t>Fichier partagé avec %s</t>
  </si>
  <si>
    <t>Ficheiro compartido con %s</t>
  </si>
  <si>
    <t>%s partnerrel fájlt osztott meg</t>
  </si>
  <si>
    <t>Condividi file con %s</t>
  </si>
  <si>
    <t>%s でファイルを共有</t>
  </si>
  <si>
    <t>파일을 %s와 공유함</t>
  </si>
  <si>
    <t>Bestand gedeeld met %s</t>
  </si>
  <si>
    <t>Dzielenie pliku z %s</t>
  </si>
  <si>
    <t>Ficheiro partilhado com %s</t>
  </si>
  <si>
    <t>Файл отправлен %s</t>
  </si>
  <si>
    <t>Подељен фајл са %s</t>
  </si>
  <si>
    <t>Delade fil med %s</t>
  </si>
  <si>
    <t>Поділився файлом з %s</t>
  </si>
  <si>
    <t>Chia sẻ tập tin với %s</t>
  </si>
  <si>
    <t>用 %s 分享檔案</t>
  </si>
  <si>
    <t>tt_indicator_type23</t>
  </si>
  <si>
    <t>العائد على رأس المال</t>
  </si>
  <si>
    <t>आरओसी</t>
  </si>
  <si>
    <t>ＲＯＣ</t>
  </si>
  <si>
    <t>Темп изменений</t>
  </si>
  <si>
    <t>DO</t>
  </si>
  <si>
    <t>资本回报率</t>
  </si>
  <si>
    <t>&gt;資本回報率</t>
  </si>
  <si>
    <t>pref_picture_compression</t>
  </si>
  <si>
    <t>Image Compression</t>
  </si>
  <si>
    <t>Компресия на изображенията</t>
  </si>
  <si>
    <t>Compressió d\'imatge</t>
  </si>
  <si>
    <t>Bilder komprimieren</t>
  </si>
  <si>
    <t>Compresión de imagen</t>
  </si>
  <si>
    <t>Compression de l\'image</t>
  </si>
  <si>
    <t>Compresión de imaxes</t>
  </si>
  <si>
    <t>Kép tömörítés</t>
  </si>
  <si>
    <t>Compressione immagini</t>
  </si>
  <si>
    <t>Afbeeldingscompressie</t>
  </si>
  <si>
    <t>Kompresja obrazów</t>
  </si>
  <si>
    <t>tt_indicator_type22</t>
  </si>
  <si>
    <t>Price Change Band</t>
  </si>
  <si>
    <t>فرق تغير السعر</t>
  </si>
  <si>
    <t>Крива с промяна на цените</t>
  </si>
  <si>
    <t>Pásmo změny ceny</t>
  </si>
  <si>
    <t>Prisændringsbånd</t>
  </si>
  <si>
    <t>Περιοχή αλλαγής τιμής</t>
  </si>
  <si>
    <t>Hintamuutosluokka</t>
  </si>
  <si>
    <t>Fourchette de variation du prix</t>
  </si>
  <si>
    <t>मूल्य परिवर्तन बैंड</t>
  </si>
  <si>
    <t>Lingkaran Perubahan Harga</t>
  </si>
  <si>
    <t>価格変更帯</t>
  </si>
  <si>
    <t>가격 변동 밴드</t>
  </si>
  <si>
    <t>Prijsverandering Band</t>
  </si>
  <si>
    <t>Prisendringsbånd</t>
  </si>
  <si>
    <t>Zespół Zmiana ceny</t>
  </si>
  <si>
    <t>Bandă de Schimbare a Prețurilor</t>
  </si>
  <si>
    <t>Линии колебания цен</t>
  </si>
  <si>
    <t>Pásmo zmeny ceny</t>
  </si>
  <si>
    <t>Pas menjave cene</t>
  </si>
  <si>
    <t>Prisändringsband</t>
  </si>
  <si>
    <t>แถบการเปลี่ยนแปลงราคา</t>
  </si>
  <si>
    <t>Fiyat Değişim Bandı</t>
  </si>
  <si>
    <t>Dải biến động giá</t>
  </si>
  <si>
    <t>价格变动带</t>
  </si>
  <si>
    <t>&gt;價格變動帶</t>
  </si>
  <si>
    <t>tt_indicator_type21</t>
  </si>
  <si>
    <t>Price Change</t>
  </si>
  <si>
    <t>تغيير الأسعار</t>
  </si>
  <si>
    <t>Промяна на цената</t>
  </si>
  <si>
    <t>Změna ceny</t>
  </si>
  <si>
    <t>Prisændring</t>
  </si>
  <si>
    <t>Αλλαγή τιμής</t>
  </si>
  <si>
    <t>Hintamuutos</t>
  </si>
  <si>
    <t>Variation du prix</t>
  </si>
  <si>
    <t>मूल्य परिवर्तन</t>
  </si>
  <si>
    <t>Perubahan Harga</t>
  </si>
  <si>
    <t>価格変更</t>
  </si>
  <si>
    <t>가격 변동</t>
  </si>
  <si>
    <t>Prijsverandering</t>
  </si>
  <si>
    <t>Prisendring</t>
  </si>
  <si>
    <t>Zasięg zmiany ceny</t>
  </si>
  <si>
    <t>Alteração de Preço</t>
  </si>
  <si>
    <t>Schimbare de Preț</t>
  </si>
  <si>
    <t>Колебание цен</t>
  </si>
  <si>
    <t>Zmena ceny</t>
  </si>
  <si>
    <t>Sprememba cene</t>
  </si>
  <si>
    <t>Prisförändring</t>
  </si>
  <si>
    <t>การเปลี่ยนแปลงราคา</t>
  </si>
  <si>
    <t>Fiyat Değişimi</t>
  </si>
  <si>
    <t>Biến động giá</t>
  </si>
  <si>
    <t>价格变动</t>
  </si>
  <si>
    <t>&gt;價格變動</t>
  </si>
  <si>
    <t>you_are_not_participating</t>
  </si>
  <si>
    <t>You are not participating</t>
  </si>
  <si>
    <t>لست مشتركا في المجموعة</t>
  </si>
  <si>
    <t>Вие не участвате</t>
  </si>
  <si>
    <t>No esteu participant</t>
  </si>
  <si>
    <t>Du bist kein Mitglied</t>
  </si>
  <si>
    <t>No estás participando</t>
  </si>
  <si>
    <t>Vous ne participez pas</t>
  </si>
  <si>
    <t>Vostede non está a participar</t>
  </si>
  <si>
    <t>Nem vagy résztvevő</t>
  </si>
  <si>
    <t>Anda tidak berpartisipasi</t>
  </si>
  <si>
    <t>Non stai partecipando</t>
  </si>
  <si>
    <t>あなたは参加していません</t>
  </si>
  <si>
    <t>당신은 참여하고 있지 않습니다</t>
  </si>
  <si>
    <t>Je neemt geen deel</t>
  </si>
  <si>
    <t>Nie bierzesz udziału</t>
  </si>
  <si>
    <t>Não está a participar</t>
  </si>
  <si>
    <t>Вы не участвуете</t>
  </si>
  <si>
    <t>Nezúčastňujete sa</t>
  </si>
  <si>
    <t>Не учествујете</t>
  </si>
  <si>
    <t>Du deltar ej</t>
  </si>
  <si>
    <t>Ви не берете участі</t>
  </si>
  <si>
    <t>Hiện bạn chưa tham gia</t>
  </si>
  <si>
    <t>您尚未參與</t>
  </si>
  <si>
    <t>tt_indicator_type20</t>
  </si>
  <si>
    <t>Positive Volume Index</t>
  </si>
  <si>
    <t>مؤشر حجم التداول الإيجابي</t>
  </si>
  <si>
    <t>Индекс на положителния обем</t>
  </si>
  <si>
    <t>Pozitivní objemový index</t>
  </si>
  <si>
    <t>Positivt volumenindeks</t>
  </si>
  <si>
    <t>Δείκτης θετικού όγκου</t>
  </si>
  <si>
    <t>Positiivinen volyymi-indeksi</t>
  </si>
  <si>
    <t>सकारात्मक मात्रा सूचकांक</t>
  </si>
  <si>
    <t>Indeks Jumlah Positif</t>
  </si>
  <si>
    <t>プラスの出来高</t>
  </si>
  <si>
    <t>포지티브 볼륨 지표</t>
  </si>
  <si>
    <t>Positieve Volume Index</t>
  </si>
  <si>
    <t>Positiv volumindeks</t>
  </si>
  <si>
    <t>índice de volume positivo</t>
  </si>
  <si>
    <t>Indice Volum Pozitiv</t>
  </si>
  <si>
    <t>Индекс положительного объема</t>
  </si>
  <si>
    <t>Koeficient pozitívneho objemu</t>
  </si>
  <si>
    <t>Indeks pozitivne prostornine</t>
  </si>
  <si>
    <t>Positivt volymindex</t>
  </si>
  <si>
    <t>ดัชนีปริมาณการผลิตในเชิงบวก</t>
  </si>
  <si>
    <t>Pozitif Hacim Endeksi</t>
  </si>
  <si>
    <t>Chỉ số khối lượng dương</t>
  </si>
  <si>
    <t>正成交量指标（PVI）</t>
  </si>
  <si>
    <t>&gt;正成交量指标(PVI)</t>
  </si>
  <si>
    <t>remove_user_messages</t>
  </si>
  <si>
    <t>Delete user messages?</t>
  </si>
  <si>
    <t>Benutzernachrichten löschen?</t>
  </si>
  <si>
    <t>¿Borrar mensajes de este usuario?</t>
  </si>
  <si>
    <t>Supprimer les messages utilisateur?</t>
  </si>
  <si>
    <t>Törli a felhasználói üzeneteket?</t>
  </si>
  <si>
    <t>Удалить сообщения пользователя?</t>
  </si>
  <si>
    <t>Obrisati poruke ovog korisnika?</t>
  </si>
  <si>
    <t>request_now</t>
  </si>
  <si>
    <t>Request now</t>
  </si>
  <si>
    <t>اطلب الآن</t>
  </si>
  <si>
    <t>Поискване сега</t>
  </si>
  <si>
    <t>Sol·licita ara</t>
  </si>
  <si>
    <t>Jetzt anfordern</t>
  </si>
  <si>
    <t>Solicitar ahora</t>
  </si>
  <si>
    <t>Demander maintenant</t>
  </si>
  <si>
    <t>Solicitar agora</t>
  </si>
  <si>
    <t>Lekérés folyamatban</t>
  </si>
  <si>
    <t>Request sekarang</t>
  </si>
  <si>
    <t>Rechiedi adesso</t>
  </si>
  <si>
    <t>今すぐ要求</t>
  </si>
  <si>
    <t>지금 요청</t>
  </si>
  <si>
    <t>Nu aanvragen</t>
  </si>
  <si>
    <t>Zażądaj teraz</t>
  </si>
  <si>
    <t>Запросить сейчас</t>
  </si>
  <si>
    <t>Ihneď vyžiadať</t>
  </si>
  <si>
    <t>Захтевај одмах</t>
  </si>
  <si>
    <t>Begär nu</t>
  </si>
  <si>
    <t>Надіслати запит зараз</t>
  </si>
  <si>
    <t>Yêu cầu ngay</t>
  </si>
  <si>
    <t>現在發送請求</t>
  </si>
  <si>
    <t>tt_columns</t>
  </si>
  <si>
    <t>Setovanja</t>
  </si>
  <si>
    <t>tt_contract_size</t>
  </si>
  <si>
    <t>Contract Size</t>
  </si>
  <si>
    <t>حجم العقد</t>
  </si>
  <si>
    <t>Размер на договора</t>
  </si>
  <si>
    <t>Velikost smlouvy</t>
  </si>
  <si>
    <t>Kontraktstørrelse</t>
  </si>
  <si>
    <t>Kontraktgröße</t>
  </si>
  <si>
    <t>Μέγεθος συμβολαίου</t>
  </si>
  <si>
    <t>Tamaño del contrato</t>
  </si>
  <si>
    <t>Sopimuksen koko</t>
  </si>
  <si>
    <t>Taille du contrat</t>
  </si>
  <si>
    <t>संविदा का आकार</t>
  </si>
  <si>
    <t>Kontraktus méret</t>
  </si>
  <si>
    <t>Ukuran Kontrak</t>
  </si>
  <si>
    <t>Dimensione del contratto</t>
  </si>
  <si>
    <t>取引可能数量</t>
  </si>
  <si>
    <t>계약 규모</t>
  </si>
  <si>
    <t>Saiz Kontrak</t>
  </si>
  <si>
    <t>Contractgrootte</t>
  </si>
  <si>
    <t>Wielkość kontraktu</t>
  </si>
  <si>
    <t>Tamanho do contrato</t>
  </si>
  <si>
    <t>Dimensiunea Contractului</t>
  </si>
  <si>
    <t>Размер контракта</t>
  </si>
  <si>
    <t>Veľkosť zmluvy</t>
  </si>
  <si>
    <t>Velikost pogodbe</t>
  </si>
  <si>
    <t>Obim ugovora</t>
  </si>
  <si>
    <t>Kontraktsstorlek</t>
  </si>
  <si>
    <t>ปริมาณสัญญา</t>
  </si>
  <si>
    <t>Sözleşme Boyutu</t>
  </si>
  <si>
    <t>Kích cỡ hợp đồng</t>
  </si>
  <si>
    <t>合约金额</t>
  </si>
  <si>
    <t>something_went_wrong</t>
  </si>
  <si>
    <t>Something went wrong</t>
  </si>
  <si>
    <t>حدث هنالك خطأ</t>
  </si>
  <si>
    <t>Нещо се обърка</t>
  </si>
  <si>
    <t>Něco se pokazilo</t>
  </si>
  <si>
    <t>Noget gik galt</t>
  </si>
  <si>
    <t>Etwas ist leider schief gelaufen</t>
  </si>
  <si>
    <t>Κάτι πήγε στραβά</t>
  </si>
  <si>
    <t>Algo salió mal</t>
  </si>
  <si>
    <t>Jotain meni pieleen</t>
  </si>
  <si>
    <t>कुछ गड़बड़ हो गया है</t>
  </si>
  <si>
    <t>Ada sesuatu yang salah</t>
  </si>
  <si>
    <t>Qualcosa è andato storto</t>
  </si>
  <si>
    <t>何かが間違っていました</t>
  </si>
  <si>
    <t>무언가 잘못 되었습니다</t>
  </si>
  <si>
    <t>Sesuatu tidak betul berlaku</t>
  </si>
  <si>
    <t>Daar is iets mis gegaan.</t>
  </si>
  <si>
    <t>Noe gikk galt</t>
  </si>
  <si>
    <t>Coś poszło nie tak</t>
  </si>
  <si>
    <t>Alguma coisa correu mal</t>
  </si>
  <si>
    <t>Ceva nu a funcționat corect</t>
  </si>
  <si>
    <t>Что-то пошло не так</t>
  </si>
  <si>
    <t>Niečo nie je v poriadku</t>
  </si>
  <si>
    <t>Nekaj je šlo narobe</t>
  </si>
  <si>
    <t>Došlo je do greške.</t>
  </si>
  <si>
    <t>Något gick fel</t>
  </si>
  <si>
    <t>มีความผิดพลาดเกิดขึ้น</t>
  </si>
  <si>
    <t>Bir hata oluştu</t>
  </si>
  <si>
    <t>Đã xảy ra lỗi</t>
  </si>
  <si>
    <t>发生错误</t>
  </si>
  <si>
    <t>unknown_api_error_network</t>
  </si>
  <si>
    <t>Unknown network error.</t>
  </si>
  <si>
    <t>Неизвестна мрежова грешка.</t>
  </si>
  <si>
    <t>Unbekannter Netzwerkfehler.</t>
  </si>
  <si>
    <t>Error desconocido de red.</t>
  </si>
  <si>
    <t>Fallo descoñecido na rede.</t>
  </si>
  <si>
    <t>Ismeretlen hálózati hiba.</t>
  </si>
  <si>
    <t>Errore di rete sconosciuto.</t>
  </si>
  <si>
    <t>Onbekende netwerkfout.</t>
  </si>
  <si>
    <t>Nieznany błąd sieci.</t>
  </si>
  <si>
    <t>tt_new_version_title</t>
  </si>
  <si>
    <t>Release Notes</t>
  </si>
  <si>
    <t>ملاحظات الإصدار</t>
  </si>
  <si>
    <t>Бележки към изданието</t>
  </si>
  <si>
    <t>Poznámky k vydání</t>
  </si>
  <si>
    <t>Frigøre noter</t>
  </si>
  <si>
    <t>Neue Funktionen</t>
  </si>
  <si>
    <t>Σημειώσεις έκδοσης</t>
  </si>
  <si>
    <t>Notas de la versión</t>
  </si>
  <si>
    <t>Julkaisutiedot</t>
  </si>
  <si>
    <t>Notes de publication</t>
  </si>
  <si>
    <t>नोट्स जारी करें</t>
  </si>
  <si>
    <t>Catatan Rilis</t>
  </si>
  <si>
    <t>Note di rilascio</t>
  </si>
  <si>
    <t>リリースノート</t>
  </si>
  <si>
    <t>릴리스 정보</t>
  </si>
  <si>
    <t>Nota Keluaran</t>
  </si>
  <si>
    <t>Utgivelsesnotater</t>
  </si>
  <si>
    <t>Notas de lançamento</t>
  </si>
  <si>
    <t>Emite Note</t>
  </si>
  <si>
    <t>Примечания к выпуску</t>
  </si>
  <si>
    <t>Poznámky k vydaniu</t>
  </si>
  <si>
    <t>Opombe k izdaji</t>
  </si>
  <si>
    <t>Novo u ovoj verziji</t>
  </si>
  <si>
    <t>Versionsanteckningar</t>
  </si>
  <si>
    <t>สิ่งที่ปรับปรุงใหม่</t>
  </si>
  <si>
    <t>Sürüm Notları</t>
  </si>
  <si>
    <t>Ghi chú về bản phát hành</t>
  </si>
  <si>
    <t>发行说明</t>
  </si>
  <si>
    <t>&gt;發行說明</t>
  </si>
  <si>
    <t>security_error_invalid_file_access</t>
  </si>
  <si>
    <t>Security error: Invalid file access</t>
  </si>
  <si>
    <t>خطأ في الأمان : نفاذ غير سليم إلى ملف</t>
  </si>
  <si>
    <t>Грешка в сигурността: неправилен достъп до файл</t>
  </si>
  <si>
    <t>Error de seguretat: accés d\'arxiu no vàlid</t>
  </si>
  <si>
    <t>Sicherheitsfehler: Dateizugriff nicht erlaubt</t>
  </si>
  <si>
    <t>Error de seguridad: Acceso a fichero inválido</t>
  </si>
  <si>
    <t>Erreur de sécurité : accès fichier non-valide</t>
  </si>
  <si>
    <t>Fallo na seguridade: Acceso non válido ao ficheiro</t>
  </si>
  <si>
    <t>Biztonsági hiba: Érvénytelen fájl hozzáférés</t>
  </si>
  <si>
    <t>Errore di sicurezza: accesso file non valido</t>
  </si>
  <si>
    <t>セキュリティエラー: 不正なファイルアクセス</t>
  </si>
  <si>
    <t>보안 오류 : 잘못된 파일 액세스</t>
  </si>
  <si>
    <t>Beveiligingsfout: Ongeldige bestandstoegang</t>
  </si>
  <si>
    <t>Błąd bezpieczeństwa: nieprawidłowy dostęp do pliku</t>
  </si>
  <si>
    <t>Erro de segurança: Acesso ao ficheiro inválido</t>
  </si>
  <si>
    <t>Ошибка безопасности: недействительный доступ к файлу</t>
  </si>
  <si>
    <t>Безбедносна грешка: неисправан приступ фајлу</t>
  </si>
  <si>
    <t>Säkerhetsfel: Ogiltig filaccess</t>
  </si>
  <si>
    <t>Помилка безпеки: Недійсний доступ до файлу</t>
  </si>
  <si>
    <t>安全錯誤：檔案存取無效</t>
  </si>
  <si>
    <t>tt_daterange_small_3years</t>
  </si>
  <si>
    <t>3Y</t>
  </si>
  <si>
    <t>3R</t>
  </si>
  <si>
    <t>3J</t>
  </si>
  <si>
    <t>3Υ</t>
  </si>
  <si>
    <t>3A</t>
  </si>
  <si>
    <t>3वर्ष</t>
  </si>
  <si>
    <t>3ÉV</t>
  </si>
  <si>
    <t>3T</t>
  </si>
  <si>
    <t>3Å</t>
  </si>
  <si>
    <t>3L</t>
  </si>
  <si>
    <t>3Г</t>
  </si>
  <si>
    <t>3G</t>
  </si>
  <si>
    <t>server_info_mam</t>
  </si>
  <si>
    <t>XEP-0313: MAM</t>
  </si>
  <si>
    <t>XEP-0313: إدارة أرشيف الرسائل</t>
  </si>
  <si>
    <t>XEP-0313: Управление на архива на съобщенията</t>
  </si>
  <si>
    <t>XEP-0313: Gestió d\'arxivat de missatges</t>
  </si>
  <si>
    <t>XEP-0313 : MAM</t>
  </si>
  <si>
    <t>XEP-0313: メッセージ アーカイブ管理</t>
  </si>
  <si>
    <t>XEP-0313: Архив сообщений</t>
  </si>
  <si>
    <t>XEP-0313: МАМ</t>
  </si>
  <si>
    <t>XEP-0313: Message Archive</t>
  </si>
  <si>
    <t>XEP-0313: управління архівом</t>
  </si>
  <si>
    <t>tanzania</t>
  </si>
  <si>
    <t>Tanzania, United Republic of</t>
  </si>
  <si>
    <t>Tansania</t>
  </si>
  <si>
    <t>Tanzania</t>
  </si>
  <si>
    <t>Tanzanie, République-Unie de</t>
  </si>
  <si>
    <t>Танзания</t>
  </si>
  <si>
    <t>Tanzanija</t>
  </si>
  <si>
    <t>tt_indicator_type19</t>
  </si>
  <si>
    <t>On Balance Volume</t>
  </si>
  <si>
    <t>في حجم الرصيد</t>
  </si>
  <si>
    <t>Балансов обем</t>
  </si>
  <si>
    <t>Objem v zůstatku</t>
  </si>
  <si>
    <t>På Balancevolumen</t>
  </si>
  <si>
    <t>Όγκος ισορροπίας</t>
  </si>
  <si>
    <t>OBV-indikaattori</t>
  </si>
  <si>
    <t>शेष मात्रा पर</t>
  </si>
  <si>
    <t>Jumlah Pada Imbangan</t>
  </si>
  <si>
    <t>オンバランスボリューム</t>
  </si>
  <si>
    <t>OBV</t>
  </si>
  <si>
    <t>Ved balansevolum</t>
  </si>
  <si>
    <t>Ponto de equilíbrio em volume</t>
  </si>
  <si>
    <t>Indicator de Volum OBV</t>
  </si>
  <si>
    <t>Балансовый объём</t>
  </si>
  <si>
    <t>Pri objeme zostatku</t>
  </si>
  <si>
    <t>Obseg ravnotežja</t>
  </si>
  <si>
    <t>Balansvolym</t>
  </si>
  <si>
    <t>ดัชนีปริมาณหุ้นสะสม</t>
  </si>
  <si>
    <t>Denge İşlem Hacmi</t>
  </si>
  <si>
    <t>Trên khối lượng cân bằng</t>
  </si>
  <si>
    <t>平衡交易量指标（OBV）</t>
  </si>
  <si>
    <t>&gt;平衡交易量指標(OBV)</t>
  </si>
  <si>
    <t>tt_indicator_type18</t>
  </si>
  <si>
    <t>Negative Volume Index</t>
  </si>
  <si>
    <t>مؤشر حجم التداول السلبي</t>
  </si>
  <si>
    <t>Индекс на отрицателния обем</t>
  </si>
  <si>
    <t>Záporný objemový index</t>
  </si>
  <si>
    <t>Negativt volumenindeks</t>
  </si>
  <si>
    <t>Αρνητικός δείκτης όγκου</t>
  </si>
  <si>
    <t>NVI-indeksi</t>
  </si>
  <si>
    <t>ऋणात्मक मात्रा सूचकांक</t>
  </si>
  <si>
    <t>Indeks Jumlah Negatif</t>
  </si>
  <si>
    <t>マイナスの出来高</t>
  </si>
  <si>
    <t>네거티브 볼륨 지표</t>
  </si>
  <si>
    <t>Negatieve Volume Index</t>
  </si>
  <si>
    <t>Negativ volumindeks</t>
  </si>
  <si>
    <t>índice de volume negativo</t>
  </si>
  <si>
    <t>Indicele Volumului Negativ</t>
  </si>
  <si>
    <t>Индекс отрицательного объема</t>
  </si>
  <si>
    <t>Index záporného objemu</t>
  </si>
  <si>
    <t>Indeks negativne prostornine</t>
  </si>
  <si>
    <t>Negativt volymindex</t>
  </si>
  <si>
    <t>ดัชนีปริมาณหุ้นติดลบ</t>
  </si>
  <si>
    <t>Negatif Hacim İndeksi</t>
  </si>
  <si>
    <t>Chỉ số khối lượng âm</t>
  </si>
  <si>
    <t>负积指数（NVI）</t>
  </si>
  <si>
    <t>&gt;負積指數(NVI)</t>
  </si>
  <si>
    <t>abort_registration_procedure</t>
  </si>
  <si>
    <t>Are you sure you want to abort the registration procedure?</t>
  </si>
  <si>
    <t>Наистина ли искате да прекратите процеса на регистрация?</t>
  </si>
  <si>
    <t>Bist du sicher, dass du den Registrierungsprozess abbrechen willst?</t>
  </si>
  <si>
    <t>¿Estás seguro de que quieres abortar el proceso de registro?</t>
  </si>
  <si>
    <t>Êtes-vous sûr de vouloir abandonner la procédure d\'inscription?</t>
  </si>
  <si>
    <t>Seguro que quere cancelar o proceso de rexistro?</t>
  </si>
  <si>
    <t>Biztosan meg akarja szakítani a regisztrációs folyamatot?</t>
  </si>
  <si>
    <t>Sei sicuro di voler annullare la procedura di registrazione?</t>
  </si>
  <si>
    <t>Weet je zeker dat je de registratieprocedure wilt stopzetten?</t>
  </si>
  <si>
    <t>Czy na pewno chcesz przerwać procedurę rejestracji?</t>
  </si>
  <si>
    <t>tt_indicator_type17</t>
  </si>
  <si>
    <t>Money Flow Index</t>
  </si>
  <si>
    <t>مؤشر تدفق المال</t>
  </si>
  <si>
    <t>Индекс на паричния поток</t>
  </si>
  <si>
    <t>Index peněžních toků</t>
  </si>
  <si>
    <t>Pengeflowindeks</t>
  </si>
  <si>
    <t>Δείκτης ροής χρημάτων</t>
  </si>
  <si>
    <t>Rahavirtaindeksi</t>
  </si>
  <si>
    <t>पूंजी प्रवाह सूचकांक</t>
  </si>
  <si>
    <t>Indeks Aliran Uang</t>
  </si>
  <si>
    <t>資金移動指数</t>
  </si>
  <si>
    <t>자금흐름지표</t>
  </si>
  <si>
    <t>Indeks Aliran Wang</t>
  </si>
  <si>
    <t>Pengeflytsindeks</t>
  </si>
  <si>
    <t>Indeks przepływu pieniędzy</t>
  </si>
  <si>
    <t>índice de fluxo de dinheiro</t>
  </si>
  <si>
    <t>Indicele Fluxului de Bani</t>
  </si>
  <si>
    <t>Индекс денежного потока</t>
  </si>
  <si>
    <t>Index peňažných tokov</t>
  </si>
  <si>
    <t>Indeks denarnega toka</t>
  </si>
  <si>
    <t>Pengaflödeindex</t>
  </si>
  <si>
    <t>ดัชนีเงินหมุนเวียน</t>
  </si>
  <si>
    <t>Para Akışı İndeksi</t>
  </si>
  <si>
    <t>Chỉ số dòng tiền</t>
  </si>
  <si>
    <t>资金流量指标</t>
  </si>
  <si>
    <t>&gt;資金流量指標</t>
  </si>
  <si>
    <t>tt_indicator_type16</t>
  </si>
  <si>
    <t>Lowest Low</t>
  </si>
  <si>
    <t>أدنى انخفاض</t>
  </si>
  <si>
    <t>Най-ниска стойност</t>
  </si>
  <si>
    <t>Nejnižší Nízká</t>
  </si>
  <si>
    <t>Laveste Lav</t>
  </si>
  <si>
    <t>Χαμηλότερο Χαμηλό</t>
  </si>
  <si>
    <t>Mínimo más bajo</t>
  </si>
  <si>
    <t>Alin</t>
  </si>
  <si>
    <t>निम्नतम कम</t>
  </si>
  <si>
    <t>Rendah Terendah</t>
  </si>
  <si>
    <t>最低価格</t>
  </si>
  <si>
    <t>최저</t>
  </si>
  <si>
    <t>Laagste low</t>
  </si>
  <si>
    <t>Laveste lav</t>
  </si>
  <si>
    <t>Najniższe dno</t>
  </si>
  <si>
    <t>Mínimo mais baixo</t>
  </si>
  <si>
    <t>Cel Mai Scăzut Nivel Scăzut</t>
  </si>
  <si>
    <t>Самый низкий минимум</t>
  </si>
  <si>
    <t>Najnižšia nízka</t>
  </si>
  <si>
    <t>Najnižja nizka vrednost</t>
  </si>
  <si>
    <t>Lägsta låga</t>
  </si>
  <si>
    <t>จุดต่ำสุดที่เกิดขึ้น</t>
  </si>
  <si>
    <t>En düşük düşük</t>
  </si>
  <si>
    <t>Đáy thấp nhất</t>
  </si>
  <si>
    <t>最低价</t>
  </si>
  <si>
    <t>&gt;最低價</t>
  </si>
  <si>
    <t>no_role</t>
  </si>
  <si>
    <t>Hors ligne</t>
  </si>
  <si>
    <t>tt_favorites</t>
  </si>
  <si>
    <t>Favorites</t>
  </si>
  <si>
    <t>المفضلة</t>
  </si>
  <si>
    <t>Любими</t>
  </si>
  <si>
    <t>Oblíbené</t>
  </si>
  <si>
    <t>Foretrukne</t>
  </si>
  <si>
    <t>Favoriten</t>
  </si>
  <si>
    <t>Αγαπημένα</t>
  </si>
  <si>
    <t>Favoritos</t>
  </si>
  <si>
    <t>Suosikit</t>
  </si>
  <si>
    <t>Favoris</t>
  </si>
  <si>
    <t>पसंदीदा</t>
  </si>
  <si>
    <t>Kedvencek</t>
  </si>
  <si>
    <t>Favorit</t>
  </si>
  <si>
    <t>Preferiti</t>
  </si>
  <si>
    <t>즐겨찾기</t>
  </si>
  <si>
    <t>Kegemaran</t>
  </si>
  <si>
    <t>Favorieten</t>
  </si>
  <si>
    <t>Favoritter</t>
  </si>
  <si>
    <t>Ulubione</t>
  </si>
  <si>
    <t>Favorite</t>
  </si>
  <si>
    <t>Избранное</t>
  </si>
  <si>
    <t>Obľúbené</t>
  </si>
  <si>
    <t>Priljubljene</t>
  </si>
  <si>
    <t>Favoriti</t>
  </si>
  <si>
    <t>Favoriter</t>
  </si>
  <si>
    <t>รายการโปรด</t>
  </si>
  <si>
    <t>Favoriler</t>
  </si>
  <si>
    <t>Yêu thích</t>
  </si>
  <si>
    <t>我的最爱</t>
  </si>
  <si>
    <t>&gt;我的最愛</t>
  </si>
  <si>
    <t>tt_indicator_type15</t>
  </si>
  <si>
    <t>Ichimoku Kinko Hyo</t>
  </si>
  <si>
    <t>إيشيموكو كينكو هيو</t>
  </si>
  <si>
    <t>Индикатор Ишимоку</t>
  </si>
  <si>
    <t>इचिमोकू किंक्यो हयो</t>
  </si>
  <si>
    <t>一目均衡表</t>
  </si>
  <si>
    <t>일목균형표</t>
  </si>
  <si>
    <t>一目均衡表（IKH）</t>
  </si>
  <si>
    <t>&gt;一目均衡表(IKH)</t>
  </si>
  <si>
    <t>tt_mail_info_question_feedback_body</t>
  </si>
  <si>
    <t>&gt;</t>
  </si>
  <si>
    <t>tt_indicator_type14</t>
  </si>
  <si>
    <t>Highest high</t>
  </si>
  <si>
    <t>أعلى ارتفاع</t>
  </si>
  <si>
    <t>Най-висока стойност</t>
  </si>
  <si>
    <t>Nejvyšší vysoká</t>
  </si>
  <si>
    <t>Højeste høj</t>
  </si>
  <si>
    <t>Υψηλότερο υψηλό</t>
  </si>
  <si>
    <t>Máximo más alto</t>
  </si>
  <si>
    <t>Korkein</t>
  </si>
  <si>
    <t>Highest High</t>
  </si>
  <si>
    <t>उच्चतम उच्च</t>
  </si>
  <si>
    <t>Tinggi tertinggi</t>
  </si>
  <si>
    <t>最高価格</t>
  </si>
  <si>
    <t>최고</t>
  </si>
  <si>
    <t>Hoogste high</t>
  </si>
  <si>
    <t>Høyest høy</t>
  </si>
  <si>
    <t>Najwyższy szczyt</t>
  </si>
  <si>
    <t>Máximo mais alto</t>
  </si>
  <si>
    <t>Cel Mai Ridicat Nivel Ridicat</t>
  </si>
  <si>
    <t>Самый высокий максимум</t>
  </si>
  <si>
    <t>Najvyššia vysoká</t>
  </si>
  <si>
    <t>Najvišja visoka vrednost</t>
  </si>
  <si>
    <t>Högsta höga</t>
  </si>
  <si>
    <t>จุดสูงสุดที่เกิดขึ้น</t>
  </si>
  <si>
    <t>En yüksek yüksek</t>
  </si>
  <si>
    <t>Đỉnh cao nhất</t>
  </si>
  <si>
    <t>最高价</t>
  </si>
  <si>
    <t>&gt;最高價</t>
  </si>
  <si>
    <t>search</t>
  </si>
  <si>
    <t>Search</t>
  </si>
  <si>
    <t>بحث</t>
  </si>
  <si>
    <t>Търсене</t>
  </si>
  <si>
    <t>Cerca</t>
  </si>
  <si>
    <t>Suchen</t>
  </si>
  <si>
    <t>Buscar</t>
  </si>
  <si>
    <t>Rechercher</t>
  </si>
  <si>
    <t>Keresés</t>
  </si>
  <si>
    <t>Cari</t>
  </si>
  <si>
    <t>検索</t>
  </si>
  <si>
    <t>검색</t>
  </si>
  <si>
    <t>Zoeken</t>
  </si>
  <si>
    <t>Szukaj</t>
  </si>
  <si>
    <t>Pesquisar</t>
  </si>
  <si>
    <t>Поиск</t>
  </si>
  <si>
    <t>Hľadať</t>
  </si>
  <si>
    <t>Тражи</t>
  </si>
  <si>
    <t>Sök</t>
  </si>
  <si>
    <t>Пошук</t>
  </si>
  <si>
    <t>Tìm kiếm</t>
  </si>
  <si>
    <t>查找</t>
  </si>
  <si>
    <t>tt_indicator_type13</t>
  </si>
  <si>
    <t>Envelopes</t>
  </si>
  <si>
    <t>المغلفات</t>
  </si>
  <si>
    <t>Пликове</t>
  </si>
  <si>
    <t>Obálky</t>
  </si>
  <si>
    <t>Kuverter</t>
  </si>
  <si>
    <t>Φάκελοι</t>
  </si>
  <si>
    <t>Kirjekuoret</t>
  </si>
  <si>
    <t>Enveloppes</t>
  </si>
  <si>
    <t>लिफ़ाफ़े</t>
  </si>
  <si>
    <t>Sampul Surat</t>
  </si>
  <si>
    <t>包絡線</t>
  </si>
  <si>
    <t>포락선</t>
  </si>
  <si>
    <t>Enveloppen</t>
  </si>
  <si>
    <t>Konvolutter</t>
  </si>
  <si>
    <t>Koperty</t>
  </si>
  <si>
    <t>Plicuri</t>
  </si>
  <si>
    <t>Огибающие</t>
  </si>
  <si>
    <t>Kuverte</t>
  </si>
  <si>
    <t>Kuvert</t>
  </si>
  <si>
    <t>กรอบการเคลื่อนที่ของราคา</t>
  </si>
  <si>
    <t>Zarflar</t>
  </si>
  <si>
    <t>Envelope</t>
  </si>
  <si>
    <t>信封</t>
  </si>
  <si>
    <t>&gt;信封</t>
  </si>
  <si>
    <t>tt_indicator_type12</t>
  </si>
  <si>
    <t>DM System</t>
  </si>
  <si>
    <t>نظام حركة الاتجاه</t>
  </si>
  <si>
    <t>DM система</t>
  </si>
  <si>
    <t>Systém DM</t>
  </si>
  <si>
    <t>DM-system</t>
  </si>
  <si>
    <t>Σύστημα DM</t>
  </si>
  <si>
    <t>DM-järjestelmä</t>
  </si>
  <si>
    <t>Système de mouvement directionnel</t>
  </si>
  <si>
    <t>डीएम प्रणाली</t>
  </si>
  <si>
    <t>Sistem DM</t>
  </si>
  <si>
    <t>DM ｼｽﾃﾑ</t>
  </si>
  <si>
    <t>DM 시스템</t>
  </si>
  <si>
    <t>DM system</t>
  </si>
  <si>
    <t>Sistema DMI</t>
  </si>
  <si>
    <t>DM Systém</t>
  </si>
  <si>
    <t>ระบบ DM</t>
  </si>
  <si>
    <t>YHİ Sistemi</t>
  </si>
  <si>
    <t>Hệ thống DM</t>
  </si>
  <si>
    <t>定向运动系统指标</t>
  </si>
  <si>
    <t>&gt;定向運動系統指標</t>
  </si>
  <si>
    <t>share_symbol</t>
  </si>
  <si>
    <t>Symbol</t>
  </si>
  <si>
    <t>Símbolo</t>
  </si>
  <si>
    <t>Symbole</t>
  </si>
  <si>
    <t>Szimbólum</t>
  </si>
  <si>
    <t>Символ</t>
  </si>
  <si>
    <t>Simbol</t>
  </si>
  <si>
    <t>tt_indicator_type11</t>
  </si>
  <si>
    <t>DMI</t>
  </si>
  <si>
    <t>مؤشر حركة الاتجاه</t>
  </si>
  <si>
    <t>DMI or Indicateur de mouvement directionnel</t>
  </si>
  <si>
    <t>डीएमआई</t>
  </si>
  <si>
    <t>Интерфейс управления рабочей областью</t>
  </si>
  <si>
    <t>YHİ</t>
  </si>
  <si>
    <t>动向指数（DMI）</t>
  </si>
  <si>
    <t>&gt;動向指數(DMI)</t>
  </si>
  <si>
    <t>japan</t>
  </si>
  <si>
    <t>Japan</t>
  </si>
  <si>
    <t>Japón</t>
  </si>
  <si>
    <t>Japon</t>
  </si>
  <si>
    <t>Япония</t>
  </si>
  <si>
    <t>tt_edgar_dividend_yield_long</t>
  </si>
  <si>
    <t>Dividendenrendite</t>
  </si>
  <si>
    <t>Dividend yield</t>
  </si>
  <si>
    <t>Dividendrendement</t>
  </si>
  <si>
    <t>Stopa dywidendy</t>
  </si>
  <si>
    <t>Rendimento do dividendo</t>
  </si>
  <si>
    <t>Divid. prinos</t>
  </si>
  <si>
    <t>股息率</t>
  </si>
  <si>
    <t>tt_indicator_type10</t>
  </si>
  <si>
    <t>Average True Range</t>
  </si>
  <si>
    <t>متوسط ​​المدى الحقيقي</t>
  </si>
  <si>
    <t>Среден истински диапазон</t>
  </si>
  <si>
    <t>Průměrný skutečný rozsah</t>
  </si>
  <si>
    <t>Gennemsnitlig ægte interval</t>
  </si>
  <si>
    <t>Μέσο πραγματικό εύρος</t>
  </si>
  <si>
    <t>औसत वास्तविक सीमा</t>
  </si>
  <si>
    <t>Jangkauan rata-rata sebenarnya</t>
  </si>
  <si>
    <t>ATR</t>
  </si>
  <si>
    <t>평균실제변폭</t>
  </si>
  <si>
    <t>Julat Benar Purata</t>
  </si>
  <si>
    <t>Gemiddelde True Range</t>
  </si>
  <si>
    <t>Gjennomsnittlig bevegelse</t>
  </si>
  <si>
    <t>Średni rzeczywisty zakres</t>
  </si>
  <si>
    <t>Média de Amplitude de Variação</t>
  </si>
  <si>
    <t>Interval Adevărat Mediu</t>
  </si>
  <si>
    <t>Средний истнинный интревал</t>
  </si>
  <si>
    <t>Priemerný skutočný rozsah</t>
  </si>
  <si>
    <t>Povprečni resnični obseg</t>
  </si>
  <si>
    <t>Genomsnittlig sann intervall</t>
  </si>
  <si>
    <t>ค่าเฉลี่ย True Range</t>
  </si>
  <si>
    <t>Ortalamalanın Gerçek Aralığı</t>
  </si>
  <si>
    <t>Phạm vi thực trung bình</t>
  </si>
  <si>
    <t>平均真实范围</t>
  </si>
  <si>
    <t>&gt;平均真實範圍</t>
  </si>
  <si>
    <t>bosnia_and_herzegovina</t>
  </si>
  <si>
    <t>Bosnia and Herzegovina</t>
  </si>
  <si>
    <t>Bosnien-Herzegowina</t>
  </si>
  <si>
    <t>Bosnia y Herzegovina</t>
  </si>
  <si>
    <t>Bosnie Herzégovine</t>
  </si>
  <si>
    <t>Босния и Герцеговина</t>
  </si>
  <si>
    <t>Bosna i Hercegovina</t>
  </si>
  <si>
    <t>account_status_regis_conflict</t>
  </si>
  <si>
    <t>Username already in use</t>
  </si>
  <si>
    <t>اسم المستخدم مستخدم من قبل</t>
  </si>
  <si>
    <t>Потребителското име е заето</t>
  </si>
  <si>
    <t>El nom d\'usuari ja està en ús</t>
  </si>
  <si>
    <t>Benutzername wird bereits verwendet</t>
  </si>
  <si>
    <t>El identificador ya está en uso</t>
  </si>
  <si>
    <t>O identificador xa está en uso</t>
  </si>
  <si>
    <t>Ez a felhasználónév már foglalt</t>
  </si>
  <si>
    <t>Username telah digunakan</t>
  </si>
  <si>
    <t>Nome utente già in uso</t>
  </si>
  <si>
    <t>ユーザー名はすでに使用されています</t>
  </si>
  <si>
    <t>사용자 이름이 이미 사용중입니다</t>
  </si>
  <si>
    <t>Gebruikersnaam is al in gebruik</t>
  </si>
  <si>
    <t>Nazwa jest już w użyciu</t>
  </si>
  <si>
    <t>O nome de utilizador já está em uso</t>
  </si>
  <si>
    <t>Имя пользователя уже используется</t>
  </si>
  <si>
    <t>Užívateľské meno už existuje</t>
  </si>
  <si>
    <t>Корисничко име је већ у употреби</t>
  </si>
  <si>
    <t>Användarnamn används redan</t>
  </si>
  <si>
    <t>Ім\'я користувача вже використовується</t>
  </si>
  <si>
    <t>Tên người dùng đã được sử dụng</t>
  </si>
  <si>
    <t>用戶名已存在</t>
  </si>
  <si>
    <t>application_found_to_open_website</t>
  </si>
  <si>
    <t>No application found to open website</t>
  </si>
  <si>
    <t>تعذر العثور على تطبيق يُمكنه فتح موقع الويب</t>
  </si>
  <si>
    <t>Няма намерено приложение за отваряне на уеб сайта</t>
  </si>
  <si>
    <t>No s\'ha trobat cap aplicació per obrir lloc web</t>
  </si>
  <si>
    <t>Keine Anwendung zum Öffnen der Website gefunden</t>
  </si>
  <si>
    <t>No se ha encontrado aplicación para abrir la página web</t>
  </si>
  <si>
    <t>Aucune application trouvée pour afficher le site web</t>
  </si>
  <si>
    <t>Non se atopou un aplicativo co cal abrir o sitio web</t>
  </si>
  <si>
    <t>Nem található alkalmazás a weboldal megnyitásához</t>
  </si>
  <si>
    <t>Nessuna applicazione trovata per aprire il sito</t>
  </si>
  <si>
    <t>Webサイトを開くアプリケーションが見つかりません</t>
  </si>
  <si>
    <t>Geen applicatie om website te openen</t>
  </si>
  <si>
    <t>Nie znaleziono aplikacji do otwarcia strony</t>
  </si>
  <si>
    <t>Не найдено приложений, чтобы открыть сайт</t>
  </si>
  <si>
    <t>Нема апликације за отварање вебсајта</t>
  </si>
  <si>
    <t>Не знайдено програми для перегляду сайту</t>
  </si>
  <si>
    <t>tt_destination</t>
  </si>
  <si>
    <t>Recipient</t>
  </si>
  <si>
    <t>المتلقي</t>
  </si>
  <si>
    <t>Получател</t>
  </si>
  <si>
    <t>Příjemce</t>
  </si>
  <si>
    <t>Modtager</t>
  </si>
  <si>
    <t>Empfänger</t>
  </si>
  <si>
    <t>Παραλήπτης</t>
  </si>
  <si>
    <t>Beneficiario</t>
  </si>
  <si>
    <t>Vastaanottaja</t>
  </si>
  <si>
    <t>Destinataire</t>
  </si>
  <si>
    <t>प्राप्तकर्ता</t>
  </si>
  <si>
    <t>Fogadó</t>
  </si>
  <si>
    <t>Penerima</t>
  </si>
  <si>
    <t>Destinatario</t>
  </si>
  <si>
    <t>受益者</t>
  </si>
  <si>
    <t>수신자</t>
  </si>
  <si>
    <t>Ontvanger</t>
  </si>
  <si>
    <t>Mottaker</t>
  </si>
  <si>
    <t>Odbiorca</t>
  </si>
  <si>
    <t>Beneficiário</t>
  </si>
  <si>
    <t>Destinatar</t>
  </si>
  <si>
    <t>Получатель (адресат)</t>
  </si>
  <si>
    <t>Príjemca</t>
  </si>
  <si>
    <t>Prejemnik</t>
  </si>
  <si>
    <t>Primalac</t>
  </si>
  <si>
    <t>Mottagare</t>
  </si>
  <si>
    <t>ผู้รับ</t>
  </si>
  <si>
    <t>Alıcı</t>
  </si>
  <si>
    <t>Người nhận</t>
  </si>
  <si>
    <t>收件人</t>
  </si>
  <si>
    <t>&gt;收件人</t>
  </si>
  <si>
    <t>symbol_detail_more_popup_text</t>
  </si>
  <si>
    <t>Select here to view other tabs and options!</t>
  </si>
  <si>
    <t>حدد هنا لعرض علامات التبويب والخيارات الأخرى!</t>
  </si>
  <si>
    <t>Изберете тук, за да видите други раздели и опции!</t>
  </si>
  <si>
    <t>Výběrem této položky zobrazíte další karty a možnosti!</t>
  </si>
  <si>
    <t>Vælg her for at se andre faner og indstillinger!</t>
  </si>
  <si>
    <t>Wählen Sie hier die Ansicht weiterer Tabs und Optionen!</t>
  </si>
  <si>
    <t>Επιλέξτε εδώ για να δείτε άλλες καρτέλες και επιλογές!</t>
  </si>
  <si>
    <t>¡Haga click aquí para ver otras secciones y opciones!</t>
  </si>
  <si>
    <t>Valitse tämä nähdäksesi muut välilehdet ja vaihtoehdot!</t>
  </si>
  <si>
    <t>Sélectionnez ici pour voir des autres onglets et options !</t>
  </si>
  <si>
    <t>अन्य टैबों और विकल्पों को देखने के लिए यहाँ क्लिक करें!</t>
  </si>
  <si>
    <t>Válassza ezt, hogy egyéb opciót láthasson.</t>
  </si>
  <si>
    <t>Pilih di sini untuk melihat tab dan pilihan lain!</t>
  </si>
  <si>
    <t>Seleziona qui per vedere altri opzioni!</t>
  </si>
  <si>
    <t>他のタブとオプションを表示するには、ここをクリックしてください！</t>
  </si>
  <si>
    <t>다른 탭 및 옵션을 보려면 여기를 선택하세요!</t>
  </si>
  <si>
    <t>Selecteer hier om andere tabbladen en opties te bekijken!</t>
  </si>
  <si>
    <t>Velg her for å se andre faner og alternativer!</t>
  </si>
  <si>
    <t>Kliknij aby widzieć inne zakładki i opcje.</t>
  </si>
  <si>
    <t>Selecione aqui para ver outros separadores e opções!</t>
  </si>
  <si>
    <t>Selectează aici pentru a vizualiza alte file și opțiuni!</t>
  </si>
  <si>
    <t>Нажмите здесь для просмотра других вкладок и функций!</t>
  </si>
  <si>
    <t>Kliknite tu a prezerajte si ďalšie karty a opcie!</t>
  </si>
  <si>
    <t>Izberite tukaj, če si želite ogledati druge zavihke in opcije!</t>
  </si>
  <si>
    <t>Klikni ovde da vidiš još tabova i opcija!</t>
  </si>
  <si>
    <t>Markera här för att se andra flikar och alternativ!</t>
  </si>
  <si>
    <t>เลือกดูแท็บและออปชันอื่นๆที่นี่!</t>
  </si>
  <si>
    <t>Diğer sekmeleri ve seçenekleri görmek için buraya tıklayın!</t>
  </si>
  <si>
    <t>Chọn ở đây để xem các thẻ và tùy chọn khác!</t>
  </si>
  <si>
    <t>点击这里为了看别的页和选项！</t>
  </si>
  <si>
    <t>please_enter_pin_below</t>
  </si>
  <si>
    <t>Please enter the 6 digit pin below.</t>
  </si>
  <si>
    <t>Моля, въведете 6-цифрения код по-долу.</t>
  </si>
  <si>
    <t>Gib bitte den 6-stellige PIN unten ein.</t>
  </si>
  <si>
    <t>Por favor, introduce el código de 6 dígitos abajo.</t>
  </si>
  <si>
    <t>Veuillez saisir ci-dessous le code PIN à 6 chiffres.</t>
  </si>
  <si>
    <t>Por favor, introduza o pin de 6 díxitos inferior.</t>
  </si>
  <si>
    <t>Kérjük adja meg az alábbi 6 számjegyű PIN-t.</t>
  </si>
  <si>
    <t>Inserisci il pin di 6 cifre qua sotto.</t>
  </si>
  <si>
    <t>Voer de 6-cijferige code hieronder in.</t>
  </si>
  <si>
    <t>Proszę wpisać 6-cyfrowy PIN poniżej.</t>
  </si>
  <si>
    <t>montserrat</t>
  </si>
  <si>
    <t>Montserrat</t>
  </si>
  <si>
    <t>Монсеррат</t>
  </si>
  <si>
    <t>Monserat</t>
  </si>
  <si>
    <t>error_channel_description</t>
  </si>
  <si>
    <t>This notification category is used to display a notification in case there is a problem connecting to an account.</t>
  </si>
  <si>
    <t>Тази категория известия се използва за показване на известие, в случай че има проблем със свързването с профил.</t>
  </si>
  <si>
    <t>Diese Benachrichtigungsart wird verwendet, um eine Benachrichtigung anzuzeigen, falls es ein Problem bei der Verbindung zu einem Konto gibt.</t>
  </si>
  <si>
    <t>Esta categoría de notificación se usa para mostrar una notificación en caso de que exista un problema conectándose a una cuenta.</t>
  </si>
  <si>
    <t>Cette catégorie de notification est utilisée pour afficher une notification lors d\'un problème de connexion avec un compte.</t>
  </si>
  <si>
    <t>Esta categoría de conexión utilízase para mostrar unha notificación en caso de que houbese un problema ao conectar a conta.</t>
  </si>
  <si>
    <t>Ez az értesítési kategória megjelenít egy értesítést, ha probléma merül fel a fiókhoz való kapcsolódással.</t>
  </si>
  <si>
    <t>Questa categoria di notifiche è usata per mostrare un notifica in caso si verifichi un problema nella connessione ad un account.</t>
  </si>
  <si>
    <t>Deze meldingscategorie wordt gebruikt om een melding weer te geven ingeval er een probleem is bij het verbinden met een account.</t>
  </si>
  <si>
    <t>Ta kategoria powiadomień jest używana aby wyświetlać powiadomienia oznaczające, że Conversations ma problemy z połączeniem.</t>
  </si>
  <si>
    <t>tt_option_type</t>
  </si>
  <si>
    <t>Option type</t>
  </si>
  <si>
    <t>نوع الخيار</t>
  </si>
  <si>
    <t>Тип опция</t>
  </si>
  <si>
    <t>Typ volby</t>
  </si>
  <si>
    <t>Mulighedstype</t>
  </si>
  <si>
    <t>Optionsart</t>
  </si>
  <si>
    <t>Τύπος επιλογής</t>
  </si>
  <si>
    <t>Tipo de opción</t>
  </si>
  <si>
    <t>Optiotyyppi</t>
  </si>
  <si>
    <t>Type d\'option</t>
  </si>
  <si>
    <t>विकल्प का प्रकार</t>
  </si>
  <si>
    <t>Opció típus</t>
  </si>
  <si>
    <t>Jenis pilihan</t>
  </si>
  <si>
    <t>Tipo di opzione</t>
  </si>
  <si>
    <t>옵션 유형</t>
  </si>
  <si>
    <t>Optietype</t>
  </si>
  <si>
    <t>Alternativtype</t>
  </si>
  <si>
    <t>Tipo de opção</t>
  </si>
  <si>
    <t>Tip de opțiune</t>
  </si>
  <si>
    <t>Тип опции</t>
  </si>
  <si>
    <t>Typ opcie</t>
  </si>
  <si>
    <t>Vrsta opcij</t>
  </si>
  <si>
    <t>Alternativtyp</t>
  </si>
  <si>
    <t>ประเภทออปชัน</t>
  </si>
  <si>
    <t>Opsiyon türü</t>
  </si>
  <si>
    <t>Loại quyền chọn</t>
  </si>
  <si>
    <t>期权类型</t>
  </si>
  <si>
    <t>pref_picture_compression_summary</t>
  </si>
  <si>
    <t>Resize and compress images</t>
  </si>
  <si>
    <t>Преоразмеряване и компресиране на изображенията</t>
  </si>
  <si>
    <t>Redimensionar i comprimir imatges</t>
  </si>
  <si>
    <t>Bildgröße ändern und komprimieren</t>
  </si>
  <si>
    <t>Redimensionar y comprimir las imágenes</t>
  </si>
  <si>
    <t>Redimensionner et compresser les images</t>
  </si>
  <si>
    <t>Escalar e comprimir imaxes</t>
  </si>
  <si>
    <t>Átméretezi és tömöríti a képeket</t>
  </si>
  <si>
    <t>Ridimensiona e comprimi le immagini</t>
  </si>
  <si>
    <t>Afbeeldingen verkleinen en comprimeren</t>
  </si>
  <si>
    <t>Zmień rozmiar i kompresuj obrazki</t>
  </si>
  <si>
    <t>define_how_to_update_thicker_data</t>
  </si>
  <si>
    <t>Define how to update Ticker data</t>
  </si>
  <si>
    <t>تحديد كيفية تحديث بيانات شريط التداول</t>
  </si>
  <si>
    <t>Определете как да актуализирате данните за Тикер</t>
  </si>
  <si>
    <t>Definovat, jak aktualizovat data tickeru</t>
  </si>
  <si>
    <t>Definer, hvordan du opdaterer Ticker-data</t>
  </si>
  <si>
    <t>Datenupdates für Ticker einrichten</t>
  </si>
  <si>
    <t>Ορίστε τον τρόπο ενημέρωσης των δεδομένων Ticker</t>
  </si>
  <si>
    <t>Definir cómo actualizar los datos de Ticker</t>
  </si>
  <si>
    <t>Määritä, kuinka päivität tikkerin tiedot</t>
  </si>
  <si>
    <t>Définir comment réactuliser les données de symbole</t>
  </si>
  <si>
    <t>टिकर डेटा अपडेट करने के तरीके को निश्चित करें</t>
  </si>
  <si>
    <t>Ticker adat frissítés</t>
  </si>
  <si>
    <t>Tentukan cara untuk memperbarui data teller</t>
  </si>
  <si>
    <t>Definisci come aggiornare il dati scorrevoli</t>
  </si>
  <si>
    <t>ティッカーデータのアップデート方法を決定する</t>
  </si>
  <si>
    <t>티커 데이터를 업데이트하는 방법 설정</t>
  </si>
  <si>
    <t>Tentukan cara untuk mengemas kini data Pengira</t>
  </si>
  <si>
    <t>Bepaal hoe u Ticker-gegevens bijwerkt</t>
  </si>
  <si>
    <t>Definer hvordan du skal oppdatere ticker-data</t>
  </si>
  <si>
    <t>Wskaż jak aktualizować dane tickera</t>
  </si>
  <si>
    <t>Definir como atualizar dados Ticker</t>
  </si>
  <si>
    <t>Definește modul de actualizare a datelor Telegrafului</t>
  </si>
  <si>
    <t>Задать способ обновления данных тикера</t>
  </si>
  <si>
    <t>Určite, ako aktualizovať údaje tickera</t>
  </si>
  <si>
    <t>Določite, kako posodobiti podatke o Tickerju</t>
  </si>
  <si>
    <t>Kako ažurirati podatke</t>
  </si>
  <si>
    <t>Definiera hur du ska uppdatera Ticker-data</t>
  </si>
  <si>
    <t>กำหนดวิธีอัปเดตข้อมูล Ticker</t>
  </si>
  <si>
    <t>Takip Ekranının nasıl güncelleneceğini tanımlayın</t>
  </si>
  <si>
    <t>Xác định cách cập nhật dữ liệu Ticker</t>
  </si>
  <si>
    <t>选择如何更新屏幕显示数据</t>
  </si>
  <si>
    <t>aspic3_top</t>
  </si>
  <si>
    <t>Графики - Подробни графики и технически анализи</t>
  </si>
  <si>
    <t>Grafy - Pokročilé mapování a technická analýza</t>
  </si>
  <si>
    <t>Diagrammer - Avancerede diagrammer og teknisk analyse</t>
  </si>
  <si>
    <t>Γραφήματα - Προηγμένη χαρτογράφηση &amp; Τεχνική Ανάλυση</t>
  </si>
  <si>
    <t>Kaaviot - edistyneet kaaviot ja tekninen analyysi</t>
  </si>
  <si>
    <t>Diagrammer – Avansert kartlegging og teknisk analyse</t>
  </si>
  <si>
    <t>Grafy - Pokročilé grafy a technická analýza</t>
  </si>
  <si>
    <t>Grafikoni - Napredni grafikoni in tehnična analiza</t>
  </si>
  <si>
    <t>tt_marketoverview</t>
  </si>
  <si>
    <t>Market Overview</t>
  </si>
  <si>
    <t>نظرة عامة على السوق</t>
  </si>
  <si>
    <t>Преглед на пазара</t>
  </si>
  <si>
    <t>Přehled trhu</t>
  </si>
  <si>
    <t>Markedsoversigt</t>
  </si>
  <si>
    <t>Marktübersicht</t>
  </si>
  <si>
    <t>Επισκόπηση της αγοράς</t>
  </si>
  <si>
    <t>Visión general del mercado</t>
  </si>
  <si>
    <t>Markkinakatsaus</t>
  </si>
  <si>
    <t>बाजार विहंगावलोकन</t>
  </si>
  <si>
    <t>Piaci áttekintés</t>
  </si>
  <si>
    <t>Ikhtisar Pasar</t>
  </si>
  <si>
    <t>Panoramica del Mercato</t>
  </si>
  <si>
    <t>主な市況</t>
  </si>
  <si>
    <t>시장 개요</t>
  </si>
  <si>
    <t>Gambaran Keseluruhan Pasaran</t>
  </si>
  <si>
    <t>Marktoverzicht</t>
  </si>
  <si>
    <t>Markedsoversikt</t>
  </si>
  <si>
    <t>Przegląd rynku</t>
  </si>
  <si>
    <t>Resumo do mercado</t>
  </si>
  <si>
    <t>Prezentare Generala a Pieței</t>
  </si>
  <si>
    <t>Обзор рынка</t>
  </si>
  <si>
    <t>Prehľad trhu</t>
  </si>
  <si>
    <t>Pregled trga</t>
  </si>
  <si>
    <t>Pregled tržišta</t>
  </si>
  <si>
    <t>Marknadsöversikt</t>
  </si>
  <si>
    <t>ภาพรวมตลาด</t>
  </si>
  <si>
    <t>Piyasaya Genel Bakış</t>
  </si>
  <si>
    <t>Tổng quan thị trường</t>
  </si>
  <si>
    <t>市场概览</t>
  </si>
  <si>
    <t>&gt;市場概覽</t>
  </si>
  <si>
    <t>title_pref_enable_quiet_hours</t>
  </si>
  <si>
    <t>Enable quiet hours</t>
  </si>
  <si>
    <t>تفعيل ساعات السكون</t>
  </si>
  <si>
    <t>Включване на тихите часове</t>
  </si>
  <si>
    <t>Habilitar hores de silenci</t>
  </si>
  <si>
    <t>Ruhige Stunden aktivieren</t>
  </si>
  <si>
    <t>Habilitar horario de silencio</t>
  </si>
  <si>
    <t>Activer les heures tranquilles</t>
  </si>
  <si>
    <t>Establecer horario sen notificacións</t>
  </si>
  <si>
    <t>Csöndes órák engedélyezése</t>
  </si>
  <si>
    <t>Aktifkan waktu sunyi</t>
  </si>
  <si>
    <t>Attiva ore di quiete</t>
  </si>
  <si>
    <t>消音時間を有効にする</t>
  </si>
  <si>
    <t>무음 시간대 사용</t>
  </si>
  <si>
    <t>Stille uren inschakelen</t>
  </si>
  <si>
    <t>Włącz godziny ciszy</t>
  </si>
  <si>
    <t>Ativar horas de tranquilidade</t>
  </si>
  <si>
    <t>Включить режим «тихих часов»</t>
  </si>
  <si>
    <t>Povoliť tichý režim</t>
  </si>
  <si>
    <t>Укључи тихе сате</t>
  </si>
  <si>
    <t>Aktivera tysta timmar</t>
  </si>
  <si>
    <t>Задіяти години тиші</t>
  </si>
  <si>
    <t>Bật giờ yên lặng</t>
  </si>
  <si>
    <t>啟用靜默時間段</t>
  </si>
  <si>
    <t>online_right_now</t>
  </si>
  <si>
    <t>online right now</t>
  </si>
  <si>
    <t>على الهواء الآن</t>
  </si>
  <si>
    <t>на линия в момента</t>
  </si>
  <si>
    <t>en línia ara mateix</t>
  </si>
  <si>
    <t>aktuell online</t>
  </si>
  <si>
    <t>Conectado ahora mismo</t>
  </si>
  <si>
    <t>En ligne actuellement</t>
  </si>
  <si>
    <t>En liña neste momento</t>
  </si>
  <si>
    <t>Jelenleg elérhető</t>
  </si>
  <si>
    <t>in linea adesso</t>
  </si>
  <si>
    <t>今すぐオンライン</t>
  </si>
  <si>
    <t>nu online</t>
  </si>
  <si>
    <t>online w tej chwili</t>
  </si>
  <si>
    <t>сейчас онлайн</t>
  </si>
  <si>
    <t>на вези сада</t>
  </si>
  <si>
    <t>online just nu</t>
  </si>
  <si>
    <t>у мережі просто зараз</t>
  </si>
  <si>
    <t>剛剛上線了</t>
  </si>
  <si>
    <t>tt_ind_average_directional_index_short</t>
  </si>
  <si>
    <t>Μέσος κατευθυντικός δείκτης</t>
  </si>
  <si>
    <t>Средний индекс направленного движения</t>
  </si>
  <si>
    <t>平均动向指标（ADX）</t>
  </si>
  <si>
    <t>&gt;平均動向指標(ADX)</t>
  </si>
  <si>
    <t>ok_or_edit_phone_number</t>
  </si>
  <si>
    <t>Is this OK, or would you like to edit the number?</t>
  </si>
  <si>
    <t>Ist das OK, oder möchten Sie die Nummer bearbeiten?</t>
  </si>
  <si>
    <t>¿Es correcto, o le gustaría editar el número?</t>
  </si>
  <si>
    <t>Est-ce correct, ou voulez-vous modifier votre numéro de telephone?</t>
  </si>
  <si>
    <t>Rendben van, vagy szeretné módosítani a telefonszámot?</t>
  </si>
  <si>
    <t>Вы согласны, или бы Вы хотели изменить номер?</t>
  </si>
  <si>
    <t>Da li je u redu, ili bi ste da izmenite telefonski broj?</t>
  </si>
  <si>
    <t>tt_break_even</t>
  </si>
  <si>
    <t>Break-even</t>
  </si>
  <si>
    <t>نقطة التعادل</t>
  </si>
  <si>
    <t>На нулата</t>
  </si>
  <si>
    <t>Rozdělení-rovné</t>
  </si>
  <si>
    <t>Breakeven</t>
  </si>
  <si>
    <t>Νεκρό σημείο</t>
  </si>
  <si>
    <t>Punto de equilibrio</t>
  </si>
  <si>
    <t>Nollatulos</t>
  </si>
  <si>
    <t>Rentabilité</t>
  </si>
  <si>
    <t>हानिरहित व्यापार करें/ब्रेक - ईवन</t>
  </si>
  <si>
    <t>Fedezeti pont</t>
  </si>
  <si>
    <t>Pengembalian Modal</t>
  </si>
  <si>
    <t>Pareggio</t>
  </si>
  <si>
    <t>ブレーク・イーブン</t>
  </si>
  <si>
    <t>손익분기점</t>
  </si>
  <si>
    <t>Pulang Modal</t>
  </si>
  <si>
    <t>Nullpunkt</t>
  </si>
  <si>
    <t>Ponto de rentabilidade</t>
  </si>
  <si>
    <t>Pragul de Rentabilitate</t>
  </si>
  <si>
    <t>Точка безубыточности</t>
  </si>
  <si>
    <t>Vyrovnaný</t>
  </si>
  <si>
    <t>Enakomerno</t>
  </si>
  <si>
    <t>Ni gubitak ni dobitak</t>
  </si>
  <si>
    <t>Gå jämt upp</t>
  </si>
  <si>
    <t>จุดคุ้มทุน</t>
  </si>
  <si>
    <t>Başa baş</t>
  </si>
  <si>
    <t>Hòa vốn</t>
  </si>
  <si>
    <t>收支平衡</t>
  </si>
  <si>
    <t>pref_dnd_on_silent_mode</t>
  </si>
  <si>
    <t>“Do not disturb” in silent mode</t>
  </si>
  <si>
    <t>\"لا تزعجني\" في وضع السكوت</t>
  </si>
  <si>
    <t>„Отпочиващ“ в тих режим</t>
  </si>
  <si>
    <t>\"No molesteu\" en modo silenciós</t>
  </si>
  <si>
    <t>\"Bitte nicht stören\" bei Stummschaltung</t>
  </si>
  <si>
    <t>\"No molestar\" en modo silencio</t>
  </si>
  <si>
    <t>Indisponible en mode silencieux</t>
  </si>
  <si>
    <t>\"Non molestar\" en modo silencioso</t>
  </si>
  <si>
    <t>\"Ne zavarjon\" csöndes módban</t>
  </si>
  <si>
    <t>\"Non disturbare\" in modalità silenziosa</t>
  </si>
  <si>
    <t>サイレントモード時 “邪魔しないで”</t>
  </si>
  <si>
    <t>“Niet storen” in stille modus</t>
  </si>
  <si>
    <t>\"Nie przeszkadzać\" w trybie cichym</t>
  </si>
  <si>
    <t>\"Não incomodar\" em modo silencioso</t>
  </si>
  <si>
    <t>\"Не беспокоить\" в беззвучном режиме</t>
  </si>
  <si>
    <t>„Не ометај“ у нечујном режиму</t>
  </si>
  <si>
    <t>\"Не турбувати\" в режимі тиші</t>
  </si>
  <si>
    <t>omemo_decryption_failed</t>
  </si>
  <si>
    <t>Failed to decrypt OMEMO message.</t>
  </si>
  <si>
    <t>Съобщението OMEMO не може да бъде дешифровано.</t>
  </si>
  <si>
    <t>Die OMEMO-Nachricht konnte nicht entschlüsselt werden.</t>
  </si>
  <si>
    <t>Error al descifrar el mensaje cifrado con OMEMO.</t>
  </si>
  <si>
    <t>Fallo ao descifrar a mensaxe OMEMO</t>
  </si>
  <si>
    <t>Decifrazione del messaggio OMEMO fallita.</t>
  </si>
  <si>
    <t>Kan OMEMO-bericht niet ontsleutelen.</t>
  </si>
  <si>
    <t>Błąd odszyfrowywania wiadomości OMEMO.</t>
  </si>
  <si>
    <t>account_status_unknown</t>
  </si>
  <si>
    <t>Unknown</t>
  </si>
  <si>
    <t>غير معروف</t>
  </si>
  <si>
    <t>Непознат</t>
  </si>
  <si>
    <t>Desconegut</t>
  </si>
  <si>
    <t>Unbekannt</t>
  </si>
  <si>
    <t>Desconocido</t>
  </si>
  <si>
    <t>Inconnu</t>
  </si>
  <si>
    <t>Descoñecido</t>
  </si>
  <si>
    <t>Nem ismert</t>
  </si>
  <si>
    <t>Tidak diketahui</t>
  </si>
  <si>
    <t>Sconosciuto</t>
  </si>
  <si>
    <t>不明</t>
  </si>
  <si>
    <t>알 수 없음</t>
  </si>
  <si>
    <t>Onbekend</t>
  </si>
  <si>
    <t>Nieznany</t>
  </si>
  <si>
    <t>Desconhecido</t>
  </si>
  <si>
    <t>Неизвестен</t>
  </si>
  <si>
    <t>Neznámy</t>
  </si>
  <si>
    <t>Непознато</t>
  </si>
  <si>
    <t>Okänd</t>
  </si>
  <si>
    <t>Невідомо</t>
  </si>
  <si>
    <t>Không rõ</t>
  </si>
  <si>
    <t>未知</t>
  </si>
  <si>
    <t>belize</t>
  </si>
  <si>
    <t>Belize</t>
  </si>
  <si>
    <t>Белиз</t>
  </si>
  <si>
    <t>tt_ohlc</t>
  </si>
  <si>
    <t>OHLC</t>
  </si>
  <si>
    <t>ओएचएलसी</t>
  </si>
  <si>
    <t>Gráfico OHLC</t>
  </si>
  <si>
    <t>Столбчатая диаграмма</t>
  </si>
  <si>
    <t>Izaberite šablon</t>
  </si>
  <si>
    <t>OHLC图</t>
  </si>
  <si>
    <t>&gt;OHLC圖</t>
  </si>
  <si>
    <t>add_comment</t>
  </si>
  <si>
    <t>Add comment</t>
  </si>
  <si>
    <t>إضافة تعليق</t>
  </si>
  <si>
    <t>Добави коментар</t>
  </si>
  <si>
    <t>Přidat komentář</t>
  </si>
  <si>
    <t>Tilføj kommentar</t>
  </si>
  <si>
    <t>Kommentar hinzufügen</t>
  </si>
  <si>
    <t>Προσθήκη σχολίου</t>
  </si>
  <si>
    <t>Agregar comentario</t>
  </si>
  <si>
    <t>Lisää kommentti</t>
  </si>
  <si>
    <t>Ajouter un commentaire</t>
  </si>
  <si>
    <t>टिप्पणी जोड़ें</t>
  </si>
  <si>
    <t>Megjegyzés hozzáadása</t>
  </si>
  <si>
    <t>Menambah komentar</t>
  </si>
  <si>
    <t>Aggiungi commento</t>
  </si>
  <si>
    <t>הוסף תגובה</t>
  </si>
  <si>
    <t>コメント追加</t>
  </si>
  <si>
    <t>코멘트 추가</t>
  </si>
  <si>
    <t>Tambah komen</t>
  </si>
  <si>
    <t>Opmerking toevoegen</t>
  </si>
  <si>
    <t>Legg til en kommentar</t>
  </si>
  <si>
    <t>Dodaj komentarz</t>
  </si>
  <si>
    <t>Adicionar comentário</t>
  </si>
  <si>
    <t>Adaugă comentariul</t>
  </si>
  <si>
    <t>Pridať komentár</t>
  </si>
  <si>
    <t>Dodaj komentar</t>
  </si>
  <si>
    <t>Lägg till kommentar</t>
  </si>
  <si>
    <t>เพิ่มความคิดเห็น</t>
  </si>
  <si>
    <t>Yorum ekle</t>
  </si>
  <si>
    <t>Thêm bình luận</t>
  </si>
  <si>
    <t>添加评论</t>
  </si>
  <si>
    <t>toast_message_omemo_fingerprint</t>
  </si>
  <si>
    <t>OMEMO fingerprint copied to clipboard!</t>
  </si>
  <si>
    <t>تم نسخ بصمة OMEMO إلى الحافظة !</t>
  </si>
  <si>
    <t>Отпечатъкът OMEMO е копиран!</t>
  </si>
  <si>
    <t>S\'ha copiat l\'empremta digital d\'OMEMO al porta-retalls.</t>
  </si>
  <si>
    <t>OMEMO-Fingerabdruck in die Zwischenablage kopiert!</t>
  </si>
  <si>
    <t>¡Huella digital OMEMO copiada al portapapeles!</t>
  </si>
  <si>
    <t>Empreinte OMEMO copiée dans le presse-papier !</t>
  </si>
  <si>
    <t>Copiouse a pegada dixital OMEMO ao portapapeis!</t>
  </si>
  <si>
    <t>Az OMEMO ujjlenyomat vágólapra lett másolva!</t>
  </si>
  <si>
    <t>impronta OMEMO copiata negli appunti|</t>
  </si>
  <si>
    <t>OMEMO フィンガープリントをクリップボードにコピーしました!</t>
  </si>
  <si>
    <t>OMEMO 핑거프린트가 클립보드에 복사되었습니다</t>
  </si>
  <si>
    <t>OMEMO-vingerafdruk gekopieerd naar klembord!</t>
  </si>
  <si>
    <t>Odcisk klucza OMEMO został skopiowany do schowka!</t>
  </si>
  <si>
    <t>Impressão digital OMEMO copiada para a área de transferência!</t>
  </si>
  <si>
    <t>OMEMO отпечаток скопирован в буфер обмена!</t>
  </si>
  <si>
    <t>ОМЕМО отисак копиран на клипборд!</t>
  </si>
  <si>
    <t>OMEMO-fingeravtryck har kopierats till urklipp!</t>
  </si>
  <si>
    <t>Відбиток OMEMO скопійовано до комірки обміну!</t>
  </si>
  <si>
    <t>Đã chép dấu vân tay OMEMO vào clipboard!</t>
  </si>
  <si>
    <t>OMEMO 指紋已拷貝到剪貼板！</t>
  </si>
  <si>
    <t>account</t>
  </si>
  <si>
    <t>ACCOUNT</t>
  </si>
  <si>
    <t>الحساب</t>
  </si>
  <si>
    <t>СМЕТКА</t>
  </si>
  <si>
    <t>ÚČET</t>
  </si>
  <si>
    <t>KONTO</t>
  </si>
  <si>
    <t>Benutzerzugang</t>
  </si>
  <si>
    <t>ΛΟΓΑΡΙΑΣΜΟΣ</t>
  </si>
  <si>
    <t>CUENTA</t>
  </si>
  <si>
    <t>TILI</t>
  </si>
  <si>
    <t>COMPTE</t>
  </si>
  <si>
    <t>खाता</t>
  </si>
  <si>
    <t>Fiók</t>
  </si>
  <si>
    <t>AKUN</t>
  </si>
  <si>
    <t>חשבון</t>
  </si>
  <si>
    <t>アカウント</t>
  </si>
  <si>
    <t>AKAUN</t>
  </si>
  <si>
    <t>Account</t>
  </si>
  <si>
    <t>CONTA</t>
  </si>
  <si>
    <t>CONT</t>
  </si>
  <si>
    <t>АККАУНТ</t>
  </si>
  <si>
    <t>RAČUN</t>
  </si>
  <si>
    <t>NALOG</t>
  </si>
  <si>
    <t>บัญชีผู้ใช้</t>
  </si>
  <si>
    <t>HESAP</t>
  </si>
  <si>
    <t>TÀI KHOẢN</t>
  </si>
  <si>
    <t>帐户</t>
  </si>
  <si>
    <t>action_unfix_from_location</t>
  </si>
  <si>
    <t>Unfix position</t>
  </si>
  <si>
    <t>Разфиксиране на позицията</t>
  </si>
  <si>
    <t>Posició no fixada</t>
  </si>
  <si>
    <t>Position lösen</t>
  </si>
  <si>
    <t>Desfijar posición</t>
  </si>
  <si>
    <t>Débloquer la position</t>
  </si>
  <si>
    <t>Soltar posición</t>
  </si>
  <si>
    <t>Pozíció feloldása</t>
  </si>
  <si>
    <t>Sblocca la posizione</t>
  </si>
  <si>
    <t>位置を固定しない</t>
  </si>
  <si>
    <t>Positie ontgrendelen</t>
  </si>
  <si>
    <t>Odblokuj pozycję</t>
  </si>
  <si>
    <t>tt_last_trading_day</t>
  </si>
  <si>
    <t>Last trading day</t>
  </si>
  <si>
    <t>آخر يوم تداول</t>
  </si>
  <si>
    <t>Последен ден за търговия</t>
  </si>
  <si>
    <t>Poslední obchodovací den</t>
  </si>
  <si>
    <t>Sidste handelsdag</t>
  </si>
  <si>
    <t>Letzter Handelstag</t>
  </si>
  <si>
    <t>Τελευταία ημέρα διαπραγμάτευσης</t>
  </si>
  <si>
    <t>Último día de trading</t>
  </si>
  <si>
    <t>Viimeinen kaupankäyntipäivä</t>
  </si>
  <si>
    <t>Dernier jour de négociation</t>
  </si>
  <si>
    <t>अंतिम ट्रेडिंग दिन</t>
  </si>
  <si>
    <t>Az utolsó kereskedési nap</t>
  </si>
  <si>
    <t>Hari perdagangan terakhir</t>
  </si>
  <si>
    <t>Ultimo giorno di trading</t>
  </si>
  <si>
    <t>יום המסחר האחרון</t>
  </si>
  <si>
    <t>最終取引日</t>
  </si>
  <si>
    <t>최종 거래일</t>
  </si>
  <si>
    <t>Hari dagangan terakhir</t>
  </si>
  <si>
    <t>Laatste handelsdag</t>
  </si>
  <si>
    <t>Siste handelsdag</t>
  </si>
  <si>
    <t>Ostatni dzień handlowy</t>
  </si>
  <si>
    <t>Último dia de negociação</t>
  </si>
  <si>
    <t>Ultima zi de tranzacționare</t>
  </si>
  <si>
    <t>Последний торговый день</t>
  </si>
  <si>
    <t>Posledný deň obchodovania</t>
  </si>
  <si>
    <t>Zadnji trgovalni dan</t>
  </si>
  <si>
    <t>Sista handelsdag</t>
  </si>
  <si>
    <t>วันสุดท้ายของการซื้อขาย</t>
  </si>
  <si>
    <t>Son işlem günü</t>
  </si>
  <si>
    <t>Ngày giao dịch cuối cùng</t>
  </si>
  <si>
    <t>最后交易日</t>
  </si>
  <si>
    <t>tt_pf_fixedfee_error</t>
  </si>
  <si>
    <t>Invalid number for fee</t>
  </si>
  <si>
    <t>رقم غير صالح كرسم</t>
  </si>
  <si>
    <t>Невалиден номер за такса</t>
  </si>
  <si>
    <t>Neplatné číslo za poplatek</t>
  </si>
  <si>
    <t>Ugyldigt nummer for gebyr</t>
  </si>
  <si>
    <t>Ungültige Eingabe für die Spesen!</t>
  </si>
  <si>
    <t>Μη έγκυρος αριθμός για χρέωση</t>
  </si>
  <si>
    <t>Número inválido de la tasa</t>
  </si>
  <si>
    <t>Virheellinen numero maksua varten</t>
  </si>
  <si>
    <t>Veuillez entrer un chiffre valide pour les commissions</t>
  </si>
  <si>
    <t>शुल्क के लिए अमान्य संख्या</t>
  </si>
  <si>
    <t>Description for error when (pfFixedFee &amp;lt; 0) or (pfFixedFee &amp;gt; 10000)</t>
  </si>
  <si>
    <t>Nomor yang tidak valid untuk pembayaran</t>
  </si>
  <si>
    <t>Numero non valido per i commissioni</t>
  </si>
  <si>
    <t>מספר לא חוקי בתשלום</t>
  </si>
  <si>
    <t>無効なフィーです</t>
  </si>
  <si>
    <t>유효하지 않은 수수료 숫자입니다</t>
  </si>
  <si>
    <t>Nombor yang tidak sah untuk bayaran</t>
  </si>
  <si>
    <t>Ongeldig getal voor kosten!</t>
  </si>
  <si>
    <t>Ugyldig nummer for gebyr</t>
  </si>
  <si>
    <t>Nieprawidłowy liczba dla opłaty</t>
  </si>
  <si>
    <t>Número inválido para a taxa</t>
  </si>
  <si>
    <t>Număr nevalid pentru taxă</t>
  </si>
  <si>
    <t>Комиссия указана неверно</t>
  </si>
  <si>
    <t>Neplatné číslo za poplatok</t>
  </si>
  <si>
    <t>Neveljavna številka za plačilo</t>
  </si>
  <si>
    <t>Ogiltigt nummer mot avgift</t>
  </si>
  <si>
    <t>ตัวเลขค่าธรรมเนียมไม่ถูกต้อง</t>
  </si>
  <si>
    <t>Harç için geçersiz sayı</t>
  </si>
  <si>
    <t>Số điện thoại không hợp lệ</t>
  </si>
  <si>
    <t>费用不正确</t>
  </si>
  <si>
    <t>&gt;費用不正確</t>
  </si>
  <si>
    <t>south_africa</t>
  </si>
  <si>
    <t>South Africa</t>
  </si>
  <si>
    <t>Südafrika</t>
  </si>
  <si>
    <t>Sudáfrica</t>
  </si>
  <si>
    <t>Afrique du Sud</t>
  </si>
  <si>
    <t>Южно-Африканская Республика</t>
  </si>
  <si>
    <t>Južna Afrika</t>
  </si>
  <si>
    <t>unread_conversations</t>
  </si>
  <si>
    <t>unread Conversations</t>
  </si>
  <si>
    <t>محادثات غير مقروءة</t>
  </si>
  <si>
    <t>непрочетени разговори</t>
  </si>
  <si>
    <t>Converses sense llegir o no llegides</t>
  </si>
  <si>
    <t>ungelesene Unterhaltungen</t>
  </si>
  <si>
    <t>conversaciones por leer</t>
  </si>
  <si>
    <t>Conversations non lues</t>
  </si>
  <si>
    <t>conversas sen ler</t>
  </si>
  <si>
    <t>olvasatlan beszélgetés</t>
  </si>
  <si>
    <t>Percakapan belum dibaca</t>
  </si>
  <si>
    <t>Conversazioni non lette</t>
  </si>
  <si>
    <t>未読の会話</t>
  </si>
  <si>
    <t>읽지 않은 대화</t>
  </si>
  <si>
    <t>ongelezen gesprekken</t>
  </si>
  <si>
    <t>nieprzeczytanych konwersacji</t>
  </si>
  <si>
    <t>Conversas não lidas</t>
  </si>
  <si>
    <t>сообщен. не прочитано</t>
  </si>
  <si>
    <t>neprečítané konverzácie</t>
  </si>
  <si>
    <t>непрочитане преписке</t>
  </si>
  <si>
    <t>olästa konversationer</t>
  </si>
  <si>
    <t>не переглянуті розмови</t>
  </si>
  <si>
    <t>Các hội thoại chưa đọc</t>
  </si>
  <si>
    <t>未讀會話</t>
  </si>
  <si>
    <t>tt_portfolio_perctotalbalance</t>
  </si>
  <si>
    <t>Total balance</t>
  </si>
  <si>
    <t>الرصيد الكلي</t>
  </si>
  <si>
    <t>Пълен баланс</t>
  </si>
  <si>
    <t>Celková rovnováha</t>
  </si>
  <si>
    <t>Samlet balance</t>
  </si>
  <si>
    <t>Gesamtentwicklung</t>
  </si>
  <si>
    <t>Συνολικό υπόλοιπο</t>
  </si>
  <si>
    <t>Balance total</t>
  </si>
  <si>
    <t>Kokonaissaldo</t>
  </si>
  <si>
    <t>Bid Nr.</t>
  </si>
  <si>
    <t>कुल शेष</t>
  </si>
  <si>
    <t>Egyenleg</t>
  </si>
  <si>
    <t>Jumlah saldo</t>
  </si>
  <si>
    <t>Saldo totale</t>
  </si>
  <si>
    <t>איזון כולל</t>
  </si>
  <si>
    <t>総合収支</t>
  </si>
  <si>
    <t>총잔액</t>
  </si>
  <si>
    <t>Jumlah baki</t>
  </si>
  <si>
    <t>totale balans</t>
  </si>
  <si>
    <t>Total saldo</t>
  </si>
  <si>
    <t>Bilans całkowity</t>
  </si>
  <si>
    <t>Saldo total</t>
  </si>
  <si>
    <t>Sold total</t>
  </si>
  <si>
    <t>Итоговый баланс</t>
  </si>
  <si>
    <t>Celkový zostatok</t>
  </si>
  <si>
    <t>Skupno stanje</t>
  </si>
  <si>
    <t>Ukupni bilans</t>
  </si>
  <si>
    <t>Totalt saldo</t>
  </si>
  <si>
    <t>ยอดเงินรวม</t>
  </si>
  <si>
    <t>Toplam bakiye</t>
  </si>
  <si>
    <t>Tổng số dư</t>
  </si>
  <si>
    <t>余额合计</t>
  </si>
  <si>
    <t>&gt;餘額合計</t>
  </si>
  <si>
    <t>never_show_again</t>
  </si>
  <si>
    <t>NEVER SHOW AGAIN</t>
  </si>
  <si>
    <t>عدم اظهاره مرة أخرى</t>
  </si>
  <si>
    <t>НЕ ПОКАЗВАЙ ОТНОВО</t>
  </si>
  <si>
    <t>NIKDY NEZOBRAZOVAT</t>
  </si>
  <si>
    <t>VIS ALDRIG IGEN</t>
  </si>
  <si>
    <t>Niemals mehr anzeigen</t>
  </si>
  <si>
    <t>ΝΑ ΜΗΝ ΕΜΦΑΝΙΣΤΕΙ ΠΟΤΕ ΞΑΝΑ</t>
  </si>
  <si>
    <t>No mostrar esto de nuevo</t>
  </si>
  <si>
    <t>Älä koskaan näytä uudelleen</t>
  </si>
  <si>
    <t>NE PLUS AFFICHER</t>
  </si>
  <si>
    <t>दोबारा कभी प्रदर्शित न करें</t>
  </si>
  <si>
    <t>Ne mutassa többé</t>
  </si>
  <si>
    <t>JANGAN TAMPILKAN LAGI</t>
  </si>
  <si>
    <t>NON MOSTRARE MAI</t>
  </si>
  <si>
    <t>לעולם אל תציג שוב</t>
  </si>
  <si>
    <t>다시 보지 않기</t>
  </si>
  <si>
    <t>JANGAN TUNJUKKAN LAGI</t>
  </si>
  <si>
    <t>Nooit meer weergeven</t>
  </si>
  <si>
    <t>VIS ALDRI IGJEN</t>
  </si>
  <si>
    <t>Nie pokazuj tego ponownie</t>
  </si>
  <si>
    <t>NÃO MOSTRAR NOVAMENTE</t>
  </si>
  <si>
    <t>NU MAI AFIȘA NICIODATĂ</t>
  </si>
  <si>
    <t>НИКОГДА НЕ ПОКАЗЫВАТЬ СНОВА</t>
  </si>
  <si>
    <t>NIKDY NEZOBRAZOVAŤ ZNOVA</t>
  </si>
  <si>
    <t>NIKOLI NE POKAŽITE SPET</t>
  </si>
  <si>
    <t>NE PRIKAZUJ VIŠE</t>
  </si>
  <si>
    <t>VISA ALDRIG IGEN</t>
  </si>
  <si>
    <t>ไม่ต้องแสดงอีก</t>
  </si>
  <si>
    <t>BİR DAHA GÖSTERME</t>
  </si>
  <si>
    <t>KHÔNG HIỂN THỊ LẠI</t>
  </si>
  <si>
    <t>不再显示此对话框</t>
  </si>
  <si>
    <t>login_first_regular</t>
  </si>
  <si>
    <t>Please login with regular username</t>
  </si>
  <si>
    <t>يرجى تسجيل الدخول باستخدام اسم المستخدم المعتاد</t>
  </si>
  <si>
    <t>Моля, влезте с правилно потребителско име</t>
  </si>
  <si>
    <t>Přihlaste se prosím pod běžným uživatelským jménem</t>
  </si>
  <si>
    <t>Log venligst ind med almindeligt brugernavn</t>
  </si>
  <si>
    <t>Bitte loggen Sie sich mit Ihrem Username ein</t>
  </si>
  <si>
    <t>Συνδεθείτε με κανονικό όνομα χρήστη</t>
  </si>
  <si>
    <t>Por favor, inicie sesión con su nombre de usuario regular</t>
  </si>
  <si>
    <t>Ole hyvä ja kirjaudu sisään tavallisella käyttäjätunnuksella</t>
  </si>
  <si>
    <t>Veuillez indiquer votre nom d\'utilisateur</t>
  </si>
  <si>
    <t>कृपया नियमित यूजरनेम के साथ लॉग-इन करें</t>
  </si>
  <si>
    <t>Kérjük jelentkezzen be a felhasználó nevével</t>
  </si>
  <si>
    <t>Silakan masuk dengan nama pengguna reguler</t>
  </si>
  <si>
    <t>Per favore fa il login con username regolare</t>
  </si>
  <si>
    <t>אנא התחבר עם שם משתמש רגיל</t>
  </si>
  <si>
    <t>正規のユーザー名でログインしてください</t>
  </si>
  <si>
    <t>정상적인 사용자 이름으로 로그인해주십시오</t>
  </si>
  <si>
    <t>Sila daftar masuk menggunakan kata nama yang selalu digunakan</t>
  </si>
  <si>
    <t>Alstublieft inloggen met de normale gebruikersnaam</t>
  </si>
  <si>
    <t>Logg inn med vanlig brukernavn</t>
  </si>
  <si>
    <t>prosimy zaloguj się używając zwykłej nazwy użytkownika</t>
  </si>
  <si>
    <t>Inicie a sessão com o nome de utilizador habitual</t>
  </si>
  <si>
    <t>Te rugăm să te autentifici cu un nume de utilizator obișnuit</t>
  </si>
  <si>
    <t>Пожалуйста, войдите с обычным именем пользователя</t>
  </si>
  <si>
    <t>Prihláste sa pomocou správneho používateľského mena</t>
  </si>
  <si>
    <t>Prosimo, prijavite se z običajnim uporabniškim imenom</t>
  </si>
  <si>
    <t>Molimo unesite Vaše regularno korisničko ime i lozinku</t>
  </si>
  <si>
    <t>Logga in med vanligt användarnamn</t>
  </si>
  <si>
    <t>โปรดเข้าสู่ระบบด้วยชื่อผู้ใช้ที่ใช้เป็นประจำ</t>
  </si>
  <si>
    <t>Lütfen sürekli kullanıcı adınızla giriş yapın</t>
  </si>
  <si>
    <t>Vui lòng đăng nhập với tên người dùng thông thường</t>
  </si>
  <si>
    <t>请使用普通用户名登入</t>
  </si>
  <si>
    <t>albania</t>
  </si>
  <si>
    <t>Albania</t>
  </si>
  <si>
    <t>Albanien</t>
  </si>
  <si>
    <t>Albanie</t>
  </si>
  <si>
    <t>Албания</t>
  </si>
  <si>
    <t>Albanija</t>
  </si>
  <si>
    <t>wait_x</t>
  </si>
  <si>
    <t>Please wait (%s)</t>
  </si>
  <si>
    <t>Моля, изчакайте (%s)</t>
  </si>
  <si>
    <t>Bitte warten (%s)</t>
  </si>
  <si>
    <t>Por favor, espera (%s)</t>
  </si>
  <si>
    <t>S\'il vous plaît attendez (% s)</t>
  </si>
  <si>
    <t>Agarde por favor (%s)</t>
  </si>
  <si>
    <t>Kérjük várjon (%s)</t>
  </si>
  <si>
    <t>Attendere prego (%s)</t>
  </si>
  <si>
    <t>Even geduld (%s)</t>
  </si>
  <si>
    <t>Proszę czekać (%s)</t>
  </si>
  <si>
    <t>server_info_pep</t>
  </si>
  <si>
    <t>XEP-0163: PEP (Avatars / OMEMO)</t>
  </si>
  <si>
    <t>XEP-0163: بروتوكول الأحداث الشخصية (الصور الرمزية / OMEMO)</t>
  </si>
  <si>
    <t>XEP-0163: PEP (Аватари / OMEMO)</t>
  </si>
  <si>
    <t>XEP-0163: Protocol d\'esdeveniments personals (Avatars / OMEMO)</t>
  </si>
  <si>
    <t>XEP-0163: PEP (Avatare/OMEMO)</t>
  </si>
  <si>
    <t>XEP-0163 : PEP (Avatars / OMEMO)</t>
  </si>
  <si>
    <t>XEP-0163: PEP (アバター / OMEMO)</t>
  </si>
  <si>
    <t>XEP-0163: PEP (Awatary / OMEMO)</t>
  </si>
  <si>
    <t>XEP-0163: PEP (Аватары / OMEMO)</t>
  </si>
  <si>
    <t>XEP-0163: PEP (аватари/ОМЕМО)</t>
  </si>
  <si>
    <t>XEP-0163: PEP (Avatarbilder / OMEMO)</t>
  </si>
  <si>
    <t>XEP-0163: персональне (аватари, OMEMO)</t>
  </si>
  <si>
    <t>XEP-0163: PEP (替身 / OMEMO)</t>
  </si>
  <si>
    <t>pref_headsup_notifications</t>
  </si>
  <si>
    <t>Heads-up Notifications</t>
  </si>
  <si>
    <t>Изскачащи известия</t>
  </si>
  <si>
    <t>Notificacions \"cap amunt\"</t>
  </si>
  <si>
    <t>Benachrichtigungsvorschau</t>
  </si>
  <si>
    <t>Notificaciones emergentes</t>
  </si>
  <si>
    <t>Notifications \"pop-up\"</t>
  </si>
  <si>
    <t>Notificacións Heads-up</t>
  </si>
  <si>
    <t>Figyelmeztető értesítések</t>
  </si>
  <si>
    <t>Notifiche avvisi</t>
  </si>
  <si>
    <t>Heads-up 通知</t>
  </si>
  <si>
    <t>Heads-up-meldingen</t>
  </si>
  <si>
    <t>Powiadomienia heads-up</t>
  </si>
  <si>
    <t>Экранные уведомления</t>
  </si>
  <si>
    <t>Сповіщення у спливних повідомленнях</t>
  </si>
  <si>
    <t>頭條通知</t>
  </si>
  <si>
    <t>could_not_change_role</t>
  </si>
  <si>
    <t>Could not change role of %s</t>
  </si>
  <si>
    <t>لا يمكن تغيير دول %s</t>
  </si>
  <si>
    <t>Неуспешна промяна на ролята на %s</t>
  </si>
  <si>
    <t>No s\'ha pogut canviar les regles de %s</t>
  </si>
  <si>
    <t>Rolle von %s konnte nicht geändert werden</t>
  </si>
  <si>
    <t>No se puede cambiar el rol de %s</t>
  </si>
  <si>
    <t>Impossible de changer le rôle de %s</t>
  </si>
  <si>
    <t>Non se puido mudar o rol de %s</t>
  </si>
  <si>
    <t>Nem lehetett %s szerepét megváltoztatni</t>
  </si>
  <si>
    <t>Tidak dapat merumah role %s</t>
  </si>
  <si>
    <t>Impossibile cambiare ruolo di %s</t>
  </si>
  <si>
    <t>%s の役割を変更できません</t>
  </si>
  <si>
    <t>%s 의 역할을 변경할 수 없습니다</t>
  </si>
  <si>
    <t>Kon rol van %s niet wijzigen</t>
  </si>
  <si>
    <t>Nie udało się zmienić funkcji %s</t>
  </si>
  <si>
    <t>Não foi possível alterar o papel de %s</t>
  </si>
  <si>
    <t>Не удалось сменить роль %s</t>
  </si>
  <si>
    <t>Nepodarilo sa zmeniť úlohu %s</t>
  </si>
  <si>
    <t>Не могох да изменим улогу за %s</t>
  </si>
  <si>
    <t>Kunde inte ändra rollen för %s</t>
  </si>
  <si>
    <t>Не можу змінити роль %s</t>
  </si>
  <si>
    <t>Không thể đổi phận sự của %s</t>
  </si>
  <si>
    <t>不能修改 %s 的角色</t>
  </si>
  <si>
    <t>tt_edit_limits</t>
  </si>
  <si>
    <t>Edit alerts</t>
  </si>
  <si>
    <t>تحرير التنبيهات</t>
  </si>
  <si>
    <t>Редактиране на сигнали</t>
  </si>
  <si>
    <t>Upravit upozornění</t>
  </si>
  <si>
    <t>Rediger alarmer</t>
  </si>
  <si>
    <t>Limits bearbeiten</t>
  </si>
  <si>
    <t>Επεξεργασία ειδοποιήσεων</t>
  </si>
  <si>
    <t>Editar límites</t>
  </si>
  <si>
    <t>Muokkaa hälytyksiä</t>
  </si>
  <si>
    <t>Editer alertes</t>
  </si>
  <si>
    <t>अलर्ट को एडिट करें</t>
  </si>
  <si>
    <t>Riasztások szerkesztése</t>
  </si>
  <si>
    <t>Edit makluman</t>
  </si>
  <si>
    <t>Modifica i avvisi</t>
  </si>
  <si>
    <t>ערוך התראות</t>
  </si>
  <si>
    <t>アラートを編集する</t>
  </si>
  <si>
    <t>알람 편집</t>
  </si>
  <si>
    <t>Sunting makluman</t>
  </si>
  <si>
    <t>Pas notificaties aan</t>
  </si>
  <si>
    <t>Rediger varsler</t>
  </si>
  <si>
    <t>Edycja limitów</t>
  </si>
  <si>
    <t>Editar alertas</t>
  </si>
  <si>
    <t>Editează alerte</t>
  </si>
  <si>
    <t>Редактировать предельные стоимости</t>
  </si>
  <si>
    <t>Upraviť upozornenia</t>
  </si>
  <si>
    <t>Urejanje opozoril</t>
  </si>
  <si>
    <t>Uredi alarme</t>
  </si>
  <si>
    <t>Redigera varningar</t>
  </si>
  <si>
    <t>แก้ไขการแจ้งเตือน</t>
  </si>
  <si>
    <t>Uyarıları Düzenle</t>
  </si>
  <si>
    <t>Chỉnh sửa cảnh báo</t>
  </si>
  <si>
    <t>编辑警示</t>
  </si>
  <si>
    <t>&gt;編輯警示</t>
  </si>
  <si>
    <t>tt_rate</t>
  </si>
  <si>
    <t>Rate app right now!</t>
  </si>
  <si>
    <t>قيّم التطبيق الآن!</t>
  </si>
  <si>
    <t>Оцени приложението сега!</t>
  </si>
  <si>
    <t>Ohodnoťte aplikaci právě teď!</t>
  </si>
  <si>
    <t>Bedøm app lige nu!</t>
  </si>
  <si>
    <t>Bewerten Sie unsere App jetzt!</t>
  </si>
  <si>
    <t>Αξιολογήστε την εφαρμογή τώρα!</t>
  </si>
  <si>
    <t>Califique la aplicación ahora!</t>
  </si>
  <si>
    <t>Arvioi sovellus heti!</t>
  </si>
  <si>
    <t>Notez l\'application!</t>
  </si>
  <si>
    <t>ऐप को अभी रेट करें!</t>
  </si>
  <si>
    <t>Értékelje az applikációt most!</t>
  </si>
  <si>
    <t>Beri nilai aplikasi sekarang!</t>
  </si>
  <si>
    <t>Giudica questo app adesso!</t>
  </si>
  <si>
    <t>דרג את האפליקציה ברגע זה!</t>
  </si>
  <si>
    <t>今すぐ評価する</t>
  </si>
  <si>
    <t>지금 바로 앱을 평가해 주세요!</t>
  </si>
  <si>
    <t>Nilaikan aplikasi sekarang!</t>
  </si>
  <si>
    <t>Waardeer de App nu meteen!</t>
  </si>
  <si>
    <t>Ranger appen akkurat nå!</t>
  </si>
  <si>
    <t>Oceń aplikację teraz!</t>
  </si>
  <si>
    <t>Avalie o app agora!</t>
  </si>
  <si>
    <t>Evaluează aplicația chiar acum!</t>
  </si>
  <si>
    <t>Оценить приложение прямо сейчас!</t>
  </si>
  <si>
    <t>Ohodnoťte aplikáciu práve teraz!</t>
  </si>
  <si>
    <t>Ocenite aplikacijo takoj!</t>
  </si>
  <si>
    <t>Oceni odmah!</t>
  </si>
  <si>
    <t>Betygsätt appen nu!</t>
  </si>
  <si>
    <t>ให้คะแนนแอปตอนนี้!</t>
  </si>
  <si>
    <t>Uygulamayı şimdi değerlendirin!</t>
  </si>
  <si>
    <t>Đánh giá ứng dụng ngay!</t>
  </si>
  <si>
    <t>现在就评价该应用程式！</t>
  </si>
  <si>
    <t>&gt;現在就評價該應用程式!</t>
  </si>
  <si>
    <t>tt_minute</t>
  </si>
  <si>
    <t>minute</t>
  </si>
  <si>
    <t>минута</t>
  </si>
  <si>
    <t>minuta</t>
  </si>
  <si>
    <t>minut</t>
  </si>
  <si>
    <t>Minute</t>
  </si>
  <si>
    <t>λεπτό</t>
  </si>
  <si>
    <t>minuto</t>
  </si>
  <si>
    <t>minuutti</t>
  </si>
  <si>
    <t>मिनट</t>
  </si>
  <si>
    <t>perc</t>
  </si>
  <si>
    <t>menit</t>
  </si>
  <si>
    <t>דקה</t>
  </si>
  <si>
    <t>分</t>
  </si>
  <si>
    <t>분</t>
  </si>
  <si>
    <t>minit</t>
  </si>
  <si>
    <t>minuut</t>
  </si>
  <si>
    <t>minutt</t>
  </si>
  <si>
    <t>minúta</t>
  </si>
  <si>
    <t>นาที</t>
  </si>
  <si>
    <t>dakika</t>
  </si>
  <si>
    <t>phút</t>
  </si>
  <si>
    <t>分钟</t>
  </si>
  <si>
    <t>&gt;分鐘</t>
  </si>
  <si>
    <t>tt_period_3</t>
  </si>
  <si>
    <t>Period 3</t>
  </si>
  <si>
    <t>الفترة 3</t>
  </si>
  <si>
    <t>Период 3</t>
  </si>
  <si>
    <t>Období 3</t>
  </si>
  <si>
    <t>Periode 3</t>
  </si>
  <si>
    <t>Περίοδος 3</t>
  </si>
  <si>
    <t>Período 3</t>
  </si>
  <si>
    <t>Kausi 3</t>
  </si>
  <si>
    <t>Période 3</t>
  </si>
  <si>
    <t>अवधि 3</t>
  </si>
  <si>
    <t>Durasi 3</t>
  </si>
  <si>
    <t>Periodo 3</t>
  </si>
  <si>
    <t>תקופה 3</t>
  </si>
  <si>
    <t>期間 3</t>
  </si>
  <si>
    <t>기간 3</t>
  </si>
  <si>
    <t>Tempoh 3</t>
  </si>
  <si>
    <t>Okres 3</t>
  </si>
  <si>
    <t>Perioada 3</t>
  </si>
  <si>
    <t>3.obdobie</t>
  </si>
  <si>
    <t>3. obdobje</t>
  </si>
  <si>
    <t>ขั้นที่ 3</t>
  </si>
  <si>
    <t>Dönem 3</t>
  </si>
  <si>
    <t>Kỳ 3</t>
  </si>
  <si>
    <t>期间３</t>
  </si>
  <si>
    <t>&gt;期間３</t>
  </si>
  <si>
    <t>tt_period_2</t>
  </si>
  <si>
    <t>Period 2</t>
  </si>
  <si>
    <t>الفترة 2</t>
  </si>
  <si>
    <t>Период 2</t>
  </si>
  <si>
    <t>Období 2</t>
  </si>
  <si>
    <t>Periode 2</t>
  </si>
  <si>
    <t>Περίοδος 2</t>
  </si>
  <si>
    <t>Período 2</t>
  </si>
  <si>
    <t>Kausi 2</t>
  </si>
  <si>
    <t>Période 2</t>
  </si>
  <si>
    <t>अवधि 2</t>
  </si>
  <si>
    <t>Durasi 2</t>
  </si>
  <si>
    <t>Periodo 2</t>
  </si>
  <si>
    <t>תקופה 2</t>
  </si>
  <si>
    <t>期間 2</t>
  </si>
  <si>
    <t>기간 2</t>
  </si>
  <si>
    <t>Tempoh 2</t>
  </si>
  <si>
    <t>Okres 2</t>
  </si>
  <si>
    <t>Perioada 2</t>
  </si>
  <si>
    <t>2.obdobie</t>
  </si>
  <si>
    <t>2. obdobje</t>
  </si>
  <si>
    <t>ขั้นที่ 2</t>
  </si>
  <si>
    <t>Dönem 2</t>
  </si>
  <si>
    <t>Kỳ 2</t>
  </si>
  <si>
    <t>期间２</t>
  </si>
  <si>
    <t>&gt;期間２</t>
  </si>
  <si>
    <t>tt_capital_protection</t>
  </si>
  <si>
    <t>Capital guarantee</t>
  </si>
  <si>
    <t>ضمان رأس المال</t>
  </si>
  <si>
    <t>Капиталова гаранция</t>
  </si>
  <si>
    <t>Kapitálová záruka</t>
  </si>
  <si>
    <t>Kapitalgaranti</t>
  </si>
  <si>
    <t>Kapitalgarantie</t>
  </si>
  <si>
    <t>Εγγύηση κεφαλαίου</t>
  </si>
  <si>
    <t>Garantía de capital</t>
  </si>
  <si>
    <t>Pääomatakuu</t>
  </si>
  <si>
    <t>Garantie du capital</t>
  </si>
  <si>
    <t>पूंजी प्रतिभूति</t>
  </si>
  <si>
    <t>Tőkevédett</t>
  </si>
  <si>
    <t>Jaminan modal</t>
  </si>
  <si>
    <t>Capitale garantito</t>
  </si>
  <si>
    <t>ערבות הון</t>
  </si>
  <si>
    <t>資本金保証</t>
  </si>
  <si>
    <t>원금보장형</t>
  </si>
  <si>
    <t>Kapitaalgarantie</t>
  </si>
  <si>
    <t>Gwarancja kapitału</t>
  </si>
  <si>
    <t>Garantia de capital</t>
  </si>
  <si>
    <t>Garanție de capital</t>
  </si>
  <si>
    <t>Гарантия капитала</t>
  </si>
  <si>
    <t>Kapitalska garancija</t>
  </si>
  <si>
    <t>Garancija kapitala</t>
  </si>
  <si>
    <t>การประกันเงินทุน</t>
  </si>
  <si>
    <t>Sermaye garantisi</t>
  </si>
  <si>
    <t>Đảm bảo vốn</t>
  </si>
  <si>
    <t>资本保证</t>
  </si>
  <si>
    <t>tt_metals_kg</t>
  </si>
  <si>
    <t>Kg</t>
  </si>
  <si>
    <t>كلغ</t>
  </si>
  <si>
    <t>кг</t>
  </si>
  <si>
    <t>kg</t>
  </si>
  <si>
    <t>κ.</t>
  </si>
  <si>
    <t>किलोग्राम</t>
  </si>
  <si>
    <t>ק"ג</t>
  </si>
  <si>
    <t>キログラム</t>
  </si>
  <si>
    <t>Kilo</t>
  </si>
  <si>
    <t>Кг</t>
  </si>
  <si>
    <t>กิโลกรัม</t>
  </si>
  <si>
    <t>Kilogram</t>
  </si>
  <si>
    <t>公斤</t>
  </si>
  <si>
    <t>&gt;公斤</t>
  </si>
  <si>
    <t>tt_period_1</t>
  </si>
  <si>
    <t>Period 1</t>
  </si>
  <si>
    <t>الفترة 1</t>
  </si>
  <si>
    <t>Период 1</t>
  </si>
  <si>
    <t>Období 1</t>
  </si>
  <si>
    <t>Periode 1</t>
  </si>
  <si>
    <t>Περίοδος 1</t>
  </si>
  <si>
    <t>Período 1</t>
  </si>
  <si>
    <t>Kausi 1</t>
  </si>
  <si>
    <t>Période 1</t>
  </si>
  <si>
    <t>अवधि 1</t>
  </si>
  <si>
    <t>Durasi 1</t>
  </si>
  <si>
    <t>Periodo 1</t>
  </si>
  <si>
    <t>תקופה 1</t>
  </si>
  <si>
    <t>期間 1</t>
  </si>
  <si>
    <t>기간 1</t>
  </si>
  <si>
    <t>Tempoh 1</t>
  </si>
  <si>
    <t>Okres 1</t>
  </si>
  <si>
    <t>Perioada 1</t>
  </si>
  <si>
    <t>1.obdobie</t>
  </si>
  <si>
    <t>1. obdobje</t>
  </si>
  <si>
    <t>ขั้นที่ 1</t>
  </si>
  <si>
    <t>Dönem 1</t>
  </si>
  <si>
    <t>Kỳ 1</t>
  </si>
  <si>
    <t>期间１</t>
  </si>
  <si>
    <t>&gt;期間１</t>
  </si>
  <si>
    <t>tt_expiration_date</t>
  </si>
  <si>
    <t>Expiration date</t>
  </si>
  <si>
    <t>تاريخ الانتهاء</t>
  </si>
  <si>
    <t>Срок на годност</t>
  </si>
  <si>
    <t>Datum spotřeby</t>
  </si>
  <si>
    <t>Udløbsdato</t>
  </si>
  <si>
    <t>Laufzeit</t>
  </si>
  <si>
    <t>Ημερομηνία λήξης</t>
  </si>
  <si>
    <t>Fecha de vencimiento</t>
  </si>
  <si>
    <t>Viimeinen käyttöpäivä</t>
  </si>
  <si>
    <t>Date d\'expiration</t>
  </si>
  <si>
    <t>समय सीमा समाप्ति की तिथि</t>
  </si>
  <si>
    <t>Lejárat</t>
  </si>
  <si>
    <t>Tanggal Kadaluwarsa</t>
  </si>
  <si>
    <t>Data di scadenza</t>
  </si>
  <si>
    <t>תאריך תפוגה</t>
  </si>
  <si>
    <t>満期日</t>
  </si>
  <si>
    <t>만기일</t>
  </si>
  <si>
    <t>Tarikh luput</t>
  </si>
  <si>
    <t>Expiratiedatum</t>
  </si>
  <si>
    <t>Utløpsdato</t>
  </si>
  <si>
    <t>Data wygaśnięcia</t>
  </si>
  <si>
    <t>Data de validade</t>
  </si>
  <si>
    <t>Data expirării</t>
  </si>
  <si>
    <t>Дата истечения срока действия</t>
  </si>
  <si>
    <t>Dátum vypršania platnosti</t>
  </si>
  <si>
    <t>Datum veljavnosti</t>
  </si>
  <si>
    <t>Datum isteka</t>
  </si>
  <si>
    <t>Utgångsdatum</t>
  </si>
  <si>
    <t>วันสิ้นอายุ</t>
  </si>
  <si>
    <t>Vade tarihi</t>
  </si>
  <si>
    <t>Ngày hết hạn</t>
  </si>
  <si>
    <t>到期日</t>
  </si>
  <si>
    <t>tt_daterange_10years</t>
  </si>
  <si>
    <t>10 tahun</t>
  </si>
  <si>
    <t>tt_pf_currencyquote_error</t>
  </si>
  <si>
    <t>Invalid number for currencyrate!</t>
  </si>
  <si>
    <t>رقم غير صالح لسعر العملة!</t>
  </si>
  <si>
    <t>Невалиден номер на валутен курс!</t>
  </si>
  <si>
    <t>Neplatné číslo pro měnový kurz!</t>
  </si>
  <si>
    <t>Ugyldigt tal for valutakurs!</t>
  </si>
  <si>
    <t>Ungültiger Eingabe für den Währungskurs!</t>
  </si>
  <si>
    <t>Μη έγκυρος αριθμός για το νόμισμα!</t>
  </si>
  <si>
    <t>¡Número inválido para el tipo de cambio!</t>
  </si>
  <si>
    <t>Virheellinen numero valuuttakurssille!</t>
  </si>
  <si>
    <t>Veuillez entrer un taux de change valide!</t>
  </si>
  <si>
    <t>मुद्रा दर के लिए अमान्य संख्या!</t>
  </si>
  <si>
    <t>Description for error when (pfCustCurrRate &amp;lt;= 0) or (pfCustCurrRate &amp;gt; 10000)</t>
  </si>
  <si>
    <t>Nomor tidak valid untuk nilai tukar mata uang!</t>
  </si>
  <si>
    <t>Numero non valido per il tasso di cambio</t>
  </si>
  <si>
    <t>מספר לא חוקי עבור currencyrate!</t>
  </si>
  <si>
    <t>無効な通貨ﾚｰﾄです</t>
  </si>
  <si>
    <t>유효하지 않은 환율 숫자입니다!</t>
  </si>
  <si>
    <t>Nombor yang tidak sah untuk kadar mata wang!</t>
  </si>
  <si>
    <t>Ongeldig getal voor wisselkoers!</t>
  </si>
  <si>
    <t>Ugyldig nummer for vekslingskurs!</t>
  </si>
  <si>
    <t>Nieprawidłowa liczba dla notowań walut!</t>
  </si>
  <si>
    <t>Número inválido para a taxa de câmbio!</t>
  </si>
  <si>
    <t>Număr nevalid pentru rata valutară!</t>
  </si>
  <si>
    <t>Валютный курс указан неверно!</t>
  </si>
  <si>
    <t>Neplatné číslo pre sadzbu meny!</t>
  </si>
  <si>
    <t>Neveljavna številka valute!</t>
  </si>
  <si>
    <t>Opis greške kad (pfCustCurrRate &amp;lt;= 0) or (pfCustCurrRate &amp;gt; 10000)</t>
  </si>
  <si>
    <t>Ogiltigt nummer för valutakurs!</t>
  </si>
  <si>
    <t>ตัวเลขอัตราแลกเปลี่ยนไม่ถูกต้อง</t>
  </si>
  <si>
    <t>Döviz kuru için geçersiz numara!</t>
  </si>
  <si>
    <t>Số không hợp lệ cho tỷ giá tiền tệ!</t>
  </si>
  <si>
    <t>汇率不正确</t>
  </si>
  <si>
    <t>&gt;匯率不正確</t>
  </si>
  <si>
    <t>server_info_stream_management</t>
  </si>
  <si>
    <t>XEP-0198: Stream Management</t>
  </si>
  <si>
    <t>XEP-0198: إدارة التدفق</t>
  </si>
  <si>
    <t>XEP-0198: Управление на потоците</t>
  </si>
  <si>
    <t>XEP-0198: Gestió del flux de dades</t>
  </si>
  <si>
    <t>XEP-0198 : Gestion des flux</t>
  </si>
  <si>
    <t>XEP-0198: ストリーム管理</t>
  </si>
  <si>
    <t>XEP-0198: Управление потоками</t>
  </si>
  <si>
    <t>XEP-0198: менаџмент тока</t>
  </si>
  <si>
    <t>XEP-0198: управління потоком</t>
  </si>
  <si>
    <t>XEP-0198: 流管理</t>
  </si>
  <si>
    <t>conferences</t>
  </si>
  <si>
    <t>Group chats</t>
  </si>
  <si>
    <t>مجموعة المحادثات</t>
  </si>
  <si>
    <t>Групови разговори</t>
  </si>
  <si>
    <t>Xats de grup</t>
  </si>
  <si>
    <t>Gruppenchats</t>
  </si>
  <si>
    <t>Conversaciones en grupo</t>
  </si>
  <si>
    <t>Conversations de groupe</t>
  </si>
  <si>
    <t>Conversas en grupo</t>
  </si>
  <si>
    <t>Konferenciák</t>
  </si>
  <si>
    <t>Chat di gruppo</t>
  </si>
  <si>
    <t>談話室</t>
  </si>
  <si>
    <t>Groepsgesprekken</t>
  </si>
  <si>
    <t>Konferencje</t>
  </si>
  <si>
    <t>Conversas em grupo</t>
  </si>
  <si>
    <t>Конференции</t>
  </si>
  <si>
    <t>Групна ћаскања</t>
  </si>
  <si>
    <t>turks</t>
  </si>
  <si>
    <t>Turks and Caicos Islands</t>
  </si>
  <si>
    <t>Turks und Caicos Inseln</t>
  </si>
  <si>
    <t>Islas Turcas y Caicos</t>
  </si>
  <si>
    <t>Îles Turques-et-Caïques</t>
  </si>
  <si>
    <t>Тёркс и Кайкос</t>
  </si>
  <si>
    <t>Turks i Kokos ostrva</t>
  </si>
  <si>
    <t>kazakhstan</t>
  </si>
  <si>
    <t>Kazakhstan</t>
  </si>
  <si>
    <t>Kasachstan</t>
  </si>
  <si>
    <t>Kazajistán</t>
  </si>
  <si>
    <t>Казахстан</t>
  </si>
  <si>
    <t>Kazahstan</t>
  </si>
  <si>
    <t>aruba</t>
  </si>
  <si>
    <t>Aruba</t>
  </si>
  <si>
    <t>Аруба</t>
  </si>
  <si>
    <t>tt_android_push</t>
  </si>
  <si>
    <t>Push (Android)</t>
  </si>
  <si>
    <t>الإعلامات (أندرويد)</t>
  </si>
  <si>
    <t>Натиснете (Android)</t>
  </si>
  <si>
    <t>पुश (एंड्रॉइड)</t>
  </si>
  <si>
    <t>Singkirkan (Android)</t>
  </si>
  <si>
    <t>דחיפה (אנדרואיד)</t>
  </si>
  <si>
    <t>押す(Android)</t>
  </si>
  <si>
    <t>푸시(안드로이드)</t>
  </si>
  <si>
    <t>Tolakan (Android)</t>
  </si>
  <si>
    <t>Pritisnite (Android)</t>
  </si>
  <si>
    <t>แจ้งเตือน (แอนดรอยด์)</t>
  </si>
  <si>
    <t>Anlık İleti (Android)</t>
  </si>
  <si>
    <t>Đẩy (Android)</t>
  </si>
  <si>
    <t>推播（Android）</t>
  </si>
  <si>
    <t>&gt;推播 (Android)</t>
  </si>
  <si>
    <t>tt_iosbridge_userunknown</t>
  </si>
  <si>
    <t>User doesn\'t exists or Password is wrong.</t>
  </si>
  <si>
    <t>المستخدم غير موجود أو كلمة المرور خاطئة.</t>
  </si>
  <si>
    <t>Потребителят не съществува или паролата е грешна.</t>
  </si>
  <si>
    <t>Uživatel neexistuje nebo je nesprávné heslo.</t>
  </si>
  <si>
    <t>Brugeren findes ikke, eller adgangskoden er forkert.</t>
  </si>
  <si>
    <t>Benutzer existiert nicht oder Passwort ist nicht korrekt.</t>
  </si>
  <si>
    <t>Ο χρήστης δεν υπάρχει ή ο κωδικός πρόσβασης είναι λάθος.</t>
  </si>
  <si>
    <t>El nombre de usuario no existe o la contraseña es incorrecta</t>
  </si>
  <si>
    <t>Käyttäjää ei ole olemassa tai salasana on väärä.</t>
  </si>
  <si>
    <t>L\'utilisateur n\'existe pas ou mot de passe est incorrect</t>
  </si>
  <si>
    <t>यूजरनेम मौजूद नहीं है या पासवर्ड गलत है।</t>
  </si>
  <si>
    <t>Téves felhasználónév vagy jelszó</t>
  </si>
  <si>
    <t>Pengguna tidak wujud atau kata laluan salah.</t>
  </si>
  <si>
    <t>Utente non esiste o password sbagliato.</t>
  </si>
  <si>
    <t>המשתמש אינו קיים או שהסיסמה שגויה.</t>
  </si>
  <si>
    <t>ユーザーID又はパスワード相違</t>
  </si>
  <si>
    <t>사용자가 존재하지 않거나 비밀번호가 틀렸습니다.</t>
  </si>
  <si>
    <t>Gebruiker bestaat niet of de password is verkeerd.</t>
  </si>
  <si>
    <t>Brukeren eksisterer ikke eller passordet er feil.</t>
  </si>
  <si>
    <t>Użytkownik nie istnieje lub hasło jest błędne.</t>
  </si>
  <si>
    <t>Usuário não existe ou a senha está incorreta</t>
  </si>
  <si>
    <t>Utilizatorul nu\există sau Parola este greșită.</t>
  </si>
  <si>
    <t>Пользователя с таким именем не существует или указан неверный пароль</t>
  </si>
  <si>
    <t>Používateľ neexistuje alebo je nesprávne heslo.</t>
  </si>
  <si>
    <t>Uporabnik ne obstaja ali je geslo napačno.</t>
  </si>
  <si>
    <t>Korisničko ime ne postoji ili je lozinka pogrešna.</t>
  </si>
  <si>
    <t>Användaren finns inte eller så är lösenordet fel.</t>
  </si>
  <si>
    <t>รหัสผ่านไม่ถูกต้อง หรือ ไม่มีชื่อผู้ใช้นี้</t>
  </si>
  <si>
    <t>Kullanıcı mevcut değil veya Şifre yanlış.</t>
  </si>
  <si>
    <t>Người dùng không tồn tại hoặc Mật khẩu sai.</t>
  </si>
  <si>
    <t>用户名称不存在或密码不符</t>
  </si>
  <si>
    <t>&gt;用戶名稱不存在或密碼不符</t>
  </si>
  <si>
    <t>guatemala</t>
  </si>
  <si>
    <t>Guatemala</t>
  </si>
  <si>
    <t>Гватемала</t>
  </si>
  <si>
    <t>Gvatemala</t>
  </si>
  <si>
    <t>group_chat_name</t>
  </si>
  <si>
    <t>jordan</t>
  </si>
  <si>
    <t>Jordan</t>
  </si>
  <si>
    <t>Jordanien</t>
  </si>
  <si>
    <t>Jordania</t>
  </si>
  <si>
    <t>Иордания</t>
  </si>
  <si>
    <t>button_deny</t>
  </si>
  <si>
    <t>Deny</t>
  </si>
  <si>
    <t>Verweigern</t>
  </si>
  <si>
    <t>Denegar</t>
  </si>
  <si>
    <t>Nier</t>
  </si>
  <si>
    <t>Visszautasít</t>
  </si>
  <si>
    <t>Odbij</t>
  </si>
  <si>
    <t>video_compression_channel_name</t>
  </si>
  <si>
    <t>Video compression</t>
  </si>
  <si>
    <t>Компресия на видеото</t>
  </si>
  <si>
    <t>Video komprimieren</t>
  </si>
  <si>
    <t>Compresión de video</t>
  </si>
  <si>
    <t>Compression vidéo</t>
  </si>
  <si>
    <t>Compresión de vídeo</t>
  </si>
  <si>
    <t>Videó tömörítés</t>
  </si>
  <si>
    <t>Compressione video</t>
  </si>
  <si>
    <t>Videocompressie</t>
  </si>
  <si>
    <t>Kompresja wideo</t>
  </si>
  <si>
    <t>Видео компресија</t>
  </si>
  <si>
    <t>send_message</t>
  </si>
  <si>
    <t>Send message</t>
  </si>
  <si>
    <t>إبعث رسالة</t>
  </si>
  <si>
    <t>Изпращане на съобщение</t>
  </si>
  <si>
    <t>Envia un missatge</t>
  </si>
  <si>
    <t>Nachricht senden</t>
  </si>
  <si>
    <t>Enviar mensaje</t>
  </si>
  <si>
    <t>Envoyer le message</t>
  </si>
  <si>
    <t>Enviar mensaxe</t>
  </si>
  <si>
    <t>Üzenet küldése</t>
  </si>
  <si>
    <t>Invia messaggio</t>
  </si>
  <si>
    <t>メッセージを送信</t>
  </si>
  <si>
    <t>Verstuur bericht</t>
  </si>
  <si>
    <t>Wyślij wiadomość</t>
  </si>
  <si>
    <t>Enviar mensagem</t>
  </si>
  <si>
    <t>Сообщение</t>
  </si>
  <si>
    <t>Пошаљи поруку</t>
  </si>
  <si>
    <t>Skicka meddelande</t>
  </si>
  <si>
    <t>Відправити повідомленн</t>
  </si>
  <si>
    <t>送訊息</t>
  </si>
  <si>
    <t>barcode_does_not_contain_fingerprints_for_this_conversation</t>
  </si>
  <si>
    <t>Barcode does not contain fingerprints for this conversation.</t>
  </si>
  <si>
    <t>لا تحتوي شفرة التّعرّف على بصمات لهذه المحادثة</t>
  </si>
  <si>
    <t>Баркодът не съдържа отпечатъци за този разговор.</t>
  </si>
  <si>
    <t>El codi de barres no conté empremtes digitals per a aquesta conversa.</t>
  </si>
  <si>
    <t>Barcode enthält keine Fingerabdrücke für diese Unterhaltung.</t>
  </si>
  <si>
    <t>Crear un nuevo watchlist</t>
  </si>
  <si>
    <t>Le code-barres ne contient pas d\'empreintes pour cette conversation.</t>
  </si>
  <si>
    <t>O código de barras non contén pegadas para esta conversa.</t>
  </si>
  <si>
    <t>A vonalkód nem tartalmaz ujjlenyomatokat ehhez a beszélgetéshez.</t>
  </si>
  <si>
    <t>Il codice a barre non contiene impronte per questa conversazione.</t>
  </si>
  <si>
    <t>バーコードに、この会話のフィンガープリントが含まれていません。</t>
  </si>
  <si>
    <t>Streepjescode bevat geen vingerafdruk voor dit gesprek.</t>
  </si>
  <si>
    <t>Kod kreskowy nie zawiera odcisków dla tej rozmowy.</t>
  </si>
  <si>
    <t>Штрихкод не содержит отпечатков для данной беседы</t>
  </si>
  <si>
    <t>Бар-кôд не садржи отиске за ову преписку.</t>
  </si>
  <si>
    <t>Streckkoden innehåller inte fingeravtryck för den här konversationen.</t>
  </si>
  <si>
    <t>QR-код не містить відбитків для цієї розмови.</t>
  </si>
  <si>
    <t>條碼中沒有這個聯絡人的指紋。</t>
  </si>
  <si>
    <t>tt_add_watchlist</t>
  </si>
  <si>
    <t>Create new watchlist</t>
  </si>
  <si>
    <t>إنشاء قائمة متابعة جديدة</t>
  </si>
  <si>
    <t>Създай нов уочлист</t>
  </si>
  <si>
    <t>Vytvořit nový seznam sledovaných položek</t>
  </si>
  <si>
    <t>Opret ny overvågningsliste</t>
  </si>
  <si>
    <t>Neue Kursliste erstellen</t>
  </si>
  <si>
    <t>Δημιουργία νέας λίστας παρακολούθησης</t>
  </si>
  <si>
    <t>Crear una nueva lista de seguimiento</t>
  </si>
  <si>
    <t>Luo uusi tarkkailulista</t>
  </si>
  <si>
    <t>Créer une nouvelle liste personnelle</t>
  </si>
  <si>
    <t>नई वॉचलिस्ट बनाएँ</t>
  </si>
  <si>
    <t>Új figyelőlista létrehozása</t>
  </si>
  <si>
    <t>Buat daftar pantau baru</t>
  </si>
  <si>
    <t>Crea nuovo watchlist</t>
  </si>
  <si>
    <t>צור רשימת מעקב חדשה</t>
  </si>
  <si>
    <t>お気に入りを作成</t>
  </si>
  <si>
    <t>새 보기목록 생성</t>
  </si>
  <si>
    <t>Wujudkan senarai pantau baru</t>
  </si>
  <si>
    <t>Creër nieuwe favorietenlijst</t>
  </si>
  <si>
    <t>Lag ny overvåkningsliste</t>
  </si>
  <si>
    <t>Utwórz nową listę obserwowanych</t>
  </si>
  <si>
    <t>Criar nova lista de observações</t>
  </si>
  <si>
    <t>Creați o listă de urmărire nouă</t>
  </si>
  <si>
    <t>Создать список наблюдения</t>
  </si>
  <si>
    <t>Vytvorte nový sledovaný zoznam</t>
  </si>
  <si>
    <t>Ustvari nov seznam ogledov</t>
  </si>
  <si>
    <t>Kreirajte novu Watch listu</t>
  </si>
  <si>
    <t>Skapa ny bevakningslista</t>
  </si>
  <si>
    <t>สร้างรายการหุ้นที่ติดตามใหม่</t>
  </si>
  <si>
    <t>Yeni izleme listesi oluştur</t>
  </si>
  <si>
    <t>Tạo danh mục theo dõi mới</t>
  </si>
  <si>
    <t>建立新收藏夹</t>
  </si>
  <si>
    <t>&gt;建立新收藏夾</t>
  </si>
  <si>
    <t>you_can_also</t>
  </si>
  <si>
    <t>You can also:</t>
  </si>
  <si>
    <t>أيضًا، يمكنك:</t>
  </si>
  <si>
    <t>Можете също:</t>
  </si>
  <si>
    <t>Můžete také:</t>
  </si>
  <si>
    <t>Du kan også:</t>
  </si>
  <si>
    <t>Sie können auch:</t>
  </si>
  <si>
    <t>Μπορείτε επίσης να:</t>
  </si>
  <si>
    <t>También puede:</t>
  </si>
  <si>
    <t>Voit myös:</t>
  </si>
  <si>
    <t>Vous pouvez aussi:</t>
  </si>
  <si>
    <t>आप भी सकते हैं:</t>
  </si>
  <si>
    <t>Használja a belépéshez:</t>
  </si>
  <si>
    <t>Anda juga bisa:</t>
  </si>
  <si>
    <t>Tu puoi anche:</t>
  </si>
  <si>
    <t>באפשרותך גם:</t>
  </si>
  <si>
    <t>次のこともできます:</t>
  </si>
  <si>
    <t>가능한 작업:</t>
  </si>
  <si>
    <t>Anda juga boleh:</t>
  </si>
  <si>
    <t>U kunt ook:</t>
  </si>
  <si>
    <t>Moesz rwnie:</t>
  </si>
  <si>
    <t>Também pode:</t>
  </si>
  <si>
    <t>De asemenea, poți:</t>
  </si>
  <si>
    <t>Вы также можете:</t>
  </si>
  <si>
    <t>Môžete tiež:</t>
  </si>
  <si>
    <t>Lahko tudi:</t>
  </si>
  <si>
    <t>Takođe može i:</t>
  </si>
  <si>
    <t>Du kan också:</t>
  </si>
  <si>
    <t>คุณยังสามารถ:</t>
  </si>
  <si>
    <t>Ayrıca:</t>
  </si>
  <si>
    <t>Bạn còn có thể:</t>
  </si>
  <si>
    <t>您也可以：</t>
  </si>
  <si>
    <t>tt_minutes</t>
  </si>
  <si>
    <t>minutes</t>
  </si>
  <si>
    <t>دقائق</t>
  </si>
  <si>
    <t>минути</t>
  </si>
  <si>
    <t>minuty</t>
  </si>
  <si>
    <t>minutter</t>
  </si>
  <si>
    <t>Minuten</t>
  </si>
  <si>
    <t>λεπτά</t>
  </si>
  <si>
    <t>minutos</t>
  </si>
  <si>
    <t>minuuttia</t>
  </si>
  <si>
    <t>percek</t>
  </si>
  <si>
    <t>minuti</t>
  </si>
  <si>
    <t>דקות</t>
  </si>
  <si>
    <t>minuten</t>
  </si>
  <si>
    <t>минуты</t>
  </si>
  <si>
    <t>minúty</t>
  </si>
  <si>
    <t>minuter</t>
  </si>
  <si>
    <t>tt_use</t>
  </si>
  <si>
    <t>Use</t>
  </si>
  <si>
    <t>استخدام</t>
  </si>
  <si>
    <t>Употреба</t>
  </si>
  <si>
    <t>Použití</t>
  </si>
  <si>
    <t>Brug</t>
  </si>
  <si>
    <t>Nutze</t>
  </si>
  <si>
    <t>Χρήση</t>
  </si>
  <si>
    <t>Usar</t>
  </si>
  <si>
    <t>Käytä</t>
  </si>
  <si>
    <t>Utiliser</t>
  </si>
  <si>
    <t>उपयोग</t>
  </si>
  <si>
    <t>Pakai</t>
  </si>
  <si>
    <t>Uso</t>
  </si>
  <si>
    <t>שימוש</t>
  </si>
  <si>
    <t>使用する</t>
  </si>
  <si>
    <t>Guna</t>
  </si>
  <si>
    <t>Gebruik</t>
  </si>
  <si>
    <t>Bruk</t>
  </si>
  <si>
    <t>Utilizare</t>
  </si>
  <si>
    <t>Использовать</t>
  </si>
  <si>
    <t>Použitie</t>
  </si>
  <si>
    <t>Uporabite</t>
  </si>
  <si>
    <t>Koristi</t>
  </si>
  <si>
    <t>Använd</t>
  </si>
  <si>
    <t>ใช้</t>
  </si>
  <si>
    <t>Kullan</t>
  </si>
  <si>
    <t>Sử dụng</t>
  </si>
  <si>
    <t>使用</t>
  </si>
  <si>
    <t>&gt;使用</t>
  </si>
  <si>
    <t>pref_use_send_button_to_indicate_status</t>
  </si>
  <si>
    <t>Send button indicates status</t>
  </si>
  <si>
    <t>Бутонът за изпращане показва състоянието</t>
  </si>
  <si>
    <t>Botó d\'indicació de l\'estatus enviar</t>
  </si>
  <si>
    <t>\"Senden\"-Schaltfläche zeigt Online-Status an</t>
  </si>
  <si>
    <t>Botón enviar indica estado</t>
  </si>
  <si>
    <t>Statut sur le bouton Envoyer</t>
  </si>
  <si>
    <t>O botón Enviar indica o estado</t>
  </si>
  <si>
    <t>A küldés gomb jelzi az állapotot</t>
  </si>
  <si>
    <t>Tombol kirim menunjukan statusnya</t>
  </si>
  <si>
    <t>Il pulsante di invio indica lo stato</t>
  </si>
  <si>
    <t>送信ボタンにステータスを示す</t>
  </si>
  <si>
    <t>전송 버튼이 상태를 나타냄</t>
  </si>
  <si>
    <t>Verstuur-knop toont status aan</t>
  </si>
  <si>
    <t>Przycisk wysyłania wskazuje status</t>
  </si>
  <si>
    <t>O botão de enviar indica o estado</t>
  </si>
  <si>
    <t>Использовать кнопку-индикатор</t>
  </si>
  <si>
    <t>Tlačidlo pre odoslanie zobrazuje stav</t>
  </si>
  <si>
    <t>Дугме слања показује стање</t>
  </si>
  <si>
    <t>Skickaknappen indikerar status</t>
  </si>
  <si>
    <t>Кнопка відправки показує стан</t>
  </si>
  <si>
    <t>Nút gửi biểu thị trạng thái</t>
  </si>
  <si>
    <t>發送按鈕顯示狀態</t>
  </si>
  <si>
    <t>tt_widget_select_watchlist_title</t>
  </si>
  <si>
    <t>Select watchlist</t>
  </si>
  <si>
    <t>تحديد قائمة متابعة</t>
  </si>
  <si>
    <t>Избери уочлист</t>
  </si>
  <si>
    <t>Vyberte seznam sledovaných položek</t>
  </si>
  <si>
    <t>Vælg overvågningsliste</t>
  </si>
  <si>
    <t>Wähle Watchlist</t>
  </si>
  <si>
    <t>Επιλέξτε λίστα παρακολούθησης</t>
  </si>
  <si>
    <t>Seleccionar lista de seguimiento</t>
  </si>
  <si>
    <t>Valitse tarkkailulista</t>
  </si>
  <si>
    <t>Sélectionner la liste personnelle</t>
  </si>
  <si>
    <t>वॉचलिस्ट का चयन करें</t>
  </si>
  <si>
    <t>Figyelőlista kiválasztása</t>
  </si>
  <si>
    <t>Pilih daftar pantauan</t>
  </si>
  <si>
    <t>Scegli il Watchlist</t>
  </si>
  <si>
    <t>בחר רשימת צפייה</t>
  </si>
  <si>
    <t>お気に入りを選択</t>
  </si>
  <si>
    <t>보기목록 선택</t>
  </si>
  <si>
    <t>Pilih senarai pantau</t>
  </si>
  <si>
    <t>Selecteer favorietenlijst</t>
  </si>
  <si>
    <t>Velg overvåkningsliste</t>
  </si>
  <si>
    <t>Wybierz listę obserwowanych</t>
  </si>
  <si>
    <t>Selecionar lista de observações</t>
  </si>
  <si>
    <t>Selectează lista de urmărire</t>
  </si>
  <si>
    <t>Выберите список наблюдения</t>
  </si>
  <si>
    <t>Vyberte sledovaný zoznam</t>
  </si>
  <si>
    <t>Izberite seznam ogledov</t>
  </si>
  <si>
    <t>Izaberi watch listu</t>
  </si>
  <si>
    <t>Välj bevakningslista</t>
  </si>
  <si>
    <t>เลือกรายการหุ้นที่ติดตาม</t>
  </si>
  <si>
    <t>İzleme listesi seç</t>
  </si>
  <si>
    <t>Chọn danh mục theo dõi</t>
  </si>
  <si>
    <t>选择收藏夹</t>
  </si>
  <si>
    <t>&gt;選擇收藏夾</t>
  </si>
  <si>
    <t>tt_load</t>
  </si>
  <si>
    <t>Load</t>
  </si>
  <si>
    <t>تحميل</t>
  </si>
  <si>
    <t>Комисионна за продажби</t>
  </si>
  <si>
    <t>Zatížení</t>
  </si>
  <si>
    <t>Indlæs</t>
  </si>
  <si>
    <t>Laden</t>
  </si>
  <si>
    <t>Φόρτωση</t>
  </si>
  <si>
    <t>Cargar</t>
  </si>
  <si>
    <t>Lataa</t>
  </si>
  <si>
    <t>Charger</t>
  </si>
  <si>
    <t>लोड करें</t>
  </si>
  <si>
    <t>Betöltés</t>
  </si>
  <si>
    <t>Muatk</t>
  </si>
  <si>
    <t>Carica</t>
  </si>
  <si>
    <t>עומס</t>
  </si>
  <si>
    <t>読み込み</t>
  </si>
  <si>
    <t>불러오기</t>
  </si>
  <si>
    <t>Muatkan</t>
  </si>
  <si>
    <t>Last inn</t>
  </si>
  <si>
    <t>Załaduj</t>
  </si>
  <si>
    <t>Carregar</t>
  </si>
  <si>
    <t>Încarcă</t>
  </si>
  <si>
    <t>Загрузка</t>
  </si>
  <si>
    <t>Načítať</t>
  </si>
  <si>
    <t>Obremenite</t>
  </si>
  <si>
    <t>Učitaj</t>
  </si>
  <si>
    <t>Läs in</t>
  </si>
  <si>
    <t>โหลด</t>
  </si>
  <si>
    <t>Yükle</t>
  </si>
  <si>
    <t>Tải</t>
  </si>
  <si>
    <t>加载</t>
  </si>
  <si>
    <t>tt_limit_added</t>
  </si>
  <si>
    <t>Alert added!</t>
  </si>
  <si>
    <t>تم إضافة تنبيه!</t>
  </si>
  <si>
    <t>Сигналът е добавен!</t>
  </si>
  <si>
    <t>Upozornění přidáno!</t>
  </si>
  <si>
    <t>Alarm tilføjet!</t>
  </si>
  <si>
    <t>Limit hinzugefügt!</t>
  </si>
  <si>
    <t>Η ειδοποίηση προστέθηκε!</t>
  </si>
  <si>
    <t>¡Alerta agregada!</t>
  </si>
  <si>
    <t>Hälytys lisätty!</t>
  </si>
  <si>
    <t>Alerte ajoutée!</t>
  </si>
  <si>
    <t>अलर्ट जोड़ा गया!</t>
  </si>
  <si>
    <t>Limit hozzáadva!</t>
  </si>
  <si>
    <t>Keterangan ditambah!</t>
  </si>
  <si>
    <t>Avviso aggiunto</t>
  </si>
  <si>
    <t>נוספה התראה!</t>
  </si>
  <si>
    <t>制限追加</t>
  </si>
  <si>
    <t>알람이 추가되었습니다!</t>
  </si>
  <si>
    <t>Makluman ditambah!</t>
  </si>
  <si>
    <t>Notificatie toegevoegd!</t>
  </si>
  <si>
    <t>Varsel lagt til!</t>
  </si>
  <si>
    <t>Limit dodany!</t>
  </si>
  <si>
    <t>Limite adicionado!</t>
  </si>
  <si>
    <t>Alertă adăugată!</t>
  </si>
  <si>
    <t>Предельная стоимость установлена!</t>
  </si>
  <si>
    <t>Upozornenie bolo pridané!</t>
  </si>
  <si>
    <t>Opozorilo je dodano!</t>
  </si>
  <si>
    <t>Varning tillagd!</t>
  </si>
  <si>
    <t>เพิ่มการแจ้งเตือนแล้ว!</t>
  </si>
  <si>
    <t>Uyarı eklendi!</t>
  </si>
  <si>
    <t>Đã thêm cảnh báo!</t>
  </si>
  <si>
    <t>增加警示讯息</t>
  </si>
  <si>
    <t>&gt;增加警示訊息</t>
  </si>
  <si>
    <t>tt_news_notifications</t>
  </si>
  <si>
    <t>News notifications</t>
  </si>
  <si>
    <t>إشعارات الأخبار</t>
  </si>
  <si>
    <t>Известия за новини</t>
  </si>
  <si>
    <t>Oznamování zpráv</t>
  </si>
  <si>
    <t>Nyhedsmeddelelser</t>
  </si>
  <si>
    <t>Nachrichtenalarme</t>
  </si>
  <si>
    <t>Ειδοποιήσεις ειδήσεων</t>
  </si>
  <si>
    <t>Notificaciones de noticias</t>
  </si>
  <si>
    <t>Uutisilmoitukset</t>
  </si>
  <si>
    <t>Alertes "Actualités"</t>
  </si>
  <si>
    <t>समाचार नोटिफिकेशन</t>
  </si>
  <si>
    <t>Hír értesítések</t>
  </si>
  <si>
    <t>Pemberitahuan berita</t>
  </si>
  <si>
    <t>Notifiche di notizie</t>
  </si>
  <si>
    <t>התראות חדשות</t>
  </si>
  <si>
    <t>ニュース通知</t>
  </si>
  <si>
    <t>뉴스 알림</t>
  </si>
  <si>
    <t>Nieuwsberichten</t>
  </si>
  <si>
    <t>Nyhetsvarsler</t>
  </si>
  <si>
    <t>Powiadomienia o wiadomościach</t>
  </si>
  <si>
    <t>Notificações de notícias</t>
  </si>
  <si>
    <t>Notificări știri</t>
  </si>
  <si>
    <t>Уведомления о новостях</t>
  </si>
  <si>
    <t>Upozornenia na správy</t>
  </si>
  <si>
    <t>Obvestila novic</t>
  </si>
  <si>
    <t>Notifikacije za vesti</t>
  </si>
  <si>
    <t>Nyhetsmeddelanden</t>
  </si>
  <si>
    <t>การแจ้งเตือนข่าว</t>
  </si>
  <si>
    <t>Haber bildirimleri</t>
  </si>
  <si>
    <t>Thông báo tin tức</t>
  </si>
  <si>
    <t>新闻通知</t>
  </si>
  <si>
    <t>serbia</t>
  </si>
  <si>
    <t>Serbia</t>
  </si>
  <si>
    <t>Serbien</t>
  </si>
  <si>
    <t>Serbie</t>
  </si>
  <si>
    <t>Сербия</t>
  </si>
  <si>
    <t>Srbija</t>
  </si>
  <si>
    <t>cape_verde</t>
  </si>
  <si>
    <t>Cape Verde</t>
  </si>
  <si>
    <t>Kap Verde</t>
  </si>
  <si>
    <t>Cabo Verde</t>
  </si>
  <si>
    <t>Cap-Vert</t>
  </si>
  <si>
    <t>Кабо-Верде</t>
  </si>
  <si>
    <t>Kape Verde</t>
  </si>
  <si>
    <t>tt_widget_enable_updates_summary</t>
  </si>
  <si>
    <t>Enable or disable data updates</t>
  </si>
  <si>
    <t>تمكين أو تعطيل تحديثات البيانات</t>
  </si>
  <si>
    <t>Активиране или деактивиране на актуализациите на данни</t>
  </si>
  <si>
    <t>Povolit nebo zakázat aktualizace dat</t>
  </si>
  <si>
    <t>Aktivér eller deaktiver dataopdateringer</t>
  </si>
  <si>
    <t>Aktiviere oder deaktiviere Kursaktualisierungen</t>
  </si>
  <si>
    <t>Ενεργοποίηση ή απενεργοποίηση ενημερώσεων δεδομένων</t>
  </si>
  <si>
    <t>Activar o desactivar actualización de datos</t>
  </si>
  <si>
    <t>Ota päivitykset käyttöön tai poista ne käytöstä</t>
  </si>
  <si>
    <t>Activer ou désactiver la mise à jour automatique</t>
  </si>
  <si>
    <t>डेटा अपडेटों को इनेबल या डिसेबल करें</t>
  </si>
  <si>
    <t>Frissítése engedélyezése vagy tiltása</t>
  </si>
  <si>
    <t>Aktifkan atau nonaktifkan pembaruan data</t>
  </si>
  <si>
    <t>Abilita o disabilita gli aggiornamenti</t>
  </si>
  <si>
    <t>הפעל או השבת עדכוני נתונים</t>
  </si>
  <si>
    <t>ﾃﾞｰﾀのアップデート可または不可</t>
  </si>
  <si>
    <t>데이터 업데이트 사용 또는 사용 중지</t>
  </si>
  <si>
    <t>Dayakan atau nyahdayakan kemas kini data</t>
  </si>
  <si>
    <t>Stel in of annuleer data updates</t>
  </si>
  <si>
    <t>Aktiver eller deaktiver dataoppdateringer</t>
  </si>
  <si>
    <t>Włącz lub wyłącz aktualizacje danych</t>
  </si>
  <si>
    <t>Habilitar ou desabilitar as atualizações de dados</t>
  </si>
  <si>
    <t>Activează sau dezactivează actualizările de date</t>
  </si>
  <si>
    <t>Включить или отключить обновление данных</t>
  </si>
  <si>
    <t>Povoliť alebo zakázať aktualizácie údajov</t>
  </si>
  <si>
    <t>Omogoči ali onemogoči posodobitve podatkov</t>
  </si>
  <si>
    <t>Omogući ili onemogući ažuriranje podataka</t>
  </si>
  <si>
    <t>Aktivera eller inaktivera datauppdateringar</t>
  </si>
  <si>
    <t>เปิดหรือปิดใช้งานการอัปเดตข้อมูล</t>
  </si>
  <si>
    <t>Veri güncellemelerini etkinleştir veya devre dışı bırak</t>
  </si>
  <si>
    <t>Bật hoặc tắt cập nhật dữ liệu</t>
  </si>
  <si>
    <t>允许或禁止数据更新</t>
  </si>
  <si>
    <t>&gt;允許或禁止數據更新</t>
  </si>
  <si>
    <t>clear_other_devices_desc</t>
  </si>
  <si>
    <t>Are you sure you want to clear all other devices from the OMEMO announcement? The next time your devices connect, they will reannounce themselves, but they might not receive messages sent in the meantime.</t>
  </si>
  <si>
    <t>Сигурни ли сте, че искате да премахнете всички останали устройства от обявлението OMEMO? Следващия път, когато устройствата Ви се свържат, те ще обявят себе си отново, но може да не получат съобщенията, изпратени междувременно.</t>
  </si>
  <si>
    <t>Estàs segur que vols esborrar tots els altres dispositius de l\'anunci OMEMO? La propera vegada que connectin els vostres dispositius, es tornaran a anunciar, però és possible que no rebeu missatges enviats mentre mentrestant.</t>
  </si>
  <si>
    <t>Alle anderen Geräte aus der OMEMO-Bekanntmachung entfernen? Die Bekanntmachung wird bei der nächsten Verbindung erneuert, möglicherweise werden aber nicht alle Nachrichten empfangen, die in der Zwischenzeit versendet wurden.</t>
  </si>
  <si>
    <t>¿Estás seguro de que quieres limpiar todos los otros dispositivos del anuncio OMEMO? La próxima vez que tus dispositivos conecten, tendrán que volver a anunciarse, pero estos podrían no recibir los mensajes enviados durante el proceso.</t>
  </si>
  <si>
    <t>Êtes-vous sûr de vouloir supprimer les autres appareils de l\'annonce OMEMO ? Ils s\'annonceront de nouveau à leur prochaine connexion, mais ils peuvent ne pas recevoir les messages envoyés entre temps.</t>
  </si>
  <si>
    <t>Está segura de que quere eliminar todos os outros dispositivos da declaración OMEMO? A próxima vez que se conecten os seus dispositivos estos voltarán a anunciarse pero non rebirán mensaxes enviados mentras tanto.</t>
  </si>
  <si>
    <t>Biztosan törölni kívánja az összes többi eszközt az OMEMO bejelentéséből? A következő alkalommal, amikor a készülékei csatlakoznak, újra bejelentik magukat, de előfordulhat, hogy nem kapják meg az időközben elküldött üzeneteket.</t>
  </si>
  <si>
    <t>Sei sicuro/a di voler rimuovere tutti gli altri dispositivi dall\'annuncio OMEMO? La prossima volta che si connetteranno si riannunceranno, ma potrebbero non ricevere i messaggi inviati nel frattempo.</t>
  </si>
  <si>
    <t>OMEMO のアナウンスから他のすべてのデバイスをクリアしてもよろしいですか? お使いのデバイスが次回接続したとき、それらは自分自身を再アナウンスしますが、それらはその間に送信されたメッセージを受信できない場合があります。</t>
  </si>
  <si>
    <t>OMEMO 선언으로부터 모든 기기를 지우시겠습니까? 다음에 기기들이 접속할 때, 기기들이 스스로 다시 선언하지만, 그 동안에 보내진 메세지는 받지 못할수도 있습니다.</t>
  </si>
  <si>
    <t>Weet je zeker dat je alle andere apparaten uit de OMEMO-aankondiging wilt weglaten? De volgende keer dat je apparaten verbinding maken zullen ze zich opnieuw aankondigen, maar zullen ze misschien niet de berichten ontvangen die in de tussentijd zijn verzonden.</t>
  </si>
  <si>
    <t>Czy na pewno chcesz usunąć wszystkie inne urządzenia z ogłoszenia OMEMO? Następnym razem gdy połączą się Twoje urdzącenia, ogłoszą się one ponownie, ale mogą nie otrzymać wiadomości wysłanych w międzyczasie.</t>
  </si>
  <si>
    <t>Tem a certeza que quer apagar todos os outros dispositivos do anúncio OMEMO? A próxima vez que os seus dispositivos se conectem, irão ser eles mesmos a fazerem o anúncio novamente, mas podem não receber as mensagems enviadas entretanto.</t>
  </si>
  <si>
    <t>Вы уверены, что хотите очистить все остальные устройства из анонса ключей OMEMO? При соединении устройств в следующий раз новые ключи анонсируются автоматически, но устройства могут не получить сообщения, посланные до этого.</t>
  </si>
  <si>
    <t>Желите ли заиста да уклоните све остале уређаје са ОМЕМО објаве? Када се ваши уређаји следећи пут повежу, објавиће се сами, али у међувремену можда неће примати поруке.</t>
  </si>
  <si>
    <t>Är du säker på att du vill rensa alla andra enheter från OMEMO-annonsering? Nästa gång dina enheter ansluter kommer de att återannonsera sig, men de kanske inte tar emot enheter under tiden.</t>
  </si>
  <si>
    <t>Ви певні, що хочете стерти всі інші пристрої з OMEMO-оголошення? Наступного разу, коли Ваші пристрої приєднаються, вони знову оголосять про себе, але вони можуть не отримати повідомлення, які можуть бути надіслані тим часом.</t>
  </si>
  <si>
    <t>Có chắc là bạn muốn xoá toàn bộ các thiết bị khác khỏi thông báo OMEMO? Lần sau khi kết nối, các thiết bị sẽ tự thông báo lại nhưng có khả năng chúng sẽ không nhận được tin nhắn đã gửi trong khoảng thời gian đó.</t>
  </si>
  <si>
    <t>你想清除所有其他設備的 OMEMO 通告？下次你的設備連接，將會重新收到通告，但也許將不會收到當時你發送的訊息。</t>
  </si>
  <si>
    <t>unable_to_find_server</t>
  </si>
  <si>
    <t>Unable to find server.</t>
  </si>
  <si>
    <t>Сървърът не може да бъде намерен.</t>
  </si>
  <si>
    <t>Server konnte nicht gefunden werden.</t>
  </si>
  <si>
    <t>No se ha podido encontrar el servidor.</t>
  </si>
  <si>
    <t>Non se atopou o servidor.</t>
  </si>
  <si>
    <t>Nem sikerül szervert találni.</t>
  </si>
  <si>
    <t>Impossibile trovare il server.</t>
  </si>
  <si>
    <t>Kan server niet vinden.</t>
  </si>
  <si>
    <t>Nie można znaleźć serwera.</t>
  </si>
  <si>
    <t>logged_in_with_another_device</t>
  </si>
  <si>
    <t>This phone number is currently logged in with another device.</t>
  </si>
  <si>
    <t>Този телефонен номер в момента се използва на друго устройство.</t>
  </si>
  <si>
    <t>Diese Telefonnummer ist derzeit mit einem anderen Gerät verknüpft.</t>
  </si>
  <si>
    <t>Este teléfono está registrado en otro dispositivo.</t>
  </si>
  <si>
    <t>Este número de teléfono está actualmente ligado a outro dispositivo.</t>
  </si>
  <si>
    <t>Ez a telefonszám jelenleg egy másik eszközzel van bejelentkezve.</t>
  </si>
  <si>
    <t>Questo numero di telefono è attualmente connesso con un altro dispositivo.</t>
  </si>
  <si>
    <t>Dit telefoonnummer is al in gebruik op een ander apparaat.</t>
  </si>
  <si>
    <t>Twój numer telefonu jest aktualnie zalogowany na innym urządzeniu.</t>
  </si>
  <si>
    <t>start_orbot</t>
  </si>
  <si>
    <t>Start Orbot</t>
  </si>
  <si>
    <t>Пускане на Orbot</t>
  </si>
  <si>
    <t>Orbot starten</t>
  </si>
  <si>
    <t>Iniciar Orbot</t>
  </si>
  <si>
    <t>Avvia Orbot</t>
  </si>
  <si>
    <t>Uruchom Orbot</t>
  </si>
  <si>
    <t>Orbot\'u başlat</t>
  </si>
  <si>
    <t>account_status_regis_web</t>
  </si>
  <si>
    <t>Server requires registration on website</t>
  </si>
  <si>
    <t>لا يمكن تسجيل حسابات على هذا الخادوم إلا عبر موقع الويب</t>
  </si>
  <si>
    <t>Сървърът изисква регистриране чрез уеб сайт</t>
  </si>
  <si>
    <t>El servidor requereix el registre al lloc web</t>
  </si>
  <si>
    <t>Der Server benötigt eine Registrierung auf einer Website</t>
  </si>
  <si>
    <t>El servidor requiere registro en su página web</t>
  </si>
  <si>
    <t>Le serveur nécessite une identification sur son site web</t>
  </si>
  <si>
    <t>O servidor require rexistro no sitio web</t>
  </si>
  <si>
    <t>A szervernek regisztrációra van szüksége a weboldalon</t>
  </si>
  <si>
    <t>Il server richiede la registrazione sul sito</t>
  </si>
  <si>
    <t>サーバーはWebサイトでの登録が必要です</t>
  </si>
  <si>
    <t>Server vereist registratie op website</t>
  </si>
  <si>
    <t>Serwer wymaga rejestracji na stronie</t>
  </si>
  <si>
    <t>Сервер требует регистрации на сайте</t>
  </si>
  <si>
    <t>Сервер захтева регистрацију на сајту</t>
  </si>
  <si>
    <t>Сервер вимагає реєстрації через сайт</t>
  </si>
  <si>
    <t>tt_metals</t>
  </si>
  <si>
    <t>Metals</t>
  </si>
  <si>
    <t>المعادن</t>
  </si>
  <si>
    <t>Метали</t>
  </si>
  <si>
    <t>Kovy</t>
  </si>
  <si>
    <t>Metaller</t>
  </si>
  <si>
    <t>Μέταλλα</t>
  </si>
  <si>
    <t>Metales</t>
  </si>
  <si>
    <t>Metallit</t>
  </si>
  <si>
    <t>Métaux</t>
  </si>
  <si>
    <t>धातुएँ</t>
  </si>
  <si>
    <t>Fémek</t>
  </si>
  <si>
    <t>Logam</t>
  </si>
  <si>
    <t>Metalli</t>
  </si>
  <si>
    <t>מתכות</t>
  </si>
  <si>
    <t>금속</t>
  </si>
  <si>
    <t>Metalen</t>
  </si>
  <si>
    <t>Металлы</t>
  </si>
  <si>
    <t>Kovine</t>
  </si>
  <si>
    <t>โลหะ</t>
  </si>
  <si>
    <t>Kim loại quý</t>
  </si>
  <si>
    <t>mongolia</t>
  </si>
  <si>
    <t>Mongolia</t>
  </si>
  <si>
    <t>Mongolei</t>
  </si>
  <si>
    <t>Mongolie</t>
  </si>
  <si>
    <t>Монголия</t>
  </si>
  <si>
    <t>conversations_foreground_service</t>
  </si>
  <si>
    <t>Conversations</t>
  </si>
  <si>
    <t>المحادثات</t>
  </si>
  <si>
    <t>Converses</t>
  </si>
  <si>
    <t>Beszélgetések</t>
  </si>
  <si>
    <t>Percakapan</t>
  </si>
  <si>
    <t>Konverzácie</t>
  </si>
  <si>
    <t>Конверзација</t>
  </si>
  <si>
    <t>Розмови</t>
  </si>
  <si>
    <t>tt_daterange_5years</t>
  </si>
  <si>
    <t>4 ans</t>
  </si>
  <si>
    <t>5 Yıl</t>
  </si>
  <si>
    <t>tt_screener_net_margin</t>
  </si>
  <si>
    <t>TTM Net Margin (US)</t>
  </si>
  <si>
    <t>صافي الهامش لأثني عشر شهرًا متتاليًا (الولايات المتحدة)</t>
  </si>
  <si>
    <t>Нет марж на TTM (САЩ)</t>
  </si>
  <si>
    <t>Čistá marže TTM (USA)</t>
  </si>
  <si>
    <t>TTM Nettomargin (US)</t>
  </si>
  <si>
    <t>Kαθαρό περιθώριο TTM (ΗΠΑ)</t>
  </si>
  <si>
    <t>Margen neto de los últimos 12 meses (USA)</t>
  </si>
  <si>
    <t>TTM-nettokate (Yhdysvallat)</t>
  </si>
  <si>
    <t>Marge Nette TTM (US)</t>
  </si>
  <si>
    <t>टीटीएम नेट मार्जिन (यूएस)</t>
  </si>
  <si>
    <t>Margin Bersih TTM (AS)</t>
  </si>
  <si>
    <t>TTM Margine di profitto (US)</t>
  </si>
  <si>
    <t>שיעור רווח נקי (12 חודשים אחרונים) (ארה"ב)</t>
  </si>
  <si>
    <t>TTM純利益率</t>
  </si>
  <si>
    <t>TTM 순영업이익(US)</t>
  </si>
  <si>
    <t>TTM-nettomargin (VS)</t>
  </si>
  <si>
    <t>TTM-nettomargin (US)</t>
  </si>
  <si>
    <t>Marża netto</t>
  </si>
  <si>
    <t>Margem Líquida TTM (US)</t>
  </si>
  <si>
    <t>Marja Netă TTM (SUA)</t>
  </si>
  <si>
    <t>Маржа чистой прибыли (за последние 12 месяцев, США)</t>
  </si>
  <si>
    <t>Čistá marža TTM (USA)</t>
  </si>
  <si>
    <t>TTM neto marža (ZDA)</t>
  </si>
  <si>
    <t>Neto Margina (TTM)</t>
  </si>
  <si>
    <t>TTM Net Margin (USA)</t>
  </si>
  <si>
    <t>อัตรา TTM สุทธิ (US)</t>
  </si>
  <si>
    <t>TTM Net Marj (ABD)</t>
  </si>
  <si>
    <t>Biên ròng TTM (Mỹ)</t>
  </si>
  <si>
    <t>TTM 净利率（美元）</t>
  </si>
  <si>
    <t>action_edit_contact</t>
  </si>
  <si>
    <t>Edit name</t>
  </si>
  <si>
    <t>تعديل الإسم</t>
  </si>
  <si>
    <t>Редактиране на името</t>
  </si>
  <si>
    <t>Edita el nom</t>
  </si>
  <si>
    <t>Namen bearbeiten</t>
  </si>
  <si>
    <t>Editar contacto</t>
  </si>
  <si>
    <t>Modifier le nom</t>
  </si>
  <si>
    <t>Név szerkesztése</t>
  </si>
  <si>
    <t>Ubah Nama</t>
  </si>
  <si>
    <t>Modifica il nome</t>
  </si>
  <si>
    <t>名前の編集</t>
  </si>
  <si>
    <t>이름 편집</t>
  </si>
  <si>
    <t>Naam veranderen</t>
  </si>
  <si>
    <t>Edytuj nazwę</t>
  </si>
  <si>
    <t>Editar nome</t>
  </si>
  <si>
    <t>Редактировать контакт</t>
  </si>
  <si>
    <t>Upraviť meno</t>
  </si>
  <si>
    <t>Уреди име</t>
  </si>
  <si>
    <t>Ändra namn</t>
  </si>
  <si>
    <t>Редагувати ім\'я</t>
  </si>
  <si>
    <t>Chỉnh sửa tên</t>
  </si>
  <si>
    <t>編輯姓名</t>
  </si>
  <si>
    <t>invalid_user_input</t>
  </si>
  <si>
    <t>Invalid user input</t>
  </si>
  <si>
    <t>Неправилно въведени данни</t>
  </si>
  <si>
    <t>Ungültige Benutzereingabe</t>
  </si>
  <si>
    <t>Entrada de usuario no válida</t>
  </si>
  <si>
    <t>Datos inválidos do usuario</t>
  </si>
  <si>
    <t>Érvénytelen felhasználói bevitel</t>
  </si>
  <si>
    <t>Input utente non valido</t>
  </si>
  <si>
    <t>Ongeldige gebruikersinvoer</t>
  </si>
  <si>
    <t>Nieprawidłowa wartość użytkownika</t>
  </si>
  <si>
    <t>tt_pricepages</t>
  </si>
  <si>
    <t>Price pages</t>
  </si>
  <si>
    <t>صفحات الأسعار</t>
  </si>
  <si>
    <t>Страници с цени</t>
  </si>
  <si>
    <t>Stránky cen</t>
  </si>
  <si>
    <t>Prissider</t>
  </si>
  <si>
    <t>Kurslisten</t>
  </si>
  <si>
    <t>Σελίδες τιμών</t>
  </si>
  <si>
    <t>Listas de cotizaciones</t>
  </si>
  <si>
    <t>Hintasivut</t>
  </si>
  <si>
    <t>Price Pages</t>
  </si>
  <si>
    <t>मूल्य पृष्ठ</t>
  </si>
  <si>
    <t>Ároldalak</t>
  </si>
  <si>
    <t>Halaman harga</t>
  </si>
  <si>
    <t>Pagine di prezzi</t>
  </si>
  <si>
    <t>דפי מחירים</t>
  </si>
  <si>
    <t>価格ページ</t>
  </si>
  <si>
    <t>가격 페이지</t>
  </si>
  <si>
    <t>Prijspagina’s</t>
  </si>
  <si>
    <t>Lista cen</t>
  </si>
  <si>
    <t>Páginas de preço</t>
  </si>
  <si>
    <t>Pagini de preț</t>
  </si>
  <si>
    <t>Расценки</t>
  </si>
  <si>
    <t>Stránky s cenami</t>
  </si>
  <si>
    <t>Strani s cenami</t>
  </si>
  <si>
    <t>Glavna tabla</t>
  </si>
  <si>
    <t>Prissidor</t>
  </si>
  <si>
    <t>ดัชนีราคา</t>
  </si>
  <si>
    <t>Fiyat sayfaları</t>
  </si>
  <si>
    <t>Trang giá</t>
  </si>
  <si>
    <t>价格页面</t>
  </si>
  <si>
    <t>&gt;價格頁面</t>
  </si>
  <si>
    <t>tt_bid_ask_size_ratio</t>
  </si>
  <si>
    <t>Size ratio</t>
  </si>
  <si>
    <t>نسبة الحجم</t>
  </si>
  <si>
    <t>Съотношение на размера</t>
  </si>
  <si>
    <t>Poměr velikosti</t>
  </si>
  <si>
    <t>Størrelsesratioer</t>
  </si>
  <si>
    <t>Größenverhältnis</t>
  </si>
  <si>
    <t>Αναλογία μεγέθους</t>
  </si>
  <si>
    <t>Relación de tamaño</t>
  </si>
  <si>
    <t>Kokosuhde</t>
  </si>
  <si>
    <t>आकार अनुपात</t>
  </si>
  <si>
    <t>Rasio ukuran</t>
  </si>
  <si>
    <t>Rapporto della dimensione</t>
  </si>
  <si>
    <t>יחס גודל</t>
  </si>
  <si>
    <t>売買高比率</t>
  </si>
  <si>
    <t>크기 비율</t>
  </si>
  <si>
    <t>Nisbah saiz</t>
  </si>
  <si>
    <t>Grootte ratio</t>
  </si>
  <si>
    <t>Størrelsesforhold</t>
  </si>
  <si>
    <t>Proporção de tamanho</t>
  </si>
  <si>
    <t>Raportul de mărime</t>
  </si>
  <si>
    <t>Коэф. размера</t>
  </si>
  <si>
    <t>Pomer veľkosti</t>
  </si>
  <si>
    <t>Razmerje velikosti</t>
  </si>
  <si>
    <t>Storleksförhållande</t>
  </si>
  <si>
    <t>อัตราส่วนขนาด</t>
  </si>
  <si>
    <t>Boyut oranı</t>
  </si>
  <si>
    <t>Hệ số kích thước</t>
  </si>
  <si>
    <t>大小比例</t>
  </si>
  <si>
    <t>&gt;大小比例</t>
  </si>
  <si>
    <t>quote</t>
  </si>
  <si>
    <t>Quote</t>
  </si>
  <si>
    <t>إقتبس</t>
  </si>
  <si>
    <t>Цитат</t>
  </si>
  <si>
    <t>Cita</t>
  </si>
  <si>
    <t>Zitat</t>
  </si>
  <si>
    <t>Citar</t>
  </si>
  <si>
    <t>Citation</t>
  </si>
  <si>
    <t>Idéz</t>
  </si>
  <si>
    <t>引用</t>
  </si>
  <si>
    <t>인용</t>
  </si>
  <si>
    <t>Citeren</t>
  </si>
  <si>
    <t>Cytat</t>
  </si>
  <si>
    <t>Цитировать</t>
  </si>
  <si>
    <t>Цитирај</t>
  </si>
  <si>
    <t>Citera</t>
  </si>
  <si>
    <t>Цитувати</t>
  </si>
  <si>
    <t>download_failed_could_not_connect</t>
  </si>
  <si>
    <t>Download failed: Could not connect to host</t>
  </si>
  <si>
    <t>فشل التنزيل : لا يمكن الاتصال بالسيرفر</t>
  </si>
  <si>
    <t>Неуспешно сваляне: Неуспешна връзка със сървъра</t>
  </si>
  <si>
    <t>S\'ha produït un error en la baixada: no s\'ha pogut connectar al servidor</t>
  </si>
  <si>
    <t>Download fehlgeschlagen: keine Verbindung zum Host</t>
  </si>
  <si>
    <t>Error al descargar: No se ha podido conectar con el servidor</t>
  </si>
  <si>
    <t>Échec du téléchargement : impossible de se connecter à l\'hôte</t>
  </si>
  <si>
    <t>Fallou a descarga: Non se puido conectar ao servidor</t>
  </si>
  <si>
    <t>Letöltés sikertelen: Nem sikerült csatlakozni a fogadó félhez</t>
  </si>
  <si>
    <t>Unduhan gagal: Tidak dapat terhubung ke host</t>
  </si>
  <si>
    <t>Scaricamento fallito: impossibile connettersi all\'host</t>
  </si>
  <si>
    <t>ダウンロードに失敗しました: ホストに接続できませんでした</t>
  </si>
  <si>
    <t>다운도륻 실패: 호스트에 접속할 수 없음</t>
  </si>
  <si>
    <t>Downloaden mislukt: kon geen verbinding maken met host</t>
  </si>
  <si>
    <t>Pobieranie nieudane: Nie można połączyć z hostem</t>
  </si>
  <si>
    <t>Transferência falhou: Não foi possível conectar ao host</t>
  </si>
  <si>
    <t>Загрузка не удалась: не удалось подключиться к серверу</t>
  </si>
  <si>
    <t>Преузимање није успело: не могох да се повежем са домаћином</t>
  </si>
  <si>
    <t>Nerladdningen gick fel: Kunder inte ansluta till server</t>
  </si>
  <si>
    <t>Завантаження не вдалося: Не вийшло з\'яєднатися з хостом</t>
  </si>
  <si>
    <t>Tải xuống thất bại: Không thể kết nối đến máy chủ</t>
  </si>
  <si>
    <t>下載失敗：無法連接到伺服器</t>
  </si>
  <si>
    <t>server_info_show_more</t>
  </si>
  <si>
    <t>Server info</t>
  </si>
  <si>
    <t>معلومات عن المضيف</t>
  </si>
  <si>
    <t>Инф. за сървъра</t>
  </si>
  <si>
    <t>Informació del servidor</t>
  </si>
  <si>
    <t>Server-Info</t>
  </si>
  <si>
    <t>Información de servidor</t>
  </si>
  <si>
    <t>Infos sur le serveur</t>
  </si>
  <si>
    <t>Info do servidor</t>
  </si>
  <si>
    <t>Szerver részletek</t>
  </si>
  <si>
    <t>Info Server</t>
  </si>
  <si>
    <t>Info server</t>
  </si>
  <si>
    <t>サーバー情報</t>
  </si>
  <si>
    <t>서버 정보</t>
  </si>
  <si>
    <t>Server-info</t>
  </si>
  <si>
    <t>Informacje o serwerze</t>
  </si>
  <si>
    <t>Informações do servidor</t>
  </si>
  <si>
    <t>Информация о сервере</t>
  </si>
  <si>
    <t>Informácie o serveri</t>
  </si>
  <si>
    <t>Подаци о серверу</t>
  </si>
  <si>
    <t>Інформація про сервер</t>
  </si>
  <si>
    <t>Thông tin máy chủ</t>
  </si>
  <si>
    <t>伺服器資訊</t>
  </si>
  <si>
    <t>medium</t>
  </si>
  <si>
    <t>Среден</t>
  </si>
  <si>
    <t>Mitjana</t>
  </si>
  <si>
    <t>Moyenne</t>
  </si>
  <si>
    <t>Mediana</t>
  </si>
  <si>
    <t>Közepes</t>
  </si>
  <si>
    <t>Gemiddeld</t>
  </si>
  <si>
    <t>Średnia</t>
  </si>
  <si>
    <t>適中</t>
  </si>
  <si>
    <t>tt_template_successfully_reset</t>
  </si>
  <si>
    <t>Chart-Template was reset!</t>
  </si>
  <si>
    <t>تم إعادة تعيين قالب المخطط!</t>
  </si>
  <si>
    <t>Графиката-шаблон е нулирана!</t>
  </si>
  <si>
    <t>Šablona grafu byla resetována!</t>
  </si>
  <si>
    <t>Diagram-Skabelon blev nulstillet!</t>
  </si>
  <si>
    <t>Chart-Vorlage wurde zurückgesetzt!</t>
  </si>
  <si>
    <t>Επαναφορά του προτύπου γραφήματος!</t>
  </si>
  <si>
    <t>¡Chart-Template se restableció!</t>
  </si>
  <si>
    <t>Kaaviomalli nollattiin!</t>
  </si>
  <si>
    <t>Modèle de graphique réinitialisé!</t>
  </si>
  <si>
    <t>चार्ट-टेम्पलेट को रीसेट किया गया था!</t>
  </si>
  <si>
    <t>Chart-Template was reseted!</t>
  </si>
  <si>
    <t>Template Chart telah di setel ulang!</t>
  </si>
  <si>
    <t>Modello di grafico è stato resettato!</t>
  </si>
  <si>
    <t>תבנית התרשים אופסה!</t>
  </si>
  <si>
    <t>チャート・テンプレートがリセットされました</t>
  </si>
  <si>
    <t>차트-템플릿이 초기화되었습니다!</t>
  </si>
  <si>
    <t>Templat Carta telah ditetapkan semula!</t>
  </si>
  <si>
    <t>Grafiek- Template is hersteld!</t>
  </si>
  <si>
    <t>Diagrammal ble tilbakestilt!</t>
  </si>
  <si>
    <t>Szablon wykresu został zresetowany!</t>
  </si>
  <si>
    <t>Modelo de gráfico foi redefinido</t>
  </si>
  <si>
    <t>Graficul-Șablon a fost resetat!</t>
  </si>
  <si>
    <t>Графический шаблон перезапущен</t>
  </si>
  <si>
    <t>Šablóna grafu bola obnovená!</t>
  </si>
  <si>
    <t>Obrazec grafikona je bil ponastavljen!</t>
  </si>
  <si>
    <t>Čart obrasci su resetovani!</t>
  </si>
  <si>
    <t>Diagrammallen återställdes!</t>
  </si>
  <si>
    <t>รีเซ็ตเท็มเพล็ตแผนภูมิแล้ว</t>
  </si>
  <si>
    <t>Grafik-Şablon sıfırlandı!</t>
  </si>
  <si>
    <t>Đã đặt lại mẫu biểu đồ</t>
  </si>
  <si>
    <t>图表模板已被重置！</t>
  </si>
  <si>
    <t>&gt;圖表模板已被重置!</t>
  </si>
  <si>
    <t>tt_knock_out_date</t>
  </si>
  <si>
    <t>Knock-Out date</t>
  </si>
  <si>
    <t>تاريخ الخروج</t>
  </si>
  <si>
    <t>Нокаут дата</t>
  </si>
  <si>
    <t>Datum vyřazení</t>
  </si>
  <si>
    <t>Knock-Out-dato</t>
  </si>
  <si>
    <t>Knock-Out Tag</t>
  </si>
  <si>
    <t>Ημερομηνία νοκ-άουτ</t>
  </si>
  <si>
    <t>Fecha de Knock-Out</t>
  </si>
  <si>
    <t>Knock-Out-päivämäärä</t>
  </si>
  <si>
    <t>Date de désactivation</t>
  </si>
  <si>
    <t>नॉक आउट की तिथि</t>
  </si>
  <si>
    <t>Kiütés napja</t>
  </si>
  <si>
    <t>Tanggal Ketuk Keluar</t>
  </si>
  <si>
    <t>Knock-Out data</t>
  </si>
  <si>
    <t>תאריך אופציית חסם יציאה</t>
  </si>
  <si>
    <t>ノックアウトデート</t>
  </si>
  <si>
    <t>조기종료 일자</t>
  </si>
  <si>
    <t>Tarikh Ketuk Keluar</t>
  </si>
  <si>
    <t>Knock-out datum</t>
  </si>
  <si>
    <t>Knockout-dato</t>
  </si>
  <si>
    <t>Data obserwacji bariery</t>
  </si>
  <si>
    <t>Dados de Knock-Out</t>
  </si>
  <si>
    <t>Data Opțiunii Knock-Out</t>
  </si>
  <si>
    <t>Дата нокаута</t>
  </si>
  <si>
    <t>Dátum vyradenia</t>
  </si>
  <si>
    <t>Izstopni datum</t>
  </si>
  <si>
    <t>Knock-Out-datum</t>
  </si>
  <si>
    <t>วันที่ Knock-Out</t>
  </si>
  <si>
    <t>Çok Düşük tarih</t>
  </si>
  <si>
    <t>Ngày loại</t>
  </si>
  <si>
    <t>敲出期权日期</t>
  </si>
  <si>
    <t>add_phone_book_text</t>
  </si>
  <si>
    <t>Do you want to add %s to your address book?</t>
  </si>
  <si>
    <t>هل تود إضافة %s إلى سجل عناوينك ؟</t>
  </si>
  <si>
    <t>Искате ли да добавите %s към адресния си указател?</t>
  </si>
  <si>
    <t>Voleu afegir a %s a la vostra llibreta d\'adreces?</t>
  </si>
  <si>
    <t>%s zum Telefonbuch hinzufügen</t>
  </si>
  <si>
    <t>¿Quieres añadir a %s a tus contactos?</t>
  </si>
  <si>
    <t>Voulez-vous ajouter %s à votre carnet d\'adresses ?</t>
  </si>
  <si>
    <t>Quere engadir a 1%s a súa libreta de enderezos?</t>
  </si>
  <si>
    <t>Szeretnéd %s nevű személyt hozzáadni a névjegyzékhez?</t>
  </si>
  <si>
    <t>Vuoi aggiungere %s alla tua rubrica?</t>
  </si>
  <si>
    <t>%s をお使いのアドレス帳に追加しますか?</t>
  </si>
  <si>
    <t>주소록에 %s를 추가하시겠습니까?</t>
  </si>
  <si>
    <t>Wil je %s toevoegen aan je adresboek?</t>
  </si>
  <si>
    <t>Czy chcesz dodać %s do listy kontaktów?</t>
  </si>
  <si>
    <t>Deseja adicionar %s aos seus contactos?</t>
  </si>
  <si>
    <t>Вы хотите добавить %s в вашу адресную книгу?</t>
  </si>
  <si>
    <t>Желите ли да додате %s у ваш именик?</t>
  </si>
  <si>
    <t>Vill du lägga till %s i din enhets kontakter?</t>
  </si>
  <si>
    <t>Бажаєте додати %s до своєї книги контактів?</t>
  </si>
  <si>
    <t>Bạn có muốn thêm %s vào danh bạ?</t>
  </si>
  <si>
    <t>是否添加 %s 到地址薄？</t>
  </si>
  <si>
    <t>pref_manually_change_presence_summary</t>
  </si>
  <si>
    <t>Set your availability when editing your status message.</t>
  </si>
  <si>
    <t>Задайте присъствието си, когато редактирате съобщението за състоянието си.</t>
  </si>
  <si>
    <t>Establir la vostra disponibilitat en editar el vostre missatge d\'estat.</t>
  </si>
  <si>
    <t>Lege deinen Status fest, wenn du deine Statusnachricht bearbeitest.</t>
  </si>
  <si>
    <t>Establezca su disponibilidad cuando edite su mensaje de estado.</t>
  </si>
  <si>
    <t>Définir votre disponibilité lors de l\'édition de votre statut.</t>
  </si>
  <si>
    <t>Configure a súa disponibilidade ao editar a mensaxe de estado.</t>
  </si>
  <si>
    <t>Az állapotüzenet szerkesztésekor állítsa be elérhetőségét</t>
  </si>
  <si>
    <t>Imposta la tua disponibilità quando modifichi il messaggio di stato.</t>
  </si>
  <si>
    <t>Stel je aanwezigheid in bij het bewerken van je statusbericht.</t>
  </si>
  <si>
    <t>Ustaw dostępność w oknie edytowania wiadomości statusu.</t>
  </si>
  <si>
    <t>title_activity_share_via_account</t>
  </si>
  <si>
    <t>Share via account</t>
  </si>
  <si>
    <t>شارك عبر حساب</t>
  </si>
  <si>
    <t>Споделяне чрез профил</t>
  </si>
  <si>
    <t>Comparteix mitjançant compte</t>
  </si>
  <si>
    <t>Teilen über Konto</t>
  </si>
  <si>
    <t>Compartir via cuenta</t>
  </si>
  <si>
    <t>Partager via le compte</t>
  </si>
  <si>
    <t>Compartir coa conta</t>
  </si>
  <si>
    <t>Megosztás fiókon keresztül</t>
  </si>
  <si>
    <t>Condividi via account</t>
  </si>
  <si>
    <t>アカウントで共有</t>
  </si>
  <si>
    <t>Delen via account</t>
  </si>
  <si>
    <t>Udostępnij za pomocą</t>
  </si>
  <si>
    <t>Поделиться через аккаунт</t>
  </si>
  <si>
    <t>Подели преко налога</t>
  </si>
  <si>
    <t>encrypting_message</t>
  </si>
  <si>
    <t>Encrypting message</t>
  </si>
  <si>
    <t>تشفير الرسالة</t>
  </si>
  <si>
    <t>Шифроване на съобщението</t>
  </si>
  <si>
    <t>Xifrant el missatge</t>
  </si>
  <si>
    <t>Nachricht wird verschlüsselt</t>
  </si>
  <si>
    <t>Cifrando mensaje</t>
  </si>
  <si>
    <t>Chiffrement du message en cours</t>
  </si>
  <si>
    <t>Cifrando mensaxe</t>
  </si>
  <si>
    <t>Üzenet titkosítása</t>
  </si>
  <si>
    <t>Cifratura del messaggio</t>
  </si>
  <si>
    <t>メッセージの暗号化中</t>
  </si>
  <si>
    <t>Bericht wordt versleuteld</t>
  </si>
  <si>
    <t>Szyfrowanie wiadomości</t>
  </si>
  <si>
    <t>Зашифровать сообщение</t>
  </si>
  <si>
    <t>Шифрујем поруку</t>
  </si>
  <si>
    <t>Krypterar meddelande</t>
  </si>
  <si>
    <t>Зашифровую повідомлення</t>
  </si>
  <si>
    <t>訊息加密中</t>
  </si>
  <si>
    <t>remove_membership</t>
  </si>
  <si>
    <t>Revoke membership</t>
  </si>
  <si>
    <t>إلغاء عضوية</t>
  </si>
  <si>
    <t>Отмяна на членството</t>
  </si>
  <si>
    <t>Rebocar l\'afiliació</t>
  </si>
  <si>
    <t>Mitgliedschaft entziehen</t>
  </si>
  <si>
    <t>Revocar privilegios de miembro</t>
  </si>
  <si>
    <t>Révoquer le statut de membre</t>
  </si>
  <si>
    <t>Retirar membresía</t>
  </si>
  <si>
    <t>Tagság visszavonása</t>
  </si>
  <si>
    <t>Cabut keanggotaan</t>
  </si>
  <si>
    <t>Revoca appartenenza</t>
  </si>
  <si>
    <t>メンバーシップを取消</t>
  </si>
  <si>
    <t>멤버십 철회</t>
  </si>
  <si>
    <t>Lidmaatschap ontzeggen</t>
  </si>
  <si>
    <t>Cofnij członkostwo</t>
  </si>
  <si>
    <t>Revogar filiação</t>
  </si>
  <si>
    <t>Отменить участие</t>
  </si>
  <si>
    <t>Odobrať členstvo</t>
  </si>
  <si>
    <t>Опозови чланство</t>
  </si>
  <si>
    <t>Återkalla medlemskap</t>
  </si>
  <si>
    <t>Відкликати право участі</t>
  </si>
  <si>
    <t>Huỷ quyền thành viên</t>
  </si>
  <si>
    <t>吊銷的成員</t>
  </si>
  <si>
    <t>trust_omemo_fingerprints</t>
  </si>
  <si>
    <t>Trust OMEMO Fingerprints</t>
  </si>
  <si>
    <t>الثقة في بصمات أوميمو OMEMO</t>
  </si>
  <si>
    <t>Доверяване на отпечатъци OMEMO</t>
  </si>
  <si>
    <t>Confia en les empremtes digitals d\'OMEMO</t>
  </si>
  <si>
    <t>OMEMO-Fingerabdruck vertrauen</t>
  </si>
  <si>
    <t>Huellas digitales OMEMO de confianza</t>
  </si>
  <si>
    <t>Faire confiance aux empreintes OMEMO</t>
  </si>
  <si>
    <t>Confiar en pegadas OMEMO</t>
  </si>
  <si>
    <t>OMEMO ujjlenyomatokban megbízik</t>
  </si>
  <si>
    <t>Fidati delle impronte OMEMO</t>
  </si>
  <si>
    <t>OMEMO フィンガープリントを信頼</t>
  </si>
  <si>
    <t>OMEMO 핑거프린트 신뢰</t>
  </si>
  <si>
    <t>Vertrouw OMEMO-vingerafdrukken</t>
  </si>
  <si>
    <t>Zaufane odciski OMEMO</t>
  </si>
  <si>
    <t>Confiar nas impressões digitais OMEMO</t>
  </si>
  <si>
    <t>Доверенные отпечатки OMEMO</t>
  </si>
  <si>
    <t>Dôverovať OMEMO identifikátoru</t>
  </si>
  <si>
    <t>Поуздај се у ОМЕМО отиске</t>
  </si>
  <si>
    <t>Lita på OMEMO-fingeravtryck</t>
  </si>
  <si>
    <t>Довіряти відбиткам OMEMO</t>
  </si>
  <si>
    <t>Tin tưởng các dấu vân tay OMEMO</t>
  </si>
  <si>
    <t>信任的 OMEMO 指紋</t>
  </si>
  <si>
    <t>group_chat_avatar</t>
  </si>
  <si>
    <t>Group chat avatar</t>
  </si>
  <si>
    <t>Аватар на груповия разговор</t>
  </si>
  <si>
    <t>Avatar de xat en grup</t>
  </si>
  <si>
    <t>Gruppenchat-Avatar</t>
  </si>
  <si>
    <t>Avatar de la conversación en grupo</t>
  </si>
  <si>
    <t>Avatar du groupe de discussion</t>
  </si>
  <si>
    <t>Avatar da conversa de grupo</t>
  </si>
  <si>
    <t>Konferencia profilkép</t>
  </si>
  <si>
    <t>Avatar chat di gruppo</t>
  </si>
  <si>
    <t>Gespreksafbeelding</t>
  </si>
  <si>
    <t>Awatar konwersacji</t>
  </si>
  <si>
    <t>Аватар групног ћаскања</t>
  </si>
  <si>
    <t>tt_onboarding_settings_sign_in_facebook</t>
  </si>
  <si>
    <t>Sign in with Facebook</t>
  </si>
  <si>
    <t>سجل الدخول باستخدام حساب فيسبوك</t>
  </si>
  <si>
    <t>Влизане с Facebook</t>
  </si>
  <si>
    <t>Přihlásit se pomocí Facebooku</t>
  </si>
  <si>
    <t>Log ind med Facebook</t>
  </si>
  <si>
    <t>Über Facebook anmelden</t>
  </si>
  <si>
    <t>Σύνδεση με Facebook</t>
  </si>
  <si>
    <t>Regístrese con Facebook</t>
  </si>
  <si>
    <t>Kirjaudu sisään Facebookilla</t>
  </si>
  <si>
    <t>Inscription avec Facebook</t>
  </si>
  <si>
    <t>फ़ेसबुक के साथ साइन-इन करें</t>
  </si>
  <si>
    <t>Belépés Facebookkal</t>
  </si>
  <si>
    <t>Daftar masuk dengan Facebook</t>
  </si>
  <si>
    <t>Accedi con Facebook</t>
  </si>
  <si>
    <t>Facebookでサインインする</t>
  </si>
  <si>
    <t>페이스북으로 로그인</t>
  </si>
  <si>
    <t>Meld je aan met facebook</t>
  </si>
  <si>
    <t>Logg inn med Facebook</t>
  </si>
  <si>
    <t>Zaloguj się przez Facebooka</t>
  </si>
  <si>
    <t>Faça login no Facebook</t>
  </si>
  <si>
    <t>Autentifică-te cu Facebook</t>
  </si>
  <si>
    <t>Войти с Facebook</t>
  </si>
  <si>
    <t>Prihlásiť sa cez Facebook</t>
  </si>
  <si>
    <t>Prijavite se s Facebookom</t>
  </si>
  <si>
    <t>Registruj se uz Facebook</t>
  </si>
  <si>
    <t>Logga in med Facebook</t>
  </si>
  <si>
    <t>เข้าสู่ระบบด้วย Facebook</t>
  </si>
  <si>
    <t>Facebook ile giriş yap</t>
  </si>
  <si>
    <t>Đăng nhập bằng facebook</t>
  </si>
  <si>
    <t>用Facebook登录</t>
  </si>
  <si>
    <t>tt_keydata_freefloat</t>
  </si>
  <si>
    <t>Free Float</t>
  </si>
  <si>
    <t>تعويم حر</t>
  </si>
  <si>
    <t>Безплатно плаване</t>
  </si>
  <si>
    <t>Volně plovoucí</t>
  </si>
  <si>
    <t>Gratis float</t>
  </si>
  <si>
    <t>Streubesitz</t>
  </si>
  <si>
    <t>Δωρεάν Float</t>
  </si>
  <si>
    <t>Capital flotante</t>
  </si>
  <si>
    <t>Free float</t>
  </si>
  <si>
    <t>निःशुल्क फ्लोट</t>
  </si>
  <si>
    <t>Közkézhányad</t>
  </si>
  <si>
    <t>Float Bebas</t>
  </si>
  <si>
    <t>Flottante Libero</t>
  </si>
  <si>
    <t>クリーン・フロート</t>
  </si>
  <si>
    <t>유통주식수</t>
  </si>
  <si>
    <t>Apungan Bebas</t>
  </si>
  <si>
    <t>Fri flyt</t>
  </si>
  <si>
    <t>Flutuação livre</t>
  </si>
  <si>
    <t>Acțiuni Disponibile Gratuite</t>
  </si>
  <si>
    <t>Акции в свободном обращении</t>
  </si>
  <si>
    <t>Vo vlastníctve ostatných akcionárov</t>
  </si>
  <si>
    <t>Fritt Flyt</t>
  </si>
  <si>
    <t>ผู้ถือหุ้นรายย่อย</t>
  </si>
  <si>
    <t>Halka Açık</t>
  </si>
  <si>
    <t>Chuyển nhượng tự do</t>
  </si>
  <si>
    <t>自由流通量</t>
  </si>
  <si>
    <t>&gt;自由流通量</t>
  </si>
  <si>
    <t>contact_has_read_up_to_this_point</t>
  </si>
  <si>
    <t>%s has read up to this point</t>
  </si>
  <si>
    <t>%s е прочел до тук</t>
  </si>
  <si>
    <t>%s ha llegit fins aquí</t>
  </si>
  <si>
    <t>%s hat bis zu diesem Punkt gelesen</t>
  </si>
  <si>
    <t>%s ha leído hasta aquí</t>
  </si>
  <si>
    <t>%s leeu ate este punto</t>
  </si>
  <si>
    <t>%s eddig olvasta</t>
  </si>
  <si>
    <t>%s telah membaca hingga disini</t>
  </si>
  <si>
    <t>%s はここまで読みました</t>
  </si>
  <si>
    <t>%s 가 여기까지 읽었습니다</t>
  </si>
  <si>
    <t>%s heeft tot hier gelezen</t>
  </si>
  <si>
    <t>%s przeczytał do tego miejsca</t>
  </si>
  <si>
    <t>%s leu até este ponto</t>
  </si>
  <si>
    <t>%s прочит. сообщ. до этого момента</t>
  </si>
  <si>
    <t>%s dočítal až potiaľ</t>
  </si>
  <si>
    <t>%s је прочитао довде</t>
  </si>
  <si>
    <t>%s har läst hit</t>
  </si>
  <si>
    <t>%s дочитав до цього місця</t>
  </si>
  <si>
    <t>%s đã đọc đến điểm này</t>
  </si>
  <si>
    <t>%s 已讀此句</t>
  </si>
  <si>
    <t>pref_notifications_from_strangers</t>
  </si>
  <si>
    <t>Notifications from strangers</t>
  </si>
  <si>
    <t>الإشعارات من طرف غرباء</t>
  </si>
  <si>
    <t>Известия от непознати</t>
  </si>
  <si>
    <t>Notificacions d\'estranys</t>
  </si>
  <si>
    <t>Benachrichtigungen von Unbekannten</t>
  </si>
  <si>
    <t>Notificaciones de desconocidos</t>
  </si>
  <si>
    <t>Notifications d\'inconnus</t>
  </si>
  <si>
    <t>Notificacións de estraños</t>
  </si>
  <si>
    <t>Értesítések idegenektől</t>
  </si>
  <si>
    <t>Notifiche da sconosciuti</t>
  </si>
  <si>
    <t>知らない人からの通知</t>
  </si>
  <si>
    <t>Meldingen van onbekenden</t>
  </si>
  <si>
    <t>Powiadomienia od nieznajomych</t>
  </si>
  <si>
    <t>Уведомления от неизвестных контактов</t>
  </si>
  <si>
    <t>Обавештења од непознатих</t>
  </si>
  <si>
    <t>Notifieringar från främlingar</t>
  </si>
  <si>
    <t>Сповіщення від незнайомців</t>
  </si>
  <si>
    <t>陌生人訊息通知</t>
  </si>
  <si>
    <t>error_trustkeys_title</t>
  </si>
  <si>
    <t>لقد طرأ هناك خطأ</t>
  </si>
  <si>
    <t>Alguna cosa ha anat malament</t>
  </si>
  <si>
    <t>Etwas ist schief gelaufen</t>
  </si>
  <si>
    <t>Se produjo un error</t>
  </si>
  <si>
    <t>Une erreur est survenue</t>
  </si>
  <si>
    <t>Algo saíu mal</t>
  </si>
  <si>
    <t>Valami nem jó alakult</t>
  </si>
  <si>
    <t>Er ging iets mis</t>
  </si>
  <si>
    <t>Coś poszło źle</t>
  </si>
  <si>
    <t>Нешто је пошло по злу</t>
  </si>
  <si>
    <t>tt_daterange_1year</t>
  </si>
  <si>
    <t>1 año</t>
  </si>
  <si>
    <t>1 Yıl</t>
  </si>
  <si>
    <t>user_status_online</t>
  </si>
  <si>
    <t>Online</t>
  </si>
  <si>
    <t>En ligne</t>
  </si>
  <si>
    <t>Онлайн</t>
  </si>
  <si>
    <t>Onlajn</t>
  </si>
  <si>
    <t>tt_time_value</t>
  </si>
  <si>
    <t>Time value</t>
  </si>
  <si>
    <t>القيمة الزمنية</t>
  </si>
  <si>
    <t>Времева стойност</t>
  </si>
  <si>
    <t>Časová hodnota</t>
  </si>
  <si>
    <t>Tidsværdi</t>
  </si>
  <si>
    <t>Zeitwert</t>
  </si>
  <si>
    <t>Αξία χρόνου</t>
  </si>
  <si>
    <t>Valor de tiempo</t>
  </si>
  <si>
    <t>Aika-arvo</t>
  </si>
  <si>
    <t>Valeur de temps</t>
  </si>
  <si>
    <t>समय मान</t>
  </si>
  <si>
    <t>Időérték</t>
  </si>
  <si>
    <t>Nilai waktu</t>
  </si>
  <si>
    <t>Valore temporale</t>
  </si>
  <si>
    <t>タイムバリュー</t>
  </si>
  <si>
    <t>시간가치</t>
  </si>
  <si>
    <t>Nilai masa</t>
  </si>
  <si>
    <t>Tijdswaarde</t>
  </si>
  <si>
    <t>Tidsverdi</t>
  </si>
  <si>
    <t>Wartość czasowa</t>
  </si>
  <si>
    <t>Valor do tempo</t>
  </si>
  <si>
    <t>Valoarea timpului</t>
  </si>
  <si>
    <t>Временная стоимость</t>
  </si>
  <si>
    <t>Časovna vrednost</t>
  </si>
  <si>
    <t>Vreme</t>
  </si>
  <si>
    <t>Tidsvärde</t>
  </si>
  <si>
    <t>มูลค่าตามเวลา</t>
  </si>
  <si>
    <t>Zaman değeri</t>
  </si>
  <si>
    <t>Giá trị thời gian</t>
  </si>
  <si>
    <t>时间数据</t>
  </si>
  <si>
    <t>tt_portfolio_percportfoliovalue</t>
  </si>
  <si>
    <t>Teljesítmény</t>
  </si>
  <si>
    <t>Desempenho</t>
  </si>
  <si>
    <t>Активность</t>
  </si>
  <si>
    <t>Prinos</t>
  </si>
  <si>
    <t>tt_please_register_for_notifcation_email</t>
  </si>
  <si>
    <t>Please sign up first to use e-mail alerts.</t>
  </si>
  <si>
    <t>يرجى انشاء حساب من اجي الحصول على كل ما هو جديد عبر الايميل</t>
  </si>
  <si>
    <t>Моля, първо се регистрирайте, за да използвате известия по имейл.</t>
  </si>
  <si>
    <t>Chcete-li používat e-mailová upozornění, nejprve se prosím zaregistrujte.</t>
  </si>
  <si>
    <t>Tilmeld dig først for at bruge e-mail-advarsler.</t>
  </si>
  <si>
    <t>Bitte registieren Sie sich um E-Mail Alarme nutzen zu können.</t>
  </si>
  <si>
    <t>Εγγραφείτε πρώτα για να χρησιμοποιήσετε ειδοποιήσεις μέσω e-mail.</t>
  </si>
  <si>
    <t>Por favor, regístrese primero para recibir alertas por e-mail.</t>
  </si>
  <si>
    <t>Kirjaudu ensin käyttääksesi sähköpostihälytyksiä.</t>
  </si>
  <si>
    <t>Vous devez créer un compte pour pouvoir utiliser les fontions email et alerte</t>
  </si>
  <si>
    <t>ई-मेल अलर्टों का उपयोग करने के लिए सबसे पहले साइन-अप करें।</t>
  </si>
  <si>
    <t>Kérjük, jelentkezzen be az e-mail riasztás használatához</t>
  </si>
  <si>
    <t>Mohon daftar dahulu untuk menggunakan peringatan e-mail.</t>
  </si>
  <si>
    <t>Accedi prima di utilizzare gli allarmi via email.</t>
  </si>
  <si>
    <t>Eメール・SMSアラートを使用するにはユーザー登録が必要です</t>
  </si>
  <si>
    <t>이메일 알람을 사용하시려면 먼저 가입해주십시오.</t>
  </si>
  <si>
    <t>Sila mendaftar dulu untuk menggunakan pemberitahuan e-mel.</t>
  </si>
  <si>
    <t>Om e-mail alerts te krijgen , dient u zich eerst aan te melden aub.</t>
  </si>
  <si>
    <t>Registrer deg først for å bruke e-postvarsler.</t>
  </si>
  <si>
    <t>Proszę zarejestrować się aby korzystać z poczty e-mail powiadomień.</t>
  </si>
  <si>
    <t>Por favor registre-se antes para utilizar alertas de e-mail</t>
  </si>
  <si>
    <t>Te rugăm să te înregistrezi pentru a utiliza alertele prin e-mail.</t>
  </si>
  <si>
    <t>Необходимо зарегистрироваться, чтобы получать оповещения по e-mail.</t>
  </si>
  <si>
    <t>Ak chcete používať e-mailové upozornenia, musíte sa najprv zaregistrovať.</t>
  </si>
  <si>
    <t>Za uporabo opozoril po e-pošti se najprej prijavite.</t>
  </si>
  <si>
    <t>Molimo da se prvo registrujete kako biste koristili e-maili alarme.</t>
  </si>
  <si>
    <t>Registrera dig först för att ställa in e-postvarningar.</t>
  </si>
  <si>
    <t>หากต้องการรับการแจ้งเตือนทางอีเมล โปรดลงทะเบียนก่อน</t>
  </si>
  <si>
    <t>Email uyarılarını almak için önce kaydolun.</t>
  </si>
  <si>
    <t>Vui lòng đăng ký trước để sử dụng cảnh báo email.</t>
  </si>
  <si>
    <t>请先注册以使用电子邮件提醒。</t>
  </si>
  <si>
    <t>show_inactive_devices</t>
  </si>
  <si>
    <t>Show inactive</t>
  </si>
  <si>
    <t>إظهار غير الناشطين</t>
  </si>
  <si>
    <t>Показване на неактивните</t>
  </si>
  <si>
    <t>Mostra inactiu</t>
  </si>
  <si>
    <t>Inaktive anzeigen</t>
  </si>
  <si>
    <t>Mostrar inactivos</t>
  </si>
  <si>
    <t>Afficher les comptes inactifs</t>
  </si>
  <si>
    <t>Inaktívak megjelenítése</t>
  </si>
  <si>
    <t>Mostra inattivi</t>
  </si>
  <si>
    <t>Niet-actieve tonen</t>
  </si>
  <si>
    <t>Pokaż nieaktywne</t>
  </si>
  <si>
    <t>Показывать неактивные</t>
  </si>
  <si>
    <t>Прикажи неактивне</t>
  </si>
  <si>
    <t>tt_youmustentere_mail</t>
  </si>
  <si>
    <t>Please enter your e-mail address.</t>
  </si>
  <si>
    <t>يُرجى إدخال عنوان البريد الإلكتروني الخاص بك.</t>
  </si>
  <si>
    <t>Моля, въведете вашия имейл адрес.</t>
  </si>
  <si>
    <t>Zadejte prosím svou e-mailovou adresu.</t>
  </si>
  <si>
    <t>Indtast din e-mail-adresse.</t>
  </si>
  <si>
    <t>Geben Sie ihre E-Mail Adresse ein.</t>
  </si>
  <si>
    <t>Εισαγάγετε το email σας.</t>
  </si>
  <si>
    <t>Por favor, introduzca su dirección de e-mail.</t>
  </si>
  <si>
    <t>Anna sähköpostiosoitteesi.</t>
  </si>
  <si>
    <t>Saisissez votre adresse email</t>
  </si>
  <si>
    <t>कृपया अपना ई-मेल पता दर्ज करें।</t>
  </si>
  <si>
    <t>Kérjük, adja meg email címét.</t>
  </si>
  <si>
    <t>Silakan masukkan alamat email anda.</t>
  </si>
  <si>
    <t>Per favore inserisci il tuo e-mail</t>
  </si>
  <si>
    <t>メールアドレスを入力してください</t>
  </si>
  <si>
    <t>이메일 주소를 입력하세요.</t>
  </si>
  <si>
    <t>Sila masukkan alamat e-mel anda.</t>
  </si>
  <si>
    <t>Vul uw e-mailadres in aub.</t>
  </si>
  <si>
    <t>Oppgi e-postadressen din.</t>
  </si>
  <si>
    <t>Proszę wpisać swój adres e-mail.</t>
  </si>
  <si>
    <t>Por favor, insira o seu e-mail</t>
  </si>
  <si>
    <t>Te rugăm să introduci adresa ta de e-mail.</t>
  </si>
  <si>
    <t>Пожалуйста, введите адресс электронной почты</t>
  </si>
  <si>
    <t>Prosím, zadajte svoju e-mailovú adresu.</t>
  </si>
  <si>
    <t>Vnesite svoj e-poštni naslov.</t>
  </si>
  <si>
    <t>Molimo unesite korisničko ime.</t>
  </si>
  <si>
    <t>Var god ange din e-postadress.</t>
  </si>
  <si>
    <t>โปรดป้อนอีเมล</t>
  </si>
  <si>
    <t>Lütfen e-posta adresinizi girin.</t>
  </si>
  <si>
    <t>Vui lòng điền địa chỉ email của bạn.</t>
  </si>
  <si>
    <t>请输入电邮地址</t>
  </si>
  <si>
    <t>&gt;請輸入電郵地址</t>
  </si>
  <si>
    <t>tt_edgar_net_profit_margin</t>
  </si>
  <si>
    <t>Net Profit Margin</t>
  </si>
  <si>
    <t>هامش صافي الربح</t>
  </si>
  <si>
    <t>Нетен марж на печалбата</t>
  </si>
  <si>
    <t>Čistá marže zisku</t>
  </si>
  <si>
    <t>Netto Overskudsgrad</t>
  </si>
  <si>
    <t>Nettoumsatzrendite</t>
  </si>
  <si>
    <t>Καθαρό περιθώριο κέρδους</t>
  </si>
  <si>
    <t>Margen de beneficio neto</t>
  </si>
  <si>
    <t>Nettovoittomarginaali</t>
  </si>
  <si>
    <t>Marge bénéficiaire nette</t>
  </si>
  <si>
    <t>निवल लाभ मार्जिन</t>
  </si>
  <si>
    <t>Batas Keuntungan Bersih</t>
  </si>
  <si>
    <t>Margine di Profito</t>
  </si>
  <si>
    <t>純利益率</t>
  </si>
  <si>
    <t>순이익률</t>
  </si>
  <si>
    <t>Netto winst Marge</t>
  </si>
  <si>
    <t>Nettofortjenestemargin</t>
  </si>
  <si>
    <t>Margem de lucro líquido</t>
  </si>
  <si>
    <t>Marja Netă a Profitului</t>
  </si>
  <si>
    <t>Маржа чистой прибыли</t>
  </si>
  <si>
    <t>Marža čistého zisku</t>
  </si>
  <si>
    <t>Stopnja čistega dobička</t>
  </si>
  <si>
    <t>Neto profitna stopa</t>
  </si>
  <si>
    <t>Nettovinstmarginal</t>
  </si>
  <si>
    <t>อัตรากำไรสุทธิ</t>
  </si>
  <si>
    <t>Net kar marjı</t>
  </si>
  <si>
    <t>Biên lợi nhuận ròng</t>
  </si>
  <si>
    <t>利润率</t>
  </si>
  <si>
    <t>contact_added</t>
  </si>
  <si>
    <t>Contact added!</t>
  </si>
  <si>
    <t>Kontakt hinzugefügt!</t>
  </si>
  <si>
    <t>¡Contacto añadido!</t>
  </si>
  <si>
    <t>Contact ajouté!</t>
  </si>
  <si>
    <t>Partner hozzáadva!</t>
  </si>
  <si>
    <t>Контакт добавлен!</t>
  </si>
  <si>
    <t>Kontakt je dodat!</t>
  </si>
  <si>
    <t>honduras</t>
  </si>
  <si>
    <t>Honduras</t>
  </si>
  <si>
    <t>Гондурас</t>
  </si>
  <si>
    <t>shared_text_with_x</t>
  </si>
  <si>
    <t>Shared text with %s</t>
  </si>
  <si>
    <t>شارك النص عبر %s</t>
  </si>
  <si>
    <t>Текстът е споделен с %s</t>
  </si>
  <si>
    <t>Text compartit amb %s</t>
  </si>
  <si>
    <t>Text mit %s geteilt</t>
  </si>
  <si>
    <t>Compartido texto con %s</t>
  </si>
  <si>
    <t>Texte partagé avec %s</t>
  </si>
  <si>
    <t>Texto compartido con %s</t>
  </si>
  <si>
    <t>%s partnerrel szöveget osztott meg</t>
  </si>
  <si>
    <t>Testo condiviso con %s</t>
  </si>
  <si>
    <t>%s でテキストを共有</t>
  </si>
  <si>
    <t>%s 에서 텍스트를 공유</t>
  </si>
  <si>
    <t>Tekst gedeeld met %s</t>
  </si>
  <si>
    <t>Tekst udostępniony %s</t>
  </si>
  <si>
    <t>Mensagem partilhada com %s</t>
  </si>
  <si>
    <t>Общий текст с %s</t>
  </si>
  <si>
    <t>Подељен текст са %s</t>
  </si>
  <si>
    <t>Delade text med %s</t>
  </si>
  <si>
    <t>Поділився текстом з %s</t>
  </si>
  <si>
    <t>跟 %s 分享的文字資料</t>
  </si>
  <si>
    <t>account_status_host_unknown</t>
  </si>
  <si>
    <t>Server not responsible for domain</t>
  </si>
  <si>
    <t>هذا السيرفر غير مسؤول عن إسم النطاق</t>
  </si>
  <si>
    <t>Сървърът не отговаря за домейна</t>
  </si>
  <si>
    <t>El servidor no es fa responsable del domini</t>
  </si>
  <si>
    <t>Unbekannte Domain</t>
  </si>
  <si>
    <t>El servidor no es responsable del dominio</t>
  </si>
  <si>
    <t>Le serveur n\'est pas responsable du domaine</t>
  </si>
  <si>
    <t>O servidor non é responsable do dominio</t>
  </si>
  <si>
    <t>A szerver nem felel a domain-ért</t>
  </si>
  <si>
    <t>Server non responsabile per il dominio</t>
  </si>
  <si>
    <t>サーバーがドメインに対応しません</t>
  </si>
  <si>
    <t>서버가 도메인에 응답하지 않습니다</t>
  </si>
  <si>
    <t>Server niet verantwoordelijk voor domein</t>
  </si>
  <si>
    <t>Serwer nie odpowiada domenie</t>
  </si>
  <si>
    <t>Servidor não responsável pelo domínio</t>
  </si>
  <si>
    <t>Сервер не ответственен за домен</t>
  </si>
  <si>
    <t>Сервер није одговоран за домен</t>
  </si>
  <si>
    <t>Servern är inte ansvarig för domänen</t>
  </si>
  <si>
    <t>Сервер не відповідає за домен</t>
  </si>
  <si>
    <t>伺服器不能為功能變數名稱做出回應</t>
  </si>
  <si>
    <t>tt_applepush</t>
  </si>
  <si>
    <t>Apple Push</t>
  </si>
  <si>
    <t>الإعلامات من Apple</t>
  </si>
  <si>
    <t>Apple push</t>
  </si>
  <si>
    <t>ऐप्पल पुश</t>
  </si>
  <si>
    <t>애플 푸시</t>
  </si>
  <si>
    <t>Apple notificatie</t>
  </si>
  <si>
    <t>Apple-push</t>
  </si>
  <si>
    <t>แจ้งเตือน Apple</t>
  </si>
  <si>
    <t>Apple Anlık İleti</t>
  </si>
  <si>
    <t>Apple推播</t>
  </si>
  <si>
    <t>&gt;Apple推播</t>
  </si>
  <si>
    <t>remove_admin_privileges</t>
  </si>
  <si>
    <t>Revoke admin privileges</t>
  </si>
  <si>
    <t>إلغاء امتيازات الإدارة</t>
  </si>
  <si>
    <t>Отмяна на администраторските права</t>
  </si>
  <si>
    <t>Rebocar privilegis d\'administrador</t>
  </si>
  <si>
    <t>Administratorrechte entziehen</t>
  </si>
  <si>
    <t>Revocar privilegios de administrador</t>
  </si>
  <si>
    <t>Révoquer des privilèges d\'administrateur</t>
  </si>
  <si>
    <t>Revocar privilexios de administración</t>
  </si>
  <si>
    <t>Admin jogok visszavonása</t>
  </si>
  <si>
    <t>Mencabut hak istimewa admin</t>
  </si>
  <si>
    <t>Revoca i privilegi di amministratore</t>
  </si>
  <si>
    <t>管理者権限を取消</t>
  </si>
  <si>
    <t>관리자 특권 철회</t>
  </si>
  <si>
    <t>Beheerdersprivileges ontzeggen</t>
  </si>
  <si>
    <t>Odbierz uprawnienia administratora</t>
  </si>
  <si>
    <t>Revogar privilégios de administração</t>
  </si>
  <si>
    <t>Снять административные права</t>
  </si>
  <si>
    <t>Odobrať administrátorské výsady</t>
  </si>
  <si>
    <t>Одобри админ. привилегије</t>
  </si>
  <si>
    <t>Återkalla administratörsbehörighet</t>
  </si>
  <si>
    <t>Відкликати права адміністратора</t>
  </si>
  <si>
    <t>Huỷ quyền quản trị</t>
  </si>
  <si>
    <t>吊銷管理員許可權</t>
  </si>
  <si>
    <t>modified_conference_options</t>
  </si>
  <si>
    <t>Modified group chat options!</t>
  </si>
  <si>
    <t>تم تعديل خيارات فريق المحادثة !</t>
  </si>
  <si>
    <t>Настройките на груповия разговор бяха променени!</t>
  </si>
  <si>
    <t>S\'han modificat les opcions de xat en grup.</t>
  </si>
  <si>
    <t>Gruppenchatoptionen wurden modifiziert!</t>
  </si>
  <si>
    <t>¡Modificadas las opciones de la conversación!</t>
  </si>
  <si>
    <t>Options de groupe de discussion modifiées!</t>
  </si>
  <si>
    <t>¡Opcións da conversa en grupo modificadas!</t>
  </si>
  <si>
    <t>Módosította a konferencia beállításokat!</t>
  </si>
  <si>
    <t>Opzioni della chat di gruppo modificate!</t>
  </si>
  <si>
    <t>談話室のオプションが変更されました!</t>
  </si>
  <si>
    <t>Gespreksopties aangepast!</t>
  </si>
  <si>
    <t>Ustawienia konferencji zostały zmodyfikowane</t>
  </si>
  <si>
    <t>Opções de conversa em grupo modificadas!</t>
  </si>
  <si>
    <t>Настройки конференции изменены!</t>
  </si>
  <si>
    <t>Опције групног ћаскања измењене!</t>
  </si>
  <si>
    <t>offline</t>
  </si>
  <si>
    <t>hors ligne</t>
  </si>
  <si>
    <t>oффлайн</t>
  </si>
  <si>
    <t>oflajn</t>
  </si>
  <si>
    <t>tt_edgar_price_revenues_ratio_long</t>
  </si>
  <si>
    <t>Price/Revenues Ratio</t>
  </si>
  <si>
    <t>نسبة السعر/العائدات</t>
  </si>
  <si>
    <t>Съотношение цена/приходи</t>
  </si>
  <si>
    <t>Poměr cena/výnosy</t>
  </si>
  <si>
    <t>Pris/Indtægtsforhold</t>
  </si>
  <si>
    <t>Kurs/Umsatz-Verhältnis</t>
  </si>
  <si>
    <t>Αναλογία τιμής/εσόδων</t>
  </si>
  <si>
    <t xml:space="preserve">Relación Precios/Ingresos </t>
  </si>
  <si>
    <t>Hinta/tulosuhde</t>
  </si>
  <si>
    <t>मूल्य/राजस्व अनुपात</t>
  </si>
  <si>
    <t>Rasio Harga/Pendapatan</t>
  </si>
  <si>
    <t>Prezzo/Vendite</t>
  </si>
  <si>
    <t>価格/収益率</t>
  </si>
  <si>
    <t>주가수익비율</t>
  </si>
  <si>
    <t>Nisbah Harga/Pendapatan</t>
  </si>
  <si>
    <t>Kosten/Revenuen Ratio</t>
  </si>
  <si>
    <t>Pris/inntektsgrad</t>
  </si>
  <si>
    <t>Cena/przychody</t>
  </si>
  <si>
    <t>Relação preço/receitas</t>
  </si>
  <si>
    <t>Raport Preț/Venituri</t>
  </si>
  <si>
    <t>Коэффициент цена/доход</t>
  </si>
  <si>
    <t>Pomer ceny/výnosov</t>
  </si>
  <si>
    <t>Razmerje med cenami in prihodki</t>
  </si>
  <si>
    <t>Trz. Cena / Prihodi</t>
  </si>
  <si>
    <t>Pris/intäktförhållande</t>
  </si>
  <si>
    <t>อัตราส่วนราคาต่อรายได้</t>
  </si>
  <si>
    <t>Fiyat/Gelir Oranı</t>
  </si>
  <si>
    <t>Tỷ lệ giá/doanh thu</t>
  </si>
  <si>
    <t>价格/收入比率</t>
  </si>
  <si>
    <t>decrypt</t>
  </si>
  <si>
    <t>Decrypt</t>
  </si>
  <si>
    <t>فك الشيفرة</t>
  </si>
  <si>
    <t>Дешифроване</t>
  </si>
  <si>
    <t>Desxifra</t>
  </si>
  <si>
    <t>Entschlüsseln</t>
  </si>
  <si>
    <t>Descifrar</t>
  </si>
  <si>
    <t>Déchiffrer</t>
  </si>
  <si>
    <t>Dekódol</t>
  </si>
  <si>
    <t>Deskripsi</t>
  </si>
  <si>
    <t>Decripta</t>
  </si>
  <si>
    <t>復号化</t>
  </si>
  <si>
    <t>복호화</t>
  </si>
  <si>
    <t>Ontsleutelen</t>
  </si>
  <si>
    <t>Odszyfruj</t>
  </si>
  <si>
    <t>Decifrar</t>
  </si>
  <si>
    <t>Расшифровать</t>
  </si>
  <si>
    <t>Dešifrovať</t>
  </si>
  <si>
    <t>Дешифруј</t>
  </si>
  <si>
    <t>Avkryptera</t>
  </si>
  <si>
    <t>Розшифрувати</t>
  </si>
  <si>
    <t>Giải mã</t>
  </si>
  <si>
    <t>解密</t>
  </si>
  <si>
    <t>mtm_hostname_mismatch</t>
  </si>
  <si>
    <t>Server could not authenticate as \&amp;amp;quot;%s\&amp;amp;quot;. The certificate is only valid for:</t>
  </si>
  <si>
    <t>Сървърът не може да се удостовери като „%s“. Сертификатът важи само за:</t>
  </si>
  <si>
    <t>El servidor no s\'ha pogut autenticar com \" 1%s \". El certificat només és vàlid per a:</t>
  </si>
  <si>
    <t>Serveren kunne ikke godkendes som \&amp;amp;quot;% s \&amp;amp;quot;. Certifikatet er kun gyldigt til:</t>
  </si>
  <si>
    <t>Server konnte sich nicht als \"%s\" authentifizieren. Das Zertifikat ist nur gültig für:</t>
  </si>
  <si>
    <t>El servidor no pudo autenticarse como \"%s\". El certificado es solo válido para:</t>
  </si>
  <si>
    <t>Le serveur n\'a pu s\'authentifier en tant que \"%s\". Le certificat est valide uniquement pour :</t>
  </si>
  <si>
    <t>O servidor non pode autenticarse como \"%s\". O certificado só é válido para:</t>
  </si>
  <si>
    <t>A kiszolgáló nem tudta hitelesíteni mint \"%s\". A tanúsítvány csak az alábbiakra érvényes:</t>
  </si>
  <si>
    <t>Server tidak bisa mengotentikasi sebagai \ &amp;amp; quot;% s \ &amp;amp; quot;. Sertifikat ini hanya berlaku untuk:</t>
  </si>
  <si>
    <t>Il server non ha potuto autenticarsi come \"%s\". Il certificato è valido solo per:</t>
  </si>
  <si>
    <t>QUOT; Serverは、\&amp;amp;＃038として認証できませんでした％sの\&amp;amp;＃038; QUOT ;.証明書はに対してのみ有効です。</t>
  </si>
  <si>
    <t>quot; 서버 \ &amp;amp; A로 인증 할 수 % S \ &amp;amp; A; quot ;. 인증서에 대해서만 유효합니다 :</t>
  </si>
  <si>
    <t>Server tidak dapat mengesahkan sebagai \ &amp;amp; quot;% s \ &amp;amp; quot ;. Sijil tersebut hanya sah untuk:</t>
  </si>
  <si>
    <t>De server kon niet authenticeren als ‘%s’. Het certificaat is enkel geldig voor:</t>
  </si>
  <si>
    <t>Server kan ikke godkjennes som \ &amp;amp;% s \ &amp;amp; Co. quot ;. Sertifikatet er kun gyldig for:</t>
  </si>
  <si>
    <t>Nie można potwierdzić serwera jako \"%s\". Certyfikat jest ważny tylko dla:</t>
  </si>
  <si>
    <t>Servidor não pode autenticar como \ &amp;amp; quot;% s \ &amp;amp; quot ;. O certificado só é válido para:</t>
  </si>
  <si>
    <t>tt_top_share_holders</t>
  </si>
  <si>
    <t>Top Shareholders</t>
  </si>
  <si>
    <t>كبار المساهمين</t>
  </si>
  <si>
    <t>Топ акционери</t>
  </si>
  <si>
    <t>Hlavní akcionáři</t>
  </si>
  <si>
    <t>Topaktionærer</t>
  </si>
  <si>
    <t>Wichtigste Anteilseigner</t>
  </si>
  <si>
    <t>Κορυφαίοι μέτοχοι</t>
  </si>
  <si>
    <t>Principales accionistas</t>
  </si>
  <si>
    <t>Suurimmat osakkeenomistajat</t>
  </si>
  <si>
    <t>Meilleurs actionnaires</t>
  </si>
  <si>
    <t>शीर्ष शेयरधारक</t>
  </si>
  <si>
    <t>Pemegang Saham Teratas</t>
  </si>
  <si>
    <t>Maggiori azionisti</t>
  </si>
  <si>
    <t>トップシェアホルダー</t>
  </si>
  <si>
    <t>대주주</t>
  </si>
  <si>
    <t>Top Aandeelhouders</t>
  </si>
  <si>
    <t>Ledende aksjonærer</t>
  </si>
  <si>
    <t>Główni akcjonariusze</t>
  </si>
  <si>
    <t>Principais Acionistas</t>
  </si>
  <si>
    <t>Acționari de Top</t>
  </si>
  <si>
    <t>Главные акционеры</t>
  </si>
  <si>
    <t>Najvyšší akcionári</t>
  </si>
  <si>
    <t>Najvišji delničarji</t>
  </si>
  <si>
    <t>Glavni Akcionari</t>
  </si>
  <si>
    <t>Toppaktieägare</t>
  </si>
  <si>
    <t>ผู้ถือหุ้นหลัก</t>
  </si>
  <si>
    <t>En Üst Hissedarlar</t>
  </si>
  <si>
    <t>Cổ đông hàng đầu</t>
  </si>
  <si>
    <t>重要股东</t>
  </si>
  <si>
    <t>tt_general_symbol_data</t>
  </si>
  <si>
    <t>Symbol data</t>
  </si>
  <si>
    <t>بيانات الرمز</t>
  </si>
  <si>
    <t>Данни за символите</t>
  </si>
  <si>
    <t>Data symbolu</t>
  </si>
  <si>
    <t>Symboldata</t>
  </si>
  <si>
    <t>Symboldaten</t>
  </si>
  <si>
    <t>Δεδομένα συμβόλων</t>
  </si>
  <si>
    <t>Información de símbolos</t>
  </si>
  <si>
    <t>Symbolitiedot</t>
  </si>
  <si>
    <t>Données de symbole</t>
  </si>
  <si>
    <t>प्रतीक डेटा</t>
  </si>
  <si>
    <t>Data simbol</t>
  </si>
  <si>
    <t>Dati del simbolo</t>
  </si>
  <si>
    <t>商品データ</t>
  </si>
  <si>
    <t>기호 데이터</t>
  </si>
  <si>
    <t>Symbool gegevens</t>
  </si>
  <si>
    <t>Dane symbolu</t>
  </si>
  <si>
    <t>Dados do símbolo</t>
  </si>
  <si>
    <t>Date simbol</t>
  </si>
  <si>
    <t>Символьные данные</t>
  </si>
  <si>
    <t>Údaje o symboloch</t>
  </si>
  <si>
    <t>Podatki simbola</t>
  </si>
  <si>
    <t>Podaci o simpblu</t>
  </si>
  <si>
    <t>ข้อมูลชื่อย่อหลักทรัพย์</t>
  </si>
  <si>
    <t>Sembol Verisi</t>
  </si>
  <si>
    <t>Dữ liệu công cụ</t>
  </si>
  <si>
    <t>符号的数据</t>
  </si>
  <si>
    <t>all_omemo_keys_have_been_verified</t>
  </si>
  <si>
    <t>All OMEMO keys have been verified</t>
  </si>
  <si>
    <t>لقد تم التحقق من جميع مفاتيح OMEMO</t>
  </si>
  <si>
    <t>Всички ключове OMEMO са потвърдени</t>
  </si>
  <si>
    <t>S\'han verificat totes les claus OMEMO</t>
  </si>
  <si>
    <t>Alle OMEMO-Schlüssel wurden überprüft</t>
  </si>
  <si>
    <t>Todas las huellas digitales OMEMO han sido verificadas</t>
  </si>
  <si>
    <t>Toutes les clefs OMEMO ont étés vérifiées</t>
  </si>
  <si>
    <t>Todas as chaves OMEMO foron verificadas</t>
  </si>
  <si>
    <t>Minden OMEMO kulcs ellenőrizve lett</t>
  </si>
  <si>
    <t>Tutte le chiavi OMEMO sono state verificate</t>
  </si>
  <si>
    <t>すべての OMEMO 鍵は検証済です</t>
  </si>
  <si>
    <t>Alle OMEMO-sleutels zijn geverifieerd</t>
  </si>
  <si>
    <t>Wszystkie odciski OMEMO zostały zweryfikowane</t>
  </si>
  <si>
    <t>Все OMEMO-ключи были подтверждены</t>
  </si>
  <si>
    <t>Сви ОМЕМО кључеви су оверени</t>
  </si>
  <si>
    <t>Alla OMEMO nycklar har verifierats</t>
  </si>
  <si>
    <t>Усі ключі OMEMO перевірено</t>
  </si>
  <si>
    <t>所有的 OMEMO 金鑰都已經通過驗證</t>
  </si>
  <si>
    <t>tt_delta</t>
  </si>
  <si>
    <t>Delta</t>
  </si>
  <si>
    <t>دلتا</t>
  </si>
  <si>
    <t>Делта</t>
  </si>
  <si>
    <t>Δέλτα</t>
  </si>
  <si>
    <t>डेल्टा</t>
  </si>
  <si>
    <t>デルタ</t>
  </si>
  <si>
    <t>델타</t>
  </si>
  <si>
    <t>Дельта</t>
  </si>
  <si>
    <t>เดลต้า</t>
  </si>
  <si>
    <t>tt_no_data</t>
  </si>
  <si>
    <t>No data available</t>
  </si>
  <si>
    <t>لا تتوافر بيانات</t>
  </si>
  <si>
    <t>Няма налични данни</t>
  </si>
  <si>
    <t>Nejsou k dispozici žádná data</t>
  </si>
  <si>
    <t>Ingen tilgængelig data</t>
  </si>
  <si>
    <t>Keine Daten verfügbar</t>
  </si>
  <si>
    <t>Δεν υπάρχουν διαθέσιμα δεδομένα</t>
  </si>
  <si>
    <t>No hay datos disponibles</t>
  </si>
  <si>
    <t>Tietoja ei ole saatavana</t>
  </si>
  <si>
    <t>Aucune information disponible</t>
  </si>
  <si>
    <t>कोई डेटा उपलब्ध नहीं है</t>
  </si>
  <si>
    <t>Nincs elérhető adat</t>
  </si>
  <si>
    <t>Tidak ada data tersedia</t>
  </si>
  <si>
    <t>Dati non disponibili</t>
  </si>
  <si>
    <t>ﾃﾞｰﾀなし</t>
  </si>
  <si>
    <t>사용 가능한 데이터가 없습니다</t>
  </si>
  <si>
    <t>Tiada data tersedia</t>
  </si>
  <si>
    <t>Geen data beschikbaar</t>
  </si>
  <si>
    <t>Ingen data tilgjengelig</t>
  </si>
  <si>
    <t>Brak danych</t>
  </si>
  <si>
    <t>Nenhum dado disponível</t>
  </si>
  <si>
    <t>Nu există nici o informație disponibilă</t>
  </si>
  <si>
    <t>Информация недоступна</t>
  </si>
  <si>
    <t>Nie sú dostupné žiadne údaje</t>
  </si>
  <si>
    <t>Podatkov ni na voljo</t>
  </si>
  <si>
    <t>Nema podataka</t>
  </si>
  <si>
    <t>Inga data tillgänglig</t>
  </si>
  <si>
    <t>ไม่มีข้อมูล</t>
  </si>
  <si>
    <t>Veri yok.</t>
  </si>
  <si>
    <t>Không có dữ liệu</t>
  </si>
  <si>
    <t>数据不详</t>
  </si>
  <si>
    <t>&gt;數據不詳</t>
  </si>
  <si>
    <t>tt_shares_outstanding</t>
  </si>
  <si>
    <t>Shares Outstanding</t>
  </si>
  <si>
    <t>الأسهم القائمة</t>
  </si>
  <si>
    <t>Дялови акции</t>
  </si>
  <si>
    <t>Podílové akcie v držení investorů</t>
  </si>
  <si>
    <t>Udestående aktier</t>
  </si>
  <si>
    <t>Ausgegebene Aktien</t>
  </si>
  <si>
    <t>Εκκρεμείς μετοχές</t>
  </si>
  <si>
    <t>Acciones en circulación</t>
  </si>
  <si>
    <t>Jäljellä olevat osakkeet</t>
  </si>
  <si>
    <t>Actions en circulation</t>
  </si>
  <si>
    <t>बकाया शेयर</t>
  </si>
  <si>
    <t>Saham Terlambat</t>
  </si>
  <si>
    <t>Azioni in circolazione</t>
  </si>
  <si>
    <t>発行済株式</t>
  </si>
  <si>
    <t>발행주식수</t>
  </si>
  <si>
    <t>Saham Tertunggak</t>
  </si>
  <si>
    <t>Uitstaande aandelen</t>
  </si>
  <si>
    <t>Utestående aksjer</t>
  </si>
  <si>
    <t>Liczba akcji w obrocie</t>
  </si>
  <si>
    <t>Ações pendentes</t>
  </si>
  <si>
    <t>Acțiuni Restante</t>
  </si>
  <si>
    <t>Акции в обращении</t>
  </si>
  <si>
    <t>Nesplatené akcie</t>
  </si>
  <si>
    <t>Izjemne delnice</t>
  </si>
  <si>
    <t>Emitovane akcije</t>
  </si>
  <si>
    <t>Utestående aktier</t>
  </si>
  <si>
    <t>มูลค่าหุ้นที่เรียกชำระแล้ว</t>
  </si>
  <si>
    <t>Tedavüldeki Hisse Senedi</t>
  </si>
  <si>
    <t>Cổ phiếu nổi bật</t>
  </si>
  <si>
    <t>已发行股票</t>
  </si>
  <si>
    <t>delete_x_file</t>
  </si>
  <si>
    <t>Delete %s</t>
  </si>
  <si>
    <t>إحذف %s</t>
  </si>
  <si>
    <t>Изтриване на %s</t>
  </si>
  <si>
    <t>Suprimeix a %s</t>
  </si>
  <si>
    <t>%s löschen</t>
  </si>
  <si>
    <t>Eliminar %s</t>
  </si>
  <si>
    <t>Effacer %s</t>
  </si>
  <si>
    <t>%s törlése</t>
  </si>
  <si>
    <t>Hapus %s</t>
  </si>
  <si>
    <t>Elimina %s</t>
  </si>
  <si>
    <t>%s を削除</t>
  </si>
  <si>
    <t>%s 삭제</t>
  </si>
  <si>
    <t>%s verwijderen</t>
  </si>
  <si>
    <t>Usuń %s</t>
  </si>
  <si>
    <t>Remover %s</t>
  </si>
  <si>
    <t>Удалить %s</t>
  </si>
  <si>
    <t>Обриши %s</t>
  </si>
  <si>
    <t>Ta bort %s</t>
  </si>
  <si>
    <t>Видалити %s</t>
  </si>
  <si>
    <t>刪除 %s</t>
  </si>
  <si>
    <t>welcome_text_quicksy</t>
  </si>
  <si>
    <t>tt_social_networks_login</t>
  </si>
  <si>
    <t>Sign in with your existing account:</t>
  </si>
  <si>
    <t>تسجيل الدخول باستخدام حسابك الحالي:</t>
  </si>
  <si>
    <t>Влезте със съществуващия си акаунт:</t>
  </si>
  <si>
    <t>Přihlaste se pomocí svého stávajícího účtu:</t>
  </si>
  <si>
    <t>Log ind med din eksisterende konto:</t>
  </si>
  <si>
    <t>Mit bestehenden Zugangsdaten anmelden:</t>
  </si>
  <si>
    <t>Συνδεθείτε με τον υπάρχοντα λογαριασμό σας:</t>
  </si>
  <si>
    <t>Conéctese con sus datos de cuenta existentes:</t>
  </si>
  <si>
    <t>Kirjaudu sisään nykyisellä tililläsi:</t>
  </si>
  <si>
    <t>Connectez-vous avec un compte existant</t>
  </si>
  <si>
    <t>अपने मौजूदा खाते के साथ साइन-इन करें:</t>
  </si>
  <si>
    <t>Vagy jelentkezzen be ezekkel a szolgáltatásokkal</t>
  </si>
  <si>
    <t>Masuk dengan akun Anda yang ada</t>
  </si>
  <si>
    <t>Accedi con tuo account:</t>
  </si>
  <si>
    <t>サインイン（既にアカウントをお持ちの方）</t>
  </si>
  <si>
    <t>기존 계정으로 로그인:</t>
  </si>
  <si>
    <t>Daftar masuk dengan akaun anda yang sedia ada:</t>
  </si>
  <si>
    <t>Log in met uw bestaande account gegevens:</t>
  </si>
  <si>
    <t>Logg inn med din eksisterende konto:</t>
  </si>
  <si>
    <t>Zaloguj się używając istniejącego konta:</t>
  </si>
  <si>
    <t>Conectar com os seus dados de conta existentes :</t>
  </si>
  <si>
    <t>Conectează-te cu contul existent:</t>
  </si>
  <si>
    <t>Войдите, используя существующую учётную запись</t>
  </si>
  <si>
    <t>Prihláste sa cez svoj existujúci účet:</t>
  </si>
  <si>
    <t>Prijavite se s svojim obstoječim računom:</t>
  </si>
  <si>
    <t>Ili se ulogujte preko sledećih servisa:</t>
  </si>
  <si>
    <t>Logga in med ditt befintliga konto:</t>
  </si>
  <si>
    <t>เข้าสู่ระบบด้วยบัญชีที่มีอยู่</t>
  </si>
  <si>
    <t>Mevcut hesabınızla giriş yapın:</t>
  </si>
  <si>
    <t>Đăng nhập với tài khoản hiện tại của bạn:</t>
  </si>
  <si>
    <t>登录您现有的帐户数据</t>
  </si>
  <si>
    <t>&gt;登錄您現有的帳戶數據</t>
  </si>
  <si>
    <t>tt_acceleration</t>
  </si>
  <si>
    <t>Acceleration Factor</t>
  </si>
  <si>
    <t>عامل التسريع</t>
  </si>
  <si>
    <t>Фактор за ускорение</t>
  </si>
  <si>
    <t>Faktor zrychlení</t>
  </si>
  <si>
    <t>Accelerationsfaktor</t>
  </si>
  <si>
    <t>Συντελεστής επιτάχυνσης</t>
  </si>
  <si>
    <t>Acceleration</t>
  </si>
  <si>
    <t>Kiihtyvyyskerroin</t>
  </si>
  <si>
    <t>Facteur d\'accélération</t>
  </si>
  <si>
    <t>एक्सीलरेशन कारक</t>
  </si>
  <si>
    <t>Faktor Percepatan</t>
  </si>
  <si>
    <t>速度係数</t>
  </si>
  <si>
    <t>가속 계수</t>
  </si>
  <si>
    <t>Faktor Pemecutan</t>
  </si>
  <si>
    <t>Akselerasjonsfaktor</t>
  </si>
  <si>
    <t>Przyspieszenie</t>
  </si>
  <si>
    <t>Fator de aceleração</t>
  </si>
  <si>
    <t>Factor de Accelerare</t>
  </si>
  <si>
    <t>Коэффициент укорения (КУ)</t>
  </si>
  <si>
    <t>Faktor zrýchlenia</t>
  </si>
  <si>
    <t>Faktor pospeška</t>
  </si>
  <si>
    <t>Ubrzanje</t>
  </si>
  <si>
    <t>ตัวประกอบอัตราเร่ง</t>
  </si>
  <si>
    <t>Hızlandırma Faktörü</t>
  </si>
  <si>
    <t>Hệ số gia tốc</t>
  </si>
  <si>
    <t>加速因子</t>
  </si>
  <si>
    <t>&gt;加速因子</t>
  </si>
  <si>
    <t>data</t>
  </si>
  <si>
    <t>البيانات</t>
  </si>
  <si>
    <t>Данни</t>
  </si>
  <si>
    <t>Daten</t>
  </si>
  <si>
    <t>Δεδομένα</t>
  </si>
  <si>
    <t>Datos</t>
  </si>
  <si>
    <t>Tiedot</t>
  </si>
  <si>
    <t>les données</t>
  </si>
  <si>
    <t>डेटा</t>
  </si>
  <si>
    <t>adat</t>
  </si>
  <si>
    <t>Dati</t>
  </si>
  <si>
    <t>データ</t>
  </si>
  <si>
    <t>데이터</t>
  </si>
  <si>
    <t>informatie</t>
  </si>
  <si>
    <t>Dane</t>
  </si>
  <si>
    <t>Dados</t>
  </si>
  <si>
    <t>Данные</t>
  </si>
  <si>
    <t>Údaje</t>
  </si>
  <si>
    <t>Podatki</t>
  </si>
  <si>
    <t>Podaci</t>
  </si>
  <si>
    <t>ข้อมูล</t>
  </si>
  <si>
    <t>Veri</t>
  </si>
  <si>
    <t>Dữ liệu</t>
  </si>
  <si>
    <t>数据</t>
  </si>
  <si>
    <t>server_info_session_established</t>
  </si>
  <si>
    <t>Current session established</t>
  </si>
  <si>
    <t>الجلسة الحالية متصلة</t>
  </si>
  <si>
    <t>Установена е текуща сесия</t>
  </si>
  <si>
    <t>S\'ha establert la sessió actual</t>
  </si>
  <si>
    <t>Sitzung wiederhergestellt</t>
  </si>
  <si>
    <t>Inicio sesión actual</t>
  </si>
  <si>
    <t>Session établie</t>
  </si>
  <si>
    <t>Establecida a sesión actual</t>
  </si>
  <si>
    <t>Munkafolyamat létrehozva:</t>
  </si>
  <si>
    <t>Sesi saat didirikan</t>
  </si>
  <si>
    <t>Sessione corrente stabilita</t>
  </si>
  <si>
    <t>現在のセッションが確立</t>
  </si>
  <si>
    <t>현재 세션이 수립되었습니다</t>
  </si>
  <si>
    <t>Huidige sessie is tot stand gekomen</t>
  </si>
  <si>
    <t>Połączono z serwerem</t>
  </si>
  <si>
    <t>Sessão atual estebelecida</t>
  </si>
  <si>
    <t>Текущий сеанс установлен</t>
  </si>
  <si>
    <t>Súčasné stretnutie vytvorené</t>
  </si>
  <si>
    <t>Текућа сесија успостављена</t>
  </si>
  <si>
    <t>Nuvarande session upprättad</t>
  </si>
  <si>
    <t>Поточну сесію встановлено</t>
  </si>
  <si>
    <t>Đã thiết lập phiên hiện thời</t>
  </si>
  <si>
    <t>已建立了目前的通訊對話</t>
  </si>
  <si>
    <t>tt_ticker</t>
  </si>
  <si>
    <t>Ticker</t>
  </si>
  <si>
    <t>شريط التداول</t>
  </si>
  <si>
    <t>Тикер</t>
  </si>
  <si>
    <t>Tikkeri</t>
  </si>
  <si>
    <t>टिकर</t>
  </si>
  <si>
    <t>Tampilan</t>
  </si>
  <si>
    <t>Tracciatore</t>
  </si>
  <si>
    <t>ティッカー</t>
  </si>
  <si>
    <t>티커</t>
  </si>
  <si>
    <t>Paparan</t>
  </si>
  <si>
    <t>Telegraf</t>
  </si>
  <si>
    <t>Tiker</t>
  </si>
  <si>
    <t>Takip Ekranı</t>
  </si>
  <si>
    <t>自动收报机纸条</t>
  </si>
  <si>
    <t>tt_eps</t>
  </si>
  <si>
    <t>EPS</t>
  </si>
  <si>
    <t>الأرباح للسهم</t>
  </si>
  <si>
    <t>KGV</t>
  </si>
  <si>
    <t>GPA</t>
  </si>
  <si>
    <t>ईपीएस</t>
  </si>
  <si>
    <t>一株当り純利益</t>
  </si>
  <si>
    <t>Winst per aandeel</t>
  </si>
  <si>
    <t>Rácio preço-rendibilidade</t>
  </si>
  <si>
    <t>กำไรต่อหุ้น</t>
  </si>
  <si>
    <t>HBK</t>
  </si>
  <si>
    <t>每股收益</t>
  </si>
  <si>
    <t>&gt;每股收益</t>
  </si>
  <si>
    <t>tt_bid_number</t>
  </si>
  <si>
    <t>Bid No.</t>
  </si>
  <si>
    <t>رقم العطاء</t>
  </si>
  <si>
    <t>№ на офертата</t>
  </si>
  <si>
    <t>Číslo nabídky</t>
  </si>
  <si>
    <t>Bud nr.</t>
  </si>
  <si>
    <t>Αριθμός προσφοράς</t>
  </si>
  <si>
    <t>Tarjous nro</t>
  </si>
  <si>
    <t>बोली सं.</t>
  </si>
  <si>
    <t>Vétel db</t>
  </si>
  <si>
    <t>No. Tawaran</t>
  </si>
  <si>
    <t>Bid Num.</t>
  </si>
  <si>
    <t>売り値</t>
  </si>
  <si>
    <t>매수가격 숫자</t>
  </si>
  <si>
    <t>Bod Nr.</t>
  </si>
  <si>
    <t>Wal. kupna</t>
  </si>
  <si>
    <t>Número do bid</t>
  </si>
  <si>
    <t>Oferta nr.</t>
  </si>
  <si>
    <t>Номер ставки</t>
  </si>
  <si>
    <t>Číslo ponuky</t>
  </si>
  <si>
    <t>Št. Ponudbe</t>
  </si>
  <si>
    <t>Bud nr</t>
  </si>
  <si>
    <t>การประมูลเลขที่</t>
  </si>
  <si>
    <t>Teklif No.</t>
  </si>
  <si>
    <t>Số lượt mua</t>
  </si>
  <si>
    <t>买进号码</t>
  </si>
  <si>
    <t>&gt;買進號碼</t>
  </si>
  <si>
    <t>contact_is_typing</t>
  </si>
  <si>
    <t>%s is typing…</t>
  </si>
  <si>
    <t>%s يكتب …</t>
  </si>
  <si>
    <t>%s пише…</t>
  </si>
  <si>
    <t>%s està escrivint…</t>
  </si>
  <si>
    <t>%s schreibt…</t>
  </si>
  <si>
    <t>%s está escribiendo...</t>
  </si>
  <si>
    <t>%s est en train d\'écrire</t>
  </si>
  <si>
    <t>%s está a escribir...</t>
  </si>
  <si>
    <t>%s éppen ír...</t>
  </si>
  <si>
    <t>%s sedang mengetik…</t>
  </si>
  <si>
    <t>%s sta digitando...</t>
  </si>
  <si>
    <t>%s は入力中…</t>
  </si>
  <si>
    <t>%s 이(가) 입력중입니다...</t>
  </si>
  <si>
    <t>%s is aan het typen…</t>
  </si>
  <si>
    <t>%s pisze...</t>
  </si>
  <si>
    <t>%s está a escrever...</t>
  </si>
  <si>
    <t>%s печатает…</t>
  </si>
  <si>
    <t>%s куца…</t>
  </si>
  <si>
    <t>%s skriver...</t>
  </si>
  <si>
    <t>%s друкує…</t>
  </si>
  <si>
    <t>%s đang gõ...</t>
  </si>
  <si>
    <t>%s 正在輸入中…</t>
  </si>
  <si>
    <t>certificate_chain_is_not_trusted</t>
  </si>
  <si>
    <t>Certificate chain is not trusted</t>
  </si>
  <si>
    <t>سلسلة الشهادة غير موثوق فيها</t>
  </si>
  <si>
    <t>Сертификатът не е потвърден</t>
  </si>
  <si>
    <t>La cadena de certificats no és de confiança</t>
  </si>
  <si>
    <t>Zertifikat wird nicht vertraut</t>
  </si>
  <si>
    <t>La cadena de certificados no es de confianza</t>
  </si>
  <si>
    <t>La chaîne de certificats n\'est pas digne de confiance</t>
  </si>
  <si>
    <t>A cadea de certificados non é de confianza</t>
  </si>
  <si>
    <t>A tanúsítványlánc nem megbízható</t>
  </si>
  <si>
    <t>Catena di certificati non affidabile</t>
  </si>
  <si>
    <t>証明書チェーンは信頼済ではありません</t>
  </si>
  <si>
    <t>인증서 체인을 신뢰할 수 없습니다</t>
  </si>
  <si>
    <t>Certificaatsketen is niet vertrouwd</t>
  </si>
  <si>
    <t>Łańcuch certyfikatu nie jest zaufany</t>
  </si>
  <si>
    <t>A cadeia de certificados não é confiável</t>
  </si>
  <si>
    <t>Цепочка сертификата не доверена</t>
  </si>
  <si>
    <t>Ланац сертификата није поуздан</t>
  </si>
  <si>
    <t>Certifikatskedjan är inte betrodd</t>
  </si>
  <si>
    <t>Ланцюжок сертифікатів не довірений</t>
  </si>
  <si>
    <t>Chuỗi chứng nhận không được tin tưởng</t>
  </si>
  <si>
    <t>憑證連結不受信任</t>
  </si>
  <si>
    <t>tt_allcategories</t>
  </si>
  <si>
    <t>All categories</t>
  </si>
  <si>
    <t>كل الفئات</t>
  </si>
  <si>
    <t>Всички категории</t>
  </si>
  <si>
    <t>Všechny kategorie</t>
  </si>
  <si>
    <t>Alle kategorier</t>
  </si>
  <si>
    <t>Alle Kategorien</t>
  </si>
  <si>
    <t>Ολες οι κατηγορίες</t>
  </si>
  <si>
    <t>Todas las categorías</t>
  </si>
  <si>
    <t>Kaikki kategoriat</t>
  </si>
  <si>
    <t>Toutes les catégories</t>
  </si>
  <si>
    <t>सभी श्रेणियाँ</t>
  </si>
  <si>
    <t>Minden kategória</t>
  </si>
  <si>
    <t>Semua Kategori</t>
  </si>
  <si>
    <t>Tutte le categorie</t>
  </si>
  <si>
    <t>すべてのカテゴリ</t>
  </si>
  <si>
    <t>모든 카테고리</t>
  </si>
  <si>
    <t>Alle categorieën</t>
  </si>
  <si>
    <t>Wszystkie kategorie</t>
  </si>
  <si>
    <t>Todas as categorias</t>
  </si>
  <si>
    <t>Toate categoriile</t>
  </si>
  <si>
    <t>Все категории</t>
  </si>
  <si>
    <t>Všetky kategórie</t>
  </si>
  <si>
    <t>Vse kategorije</t>
  </si>
  <si>
    <t>Sve kategorije</t>
  </si>
  <si>
    <t>Alla kategorier</t>
  </si>
  <si>
    <t>ทุกหมวดหมู่</t>
  </si>
  <si>
    <t>Tüm kategoriler</t>
  </si>
  <si>
    <t>Tất cả hạng mục</t>
  </si>
  <si>
    <t>所有分类</t>
  </si>
  <si>
    <t>&gt;所有分類</t>
  </si>
  <si>
    <t>tt_language_name</t>
  </si>
  <si>
    <t>English</t>
  </si>
  <si>
    <t>عربى</t>
  </si>
  <si>
    <t>Български</t>
  </si>
  <si>
    <t>Čeština</t>
  </si>
  <si>
    <t>Dansk</t>
  </si>
  <si>
    <t>Deutsch</t>
  </si>
  <si>
    <t>Español</t>
  </si>
  <si>
    <t>Suomalainen</t>
  </si>
  <si>
    <t>Français</t>
  </si>
  <si>
    <t>हिन्दी भाषा</t>
  </si>
  <si>
    <t>Magyar</t>
  </si>
  <si>
    <t>Bahasa Indonesia</t>
  </si>
  <si>
    <t>Italiano</t>
  </si>
  <si>
    <t>עִברִית</t>
  </si>
  <si>
    <t>日本人</t>
  </si>
  <si>
    <t>한국어</t>
  </si>
  <si>
    <t>Bahasa Melayu</t>
  </si>
  <si>
    <t>Nederlands</t>
  </si>
  <si>
    <t>Norsk</t>
  </si>
  <si>
    <t>Polski</t>
  </si>
  <si>
    <t>Português</t>
  </si>
  <si>
    <t>Română</t>
  </si>
  <si>
    <t>Русский</t>
  </si>
  <si>
    <t xml:space="preserve">Slovački </t>
  </si>
  <si>
    <t>Srpski</t>
  </si>
  <si>
    <t>Svenska</t>
  </si>
  <si>
    <t>ไทย</t>
  </si>
  <si>
    <t>Türkçe</t>
  </si>
  <si>
    <t>Tiếng Việt</t>
  </si>
  <si>
    <t>中国</t>
  </si>
  <si>
    <t>tt_daterange_3months</t>
  </si>
  <si>
    <t>3 Ay</t>
  </si>
  <si>
    <t>draft</t>
  </si>
  <si>
    <t>Draft:</t>
  </si>
  <si>
    <t>Чернова:</t>
  </si>
  <si>
    <t>Esborrany:</t>
  </si>
  <si>
    <t>Entwurf:</t>
  </si>
  <si>
    <t>Borrador:</t>
  </si>
  <si>
    <t>Brouillon :</t>
  </si>
  <si>
    <t>Vázlat:</t>
  </si>
  <si>
    <t>Bozza:</t>
  </si>
  <si>
    <t>下書き:</t>
  </si>
  <si>
    <t>Ontwerp:</t>
  </si>
  <si>
    <t>Szkic:</t>
  </si>
  <si>
    <t>Черновик:</t>
  </si>
  <si>
    <t>Нацрт:</t>
  </si>
  <si>
    <t>pref_use_send_button_to_indicate_status_summary</t>
  </si>
  <si>
    <t>Colorize send button to indicate contact status</t>
  </si>
  <si>
    <t>Оцветяване на бутона за изпращане в зависимост от състоянието на контакта</t>
  </si>
  <si>
    <t>Pintar el botó d\'enviament per indicar l\'estatus del contacte</t>
  </si>
  <si>
    <t>\"Senden\"-Schaltfläche einfärben, um den Online-Status des Kontakts anzuzeigen</t>
  </si>
  <si>
    <t>El color del botón enviar indica el estado del contacto</t>
  </si>
  <si>
    <t>Le bouton Envoyer change de couleur pour indiquer le statut du contact.</t>
  </si>
  <si>
    <t>Boton de enviar de cor para indicar o estado do contacto</t>
  </si>
  <si>
    <t>Kiszínezi a küldés gombot, hogy jelezze a partner állapotát</t>
  </si>
  <si>
    <t>Warnai tombol kirim untuk mengindikasikan status kontak</t>
  </si>
  <si>
    <t>Colora il pulsante di invio per indicare lo stato del contatto</t>
  </si>
  <si>
    <t>送信ボタンに連絡先ステータスを示す色が付きます</t>
  </si>
  <si>
    <t>연락처 상태를 표시하기 위해 전송 버튼을 색칠함</t>
  </si>
  <si>
    <t>Kleur verstuur-knop in om status van contact weer te geven</t>
  </si>
  <si>
    <t>Koloruj przycisk wysyłania w zależności od statusu kontaktu</t>
  </si>
  <si>
    <t>Colorir o botão de enviar para indicar o estado do contacto</t>
  </si>
  <si>
    <t>Раскрасить кнопку отправить, указывая текущий статус собеседника</t>
  </si>
  <si>
    <t>Vyfarbiť tlačidlo pre odoslanie na určenie stavu kontaktu</t>
  </si>
  <si>
    <t>Боја дугмета за слање показује стање контакта</t>
  </si>
  <si>
    <t>Färglägg skickaknappen för att indikera kontaktens status</t>
  </si>
  <si>
    <t>Змінювати колір кнопки відправлення на позначення статусу контакта</t>
  </si>
  <si>
    <t>Tô màu nút gửi để biểu thị trạng thái của liên hệ</t>
  </si>
  <si>
    <t>發送按鈕採用其他顏色以示發送狀態的區別</t>
  </si>
  <si>
    <t>tt_portfolio_new</t>
  </si>
  <si>
    <t>New Portfolio</t>
  </si>
  <si>
    <t>محفظة جديدة</t>
  </si>
  <si>
    <t>Ново портфолио</t>
  </si>
  <si>
    <t>Nové portfolio</t>
  </si>
  <si>
    <t>Ny portefølje</t>
  </si>
  <si>
    <t>Neues Musterdepot</t>
  </si>
  <si>
    <t>Νέο χαρτοφυλάκιο</t>
  </si>
  <si>
    <t>Nueva cartera</t>
  </si>
  <si>
    <t>Uusi salkku</t>
  </si>
  <si>
    <t>Nouveau portefeuille</t>
  </si>
  <si>
    <t>नया पोर्टफोलियो</t>
  </si>
  <si>
    <t>Új Portfólió</t>
  </si>
  <si>
    <t>Portfolio Baru</t>
  </si>
  <si>
    <t>Nuovo Portafoglio</t>
  </si>
  <si>
    <t>新ポートフォリオ</t>
  </si>
  <si>
    <t>새 포트폴리오</t>
  </si>
  <si>
    <t>Nieuwe portefeuille</t>
  </si>
  <si>
    <t>Nowy portfel</t>
  </si>
  <si>
    <t>Nova carteira</t>
  </si>
  <si>
    <t>Portofoliu Nou</t>
  </si>
  <si>
    <t>Новый портфель</t>
  </si>
  <si>
    <t>Nové portfólio</t>
  </si>
  <si>
    <t>Nov portfelj</t>
  </si>
  <si>
    <t>Novi Portfolijo</t>
  </si>
  <si>
    <t>Ny portfölj</t>
  </si>
  <si>
    <t>พอร์ตใหม่</t>
  </si>
  <si>
    <t>Yeni Portföy</t>
  </si>
  <si>
    <t>Danh mục đầu tư mới</t>
  </si>
  <si>
    <t>新投资组合</t>
  </si>
  <si>
    <t>&gt;新投資組合</t>
  </si>
  <si>
    <t>tt_reset_user_settings</t>
  </si>
  <si>
    <t>Reset User Settings</t>
  </si>
  <si>
    <t>إعادة ضبط إعدادات المستخدم</t>
  </si>
  <si>
    <t>Нулиране на потребителските настройки</t>
  </si>
  <si>
    <t>Resetovat uživatelská nastavení</t>
  </si>
  <si>
    <t>Nulstil brugerindstillinger</t>
  </si>
  <si>
    <t>Benutzereinstellungen zurücksetzen</t>
  </si>
  <si>
    <t>Επαναφορά ρυθμίσεων χρήστη</t>
  </si>
  <si>
    <t>Reiniciar la configuración del usuario</t>
  </si>
  <si>
    <t>Palauta käyttäjän asetukset</t>
  </si>
  <si>
    <t>Réinitialiser les paramètres</t>
  </si>
  <si>
    <t>प्रयोक्ता सेटिंग्स को रीसेट करें</t>
  </si>
  <si>
    <t>Reset pengaturan Pengguna</t>
  </si>
  <si>
    <t>Resetta Impostazioni</t>
  </si>
  <si>
    <t>設定をリセット</t>
  </si>
  <si>
    <t>사용자 설정 초기화</t>
  </si>
  <si>
    <t>Tetapkan Semula Tetapan Pengguna</t>
  </si>
  <si>
    <t>Herstel Gebruikersinstellingen</t>
  </si>
  <si>
    <t>Tilbakestill brukerinnstillinger</t>
  </si>
  <si>
    <t>Resetowanie ustawień użytkownika</t>
  </si>
  <si>
    <t>Redefinir as configurações do usuário</t>
  </si>
  <si>
    <t>Restabilește Setările Utilizatorului</t>
  </si>
  <si>
    <t>Сброс настроек пользователя</t>
  </si>
  <si>
    <t>Obnoviť nastavenia používateľa</t>
  </si>
  <si>
    <t>Ponastavite uporabniške nastavitve</t>
  </si>
  <si>
    <t>Reset korisničkih podešavanja</t>
  </si>
  <si>
    <t>Återställ användarinställningar</t>
  </si>
  <si>
    <t>รีเซ็ตการตั้งค่าผู้ใช้</t>
  </si>
  <si>
    <t>Kullanıcı Ayarlarını Sıfırla</t>
  </si>
  <si>
    <t>Đặt lại cài đặt người dùng</t>
  </si>
  <si>
    <t>重置用户设置</t>
  </si>
  <si>
    <t>&gt;重置用戶設置</t>
  </si>
  <si>
    <t>faroe_islands</t>
  </si>
  <si>
    <t>Faroe Islands</t>
  </si>
  <si>
    <t>Färöer Inseln</t>
  </si>
  <si>
    <t>Islas Feroe</t>
  </si>
  <si>
    <t>Îles Féroé</t>
  </si>
  <si>
    <t>Фарерские острова</t>
  </si>
  <si>
    <t>Farska ostrva</t>
  </si>
  <si>
    <t>account_status_regis_not_sup</t>
  </si>
  <si>
    <t>Server does not support registration</t>
  </si>
  <si>
    <t>تسجيل الحسابات غير متاح على هذا السرفر</t>
  </si>
  <si>
    <t>Сървърът не поддържа регистриране</t>
  </si>
  <si>
    <t>El servidor no admet registres</t>
  </si>
  <si>
    <t>Der Server unterstützt keine Registrierung</t>
  </si>
  <si>
    <t>El servidor no soporta registros</t>
  </si>
  <si>
    <t>Le serveur ne permet pas l\'enregistrement</t>
  </si>
  <si>
    <t>O servidor non soporta rexistros</t>
  </si>
  <si>
    <t>A szerver nem támogatja a regisztrációt</t>
  </si>
  <si>
    <t>Server tidak mendukung pendaftaran akun.</t>
  </si>
  <si>
    <t>Il Server non supporta la registrazione</t>
  </si>
  <si>
    <t>サーバーが登録をサポートしていません</t>
  </si>
  <si>
    <t>서버가 등록을 지원하지 않습니다</t>
  </si>
  <si>
    <t>Server ondersteunt geen registratie</t>
  </si>
  <si>
    <t>Serwer nie umożliwia rejestracji</t>
  </si>
  <si>
    <t>O servidor não aceita o registo</t>
  </si>
  <si>
    <t>Сервер не поддерживает регистрацию</t>
  </si>
  <si>
    <t>Server nepodporuje registráciu</t>
  </si>
  <si>
    <t>Сервер не подржава регистрацију</t>
  </si>
  <si>
    <t>Servern stödjer inte registrering</t>
  </si>
  <si>
    <t>Сервер не підтримує режстрацію</t>
  </si>
  <si>
    <t>Máy chủ không hỗ trợ việc đăng ký</t>
  </si>
  <si>
    <t>伺服器不支援註冊</t>
  </si>
  <si>
    <t>conference_resource_constraint</t>
  </si>
  <si>
    <t>Resource constraint</t>
  </si>
  <si>
    <t>Ограничение на ресурса</t>
  </si>
  <si>
    <t>Limitació de recursos</t>
  </si>
  <si>
    <t>Ressourcenbeschränkung</t>
  </si>
  <si>
    <t>Limitación de recursos</t>
  </si>
  <si>
    <t>Contrainte de ressource</t>
  </si>
  <si>
    <t>Restrición do recurso</t>
  </si>
  <si>
    <t>Erőforráskorlát</t>
  </si>
  <si>
    <t>Risorse limitate</t>
  </si>
  <si>
    <t>Bronbeperking</t>
  </si>
  <si>
    <t>Ograniczenie zasobu</t>
  </si>
  <si>
    <t>papua_new_guinea</t>
  </si>
  <si>
    <t>Papua New Guinea</t>
  </si>
  <si>
    <t>Papua Neuguinea</t>
  </si>
  <si>
    <t>Papua Nueva Guinea</t>
  </si>
  <si>
    <t>Papouasie Nouvelle Guinée</t>
  </si>
  <si>
    <t>Папуа - Новая Гвинея</t>
  </si>
  <si>
    <t>Papua Nova Gvinea</t>
  </si>
  <si>
    <t>tt_reverse_bonus_level</t>
  </si>
  <si>
    <t>Inverses Bonus Level</t>
  </si>
  <si>
    <t>مستوى مكافأة معكوس</t>
  </si>
  <si>
    <t>Обръща нивото на бонуса</t>
  </si>
  <si>
    <t>Inverzní bonusová úroveň</t>
  </si>
  <si>
    <t>Omvendt bonusniveau</t>
  </si>
  <si>
    <t>Nivel de bonificación inversa</t>
  </si>
  <si>
    <t>Kääntää bonustason</t>
  </si>
  <si>
    <t>Inverse le niveau bonus</t>
  </si>
  <si>
    <t>प्रतिलोम बोनस स्तर</t>
  </si>
  <si>
    <t>Inverse Bonus Level</t>
  </si>
  <si>
    <t>Tingkat Bonus Terbalik</t>
  </si>
  <si>
    <t>Livello Bonus Inverso</t>
  </si>
  <si>
    <t>インバースボーナスレベル</t>
  </si>
  <si>
    <t>역보너스 수준</t>
  </si>
  <si>
    <t>Tahap Bonus Songsang</t>
  </si>
  <si>
    <t>Inverses-bonusniveau</t>
  </si>
  <si>
    <t>Inverses bonusnivå</t>
  </si>
  <si>
    <t>Odwrócenie poziomu premii</t>
  </si>
  <si>
    <t>Inverte nível de bónus</t>
  </si>
  <si>
    <t>Nivelul Inversărilor de Bonus</t>
  </si>
  <si>
    <t>Уровень обратного бонуса</t>
  </si>
  <si>
    <t>Inverzná úroveň bonusu</t>
  </si>
  <si>
    <t>Preusmeri stopnjo bonusa</t>
  </si>
  <si>
    <t>Inverzni nivo bonusa</t>
  </si>
  <si>
    <t>ระดับโบนัสผกผัน</t>
  </si>
  <si>
    <t>Ters Bonus Düzeyi</t>
  </si>
  <si>
    <t>Mức thưởng đảo ngược</t>
  </si>
  <si>
    <t>反向红利的水平</t>
  </si>
  <si>
    <t>tt_default_key</t>
  </si>
  <si>
    <t>Default</t>
  </si>
  <si>
    <t>افتراضي</t>
  </si>
  <si>
    <t>По подразбиране</t>
  </si>
  <si>
    <t>Implicitní</t>
  </si>
  <si>
    <t>Standard</t>
  </si>
  <si>
    <t>Προεπιλογή</t>
  </si>
  <si>
    <t>Oletusarvo</t>
  </si>
  <si>
    <t>Défaut</t>
  </si>
  <si>
    <t>डिफ़ॉल्ट</t>
  </si>
  <si>
    <t>Alapértelmezett</t>
  </si>
  <si>
    <t>Lalai</t>
  </si>
  <si>
    <t>Predefinito</t>
  </si>
  <si>
    <t>デフォルト</t>
  </si>
  <si>
    <t>기본값</t>
  </si>
  <si>
    <t>Standaard</t>
  </si>
  <si>
    <t>Domyślnie</t>
  </si>
  <si>
    <t>Mod implicit</t>
  </si>
  <si>
    <t>По умолчанию</t>
  </si>
  <si>
    <t>Štandardný</t>
  </si>
  <si>
    <t>Privzeto</t>
  </si>
  <si>
    <t>Podrazumevano</t>
  </si>
  <si>
    <t>ค่าเริ่มต้น</t>
  </si>
  <si>
    <t>Varsayılan</t>
  </si>
  <si>
    <t>Mặc định</t>
  </si>
  <si>
    <t>预设</t>
  </si>
  <si>
    <t>&gt;預設</t>
  </si>
  <si>
    <t>non_anonymous</t>
  </si>
  <si>
    <t>Non-anonymous</t>
  </si>
  <si>
    <t>لا تسمح للمجهولين بالدخول</t>
  </si>
  <si>
    <t>Не-анонимна</t>
  </si>
  <si>
    <t>Sense anonimat</t>
  </si>
  <si>
    <t>De-anonymisiert</t>
  </si>
  <si>
    <t>No anónima</t>
  </si>
  <si>
    <t>Non anonyme</t>
  </si>
  <si>
    <t>Non anónima</t>
  </si>
  <si>
    <t>Nem névtelen</t>
  </si>
  <si>
    <t>Non Anonymous</t>
  </si>
  <si>
    <t>Non anonimo</t>
  </si>
  <si>
    <t>匿名でない</t>
  </si>
  <si>
    <t>익명 아님</t>
  </si>
  <si>
    <t>Niet anoniem</t>
  </si>
  <si>
    <t>Nieanonimowa</t>
  </si>
  <si>
    <t>Não-anónimo</t>
  </si>
  <si>
    <t>Неанонимная</t>
  </si>
  <si>
    <t>Neanonymný</t>
  </si>
  <si>
    <t>Неанонимна</t>
  </si>
  <si>
    <t>Icke-anonymt</t>
  </si>
  <si>
    <t>Не анонімно</t>
  </si>
  <si>
    <t>Không ẩn danh</t>
  </si>
  <si>
    <t>非匿名</t>
  </si>
  <si>
    <t>terms_and_conditions_description</t>
  </si>
  <si>
    <t>By clicking on the button below you are accepting our terms and conditions</t>
  </si>
  <si>
    <t>بالنقر على الزر أدناه، فإنك توافق على الشروط والأحكام الخاصة بنا</t>
  </si>
  <si>
    <t>С натискането на бутона по-долу вие приемате нашите условия</t>
  </si>
  <si>
    <t>Kliknutím na tlačítko níže přijímáte naše pravidla a podmínky</t>
  </si>
  <si>
    <t>Ved at klikke på knappen nedenfor accepterer du vores vilkår og betingelser</t>
  </si>
  <si>
    <t>Wenn Sie den unteren Button anklicken, akzeptieren Sie unsere AGB</t>
  </si>
  <si>
    <t>Κάνοντας κλικ στο παρακάτω κουμπί αποδέχεστε τους όρους και τις προϋποθέσεις μας</t>
  </si>
  <si>
    <t>Al presionar el botón de abajo, usted acepta nuestros términos y condiciones</t>
  </si>
  <si>
    <t>Napsauttamalla alla olevaa painiketta hyväksyt käyttöehtomme</t>
  </si>
  <si>
    <t>En cliquant sur le bouton ci-dessous, vous acceptez nos conditions générales</t>
  </si>
  <si>
    <t>नीचे दिए गए बटन पर क्लिक करके आप हमारे नियमों और शर्तों को स्वीकार कर रहे हैं</t>
  </si>
  <si>
    <t>Az alábbi gombra kattintva elfogadja felhasználói feltételeket</t>
  </si>
  <si>
    <t>Dengan menekan tombol di bawah, Anda akan menerima syarat dan ketentuan kami</t>
  </si>
  <si>
    <t>Premendo il bottone sottostante accetti tutti I nostri termini e le condizioni</t>
  </si>
  <si>
    <t>以下のボタンをクリックすることで、当社の契約条件に同意することになります。</t>
  </si>
  <si>
    <t>아래의 버튼을 클릭하시면 저희의 약관에 동의하시는 것으로 간주합니다</t>
  </si>
  <si>
    <t>Dengan menekan butang di bawah, anda akan menerima terma dan syarat kami</t>
  </si>
  <si>
    <t>Door op onderstaande knop te klikken gaat u akkoord met onze voorwaarden</t>
  </si>
  <si>
    <t>Ved å klikke på knappen nedenfor godtar du våre vilkår og betingelser</t>
  </si>
  <si>
    <t>Klikając poniższy przynisk akceptujesz nasze warunki</t>
  </si>
  <si>
    <t>Ao clicar no botão abaixo está a aceitar os nossos termos e condições</t>
  </si>
  <si>
    <t>Dând clic pe butonul de mai jos, accepți termenii și condițiile noastre</t>
  </si>
  <si>
    <t>Нажимая на кнопку ниже, вы принимаете наши условия</t>
  </si>
  <si>
    <t>Kliknutím na tlačidlo nižšie súhlasíte s našimi zmluvnými podmienkami</t>
  </si>
  <si>
    <t>S klikom na spodnji gumb sprejemate naše pogoje</t>
  </si>
  <si>
    <t>Klikon da dugme ispod prihvatate naše termine i uslove</t>
  </si>
  <si>
    <t>Genom att klicka på knappen nedan accepterar du våra villkor</t>
  </si>
  <si>
    <t>เมื่อคลิกที่ปุ่มด้านล่างนี้หมายความว่าคุณได้ยอมรับข้อกำหนดและเงื่อนไขการใช้งานแล้ว</t>
  </si>
  <si>
    <t>Aşağıdaki butona tıklayarak şartlar ve koşulları kabul etmiş olursunuz.</t>
  </si>
  <si>
    <t>Khi nhấn vào nút bên dưới, bạn chấp nhận các điều khoản và điều kiện của chúng tôi</t>
  </si>
  <si>
    <t>点击下面的按钮，即表示你同意接受我们的条款和条件</t>
  </si>
  <si>
    <t>title_activity_block_list</t>
  </si>
  <si>
    <t>Block list</t>
  </si>
  <si>
    <t>قائمة المحجوبين</t>
  </si>
  <si>
    <t>Списък с блокирани</t>
  </si>
  <si>
    <t>Llista de bloqueig</t>
  </si>
  <si>
    <t>Sperrliste</t>
  </si>
  <si>
    <t>Lista contactos bloqueados</t>
  </si>
  <si>
    <t>Bloquer la liste</t>
  </si>
  <si>
    <t>Lista de bloqueo</t>
  </si>
  <si>
    <t>Tiltólista</t>
  </si>
  <si>
    <t>Daftar blokir</t>
  </si>
  <si>
    <t>Lista nera</t>
  </si>
  <si>
    <t>ブロックリスト</t>
  </si>
  <si>
    <t>목록 차단</t>
  </si>
  <si>
    <t>Geblokkeerde contacten</t>
  </si>
  <si>
    <t>Czarna lista</t>
  </si>
  <si>
    <t>Bloquear lista</t>
  </si>
  <si>
    <t>Чёрный список</t>
  </si>
  <si>
    <t>Zablokovať zoznam</t>
  </si>
  <si>
    <t>Списак блокираних</t>
  </si>
  <si>
    <t>Blockeringslista</t>
  </si>
  <si>
    <t>Список блокування</t>
  </si>
  <si>
    <t>Danh sách chặn</t>
  </si>
  <si>
    <t>封鎖清單</t>
  </si>
  <si>
    <t>ads</t>
  </si>
  <si>
    <t>ad_attribution</t>
  </si>
  <si>
    <t>Ad</t>
  </si>
  <si>
    <t>server_info_available</t>
  </si>
  <si>
    <t>available</t>
  </si>
  <si>
    <t>متاح</t>
  </si>
  <si>
    <t>налично</t>
  </si>
  <si>
    <t>supporté</t>
  </si>
  <si>
    <t>dispoñible</t>
  </si>
  <si>
    <t>támogatott</t>
  </si>
  <si>
    <t>tersedia</t>
  </si>
  <si>
    <t>disponibile</t>
  </si>
  <si>
    <t>利用可能</t>
  </si>
  <si>
    <t>가능</t>
  </si>
  <si>
    <t>beschikbaar</t>
  </si>
  <si>
    <t>dostępny</t>
  </si>
  <si>
    <t>disponível</t>
  </si>
  <si>
    <t>доступно</t>
  </si>
  <si>
    <t>dostupný</t>
  </si>
  <si>
    <t>доступан</t>
  </si>
  <si>
    <t>tillgänglig</t>
  </si>
  <si>
    <t>є</t>
  </si>
  <si>
    <t>sẵn sàng</t>
  </si>
  <si>
    <t>有效</t>
  </si>
  <si>
    <t>tt_youmustagreetotermsandconditions</t>
  </si>
  <si>
    <t>Please accept the Terms of Use.</t>
  </si>
  <si>
    <t>يُرجى قبول شروط الاستخدام.</t>
  </si>
  <si>
    <t>Моля, приемете Условията за ползване.</t>
  </si>
  <si>
    <t>Přijměte prosím pravidla užívání.</t>
  </si>
  <si>
    <t>Accepter venligst Brugsbetingelserne.</t>
  </si>
  <si>
    <t>Sie müssen die Nutzungsbedingungen akzeptieren.</t>
  </si>
  <si>
    <t>Αποδεχτείτε τους Όρους Χρήσης.</t>
  </si>
  <si>
    <t>Por favor, acepte las Condiciones de Uso.</t>
  </si>
  <si>
    <t>Hyväksy käyttöehdot.</t>
  </si>
  <si>
    <t>Veuillez accepter les conditions générales d\'utilisation</t>
  </si>
  <si>
    <t>कृपया उपयोग की शर्तों को स्वीकार करें।</t>
  </si>
  <si>
    <t>Kérjük, fogadja el az ÁSZF-et.</t>
  </si>
  <si>
    <t>Silakan Setujui Persyaratan Pengnunaan.</t>
  </si>
  <si>
    <t>Per favore accetta i Termini d\'uso</t>
  </si>
  <si>
    <t>אנא תן הסכמה לתנאי השימוש.</t>
  </si>
  <si>
    <t>利用規約に同意します</t>
  </si>
  <si>
    <t>이용 약관에 동의해주세요.</t>
  </si>
  <si>
    <t>Sila terima Terma Penggunaan.</t>
  </si>
  <si>
    <t>Accepteer de gebruikersovereenkomst aub.</t>
  </si>
  <si>
    <t>Godta brukervilkårene.</t>
  </si>
  <si>
    <t>Proszę zaakceptować warunki użytkowania</t>
  </si>
  <si>
    <t>Por favor, aceit os termos de uso</t>
  </si>
  <si>
    <t>Te rugăm să accepți Termenii de Utilizare.</t>
  </si>
  <si>
    <t>Необходимо принять словия использования</t>
  </si>
  <si>
    <t>Vyjadrite svoj súhlas s podmienkami používania.</t>
  </si>
  <si>
    <t>Sprejmite Pogoje uporabe.</t>
  </si>
  <si>
    <t>Molimo prihvatite Uslove o korišćenju.</t>
  </si>
  <si>
    <t>Acceptera användarvillkoren.</t>
  </si>
  <si>
    <t>โปรดยอมรับข้อกำหนดการใช้งาน</t>
  </si>
  <si>
    <t>Lütfen Kullanım Koşullarını kabul edin.</t>
  </si>
  <si>
    <t>Vui lòng chấp nhận Điều khoản sử dụng.</t>
  </si>
  <si>
    <t>请接受使用条款</t>
  </si>
  <si>
    <t>&gt;請接受使用條款</t>
  </si>
  <si>
    <t>tt_edit_account</t>
  </si>
  <si>
    <t>Edit account</t>
  </si>
  <si>
    <t>تحرير الحساب</t>
  </si>
  <si>
    <t>Редактиране на акаунта</t>
  </si>
  <si>
    <t>Upravit účet</t>
  </si>
  <si>
    <t>Rediger konto</t>
  </si>
  <si>
    <t>Benutzerdaten editieren</t>
  </si>
  <si>
    <t>Επεξεργασία λογαριασμού</t>
  </si>
  <si>
    <t>Editar cuenta</t>
  </si>
  <si>
    <t>Muokkaa tiliä</t>
  </si>
  <si>
    <t>Modifier le compte</t>
  </si>
  <si>
    <t>कहते को एडिट करें</t>
  </si>
  <si>
    <t>Edit akun</t>
  </si>
  <si>
    <t>Modifica conto</t>
  </si>
  <si>
    <t>ערוך חשבון</t>
  </si>
  <si>
    <t>編集</t>
  </si>
  <si>
    <t>계정 편집</t>
  </si>
  <si>
    <t>Sunting akaun</t>
  </si>
  <si>
    <t>Pas account aan</t>
  </si>
  <si>
    <t>Edytuj konto</t>
  </si>
  <si>
    <t>Editar conta</t>
  </si>
  <si>
    <t>Editează contul</t>
  </si>
  <si>
    <t>Редактировать аккаунт</t>
  </si>
  <si>
    <t>Upraviť účet</t>
  </si>
  <si>
    <t>Urejanje računa</t>
  </si>
  <si>
    <t>Promena naloga</t>
  </si>
  <si>
    <t>Ändra kontoinställningar</t>
  </si>
  <si>
    <t>แก้ไขบัญชี</t>
  </si>
  <si>
    <t>Hesabı Düzenle</t>
  </si>
  <si>
    <t>Chỉnh sửa tài khoản</t>
  </si>
  <si>
    <t>编辑帐户</t>
  </si>
  <si>
    <t>&gt;編輯帳戶</t>
  </si>
  <si>
    <t>tt_lowerlimit</t>
  </si>
  <si>
    <t>Lower limit</t>
  </si>
  <si>
    <t>الحد الأدنى</t>
  </si>
  <si>
    <t>Долна граница</t>
  </si>
  <si>
    <t>Dolní mez</t>
  </si>
  <si>
    <t>Nedre grænse</t>
  </si>
  <si>
    <t>Untere Grenze</t>
  </si>
  <si>
    <t>Κατώτερο όριο</t>
  </si>
  <si>
    <t>Límite inferior</t>
  </si>
  <si>
    <t>Alaraja</t>
  </si>
  <si>
    <t>Limite inférieure</t>
  </si>
  <si>
    <t>निचली सीमा</t>
  </si>
  <si>
    <t>Alsó limit</t>
  </si>
  <si>
    <t>Batas Bawah</t>
  </si>
  <si>
    <t>Limite inferiore</t>
  </si>
  <si>
    <t>גבול תחתון</t>
  </si>
  <si>
    <t>下限</t>
  </si>
  <si>
    <t>하한</t>
  </si>
  <si>
    <t>Had Lebih Rendah</t>
  </si>
  <si>
    <t>Verlaag limiet</t>
  </si>
  <si>
    <t>Nedre grense</t>
  </si>
  <si>
    <t>Dolny limit</t>
  </si>
  <si>
    <t>Limite inferior</t>
  </si>
  <si>
    <t>Limita inferioara</t>
  </si>
  <si>
    <t>Нижний предел колебаний</t>
  </si>
  <si>
    <t>Nižšia hranica</t>
  </si>
  <si>
    <t>Spodnja meja</t>
  </si>
  <si>
    <t>Donja granica</t>
  </si>
  <si>
    <t>Lägre gräns</t>
  </si>
  <si>
    <t>ขีดจำกัดล่าง</t>
  </si>
  <si>
    <t>Alt sınır</t>
  </si>
  <si>
    <t>Giới hạn dưới</t>
  </si>
  <si>
    <t>&gt;下限</t>
  </si>
  <si>
    <t>error_io_exception</t>
  </si>
  <si>
    <t>General I/O error. Maybe you ran out of storage space?</t>
  </si>
  <si>
    <t>Обща В/И грешка. Може би нямате достатъчно свободно място?</t>
  </si>
  <si>
    <t>Error d\'E/S general. Pot ser que us hagueu quedat sense espai d\'emmagatzematge.</t>
  </si>
  <si>
    <t>Allgemeiner Fehler. Vielleicht hast du keinen Speicherplatz mehr?</t>
  </si>
  <si>
    <t>Error general. ¿Es posible que no tengas espacio en disco?</t>
  </si>
  <si>
    <t>Erreur générale d\'E/S. Avez-vous encore de l\'espace libre ?</t>
  </si>
  <si>
    <t>Erro xeral de I/O. ¿Quedaches sen espazo no disco?</t>
  </si>
  <si>
    <t>Általános íráshiba. Talán elfogyott a hely?</t>
  </si>
  <si>
    <t>Kesalahan Umum I/O. Mungkin Anda kehabisan ruang penyimpanan?</t>
  </si>
  <si>
    <t>Errore di I/O generico. Forse hai esaurito lo spazio?</t>
  </si>
  <si>
    <t>一般的な I/O エラー。おそらく空き容量がなくなっていませんか?</t>
  </si>
  <si>
    <t>일반 입출력 오류. 저장소 공간이 부족한 것 같습니다.</t>
  </si>
  <si>
    <t>Algemene I/O-fout. Misschien is er geen opslagruimte meer beschikbaar?</t>
  </si>
  <si>
    <t>Ogólny błąd wejścia/wyjścia</t>
  </si>
  <si>
    <t>Erro de I/O genérico. Talvez tenha ficado sem espaço de armazenamento?</t>
  </si>
  <si>
    <t>Общая ошибка ввода/вывода. Возможно, на устройстве недостаточно свободного места?</t>
  </si>
  <si>
    <t>Všeobecná I/O chyba. Možno už nie je voľné miesto?</t>
  </si>
  <si>
    <t>Општа У/И грешка. Можда вам је нестало простора у складишту?</t>
  </si>
  <si>
    <t>Generellt I/O-fel. Du kanske fick slut på plats?</t>
  </si>
  <si>
    <t>Загальна помилка вводу-виводу. Можливо, що у Вашого пристрою закінчилась пам\'ять для збереження?</t>
  </si>
  <si>
    <t>Lỗi I/O tổng quát. Có lẽ đã hết dung lượng lưu trữ?</t>
  </si>
  <si>
    <t>常規的 I/O 錯誤。可能是存儲空間不足？</t>
  </si>
  <si>
    <t>ethiopia</t>
  </si>
  <si>
    <t>Ethiopia</t>
  </si>
  <si>
    <t>Äthiopien</t>
  </si>
  <si>
    <t>Etiopía</t>
  </si>
  <si>
    <t>Ethiopie</t>
  </si>
  <si>
    <t>Эфиопия</t>
  </si>
  <si>
    <t>Etiopija</t>
  </si>
  <si>
    <t>tt_big</t>
  </si>
  <si>
    <t>Big</t>
  </si>
  <si>
    <t>كبير</t>
  </si>
  <si>
    <t>Velký</t>
  </si>
  <si>
    <t>Stor</t>
  </si>
  <si>
    <t>Μεγάλο</t>
  </si>
  <si>
    <t>Iso</t>
  </si>
  <si>
    <t>Grand</t>
  </si>
  <si>
    <t>बड़ा</t>
  </si>
  <si>
    <t>Kicsi</t>
  </si>
  <si>
    <t>Besar</t>
  </si>
  <si>
    <t>גדול</t>
  </si>
  <si>
    <t>크게</t>
  </si>
  <si>
    <t>Duży</t>
  </si>
  <si>
    <t>Mare</t>
  </si>
  <si>
    <t>Veľký</t>
  </si>
  <si>
    <t>Velik</t>
  </si>
  <si>
    <t>Velika</t>
  </si>
  <si>
    <t>ขนาดใหญ่</t>
  </si>
  <si>
    <t>Büyük</t>
  </si>
  <si>
    <t>Lớn</t>
  </si>
  <si>
    <t>&gt;大</t>
  </si>
  <si>
    <t>pref_never_send_crash_summary</t>
  </si>
  <si>
    <t>By sending in stack traces you are helping the ongoing development of Conversations</t>
  </si>
  <si>
    <t>الغاء ارسال تقارير الأخطاء يقلل من فرص حل المشكلة سريعا فكن متعاون</t>
  </si>
  <si>
    <t>Изпращайки проследявания на стека, Вие помагате за непрекъснатото развитие на Conversations</t>
  </si>
  <si>
    <t>Amb l\'enviament de traces d\'execució ajudeu al desenvolupament futur del Conversations</t>
  </si>
  <si>
    <t>Wenn du Absturzberichte einschickst, hilfst du Conversations stetig zu verbessern</t>
  </si>
  <si>
    <t>Si envías registros de error ayudas al desarrollo de Conversations</t>
  </si>
  <si>
    <t>En envoyant des logs vous aidez le développement de Conversations.</t>
  </si>
  <si>
    <t>Enviando volcados de pilas axudas ao desenvolvemento de Conversations</t>
  </si>
  <si>
    <t>A hibák jelentésével segíted a Conversations program fejlesztését</t>
  </si>
  <si>
    <t>Dengan mengirimkan kesalahan Anda membantu pengembangan Aplikasi Conversations</t>
  </si>
  <si>
    <t>Se scegli di inviare una segnalazione dell’errore aiuterai lo sviluppo di Conversations</t>
  </si>
  <si>
    <t>スタックトレースを送信することで、あなたは Conversations の継続的な開発を支援しています</t>
  </si>
  <si>
    <t>Stack trace 정보를 보냄으로서 Conversations의 개발에 기여할 수 있습니다</t>
  </si>
  <si>
    <t>Door crashrapportages te versturen help je de ontwikkeling van Conversations</t>
  </si>
  <si>
    <t>Wysyłając ślady stosu pomagasz rozwijać Conversations</t>
  </si>
  <si>
    <t>Ao enviar os stack traces você está a ajudar ao desenvolvimento contínuo de Conversations</t>
  </si>
  <si>
    <t>Отправляя отчёты об ошибках, вы помогаете исправить и улучшить Conversations</t>
  </si>
  <si>
    <t>Zaslaním detailov o dôvode zlyhania pomáhate ďalšiemu vývoju aplikácie Conversations</t>
  </si>
  <si>
    <t>Слањем контратрага помажете текући развој Конверзације</t>
  </si>
  <si>
    <t>Genom att skicka in stack traces hjälper du utvecklarna av Conversations</t>
  </si>
  <si>
    <t>Надсилаючи траси стеку викликів Ви допомагаєте розробці Розмов, яка продовжується</t>
  </si>
  <si>
    <t>Bằng việc gửi báo cáo hoạt động, bạn đang hỗ trợ nhóm phát triển của Conversations</t>
  </si>
  <si>
    <t>發送堆疊跟蹤説明 Conversations 開發人員</t>
  </si>
  <si>
    <t>tt_rho</t>
  </si>
  <si>
    <t>Rho</t>
  </si>
  <si>
    <t>مقياس حساسية قيمة عقد خيار إلى أسعار الفائدة</t>
  </si>
  <si>
    <t>Rhoo</t>
  </si>
  <si>
    <t>רו</t>
  </si>
  <si>
    <t>로(Rho)</t>
  </si>
  <si>
    <t>Ро</t>
  </si>
  <si>
    <t>Ró</t>
  </si>
  <si>
    <t>onboarding_24_7</t>
  </si>
  <si>
    <t>24/7 news that move the markets.</t>
  </si>
  <si>
    <t>24/7 nieuws dat de markten verandert.</t>
  </si>
  <si>
    <t>24/7 Nachrichten, die die Märkte bewegen.</t>
  </si>
  <si>
    <t>24/7 nyheder, der flytter markederne.</t>
  </si>
  <si>
    <t>Noticias 24/7 que mueven los mercados.</t>
  </si>
  <si>
    <t>Markkinoita muuttavat uutiset 24/7.</t>
  </si>
  <si>
    <t>Des nouvelles 24 heures sur 24 et 7 jours sur 7 qui font bouger les marchés.</t>
  </si>
  <si>
    <t>Piacokat megmozgató hírek a nap 24 órájában.</t>
  </si>
  <si>
    <t>Berita 24/7 yang mengubah pasar.</t>
  </si>
  <si>
    <t>Notizie che muovono i mercati 24 ore/7 giorni.</t>
  </si>
  <si>
    <t>7/24 piyasaları hareketlendiren haberler.</t>
  </si>
  <si>
    <t>市場に影響を及ぼす24時間365日のニュース</t>
  </si>
  <si>
    <t>引起市场变动的全天候新闻。</t>
  </si>
  <si>
    <t>Berita 24/7 yang menggerakkan pasaran.</t>
  </si>
  <si>
    <t>Nyheter døgnet rundt om hva som beveger markedene.</t>
  </si>
  <si>
    <t>Całodobowe wiadomości, które poruszają rynki.</t>
  </si>
  <si>
    <t>Notícias que movem os mercados, 24 horas por dia, 7 dias por semana.</t>
  </si>
  <si>
    <t>Новости 24/7, движущие рынками.</t>
  </si>
  <si>
    <t>Vesti 24/7 koje pokreću tržišta.</t>
  </si>
  <si>
    <t>Dygnet runt nyheter som driver marknaderna .</t>
  </si>
  <si>
    <t>시장을 움직이는 주7일 하루 24시간 뉴스.</t>
  </si>
  <si>
    <t>tt_security_level</t>
  </si>
  <si>
    <t>Security level</t>
  </si>
  <si>
    <t>مستوى الأمان</t>
  </si>
  <si>
    <t>Ниво на сигурност</t>
  </si>
  <si>
    <t>Úroveň zabezpečení</t>
  </si>
  <si>
    <t>Sikkerhedsniveau</t>
  </si>
  <si>
    <t>Sicherheitslevel</t>
  </si>
  <si>
    <t>Επίπεδο ασφαλείας</t>
  </si>
  <si>
    <t>Nivel de seguridad</t>
  </si>
  <si>
    <t>Turvallisuustaso</t>
  </si>
  <si>
    <t>Niveau de sécurité</t>
  </si>
  <si>
    <t>सुरक्षा स्तर</t>
  </si>
  <si>
    <t>Biztonsági szint</t>
  </si>
  <si>
    <t>Tahap keselamatan</t>
  </si>
  <si>
    <t>Livello di Sicurezza</t>
  </si>
  <si>
    <t>רמת אבטחה</t>
  </si>
  <si>
    <t>セキュリティレベル</t>
  </si>
  <si>
    <t>유가증권 수준</t>
  </si>
  <si>
    <t>Beveiligingsniveau</t>
  </si>
  <si>
    <t>Sikkerhetsnivå</t>
  </si>
  <si>
    <t>Poziom ochrony</t>
  </si>
  <si>
    <t>Nível de segurança</t>
  </si>
  <si>
    <t>Nivel de securitate</t>
  </si>
  <si>
    <t>Уровень безопасности</t>
  </si>
  <si>
    <t>Úroveň zabezpečenia</t>
  </si>
  <si>
    <t>Varnostna raven</t>
  </si>
  <si>
    <t>Säkerhetsnivå</t>
  </si>
  <si>
    <t>ระดับของหลักทรัพย์</t>
  </si>
  <si>
    <t>Menkul kıymet düzeyi</t>
  </si>
  <si>
    <t>Cấp độ bảo mật</t>
  </si>
  <si>
    <t>安全水准</t>
  </si>
  <si>
    <t>tt_bid</t>
  </si>
  <si>
    <t>Bid</t>
  </si>
  <si>
    <t>عطاء</t>
  </si>
  <si>
    <t>Купува</t>
  </si>
  <si>
    <t>Nabídka</t>
  </si>
  <si>
    <t>Bud</t>
  </si>
  <si>
    <t>Geld</t>
  </si>
  <si>
    <t>Προσφορά</t>
  </si>
  <si>
    <t>Ofertar</t>
  </si>
  <si>
    <t>Tarjous</t>
  </si>
  <si>
    <t>Achat</t>
  </si>
  <si>
    <t>बोली</t>
  </si>
  <si>
    <t>Vétel</t>
  </si>
  <si>
    <t>Tawaran</t>
  </si>
  <si>
    <t>הצעת מחיר</t>
  </si>
  <si>
    <t>売</t>
  </si>
  <si>
    <t>입찰</t>
  </si>
  <si>
    <t>Bieding</t>
  </si>
  <si>
    <t>Kupno</t>
  </si>
  <si>
    <t>Ofertă</t>
  </si>
  <si>
    <t>Бид</t>
  </si>
  <si>
    <t>Ponuka</t>
  </si>
  <si>
    <t>Ponudba</t>
  </si>
  <si>
    <t>Tražnja</t>
  </si>
  <si>
    <t>ประมูล</t>
  </si>
  <si>
    <t>Teklif ver</t>
  </si>
  <si>
    <t>Mua</t>
  </si>
  <si>
    <t>投标</t>
  </si>
  <si>
    <t>&gt;投標</t>
  </si>
  <si>
    <t>pref_autojoin</t>
  </si>
  <si>
    <t>Synchronize with bookmarks</t>
  </si>
  <si>
    <t>choose_file</t>
  </si>
  <si>
    <t>Choose file</t>
  </si>
  <si>
    <t>اختيار ملف</t>
  </si>
  <si>
    <t>Изберете файл</t>
  </si>
  <si>
    <t>Escolliu un arxiu</t>
  </si>
  <si>
    <t>Datei auswählen</t>
  </si>
  <si>
    <t>Seleccionar archivo</t>
  </si>
  <si>
    <t>Choix du fichier</t>
  </si>
  <si>
    <t>Escoller ficheiro</t>
  </si>
  <si>
    <t>Fájl kiválasztása</t>
  </si>
  <si>
    <t>Pilih berkas</t>
  </si>
  <si>
    <t>Scegli un file</t>
  </si>
  <si>
    <t>ファイルの選択</t>
  </si>
  <si>
    <t>파일 선택</t>
  </si>
  <si>
    <t>Bestand kiezen</t>
  </si>
  <si>
    <t>Wybierz plik</t>
  </si>
  <si>
    <t>Escolher ficheiro</t>
  </si>
  <si>
    <t>Выбрать файл</t>
  </si>
  <si>
    <t>Vybrať súbor</t>
  </si>
  <si>
    <t>Изабери фајл</t>
  </si>
  <si>
    <t>Välj fil</t>
  </si>
  <si>
    <t>Вибрати файл</t>
  </si>
  <si>
    <t>Chọn tập tin</t>
  </si>
  <si>
    <t>選檔案</t>
  </si>
  <si>
    <t>tt_ind_remove</t>
  </si>
  <si>
    <t>Remove Indicator</t>
  </si>
  <si>
    <t>إزالة المؤشر</t>
  </si>
  <si>
    <t>Премахни индикатора</t>
  </si>
  <si>
    <t>Odstranit indikátor</t>
  </si>
  <si>
    <t>Fjern indikatoren</t>
  </si>
  <si>
    <t>Indikator entfernen</t>
  </si>
  <si>
    <t>Αφαιρέστε το δείκτη</t>
  </si>
  <si>
    <t>Retirar Indicador</t>
  </si>
  <si>
    <t>Poista indikaattori</t>
  </si>
  <si>
    <t>Supprimer l\'indicateur</t>
  </si>
  <si>
    <t>संकेतक को हटाएँ</t>
  </si>
  <si>
    <t>Indikátor törlése</t>
  </si>
  <si>
    <t>Keluarkan Penunjuk</t>
  </si>
  <si>
    <t>Elimina Indicatore</t>
  </si>
  <si>
    <t>הסר את המחוון</t>
  </si>
  <si>
    <t>指標削除</t>
  </si>
  <si>
    <t>지표 삭제</t>
  </si>
  <si>
    <t>Verwijder indicator</t>
  </si>
  <si>
    <t>Fjern indikator</t>
  </si>
  <si>
    <t>Usuń wskaźnik</t>
  </si>
  <si>
    <t>Remover indicador</t>
  </si>
  <si>
    <t>Elimină Indicatorul</t>
  </si>
  <si>
    <t>Удалить индикатор</t>
  </si>
  <si>
    <t>Odstrániť indikátor</t>
  </si>
  <si>
    <t>Odstranite indikator</t>
  </si>
  <si>
    <t>Izbaci indikator</t>
  </si>
  <si>
    <t>Ta bort indikatorn</t>
  </si>
  <si>
    <t>ลบตัวชี้วัด</t>
  </si>
  <si>
    <t>Göstergeyi Kaldır</t>
  </si>
  <si>
    <t>Xóa chỉ báo</t>
  </si>
  <si>
    <t>删除指示</t>
  </si>
  <si>
    <t>&gt;刪除指示</t>
  </si>
  <si>
    <t>received_message_from_stranger</t>
  </si>
  <si>
    <t>Received message from stranger</t>
  </si>
  <si>
    <t>لقد تلقيت رسالة من شخص غريب</t>
  </si>
  <si>
    <t>Получено е съобщение от непознат</t>
  </si>
  <si>
    <t>S\'ha rebut un missatge de un desconegut</t>
  </si>
  <si>
    <t>Erhaltene Nachricht von einem Unbekannten</t>
  </si>
  <si>
    <t>Mensaje recibido de un contacto desconocido</t>
  </si>
  <si>
    <t>Message d\'un inconnu reçu</t>
  </si>
  <si>
    <t>Mensaxe recibida de un estraño</t>
  </si>
  <si>
    <t>Üzenete érkezett egy idegentől</t>
  </si>
  <si>
    <t>Ricevuto messaggio da uno sconosciuto</t>
  </si>
  <si>
    <t>知らない人からメッセージを受け取りました</t>
  </si>
  <si>
    <t>Bericht ontvangen van onbekende</t>
  </si>
  <si>
    <t>Odebrano wiadomość od nieznajomego</t>
  </si>
  <si>
    <t>Получено сообщение от неизвестного контакта</t>
  </si>
  <si>
    <t>Примљена порука од незнанца</t>
  </si>
  <si>
    <t>Mottagna meddelanden från främlingar</t>
  </si>
  <si>
    <t>Отримано повідомлення від незнайомця</t>
  </si>
  <si>
    <t>接受來自陌生人的訊息</t>
  </si>
  <si>
    <t>symbol_detail_surrogate_popup_text</t>
  </si>
  <si>
    <t>Click here for more features and sharing options.</t>
  </si>
  <si>
    <t>انقر هنا لمزيد من الميزات وخيارات المشاركة.</t>
  </si>
  <si>
    <t>Кликнете тук за повече функции и опции за споделяне.</t>
  </si>
  <si>
    <t>Kliknutím sem zobrazíte další funkce a možnosti sdílení.</t>
  </si>
  <si>
    <t>Klik her for flere funktioner og delingsindstillinger.</t>
  </si>
  <si>
    <t>Klicken Sie hier für weitere Features und Optionen zum Teilen.</t>
  </si>
  <si>
    <t>Κάντε κλικ εδώ για περισσότερες δυνατότητες και επιλογές κοινής χρήσης.</t>
  </si>
  <si>
    <t>Haga click aquí para ver más funciones y opciones para compatir.</t>
  </si>
  <si>
    <t>Napsauta tätä saadaksesi lisää ominaisuuksia ja jakamisvaihtoehtoja.</t>
  </si>
  <si>
    <t>Cliquez ici pour d\'autres fonctionnalités et options de partage.</t>
  </si>
  <si>
    <t>अधिक विशेषताओं और साझाकरण विकल्पों के लिए यहाँ क्लिक करें।</t>
  </si>
  <si>
    <t>Kattintson ide még több funkcióért és megosztási lehetőségekért.</t>
  </si>
  <si>
    <t>Klik di sini untuk mendapatkan lebih banyak fitur dan pilihan untuk berbagi.</t>
  </si>
  <si>
    <t>Clicca qui per ulteriori features e opzioni di condivisione</t>
  </si>
  <si>
    <t>לחץ כאן לקבלת תכונות נוספות ואפשרויות שיתוף.</t>
  </si>
  <si>
    <t>その他の機能と共有オプションについては、こちらをクリックしてください。</t>
  </si>
  <si>
    <t>더 많은 기능과 공유 옵션을 보려면 여기를 클릭하세요.</t>
  </si>
  <si>
    <t>Klik di sini untuk mendapatkan lebih banyak ciri dan pilihan perkongsian.</t>
  </si>
  <si>
    <t>Klik hier voor meer functies en opties voor delen.</t>
  </si>
  <si>
    <t>Klikk her for flere funksjoner og delingsalternativer.</t>
  </si>
  <si>
    <t>Kliknij tutaj po więcej informacji i opcji udostępniania.</t>
  </si>
  <si>
    <t>Clique aqui para obter mais recursos e opções de partilha.</t>
  </si>
  <si>
    <t>Fă clic aici pentru mai multe funcțiuni și opțiuni de partajare.</t>
  </si>
  <si>
    <t>Нажмите здесь для дополнительных функций и возможностей совместного использования.</t>
  </si>
  <si>
    <t>Kliknutím tu zobrazíte ďalšie funkcie a možnosti zdieľania.</t>
  </si>
  <si>
    <t>Kliknite tukaj za več funkcij in delitve opcij.</t>
  </si>
  <si>
    <t>Klik ovde za još prikaza i opcija deljenja.</t>
  </si>
  <si>
    <t>Klicka här för fler funktioner och delningsalternativ.</t>
  </si>
  <si>
    <t>คลิกที่นี่เพื่อดูคุณสมบัติเพิ่มเติมและตัวเลือกการแชร์</t>
  </si>
  <si>
    <t>Daha fazla özellik ve paylaşım seçeneği için buraya tıklayın.</t>
  </si>
  <si>
    <t>Nhấn vào đây để thêm các tính năng và tùy chọn chia sẻ.</t>
  </si>
  <si>
    <t>点击这里为了看更多的功能，还有分享功能。</t>
  </si>
  <si>
    <t>contact_has_no_pgp_key</t>
  </si>
  <si>
    <t>Conversations is unable to encrypt your messages because your contact is not announcing his or hers public key.\n\n</t>
  </si>
  <si>
    <t>Conversations::لا يستطيع تشفير الرساله\n\n</t>
  </si>
  <si>
    <t>Conversations не може да шифрова съобщенията Ви, тъй като Вашият контакт не обявява публичния си ключ.\n\n</t>
  </si>
  <si>
    <t>El Conversations no pot xifrar els missatges perquè el vostre contacte no anuncia la seva clau pública.\n\n</t>
  </si>
  <si>
    <t>Conversations ist nicht in der Lage, deine Nachrichten zu verschlüsseln, weil dein Kontakt seinen oder ihren Schlüssel nicht preisgibt.\n\n</t>
  </si>
  <si>
    <t>Conversations no ha podido cifrar tus mensajes porque tu contacto no está anunciando su clave publica.\n\n</t>
  </si>
  <si>
    <t>Conversations ne peut pas chiffrer vos messages car votre contact n\'a pas communiqué sa clef publique.\n\n</t>
  </si>
  <si>
    <t>Conversations non foi quen de cifrar as túas mensaxes porque o teu contactos non está anunciando a súa clave pública.\n\n</t>
  </si>
  <si>
    <t>A Conversations nem tudja titkosítani az üzeneteit, mert a kapcsolata nem jelenti be a nyilvános kulcsát.\n\n</t>
  </si>
  <si>
    <t>Conversations tidak dapat mengenkripsi pesan Anda karena kontak tidak mengumumkan kunci publiknya.\n\n</t>
  </si>
  <si>
    <t>Conversations non è in grado di cifrare i tuoi messaggi perché il contatto non sta annunciando la sua chiave pubblica.\n\n</t>
  </si>
  <si>
    <t>連絡先が公開鍵を通知しないため、Conversations はあなたのメッセージを暗号化することができません。\n\n</t>
  </si>
  <si>
    <t>당신의 연락처가 그들의 공개 키를 선언하지 않고 있기 때문에 Conversations는 당신의 메세지를 암호화할 수 없습니다. OpenPGP를 설정하도록 당신의 연락처에게 물어보세요.</t>
  </si>
  <si>
    <t>Conversations kan je berichten niet versleutelen omdat je contact geen publieke sleutel heeft ingesteld.\n\n</t>
  </si>
  <si>
    <t>Conversations nie może zaszyfrować wiadomości, ponieważ kontakt nie udostępnia klucza publicznego.\n\n</t>
  </si>
  <si>
    <t>Conversations não é capaz de cifrar as suas mensagens porque o seu contacto não está a anunciar a sua chave pública.\n\n</t>
  </si>
  <si>
    <t>Conversations не может зашифровать сообщение, потому что удалённый пользователь не анонсирует свой открытый ключ.\n\n</t>
  </si>
  <si>
    <t>Nie je možné zašifrovať správu v aplikácii Conversations, pretože druhá strana neoznamuje svoj verejný kľúč.\n\n</t>
  </si>
  <si>
    <t>Конверзација није могла да шифрује ваше поруке јер ваш контакт не објављује свој јавни кључ.\n\n</t>
  </si>
  <si>
    <t>Conversations kan inte kryptera ditt meddelande eftersom din kontakt inte annonserar sin publika nyckel.\n\n</t>
  </si>
  <si>
    <t>Konuşmalar mesajlarınızı şifreleyemez, çünkü iletişiminiz Hers\'i açıklamıyor.\n\n</t>
  </si>
  <si>
    <t>Не вдалося розшифрувати повідомлення, оскільки контакт не повідомляє свого публічного ключа.\n\n</t>
  </si>
  <si>
    <t>Conversations không thể mã hoá tin nhắn vì liên hệ của bạn không thông báo khoá công cộng của anh/chị ấy.\n\n</t>
  </si>
  <si>
    <t>Conversations 無法加密訊息，因為連絡人未提供他/她的公開金鑰。\n\n&lt;small請通知連絡人設置 OpenPGP。&lt;/small</t>
  </si>
  <si>
    <t>tt_portfolio_cashaccount</t>
  </si>
  <si>
    <t>Cash account</t>
  </si>
  <si>
    <t>حساب نقدي</t>
  </si>
  <si>
    <t>Касова сметка</t>
  </si>
  <si>
    <t>Hotovostní účet</t>
  </si>
  <si>
    <t>Kontantkonto</t>
  </si>
  <si>
    <t>Geldkonto</t>
  </si>
  <si>
    <t>Λογαριασμός μετρητών</t>
  </si>
  <si>
    <t>Cuenta de efectivo</t>
  </si>
  <si>
    <t>Kassatili</t>
  </si>
  <si>
    <t>Compte cash</t>
  </si>
  <si>
    <t>नकद खाता</t>
  </si>
  <si>
    <t>Készpénz állomány</t>
  </si>
  <si>
    <t>Akun tunai</t>
  </si>
  <si>
    <t>Conto di liquidità</t>
  </si>
  <si>
    <t>חשבון מזומנים</t>
  </si>
  <si>
    <t>現金勘定</t>
  </si>
  <si>
    <t>현금 계정</t>
  </si>
  <si>
    <t>Akaun tunai</t>
  </si>
  <si>
    <t>Cash rekening</t>
  </si>
  <si>
    <t>Rachunek pieniężny</t>
  </si>
  <si>
    <t>Conta caixa</t>
  </si>
  <si>
    <t>Cont de numerar</t>
  </si>
  <si>
    <t>Счет инвестора</t>
  </si>
  <si>
    <t>Hotovostný účet</t>
  </si>
  <si>
    <t>Gotovinski račun</t>
  </si>
  <si>
    <t>Novčani račun</t>
  </si>
  <si>
    <t>บัญชีเงินสด</t>
  </si>
  <si>
    <t>Nakit hesabı</t>
  </si>
  <si>
    <t>Tài khoản tiền mặt</t>
  </si>
  <si>
    <t>现金账户</t>
  </si>
  <si>
    <t>&gt;現金帳戶</t>
  </si>
  <si>
    <t>tt_metalsin</t>
  </si>
  <si>
    <t>Metals in</t>
  </si>
  <si>
    <t>المعادن في</t>
  </si>
  <si>
    <t>Метали в</t>
  </si>
  <si>
    <t>Kovy v</t>
  </si>
  <si>
    <t>Metaller i</t>
  </si>
  <si>
    <t>Metalle in</t>
  </si>
  <si>
    <t>Μέταλλα σε</t>
  </si>
  <si>
    <t>Metales en</t>
  </si>
  <si>
    <t>में धातुएँ</t>
  </si>
  <si>
    <t>Nemesfémek</t>
  </si>
  <si>
    <t>Logam dalam</t>
  </si>
  <si>
    <t>Metalli in</t>
  </si>
  <si>
    <t>מתכות ב</t>
  </si>
  <si>
    <t>금속 in</t>
  </si>
  <si>
    <t>Metalen in</t>
  </si>
  <si>
    <t>Metale w</t>
  </si>
  <si>
    <t>Metais em</t>
  </si>
  <si>
    <t>Metale în</t>
  </si>
  <si>
    <t>Металлы в</t>
  </si>
  <si>
    <t>Kovine v</t>
  </si>
  <si>
    <t>Metali u</t>
  </si>
  <si>
    <t>วัตถุโลหะใน</t>
  </si>
  <si>
    <t>Kim loại trong</t>
  </si>
  <si>
    <t>save_as_new</t>
  </si>
  <si>
    <t>Save as new</t>
  </si>
  <si>
    <t>حفظ كجديد</t>
  </si>
  <si>
    <t>Запазване като ново</t>
  </si>
  <si>
    <t>Uložit jako nové</t>
  </si>
  <si>
    <t>Gem som ny</t>
  </si>
  <si>
    <t>Als neue (Vorlage) speichern</t>
  </si>
  <si>
    <t>Αποθήκευση ως νέο</t>
  </si>
  <si>
    <t>Guardar como nuevo</t>
  </si>
  <si>
    <t>Tallenna uutena</t>
  </si>
  <si>
    <t>Enregistrer comme nouveau</t>
  </si>
  <si>
    <t>नए के रूप में सहेजें</t>
  </si>
  <si>
    <t>Mentés új sablonként</t>
  </si>
  <si>
    <t>Simpan sebagai baru</t>
  </si>
  <si>
    <t>Salva una copia</t>
  </si>
  <si>
    <t>שמור כחדש</t>
  </si>
  <si>
    <t>新規として保存</t>
  </si>
  <si>
    <t>Simpan sebagai baharu</t>
  </si>
  <si>
    <t>Als nieuw opslaan</t>
  </si>
  <si>
    <t>Lagre som ny</t>
  </si>
  <si>
    <t>Zapisz jako nowy</t>
  </si>
  <si>
    <t>Guardar como novo</t>
  </si>
  <si>
    <t>Salvează ca nou</t>
  </si>
  <si>
    <t>Сохранить как новый</t>
  </si>
  <si>
    <t>Uložiť ako nové</t>
  </si>
  <si>
    <t>Shrani kot novo</t>
  </si>
  <si>
    <t>Sačuvaj kopiju</t>
  </si>
  <si>
    <t>Spara som nytt</t>
  </si>
  <si>
    <t>บันทึกเป็นไฟล์ใหม่</t>
  </si>
  <si>
    <t>Yeni olarak kaydet</t>
  </si>
  <si>
    <t>Lưu mới</t>
  </si>
  <si>
    <t>另存为新</t>
  </si>
  <si>
    <t>tt_tell_a_friend</t>
  </si>
  <si>
    <t>Tell a friend</t>
  </si>
  <si>
    <t>اخبر صديق</t>
  </si>
  <si>
    <t>Кажете на приятел</t>
  </si>
  <si>
    <t>Povědět příteli</t>
  </si>
  <si>
    <t>Fortæl en ven</t>
  </si>
  <si>
    <t>Weiterempfehlen</t>
  </si>
  <si>
    <t>Πες σε έναν φίλο</t>
  </si>
  <si>
    <t>Recomendar a un amigo</t>
  </si>
  <si>
    <t>Kerro ystävälle</t>
  </si>
  <si>
    <t>Recommander à un ami</t>
  </si>
  <si>
    <t>किसी मित्र को बताएँ</t>
  </si>
  <si>
    <t>Ajánld ismerősödnek</t>
  </si>
  <si>
    <t>Beritahu teman</t>
  </si>
  <si>
    <t>Dillo a un amico</t>
  </si>
  <si>
    <t>ספר לחבר</t>
  </si>
  <si>
    <t>友達に教える</t>
  </si>
  <si>
    <t>친구에게 알리기</t>
  </si>
  <si>
    <t>Beritahu rakan</t>
  </si>
  <si>
    <t>Informeer een vriend!</t>
  </si>
  <si>
    <t>Fortell en venn</t>
  </si>
  <si>
    <t>Powiadom znajomego</t>
  </si>
  <si>
    <t>Diga a um amigo</t>
  </si>
  <si>
    <t>Spune unui prieten</t>
  </si>
  <si>
    <t>Расскажи другу</t>
  </si>
  <si>
    <t>Povedzte priateľovi</t>
  </si>
  <si>
    <t>Povej prijatelju</t>
  </si>
  <si>
    <t>Obavesti prijatelja</t>
  </si>
  <si>
    <t>Tipsa en vän</t>
  </si>
  <si>
    <t>บอกให้เพื่อนรู้</t>
  </si>
  <si>
    <t>Arkadaşınıza bizden bahsedin</t>
  </si>
  <si>
    <t>Kể với bạn bè</t>
  </si>
  <si>
    <t>介绍给朋友</t>
  </si>
  <si>
    <t>&gt;介紹給朋友</t>
  </si>
  <si>
    <t>touch_to_open_conversations</t>
  </si>
  <si>
    <t>Touch to open Conversations</t>
  </si>
  <si>
    <t>ألمس لفتح تطبيق المحادثات</t>
  </si>
  <si>
    <t>Докоснете, за да отворите Conversations</t>
  </si>
  <si>
    <t>Tocar per obrir les conversacions</t>
  </si>
  <si>
    <t>Antippen, um Conversations zu öffnen</t>
  </si>
  <si>
    <t>Pulsa para abrir Conversations</t>
  </si>
  <si>
    <t>Cliquez pour ouvrir Conversations</t>
  </si>
  <si>
    <t>Toque para abrir Conversations</t>
  </si>
  <si>
    <t>A Conversations megnyitásához érintse meg</t>
  </si>
  <si>
    <t>Sentuh untuk membuka Conversations</t>
  </si>
  <si>
    <t>Tocca per avviare Conversations</t>
  </si>
  <si>
    <t>タッチして Conversations を開く</t>
  </si>
  <si>
    <t>터치해서 Conversations 열기</t>
  </si>
  <si>
    <t>Tik om Conversations te openen</t>
  </si>
  <si>
    <t>Dotknij, aby otworzyć Conversations</t>
  </si>
  <si>
    <t>Коснитесь, чтобы открыть Conversations</t>
  </si>
  <si>
    <t>Kliknite na spustenie Conversations</t>
  </si>
  <si>
    <t>Тапните да отворите Конверзацију</t>
  </si>
  <si>
    <t>Tryck för att öppna Conversations</t>
  </si>
  <si>
    <t>Торкніться, щоб відкрити Розмови</t>
  </si>
  <si>
    <t>Chạm để mở Conversations</t>
  </si>
  <si>
    <t>輕觸打開 Conversations</t>
  </si>
  <si>
    <t>tt_pf_gains_losses_short</t>
  </si>
  <si>
    <t>Gains/Losses</t>
  </si>
  <si>
    <t>الأرباح/الخسائر</t>
  </si>
  <si>
    <t>Печалби/загуби</t>
  </si>
  <si>
    <t>Zisky/ztráty</t>
  </si>
  <si>
    <t>Gevinst/Tab</t>
  </si>
  <si>
    <t>Gewinne/Verluste</t>
  </si>
  <si>
    <t>Κέρδη/Ζημίες</t>
  </si>
  <si>
    <t>Ganancias/Perdidas</t>
  </si>
  <si>
    <t>Voitot/tappiot</t>
  </si>
  <si>
    <t>Gains/Pertes</t>
  </si>
  <si>
    <t>लाभ/हानि</t>
  </si>
  <si>
    <t>Nyereségek/veszteségek</t>
  </si>
  <si>
    <t>Keuntungan/Kerugian</t>
  </si>
  <si>
    <t>Guadagni/Perdite</t>
  </si>
  <si>
    <t>רווחים/הפסדים</t>
  </si>
  <si>
    <t>損益</t>
  </si>
  <si>
    <t>이익/손실</t>
  </si>
  <si>
    <t>Winsten/Verliezen</t>
  </si>
  <si>
    <t>Gevinst/tap</t>
  </si>
  <si>
    <t>Zyski / straty</t>
  </si>
  <si>
    <t>Ganhos/ Perdas</t>
  </si>
  <si>
    <t>Câștiguri/Pierderi</t>
  </si>
  <si>
    <t>Прибыль/Убытки</t>
  </si>
  <si>
    <t>Zisky/straty</t>
  </si>
  <si>
    <t>Dobički/izgube</t>
  </si>
  <si>
    <t>Dobitak/Gubitak</t>
  </si>
  <si>
    <t>Vinster/förluster</t>
  </si>
  <si>
    <t>กำไร/ขาดทุน</t>
  </si>
  <si>
    <t>Karlar/Zararlar</t>
  </si>
  <si>
    <t>Lãi/lỗ</t>
  </si>
  <si>
    <t>收益/损失</t>
  </si>
  <si>
    <t>&gt;收益/損失</t>
  </si>
  <si>
    <t>cook_islands</t>
  </si>
  <si>
    <t>Cook Islands</t>
  </si>
  <si>
    <t>Cook Inseln</t>
  </si>
  <si>
    <t>Islas Cook</t>
  </si>
  <si>
    <t>Les îles Cook</t>
  </si>
  <si>
    <t>Острова Кука</t>
  </si>
  <si>
    <t>Kukova ostrva</t>
  </si>
  <si>
    <t>notifications</t>
  </si>
  <si>
    <t>Notifications</t>
  </si>
  <si>
    <t>الإشعارات</t>
  </si>
  <si>
    <t>Известия</t>
  </si>
  <si>
    <t>Oznámení</t>
  </si>
  <si>
    <t>Underretninger</t>
  </si>
  <si>
    <t>Benachrichtigungen</t>
  </si>
  <si>
    <t>Notificaciones</t>
  </si>
  <si>
    <t>Ilmoitukset</t>
  </si>
  <si>
    <t>नोटिफिकेशन</t>
  </si>
  <si>
    <t>Értesítések</t>
  </si>
  <si>
    <t>Pemberitahuan</t>
  </si>
  <si>
    <t>Notifiche</t>
  </si>
  <si>
    <t>通知</t>
  </si>
  <si>
    <t>알림</t>
  </si>
  <si>
    <t>meldingen</t>
  </si>
  <si>
    <t>Powiadomienia</t>
  </si>
  <si>
    <t>Notificações</t>
  </si>
  <si>
    <t>Notificări</t>
  </si>
  <si>
    <t>Уведомления</t>
  </si>
  <si>
    <t>Oznámenia</t>
  </si>
  <si>
    <t>Obvestila</t>
  </si>
  <si>
    <t>Notifikacije</t>
  </si>
  <si>
    <t>Aviseringar</t>
  </si>
  <si>
    <t>การแจ้งเตือน</t>
  </si>
  <si>
    <t>Bildirimler</t>
  </si>
  <si>
    <t>Thông báo</t>
  </si>
  <si>
    <t>tt_set_wallpaper</t>
  </si>
  <si>
    <t>Set wallpaper</t>
  </si>
  <si>
    <t>تعيين خلفية</t>
  </si>
  <si>
    <t>Задай тапет</t>
  </si>
  <si>
    <t>Nastavit tapetu</t>
  </si>
  <si>
    <t>Indstil tapet</t>
  </si>
  <si>
    <t>Ορισμός ταπετσαρίας</t>
  </si>
  <si>
    <t>Establecer fondo de pantalla</t>
  </si>
  <si>
    <t>Aseta taustakuva</t>
  </si>
  <si>
    <t>Définir en fond d\'écran</t>
  </si>
  <si>
    <t>वालपेपर सेट करें</t>
  </si>
  <si>
    <t>Háttérkép beállítása</t>
  </si>
  <si>
    <t>Tetapkan kertas dinding</t>
  </si>
  <si>
    <t>Modifica sfondo</t>
  </si>
  <si>
    <t>הגדר תמונת רקע</t>
  </si>
  <si>
    <t>壁紙を設定する</t>
  </si>
  <si>
    <t>월페이퍼 설정</t>
  </si>
  <si>
    <t>Bevestig achtergrond</t>
  </si>
  <si>
    <t>Sett bakgrunnsbilde</t>
  </si>
  <si>
    <t>Definir wallpaper</t>
  </si>
  <si>
    <t>Setează imaginea de fundal</t>
  </si>
  <si>
    <t>Установить обои</t>
  </si>
  <si>
    <t>Nastaviť tapetu</t>
  </si>
  <si>
    <t>Nastaviti ozadje</t>
  </si>
  <si>
    <t>Postavi tapet</t>
  </si>
  <si>
    <t>Ställ in bakgrund</t>
  </si>
  <si>
    <t>ตั้งเป็นวอลเปเปอร์</t>
  </si>
  <si>
    <t>Duvar kağıdı ayarla</t>
  </si>
  <si>
    <t>Cài đặt hình nền</t>
  </si>
  <si>
    <t>选择壁纸</t>
  </si>
  <si>
    <t>pref_led_summary</t>
  </si>
  <si>
    <t>Blink notification light when a new message arrives</t>
  </si>
  <si>
    <t>Мигане на индикаторния светодиод при получаване на ново съобщение</t>
  </si>
  <si>
    <t>Fes que la notificació lumínica parpellegi quan arribi un missatge nou</t>
  </si>
  <si>
    <t>Blinke bei Erhalt einer neuen Nachricht</t>
  </si>
  <si>
    <t>La luz parpadea cuando llega un nuevo mensaje</t>
  </si>
  <si>
    <t>Faire clignoter la LED lors de la réception d\'un message</t>
  </si>
  <si>
    <t>Luz pestanexante cando chegue unha nova mensaxe</t>
  </si>
  <si>
    <t>Villogjon a LED új üzenet érkezésekor</t>
  </si>
  <si>
    <t>Luce di notifica lampeggiante quando arriva un nuovo messaggio</t>
  </si>
  <si>
    <t>新しいメッセージが届いたときに通知ライトを点滅します</t>
  </si>
  <si>
    <t>새 메세지 도착시 LED 깜빡이기</t>
  </si>
  <si>
    <t>Meldingslicht knipperen wanneer een nieuw bericht ontvangen wordt</t>
  </si>
  <si>
    <t>Migaj lampką powiadamiającą gdy nadejdzie wiadomość</t>
  </si>
  <si>
    <t>Piscar luz de notificação quando uma nova mensagem for recebida</t>
  </si>
  <si>
    <t>Мерцание индикатора при получении нового сообщения</t>
  </si>
  <si>
    <t>Трептање ЛЕД светла кад стигне нова порука</t>
  </si>
  <si>
    <t>Blinka med notifieringsljuset när ett meddelande tagits emot</t>
  </si>
  <si>
    <t>Блимати світловим індикатором, коли надходить нове повідомлення</t>
  </si>
  <si>
    <t>Chớp đèn thông báo khi có tin nhắn mới</t>
  </si>
  <si>
    <t>收到新訊息時閃爍通知燈</t>
  </si>
  <si>
    <t>tt_indicator_settings_k_slowing_period</t>
  </si>
  <si>
    <t>K_SlowingPeriod</t>
  </si>
  <si>
    <t>فترة التباطؤ k</t>
  </si>
  <si>
    <t>K_LangsomPeriode</t>
  </si>
  <si>
    <t>Περίοδος K_Slowing</t>
  </si>
  <si>
    <t>के_मंदीकरणअवधि</t>
  </si>
  <si>
    <t>DurasiPerlahan_K</t>
  </si>
  <si>
    <t>K_느린 기간</t>
  </si>
  <si>
    <t>TempohPerlahan_K</t>
  </si>
  <si>
    <t>K_langzamePeriode</t>
  </si>
  <si>
    <t>K_AvtagendePeriode</t>
  </si>
  <si>
    <t>K_Período_Desacelerando</t>
  </si>
  <si>
    <t>Perioada K_Slowing</t>
  </si>
  <si>
    <t>Период замедления %K</t>
  </si>
  <si>
    <t>ระยะเวลา % K Slowing</t>
  </si>
  <si>
    <t>K_YavaşlamaDönemi</t>
  </si>
  <si>
    <t>K_慢速区间</t>
  </si>
  <si>
    <t>&gt;K_慢速區間</t>
  </si>
  <si>
    <t>verify_omemo_keys</t>
  </si>
  <si>
    <t>Verify OMEMO keys</t>
  </si>
  <si>
    <t>قم بفحص مفاتيح أو مي مو OMEMO</t>
  </si>
  <si>
    <t>Потвърждаване на ключове OMEMO</t>
  </si>
  <si>
    <t>Comproveu les claus OMEMO</t>
  </si>
  <si>
    <t>Überprüfe OMEMO-Schlüssel</t>
  </si>
  <si>
    <t>Verificar claves OMEMO</t>
  </si>
  <si>
    <t>Vérifier les clefs OMEMO</t>
  </si>
  <si>
    <t>Validar chaves OMEMO</t>
  </si>
  <si>
    <t>OMEMO kulcsok ellenőrzése</t>
  </si>
  <si>
    <t>Verifica chiavi OMEMO</t>
  </si>
  <si>
    <t>OMEMO 鍵を検証</t>
  </si>
  <si>
    <t>OMEMO 키를 검증</t>
  </si>
  <si>
    <t>OMEMO-sleutels verifiëren</t>
  </si>
  <si>
    <t>Zweryfikuj klucze OMEMO</t>
  </si>
  <si>
    <t>Проверить OMEMO ключ</t>
  </si>
  <si>
    <t>Овери ОМЕМО кључеве</t>
  </si>
  <si>
    <t>Verifiera OMEMO-nycklar</t>
  </si>
  <si>
    <t>Підтвердити ключі OMEMO</t>
  </si>
  <si>
    <t>驗證 OMEMO 金鑰</t>
  </si>
  <si>
    <t>libya</t>
  </si>
  <si>
    <t>Libya</t>
  </si>
  <si>
    <t>Lybien</t>
  </si>
  <si>
    <t>Libia</t>
  </si>
  <si>
    <t>Libye</t>
  </si>
  <si>
    <t>Ливия</t>
  </si>
  <si>
    <t>Libija</t>
  </si>
  <si>
    <t>your_watchlist_symbols</t>
  </si>
  <si>
    <t>Your Watchlist symbols</t>
  </si>
  <si>
    <t>رموز قائمة المتابعة الخاصة بك</t>
  </si>
  <si>
    <t>Символите на вашия уочлист</t>
  </si>
  <si>
    <t>Symboly Vašeho seznamu sledovaných položek</t>
  </si>
  <si>
    <t>Din overvågningslistesymboler</t>
  </si>
  <si>
    <t>Ihre Watchlist-Symbole</t>
  </si>
  <si>
    <t>Τα σύμβολα της λίστας παρακολούθησης</t>
  </si>
  <si>
    <t>Su lista de símbolos</t>
  </si>
  <si>
    <t>Tarkkailulistasi symbolit</t>
  </si>
  <si>
    <t>Vos symboles de WatchList</t>
  </si>
  <si>
    <t>आपके वॉचलिस्ट के प्रतीक</t>
  </si>
  <si>
    <t>A figyelőlista szimbólumai</t>
  </si>
  <si>
    <t>Simbol daftar pantauan anda</t>
  </si>
  <si>
    <t>I simboli dalla tua Watchlist</t>
  </si>
  <si>
    <t>סמלי רשימת המעקב שלך</t>
  </si>
  <si>
    <t>ウオッチリストシンボル</t>
  </si>
  <si>
    <t>보기목록 기호</t>
  </si>
  <si>
    <t>Simbol senarai pantau anda</t>
  </si>
  <si>
    <t>Uw volglijst symbolen</t>
  </si>
  <si>
    <t>Dine overvåkningssymboler</t>
  </si>
  <si>
    <t>Symbole obserwowane</t>
  </si>
  <si>
    <t>Seus símbolos de lista de visualização</t>
  </si>
  <si>
    <t>Simbolurile listei tale de urmărire</t>
  </si>
  <si>
    <t>Символы из Ваших списков</t>
  </si>
  <si>
    <t>Symboly vášho sledovaného zoznamu</t>
  </si>
  <si>
    <t>Simboli vašega seznama ogledov</t>
  </si>
  <si>
    <t>Simboli iz Watchliste</t>
  </si>
  <si>
    <t>Dina symboler på bevakningslistan</t>
  </si>
  <si>
    <t>รายการชื่อย่อหลักทรัพย์ที่ติดตาม</t>
  </si>
  <si>
    <t>İzleme Listesi sembolleriniz</t>
  </si>
  <si>
    <t>Công cụ trong danh mục theo dõi của bạn</t>
  </si>
  <si>
    <t>你收藏夹的符号</t>
  </si>
  <si>
    <t>pref_attachments</t>
  </si>
  <si>
    <t>Attachments</t>
  </si>
  <si>
    <t>الملفات المرفقة</t>
  </si>
  <si>
    <t>Притурки</t>
  </si>
  <si>
    <t>Fitxers adjunts</t>
  </si>
  <si>
    <t>Anhänge</t>
  </si>
  <si>
    <t>Adjuntos</t>
  </si>
  <si>
    <t>Pièces jointes</t>
  </si>
  <si>
    <t>Engadidos</t>
  </si>
  <si>
    <t>Csatolmányok</t>
  </si>
  <si>
    <t>Lampiran</t>
  </si>
  <si>
    <t>Allegati</t>
  </si>
  <si>
    <t>첨부파일</t>
  </si>
  <si>
    <t>Bijlagen</t>
  </si>
  <si>
    <t>Załączniki</t>
  </si>
  <si>
    <t>Anexos</t>
  </si>
  <si>
    <t>Вложения</t>
  </si>
  <si>
    <t>Прилози</t>
  </si>
  <si>
    <t>Bifogningar</t>
  </si>
  <si>
    <t>Вкладення</t>
  </si>
  <si>
    <t>Tập tin đính kèm</t>
  </si>
  <si>
    <t>附件</t>
  </si>
  <si>
    <t>member</t>
  </si>
  <si>
    <t>Member</t>
  </si>
  <si>
    <t>عضو</t>
  </si>
  <si>
    <t>Член</t>
  </si>
  <si>
    <t>Membre</t>
  </si>
  <si>
    <t>Mitglied</t>
  </si>
  <si>
    <t>Miembro</t>
  </si>
  <si>
    <t>Membro</t>
  </si>
  <si>
    <t>Tag</t>
  </si>
  <si>
    <t>メンバー</t>
  </si>
  <si>
    <t>멤버</t>
  </si>
  <si>
    <t>Lid</t>
  </si>
  <si>
    <t>Członek</t>
  </si>
  <si>
    <t>Участник</t>
  </si>
  <si>
    <t>Člen</t>
  </si>
  <si>
    <t>Члан</t>
  </si>
  <si>
    <t>Medlem</t>
  </si>
  <si>
    <t>Учасник</t>
  </si>
  <si>
    <t>Thành viên</t>
  </si>
  <si>
    <t>成員</t>
  </si>
  <si>
    <t>new_password</t>
  </si>
  <si>
    <t>New password</t>
  </si>
  <si>
    <t>كلمة المرور الجديدة</t>
  </si>
  <si>
    <t>Нова парола</t>
  </si>
  <si>
    <t>Nova contrasenya</t>
  </si>
  <si>
    <t>Neues Passwort</t>
  </si>
  <si>
    <t>Nueva contraseña</t>
  </si>
  <si>
    <t>Nouveau mot de passe</t>
  </si>
  <si>
    <t>Novo contrasinal</t>
  </si>
  <si>
    <t>Új jelszó</t>
  </si>
  <si>
    <t>Password baru</t>
  </si>
  <si>
    <t>Nuova password</t>
  </si>
  <si>
    <t>新しいパスワード</t>
  </si>
  <si>
    <t>새 암호</t>
  </si>
  <si>
    <t>Nieuw wachtwoord</t>
  </si>
  <si>
    <t>Nowe hasło</t>
  </si>
  <si>
    <t>Nova palavra-passe</t>
  </si>
  <si>
    <t>Новый пароль</t>
  </si>
  <si>
    <t>Nové heslo</t>
  </si>
  <si>
    <t>Нова лозинка</t>
  </si>
  <si>
    <t>Nytt lösenord</t>
  </si>
  <si>
    <t>Новий пароль</t>
  </si>
  <si>
    <t>Mật khẩu mới</t>
  </si>
  <si>
    <t>新密碼</t>
  </si>
  <si>
    <t>guinea</t>
  </si>
  <si>
    <t>Guinea</t>
  </si>
  <si>
    <t>Guinée</t>
  </si>
  <si>
    <t>Гвинея</t>
  </si>
  <si>
    <t>Gvinea</t>
  </si>
  <si>
    <t>account_status_not_found</t>
  </si>
  <si>
    <t>Server not found</t>
  </si>
  <si>
    <t>لا يمكن الاتصال بالسرفر</t>
  </si>
  <si>
    <t>Сървърът не е открит</t>
  </si>
  <si>
    <t>No s\'ha trobat el servidor</t>
  </si>
  <si>
    <t>Server nicht gefunden</t>
  </si>
  <si>
    <t>Servidor no encontrado</t>
  </si>
  <si>
    <t>Impossible de trouver le serveur</t>
  </si>
  <si>
    <t>Servidor non atopado</t>
  </si>
  <si>
    <t>Szerver nem található</t>
  </si>
  <si>
    <t>Server tidak ditemukan</t>
  </si>
  <si>
    <t>Server non trovato</t>
  </si>
  <si>
    <t>サーバーが見つかりません</t>
  </si>
  <si>
    <t>서버를 찾을 수 없음</t>
  </si>
  <si>
    <t>Server niet gevonden</t>
  </si>
  <si>
    <t>Nie odnaleziono serwera</t>
  </si>
  <si>
    <t>Servidor não encontrado</t>
  </si>
  <si>
    <t>Сервер не найден</t>
  </si>
  <si>
    <t>Server sa nenašiel</t>
  </si>
  <si>
    <t>Сервер није нађен</t>
  </si>
  <si>
    <t>Server ej funnen</t>
  </si>
  <si>
    <t>Сервер не знайдено</t>
  </si>
  <si>
    <t>Không tìm thấy máy chủ</t>
  </si>
  <si>
    <t>未找到伺服器</t>
  </si>
  <si>
    <t>user_status_offline</t>
  </si>
  <si>
    <t>Оффлайн</t>
  </si>
  <si>
    <t>Oflajn</t>
  </si>
  <si>
    <t>new_chat_message</t>
  </si>
  <si>
    <t>New chat message</t>
  </si>
  <si>
    <t>tt_holdings_top_shares</t>
  </si>
  <si>
    <t>Top Shares</t>
  </si>
  <si>
    <t>أهم الأسهم</t>
  </si>
  <si>
    <t>Топ акции</t>
  </si>
  <si>
    <t>Nejlepší podílové akcie</t>
  </si>
  <si>
    <t>Top Aktier</t>
  </si>
  <si>
    <t>Wichtigste Anteile</t>
  </si>
  <si>
    <t>Κορυφαίες μετοχές</t>
  </si>
  <si>
    <t>Principales participaciones</t>
  </si>
  <si>
    <t>Parhaat osakkeet</t>
  </si>
  <si>
    <t>Meilleures actions</t>
  </si>
  <si>
    <t>शीर्ष शेयर</t>
  </si>
  <si>
    <t>Top részvények</t>
  </si>
  <si>
    <t>Saham Teratas</t>
  </si>
  <si>
    <t>Titoli Top</t>
  </si>
  <si>
    <t>מניות עליונות</t>
  </si>
  <si>
    <t>トップシェア</t>
  </si>
  <si>
    <t>상위주</t>
  </si>
  <si>
    <t>Topaandelen</t>
  </si>
  <si>
    <t>Ledende aksjer</t>
  </si>
  <si>
    <t>Największe pozycje</t>
  </si>
  <si>
    <t>Principais Ações</t>
  </si>
  <si>
    <t>Acțiuni de Top</t>
  </si>
  <si>
    <t>Главные акции</t>
  </si>
  <si>
    <t>Top akcie</t>
  </si>
  <si>
    <t>Najboljše delnice</t>
  </si>
  <si>
    <t>Glavni udeli</t>
  </si>
  <si>
    <t>Toppaktier</t>
  </si>
  <si>
    <t>หุ้นยอดนิยม</t>
  </si>
  <si>
    <t>En yüksek paylar</t>
  </si>
  <si>
    <t>Cổ phiếu hàng đầu</t>
  </si>
  <si>
    <t>重要股票</t>
  </si>
  <si>
    <t>rate_on_app_store</t>
  </si>
  <si>
    <t>Rate on app store</t>
  </si>
  <si>
    <t>App Store\'da oranı</t>
  </si>
  <si>
    <t>tt_edgar_cash_flow_from_investing_activities</t>
  </si>
  <si>
    <t>CF from Investing Act.</t>
  </si>
  <si>
    <t>التدفق النقدي من الأنشطة الاستثمارية</t>
  </si>
  <si>
    <t>CF от Закона за инвестиране.</t>
  </si>
  <si>
    <t>CF ze zákona o investování.</t>
  </si>
  <si>
    <t>CF fra investeringsloven.</t>
  </si>
  <si>
    <t>Cash Flow aus Investitionstätigkeit</t>
  </si>
  <si>
    <t>CF από το Investing Act.</t>
  </si>
  <si>
    <t>CF de la act. de inversión</t>
  </si>
  <si>
    <t>Investointien rahavirta</t>
  </si>
  <si>
    <t>Flux de trésorerie générés par les investissements</t>
  </si>
  <si>
    <t>निवेश अधिनियम से सीएफ।</t>
  </si>
  <si>
    <t>CF dari Undang-undang investasi.</t>
  </si>
  <si>
    <t>Totale flussi di cassa da attività d\'investimento</t>
  </si>
  <si>
    <t>תזרים מזומנים מפעולות השקעה</t>
  </si>
  <si>
    <t>投資活動からのキャッシュフロー</t>
  </si>
  <si>
    <t>투자활동으로 인한 현금흐름</t>
  </si>
  <si>
    <t>CF dari Akta Pelaburan.</t>
  </si>
  <si>
    <t>CF vanuit investerings Act.</t>
  </si>
  <si>
    <t>Przepływy pieniężne z działalności inwestycyjnej</t>
  </si>
  <si>
    <t>CF do ato Invest.</t>
  </si>
  <si>
    <t>CF din Legea Investițiilor.</t>
  </si>
  <si>
    <t>ДП от инвестиционной деят.</t>
  </si>
  <si>
    <t>Peňažné toky zo zákona o investovaní.</t>
  </si>
  <si>
    <t>CF iz zakona o vlaganju.</t>
  </si>
  <si>
    <t>Tok gotovine iz investic. akt.</t>
  </si>
  <si>
    <t>CF från Investing Act.</t>
  </si>
  <si>
    <t>กระแสเงินสดจากกิจกรรมการลงทุน</t>
  </si>
  <si>
    <t>Yatırım faaliyetlerinden nakit akışı</t>
  </si>
  <si>
    <t>Dòng tiền từ hoạt động đầu tư</t>
  </si>
  <si>
    <t>投资活动的现金流</t>
  </si>
  <si>
    <t>i_like_it</t>
  </si>
  <si>
    <t>I LIKE IT</t>
  </si>
  <si>
    <t>اعجبني</t>
  </si>
  <si>
    <t>ХАРЕСВА МИ</t>
  </si>
  <si>
    <t>LÍBÍ SE MI TO</t>
  </si>
  <si>
    <t>JEG KAN LIDE DET</t>
  </si>
  <si>
    <t>Das gefällt mir</t>
  </si>
  <si>
    <t>ΜΟΥ ΑΡΕΣΕΙ</t>
  </si>
  <si>
    <t>Me gusta</t>
  </si>
  <si>
    <t>PIDÄN SIITÄ</t>
  </si>
  <si>
    <t>J\'AIME</t>
  </si>
  <si>
    <t>मुझें यह पसंद है</t>
  </si>
  <si>
    <t>Tetszik</t>
  </si>
  <si>
    <t>SAYA SUKA ITU</t>
  </si>
  <si>
    <t>MI PIACE</t>
  </si>
  <si>
    <t>אני אוהב את זה</t>
  </si>
  <si>
    <t>好き</t>
  </si>
  <si>
    <t>좋아요</t>
  </si>
  <si>
    <t>SAYA SUKA IA</t>
  </si>
  <si>
    <t>Dat bevalt me</t>
  </si>
  <si>
    <t>JEG LIKER DET</t>
  </si>
  <si>
    <t>Lubię to</t>
  </si>
  <si>
    <t>GOSTO</t>
  </si>
  <si>
    <t>ÎMI PLACE</t>
  </si>
  <si>
    <t>МНЕ НРАВИТСЯ</t>
  </si>
  <si>
    <t>PÁČI SA MI TO</t>
  </si>
  <si>
    <t>VŠEČ MI JE</t>
  </si>
  <si>
    <t>SVIĐA MI SE</t>
  </si>
  <si>
    <t>JAG GILLAR DET</t>
  </si>
  <si>
    <t>ฉันชอบสิ่งนี้</t>
  </si>
  <si>
    <t>SEVDİM</t>
  </si>
  <si>
    <t>TÔI THÍCH</t>
  </si>
  <si>
    <t>我喜欢它</t>
  </si>
  <si>
    <t>copy_fingerprint</t>
  </si>
  <si>
    <t>Copy fingerprint</t>
  </si>
  <si>
    <t>انسخ البصمة</t>
  </si>
  <si>
    <t>Копиране на отпечатъка</t>
  </si>
  <si>
    <t>Copieu l\'empremta digital</t>
  </si>
  <si>
    <t>Fingerabdruck kopieren</t>
  </si>
  <si>
    <t>Copiar huella digital</t>
  </si>
  <si>
    <t>Copier l\'empreinte</t>
  </si>
  <si>
    <t>Copiar pegada dixital</t>
  </si>
  <si>
    <t>Ujjlenyomat másolása</t>
  </si>
  <si>
    <t>Copia impronta</t>
  </si>
  <si>
    <t>フィンガープリントをコピー</t>
  </si>
  <si>
    <t>핑거프린트 복사</t>
  </si>
  <si>
    <t>Vingerafdruk kopiëren</t>
  </si>
  <si>
    <t>Skopiuj odcisk</t>
  </si>
  <si>
    <t>Копировать отпечаток</t>
  </si>
  <si>
    <t>Копирај отисак</t>
  </si>
  <si>
    <t>Kopiera fingeravtryck</t>
  </si>
  <si>
    <t>Скопіювати відбиток</t>
  </si>
  <si>
    <t>複製指紋</t>
  </si>
  <si>
    <t>tt_vega</t>
  </si>
  <si>
    <t>Vega</t>
  </si>
  <si>
    <t>فيجا</t>
  </si>
  <si>
    <t>Βέγκα</t>
  </si>
  <si>
    <t>Véga</t>
  </si>
  <si>
    <t>वेगा</t>
  </si>
  <si>
    <t>וגה</t>
  </si>
  <si>
    <t>ベガ</t>
  </si>
  <si>
    <t>베가</t>
  </si>
  <si>
    <t>Вега</t>
  </si>
  <si>
    <t>watchlist_popup_title</t>
  </si>
  <si>
    <t>YOUR WATCHLIST</t>
  </si>
  <si>
    <t>قائمة المتابعة الخاصة بك</t>
  </si>
  <si>
    <t>ВАШИЯТ УОЧЛИСТ</t>
  </si>
  <si>
    <t>VÁŠ SEZNAM SLEDOVANÝCH</t>
  </si>
  <si>
    <t>DIN OVERVÅGNINGSLISTE</t>
  </si>
  <si>
    <t>IHRE WATCHLIST</t>
  </si>
  <si>
    <t>Η ΛΙΣΤΑ ΠΑΡΑΚΟΛΟΥΘΗΣΗΣ</t>
  </si>
  <si>
    <t>SU LISTA DE SEGUIMIENTO</t>
  </si>
  <si>
    <t>TARKASTELULISTASI</t>
  </si>
  <si>
    <t>VOTRE LISTE DE SUIVI</t>
  </si>
  <si>
    <t>आपका वॉचलिस्ट</t>
  </si>
  <si>
    <t>Az ÖN FIGYELŐLISTÁJA</t>
  </si>
  <si>
    <t>DAFTAR PANTAUAN ANDA</t>
  </si>
  <si>
    <t>TUA WATCHLIST</t>
  </si>
  <si>
    <t>רשימת מעקב שלך</t>
  </si>
  <si>
    <t>내 보기목록</t>
  </si>
  <si>
    <t>SENARAI PANTAU ANDA</t>
  </si>
  <si>
    <t>UW WATCHLIST</t>
  </si>
  <si>
    <t>DIN OVERVÅKNINGSLISTE</t>
  </si>
  <si>
    <t>Twoja lista obserwowanych.</t>
  </si>
  <si>
    <t>A SUA LISTA DE VISUALIZAÇÃO</t>
  </si>
  <si>
    <t>LISTA TA DE URMĂRIRE</t>
  </si>
  <si>
    <t>ВАШ СПИСОК</t>
  </si>
  <si>
    <t>VÁŠ SLEDOVANÝ ZOZNAM</t>
  </si>
  <si>
    <t>VAŠ Seznam ogledov</t>
  </si>
  <si>
    <t>WATCH LISTE</t>
  </si>
  <si>
    <t>DIN BEVAKNINGSLISTA</t>
  </si>
  <si>
    <t>รายการหุ้นที่ติดตาม</t>
  </si>
  <si>
    <t>İZLEME LİSTENİZ</t>
  </si>
  <si>
    <t>DANH MỤC THEO DÕI CỦA BẠN</t>
  </si>
  <si>
    <t>你的收藏夹</t>
  </si>
  <si>
    <t>tt_delete</t>
  </si>
  <si>
    <t>Delete</t>
  </si>
  <si>
    <t>حذف</t>
  </si>
  <si>
    <t>Изтрий</t>
  </si>
  <si>
    <t>Vymazat</t>
  </si>
  <si>
    <t>Slet</t>
  </si>
  <si>
    <t>Löschen</t>
  </si>
  <si>
    <t>Διαγράφω</t>
  </si>
  <si>
    <t>Törlés</t>
  </si>
  <si>
    <t>Hapus</t>
  </si>
  <si>
    <t>מחק</t>
  </si>
  <si>
    <t>Padam</t>
  </si>
  <si>
    <t>Verwijder</t>
  </si>
  <si>
    <t>Slett</t>
  </si>
  <si>
    <t>Șterge</t>
  </si>
  <si>
    <t>Vymazať</t>
  </si>
  <si>
    <t>Izbrišite</t>
  </si>
  <si>
    <t>Brisanje</t>
  </si>
  <si>
    <t>Radera</t>
  </si>
  <si>
    <t>Sil</t>
  </si>
  <si>
    <t>Xóa</t>
  </si>
  <si>
    <t>删除</t>
  </si>
  <si>
    <t>&gt;刪除</t>
  </si>
  <si>
    <t>tt_edgar_balance_sheet</t>
  </si>
  <si>
    <t>Balance Sheet</t>
  </si>
  <si>
    <t>الميزانية العمومية</t>
  </si>
  <si>
    <t>Счетоводен баланс</t>
  </si>
  <si>
    <t>Rozvaha</t>
  </si>
  <si>
    <t>Balanceark</t>
  </si>
  <si>
    <t>Bilanz</t>
  </si>
  <si>
    <t>Ισολογισμός</t>
  </si>
  <si>
    <t>Hoja de balance</t>
  </si>
  <si>
    <t>Tase</t>
  </si>
  <si>
    <t>Bilan</t>
  </si>
  <si>
    <t>तुलन पत्र</t>
  </si>
  <si>
    <t>Neraca edgar</t>
  </si>
  <si>
    <t>Bilancio</t>
  </si>
  <si>
    <t>דוח מאזן</t>
  </si>
  <si>
    <t>貸借対照表</t>
  </si>
  <si>
    <t>대차대조표</t>
  </si>
  <si>
    <t>Penyata Imbangan</t>
  </si>
  <si>
    <t>Balance</t>
  </si>
  <si>
    <t>Saldoark</t>
  </si>
  <si>
    <t>Bilans</t>
  </si>
  <si>
    <t>Balanço patrimonial</t>
  </si>
  <si>
    <t>Bilanț</t>
  </si>
  <si>
    <t>Балансовый отчет</t>
  </si>
  <si>
    <t>Súvaha</t>
  </si>
  <si>
    <t>Bilanca stanja</t>
  </si>
  <si>
    <t>Bilans stanja</t>
  </si>
  <si>
    <t>Balansräkning</t>
  </si>
  <si>
    <t>งบแสดงสถานะทางการเงิน</t>
  </si>
  <si>
    <t>Bilanço</t>
  </si>
  <si>
    <t>Bảng cân đối kế toán</t>
  </si>
  <si>
    <t>资产负债表</t>
  </si>
  <si>
    <t>tt_portfolio_chg_buy_pct</t>
  </si>
  <si>
    <t>Chg. Buy (%)</t>
  </si>
  <si>
    <t>تغيير الشراء (٪)</t>
  </si>
  <si>
    <t>Смен.екран. Купува (%)</t>
  </si>
  <si>
    <t>Změna kupní ceny (%)</t>
  </si>
  <si>
    <t>Byt Køb (%)</t>
  </si>
  <si>
    <t>Diff. Kauf (%)</t>
  </si>
  <si>
    <t>Var.compra(%)</t>
  </si>
  <si>
    <t>Muut. osto (%)</t>
  </si>
  <si>
    <t>Var. Achat (%)</t>
  </si>
  <si>
    <t>परिवर्तन. खरीदें (%)</t>
  </si>
  <si>
    <t>Vált. Vétel (%)</t>
  </si>
  <si>
    <t>Pertukaran Beli (%)</t>
  </si>
  <si>
    <t>Cmb. Compra (%)</t>
  </si>
  <si>
    <t>שינוי קנייה (%)</t>
  </si>
  <si>
    <t>買値の推移</t>
  </si>
  <si>
    <t>변동 매입(%)</t>
  </si>
  <si>
    <t>Ver. koop (%)</t>
  </si>
  <si>
    <t>Endr. kjøp (%)</t>
  </si>
  <si>
    <t>Zm. Kup (%)</t>
  </si>
  <si>
    <t>Alterar Compra (%)</t>
  </si>
  <si>
    <t>Schimb Cumpără (%)</t>
  </si>
  <si>
    <t>Изменить цену продажи (%)</t>
  </si>
  <si>
    <t>Zmena Kúpiť (%)</t>
  </si>
  <si>
    <t>Chg Nakup (%)</t>
  </si>
  <si>
    <t>Chg. Köp (%)</t>
  </si>
  <si>
    <t>การซื้อเปลี่ยน (%)</t>
  </si>
  <si>
    <t>Değ. Satın (%)</t>
  </si>
  <si>
    <t>Mua chênh lệch (%)</t>
  </si>
  <si>
    <t>买进变更%</t>
  </si>
  <si>
    <t>&gt;買進變更%</t>
  </si>
  <si>
    <t>remove_from_room</t>
  </si>
  <si>
    <t>Remove from group chat</t>
  </si>
  <si>
    <t>التنحية من مجموعة المحادثة</t>
  </si>
  <si>
    <t>Премахване от груповия разговор</t>
  </si>
  <si>
    <t>Suprimeix del xat de grup</t>
  </si>
  <si>
    <t>Aus Gruppenchat entfernen</t>
  </si>
  <si>
    <t>Expulsar de la conversación</t>
  </si>
  <si>
    <t>Supprimer du groupe de discussion</t>
  </si>
  <si>
    <t>Eliminar da conversa en grupo</t>
  </si>
  <si>
    <t>Konferenciából eltávolítás</t>
  </si>
  <si>
    <t>Rimuovi dalla chat di gruppo</t>
  </si>
  <si>
    <t>Verwijderen uit groepsgesprek</t>
  </si>
  <si>
    <t>Usuń z konferencji</t>
  </si>
  <si>
    <t>Remover da conversa em grupo</t>
  </si>
  <si>
    <t>Убрать из конференции</t>
  </si>
  <si>
    <t>Уклони из групног ћаскања</t>
  </si>
  <si>
    <t>tt_billion_suffix</t>
  </si>
  <si>
    <t>Bil.</t>
  </si>
  <si>
    <t>بليون</t>
  </si>
  <si>
    <t>Bilance</t>
  </si>
  <si>
    <t>Mrd.</t>
  </si>
  <si>
    <t>bill.</t>
  </si>
  <si>
    <t>mlrd</t>
  </si>
  <si>
    <t>बिल.</t>
  </si>
  <si>
    <t>Tagihan.</t>
  </si>
  <si>
    <t>億</t>
  </si>
  <si>
    <t>10억</t>
  </si>
  <si>
    <t>miljard</t>
  </si>
  <si>
    <t>Fakt.</t>
  </si>
  <si>
    <t>mld</t>
  </si>
  <si>
    <t>Bilhão</t>
  </si>
  <si>
    <t>Mld.</t>
  </si>
  <si>
    <t>млрд.</t>
  </si>
  <si>
    <t>Bilancia</t>
  </si>
  <si>
    <t>mrd.</t>
  </si>
  <si>
    <t>พันล้าน</t>
  </si>
  <si>
    <t>Tỷ</t>
  </si>
  <si>
    <t>十亿</t>
  </si>
  <si>
    <t>&gt;十億</t>
  </si>
  <si>
    <t>on_boarding_welcome_6</t>
  </si>
  <si>
    <t>ابق على علم بالمستجدات</t>
  </si>
  <si>
    <t>Останете информирани</t>
  </si>
  <si>
    <t>Zůstaňte informováni</t>
  </si>
  <si>
    <t>Hold dig opdateret</t>
  </si>
  <si>
    <t>Up-to-date bleiben</t>
  </si>
  <si>
    <t>Μείνετε ενημερωμένοι</t>
  </si>
  <si>
    <t>Manténgase informado</t>
  </si>
  <si>
    <t>Restez au courant</t>
  </si>
  <si>
    <t>नवीनतम जानकारी से अवगत रहें</t>
  </si>
  <si>
    <t>Maradjon informálva!</t>
  </si>
  <si>
    <t>Tetap diperbarui</t>
  </si>
  <si>
    <t>התעדכן תדיר</t>
  </si>
  <si>
    <t>常に情報を入手しよう</t>
  </si>
  <si>
    <t>최신 상태로 유지</t>
  </si>
  <si>
    <t>Kekal kemas kini</t>
  </si>
  <si>
    <t>Aktualizacje automatyczne</t>
  </si>
  <si>
    <t>Fique atualizado</t>
  </si>
  <si>
    <t>Fii la curent</t>
  </si>
  <si>
    <t>Будьте в курсе</t>
  </si>
  <si>
    <t>Buďte informovaný</t>
  </si>
  <si>
    <t>Bodite posodobljeni</t>
  </si>
  <si>
    <t>Budi informisan</t>
  </si>
  <si>
    <t>ติดตามข่าวสารอยู่เสมอ</t>
  </si>
  <si>
    <t>Güncel bilgi al</t>
  </si>
  <si>
    <t>Liên tục cập nhật</t>
  </si>
  <si>
    <t>让你随时保持更新</t>
  </si>
  <si>
    <t>on_boarding_welcome_5</t>
  </si>
  <si>
    <t>Research</t>
  </si>
  <si>
    <t>Výzkum</t>
  </si>
  <si>
    <t>Forskning</t>
  </si>
  <si>
    <t>Recherche</t>
  </si>
  <si>
    <t>Ερευνα</t>
  </si>
  <si>
    <t>Investigar</t>
  </si>
  <si>
    <t>Tutkimus</t>
  </si>
  <si>
    <t>अनुसंधान</t>
  </si>
  <si>
    <t>kutatás</t>
  </si>
  <si>
    <t>Penelitian</t>
  </si>
  <si>
    <t>מחקר</t>
  </si>
  <si>
    <t>リサーチする</t>
  </si>
  <si>
    <t>리서치</t>
  </si>
  <si>
    <t>Kajian</t>
  </si>
  <si>
    <t>Onderzoek</t>
  </si>
  <si>
    <t>Badanie</t>
  </si>
  <si>
    <t>Pesquisa</t>
  </si>
  <si>
    <t>Cercetare</t>
  </si>
  <si>
    <t>Исследовать</t>
  </si>
  <si>
    <t>Výskum</t>
  </si>
  <si>
    <t>Raziskave</t>
  </si>
  <si>
    <t>Istraži</t>
  </si>
  <si>
    <t>ค้นข้อมูล</t>
  </si>
  <si>
    <t>Araştır</t>
  </si>
  <si>
    <t>Nghiên cứu</t>
  </si>
  <si>
    <t>进行研究</t>
  </si>
  <si>
    <t>tt_no_news_available</t>
  </si>
  <si>
    <t>No news available.</t>
  </si>
  <si>
    <t>لا يوجد أخبار متاحة.</t>
  </si>
  <si>
    <t>Няма налични новини</t>
  </si>
  <si>
    <t>Nejsou žádné zprávy.</t>
  </si>
  <si>
    <t>Ingen nyheder tilgængelig.</t>
  </si>
  <si>
    <t>Keine Nachrichten verfügbar.</t>
  </si>
  <si>
    <t>Δεν υπάρχουν διαθέσιμα νέα.</t>
  </si>
  <si>
    <t>No hay noticias nuevas disponibles.</t>
  </si>
  <si>
    <t>Ei uutisia saatavilla.</t>
  </si>
  <si>
    <t>Aucune actualité disponible.</t>
  </si>
  <si>
    <t>कोई समाचार उपलब्ध नहीं है।</t>
  </si>
  <si>
    <t>Nincs elérhető hír</t>
  </si>
  <si>
    <t>Tidak ada berita tersedia.</t>
  </si>
  <si>
    <t>Notizie non disponibile.</t>
  </si>
  <si>
    <t>新しいニュースはありません</t>
  </si>
  <si>
    <t>가능한 뉴스가 없습니다.</t>
  </si>
  <si>
    <t>Tiada berita tersedia.</t>
  </si>
  <si>
    <t>Geen nieuws beschikbaar.</t>
  </si>
  <si>
    <t>Ingen nyheter tilgjengelig.</t>
  </si>
  <si>
    <t>Brak dostępnych wiadomości.</t>
  </si>
  <si>
    <t>Não há notícias disponíveis</t>
  </si>
  <si>
    <t>Nu există știri disponibile.</t>
  </si>
  <si>
    <t>Новости недоступны</t>
  </si>
  <si>
    <t>Nie sú dostupné žiadne správy.</t>
  </si>
  <si>
    <t>Novice niso na voljo.</t>
  </si>
  <si>
    <t>Nema dostupnih vesti.</t>
  </si>
  <si>
    <t>Inga nyheter tillgängliga.</t>
  </si>
  <si>
    <t>ไม่มีข่าว</t>
  </si>
  <si>
    <t>Haber yok.</t>
  </si>
  <si>
    <t>Không có tin tức.</t>
  </si>
  <si>
    <t>没有最新讯息</t>
  </si>
  <si>
    <t>&gt;沒有最新訊息</t>
  </si>
  <si>
    <t>denmark</t>
  </si>
  <si>
    <t>Denmark</t>
  </si>
  <si>
    <t>Dänemark</t>
  </si>
  <si>
    <t>Dinamarca</t>
  </si>
  <si>
    <t>Denemark</t>
  </si>
  <si>
    <t>Дания</t>
  </si>
  <si>
    <t>Danska</t>
  </si>
  <si>
    <t>pref_advanced_options</t>
  </si>
  <si>
    <t>Advanced</t>
  </si>
  <si>
    <t>متقدم</t>
  </si>
  <si>
    <t>Разширени</t>
  </si>
  <si>
    <t>Avançat</t>
  </si>
  <si>
    <t>Erweitert</t>
  </si>
  <si>
    <t>Avanzado</t>
  </si>
  <si>
    <t>Avancé</t>
  </si>
  <si>
    <t>Fejlett funkciók</t>
  </si>
  <si>
    <t>Lanjutan</t>
  </si>
  <si>
    <t>Avanzate</t>
  </si>
  <si>
    <t>詳細</t>
  </si>
  <si>
    <t>고급</t>
  </si>
  <si>
    <t>Geavanceerd</t>
  </si>
  <si>
    <t>Zaawansowane</t>
  </si>
  <si>
    <t>Avançadas</t>
  </si>
  <si>
    <t>Дополнительно</t>
  </si>
  <si>
    <t>Напредно</t>
  </si>
  <si>
    <t>Avancerat</t>
  </si>
  <si>
    <t>Розширені</t>
  </si>
  <si>
    <t>Nâng cao</t>
  </si>
  <si>
    <t>高級</t>
  </si>
  <si>
    <t>on_boarding_welcome_4</t>
  </si>
  <si>
    <t>Advanced Search</t>
  </si>
  <si>
    <t>البحث المتقدم</t>
  </si>
  <si>
    <t>Подробно търсене</t>
  </si>
  <si>
    <t>Pokročilé vyhledávání</t>
  </si>
  <si>
    <t>Avanceret søgning</t>
  </si>
  <si>
    <t>Erweiterte Suche</t>
  </si>
  <si>
    <t>Προηγμένη Αναζήτηση</t>
  </si>
  <si>
    <t>Búsqueda avanzada</t>
  </si>
  <si>
    <t>Tarkennettu haku</t>
  </si>
  <si>
    <t>Recherche avancée</t>
  </si>
  <si>
    <t>उन्नत खोज</t>
  </si>
  <si>
    <t>részletes keresés</t>
  </si>
  <si>
    <t>Pencarian lanjutan</t>
  </si>
  <si>
    <t>Ricerca Avanzata</t>
  </si>
  <si>
    <t>חיפוש מתקדם</t>
  </si>
  <si>
    <t>詳細検索</t>
  </si>
  <si>
    <t>고급 검색</t>
  </si>
  <si>
    <t>Carian Terperinci</t>
  </si>
  <si>
    <t>geavanceerd zoeken</t>
  </si>
  <si>
    <t>Avansert søk</t>
  </si>
  <si>
    <t>Zaawansowane wyszukiwanie</t>
  </si>
  <si>
    <t>Pesquisa Avançada</t>
  </si>
  <si>
    <t>Căutare Avansată</t>
  </si>
  <si>
    <t>Расширенный поиск</t>
  </si>
  <si>
    <t>Pokročilé vyhľadávanie</t>
  </si>
  <si>
    <t>napredno iskanje</t>
  </si>
  <si>
    <t>Skeniraj</t>
  </si>
  <si>
    <t>Avancerad sökning</t>
  </si>
  <si>
    <t>การค้นหาขั้นสูง</t>
  </si>
  <si>
    <t>Gelişmiş Arama</t>
  </si>
  <si>
    <t>Tìm kiếm nâng cao</t>
  </si>
  <si>
    <t>高级搜索</t>
  </si>
  <si>
    <t>app_name</t>
  </si>
  <si>
    <t>Stock Markets</t>
  </si>
  <si>
    <t>شريط أسعار الأسهم</t>
  </si>
  <si>
    <t>Фондови пазари</t>
  </si>
  <si>
    <t>Akciové trhy</t>
  </si>
  <si>
    <t>Aktiemarkeder</t>
  </si>
  <si>
    <t>Χρηματιστήρια</t>
  </si>
  <si>
    <t>Osakemarkkinat</t>
  </si>
  <si>
    <t>शेयर बाजार</t>
  </si>
  <si>
    <t>שוקי מניות</t>
  </si>
  <si>
    <t>주식 티커</t>
  </si>
  <si>
    <t>Pengira Saham</t>
  </si>
  <si>
    <t>Aksjemarkeder</t>
  </si>
  <si>
    <t>Piețele de Valori</t>
  </si>
  <si>
    <t>Delniški trgi</t>
  </si>
  <si>
    <t>Aktiemarknader</t>
  </si>
  <si>
    <t>ตลาดหุ้น</t>
  </si>
  <si>
    <t>Thị trường chứng khoán</t>
  </si>
  <si>
    <t>on_boarding_welcome_3</t>
  </si>
  <si>
    <t>Analyze</t>
  </si>
  <si>
    <t>تحليل</t>
  </si>
  <si>
    <t>Анализиране</t>
  </si>
  <si>
    <t>Analyzovat</t>
  </si>
  <si>
    <t>Analysere</t>
  </si>
  <si>
    <t>Analysieren</t>
  </si>
  <si>
    <t>Ανάλυση</t>
  </si>
  <si>
    <t>Analizar</t>
  </si>
  <si>
    <t>Analysoi</t>
  </si>
  <si>
    <t>Analyser</t>
  </si>
  <si>
    <t>विश्लेषण करें</t>
  </si>
  <si>
    <t>Analizál</t>
  </si>
  <si>
    <t>Analisa</t>
  </si>
  <si>
    <t>Analizzare</t>
  </si>
  <si>
    <t>נתח</t>
  </si>
  <si>
    <t>分析する</t>
  </si>
  <si>
    <t>분석</t>
  </si>
  <si>
    <t>Analyseren</t>
  </si>
  <si>
    <t>Analizuj</t>
  </si>
  <si>
    <t>Analisar</t>
  </si>
  <si>
    <t>Analizează</t>
  </si>
  <si>
    <t>Анализировать</t>
  </si>
  <si>
    <t>Analyzovať</t>
  </si>
  <si>
    <t>Analizirajte</t>
  </si>
  <si>
    <t>Analiziraj</t>
  </si>
  <si>
    <t>Analysera</t>
  </si>
  <si>
    <t>วิเคราะห์</t>
  </si>
  <si>
    <t>Analiz Yap</t>
  </si>
  <si>
    <t>Phân tích</t>
  </si>
  <si>
    <t>分析</t>
  </si>
  <si>
    <t>sign_in</t>
  </si>
  <si>
    <t>Sign in</t>
  </si>
  <si>
    <t>Вписване</t>
  </si>
  <si>
    <t>Log ind</t>
  </si>
  <si>
    <t>anmelden</t>
  </si>
  <si>
    <t>साइन-इन करें</t>
  </si>
  <si>
    <t>サインイン</t>
  </si>
  <si>
    <t>Registe-se</t>
  </si>
  <si>
    <t>Conectează-te</t>
  </si>
  <si>
    <t>Войти в систему</t>
  </si>
  <si>
    <t>Uloguj se</t>
  </si>
  <si>
    <t>Giriş yap</t>
  </si>
  <si>
    <t>登入您的帐户</t>
  </si>
  <si>
    <t>account_details</t>
  </si>
  <si>
    <t>Account details</t>
  </si>
  <si>
    <t>تفاصيل الحساب</t>
  </si>
  <si>
    <t>Подробности за профила</t>
  </si>
  <si>
    <t>Detalls del compte</t>
  </si>
  <si>
    <t>Kontodetails</t>
  </si>
  <si>
    <t>Detalles de la cuenta</t>
  </si>
  <si>
    <t>Détails du compte</t>
  </si>
  <si>
    <t>Detalles da conta</t>
  </si>
  <si>
    <t>Fiók részletek</t>
  </si>
  <si>
    <t>Detil akun</t>
  </si>
  <si>
    <t>Dettagli account</t>
  </si>
  <si>
    <t>アカウントの詳細</t>
  </si>
  <si>
    <t>계정 정보</t>
  </si>
  <si>
    <t>Accountgegevens</t>
  </si>
  <si>
    <t>Szczegóły konta</t>
  </si>
  <si>
    <t>Detalhes da conta</t>
  </si>
  <si>
    <t>Сведения об учётной записи</t>
  </si>
  <si>
    <t>Detaily účtu</t>
  </si>
  <si>
    <t>Детаљи налога</t>
  </si>
  <si>
    <t>Kontodetaljer</t>
  </si>
  <si>
    <t>Деталі облікового запису</t>
  </si>
  <si>
    <t>Chi tiết tài khoản</t>
  </si>
  <si>
    <t>帳戶詳情</t>
  </si>
  <si>
    <t>on_boarding_welcome_2</t>
  </si>
  <si>
    <t>Monitor</t>
  </si>
  <si>
    <t>رصد</t>
  </si>
  <si>
    <t>Наблюдаване</t>
  </si>
  <si>
    <t>Monitorovat</t>
  </si>
  <si>
    <t>Overvåge</t>
  </si>
  <si>
    <t>Παρακολούθηση</t>
  </si>
  <si>
    <t>Monitorizar</t>
  </si>
  <si>
    <t>Seuraa</t>
  </si>
  <si>
    <t>Surveiller</t>
  </si>
  <si>
    <t>निगरानी रखें</t>
  </si>
  <si>
    <t>Ellenőrzés</t>
  </si>
  <si>
    <t>Pantau</t>
  </si>
  <si>
    <t>Monitorare</t>
  </si>
  <si>
    <t>צג</t>
  </si>
  <si>
    <t>モニターする</t>
  </si>
  <si>
    <t>모니터링</t>
  </si>
  <si>
    <t>Volg</t>
  </si>
  <si>
    <t>Observer</t>
  </si>
  <si>
    <t>Monitoruj</t>
  </si>
  <si>
    <t>Controlar</t>
  </si>
  <si>
    <t>Monitorizează</t>
  </si>
  <si>
    <t>Следить</t>
  </si>
  <si>
    <t>Monitorovať</t>
  </si>
  <si>
    <t>Nadgledaj</t>
  </si>
  <si>
    <t>Övervaka</t>
  </si>
  <si>
    <t>ติดตาม</t>
  </si>
  <si>
    <t>İzle</t>
  </si>
  <si>
    <t>Giám sát</t>
  </si>
  <si>
    <t>监测</t>
  </si>
  <si>
    <t>on_boarding_welcome_1</t>
  </si>
  <si>
    <t>Personalize</t>
  </si>
  <si>
    <t>تخصيص</t>
  </si>
  <si>
    <t>Персонализиране</t>
  </si>
  <si>
    <t>Přizpůsobit</t>
  </si>
  <si>
    <t>Tilpas</t>
  </si>
  <si>
    <t>Personalisieren</t>
  </si>
  <si>
    <t>Εξατομίκευση</t>
  </si>
  <si>
    <t>Personalizar</t>
  </si>
  <si>
    <t>Muokkaa</t>
  </si>
  <si>
    <t>Personnaliser</t>
  </si>
  <si>
    <t>वैयक्तिकृत करें</t>
  </si>
  <si>
    <t>Személyreszab</t>
  </si>
  <si>
    <t>Sesuaikan</t>
  </si>
  <si>
    <t>Personalizzare</t>
  </si>
  <si>
    <t>התאם אישית</t>
  </si>
  <si>
    <t>パーソナライズする</t>
  </si>
  <si>
    <t>맞춤 설정</t>
  </si>
  <si>
    <t>Peribadikan</t>
  </si>
  <si>
    <t>Personaliseer</t>
  </si>
  <si>
    <t>Tilpass</t>
  </si>
  <si>
    <t>Personalizuj</t>
  </si>
  <si>
    <t>Personalizează</t>
  </si>
  <si>
    <t>Персонализировать</t>
  </si>
  <si>
    <t>Prispôsobiť</t>
  </si>
  <si>
    <t>Prilagodite</t>
  </si>
  <si>
    <t>Anpassa</t>
  </si>
  <si>
    <t>ปรับแต่ง</t>
  </si>
  <si>
    <t>Kişiselleştir</t>
  </si>
  <si>
    <t>Cá nhân hóa</t>
  </si>
  <si>
    <t>个性化</t>
  </si>
  <si>
    <t>on_boarding_welcome_0</t>
  </si>
  <si>
    <t>Hello and Welcome!</t>
  </si>
  <si>
    <t>أهلا ومرحبًا!</t>
  </si>
  <si>
    <t>Здравей и добре дошъл/а!</t>
  </si>
  <si>
    <t>Ahoj a vítejte!</t>
  </si>
  <si>
    <t>Hej og velkommen!</t>
  </si>
  <si>
    <t>Hallo und Willkommen!</t>
  </si>
  <si>
    <t>Γεια σας και καλωσήλθατε!</t>
  </si>
  <si>
    <t>¡Hola y Bienvenido!</t>
  </si>
  <si>
    <t>Hei ja tervetuloa!</t>
  </si>
  <si>
    <t>Bonjour et Bienvenue!</t>
  </si>
  <si>
    <t>नमस्ते और स्वागत है!</t>
  </si>
  <si>
    <t>Üdvözlöm!</t>
  </si>
  <si>
    <t>Halo and Selamat Datang!</t>
  </si>
  <si>
    <t>Salve e Benvenuto!</t>
  </si>
  <si>
    <t>שלום וברוכים הבאים!</t>
  </si>
  <si>
    <t>こんにちは、ようこそ！</t>
  </si>
  <si>
    <t>환영합니다!</t>
  </si>
  <si>
    <t>Helo and Selamat Datang!</t>
  </si>
  <si>
    <t>Hallo en welkom!</t>
  </si>
  <si>
    <t>Hei og velkommen!</t>
  </si>
  <si>
    <t>Witaj</t>
  </si>
  <si>
    <t>Olá e bem-vindo!</t>
  </si>
  <si>
    <t>Bună și Bine ai venit!</t>
  </si>
  <si>
    <t>Здравствуйте и Добро пожаловать!</t>
  </si>
  <si>
    <t>Ahoj, vítame vás!</t>
  </si>
  <si>
    <t>Pozdravljeni in dobrodošli!</t>
  </si>
  <si>
    <t>Zdravo i dobrodošli!</t>
  </si>
  <si>
    <t>Hej och välkommen!</t>
  </si>
  <si>
    <t>สวัสดี ยินดีต้อนรับ!</t>
  </si>
  <si>
    <t>Merhaba ve Hoş Geldiniz!</t>
  </si>
  <si>
    <t>Xin chào và chào mừng bạn!</t>
  </si>
  <si>
    <t>你好！欢迎！</t>
  </si>
  <si>
    <t>tt_strike_price</t>
  </si>
  <si>
    <t>Strike Price</t>
  </si>
  <si>
    <t>سعر الممارسة</t>
  </si>
  <si>
    <t>Фиксирана цена</t>
  </si>
  <si>
    <t>Transakční cena</t>
  </si>
  <si>
    <t>Strejkurs</t>
  </si>
  <si>
    <t>Basispreis</t>
  </si>
  <si>
    <t>Tιμή εξάσκησης του δικαιώματος</t>
  </si>
  <si>
    <t>Precio de ejercicio</t>
  </si>
  <si>
    <t>Toteutushinta</t>
  </si>
  <si>
    <t>Prix ​​d\'exercice</t>
  </si>
  <si>
    <t>स्ट्राइक मूल्य</t>
  </si>
  <si>
    <t>Kiütési pont</t>
  </si>
  <si>
    <t>Harga Tetap</t>
  </si>
  <si>
    <t>Prezzo d\'esercizio</t>
  </si>
  <si>
    <t>מחיר מימוש</t>
  </si>
  <si>
    <t>ストライクプライス</t>
  </si>
  <si>
    <t>행사가격</t>
  </si>
  <si>
    <t>Harga Pukulan</t>
  </si>
  <si>
    <t>Strike prijs</t>
  </si>
  <si>
    <t>Innløsningskurs</t>
  </si>
  <si>
    <t>Cena wykonania</t>
  </si>
  <si>
    <t>Preço de Exercício</t>
  </si>
  <si>
    <t>Pretul de Exercitare</t>
  </si>
  <si>
    <t>Базисная цена</t>
  </si>
  <si>
    <t>Realizačná cena</t>
  </si>
  <si>
    <t>Cena stavke</t>
  </si>
  <si>
    <t>Strike cena</t>
  </si>
  <si>
    <t>Lösenpris</t>
  </si>
  <si>
    <t>ราคาใช้สิทธิ</t>
  </si>
  <si>
    <t>Kullanım Fiyatı</t>
  </si>
  <si>
    <t>Giá thực hiện</t>
  </si>
  <si>
    <t>行使价</t>
  </si>
  <si>
    <t>pref_dont_trust_system_cas_title</t>
  </si>
  <si>
    <t>Don’t trust system CAs</t>
  </si>
  <si>
    <t>لا تثق في سلطات شهادات النظام</t>
  </si>
  <si>
    <t>Да не се вярва на системните сертификати</t>
  </si>
  <si>
    <t>No confiar en les CAs del sistema</t>
  </si>
  <si>
    <t>Stol ikke på systemet CA\'er</t>
  </si>
  <si>
    <t>Zertifizierungsstellen nicht vertrauen</t>
  </si>
  <si>
    <t>No confiar en los CAs del sistema</t>
  </si>
  <si>
    <t>Ne pas utiliser les CAs système</t>
  </si>
  <si>
    <t>Non confiar nas CAs do sistema</t>
  </si>
  <si>
    <t>Ne bízzon a rendszer hitelesítésekben</t>
  </si>
  <si>
    <t>Jangan percaya sistem CA</t>
  </si>
  <si>
    <t>Non ti fidare delle CA di sistema</t>
  </si>
  <si>
    <t>システムの CA を信頼しない</t>
  </si>
  <si>
    <t>시스템 CA를 신뢰하지 않음</t>
  </si>
  <si>
    <t>Systeem-CA\'s niet vertrouwen</t>
  </si>
  <si>
    <t>Nie ufaj certyfikatom systemowym</t>
  </si>
  <si>
    <t>Não confiar nas CAs do sistema</t>
  </si>
  <si>
    <t>Не доверять системным УЦ</t>
  </si>
  <si>
    <t>Nedôverovať systému CAs</t>
  </si>
  <si>
    <t>Не поуздај се у системска сертификациона тела</t>
  </si>
  <si>
    <t>Lita inte på systemets CAs</t>
  </si>
  <si>
    <t>Sistem CAS\'a Güvenme</t>
  </si>
  <si>
    <t>Не довіряти системним центрам сертифікації</t>
  </si>
  <si>
    <t>Đừng tin các CA hệ thống</t>
  </si>
  <si>
    <t>不信任系統的憑證機構</t>
  </si>
  <si>
    <t>distrust_omemo_key_text</t>
  </si>
  <si>
    <t>Are you sure you want to remove the verification for this device?\nThis device and messages coming from that device will be marked as untrusted.</t>
  </si>
  <si>
    <t>Наистина ли искате да заличите потвърждението на това устройство?\nТова устройство и съобщенията, идващи от него, ще бъдат отбелязани като „непроверени“.</t>
  </si>
  <si>
    <t>Estàs segur que vols eliminar la verificació d\'aquest dispositiu?\nAquest dispositiu i missatges procedents d\'aquest dispositiu es marcaran com a no confiables.</t>
  </si>
  <si>
    <t>Möchtest du die vorhandene Überprüfung für dieses Gerät löschen?\nDas Gerät und gesendete Nachrichten von diesem Gerät werden als nicht vertrauenswürdig markiert.</t>
  </si>
  <si>
    <t>¿Estás seguro que quieres eliminar la verificación de este dispositivo?\nEste dispositivo y los mensajes que lleguen desde allí serán marcados como no confiables.</t>
  </si>
  <si>
    <t>Êtes-vous sûr de vouloir supprimer la vérification pour cet appareil ?\nCet appareil et les messages qui en proviennent seront marqués comme n\'étant pas dignes de confiance.</t>
  </si>
  <si>
    <t>Está segura de que quere retirar a verificación de este dispositivo?\nEste dispositivo e as mensaxes que del proveñan serán marcadas como non confiables.</t>
  </si>
  <si>
    <t>Biztos benne, hogy el szeretné távolítani az eszköz ellenőrzését?\nAz eszköz és az eszközről érkező üzenetek nem megbízhatóak lesznek ezentúl.</t>
  </si>
  <si>
    <t>Sei sicuro di volere rimuovere la verifica per questo dispositivo?\nIl dispositivo e i messaggi provenienti da esso verranno segnati come non fidati.</t>
  </si>
  <si>
    <t>このデバイスの検証を削除してもよろしいですか?\nこのデバイスと、そのデバイスからのメッセージは信頼できないとマークされます。</t>
  </si>
  <si>
    <t>이 장치의 자격 증명을 삭제 하시겠습니까?\n장치와 해당 장치에서 메시지는 신뢰할 수없는 것으로 표시됩니다.</t>
  </si>
  <si>
    <t>Weet je zeker dat je de verificatie voor dit apparaat wil verwijderen?\nHet apparaat en alle berichten die het verstuurt zullen als niet-vertrouwd worden weergegeven.</t>
  </si>
  <si>
    <t>Czy jesteś pewien, że chcesz cofnąć weryfikację tego urządzenia?\nUrządzenie to, i wiadomości z niego przychodzące będą oznaczane jako niezaufane.</t>
  </si>
  <si>
    <t>Вы действительно хотите удалить устройство из доверенных?\Устройство и сообщения, полученные с этого устройства, будут помечаться как недоверенные.</t>
  </si>
  <si>
    <t>Желите ли заиста да уклоните оверу за овај уређај?\nПоруке које долазе са тог уређаја ће бити означене као непоуздане.</t>
  </si>
  <si>
    <t>Är du säker på att du vill ta bort verifieringen av denna enhet?\nDenna enhet och meddelanden som kommer från enheten kommer att markeras som ej pålitliga.</t>
  </si>
  <si>
    <t>Ви певні, що більше не довіряєте цьому пристрою?\nЦей пристрій і повідомлення з нього будуть позначатися як недовірені.</t>
  </si>
  <si>
    <t>確定想要移除這個設備的驗證資料嗎？\n這個設備和來自它的訊息都會標記為不可信任。</t>
  </si>
  <si>
    <t>tt_info_amazonreviewinappstore</t>
  </si>
  <si>
    <t>Rate in the Amazon Appstore</t>
  </si>
  <si>
    <t>تقييم في Amazon Appstore</t>
  </si>
  <si>
    <t>Оценете в Appstore Amazon</t>
  </si>
  <si>
    <t>Hodnotit na Amazon Appstore</t>
  </si>
  <si>
    <t>Pris i Amazon Appstore</t>
  </si>
  <si>
    <t>Bewertung im Amazon Appstore</t>
  </si>
  <si>
    <t>Βαθμολογήστε στο Amazon Appstore</t>
  </si>
  <si>
    <t>Califíquenos en Amazon Appstore</t>
  </si>
  <si>
    <t>Arvostele Amazon Appstoressa</t>
  </si>
  <si>
    <t>Laissez-nous une évaluation dans l\'App Store d\'Amazon</t>
  </si>
  <si>
    <t>अमेज़ॉन ऐप स्टोर में रेट करें</t>
  </si>
  <si>
    <t>Értékelés az Amazon App Store-ban</t>
  </si>
  <si>
    <t>Nilaikan di Amazon AppStore</t>
  </si>
  <si>
    <t>Giudica in Amazon Appstore</t>
  </si>
  <si>
    <t>דרג בחנות האפליקציות של אמזון</t>
  </si>
  <si>
    <t>Amazon Appstoreでの評価</t>
  </si>
  <si>
    <t>Amazon 앱스토어에서 평가하기</t>
  </si>
  <si>
    <t>Waardeer in de Amazon Appstore</t>
  </si>
  <si>
    <t>Ocena w Amazon Appstore</t>
  </si>
  <si>
    <t>Classifique-nos no Amazon Appstore</t>
  </si>
  <si>
    <t>Evaluează în Appstore Amazon</t>
  </si>
  <si>
    <t>Оценить в магазине приложений Amazon Appstore</t>
  </si>
  <si>
    <t>Hodnotiť v obchode s aplikáciami Amazon</t>
  </si>
  <si>
    <t>Ocenite v Amazon Appstore</t>
  </si>
  <si>
    <t>Oceni u Amazon App Stoore-u</t>
  </si>
  <si>
    <t>Betygsätt i Amazon Appstore</t>
  </si>
  <si>
    <t>ให้คะแนนใน Amazon Appstore</t>
  </si>
  <si>
    <t>Amazon Appstore\'da Değerlendirme Yap</t>
  </si>
  <si>
    <t>Xếp hạng trong Amazon Appstore</t>
  </si>
  <si>
    <t>在亚马逊的Appstore评价</t>
  </si>
  <si>
    <t>&gt;在亞馬遜的Appstore評價</t>
  </si>
  <si>
    <t>feature_not_implemented</t>
  </si>
  <si>
    <t>Feature not implemented</t>
  </si>
  <si>
    <t>Функционалността не е реализирана</t>
  </si>
  <si>
    <t>Funktion nicht implementiert</t>
  </si>
  <si>
    <t>Funcionalidad no implementada</t>
  </si>
  <si>
    <t>Fonction non mise en oeuvre</t>
  </si>
  <si>
    <t>Característica non implementada</t>
  </si>
  <si>
    <t>A funkció nem működik</t>
  </si>
  <si>
    <t>Funzionalità non implementata</t>
  </si>
  <si>
    <t>Functie nog niet geïmplementeerd</t>
  </si>
  <si>
    <t>Funkcja niezaimplementowana</t>
  </si>
  <si>
    <t>tt_terms_of_use_description</t>
  </si>
  <si>
    <t>Please read terms and conditions carefully before browsing our App</t>
  </si>
  <si>
    <t>يُرجى قراءة الشروط والأحكام بعناية قبل تصفح تطبيقنا</t>
  </si>
  <si>
    <t>Моля, прочетете внимателно условията, преди да разгледате нашето приложение</t>
  </si>
  <si>
    <t>Před procházením naší aplikace si prosím pozorně přečtěte pravidla a podmínky</t>
  </si>
  <si>
    <t>Læs vilkår og betingelser omhyggeligt, inden du gennemser vores app</t>
  </si>
  <si>
    <t>Bitte lesen Sie die Nutzungsbedungen bevor Sie unsere APP nutzen.</t>
  </si>
  <si>
    <t>Διαβάστε προσεκτικά τους όρους και τις προϋποθέσεις πριν περιηγηθείτε στην εφαρμογή μας</t>
  </si>
  <si>
    <t>Por favor, lea los terminos y condiciones cuidadosamente antes de usar nuestra App</t>
  </si>
  <si>
    <t>Lue käyttöehdot huolellisesti ennen kuin selaat sovellustamme</t>
  </si>
  <si>
    <t>Veuillez lire attentivement nos conditions d\'utilisation avant d\'utiliser notre application</t>
  </si>
  <si>
    <t>हमारे ऐप को ब्राउज़ करने से पहले कृपया नियमों और शर्तों को ध्यान से पढ़ें</t>
  </si>
  <si>
    <t>Kérjük, olvassa el a felhasználási feltételeket figyelmesen, mielőtt letölti a TeleTrader App-et</t>
  </si>
  <si>
    <t>Silahkan baca syarat dan ketentuan dengan saksama sebelum menjelajahi Aplikasi kami</t>
  </si>
  <si>
    <t>Per favore leggete i termini e le condizioni attentamente prima di usare la App.</t>
  </si>
  <si>
    <t>נא לקרוא בעיון את התנאים וההגבלות בטרם גלישה באפליקציה שלנו</t>
  </si>
  <si>
    <t>アプリケーションを閲覧する前によく契約書をお読みください</t>
  </si>
  <si>
    <t>본 앱을 탐색하기 전 이용약관을 주의깊게 읽어주십시오</t>
  </si>
  <si>
    <t>Sila baca terma dan syarat dengan teliti sebelum melayari Aplikasi kami</t>
  </si>
  <si>
    <t>Lees aub de voorwaarden goed door voordat u onze App gebruikt</t>
  </si>
  <si>
    <t>Les vilkårene nøye før du blar gjennom appen vår</t>
  </si>
  <si>
    <t>Prosimy o dokładne zapoznanie się z warunkami użytkownia przed korzystaniem z naszej aplikacji</t>
  </si>
  <si>
    <t>Por favor, leia com cuidado os termos e condições antes de visitar o nosso App</t>
  </si>
  <si>
    <t>Te rugăm să citești atent termenii și condițiile înainte de a naviga în Aplicația noastră</t>
  </si>
  <si>
    <t>Пожалуйста, прочитайте условия использования перед тем, как использовать наше приложение</t>
  </si>
  <si>
    <t>Pred prehliadaním našej aplikácie si pozorne prečítajte zmluvné podmienky</t>
  </si>
  <si>
    <t>Pred brskanjem po naši aplikaciji natančno preberite pogoje</t>
  </si>
  <si>
    <t>Molimo Vas da pažljivo pročitate uslove korišćenja pre nego što pregledate našu aplikaciju</t>
  </si>
  <si>
    <t>Läs villkoren noggrant innan du använder vår app</t>
  </si>
  <si>
    <t>โปรดอ่านข้อกำหนดและเงื่อนไขให้ละเอียดถี่ถ้วนก่อนเริ่มใช้งานแอป</t>
  </si>
  <si>
    <t>Uygulamamıza göz atmadan önce lütfen şartları ve koşulları dikkatle okuyun</t>
  </si>
  <si>
    <t>Vui lòng đọc kỹ các điều khoản và điều kiện trước khi duyệt Ứng dụng của chúng tôi</t>
  </si>
  <si>
    <t>浏览我们的应用程序前，请仔细阅读条款</t>
  </si>
  <si>
    <t>&gt;瀏覽我們的應用程序前，請仔細閱讀條款</t>
  </si>
  <si>
    <t>connected_accounts</t>
  </si>
  <si>
    <t>%1$d of %2$d accounts connected</t>
  </si>
  <si>
    <t>%1$d مِن أصل %2$d حسابات متصلة</t>
  </si>
  <si>
    <t>%1$d от %2$d свързани профила</t>
  </si>
  <si>
    <t>%1$d of %2$d comptes connectats</t>
  </si>
  <si>
    <t>%1$d z %2$d účty napojené</t>
  </si>
  <si>
    <t>%1$d af %2$d konti forbundet</t>
  </si>
  <si>
    <t>%1$d von %2$d Konten verbunden</t>
  </si>
  <si>
    <t>%1$d de %2$d cuentas conectadas</t>
  </si>
  <si>
    <t>%1$d %2$d tilejä liitetty</t>
  </si>
  <si>
    <t>%1$d compte(s) sur %2$d connecté(s)</t>
  </si>
  <si>
    <t>%1$d de %2$d contas conectadas</t>
  </si>
  <si>
    <t>%1$d a %2$d fiókból csatlakozott</t>
  </si>
  <si>
    <t>%1$d su %2$d account connessi</t>
  </si>
  <si>
    <t>%1$d / %2$d アカウントが接続しました</t>
  </si>
  <si>
    <t>%2$d 중 %1$d 계정이 연결되었습니다</t>
  </si>
  <si>
    <t>%1$d van %2$d accounts verbonden</t>
  </si>
  <si>
    <t>%1$d av %2$d kontoer tilkoblet</t>
  </si>
  <si>
    <t>%1$d z %2$d kont połączonych</t>
  </si>
  <si>
    <t>%1$d из %2$d аккаунтов соединены</t>
  </si>
  <si>
    <t>%1$d од %2$d налога повезано</t>
  </si>
  <si>
    <t>%1$d av %2$d konton anslutna</t>
  </si>
  <si>
    <t>%1$d з %2$d облікових записів у мережі</t>
  </si>
  <si>
    <t>%1$d trên %2$d tài khoản đã kết nối</t>
  </si>
  <si>
    <t>%2$d 個中的 %1$d 個帳戶已連接</t>
  </si>
  <si>
    <t>tt_missing_registration_code</t>
  </si>
  <si>
    <t>Please enter registration code.</t>
  </si>
  <si>
    <t>Bitte geben Sie den Registrierungscode ein.</t>
  </si>
  <si>
    <t>Por favor introduce tu código de registro.</t>
  </si>
  <si>
    <t>Veuillez saisir le code d\'enregistrement.</t>
  </si>
  <si>
    <t>Kérjük adja meg a regisztrációs kódot.</t>
  </si>
  <si>
    <t>Пожалуйста, введите код регистрации.</t>
  </si>
  <si>
    <t>Molimo vas unesite registracioni kod.</t>
  </si>
  <si>
    <t>login_first</t>
  </si>
  <si>
    <t>Please login</t>
  </si>
  <si>
    <t>يرجى تسجيل الدخول</t>
  </si>
  <si>
    <t>Моля, влезте</t>
  </si>
  <si>
    <t>Přihlaste se, prosím</t>
  </si>
  <si>
    <t>Vær venlig at logge ind</t>
  </si>
  <si>
    <t>Bitte loggen Sie sich ein</t>
  </si>
  <si>
    <t>Συνδεθείτε</t>
  </si>
  <si>
    <t>Por favor, inicie sesión</t>
  </si>
  <si>
    <t>Kirjaudu sisään, ole hyvä</t>
  </si>
  <si>
    <t>Veuillez vous connecter</t>
  </si>
  <si>
    <t>कृपया लॉग-इन करें</t>
  </si>
  <si>
    <t>Kérjük jelentkezzen be</t>
  </si>
  <si>
    <t>Silahkan Masuk</t>
  </si>
  <si>
    <t>Per favore fa il login</t>
  </si>
  <si>
    <t>אנא התחבר</t>
  </si>
  <si>
    <t>ログインしてください</t>
  </si>
  <si>
    <t>로그인해주십시오</t>
  </si>
  <si>
    <t>Sila mulakan</t>
  </si>
  <si>
    <t>Alstublieft inloggen</t>
  </si>
  <si>
    <t>prosimy zaloguj się</t>
  </si>
  <si>
    <t>Inicie a sessão</t>
  </si>
  <si>
    <t>Te rugam sa te autentifici</t>
  </si>
  <si>
    <t>Пожалуйста, войдите</t>
  </si>
  <si>
    <t>Prihláste sa</t>
  </si>
  <si>
    <t>Prosimo, prijavite se</t>
  </si>
  <si>
    <t>Molimo unesite korisničko ime i lozinku</t>
  </si>
  <si>
    <t>Vänligen logga in</t>
  </si>
  <si>
    <t>โปรดเข้าสู่ระบบ</t>
  </si>
  <si>
    <t>Lütfen giriş yapın</t>
  </si>
  <si>
    <t>Vui lòng đăng nhập</t>
  </si>
  <si>
    <t>请登入</t>
  </si>
  <si>
    <t>tt_save_template</t>
  </si>
  <si>
    <t>حفظ القالب</t>
  </si>
  <si>
    <t>Mentése</t>
  </si>
  <si>
    <t>Simpan Template</t>
  </si>
  <si>
    <t>Salva Modello</t>
  </si>
  <si>
    <t>テンプレートを保存</t>
  </si>
  <si>
    <t>템플릿 저장</t>
  </si>
  <si>
    <t>Simpan Templat</t>
  </si>
  <si>
    <t>Bewaar</t>
  </si>
  <si>
    <t>保存模板</t>
  </si>
  <si>
    <t>&gt;保存模板</t>
  </si>
  <si>
    <t>login_phone_not_changed</t>
  </si>
  <si>
    <t>Phone not changed. Please try again.</t>
  </si>
  <si>
    <t>لم يتم تغيير رقم الهاتف. يرجى المحاولة مرة أخرى.</t>
  </si>
  <si>
    <t>Телефонът не е променен. Моля, опитайте отново.</t>
  </si>
  <si>
    <t>Telefon se nezměnil. Zkuste to prosím znovu.</t>
  </si>
  <si>
    <t>Telefonen er ikke ændret. Prøv igen.</t>
  </si>
  <si>
    <t>Το τηλέφωνο δεν άλλαξε. Δοκιμάστε ξανα.</t>
  </si>
  <si>
    <t>El celular no fue modificado. Inténtelo de nuevo.</t>
  </si>
  <si>
    <t>Puhelinta ei ole muutettu. Yritä uudelleen.</t>
  </si>
  <si>
    <t>Téléphone non changé. Veuillez réessayer.</t>
  </si>
  <si>
    <t>फोन में परिवर्तन नहीं हुआ है। कृपया दोबारा कोशिश करें।</t>
  </si>
  <si>
    <t>A telefon módosítása nem sikerült. Kérjük, próbálja újra.</t>
  </si>
  <si>
    <t>Nomor telepon tidak berubah. Mohon coba lagi.</t>
  </si>
  <si>
    <t>Il telefono non è stato cambiato. Riprova.</t>
  </si>
  <si>
    <t>הטלפון לא השתנה. אנא נסה שוב.</t>
  </si>
  <si>
    <t>スマートフォンが変更されていません。再度お試しください。</t>
  </si>
  <si>
    <t>전화 번호가 변경되지 않았습니다. 다시 시도해주세요.</t>
  </si>
  <si>
    <t>Telefon tidak ditukar. Sila cuba semula.</t>
  </si>
  <si>
    <t>Telefoonnummer niet gewijzigd. Probeer het nog een keer.</t>
  </si>
  <si>
    <t>Telefonen ble ikke endret. Prøv igjen.</t>
  </si>
  <si>
    <t>Telefon nie został zmieniony. Spróbuj ponownie.</t>
  </si>
  <si>
    <t>Telefone não alterado. Tente novamente.</t>
  </si>
  <si>
    <t>Telefonul nu a fost schimbat. Te rugăm să încerci din nou.</t>
  </si>
  <si>
    <t>Telefón nebol zmenený. Skúste to znova.</t>
  </si>
  <si>
    <t>Telefon ni spremenjen. Prosim poskusite ponovno.</t>
  </si>
  <si>
    <t>Telefonen har inte ändrats. Var god försök igen.</t>
  </si>
  <si>
    <t>ไม่มีการเปลี่ยนแปลงโทรศัพท์ โปรดลองอีกครั้ง</t>
  </si>
  <si>
    <t>Telefon değişmedi. Lütfen tekrar deneyin.</t>
  </si>
  <si>
    <t>Điện thoại không thay đổi. Vui lòng thử lại.</t>
  </si>
  <si>
    <t>电话没有更改。请重试。</t>
  </si>
  <si>
    <t>tt_issuer</t>
  </si>
  <si>
    <t>Issuer</t>
  </si>
  <si>
    <t>المصدر</t>
  </si>
  <si>
    <t>Емитент</t>
  </si>
  <si>
    <t>Vydavatel</t>
  </si>
  <si>
    <t>Udsteder</t>
  </si>
  <si>
    <t>Emittent</t>
  </si>
  <si>
    <t>Εκδότης</t>
  </si>
  <si>
    <t>Emisor</t>
  </si>
  <si>
    <t>Liikkeellelaskija</t>
  </si>
  <si>
    <t>Émetteur</t>
  </si>
  <si>
    <t>जारीकर्ता</t>
  </si>
  <si>
    <t>Kibocsátó</t>
  </si>
  <si>
    <t>Penerbit</t>
  </si>
  <si>
    <t>Emittente</t>
  </si>
  <si>
    <t>מנפיק</t>
  </si>
  <si>
    <t>発行者</t>
  </si>
  <si>
    <t>발행인</t>
  </si>
  <si>
    <t>Utsteder</t>
  </si>
  <si>
    <t>Emitent</t>
  </si>
  <si>
    <t>Emissor</t>
  </si>
  <si>
    <t>Эмитент</t>
  </si>
  <si>
    <t>Izdajatelj</t>
  </si>
  <si>
    <t>บริษัทผู้ออกหลักทรัพย์</t>
  </si>
  <si>
    <t>Veren</t>
  </si>
  <si>
    <t>Tổ chức phát hành</t>
  </si>
  <si>
    <t>发行者</t>
  </si>
  <si>
    <t>tt_quoteboard</t>
  </si>
  <si>
    <t>Quoteboard</t>
  </si>
  <si>
    <t>لوحة عرض السعر</t>
  </si>
  <si>
    <t>Табло с котировки</t>
  </si>
  <si>
    <t>Kotační listina</t>
  </si>
  <si>
    <t>Citatbord</t>
  </si>
  <si>
    <t>Noteeraustaulu</t>
  </si>
  <si>
    <t>Quote board</t>
  </si>
  <si>
    <t>क्वोटबोर्ड</t>
  </si>
  <si>
    <t>Árfolyamtábla</t>
  </si>
  <si>
    <t>Papan Kutipan</t>
  </si>
  <si>
    <t>לוח הצעות מחיר</t>
  </si>
  <si>
    <t>板（気配表）</t>
  </si>
  <si>
    <t>시세표</t>
  </si>
  <si>
    <t>Papan Sebut Harga</t>
  </si>
  <si>
    <t>Koersen</t>
  </si>
  <si>
    <t>Kurstavle</t>
  </si>
  <si>
    <t>Tabela notowań</t>
  </si>
  <si>
    <t>Panou de cotații</t>
  </si>
  <si>
    <t>Табло котировок</t>
  </si>
  <si>
    <t>Panel ponúk</t>
  </si>
  <si>
    <t>Tabla vrednosti</t>
  </si>
  <si>
    <t>กระดานเสนอราคา</t>
  </si>
  <si>
    <t>Teklif panosu</t>
  </si>
  <si>
    <t>Bảng báo giá</t>
  </si>
  <si>
    <t>主板报价</t>
  </si>
  <si>
    <t>&gt;主板報價</t>
  </si>
  <si>
    <t>pref_font_size</t>
  </si>
  <si>
    <t>Font Size</t>
  </si>
  <si>
    <t>Размер на шрифта</t>
  </si>
  <si>
    <t>Grandària de la font</t>
  </si>
  <si>
    <t>Schriftgröße</t>
  </si>
  <si>
    <t>Tamaño de fuente</t>
  </si>
  <si>
    <t>Taille de police</t>
  </si>
  <si>
    <t>Tamaño da fonte</t>
  </si>
  <si>
    <t>Betűméret</t>
  </si>
  <si>
    <t>Dimensione carattere</t>
  </si>
  <si>
    <t>フォントの大きさ</t>
  </si>
  <si>
    <t>Lettergrootte</t>
  </si>
  <si>
    <t>Rozmiar Czcionki</t>
  </si>
  <si>
    <t>Размер шрифта</t>
  </si>
  <si>
    <t>Величина фонта</t>
  </si>
  <si>
    <t>字型大小</t>
  </si>
  <si>
    <t>openpgp_key_id</t>
  </si>
  <si>
    <t>OpenPGP Key ID</t>
  </si>
  <si>
    <t>معرف ID مفتاح ال OpenPGP</t>
  </si>
  <si>
    <t>Ид. на OpenPGP ключа</t>
  </si>
  <si>
    <t>Identificador de la clau d\'OpenPGP</t>
  </si>
  <si>
    <t>OpenPGP Schlüssel-ID</t>
  </si>
  <si>
    <t>ID Clef OpenPGP</t>
  </si>
  <si>
    <t>ID da chave OpenPGP</t>
  </si>
  <si>
    <t>OpenPGP Kulcs Azonosító</t>
  </si>
  <si>
    <t>ID chiave OpenPGP</t>
  </si>
  <si>
    <t>OpenPGP 鍵 ID</t>
  </si>
  <si>
    <t>OpenPGP 키ID</t>
  </si>
  <si>
    <t>OpenPGP-sleutel-ID</t>
  </si>
  <si>
    <t>ID klucza OpenPGP</t>
  </si>
  <si>
    <t>ID OpenPGP ключа</t>
  </si>
  <si>
    <t>ИД ОпенПГП кључа</t>
  </si>
  <si>
    <t>OpenPGP-nyckel-ID</t>
  </si>
  <si>
    <t>Ідентифікатор ключа OpenPGP</t>
  </si>
  <si>
    <t>ID khoá OpenPGP</t>
  </si>
  <si>
    <t>OpenPGP 金鑰 ID</t>
  </si>
  <si>
    <t>new_user</t>
  </si>
  <si>
    <t>New user? SIGN UP</t>
  </si>
  <si>
    <t>مستخدم جديد؟ سجل الاشتراك</t>
  </si>
  <si>
    <t>Нов потребител? РЕГИСТРИРАНЕ</t>
  </si>
  <si>
    <t>Nový uživatel? PŘIHLÁSIT SE</t>
  </si>
  <si>
    <t>Ny bruger? TILMELD</t>
  </si>
  <si>
    <t>Neuer Benutzer? REGISTRIEREN</t>
  </si>
  <si>
    <t>Νέος χρήστης; ΕΓΓΡΑΦΕΙΤΕ</t>
  </si>
  <si>
    <t>¿Nuevo usuario? Regístrese</t>
  </si>
  <si>
    <t>Uusi käyttäjä? REKISTERÖIDY</t>
  </si>
  <si>
    <t>Nouveau Compte Utilisateur? S\'INSCRIRE</t>
  </si>
  <si>
    <t>नया प्रयोक्ता? साइन-अप करें</t>
  </si>
  <si>
    <t>Új felhasználó? Belépés</t>
  </si>
  <si>
    <t>Pengguna baru? DAFTAR</t>
  </si>
  <si>
    <t>Nuovo Utente? ISCRIVITI</t>
  </si>
  <si>
    <t>משתמש חדש? הירשם</t>
  </si>
  <si>
    <t>新しいユーザーですか？サインアップして下さい</t>
  </si>
  <si>
    <t>신규 사용자신가요? 가입하세요</t>
  </si>
  <si>
    <t>Nieuwe gebruiker? AANMELDEN</t>
  </si>
  <si>
    <t>Ny bruker? REGISTRERING</t>
  </si>
  <si>
    <t>Nowy uytkownik ? zarejestruj si</t>
  </si>
  <si>
    <t>Novo utilizador? INSCREVER-SE</t>
  </si>
  <si>
    <t>Ești un utilizator nou? ÎNSCRIE-TE</t>
  </si>
  <si>
    <t>Новый пользователь? Зарегистрироваться</t>
  </si>
  <si>
    <t>Nový užívateľ? REGISTROVAŤ SA</t>
  </si>
  <si>
    <t>Nov uporabnik? PRIJAVITE SE</t>
  </si>
  <si>
    <t>Novi korisnik? PRIJAVA</t>
  </si>
  <si>
    <t>Ny användare? BLI MEDLEM</t>
  </si>
  <si>
    <t>เป็นผู้ใช้รายใหม่ใช่ไหม? ลงทะเบียนใช้งาน</t>
  </si>
  <si>
    <t>Yeni kullanıcı mısınız? KAYIT OLUN</t>
  </si>
  <si>
    <t>Người dùng mới? ĐĂNG KÝ</t>
  </si>
  <si>
    <t>新的用户名称？注册吧</t>
  </si>
  <si>
    <t>share</t>
  </si>
  <si>
    <t>Share</t>
  </si>
  <si>
    <t>Споделяне</t>
  </si>
  <si>
    <t>Compartir</t>
  </si>
  <si>
    <t>Del</t>
  </si>
  <si>
    <t>Teilen</t>
  </si>
  <si>
    <t>Jaa</t>
  </si>
  <si>
    <t>Partager</t>
  </si>
  <si>
    <t>Megosztás</t>
  </si>
  <si>
    <t>Bagikan</t>
  </si>
  <si>
    <t>Condividi</t>
  </si>
  <si>
    <t>共有</t>
  </si>
  <si>
    <t>Kongsi</t>
  </si>
  <si>
    <t>Delen</t>
  </si>
  <si>
    <t>Udostępnij</t>
  </si>
  <si>
    <t>Partilhar</t>
  </si>
  <si>
    <t>Поделиться</t>
  </si>
  <si>
    <t>Podeli</t>
  </si>
  <si>
    <t>Dela</t>
  </si>
  <si>
    <t>Paylaş</t>
  </si>
  <si>
    <t>分享</t>
  </si>
  <si>
    <t>connect</t>
  </si>
  <si>
    <t>Connect</t>
  </si>
  <si>
    <t>اتصال</t>
  </si>
  <si>
    <t>Свързване</t>
  </si>
  <si>
    <t>Connecta</t>
  </si>
  <si>
    <t>Verbinden</t>
  </si>
  <si>
    <t>Conectar</t>
  </si>
  <si>
    <t>Kapcsolódás</t>
  </si>
  <si>
    <t>Hubungkan</t>
  </si>
  <si>
    <t>Connetti</t>
  </si>
  <si>
    <t>접속</t>
  </si>
  <si>
    <t>Verbind</t>
  </si>
  <si>
    <t>Połącz</t>
  </si>
  <si>
    <t>Подключиться</t>
  </si>
  <si>
    <t>Pripojiť</t>
  </si>
  <si>
    <t>Повежи</t>
  </si>
  <si>
    <t>Anslut</t>
  </si>
  <si>
    <t>Підключення</t>
  </si>
  <si>
    <t>Kết nối</t>
  </si>
  <si>
    <t>tt_insider_transactions</t>
  </si>
  <si>
    <t>Insider Transactions</t>
  </si>
  <si>
    <t>المعاملات الداخلية</t>
  </si>
  <si>
    <t>Вътрешни транзакции</t>
  </si>
  <si>
    <t>Vnitřní transakce</t>
  </si>
  <si>
    <t>Insidertransaktioner</t>
  </si>
  <si>
    <t>Insider-Transaktionen</t>
  </si>
  <si>
    <t>Εσωτερικές συναλλαγές</t>
  </si>
  <si>
    <t>Transacciones insider</t>
  </si>
  <si>
    <t>Sisäpiirikaupat</t>
  </si>
  <si>
    <t>Transactions d\'initiés</t>
  </si>
  <si>
    <t>अनधिकृत लेनदेन</t>
  </si>
  <si>
    <t>Bennfentes tranzakció</t>
  </si>
  <si>
    <t>Urus Niaga Dalaman</t>
  </si>
  <si>
    <t>Transazioni interne</t>
  </si>
  <si>
    <t>עסקאות פנים</t>
  </si>
  <si>
    <t>インサイダー取引</t>
  </si>
  <si>
    <t>내부자 매도</t>
  </si>
  <si>
    <t>Insider-transacties</t>
  </si>
  <si>
    <t>Innsidetransaksjoner</t>
  </si>
  <si>
    <t>Transakcje osb zatrudnionych w spce</t>
  </si>
  <si>
    <t>Transações dos insiders</t>
  </si>
  <si>
    <t>Tranzacții Privilegiate</t>
  </si>
  <si>
    <t>Инсайдерские сделки</t>
  </si>
  <si>
    <t>Transakcie pre interných pracovníkov</t>
  </si>
  <si>
    <t>Notranji posli</t>
  </si>
  <si>
    <t>Insajder transkacije</t>
  </si>
  <si>
    <t>การซื้อขายภายใน</t>
  </si>
  <si>
    <t>Üyelerin Yaptıkları İşlemler</t>
  </si>
  <si>
    <t>Giao dịch nội gián</t>
  </si>
  <si>
    <t>内幕交易</t>
  </si>
  <si>
    <t>tt_login_failed</t>
  </si>
  <si>
    <t>Login failed</t>
  </si>
  <si>
    <t>فشل تسجيل الدخول</t>
  </si>
  <si>
    <t>Неуспешно влизане</t>
  </si>
  <si>
    <t>Přihlášení se nezdařilo</t>
  </si>
  <si>
    <t>Log ind mislykkedes</t>
  </si>
  <si>
    <t>Fehler bei der Anmeldung</t>
  </si>
  <si>
    <t>Η σύνδεση απέτυχε</t>
  </si>
  <si>
    <t>Hubo un error en el inicio de sesión</t>
  </si>
  <si>
    <t>Kirjautuminen epäonnistui</t>
  </si>
  <si>
    <t>Connexion échouée</t>
  </si>
  <si>
    <t>लॉग-इन विफल हुआ</t>
  </si>
  <si>
    <t>Hiba a bejelentkezéskor</t>
  </si>
  <si>
    <t>Daftar masuk gagal</t>
  </si>
  <si>
    <t>Accesso fallito</t>
  </si>
  <si>
    <t>ההתחברות נכשלה</t>
  </si>
  <si>
    <t>ログインは失敗しました</t>
  </si>
  <si>
    <t>로그인에 실패했습니다</t>
  </si>
  <si>
    <t>Inloggen mislukt</t>
  </si>
  <si>
    <t>Innlogging feilet</t>
  </si>
  <si>
    <t>Logowanie nie powiodło się</t>
  </si>
  <si>
    <t>Falha na autenticação</t>
  </si>
  <si>
    <t>Autentificare eșuată</t>
  </si>
  <si>
    <t>Не удалось войти в учетную запись</t>
  </si>
  <si>
    <t>Prihlásenie zlyhalo</t>
  </si>
  <si>
    <t>Prijava ni uspela</t>
  </si>
  <si>
    <t>Prijavljivanje nije uspelo</t>
  </si>
  <si>
    <t>Inloggningen misslyckades</t>
  </si>
  <si>
    <t>การเข้าสู่ระบบมีความขัดข้อง</t>
  </si>
  <si>
    <t>Oturum açma başarısız</t>
  </si>
  <si>
    <t>Đăng nhập thất bại</t>
  </si>
  <si>
    <t>登入失败</t>
  </si>
  <si>
    <t>&gt;登入失敗</t>
  </si>
  <si>
    <t>import_yahoo_pf</t>
  </si>
  <si>
    <t>Import Yahoo portfolio</t>
  </si>
  <si>
    <t>استيراد محفظة Yahoo</t>
  </si>
  <si>
    <t>Импортирай портфолиото от Yahoo</t>
  </si>
  <si>
    <t>Importovat portfolio Yahoo</t>
  </si>
  <si>
    <t>Importer Yahoo-portefølje</t>
  </si>
  <si>
    <t>Yahoo Portfolio importieren</t>
  </si>
  <si>
    <t>Εισαγωγή χαρτοφυλακίου Yahoo</t>
  </si>
  <si>
    <t>Importar cartera de Yahoo</t>
  </si>
  <si>
    <t>Tuo Yahoo-salkku</t>
  </si>
  <si>
    <t>Importer le portefeuille Yahoo</t>
  </si>
  <si>
    <t>याहू पोर्टफोलियो को इम्पोर्ट करें</t>
  </si>
  <si>
    <t>Yahoo portfólió importálása</t>
  </si>
  <si>
    <t>Import portfolio Yahoo</t>
  </si>
  <si>
    <t>Importare Yahoo portafoglio</t>
  </si>
  <si>
    <t>יבא תיק השקעות מ-Yahoo</t>
  </si>
  <si>
    <t>Yahooポートフォリオをインポートする</t>
  </si>
  <si>
    <t>야후 포트폴리오 가져오기</t>
  </si>
  <si>
    <t>Importeer Yahoo portefeuille</t>
  </si>
  <si>
    <t>Importuj portfolio Yahoo</t>
  </si>
  <si>
    <t>Importar carteira do Yahoo</t>
  </si>
  <si>
    <t>Importă portofoliul Yahoo</t>
  </si>
  <si>
    <t>Импортировать Yahoo портфель</t>
  </si>
  <si>
    <t>Importovať Yahoo portfólio</t>
  </si>
  <si>
    <t>Uvoz Yahoo portfelja</t>
  </si>
  <si>
    <t>Uvezi Yahoo portfolio</t>
  </si>
  <si>
    <t>Importera Yahoo-portföljen</t>
  </si>
  <si>
    <t>นำเข้าพอร์ต Yahoo</t>
  </si>
  <si>
    <t>Yahoo portföyü içe aktar</t>
  </si>
  <si>
    <t>Nhập danh mục đầu tư của Yahoo</t>
  </si>
  <si>
    <t>输出Yahoo投资组合</t>
  </si>
  <si>
    <t>&gt;輸出Yahoo投資組合</t>
  </si>
  <si>
    <t>recommend</t>
  </si>
  <si>
    <t>Recommend baha stocks</t>
  </si>
  <si>
    <t>Anbefal baha stocks</t>
  </si>
  <si>
    <t>Empfehlen Sie baha stocks</t>
  </si>
  <si>
    <t>Recomiende baha stocks</t>
  </si>
  <si>
    <t>Suosittele baha stocks -sovellusta</t>
  </si>
  <si>
    <t>Recommandez baha stocks</t>
  </si>
  <si>
    <t>baha stocks ajánlása</t>
  </si>
  <si>
    <t>baha stocks yang direkomendasikan</t>
  </si>
  <si>
    <t>Raccomanda baha stocks</t>
  </si>
  <si>
    <t>「baha stocks」をすすめる</t>
  </si>
  <si>
    <t>baha stocks 추천</t>
  </si>
  <si>
    <t>Syorkan baha stocks</t>
  </si>
  <si>
    <t>baha stocks aanbevelen</t>
  </si>
  <si>
    <t>Anbefalte baha stocks</t>
  </si>
  <si>
    <t>Poleć baha stocks</t>
  </si>
  <si>
    <t>Recomendar baha stocks</t>
  </si>
  <si>
    <t>Рекомендовать baha stocks</t>
  </si>
  <si>
    <t>Rekommendera baha stocks</t>
  </si>
  <si>
    <t>baha stocks uygulamasını öner</t>
  </si>
  <si>
    <t>推荐“baha股票市场”</t>
  </si>
  <si>
    <t>device_does_not_support_certificates</t>
  </si>
  <si>
    <t>Your device does not support the selection of client certificates!</t>
  </si>
  <si>
    <t>إنّ جهازك لا يدعم اختيار شهادات العملاء !</t>
  </si>
  <si>
    <t>Устройството Ви не поддържа избраните клиентски сертификати!</t>
  </si>
  <si>
    <t>El vostre dispositiu no admet la selecció de certificats de client.</t>
  </si>
  <si>
    <t>Dein Gerät unterstützt das Auswählen von Client-Zertifikaten nicht!</t>
  </si>
  <si>
    <t>¡Tu dispositivo no soporta la elección de certificados de cliente!</t>
  </si>
  <si>
    <t>Votre appareil ne supporte pas la sélection de certificats client !</t>
  </si>
  <si>
    <t>O seu dispositivo non admite a selección de certificados do cliente!</t>
  </si>
  <si>
    <t>A készülék nem támogatja az ügyfél-tanúsítványok kiválasztását!</t>
  </si>
  <si>
    <t>Il tuo dispositivo non supporta la selezione di certificati utente!</t>
  </si>
  <si>
    <t>お使いのデバイスはクライアント証明書の選択をサポートしていません!</t>
  </si>
  <si>
    <t>기기가 선택된 클라이언트 인증서를 지원하지 않습니다</t>
  </si>
  <si>
    <t>Je apparaat ondersteunt de selectie van cliënt-certificaten niet!</t>
  </si>
  <si>
    <t>Twoje urządzenie nie wspiera wyboru certyfikatów klienckich</t>
  </si>
  <si>
    <t>O seu dispositivo não suporta a seleção de certificados de cliente!</t>
  </si>
  <si>
    <t>Ваше устройство не поддерживает выбор клиентских сертификатов!</t>
  </si>
  <si>
    <t>Ваш уређај не подржава избор сертификата клијента!</t>
  </si>
  <si>
    <t>Din enhet stödjer inte val av klientcertifikat!</t>
  </si>
  <si>
    <t>Ваш пристрій не підтримує вибір сертифікатів клієнта!</t>
  </si>
  <si>
    <t>Thiết bị không hỗ trợ chọn lựa các chứng chỉ của máy trạm!</t>
  </si>
  <si>
    <t>您的設備不支援設備證書選擇！</t>
  </si>
  <si>
    <t>send_unencrypted_message</t>
  </si>
  <si>
    <t>Send unencrypted message</t>
  </si>
  <si>
    <t>إرسال رسالة غير مشفرة</t>
  </si>
  <si>
    <t>Изпр. на нешифр. съобщение</t>
  </si>
  <si>
    <t>Envia un missatge no xifrat</t>
  </si>
  <si>
    <t>Unverschlüsselt schreiben…</t>
  </si>
  <si>
    <t>Enviar mensaje sin cifrar</t>
  </si>
  <si>
    <t>Envoyer un message en clair</t>
  </si>
  <si>
    <t>Enviar mensaxe non cifrada</t>
  </si>
  <si>
    <t>Titkosítatlan üzenetküldés</t>
  </si>
  <si>
    <t>Kirim pesan tak-terenkripsi</t>
  </si>
  <si>
    <t>Invia messaggio non cifrato</t>
  </si>
  <si>
    <t>暗号化されていないメッセージを送信</t>
  </si>
  <si>
    <t>암호화하지 않은 메세지 전송</t>
  </si>
  <si>
    <t>Verstuur onversleuteld bericht</t>
  </si>
  <si>
    <t>Wyślij wiadomość bez szyfrowania</t>
  </si>
  <si>
    <t>Enviar mensagem não cifrada</t>
  </si>
  <si>
    <t>Нешифрованное сообщение</t>
  </si>
  <si>
    <t>Poslať nezašifrovanú správu</t>
  </si>
  <si>
    <t>Пошаљи нешифровану поруку</t>
  </si>
  <si>
    <t>Skicka okrypterat meddelande</t>
  </si>
  <si>
    <t>Відправити незашифроване повідомлення</t>
  </si>
  <si>
    <t>Gửi tin nhắn không mã hoá</t>
  </si>
  <si>
    <t>發送未加密的訊息</t>
  </si>
  <si>
    <t>tt_social_networks_visit_facebook</t>
  </si>
  <si>
    <t>Visit us on Facebook</t>
  </si>
  <si>
    <t>يُرجى زيارة صفحتنا على الفيسبوك</t>
  </si>
  <si>
    <t>Посетете ни във Facebook</t>
  </si>
  <si>
    <t>Navštivte nás na Facebooku</t>
  </si>
  <si>
    <t>Besøg os på Facebook</t>
  </si>
  <si>
    <t>Besuchen Sie uns auf Facebook</t>
  </si>
  <si>
    <t>Επισκεφθείτε μας στο Facebook</t>
  </si>
  <si>
    <t>Visitenos en Facebook</t>
  </si>
  <si>
    <t>Käy Facebookissa</t>
  </si>
  <si>
    <t>Visitez notre page facebook!</t>
  </si>
  <si>
    <t>फेसबुक पर हमारे पेज को देखें</t>
  </si>
  <si>
    <t>Látogass meg minket a Facebookon</t>
  </si>
  <si>
    <t>Kunjungi kami di Facebook</t>
  </si>
  <si>
    <t>Trovarci su Facebook</t>
  </si>
  <si>
    <t>בקרו אותנו בפייסבוק</t>
  </si>
  <si>
    <t>Facebookで私たちをご覧ください</t>
  </si>
  <si>
    <t>페이스북 페이지 방문</t>
  </si>
  <si>
    <t>Lawati kami di Facebook</t>
  </si>
  <si>
    <t>Bezoek ons op Facebook</t>
  </si>
  <si>
    <t>Besøk oss på Facebook</t>
  </si>
  <si>
    <t>Odwiedź nas na Facebooku</t>
  </si>
  <si>
    <t>Visite -nos no facebook</t>
  </si>
  <si>
    <t>Vizitează-ne pe Facebook</t>
  </si>
  <si>
    <t>Наша страница на Facebook</t>
  </si>
  <si>
    <t>Navštívte nás na Facebooku</t>
  </si>
  <si>
    <t>Obiščite nas na Facebooku</t>
  </si>
  <si>
    <t>Posetite nas na Facebook-u</t>
  </si>
  <si>
    <t>Besök oss på Facebook</t>
  </si>
  <si>
    <t>เยี่ยมเยียนเราที่ Facebook</t>
  </si>
  <si>
    <t>Bizi Facebook\'ta ziyaret edin</t>
  </si>
  <si>
    <t>Ghé thăm chúng tôi trên facebook</t>
  </si>
  <si>
    <t>请造访我们的Facebook</t>
  </si>
  <si>
    <t>&gt;請造訪我們的Facebook</t>
  </si>
  <si>
    <t>tt_bonus_level</t>
  </si>
  <si>
    <t>Bonus level</t>
  </si>
  <si>
    <t>مستوى المكافأة</t>
  </si>
  <si>
    <t>Бонус ниво</t>
  </si>
  <si>
    <t>Bonusová úroveň</t>
  </si>
  <si>
    <t>Bonusniveau</t>
  </si>
  <si>
    <t>Bonuslevel</t>
  </si>
  <si>
    <t>Επίπεδο μπόνους</t>
  </si>
  <si>
    <t>Nivel de bonificación</t>
  </si>
  <si>
    <t>Bonustaso</t>
  </si>
  <si>
    <t>Niveau bonus</t>
  </si>
  <si>
    <t>बोनस स्तर</t>
  </si>
  <si>
    <t>Bónusz szint</t>
  </si>
  <si>
    <t>Peringkat bonus</t>
  </si>
  <si>
    <t>Livello di Bonus</t>
  </si>
  <si>
    <t>רמת בונוס</t>
  </si>
  <si>
    <t>ボーナスレベル</t>
  </si>
  <si>
    <t>보너스 수준</t>
  </si>
  <si>
    <t>Bonusnivå</t>
  </si>
  <si>
    <t>Poziom premii</t>
  </si>
  <si>
    <t>Nível de bónus</t>
  </si>
  <si>
    <t>Nivelul bonusului</t>
  </si>
  <si>
    <t>Уровень бонуса</t>
  </si>
  <si>
    <t>Úroveň bonusov</t>
  </si>
  <si>
    <t>Raven bonusa</t>
  </si>
  <si>
    <t>Bonus nivo</t>
  </si>
  <si>
    <t>ระดับโบนัส</t>
  </si>
  <si>
    <t>Bonus düzeyi</t>
  </si>
  <si>
    <t>Mức thưởng</t>
  </si>
  <si>
    <t>红利的水平</t>
  </si>
  <si>
    <t>tt_info_reviewinmarket</t>
  </si>
  <si>
    <t>Rate on Google Play</t>
  </si>
  <si>
    <t>تقييم في متجر Google Play</t>
  </si>
  <si>
    <t>Оценете в Google Play</t>
  </si>
  <si>
    <t>Hodnocení na Google Play</t>
  </si>
  <si>
    <t>Bedøm på Google Play</t>
  </si>
  <si>
    <t>Bewertung in Google Play</t>
  </si>
  <si>
    <t>Βαθμολογήστε στο Google Play</t>
  </si>
  <si>
    <t>Califíquenos en Google Play</t>
  </si>
  <si>
    <t>Arvostele Google Playssa</t>
  </si>
  <si>
    <t>Evaluez-nous dans Google Play</t>
  </si>
  <si>
    <t>गूगल प्ले पर रेट करें</t>
  </si>
  <si>
    <t>Google Play Értékelés</t>
  </si>
  <si>
    <t>Ulasan di Google Play</t>
  </si>
  <si>
    <t>Giudica su Google Play</t>
  </si>
  <si>
    <t>דרג ב- Google Play</t>
  </si>
  <si>
    <t>Google Playのﾚｰﾄ</t>
  </si>
  <si>
    <t>구글 플레이에서 평가하기</t>
  </si>
  <si>
    <t>Nilaikan di Google Play</t>
  </si>
  <si>
    <t>Geef een waardering op Google Play</t>
  </si>
  <si>
    <t>Ranger på Google Play</t>
  </si>
  <si>
    <t>Cena w Google Play</t>
  </si>
  <si>
    <t>Avaliar em Google Play</t>
  </si>
  <si>
    <t>Evaluează pe Google Play</t>
  </si>
  <si>
    <t>Оценить на Google Play</t>
  </si>
  <si>
    <t>Hodnotiť na Google Play</t>
  </si>
  <si>
    <t>Ocenite v Googlu Play</t>
  </si>
  <si>
    <t>Ocenite na Google Play</t>
  </si>
  <si>
    <t>Betygsätt på Google Play</t>
  </si>
  <si>
    <t>ให้คะแนนใน Google Play</t>
  </si>
  <si>
    <t>Google Play\'de Değerlendirme Yap</t>
  </si>
  <si>
    <t>Xếp hạng trên Google Play</t>
  </si>
  <si>
    <t>在Google Play的评级</t>
  </si>
  <si>
    <t>&gt;在Google Play的評級</t>
  </si>
  <si>
    <t>delete_watchlist</t>
  </si>
  <si>
    <t>Delete Watchlist</t>
  </si>
  <si>
    <t>حذف قائمة المتابعة</t>
  </si>
  <si>
    <t>Изтриване на уочлист</t>
  </si>
  <si>
    <t>Smazat seznam sledovaných</t>
  </si>
  <si>
    <t>Slet overvågningsliste</t>
  </si>
  <si>
    <t>Kursliste löschen</t>
  </si>
  <si>
    <t>Διαγραφή λίστας παρακολούθησης</t>
  </si>
  <si>
    <t>Eliminar la lista de seguimiento</t>
  </si>
  <si>
    <t>Poista tarkkailulista</t>
  </si>
  <si>
    <t>Supprimer la liste de suivi</t>
  </si>
  <si>
    <t>वॉचलिस्ट को हटाएँ</t>
  </si>
  <si>
    <t>Figyelőlista törlése</t>
  </si>
  <si>
    <t>Hapus Daftar Pantauan</t>
  </si>
  <si>
    <t>Rimuovi Watchlist</t>
  </si>
  <si>
    <t>מחק את רשימת המעקב</t>
  </si>
  <si>
    <t>ウォッチリストを削除</t>
  </si>
  <si>
    <t>본 목록 지우기</t>
  </si>
  <si>
    <t>Padam Senarai Pantau</t>
  </si>
  <si>
    <t>Watchlist verwijderen</t>
  </si>
  <si>
    <t>Slett overvåkningsliste</t>
  </si>
  <si>
    <t>Usuń listę obserwacyjną</t>
  </si>
  <si>
    <t>Eliminar lista de observação</t>
  </si>
  <si>
    <t>Șterge Lista de urmărire</t>
  </si>
  <si>
    <t>Удалить cписок наблюдения</t>
  </si>
  <si>
    <t>Odstrániť sledovaný zoznam</t>
  </si>
  <si>
    <t>Izbriši seznam ogledov</t>
  </si>
  <si>
    <t>Obriši watchlistu</t>
  </si>
  <si>
    <t>Radera bevakningslistan</t>
  </si>
  <si>
    <t>ลบรายการหุ้นที่ติดตาม</t>
  </si>
  <si>
    <t>İzleme Listesini Sil</t>
  </si>
  <si>
    <t>Xóa danh mục theo dõi</t>
  </si>
  <si>
    <t>删除收藏夹</t>
  </si>
  <si>
    <t>tt_ind_bollinger_bands_short</t>
  </si>
  <si>
    <t>Bollinger Bands</t>
  </si>
  <si>
    <t>بولنجر باند</t>
  </si>
  <si>
    <t>Криви на Болинджър</t>
  </si>
  <si>
    <t>Bollingerovy pásy</t>
  </si>
  <si>
    <t>Bollinger Bånd</t>
  </si>
  <si>
    <t>Ζώνη Bollinger</t>
  </si>
  <si>
    <t>Bandes de Bollinger</t>
  </si>
  <si>
    <t>बोलिंगर बैंड्स</t>
  </si>
  <si>
    <t>Lingkaran Bollinger</t>
  </si>
  <si>
    <t>רצועות בולינג'ר</t>
  </si>
  <si>
    <t>ボリンジャーバンド</t>
  </si>
  <si>
    <t>볼린저 밴드</t>
  </si>
  <si>
    <t>Benzi Bollinger</t>
  </si>
  <si>
    <t>Линии Боллинджера</t>
  </si>
  <si>
    <t>Bollingerove pásma</t>
  </si>
  <si>
    <t>Bollingerjevi pasovi</t>
  </si>
  <si>
    <t>Bollinger-band</t>
  </si>
  <si>
    <t>BBAND</t>
  </si>
  <si>
    <t>Bollinger bantları</t>
  </si>
  <si>
    <t>Dải Bollinger</t>
  </si>
  <si>
    <t>布林极限</t>
  </si>
  <si>
    <t>&gt;布林極限</t>
  </si>
  <si>
    <t>tt_network_timeout</t>
  </si>
  <si>
    <t>Timeout when loading data.</t>
  </si>
  <si>
    <t>انتهت المهلة عند تحميل البيانات.</t>
  </si>
  <si>
    <t>Време за изчакване при зареждане на данни.</t>
  </si>
  <si>
    <t>Časový limit při načítání dat.</t>
  </si>
  <si>
    <t>Timeout ved indlæsning af data.</t>
  </si>
  <si>
    <t>Zeitüberschreitung beim Laden der Daten.</t>
  </si>
  <si>
    <t>Λήξη χρόνου κατά τη φόρτωση δεδομένων.</t>
  </si>
  <si>
    <t>La sesión ha expirado al cargar los datos.</t>
  </si>
  <si>
    <t>Aikakatkaisu tietojen lataamisessa.</t>
  </si>
  <si>
    <t>Votre session a expiré pendant le téléchargement des données</t>
  </si>
  <si>
    <t>डेटा लोड करते समय समय समाप्त हुआ।</t>
  </si>
  <si>
    <t>Időtúllépés az adatok betöltésekor</t>
  </si>
  <si>
    <t>Waktu berakhir saat memuat data.</t>
  </si>
  <si>
    <t>Timeout durante il caricamento dei dati.</t>
  </si>
  <si>
    <t>פסק זמן בעת טעינת נתונים.</t>
  </si>
  <si>
    <t>タイムアウト</t>
  </si>
  <si>
    <t>데이터를 불러오는 도중 시간이 초과되었습니다.</t>
  </si>
  <si>
    <t>Masa tamat apabila memuatkan data.</t>
  </si>
  <si>
    <t>Timeout gedurende het laden van data.</t>
  </si>
  <si>
    <t>Tidsavbrudd når du laster inn data.</t>
  </si>
  <si>
    <t>Przekroczono limit czasu podczas ładowania danych.</t>
  </si>
  <si>
    <t>Fim da sessão durant o carregamento de dados</t>
  </si>
  <si>
    <t>Timp expirat la încărcarea datelor.</t>
  </si>
  <si>
    <t>Подождите, идет загрузка данных</t>
  </si>
  <si>
    <t>Časový limit pri načítaní údajov.</t>
  </si>
  <si>
    <t>Preteklost pri nalaganju podatkov.</t>
  </si>
  <si>
    <t>Vreme za učitavanje podataka je isteklo</t>
  </si>
  <si>
    <t>Timeout vid inläsning av data.</t>
  </si>
  <si>
    <t>เวลาหมดขณะโหลดข้อมูล</t>
  </si>
  <si>
    <t>Veriler yüklenirken zaman aşımına uğrandı.</t>
  </si>
  <si>
    <t>Hết thời gian chờ khi tải dữ liệu.</t>
  </si>
  <si>
    <t>时限已过</t>
  </si>
  <si>
    <t>&gt;時限已過</t>
  </si>
  <si>
    <t>tt_contract</t>
  </si>
  <si>
    <t>Contract</t>
  </si>
  <si>
    <t>Договор</t>
  </si>
  <si>
    <t>Smlouva</t>
  </si>
  <si>
    <t>Kontrakt</t>
  </si>
  <si>
    <t>Σύμβαση</t>
  </si>
  <si>
    <t>Contrato</t>
  </si>
  <si>
    <t>Sopimus</t>
  </si>
  <si>
    <t>संविदा</t>
  </si>
  <si>
    <t>Kontraktus</t>
  </si>
  <si>
    <t>Kontrak</t>
  </si>
  <si>
    <t>Contratto</t>
  </si>
  <si>
    <t>取引</t>
  </si>
  <si>
    <t>계약</t>
  </si>
  <si>
    <t>Контракт</t>
  </si>
  <si>
    <t>Zmluva</t>
  </si>
  <si>
    <t>Pogodba</t>
  </si>
  <si>
    <t>Ugovor</t>
  </si>
  <si>
    <t>Avtal</t>
  </si>
  <si>
    <t>สัญญา</t>
  </si>
  <si>
    <t>sözleşme</t>
  </si>
  <si>
    <t>合约</t>
  </si>
  <si>
    <t>tt_edgar_net_margin</t>
  </si>
  <si>
    <t>Net Margin (TTM)</t>
  </si>
  <si>
    <t>صافي الهامش (اثني عشر شهرًا متتاليًا)</t>
  </si>
  <si>
    <t>Нетен марж (TTM)</t>
  </si>
  <si>
    <t>Čistá marže (TTM)</t>
  </si>
  <si>
    <t>Nettomargin (TTM)</t>
  </si>
  <si>
    <t>Nettoumsatzr. (TTM)</t>
  </si>
  <si>
    <t>Καθαρό περιθώριο (TTM)</t>
  </si>
  <si>
    <t>Margen neto (1Año)</t>
  </si>
  <si>
    <t>Nettotulos (TTM)</t>
  </si>
  <si>
    <t>Marge nette (TTM)</t>
  </si>
  <si>
    <t>निवल मार्जिन (टीटीएम)</t>
  </si>
  <si>
    <t>Batas Bersih (TTM)</t>
  </si>
  <si>
    <t>Margine di Profito (TTM)</t>
  </si>
  <si>
    <t>שולי רווח נטו (12 חודשים אחרונים)</t>
  </si>
  <si>
    <t>純差益(TTM)</t>
  </si>
  <si>
    <t>순영업이익(TTM)</t>
  </si>
  <si>
    <t>Netto marge (TTM)</t>
  </si>
  <si>
    <t>Marża netto (12M)</t>
  </si>
  <si>
    <t>Margem Líquida (TTM)</t>
  </si>
  <si>
    <t>Marja Netă (TTM)</t>
  </si>
  <si>
    <t>Маржа чистой прибыли (12М)</t>
  </si>
  <si>
    <t>Čistá marža (TTM)</t>
  </si>
  <si>
    <t>Neto marža (TTM)</t>
  </si>
  <si>
    <t>Neto margina (TTM)</t>
  </si>
  <si>
    <t>Nettomarginal (TTM)</t>
  </si>
  <si>
    <t>อัตรากำไรสุทธิ (TTM)</t>
  </si>
  <si>
    <t>Net marj (12 ay)</t>
  </si>
  <si>
    <t>Ký quỹ ròng (TTM)</t>
  </si>
  <si>
    <t>净利率（TTM）</t>
  </si>
  <si>
    <t>tt_ind_average_true_range_short</t>
  </si>
  <si>
    <t>Rentang rata-rata sebenarnya</t>
  </si>
  <si>
    <t>טווח אמיתי ממוצע</t>
  </si>
  <si>
    <t>Verdadeira gama média</t>
  </si>
  <si>
    <t>Средний истинный интервал</t>
  </si>
  <si>
    <t>Ortalama Gerçek Aralık</t>
  </si>
  <si>
    <t>真实波动幅度指标（ATR）</t>
  </si>
  <si>
    <t>&gt;真實波動幅度指標(ATR)</t>
  </si>
  <si>
    <t>tt_classification_level</t>
  </si>
  <si>
    <t>Classification level</t>
  </si>
  <si>
    <t>مستوى التصنيف</t>
  </si>
  <si>
    <t>Ниво на класификация</t>
  </si>
  <si>
    <t>Úroveň klasifikace</t>
  </si>
  <si>
    <t>Klassificeringsniveau</t>
  </si>
  <si>
    <t>Klassifikationslevel</t>
  </si>
  <si>
    <t>Επίπεδο ταξινόμησης</t>
  </si>
  <si>
    <t>Luokitustaso</t>
  </si>
  <si>
    <t>Niveau de classification</t>
  </si>
  <si>
    <t>वर्गीकरण का स्तर</t>
  </si>
  <si>
    <t>Osztályzati szint</t>
  </si>
  <si>
    <t>Tahap klasifikasi</t>
  </si>
  <si>
    <t>Livello di classificazione</t>
  </si>
  <si>
    <t>רמת סיווג</t>
  </si>
  <si>
    <t>機密レベル</t>
  </si>
  <si>
    <t>보안 수준</t>
  </si>
  <si>
    <t>Tahap pengkelasan</t>
  </si>
  <si>
    <t>Classificatieniveau</t>
  </si>
  <si>
    <t>Klassifiseringsnivå</t>
  </si>
  <si>
    <t>Poziom klasyfikacji</t>
  </si>
  <si>
    <t>Nível de classificação</t>
  </si>
  <si>
    <t>Nivel de clasificare</t>
  </si>
  <si>
    <t>Уровень классификации</t>
  </si>
  <si>
    <t>Úroveň klasifikácie</t>
  </si>
  <si>
    <t>Raven razvrstitve</t>
  </si>
  <si>
    <t>Nivo klasifikacije</t>
  </si>
  <si>
    <t>Klassificeringsnivå</t>
  </si>
  <si>
    <t>ระดับการจัดจำแนก</t>
  </si>
  <si>
    <t>Sınıflandırma seviyesi</t>
  </si>
  <si>
    <t>Cấp phân loại</t>
  </si>
  <si>
    <t>分类等级</t>
  </si>
  <si>
    <t>send_by_chat</t>
  </si>
  <si>
    <t>Send By Chat</t>
  </si>
  <si>
    <t>Über Chat senden</t>
  </si>
  <si>
    <t>Enviar por chat</t>
  </si>
  <si>
    <t>Envoyer par chat</t>
  </si>
  <si>
    <t>Küldés Cseten keresztül</t>
  </si>
  <si>
    <t>Отправить через чат</t>
  </si>
  <si>
    <t>Pošalji četom</t>
  </si>
  <si>
    <t>russian_federation</t>
  </si>
  <si>
    <t>Russian Federation</t>
  </si>
  <si>
    <t>Russland (und Ex-GUS)</t>
  </si>
  <si>
    <t>Rusia</t>
  </si>
  <si>
    <t>Fédération Russe</t>
  </si>
  <si>
    <t>Российская Федерация</t>
  </si>
  <si>
    <t>Ruska Federacija</t>
  </si>
  <si>
    <t>tt_marketdepths</t>
  </si>
  <si>
    <t>Market Depths</t>
  </si>
  <si>
    <t>أعماق السوق</t>
  </si>
  <si>
    <t>Hloubky trhu</t>
  </si>
  <si>
    <t>Markedybder</t>
  </si>
  <si>
    <t>Βάθη αγοράς</t>
  </si>
  <si>
    <t>Markkinoiden syvyydet</t>
  </si>
  <si>
    <t>Profondeur des marchés</t>
  </si>
  <si>
    <t>Profondità dei Mercati</t>
  </si>
  <si>
    <t>עומקי שוק</t>
  </si>
  <si>
    <t>Markedsdybder</t>
  </si>
  <si>
    <t>Profundidade de mercados</t>
  </si>
  <si>
    <t>Adâncimile Pieței</t>
  </si>
  <si>
    <t>Hĺbky trhu</t>
  </si>
  <si>
    <t>Globine trga</t>
  </si>
  <si>
    <t>ความลึกของตลาด</t>
  </si>
  <si>
    <t>Piyasa Derinlikleri</t>
  </si>
  <si>
    <t>welcome_header_quicksy" translatable="false</t>
  </si>
  <si>
    <t>Have some Quick Conversations</t>
  </si>
  <si>
    <t>barbados</t>
  </si>
  <si>
    <t>Barbados</t>
  </si>
  <si>
    <t>Barbade</t>
  </si>
  <si>
    <t>Барбадос</t>
  </si>
  <si>
    <t>tt_securitytype</t>
  </si>
  <si>
    <t>Security type</t>
  </si>
  <si>
    <t>نوع الأمان</t>
  </si>
  <si>
    <t>Тип на защитата</t>
  </si>
  <si>
    <t>Typ zabezpečení</t>
  </si>
  <si>
    <t>Sikkerhedstype</t>
  </si>
  <si>
    <t>Wertpapiertyp</t>
  </si>
  <si>
    <t>Τύπος ασφάλειας</t>
  </si>
  <si>
    <t>Tipo de seguridad</t>
  </si>
  <si>
    <t>Arvopaperityyppi</t>
  </si>
  <si>
    <t>Type de titres</t>
  </si>
  <si>
    <t>सुरक्षा प्रकार</t>
  </si>
  <si>
    <t>Értékpapír típusa</t>
  </si>
  <si>
    <t>Jenis keselamatan</t>
  </si>
  <si>
    <t>Tipo del Simbolo</t>
  </si>
  <si>
    <t>סוג האבטחה</t>
  </si>
  <si>
    <t>セキュリティタイプ</t>
  </si>
  <si>
    <t>유가증권 유형</t>
  </si>
  <si>
    <t>Effect type</t>
  </si>
  <si>
    <t>Sikkerhetstype</t>
  </si>
  <si>
    <t>Typ instrumentu</t>
  </si>
  <si>
    <t>Tipo de securitização</t>
  </si>
  <si>
    <t>Tipul de securitate</t>
  </si>
  <si>
    <t>Вид ценной бумаги</t>
  </si>
  <si>
    <t>Typ zabezpečenia</t>
  </si>
  <si>
    <t>Vrsta zaščite</t>
  </si>
  <si>
    <t>Vrsta sektora</t>
  </si>
  <si>
    <t>Säkerhetstyp</t>
  </si>
  <si>
    <t>ประเภทหลักทรัพย์</t>
  </si>
  <si>
    <t>Menkul kıymet türü</t>
  </si>
  <si>
    <t>Loại bảo mật</t>
  </si>
  <si>
    <t>证券类型</t>
  </si>
  <si>
    <t>&gt;證券類型</t>
  </si>
  <si>
    <t>tt_send</t>
  </si>
  <si>
    <t>Send</t>
  </si>
  <si>
    <t>إرسال</t>
  </si>
  <si>
    <t>Изпрати</t>
  </si>
  <si>
    <t>Poslat</t>
  </si>
  <si>
    <t>Senden</t>
  </si>
  <si>
    <t>Αποστολή</t>
  </si>
  <si>
    <t>Enviar</t>
  </si>
  <si>
    <t>Lähetä</t>
  </si>
  <si>
    <t>Envoyer</t>
  </si>
  <si>
    <t>भेजें</t>
  </si>
  <si>
    <t>Küldés</t>
  </si>
  <si>
    <t>Kirim</t>
  </si>
  <si>
    <t>Invia</t>
  </si>
  <si>
    <t>שלח</t>
  </si>
  <si>
    <t>送る</t>
  </si>
  <si>
    <t>전송</t>
  </si>
  <si>
    <t>Hantar</t>
  </si>
  <si>
    <t>Verstuur</t>
  </si>
  <si>
    <t>Wyślij</t>
  </si>
  <si>
    <t>Trimite</t>
  </si>
  <si>
    <t>Отправить</t>
  </si>
  <si>
    <t>Poslať</t>
  </si>
  <si>
    <t>Pošljite</t>
  </si>
  <si>
    <t>Pošalji</t>
  </si>
  <si>
    <t>Skicka</t>
  </si>
  <si>
    <t>ส่ง</t>
  </si>
  <si>
    <t>Gönder</t>
  </si>
  <si>
    <t>Gửi</t>
  </si>
  <si>
    <t>发送</t>
  </si>
  <si>
    <t>disable_now</t>
  </si>
  <si>
    <t>Disable now</t>
  </si>
  <si>
    <t>تعطيله حالًا</t>
  </si>
  <si>
    <t>Изключване сега</t>
  </si>
  <si>
    <t>Desactiva ara</t>
  </si>
  <si>
    <t>Jetzt deaktivieren</t>
  </si>
  <si>
    <t>Deshabilitar ahora</t>
  </si>
  <si>
    <t>Désactiver maintenant</t>
  </si>
  <si>
    <t>Desactivar agora</t>
  </si>
  <si>
    <t>Letiltás most</t>
  </si>
  <si>
    <t>Disattiva adesso</t>
  </si>
  <si>
    <t>Nu uitschakelen</t>
  </si>
  <si>
    <t>Wyłącz teraz</t>
  </si>
  <si>
    <t>Отключить сейчас</t>
  </si>
  <si>
    <t>conference_address</t>
  </si>
  <si>
    <t>Group chat address</t>
  </si>
  <si>
    <t>عنوان مجموعة المحادثة</t>
  </si>
  <si>
    <t>Адрес на груповия разговор</t>
  </si>
  <si>
    <t>Direcció del xat de grup</t>
  </si>
  <si>
    <t>Gruppenchatadresse</t>
  </si>
  <si>
    <t>Dirección</t>
  </si>
  <si>
    <t>Adresse de la conversation de groupe</t>
  </si>
  <si>
    <t>Enderezo da conversa en grupo</t>
  </si>
  <si>
    <t>Konferencia cím</t>
  </si>
  <si>
    <t>Indirizzo chat di gruppo</t>
  </si>
  <si>
    <t>談話室のアドレス</t>
  </si>
  <si>
    <t>Gespreksadres</t>
  </si>
  <si>
    <t>Adres konferencji</t>
  </si>
  <si>
    <t>Endereço de conversa em grupo</t>
  </si>
  <si>
    <t>Адрес конференции</t>
  </si>
  <si>
    <t>Адреса групног ћаскања</t>
  </si>
  <si>
    <t>tt_listmode</t>
  </si>
  <si>
    <t>List View</t>
  </si>
  <si>
    <t>عرض القائمة</t>
  </si>
  <si>
    <t>Списък изглед</t>
  </si>
  <si>
    <t>Zobrazení seznamu</t>
  </si>
  <si>
    <t>Vis liste</t>
  </si>
  <si>
    <t>Listenansicht</t>
  </si>
  <si>
    <t>Προβολή λίστας</t>
  </si>
  <si>
    <t>Vista de lista</t>
  </si>
  <si>
    <t>Listanäkymä</t>
  </si>
  <si>
    <t>Affichage sous forme de liste</t>
  </si>
  <si>
    <t>सूची व्यू</t>
  </si>
  <si>
    <t>Listás nézet</t>
  </si>
  <si>
    <t>Tampilan daftar</t>
  </si>
  <si>
    <t>Vista a Lista</t>
  </si>
  <si>
    <t>תצוגת רשימה</t>
  </si>
  <si>
    <t>リストビュー</t>
  </si>
  <si>
    <t>목록 보기</t>
  </si>
  <si>
    <t>Paparan Senarai</t>
  </si>
  <si>
    <t>Lijst overzicht</t>
  </si>
  <si>
    <t>Listevisning</t>
  </si>
  <si>
    <t>Widok listy</t>
  </si>
  <si>
    <t>Modo de lista</t>
  </si>
  <si>
    <t>Vizualizare Listă</t>
  </si>
  <si>
    <t>Показать в виде списка</t>
  </si>
  <si>
    <t>Zobraziť zoznam</t>
  </si>
  <si>
    <t>Pogled seznama</t>
  </si>
  <si>
    <t>Lista</t>
  </si>
  <si>
    <t>Listvy</t>
  </si>
  <si>
    <t>ดูรายการ</t>
  </si>
  <si>
    <t>Liste Görünümü</t>
  </si>
  <si>
    <t>Chế độ xem danh sách</t>
  </si>
  <si>
    <t>列表视图</t>
  </si>
  <si>
    <t>&gt;查閱列表</t>
  </si>
  <si>
    <t>dominican_republic</t>
  </si>
  <si>
    <t>Dominican Republic</t>
  </si>
  <si>
    <t>Dominikanische Republik</t>
  </si>
  <si>
    <t>República Dominicana</t>
  </si>
  <si>
    <t>République Dominicaine</t>
  </si>
  <si>
    <t>Доминиканская Республика</t>
  </si>
  <si>
    <t>Dominikanska Republika</t>
  </si>
  <si>
    <t>tt_fundprofile_branchpositions</t>
  </si>
  <si>
    <t>Branchen</t>
  </si>
  <si>
    <t>Ágazatok</t>
  </si>
  <si>
    <t>分野別配分</t>
  </si>
  <si>
    <t>Branże</t>
  </si>
  <si>
    <t>Sucursal</t>
  </si>
  <si>
    <t>Отрасли</t>
  </si>
  <si>
    <t>&gt;分行</t>
  </si>
  <si>
    <t>pref_automatically_delete_messages</t>
  </si>
  <si>
    <t>Automatic message deletion</t>
  </si>
  <si>
    <t>الحذف الآلي للرسائل</t>
  </si>
  <si>
    <t>Автоматично изтриване на съобщенията</t>
  </si>
  <si>
    <t>Supressió de missatge automàtic</t>
  </si>
  <si>
    <t>Automatische Nachrichtenlöschung</t>
  </si>
  <si>
    <t>Borrado automático de mensajes</t>
  </si>
  <si>
    <t>Suppression messages auto</t>
  </si>
  <si>
    <t>Borrado automático de mensaxes</t>
  </si>
  <si>
    <t>Automatikus üzenet törlés</t>
  </si>
  <si>
    <t>Eliminazione automatica messaggi</t>
  </si>
  <si>
    <t>自動メッセージ削除</t>
  </si>
  <si>
    <t>Automatisch berichten verwijderen</t>
  </si>
  <si>
    <t>Automatyczne usuwanie wiadomości</t>
  </si>
  <si>
    <t>Автоматическое удаление сообщений</t>
  </si>
  <si>
    <t>Аутоматско брисање порука</t>
  </si>
  <si>
    <t>Automatisk borttagning av meddelanden</t>
  </si>
  <si>
    <t>Автоматичне видалення повідомлень</t>
  </si>
  <si>
    <t>自動刪除訊息</t>
  </si>
  <si>
    <t>tt_small</t>
  </si>
  <si>
    <t>Small</t>
  </si>
  <si>
    <t>صغير</t>
  </si>
  <si>
    <t>Малък</t>
  </si>
  <si>
    <t>Malý</t>
  </si>
  <si>
    <t>Lille</t>
  </si>
  <si>
    <t>Klein</t>
  </si>
  <si>
    <t>Μικρό</t>
  </si>
  <si>
    <t>Pequeño</t>
  </si>
  <si>
    <t>Pieni</t>
  </si>
  <si>
    <t>Petit</t>
  </si>
  <si>
    <t>छोटा</t>
  </si>
  <si>
    <t>Kecil</t>
  </si>
  <si>
    <t>Piccolo</t>
  </si>
  <si>
    <t>קטן</t>
  </si>
  <si>
    <t>小</t>
  </si>
  <si>
    <t>작게</t>
  </si>
  <si>
    <t>Liten</t>
  </si>
  <si>
    <t>Mały</t>
  </si>
  <si>
    <t>Pequeno</t>
  </si>
  <si>
    <t>Mic</t>
  </si>
  <si>
    <t>Маленький</t>
  </si>
  <si>
    <t>Majhna</t>
  </si>
  <si>
    <t>Mala</t>
  </si>
  <si>
    <t>Små</t>
  </si>
  <si>
    <t>ขนาดเล็ก</t>
  </si>
  <si>
    <t>Küçük</t>
  </si>
  <si>
    <t>Nhỏ</t>
  </si>
  <si>
    <t>&gt;小</t>
  </si>
  <si>
    <t>tt_show_stock_ticker</t>
  </si>
  <si>
    <t>Show Stock Ticker</t>
  </si>
  <si>
    <t>عرض شريط أسعار الأسهم</t>
  </si>
  <si>
    <t>Показване на борсов тикер</t>
  </si>
  <si>
    <t>Zobrazovat akciový ticker</t>
  </si>
  <si>
    <t>Vis aktie ticker</t>
  </si>
  <si>
    <t>Ticker anzeigen</t>
  </si>
  <si>
    <t>Εμφάνιση Ticker μετοχών</t>
  </si>
  <si>
    <t>Mostrar Ticker de acción</t>
  </si>
  <si>
    <t>Näytä osaketikkeri</t>
  </si>
  <si>
    <t>Montrer Ticker</t>
  </si>
  <si>
    <t>स्टॉक टिकर को प्रदर्शित करें</t>
  </si>
  <si>
    <t>Mutasd a Tickert</t>
  </si>
  <si>
    <t>Tampilkan tampilan Saham</t>
  </si>
  <si>
    <t>Mostra scorrevole di titoli</t>
  </si>
  <si>
    <t>הצג טיקר מניות</t>
  </si>
  <si>
    <t>ストックティッカーを表示する</t>
  </si>
  <si>
    <t>주식 티커 표시</t>
  </si>
  <si>
    <t>Tunjukkan Paparan Saham</t>
  </si>
  <si>
    <t>Laat Stock Ticker zien</t>
  </si>
  <si>
    <t>Vis aksjeticker</t>
  </si>
  <si>
    <t>Poka Ticker</t>
  </si>
  <si>
    <t>Mostrar Stock Ticker</t>
  </si>
  <si>
    <t>Afișează Telegraful Valorilor</t>
  </si>
  <si>
    <t>Показать тикер</t>
  </si>
  <si>
    <t>Ukázať burzový ticker</t>
  </si>
  <si>
    <t>Prikaži nalepko</t>
  </si>
  <si>
    <t>Prikaži Tiker</t>
  </si>
  <si>
    <t>Visa Stock Ticker</t>
  </si>
  <si>
    <t>แสดง Ticker หุ้น</t>
  </si>
  <si>
    <t>Borsa Takip Ekranını Göster</t>
  </si>
  <si>
    <t>Hiển thị ticker chứng khoán</t>
  </si>
  <si>
    <t>显示股票自动收报机纸条</t>
  </si>
  <si>
    <t>logged_out</t>
  </si>
  <si>
    <t>Logged out</t>
  </si>
  <si>
    <t>Не сте вписани в системата</t>
  </si>
  <si>
    <t>Odhlásit</t>
  </si>
  <si>
    <t>Logget ud</t>
  </si>
  <si>
    <t>Abgemeldet</t>
  </si>
  <si>
    <t>Έγινε αποσύνδεση</t>
  </si>
  <si>
    <t>Kirjautunut ulos</t>
  </si>
  <si>
    <t>Déconnecté</t>
  </si>
  <si>
    <t>लॉग-आउट करें</t>
  </si>
  <si>
    <t>Kilépett</t>
  </si>
  <si>
    <t>Didaftarkan Keluar</t>
  </si>
  <si>
    <t>Disconnesso</t>
  </si>
  <si>
    <t>התנתק</t>
  </si>
  <si>
    <t>ログアウトしました</t>
  </si>
  <si>
    <t>로그아웃됨</t>
  </si>
  <si>
    <t>Uitgelogd</t>
  </si>
  <si>
    <t>Logget ut</t>
  </si>
  <si>
    <t>Wylogowano</t>
  </si>
  <si>
    <t>Deconectat</t>
  </si>
  <si>
    <t>Вышли из</t>
  </si>
  <si>
    <t>Odhlásený</t>
  </si>
  <si>
    <t>Odjavljeni</t>
  </si>
  <si>
    <t>Izlogovan</t>
  </si>
  <si>
    <t>Utloggad</t>
  </si>
  <si>
    <t>Çıkış yapıldı</t>
  </si>
  <si>
    <t>Đã đăng xuất</t>
  </si>
  <si>
    <t>登出了</t>
  </si>
  <si>
    <t>transcoding_video</t>
  </si>
  <si>
    <t>Compressing video</t>
  </si>
  <si>
    <t>ضغط الفيديو</t>
  </si>
  <si>
    <t>Компресиране на видеото</t>
  </si>
  <si>
    <t>S\'està comprimint el vídeo</t>
  </si>
  <si>
    <t>Video wird komprimiert</t>
  </si>
  <si>
    <t>Comprimiendo video</t>
  </si>
  <si>
    <t>Compression de la vidéo en cours</t>
  </si>
  <si>
    <t>Comprimindo vídeo</t>
  </si>
  <si>
    <t>Videó tömörítése</t>
  </si>
  <si>
    <t>Compressione video in corso</t>
  </si>
  <si>
    <t>ビデオの圧縮中</t>
  </si>
  <si>
    <t>Video wordt gecomprimeerd</t>
  </si>
  <si>
    <t>Kompresuję film</t>
  </si>
  <si>
    <t>Сжимание видео</t>
  </si>
  <si>
    <t>Компресујем видео</t>
  </si>
  <si>
    <t>onboarding_maybe_later</t>
  </si>
  <si>
    <t>Maybe later</t>
  </si>
  <si>
    <t>Måske senere</t>
  </si>
  <si>
    <t>Vielleicht später</t>
  </si>
  <si>
    <t>Tal vez más tarde</t>
  </si>
  <si>
    <t>Ehkä myöhemmin</t>
  </si>
  <si>
    <t>Peut-être plus tard</t>
  </si>
  <si>
    <t>Talán később</t>
  </si>
  <si>
    <t>Mungkin lain kali</t>
  </si>
  <si>
    <t>Magari più tardi</t>
  </si>
  <si>
    <t>아마도 나중에</t>
  </si>
  <si>
    <t>Mungkin kemudian</t>
  </si>
  <si>
    <t>Misschien later</t>
  </si>
  <si>
    <t>Kanskje senere</t>
  </si>
  <si>
    <t>Może później</t>
  </si>
  <si>
    <t>Talvez mais tarde</t>
  </si>
  <si>
    <t>Возможно, позже</t>
  </si>
  <si>
    <t>Možda kasnije</t>
  </si>
  <si>
    <t>Kanske senare</t>
  </si>
  <si>
    <t>Belki sonra</t>
  </si>
  <si>
    <t>也许以后</t>
  </si>
  <si>
    <t>tt_no_alerts_yet</t>
  </si>
  <si>
    <t>You haven\'t created any alerts yet.</t>
  </si>
  <si>
    <t>لم تُحدد أي تنبيهات بعد.</t>
  </si>
  <si>
    <t>Все още не сте създали сигнали.</t>
  </si>
  <si>
    <t>Ještě jste nevytvořili žádná upozornění.</t>
  </si>
  <si>
    <t>Du har ikke oprettet nogen advarsler endnu.</t>
  </si>
  <si>
    <t>Sie haben bisher noch keine Limits definiert.</t>
  </si>
  <si>
    <t>Δεν έχετε δημιουργήσει ακόμα ειδοποιήσεις.</t>
  </si>
  <si>
    <t>Todavía no ha creado ninguna alerta.</t>
  </si>
  <si>
    <t>Et ole vielä luonut hälytyksiä.</t>
  </si>
  <si>
    <t>Vous n\'avez pas encore défini d\'alertes</t>
  </si>
  <si>
    <t>आपने अभी तक कोई अलर्ट सृजित नहीं किया है।</t>
  </si>
  <si>
    <t>Még nem állított be riasztást.</t>
  </si>
  <si>
    <t>Anda belum menetapkan pemberitahuan apa pun.</t>
  </si>
  <si>
    <t>Non hai impostato nessun avviso.</t>
  </si>
  <si>
    <t>עדיין לא יצרת התראות.</t>
  </si>
  <si>
    <t>警告なし</t>
  </si>
  <si>
    <t>아직 어떤 알람도 설정하지 않았습니다.</t>
  </si>
  <si>
    <t>Anda belum menentukan apa-apa makluman.</t>
  </si>
  <si>
    <t>U heeft nog geen notificaties ingesteld.</t>
  </si>
  <si>
    <t>Du har ikke opprettet noen varsler ennå.</t>
  </si>
  <si>
    <t>Nie określono jeszcze żadnych limitów.</t>
  </si>
  <si>
    <t>Você não definiu nenhum alerta ainda.</t>
  </si>
  <si>
    <t>Nu\ai creat nicio alertă încă.</t>
  </si>
  <si>
    <t>Вы еще не установили предельную стоимость</t>
  </si>
  <si>
    <t>Zatiaľ ste nevytvorili žiadne upozornenia.</t>
  </si>
  <si>
    <t>Opozorila še niste ustvarili.</t>
  </si>
  <si>
    <t>Još uvek niste definisali alarme.</t>
  </si>
  <si>
    <t>Du har inte skapat några varningar ännu.</t>
  </si>
  <si>
    <t>คุณยังไม่มีการเพิ่มการแจ้งเตือนใด</t>
  </si>
  <si>
    <t>Henüz bir uyarı tanımlamadınız.</t>
  </si>
  <si>
    <t>Bạn chưa tạo bất kỳ cảnh báo nào.</t>
  </si>
  <si>
    <t>您还没有设定警示</t>
  </si>
  <si>
    <t>&gt;您還沒有設定警示</t>
  </si>
  <si>
    <t>tt_edgarsymboldata</t>
  </si>
  <si>
    <t>Financials</t>
  </si>
  <si>
    <t>المالية</t>
  </si>
  <si>
    <t>Финанси</t>
  </si>
  <si>
    <t>Finanční</t>
  </si>
  <si>
    <t>Finans</t>
  </si>
  <si>
    <t>Οικονομικά</t>
  </si>
  <si>
    <t>Datos financieros</t>
  </si>
  <si>
    <t>Taloushallinto</t>
  </si>
  <si>
    <t>Données financières</t>
  </si>
  <si>
    <t>वित्तीय/आर्थिक</t>
  </si>
  <si>
    <t>Keuangan</t>
  </si>
  <si>
    <t>Dati Finanziari</t>
  </si>
  <si>
    <t>נתונים פיננסיים</t>
  </si>
  <si>
    <t>財務情報</t>
  </si>
  <si>
    <t>재무</t>
  </si>
  <si>
    <t>Kewangan</t>
  </si>
  <si>
    <t>Finanse</t>
  </si>
  <si>
    <t>Financeiros</t>
  </si>
  <si>
    <t>Finanțe</t>
  </si>
  <si>
    <t>Финансовые показатели</t>
  </si>
  <si>
    <t xml:space="preserve">Finančné </t>
  </si>
  <si>
    <t>Finančniki</t>
  </si>
  <si>
    <t>Finansijski podaci</t>
  </si>
  <si>
    <t>Finanser</t>
  </si>
  <si>
    <t>การเงิน</t>
  </si>
  <si>
    <t>Finansal</t>
  </si>
  <si>
    <t>Công cụ tài chính</t>
  </si>
  <si>
    <t>理财数据</t>
  </si>
  <si>
    <t>tt_settlement_type</t>
  </si>
  <si>
    <t>Settlement Type</t>
  </si>
  <si>
    <t>نوع التسوية</t>
  </si>
  <si>
    <t>Вид сетълмент</t>
  </si>
  <si>
    <t>Typ vypořádání</t>
  </si>
  <si>
    <t>Afviklingstype</t>
  </si>
  <si>
    <t>Settlement-Typ</t>
  </si>
  <si>
    <t>Τύπος διακανονισμού</t>
  </si>
  <si>
    <t>Tipo de liquidación</t>
  </si>
  <si>
    <t>Toimitustyyppi</t>
  </si>
  <si>
    <t>Type de paiement</t>
  </si>
  <si>
    <t>निपटान के प्रकार</t>
  </si>
  <si>
    <t>Jenis Penyelesaian</t>
  </si>
  <si>
    <t>Tipo di Regolamento</t>
  </si>
  <si>
    <t>סוג הסדר סליקה</t>
  </si>
  <si>
    <t>清算タイプ</t>
  </si>
  <si>
    <t>결산 유형</t>
  </si>
  <si>
    <t>Oppgjørstype</t>
  </si>
  <si>
    <t>Typ rozliczenia</t>
  </si>
  <si>
    <t>Tipo de liquidação</t>
  </si>
  <si>
    <t>Tip de Decontare</t>
  </si>
  <si>
    <t>Вид расчёта</t>
  </si>
  <si>
    <t>Typ vyrovnania</t>
  </si>
  <si>
    <t>Vrsta nastavitva</t>
  </si>
  <si>
    <t>Tip saldiranja</t>
  </si>
  <si>
    <t>Förlikningstyp</t>
  </si>
  <si>
    <t>ประเภทที่ใช้ชำระ</t>
  </si>
  <si>
    <t>Uzlaşma Türü</t>
  </si>
  <si>
    <t>Kiểu thỏa thuận</t>
  </si>
  <si>
    <t>结算类型</t>
  </si>
  <si>
    <t>tt_symbol_ticker</t>
  </si>
  <si>
    <t>Simbolo</t>
  </si>
  <si>
    <t>טיקר</t>
  </si>
  <si>
    <t>テロップ</t>
  </si>
  <si>
    <t>交易代码</t>
  </si>
  <si>
    <t>&gt;Ticker</t>
  </si>
  <si>
    <t>tt_contract_specification</t>
  </si>
  <si>
    <t>Contract Specification</t>
  </si>
  <si>
    <t>مواصفات العقد</t>
  </si>
  <si>
    <t>Спецификации на договора</t>
  </si>
  <si>
    <t>Specifikace smlouvy</t>
  </si>
  <si>
    <t>Kontraktspecifikation</t>
  </si>
  <si>
    <t>Kontraktspezifikation</t>
  </si>
  <si>
    <t>Προδιαγραφή σύμβασης</t>
  </si>
  <si>
    <t>Especificaciones del contrato</t>
  </si>
  <si>
    <t>Sopimuksen erittely</t>
  </si>
  <si>
    <t>Spécifications du contrat</t>
  </si>
  <si>
    <t>संविदा की विशिष्टता</t>
  </si>
  <si>
    <t>Kontraktus specifikáció</t>
  </si>
  <si>
    <t>Spesifikasi Kontrak</t>
  </si>
  <si>
    <t>Specificazione del Contratto</t>
  </si>
  <si>
    <t>מפרט חוזה</t>
  </si>
  <si>
    <t>取引条件</t>
  </si>
  <si>
    <t>계약 사양</t>
  </si>
  <si>
    <t>Contractspecificatie</t>
  </si>
  <si>
    <t>Kontraktspesifikasjon</t>
  </si>
  <si>
    <t>Specyfikacja kontraktu</t>
  </si>
  <si>
    <t>Especificação do contrato</t>
  </si>
  <si>
    <t>Specificația Contractului</t>
  </si>
  <si>
    <t>Спецификация контракта</t>
  </si>
  <si>
    <t>Špecifikácia zmluvy</t>
  </si>
  <si>
    <t>Specifikacija pogodbe</t>
  </si>
  <si>
    <t>Specifikacija ugovora</t>
  </si>
  <si>
    <t>ข้อกำหนดของสัญญา</t>
  </si>
  <si>
    <t>Sözleşme Açıklaması</t>
  </si>
  <si>
    <t>Thông số kỹ thuật hợp đồng</t>
  </si>
  <si>
    <t>合约细则</t>
  </si>
  <si>
    <t>hungary</t>
  </si>
  <si>
    <t>Hungary</t>
  </si>
  <si>
    <t>Ungarn</t>
  </si>
  <si>
    <t>Hungría</t>
  </si>
  <si>
    <t>Hongrie</t>
  </si>
  <si>
    <t>Magyarország</t>
  </si>
  <si>
    <t>Венгрия</t>
  </si>
  <si>
    <t>Mađarska</t>
  </si>
  <si>
    <t>indices_txt</t>
  </si>
  <si>
    <t>Indices</t>
  </si>
  <si>
    <t>المؤشرات</t>
  </si>
  <si>
    <t>Индекси</t>
  </si>
  <si>
    <t>Indexy</t>
  </si>
  <si>
    <t>Indizes</t>
  </si>
  <si>
    <t>Δείκτες</t>
  </si>
  <si>
    <t>Índices</t>
  </si>
  <si>
    <t>Indeksit</t>
  </si>
  <si>
    <t>les indices</t>
  </si>
  <si>
    <t>Indexek</t>
  </si>
  <si>
    <t>Indici</t>
  </si>
  <si>
    <t>מדדים</t>
  </si>
  <si>
    <t>Indekser</t>
  </si>
  <si>
    <t>Indeksy</t>
  </si>
  <si>
    <t>Индексы</t>
  </si>
  <si>
    <t>Endeksler</t>
  </si>
  <si>
    <t>font_size</t>
  </si>
  <si>
    <t>حجم الخط</t>
  </si>
  <si>
    <t>Velikost písma</t>
  </si>
  <si>
    <t>Skriftstørrelse</t>
  </si>
  <si>
    <t>Μέγεθος γραμματοσειράς</t>
  </si>
  <si>
    <t>Fonttikoko</t>
  </si>
  <si>
    <t>la police d\'écriture</t>
  </si>
  <si>
    <t>फ़ॉन्ट का आकार</t>
  </si>
  <si>
    <t>Ukuran huruf</t>
  </si>
  <si>
    <t>Dimensione del font</t>
  </si>
  <si>
    <t>גודל גופן</t>
  </si>
  <si>
    <t>フォントサイズ</t>
  </si>
  <si>
    <t>글자 크기</t>
  </si>
  <si>
    <t>Saiz Fon</t>
  </si>
  <si>
    <t>Lettertypegrootte</t>
  </si>
  <si>
    <t>Rozmiar czcionki</t>
  </si>
  <si>
    <t>Tamanho da fonte</t>
  </si>
  <si>
    <t>Dimensiune Font</t>
  </si>
  <si>
    <t>Veľkosť písma</t>
  </si>
  <si>
    <t>Velikost fonta</t>
  </si>
  <si>
    <t>Veličina Fonta</t>
  </si>
  <si>
    <t>Textstorlek</t>
  </si>
  <si>
    <t>ขนาดตัวอักษร</t>
  </si>
  <si>
    <t>Yazı Boyutu</t>
  </si>
  <si>
    <t>Cỡ chữ</t>
  </si>
  <si>
    <t>字体大小</t>
  </si>
  <si>
    <t>tt_password_signup_description</t>
  </si>
  <si>
    <t>Password (min. 7 characters)</t>
  </si>
  <si>
    <t>كلمة المرور (على الأقل 7 أحرف)</t>
  </si>
  <si>
    <t>Парола (мин. 7 знака)</t>
  </si>
  <si>
    <t>Heslo (min. 7 znaků)</t>
  </si>
  <si>
    <t>Adgangskode (mindst 7 tegn)</t>
  </si>
  <si>
    <t>Passwort</t>
  </si>
  <si>
    <t>Κωδικός πρόσβασης (τουλάχιστον 7 χαρακτήρες)</t>
  </si>
  <si>
    <t>Contraseña (min. 7 caracteres)</t>
  </si>
  <si>
    <t>Salasana (vähintään 7 merkkiä)</t>
  </si>
  <si>
    <t>Mot de passe (minimum 7 caractères)</t>
  </si>
  <si>
    <t>पासवर्ड (न्यूनतम 7 कैरेक्टर)</t>
  </si>
  <si>
    <t>Jelszó (min. 7 karakter)</t>
  </si>
  <si>
    <t>Kata sandi (minimal 7 karakter)</t>
  </si>
  <si>
    <t>La Password (minimo 7 caratteri).</t>
  </si>
  <si>
    <t>סיסמה (7 תווים לפחות)</t>
  </si>
  <si>
    <t>ﾊﾟｽﾜｰﾄﾞ（最低7文字）</t>
  </si>
  <si>
    <t>비밀번호(최소 7자리)</t>
  </si>
  <si>
    <t>Kata Laluan (minima 7 aksara)</t>
  </si>
  <si>
    <t>Password (minimaal 7 karakters)</t>
  </si>
  <si>
    <t>Passord (minst 7 tegn)</t>
  </si>
  <si>
    <t>Hasło (min. 7 znaków)</t>
  </si>
  <si>
    <t>Senha (mínimo de 7 caracteres)</t>
  </si>
  <si>
    <t>Parolă (min. 7 caractere)</t>
  </si>
  <si>
    <t>Пароль (мин. 7 символов)</t>
  </si>
  <si>
    <t>Heslo (min. 7 znakov)</t>
  </si>
  <si>
    <t>Geslo (najmanj 7 znakov)</t>
  </si>
  <si>
    <t>(min. 7 karaktera)</t>
  </si>
  <si>
    <t>Lösenord (min. 7 tecken)</t>
  </si>
  <si>
    <t>รหัสผ่าน (อย่างน้อย 7 ตัวอักษร)</t>
  </si>
  <si>
    <t>Şifre (min. 7 karakter)</t>
  </si>
  <si>
    <t>Mật khẩu (tối thiểu 7 ký tự)</t>
  </si>
  <si>
    <t>密码（最少７个数字或英文字母）</t>
  </si>
  <si>
    <t>&gt;密碼（最少７個數字或英文字母）</t>
  </si>
  <si>
    <t>conference_shutdown</t>
  </si>
  <si>
    <t>The group chat was shut down</t>
  </si>
  <si>
    <t>تم إغلاق مجموعة المحادثة</t>
  </si>
  <si>
    <t>Груповия разговор приключи</t>
  </si>
  <si>
    <t>S\'ha tancat el xat de grup</t>
  </si>
  <si>
    <t>Gruppenchat wurde geschlossen</t>
  </si>
  <si>
    <t>La conversación en grupo ha sido cerrada</t>
  </si>
  <si>
    <t>La discussion de groupe a été interrompue</t>
  </si>
  <si>
    <t>A conversa en grupo foi apagada</t>
  </si>
  <si>
    <t>A konferencia le lett állítva</t>
  </si>
  <si>
    <t>La chat di gruppo è stata chiusa</t>
  </si>
  <si>
    <t>このグループチャットは閉鎖されました</t>
  </si>
  <si>
    <t>Het groepsgesprek is uitgeschakeld</t>
  </si>
  <si>
    <t>Konferencja została zamknięta</t>
  </si>
  <si>
    <t>Конференция была остановлена</t>
  </si>
  <si>
    <t>Групно ћаскање је угашено</t>
  </si>
  <si>
    <t>tt_ask_time</t>
  </si>
  <si>
    <t>Ask time</t>
  </si>
  <si>
    <t>طلب الوقت</t>
  </si>
  <si>
    <t>Момент на продажба</t>
  </si>
  <si>
    <t>Čas poptávky</t>
  </si>
  <si>
    <t>Spørg om tid</t>
  </si>
  <si>
    <t>Ask Uhrzeit</t>
  </si>
  <si>
    <t>Χρόνος ζήτησης</t>
  </si>
  <si>
    <t>Kysy aikaa</t>
  </si>
  <si>
    <t>समय के बारे में पूछें</t>
  </si>
  <si>
    <t>Tanya waktu</t>
  </si>
  <si>
    <t>Ask Tempo</t>
  </si>
  <si>
    <t>זמן קנייה</t>
  </si>
  <si>
    <t>購入時刻</t>
  </si>
  <si>
    <t>매도가격 시간</t>
  </si>
  <si>
    <t>Tanya masa</t>
  </si>
  <si>
    <t>Verkooptijd</t>
  </si>
  <si>
    <t>Etterspørselstid</t>
  </si>
  <si>
    <t>Czas Ask</t>
  </si>
  <si>
    <t>Cere timp</t>
  </si>
  <si>
    <t>Время запроса</t>
  </si>
  <si>
    <t>Opýtajte sa na čas</t>
  </si>
  <si>
    <t>Vprašajte za čas</t>
  </si>
  <si>
    <t>Fråga, tid</t>
  </si>
  <si>
    <t>เวลาเสนอขาย</t>
  </si>
  <si>
    <t>Soru Saati</t>
  </si>
  <si>
    <t>Thời gian bán</t>
  </si>
  <si>
    <t>卖出时间</t>
  </si>
  <si>
    <t>&gt;賣出時間</t>
  </si>
  <si>
    <t>solomon_islands</t>
  </si>
  <si>
    <t>Solomon Islands</t>
  </si>
  <si>
    <t>Solomon Inseln</t>
  </si>
  <si>
    <t>Islas Salomón</t>
  </si>
  <si>
    <t>Les îles Salomon</t>
  </si>
  <si>
    <t>Соломоновы Острова</t>
  </si>
  <si>
    <t>Solomonska ostrva</t>
  </si>
  <si>
    <t>tt_fundprofile_biggestpositions</t>
  </si>
  <si>
    <t>Largest positions</t>
  </si>
  <si>
    <t>المراكز المالية الأكبر</t>
  </si>
  <si>
    <t>Най-големи позиции</t>
  </si>
  <si>
    <t>Největší pozice</t>
  </si>
  <si>
    <t>Største positioner</t>
  </si>
  <si>
    <t>Größte Positionen</t>
  </si>
  <si>
    <t>Μεγαλύτερες θέσεις</t>
  </si>
  <si>
    <t>Las posiciones mayores</t>
  </si>
  <si>
    <t>Suurimmat positiot</t>
  </si>
  <si>
    <t>Positions les plus importantes</t>
  </si>
  <si>
    <t>विशालतम अवस्थिति</t>
  </si>
  <si>
    <t>Legnagyobb pozíciók</t>
  </si>
  <si>
    <t>Kedudukan terbesar</t>
  </si>
  <si>
    <t>Maggiori posizioni</t>
  </si>
  <si>
    <t>הפוזיציות הגדולות ביותר</t>
  </si>
  <si>
    <t>最大ポジション</t>
  </si>
  <si>
    <t>최대 포지션</t>
  </si>
  <si>
    <t>Grootste posities</t>
  </si>
  <si>
    <t>Største posisjone</t>
  </si>
  <si>
    <t>Największe aktywa</t>
  </si>
  <si>
    <t>Maiores posições</t>
  </si>
  <si>
    <t>Cele mai ample poziții</t>
  </si>
  <si>
    <t>Ведущие позиции</t>
  </si>
  <si>
    <t>Najväčšie pozície</t>
  </si>
  <si>
    <t>Največji položaji</t>
  </si>
  <si>
    <t>Najveće pozicije</t>
  </si>
  <si>
    <t>Största positioner</t>
  </si>
  <si>
    <t>ตำแหน่งใหญ่ที่สุด</t>
  </si>
  <si>
    <t>En büyük konumlar</t>
  </si>
  <si>
    <t>Vị trí lớn nhất</t>
  </si>
  <si>
    <t>最大部位</t>
  </si>
  <si>
    <t>&gt;最大部位</t>
  </si>
  <si>
    <t>tt_bid_ask</t>
  </si>
  <si>
    <t>Bid / Ask</t>
  </si>
  <si>
    <t>عطاء/طلب</t>
  </si>
  <si>
    <t>Купува / Продава</t>
  </si>
  <si>
    <t>Nabídka / poptávka</t>
  </si>
  <si>
    <t>Byd / Spørg</t>
  </si>
  <si>
    <t>Geld / Brief</t>
  </si>
  <si>
    <t>Προσφορά / Ζήτηση</t>
  </si>
  <si>
    <t>Bid/ Ask</t>
  </si>
  <si>
    <t>Tarjoa/pyydä</t>
  </si>
  <si>
    <t>Achat/Vente</t>
  </si>
  <si>
    <t>बोली /पूछें</t>
  </si>
  <si>
    <t>Vétel/Eladás</t>
  </si>
  <si>
    <t>Tawaran / Permintaan</t>
  </si>
  <si>
    <t>הצעה / בקשה</t>
  </si>
  <si>
    <t>売/買</t>
  </si>
  <si>
    <t>매수가격 / 매도가격</t>
  </si>
  <si>
    <t>Bieding / Offer</t>
  </si>
  <si>
    <t>Bud / etterspørsel</t>
  </si>
  <si>
    <t>Bid/ Perguntar</t>
  </si>
  <si>
    <t>Oferă / Cere</t>
  </si>
  <si>
    <t>Курс продавца/Курс покупателя</t>
  </si>
  <si>
    <t>Cenová ponuka / Požiadajte</t>
  </si>
  <si>
    <t>Ponudba / Vprašaj</t>
  </si>
  <si>
    <t>Bjud / fråga</t>
  </si>
  <si>
    <t>ประมูล / เสนอขาย</t>
  </si>
  <si>
    <t>Teklif ver / Sor</t>
  </si>
  <si>
    <t>Mua/Bán</t>
  </si>
  <si>
    <t>买入/卖出</t>
  </si>
  <si>
    <t>&gt;買入/賣出</t>
  </si>
  <si>
    <t>pref_sound_summary</t>
  </si>
  <si>
    <t>Play sound when a new message arrives</t>
  </si>
  <si>
    <t>أصدر صوتاً حال ما تصل رسالة جديدة</t>
  </si>
  <si>
    <t>Изпълнение на звук при получаване на ново съобщение</t>
  </si>
  <si>
    <t>Reprodueix un so quan arribi un missatge nou</t>
  </si>
  <si>
    <t>Benachrichtigungston wiedergeben</t>
  </si>
  <si>
    <t>Reproduce tono con la notificación</t>
  </si>
  <si>
    <t>Jouer un son lors de la réception d\'un message</t>
  </si>
  <si>
    <t>Emitir son cando chegue unha nova mensaxe</t>
  </si>
  <si>
    <t>Hangeffekt lejátszása új üzenet érkezésekor</t>
  </si>
  <si>
    <t>Deringkan ketika pesan masuk</t>
  </si>
  <si>
    <t>Esegui un suono quando arriva un nuovo messaggio</t>
  </si>
  <si>
    <t>新しいメッセージが届いたときにサウンドを再生します</t>
  </si>
  <si>
    <t>새 메세지 도착시 알림음 재생</t>
  </si>
  <si>
    <t>Geluid afspelen wanneer een nieuw bericht ontvangen wordt</t>
  </si>
  <si>
    <t>Odtwórz dźwięk gdy nadejdzie wiadomość</t>
  </si>
  <si>
    <t>Tocar som quando uma nova mensagem for recebida</t>
  </si>
  <si>
    <t>Звук при поступлении новых сообщений</t>
  </si>
  <si>
    <t>Пуштање звука кад стигне нова порука</t>
  </si>
  <si>
    <t>Spela ljud när meddelande tagits emot</t>
  </si>
  <si>
    <t>Грати звук, коли надходить нове повідомлення</t>
  </si>
  <si>
    <t>Chơi nhạc báo khi có tin nhắn mới</t>
  </si>
  <si>
    <t>收到新訊息時響鈴</t>
  </si>
  <si>
    <t>tt_iosbridge_createnewuser_mail_subject</t>
  </si>
  <si>
    <t>baha iPhone App – Your Registration</t>
  </si>
  <si>
    <t>تطبيق TeleTrader لهاتف آيفون - التسجيل</t>
  </si>
  <si>
    <t>TeleTrader iPhone App - Вашата регистрация</t>
  </si>
  <si>
    <t>Aplikace pro TeleTrader pro iPhone - Vaše registrace</t>
  </si>
  <si>
    <t>TeleTrader iPhone-app - Din registrering</t>
  </si>
  <si>
    <t>baha iPhone App – Ihre Registrierung</t>
  </si>
  <si>
    <t>Εφαρμογή TeleTrader για iPhone - Η εγγραφή σας</t>
  </si>
  <si>
    <t>baha iPhone App – Su registro</t>
  </si>
  <si>
    <t>TeleTrader iPhone App - rekisteröinti</t>
  </si>
  <si>
    <t>TeleTrader iPhone App – Votre inscription</t>
  </si>
  <si>
    <t>टेलीट्रेडर आई फोन ऐप - आपका पंजीकरण</t>
  </si>
  <si>
    <t>TeleTrader iPhone App – Az Ön regisztrációja</t>
  </si>
  <si>
    <t>Aplikasi iPhone TeleTrader - Pendaftaran anda</t>
  </si>
  <si>
    <t>TeleTrader iPhone App – Tua Registrazione</t>
  </si>
  <si>
    <t>אפליקציית TeleTrader iPhone - ההרשמה שלך</t>
  </si>
  <si>
    <t>TeleTrader iPhone App – Your Registration</t>
  </si>
  <si>
    <t>TeleTrader 아이폰 앱 - 가입</t>
  </si>
  <si>
    <t>Teletrader Iphone App – Uw registratie</t>
  </si>
  <si>
    <t>TeleTrader iPhone-app – din registrering</t>
  </si>
  <si>
    <t>TeleTrader iPhone App - Twoja Rejestracja</t>
  </si>
  <si>
    <t>TeleTrader iPhone App – O seu registro</t>
  </si>
  <si>
    <t>Aplicația iPhone TeleTrader - Înregistrarea Ta</t>
  </si>
  <si>
    <t>Приложение Tele Trader для Iphone – Ваша регистрация</t>
  </si>
  <si>
    <t>Aplikácia TeleTrader pre iPhone - Vaša registrácia</t>
  </si>
  <si>
    <t>TeleTrader iPhone App - Vaša registracija</t>
  </si>
  <si>
    <t>TeleTrader iPhone App – Vaša registracija</t>
  </si>
  <si>
    <t>TeleTrader iPhone-app - din registrering</t>
  </si>
  <si>
    <t>แอป TeleTrader สำหรับ iPhone - การลงทะเบียนของคุณ</t>
  </si>
  <si>
    <t>TeleTrader iPhone Uygulgulaması – Kaydınız</t>
  </si>
  <si>
    <t>Ứng dụng TeleTrader iPhone - Đăng ký của bạn</t>
  </si>
  <si>
    <t>登记TeleTrader iPhone App</t>
  </si>
  <si>
    <t>&gt;登記TeleTrader iPhone App</t>
  </si>
  <si>
    <t>search_countries</t>
  </si>
  <si>
    <t>Search countries</t>
  </si>
  <si>
    <t>Търсене на държави</t>
  </si>
  <si>
    <t>Land suchen</t>
  </si>
  <si>
    <t>Buscar países</t>
  </si>
  <si>
    <t>Recherche de pays</t>
  </si>
  <si>
    <t>Országok keresése</t>
  </si>
  <si>
    <t>Cerca nazioni</t>
  </si>
  <si>
    <t>Landen doorzoeken</t>
  </si>
  <si>
    <t>Przeszukaj kraje</t>
  </si>
  <si>
    <t>tt_daterange_small_1year</t>
  </si>
  <si>
    <t>1Y</t>
  </si>
  <si>
    <t>1 г.</t>
  </si>
  <si>
    <t>1R</t>
  </si>
  <si>
    <t>1Υ</t>
  </si>
  <si>
    <t>1A</t>
  </si>
  <si>
    <t>1V</t>
  </si>
  <si>
    <t>1वर्ष</t>
  </si>
  <si>
    <t>1ÉV</t>
  </si>
  <si>
    <t>1Å</t>
  </si>
  <si>
    <t>1Г</t>
  </si>
  <si>
    <t>1G</t>
  </si>
  <si>
    <t>copy_to_clipboard</t>
  </si>
  <si>
    <t>Copy to clipboard</t>
  </si>
  <si>
    <t>النسخ إلى الحافظة</t>
  </si>
  <si>
    <t>Копиране в буфера</t>
  </si>
  <si>
    <t>Copiar al portapapers</t>
  </si>
  <si>
    <t>In die Zwischenablage kopieren</t>
  </si>
  <si>
    <t>Copiar al portapapeles</t>
  </si>
  <si>
    <t>Copier dans le presse-papier</t>
  </si>
  <si>
    <t>Copiar ao portapapeis</t>
  </si>
  <si>
    <t>Másolja a vágólapra</t>
  </si>
  <si>
    <t>Copia negli appunti</t>
  </si>
  <si>
    <t>クリップボードにコピー</t>
  </si>
  <si>
    <t>Kopiëren naar klembord</t>
  </si>
  <si>
    <t>Skopiuj do schowka</t>
  </si>
  <si>
    <t>Скопировать в буфер обмена</t>
  </si>
  <si>
    <t>Копирај на клипборд</t>
  </si>
  <si>
    <t>remote_server_not_found</t>
  </si>
  <si>
    <t>Remote server not found</t>
  </si>
  <si>
    <t>لم يتم العثور على السيرفر البعدي</t>
  </si>
  <si>
    <t>Отдалеченият сървър не е намерен</t>
  </si>
  <si>
    <t>El servidor remot no s\'ha trobat</t>
  </si>
  <si>
    <t>Remote-Server nicht gefunden</t>
  </si>
  <si>
    <t>Serveur distant non trouvé</t>
  </si>
  <si>
    <t>Non se atopa o servidor remoto</t>
  </si>
  <si>
    <t>A távoli szerver nem található</t>
  </si>
  <si>
    <t>Server remoto non trovato</t>
  </si>
  <si>
    <t>リモートサーバーが見つかりません</t>
  </si>
  <si>
    <t>원격 서버 찾을 수 없음</t>
  </si>
  <si>
    <t>Externe server niet gevonden</t>
  </si>
  <si>
    <t>Nie znaleziono serwera</t>
  </si>
  <si>
    <t>Servidor remoto não encontrado</t>
  </si>
  <si>
    <t>Удалённый сервер не найден</t>
  </si>
  <si>
    <t>Удаљени сервер није нађен</t>
  </si>
  <si>
    <t>Fjärrserver hittas inte</t>
  </si>
  <si>
    <t>Віддалений сервер не знайдено</t>
  </si>
  <si>
    <t>找不到遠端伺服器</t>
  </si>
  <si>
    <t>user_status_hours_offline</t>
  </si>
  <si>
    <t>\u0020hours offline</t>
  </si>
  <si>
    <t>stunden offline</t>
  </si>
  <si>
    <t>horas offline</t>
  </si>
  <si>
    <t>heures hors ligne</t>
  </si>
  <si>
    <t>órák óta offline</t>
  </si>
  <si>
    <t>часов оффлайн</t>
  </si>
  <si>
    <t>sati oflajn</t>
  </si>
  <si>
    <t>pref_away_when_screen_off</t>
  </si>
  <si>
    <t>Away when screen is off</t>
  </si>
  <si>
    <t>غائب عند إطفاء الشاشة</t>
  </si>
  <si>
    <t>Отсъстващ, когато екранът е изключен</t>
  </si>
  <si>
    <t>Fora quan la pantalla està apagada</t>
  </si>
  <si>
    <t>Abwesend bei abgeschaltetem Bildschirm</t>
  </si>
  <si>
    <t>Ausente con pantalla apagada</t>
  </si>
  <si>
    <t>Absent quand l\'écran est éteint</t>
  </si>
  <si>
    <t>Non dispoñible cando se apaga a pantalla</t>
  </si>
  <si>
    <t>\"Távol\" állapot lezárt telefonnál</t>
  </si>
  <si>
    <t>\"Non disponibile\" a schermo spento</t>
  </si>
  <si>
    <t>画面がオフのときは離席</t>
  </si>
  <si>
    <t>화면이 꺼져있을 경우 자리 비움으로 표시</t>
  </si>
  <si>
    <t>Even weg wanneer scherm uit staat</t>
  </si>
  <si>
    <t>Status \"Oddalony\" gdy wyświetlacz jest wyłączony</t>
  </si>
  <si>
    <t>Ausente quando o ecrã está desligado</t>
  </si>
  <si>
    <t>Вышел когда экран выключен</t>
  </si>
  <si>
    <t>Одсутан кад је екран искључен</t>
  </si>
  <si>
    <t>Status borta när skärmen är av</t>
  </si>
  <si>
    <t>Відійшов, якщо екран викнуто</t>
  </si>
  <si>
    <t>Vắng mặt khi màn hình tắt</t>
  </si>
  <si>
    <t>關閉螢幕時離開</t>
  </si>
  <si>
    <t>range_popup_text</t>
  </si>
  <si>
    <t>Change date range</t>
  </si>
  <si>
    <t>تغيير نطاق التاريخ</t>
  </si>
  <si>
    <t>Промяна на периода от време</t>
  </si>
  <si>
    <t>Změnit datový rozsah</t>
  </si>
  <si>
    <t>Skift datointerval</t>
  </si>
  <si>
    <t>Zeitintervall wechseln.</t>
  </si>
  <si>
    <t>Αλλαγή εύρους ημερομηνιών</t>
  </si>
  <si>
    <t>Cambiar intervalo de fechas</t>
  </si>
  <si>
    <t>Vaihda ajanjaksoa</t>
  </si>
  <si>
    <t>Changez les incréments de temps.</t>
  </si>
  <si>
    <t>तिथि सीमा को बदलें</t>
  </si>
  <si>
    <t>Válasszon időtávot</t>
  </si>
  <si>
    <t>Tukar rentang tanggal</t>
  </si>
  <si>
    <t>Modifica l\'intervallo di date</t>
  </si>
  <si>
    <t>שנה את טווח התאריכים</t>
  </si>
  <si>
    <t>日付範囲を変更する</t>
  </si>
  <si>
    <t>날짜 범위 변경</t>
  </si>
  <si>
    <t>Tukar julat tarikh</t>
  </si>
  <si>
    <t>Wijzig het datumbereik</t>
  </si>
  <si>
    <t>Endre datointervall</t>
  </si>
  <si>
    <t>Zmień przedział czasowy</t>
  </si>
  <si>
    <t>Mudar intervalo de datas</t>
  </si>
  <si>
    <t>Modifică intervalul de date</t>
  </si>
  <si>
    <t>Изменить временные рамки</t>
  </si>
  <si>
    <t>Zmeniť rozsah dátumov</t>
  </si>
  <si>
    <t>Spremenite časovno obdobje</t>
  </si>
  <si>
    <t>Izaberi vremenske intervale.</t>
  </si>
  <si>
    <t>Ändra datumintervall</t>
  </si>
  <si>
    <t>เปลี่ยนช่วงวันที่</t>
  </si>
  <si>
    <t>Tarih aralığını değiştir</t>
  </si>
  <si>
    <t>Thay đổi phạm vi ngày</t>
  </si>
  <si>
    <t>更改日期范围</t>
  </si>
  <si>
    <t>tt_load_template</t>
  </si>
  <si>
    <t>تحميل القالب</t>
  </si>
  <si>
    <t>Lade</t>
  </si>
  <si>
    <t>Télécharger</t>
  </si>
  <si>
    <t>Betöltése</t>
  </si>
  <si>
    <t>Muat Template</t>
  </si>
  <si>
    <t>Scarica Modello</t>
  </si>
  <si>
    <t>保存したテンプレートの読込</t>
  </si>
  <si>
    <t>템플릿 불러오기</t>
  </si>
  <si>
    <t>Muatkan Templat</t>
  </si>
  <si>
    <t>Laad</t>
  </si>
  <si>
    <t>Wczytaj</t>
  </si>
  <si>
    <t>Загрузить</t>
  </si>
  <si>
    <t>加载模板</t>
  </si>
  <si>
    <t>&gt;加載模板</t>
  </si>
  <si>
    <t>tt_ind_williams_percent_r_short</t>
  </si>
  <si>
    <t>Williams Percent R</t>
  </si>
  <si>
    <t>نطاق نسبة ويليامز</t>
  </si>
  <si>
    <t>Процентът на Уилямс (Williams \'% R)</t>
  </si>
  <si>
    <t>Procentní poměr Williams</t>
  </si>
  <si>
    <t>Williams Procent R</t>
  </si>
  <si>
    <t>Williams Percent R.</t>
  </si>
  <si>
    <t>Williams %R</t>
  </si>
  <si>
    <t>विलियम्स प्रतिशत आर</t>
  </si>
  <si>
    <t>אחוז וויליאמס R</t>
  </si>
  <si>
    <t>ウィリアム％R</t>
  </si>
  <si>
    <t>윌리엄 퍼센트 레인지</t>
  </si>
  <si>
    <t>Williams prosent R</t>
  </si>
  <si>
    <t xml:space="preserve">Procentul R Williams </t>
  </si>
  <si>
    <t>Процентный диапазон Уильямса</t>
  </si>
  <si>
    <t>Williams % R</t>
  </si>
  <si>
    <t>威廉指标（%R）</t>
  </si>
  <si>
    <t>&gt;威廉指標(%R)</t>
  </si>
  <si>
    <t>netherlands</t>
  </si>
  <si>
    <t>Netherlands</t>
  </si>
  <si>
    <t>Niederlande</t>
  </si>
  <si>
    <t>Paises Bajos</t>
  </si>
  <si>
    <t>Pays-Bas</t>
  </si>
  <si>
    <t>Нидерланды</t>
  </si>
  <si>
    <t>Holandija</t>
  </si>
  <si>
    <t>botswana</t>
  </si>
  <si>
    <t>Botswana</t>
  </si>
  <si>
    <t>Botsuana</t>
  </si>
  <si>
    <t>Ботсвана</t>
  </si>
  <si>
    <t>Bocvana</t>
  </si>
  <si>
    <t>tt_edgar_dividend_yield</t>
  </si>
  <si>
    <t>Div. Yield (TTM)</t>
  </si>
  <si>
    <t>العائد الربحي (أثني عشر شهرًا متتاليًا)</t>
  </si>
  <si>
    <t>Доход от дивидент (TTM)</t>
  </si>
  <si>
    <t>Div. Výnos (TTM)</t>
  </si>
  <si>
    <t>Div. Udbytte (TTM)</t>
  </si>
  <si>
    <t>Div.Rend. (TTM)</t>
  </si>
  <si>
    <t>Διχ. Απόδοση (TTM)</t>
  </si>
  <si>
    <t>Rentabilidad por div.(1Año)</t>
  </si>
  <si>
    <t>Div. tuotto (TTM)</t>
  </si>
  <si>
    <t>डिव. यील्ड (टीटीएम)</t>
  </si>
  <si>
    <t>Hasil Div. (TTM)</t>
  </si>
  <si>
    <t>Rendimento del div (TTM)</t>
  </si>
  <si>
    <t>תשואה מדיווידנד (12 חודשים אחרונים)</t>
  </si>
  <si>
    <t>配当利回り（TTM)</t>
  </si>
  <si>
    <t>배당수익성(TTM)</t>
  </si>
  <si>
    <t>Dividendrendement (TTM)</t>
  </si>
  <si>
    <t>Div. avkastning (TTM)</t>
  </si>
  <si>
    <t>Stopa dywidendy (12M)</t>
  </si>
  <si>
    <t>Rendimento div (TTM)</t>
  </si>
  <si>
    <t>Randament Div. (TTM)</t>
  </si>
  <si>
    <t>Дивидендный доход (12М)</t>
  </si>
  <si>
    <t>Výnos z dividend (TTM)</t>
  </si>
  <si>
    <t>Div. Donos (TTM)</t>
  </si>
  <si>
    <t>Divid. prinos (TTM)</t>
  </si>
  <si>
    <t>Div. Avkastning (TTM)</t>
  </si>
  <si>
    <t>เงินปันผล (TTM)</t>
  </si>
  <si>
    <t>Temettü verimi (12 ay)</t>
  </si>
  <si>
    <t>Lợi nhuận cổ tức (TTM)</t>
  </si>
  <si>
    <t>股息率（TTM）</t>
  </si>
  <si>
    <t>pref_use_share_location_plugin_summary</t>
  </si>
  <si>
    <t>Use the Share Location Plugin instead of the build in map</t>
  </si>
  <si>
    <t>Използване на разширението за споделяне на местоположението вместо вградената карта</t>
  </si>
  <si>
    <t>Utilitzi el plugin Compartir ubicació en lloc d\'incorporar el mapa</t>
  </si>
  <si>
    <t>Verwende das Plugin zum Standort teilen anstelle der eingebauten Karte</t>
  </si>
  <si>
    <t>Usar el Plugin externo para Compartir Ubicación en lugar del propio de la aplicación.</t>
  </si>
  <si>
    <t>Utiliser le plugin \"Share Location\" plutôt que la carte intégrée</t>
  </si>
  <si>
    <t>Utilice o Engadido para Compartir Localización en lugar do mapa incluído</t>
  </si>
  <si>
    <t>Használja a Helymegosztás bővítményt a beépített térkép helyett</t>
  </si>
  <si>
    <t>Usa il Plugin Condivisione Posizione al posto della mappa integrata</t>
  </si>
  <si>
    <t>Gebruik de ‘Plug-in voor delen van locatie’ in plaats van de ingebouwde kaart</t>
  </si>
  <si>
    <t>Użyj Wtyczki Udostępniania Lokalizacji zamiast wbudowanej mapy</t>
  </si>
  <si>
    <t>tt_confirm_password_signup</t>
  </si>
  <si>
    <t>Confirm Password</t>
  </si>
  <si>
    <t>تأكيد كلمة المرور</t>
  </si>
  <si>
    <t>Потвърди парола</t>
  </si>
  <si>
    <t>Potvrďte heslo</t>
  </si>
  <si>
    <t>Bekræft kodeord</t>
  </si>
  <si>
    <t>Passwort bestätigen</t>
  </si>
  <si>
    <t>Επιβεβαίωση Κωδικού</t>
  </si>
  <si>
    <t>Confirmar contraseña</t>
  </si>
  <si>
    <t>Vahvista salasana</t>
  </si>
  <si>
    <t>Confirmez votre mot de passe</t>
  </si>
  <si>
    <t>पासवर्ड की पुष्टि करें</t>
  </si>
  <si>
    <t>Jelszó megerősítése</t>
  </si>
  <si>
    <t>konfirmasi kata sandi</t>
  </si>
  <si>
    <t>Confirma Password</t>
  </si>
  <si>
    <t>אשר סיסמה</t>
  </si>
  <si>
    <t>ﾊﾟｽﾜｰﾄﾞ確認</t>
  </si>
  <si>
    <t>비밀번호 확인</t>
  </si>
  <si>
    <t>Sahkan Kata Laluan</t>
  </si>
  <si>
    <t>Bevestig password</t>
  </si>
  <si>
    <t>Bekreft passord</t>
  </si>
  <si>
    <t>Potwierdź hasło</t>
  </si>
  <si>
    <t>Confirmar senha</t>
  </si>
  <si>
    <t>Confirmă Parola</t>
  </si>
  <si>
    <t>Подтвердить пароль</t>
  </si>
  <si>
    <t>Potvrdiť heslo</t>
  </si>
  <si>
    <t>potrdite geslo</t>
  </si>
  <si>
    <t>Potvrda lozinke</t>
  </si>
  <si>
    <t>Bekräfta lösenord</t>
  </si>
  <si>
    <t>ยืนยันรหัสผ่าน</t>
  </si>
  <si>
    <t>Şifreyi Onayla</t>
  </si>
  <si>
    <t>Xác nhận mật khẩu</t>
  </si>
  <si>
    <t>确认密码</t>
  </si>
  <si>
    <t>&gt;確認密碼</t>
  </si>
  <si>
    <t>tt_edit_portfolios</t>
  </si>
  <si>
    <t>Edit Virt. Portfolios</t>
  </si>
  <si>
    <t>تحرير المحافظ الافتراضية</t>
  </si>
  <si>
    <t>Редактиране на Virt. Портфолиа</t>
  </si>
  <si>
    <t>Upravit Virt. Portfolia</t>
  </si>
  <si>
    <t>Rediger Virt. Porteføljer</t>
  </si>
  <si>
    <t>Musterdepots bearbeiten</t>
  </si>
  <si>
    <t>Επεξεργασία Virt. Χαρτοφυλάκια</t>
  </si>
  <si>
    <t>Editar carteras virt.</t>
  </si>
  <si>
    <t>Muokkaa virt. Salkut</t>
  </si>
  <si>
    <t>Editer les portefeuilles virtuels</t>
  </si>
  <si>
    <t>वर्ट. को एडिट करें पोर्टफोलियो</t>
  </si>
  <si>
    <t>Virtuális portfóliók szerkesztése</t>
  </si>
  <si>
    <t>Edit Portfolio Maya</t>
  </si>
  <si>
    <t>Modifica Portafogli Virtuali</t>
  </si>
  <si>
    <t>ערוך Virt. תיקי השקעות</t>
  </si>
  <si>
    <t>ポートフォリオを編集（複数）</t>
  </si>
  <si>
    <t>가상 포트폴리오 편집</t>
  </si>
  <si>
    <t>Sunting Portfolio Maya</t>
  </si>
  <si>
    <t>Wijzig virtuele portefeuilles</t>
  </si>
  <si>
    <t>Rediger virt. Porteføljer</t>
  </si>
  <si>
    <t>Edytuj wirt. portfele</t>
  </si>
  <si>
    <t>Editar carteiras virtuais</t>
  </si>
  <si>
    <t>Editează Virt. Portofolii</t>
  </si>
  <si>
    <t>Редактировать виртуальные портфели</t>
  </si>
  <si>
    <t>Upraviť virt. portfóliá</t>
  </si>
  <si>
    <t>Uredite Virt. Portfelji</t>
  </si>
  <si>
    <t>Uredi Virt. Portfolije</t>
  </si>
  <si>
    <t>Redigera Virt. Portföljer</t>
  </si>
  <si>
    <t>แก้ไข พอร์ตจำลอง</t>
  </si>
  <si>
    <t>Sanal Portfolyoları Düzenle</t>
  </si>
  <si>
    <t>Chỉnh sửa DM ảo Danh mục đầu tư</t>
  </si>
  <si>
    <t>编辑虚拟投资组合</t>
  </si>
  <si>
    <t>&gt;編輯虛擬投資組合</t>
  </si>
  <si>
    <t>register_account</t>
  </si>
  <si>
    <t>Register new account on server</t>
  </si>
  <si>
    <t>تسجيل حساب جديد في سيرفر</t>
  </si>
  <si>
    <t>Регистриране на нов профил на сървъра</t>
  </si>
  <si>
    <t>Registra un compte nou al servidor</t>
  </si>
  <si>
    <t>Neues Konto auf Server erstellen</t>
  </si>
  <si>
    <t>Registrar nueva cuenta en servidor</t>
  </si>
  <si>
    <t>Créer un nouveau compte sur le serveur</t>
  </si>
  <si>
    <t>Rexistrar nova conta no servidor</t>
  </si>
  <si>
    <t>Új fiók létrehozása a szerveren</t>
  </si>
  <si>
    <t>Daftarkan akun baru di server</t>
  </si>
  <si>
    <t>Registra un nuovo account sul server</t>
  </si>
  <si>
    <t>サーバーに新しいアカウントを登録</t>
  </si>
  <si>
    <t>서버에서 새 계정을 등록</t>
  </si>
  <si>
    <t>Nieuwe account op server registreren</t>
  </si>
  <si>
    <t>Zarejestruj nowe konto na serwerze</t>
  </si>
  <si>
    <t>Registe uma nova conta no servidor</t>
  </si>
  <si>
    <t>Создать новый аккаунт на сервере</t>
  </si>
  <si>
    <t>Registrovať nový účet na serveri</t>
  </si>
  <si>
    <t>Региструј нови налог на серверу</t>
  </si>
  <si>
    <t>Registrera nytt konto på servern</t>
  </si>
  <si>
    <t>Зареєструвати новий обліковий запис на сервері</t>
  </si>
  <si>
    <t>Đăng ký tài khoản mới trên máy chủ</t>
  </si>
  <si>
    <t>在伺服器上註冊新帳戶</t>
  </si>
  <si>
    <t>password_changed</t>
  </si>
  <si>
    <t>Password changed!</t>
  </si>
  <si>
    <t>تم تغيير كلمة السر!</t>
  </si>
  <si>
    <t>Паролата е променена!</t>
  </si>
  <si>
    <t>Contrasenya canviada</t>
  </si>
  <si>
    <t>Passwort geändert.</t>
  </si>
  <si>
    <t>¡Contraseña cambiada!</t>
  </si>
  <si>
    <t>Mot de passe modifié !</t>
  </si>
  <si>
    <t>Mudou o contrasinal!</t>
  </si>
  <si>
    <t>Jelszó megváltozott!</t>
  </si>
  <si>
    <t>Password diganti!</t>
  </si>
  <si>
    <t>Password cambiata!</t>
  </si>
  <si>
    <t>パスワードを変更しました!</t>
  </si>
  <si>
    <t>암호 변경됨</t>
  </si>
  <si>
    <t>Wachtwoord gewijzigd!</t>
  </si>
  <si>
    <t>Hasło zostało zmienione!</t>
  </si>
  <si>
    <t>Palavra-passe alterada!</t>
  </si>
  <si>
    <t>Пароль изменён!</t>
  </si>
  <si>
    <t>Heslo zmenené!</t>
  </si>
  <si>
    <t>Лозинка промењена!</t>
  </si>
  <si>
    <t>Lösenord bytt!</t>
  </si>
  <si>
    <t>Пароль змінено!</t>
  </si>
  <si>
    <t>Đã đổi mật khẩu!</t>
  </si>
  <si>
    <t>密碼已修改！</t>
  </si>
  <si>
    <t>tt_formatting_billionnumber</t>
  </si>
  <si>
    <t>%0.1f Bil.</t>
  </si>
  <si>
    <t>%0.1f مليار</t>
  </si>
  <si>
    <t>%0.1f Млрд.</t>
  </si>
  <si>
    <t>%0.1f Mrd.</t>
  </si>
  <si>
    <t>%0.1 f bill.</t>
  </si>
  <si>
    <t>%0.1f bil.</t>
  </si>
  <si>
    <t>Mrd</t>
  </si>
  <si>
    <t>%0.1f अरब।</t>
  </si>
  <si>
    <t>%0.1f mrd.</t>
  </si>
  <si>
    <t>%0.1f bill.</t>
  </si>
  <si>
    <t>%0.1f Fakt.</t>
  </si>
  <si>
    <t>% 0.1f mld.</t>
  </si>
  <si>
    <t>%0.1f Bilhão</t>
  </si>
  <si>
    <t>%0.1f Mld.</t>
  </si>
  <si>
    <t>%0.1 млрд</t>
  </si>
  <si>
    <t>%0.1f Bilancia</t>
  </si>
  <si>
    <t>%0.1f พันล้าน</t>
  </si>
  <si>
    <t>%0.1f Milyar</t>
  </si>
  <si>
    <t>%0.1f Tỷ</t>
  </si>
  <si>
    <t>%0.1f十亿</t>
  </si>
  <si>
    <t>&gt;%0.1f 十億</t>
  </si>
  <si>
    <t>unable_to_parse_certificate</t>
  </si>
  <si>
    <t>Unable to parse certificate</t>
  </si>
  <si>
    <t>Неуспешно прочитане на сертификата</t>
  </si>
  <si>
    <t>No es pot analitzar el certificat</t>
  </si>
  <si>
    <t>Zertifikat kann nicht gelesen werden</t>
  </si>
  <si>
    <t>No se ha podido leer el certificado</t>
  </si>
  <si>
    <t>Impossible d\'analyser le certificat</t>
  </si>
  <si>
    <t>Non se puido procesar o certificado</t>
  </si>
  <si>
    <t>A tanúsítvány nem értelmezhető</t>
  </si>
  <si>
    <t>Impossibile analizzare il certificato</t>
  </si>
  <si>
    <t>証明書を解析できません</t>
  </si>
  <si>
    <t>인증서를 분석할 수 없음</t>
  </si>
  <si>
    <t>Kan certificaat niet verwerken</t>
  </si>
  <si>
    <t>Nie mogę odczytać certyfikatu</t>
  </si>
  <si>
    <t>Não foi possível processar o certificado</t>
  </si>
  <si>
    <t>Невозможно разобрать сертификат</t>
  </si>
  <si>
    <t>Neschopný analyzovať certifikát</t>
  </si>
  <si>
    <t>Не могу да рашчланим сертификат</t>
  </si>
  <si>
    <t>Kan inte läsa certifikat</t>
  </si>
  <si>
    <t>Не можу розпізнати сертифікат</t>
  </si>
  <si>
    <t>Không thể phân tích chứng nhận</t>
  </si>
  <si>
    <t>無法解析證書</t>
  </si>
  <si>
    <t>tt_type</t>
  </si>
  <si>
    <t>Type</t>
  </si>
  <si>
    <t>النوع</t>
  </si>
  <si>
    <t>Тип</t>
  </si>
  <si>
    <t>Typ</t>
  </si>
  <si>
    <t>Τύπος</t>
  </si>
  <si>
    <t>Tipo</t>
  </si>
  <si>
    <t>Tyyppi</t>
  </si>
  <si>
    <t>प्रकार</t>
  </si>
  <si>
    <t>Típus</t>
  </si>
  <si>
    <t>Jenis</t>
  </si>
  <si>
    <t>סוג</t>
  </si>
  <si>
    <t>タイプ</t>
  </si>
  <si>
    <t>유형</t>
  </si>
  <si>
    <t>Tip</t>
  </si>
  <si>
    <t>Vtipkajte</t>
  </si>
  <si>
    <t>ประเภท</t>
  </si>
  <si>
    <t>Tür</t>
  </si>
  <si>
    <t>Kiểu</t>
  </si>
  <si>
    <t>类型</t>
  </si>
  <si>
    <t>account_settings_example_jabber_id</t>
  </si>
  <si>
    <t>username@baha.com</t>
  </si>
  <si>
    <t>username@teletrader.com</t>
  </si>
  <si>
    <t>benutzer@domain.de</t>
  </si>
  <si>
    <t>usuario@ejemplo.com</t>
  </si>
  <si>
    <t>nom@exemple.com</t>
  </si>
  <si>
    <t>usuaria@exemplo.com</t>
  </si>
  <si>
    <t>felhasznalo@peldaoldal.com</t>
  </si>
  <si>
    <t>utente@esempio.com</t>
  </si>
  <si>
    <t>gebruikersnaam@voorbeeld.nl</t>
  </si>
  <si>
    <t>nomedeutilizador@exemplo.com</t>
  </si>
  <si>
    <t>meno@priklad.com</t>
  </si>
  <si>
    <t>korisnickoime@primer.com</t>
  </si>
  <si>
    <t>användarnamn@exempel.se</t>
  </si>
  <si>
    <t>tt_industry</t>
  </si>
  <si>
    <t>Industry</t>
  </si>
  <si>
    <t>الصناعة</t>
  </si>
  <si>
    <t>Индустрия</t>
  </si>
  <si>
    <t>Průmysl</t>
  </si>
  <si>
    <t>Industri</t>
  </si>
  <si>
    <t>Industrie</t>
  </si>
  <si>
    <t>Βιομηχανία</t>
  </si>
  <si>
    <t>Industria</t>
  </si>
  <si>
    <t>Ala</t>
  </si>
  <si>
    <t>उद्योग</t>
  </si>
  <si>
    <t>Ipar</t>
  </si>
  <si>
    <t>industria</t>
  </si>
  <si>
    <t>תעשיה</t>
  </si>
  <si>
    <t>業界</t>
  </si>
  <si>
    <t>산업</t>
  </si>
  <si>
    <t>Branża</t>
  </si>
  <si>
    <t>Indústria</t>
  </si>
  <si>
    <t>Отрасль промышленности</t>
  </si>
  <si>
    <t>Priemysel</t>
  </si>
  <si>
    <t>Industrija</t>
  </si>
  <si>
    <t>อุตสาหกรรม</t>
  </si>
  <si>
    <t>Sanayi</t>
  </si>
  <si>
    <t>Ngành</t>
  </si>
  <si>
    <t>行业</t>
  </si>
  <si>
    <t>&gt;行業</t>
  </si>
  <si>
    <t>hostname_example</t>
  </si>
  <si>
    <t>chat.ttweb.net</t>
  </si>
  <si>
    <t>xmpp.teletrader.com</t>
  </si>
  <si>
    <t>xmpp.domain.de</t>
  </si>
  <si>
    <t>xmpp.ejemplo.com</t>
  </si>
  <si>
    <t>xmpp.exemplo.com</t>
  </si>
  <si>
    <t>xmpp.esempio.it</t>
  </si>
  <si>
    <t>xmpp.voorbeeld.be</t>
  </si>
  <si>
    <t>xmpp.primer.com</t>
  </si>
  <si>
    <t>tt_userdata</t>
  </si>
  <si>
    <t>User data</t>
  </si>
  <si>
    <t>بيانات المستخدم</t>
  </si>
  <si>
    <t>Потребителски данни</t>
  </si>
  <si>
    <t>Uživatelská data</t>
  </si>
  <si>
    <t>Brugerdata</t>
  </si>
  <si>
    <t>Benutzerdaten</t>
  </si>
  <si>
    <t>Δεδομένα χρήστη</t>
  </si>
  <si>
    <t>Datos de usuario</t>
  </si>
  <si>
    <t>Käyttäjätiedot</t>
  </si>
  <si>
    <t>Informations utilisateur</t>
  </si>
  <si>
    <t>प्रयोक्ता का डेटा</t>
  </si>
  <si>
    <t>Felhasználói adatok</t>
  </si>
  <si>
    <t>Data pemakai</t>
  </si>
  <si>
    <t>Dati del utente</t>
  </si>
  <si>
    <t>נתוני משתמש</t>
  </si>
  <si>
    <t>ユーザー情報</t>
  </si>
  <si>
    <t>사용자 데이터</t>
  </si>
  <si>
    <t>Data pengguna</t>
  </si>
  <si>
    <t>Gebruikersgegevens</t>
  </si>
  <si>
    <t>Brukerdata</t>
  </si>
  <si>
    <t>Dane użytkownika</t>
  </si>
  <si>
    <t>Dados do usuário</t>
  </si>
  <si>
    <t>Datele utilizatorului</t>
  </si>
  <si>
    <t>Данные пользователя</t>
  </si>
  <si>
    <t>Údaje o používateľovi</t>
  </si>
  <si>
    <t>Uporabniški podatki</t>
  </si>
  <si>
    <t>Korisnički podaci</t>
  </si>
  <si>
    <t>Användardata</t>
  </si>
  <si>
    <t>ข้อมูลผู้ใช้</t>
  </si>
  <si>
    <t>Kullanıcı bilgileri</t>
  </si>
  <si>
    <t>Dữ liệu người dùng</t>
  </si>
  <si>
    <t>用户资料</t>
  </si>
  <si>
    <t>&gt;用戶資料</t>
  </si>
  <si>
    <t>tt_edgar_ebit_margin</t>
  </si>
  <si>
    <t>Ebit Margin (TTM)</t>
  </si>
  <si>
    <t>الأرباح قبل الفوائد والضرائب (اثني عشر شهرًا متتاليًا)</t>
  </si>
  <si>
    <t>Ebit марж (TTM)</t>
  </si>
  <si>
    <t>Marže Ebit (TTM)</t>
  </si>
  <si>
    <t>EBIT-marginen (TTM)</t>
  </si>
  <si>
    <t>Ebit Marge (TTM)</t>
  </si>
  <si>
    <t>EBIT (1Año)</t>
  </si>
  <si>
    <t>Ebit-marginaali (TTM)</t>
  </si>
  <si>
    <t>Marge EBIT (TTM)</t>
  </si>
  <si>
    <t>एबिट मार्जिन (टीटीएम)</t>
  </si>
  <si>
    <t>Batas Ebit (TTM)</t>
  </si>
  <si>
    <t>Margine EBIT</t>
  </si>
  <si>
    <t>שיעור רווח תפעולי להכנסות (12 חודשים אחרונים)</t>
  </si>
  <si>
    <t>Ebitマージン(TTM)</t>
  </si>
  <si>
    <t>ebit 영업이익(TTM)</t>
  </si>
  <si>
    <t>Ebit margin (TTM)</t>
  </si>
  <si>
    <t>Marża EBIT (12M)</t>
  </si>
  <si>
    <t>Margem Ebit (MTT)</t>
  </si>
  <si>
    <t>Marja Ebit (TTM)</t>
  </si>
  <si>
    <t>Маржа прибыли до уплаты процентов и налогов (12М)</t>
  </si>
  <si>
    <t>Ebitna marža (TTM)</t>
  </si>
  <si>
    <t>Dobit pre oporezivanja i kamata (TTM)</t>
  </si>
  <si>
    <t>Ebit Marginal (TTM)</t>
  </si>
  <si>
    <t>กำไรก่อนดอกเบี้ยและภาษี (TTM)</t>
  </si>
  <si>
    <t>FVÖK marjı (12 ay)</t>
  </si>
  <si>
    <t>Ký quỹ Ebit (TTM)</t>
  </si>
  <si>
    <t>息税前利润率（TTM）</t>
  </si>
  <si>
    <t>title_activity_start_conversation</t>
  </si>
  <si>
    <t>ابدأ محادثة</t>
  </si>
  <si>
    <t>Започване на разговор</t>
  </si>
  <si>
    <t>Comença una conversa</t>
  </si>
  <si>
    <t>Unterhaltung beginnen</t>
  </si>
  <si>
    <t>Nueva Conversación</t>
  </si>
  <si>
    <t>Démarrer une conversation</t>
  </si>
  <si>
    <t>Iniciar conversa</t>
  </si>
  <si>
    <t>Beszélgessünk!</t>
  </si>
  <si>
    <t>Mulai Percakapan</t>
  </si>
  <si>
    <t>Inizia una conversazione</t>
  </si>
  <si>
    <t>会話の開始</t>
  </si>
  <si>
    <t>대화 시작</t>
  </si>
  <si>
    <t>Gesprek starten</t>
  </si>
  <si>
    <t>Rozpocznij konwersację</t>
  </si>
  <si>
    <t>Начать беседу</t>
  </si>
  <si>
    <t>Začať konverzáciu</t>
  </si>
  <si>
    <t>Почни преписку</t>
  </si>
  <si>
    <t>Starta konversation</t>
  </si>
  <si>
    <t>Почати розмову</t>
  </si>
  <si>
    <t>Khởi chạy Conversation</t>
  </si>
  <si>
    <t>開始會話</t>
  </si>
  <si>
    <t>tt_edgar_price_cash_flow_ratio</t>
  </si>
  <si>
    <t>P/CF (TTM)</t>
  </si>
  <si>
    <t>السعر/التدفق المالي (اثني عشر شهرًا متتاليًا)</t>
  </si>
  <si>
    <t>KCFV (TTM)</t>
  </si>
  <si>
    <t>Precio/CF ratio (1Año)</t>
  </si>
  <si>
    <t>पी/सीएफ (टीटीएम)</t>
  </si>
  <si>
    <t>מחיר לתזרים מזומנים (12 חודשים אחרונים)</t>
  </si>
  <si>
    <t>P/CF(TTM)</t>
  </si>
  <si>
    <t>C/CF (12M)</t>
  </si>
  <si>
    <t>P/CF (MTT)</t>
  </si>
  <si>
    <t>Ц/ДП (12М)</t>
  </si>
  <si>
    <t>Trz. Cena/Tok gotov. (TTM)</t>
  </si>
  <si>
    <t>อัตราส่วนราคาหุ้น/กระแสเงินสด</t>
  </si>
  <si>
    <t>F/NA (12 aylık)</t>
  </si>
  <si>
    <t>Giá/Dòng tiền (TTM)</t>
  </si>
  <si>
    <t>价格/现金流比率（TTM）</t>
  </si>
  <si>
    <t>block_domain_text</t>
  </si>
  <si>
    <t>Block all contacts from %s?</t>
  </si>
  <si>
    <t>هل تريد حجب جميع جهات الإتصال من %s?</t>
  </si>
  <si>
    <t>Блокиране на всички контакти от %s?</t>
  </si>
  <si>
    <t>Voleu bloquejar tots els contactes de %s?</t>
  </si>
  <si>
    <t>Alle Kontakte von %s sperren?</t>
  </si>
  <si>
    <t>¿Bloquear todos los contactos de %s?</t>
  </si>
  <si>
    <t>Bloquer tous les contacts de %s ?</t>
  </si>
  <si>
    <t>Bloquear todos os contactos desde 1%s?</t>
  </si>
  <si>
    <t>%s minden névjegyét tiltja?</t>
  </si>
  <si>
    <t>Blokir semua kontak dari %s?</t>
  </si>
  <si>
    <t>Bloccare tutti i contatti da %s?</t>
  </si>
  <si>
    <t>%s からの連絡をすべてブロックしますか?</t>
  </si>
  <si>
    <t>%s 의 모든 연락처를 차단할까요?</t>
  </si>
  <si>
    <t>Alle contacten van %s blokkeren?</t>
  </si>
  <si>
    <t>Zablokować wszystkie kontakty z %s?</t>
  </si>
  <si>
    <t>Bloquear todos os contactos de %s?</t>
  </si>
  <si>
    <t>Заблокировать всех пользователей домена %s?</t>
  </si>
  <si>
    <t>Zablokovať všetky kontakty od %s?</t>
  </si>
  <si>
    <t>Блокирати све контакте од %s?</t>
  </si>
  <si>
    <t>Blockera alla kontakter från %s?</t>
  </si>
  <si>
    <t>Tüm temasları %s \'ten engelleyin?</t>
  </si>
  <si>
    <t>Заблокувати всі контакти з %s?</t>
  </si>
  <si>
    <t>Chặn tất cả liên hệ từ %s?</t>
  </si>
  <si>
    <t>要封鎖來自 %s 的所有連絡人嗎？</t>
  </si>
  <si>
    <t>tt_screener_pb_ratio</t>
  </si>
  <si>
    <t>MRQ Price/Book Ratio (US)</t>
  </si>
  <si>
    <t>نسبة السعر/القيمة الدفترية للربع الأخير (الولايات المتحدة)</t>
  </si>
  <si>
    <t>MRQ коефициент P/B (САЩ)</t>
  </si>
  <si>
    <t>Poměr cena MRQ / kniha (US)</t>
  </si>
  <si>
    <t>MRQ-pris/bogforhold (USA)</t>
  </si>
  <si>
    <t>Kurs/Buchwertverhältnis (US) - Letztes Quartal</t>
  </si>
  <si>
    <t>Αναλογία τιμής/κλεισίματος MRQ (ΗΠΑ)</t>
  </si>
  <si>
    <t>Ratio precio-valor contable del último trimestre (US)</t>
  </si>
  <si>
    <t>MRQ P/B-luku (Yhdysvallat)</t>
  </si>
  <si>
    <t>एमआरक्यू मूल्य/बुक अनुपात (यूएस)</t>
  </si>
  <si>
    <t>MRQ Price/Book ráta (US)</t>
  </si>
  <si>
    <t>Rasio Harga/Buku MRQ (AS)</t>
  </si>
  <si>
    <t>MRQ Prezzo/Libro Rapporto (US)</t>
  </si>
  <si>
    <t>MRQ יחס מחיר/הון עצמי (ארה"ב)</t>
  </si>
  <si>
    <t>MRQ株価純資産倍率</t>
  </si>
  <si>
    <t>MRQ 주가순자산비율(US)</t>
  </si>
  <si>
    <t>Nisbah Harga/Buku MRQ (AS)</t>
  </si>
  <si>
    <t>MRQ Prijs / Boekratio (VS)</t>
  </si>
  <si>
    <t>MRQ-pris/bokningsgrad (USA)</t>
  </si>
  <si>
    <t>Wskaźnik Cena/Wartość Księgowa za ostatni kwartał (US)</t>
  </si>
  <si>
    <t>Rácio preço/livro MRQ (US)</t>
  </si>
  <si>
    <t>Raportul Preț/Carte MRQ (SUA)</t>
  </si>
  <si>
    <t>Коэффициент цена/балансовая стоимость за последний квартал (США)</t>
  </si>
  <si>
    <t>Pomer ceny/účtovnej knihy za posledný štvrťrok (USA)</t>
  </si>
  <si>
    <t>MRQ razmerje med ceno in knjigo (ZDA)</t>
  </si>
  <si>
    <t>MRQ-pris/bokförhållande (USA)</t>
  </si>
  <si>
    <t>อัตราราคาหุ้นต่อมูลค่าหุ้นทางบัญชี (US)</t>
  </si>
  <si>
    <t>MRQ Fiyat/Defter Oranı (ABD)</t>
  </si>
  <si>
    <t>Giá MRQ/Hệ số giá ghi sổ (Mỹ)</t>
  </si>
  <si>
    <t>MRQ 市净率（美元）</t>
  </si>
  <si>
    <t>pref_security_settings</t>
  </si>
  <si>
    <t>Security</t>
  </si>
  <si>
    <t>الأمان</t>
  </si>
  <si>
    <t>Сигурност</t>
  </si>
  <si>
    <t>Seguretat</t>
  </si>
  <si>
    <t>Sicherheit</t>
  </si>
  <si>
    <t>Seguridad</t>
  </si>
  <si>
    <t>Sécurité</t>
  </si>
  <si>
    <t>Seguridade</t>
  </si>
  <si>
    <t>Biztonság</t>
  </si>
  <si>
    <t>Sicurezza</t>
  </si>
  <si>
    <t>セキュリティ</t>
  </si>
  <si>
    <t>보안</t>
  </si>
  <si>
    <t>Beveiliging</t>
  </si>
  <si>
    <t>Bezpieczeństwo</t>
  </si>
  <si>
    <t>Segurança</t>
  </si>
  <si>
    <t>Безопасность</t>
  </si>
  <si>
    <t>Безбедност</t>
  </si>
  <si>
    <t>Säkerhet</t>
  </si>
  <si>
    <t>Безпека</t>
  </si>
  <si>
    <t>安全</t>
  </si>
  <si>
    <t>grenada</t>
  </si>
  <si>
    <t>Grenada</t>
  </si>
  <si>
    <t>Grenade</t>
  </si>
  <si>
    <t>Гренада</t>
  </si>
  <si>
    <t>tt_ask_number</t>
  </si>
  <si>
    <t>Ask Nr.</t>
  </si>
  <si>
    <t>طلب الرقم</t>
  </si>
  <si>
    <t>Продажба №</t>
  </si>
  <si>
    <t>Číslo poptávky</t>
  </si>
  <si>
    <t>Spørg Nr.</t>
  </si>
  <si>
    <t>Kysy nro.</t>
  </si>
  <si>
    <t>Nr से पूछें।</t>
  </si>
  <si>
    <t>Eladás db</t>
  </si>
  <si>
    <t>Tanya Nr.</t>
  </si>
  <si>
    <t>Lettera Num.</t>
  </si>
  <si>
    <t>בקש מספר</t>
  </si>
  <si>
    <t>買い値</t>
  </si>
  <si>
    <t>매도가격 숫자</t>
  </si>
  <si>
    <t>Offer nr.</t>
  </si>
  <si>
    <t>Etterspørselsnr.</t>
  </si>
  <si>
    <t>Wol. Sprzedaży</t>
  </si>
  <si>
    <t>Número ask</t>
  </si>
  <si>
    <t>Cere Nr.</t>
  </si>
  <si>
    <t>Цена предложения</t>
  </si>
  <si>
    <t>Otázka č.</t>
  </si>
  <si>
    <t>Vprašajte št.</t>
  </si>
  <si>
    <t>Fråga Nr.</t>
  </si>
  <si>
    <t>การเสนอขาย</t>
  </si>
  <si>
    <t>Soru No.</t>
  </si>
  <si>
    <t>Số giao dịch bán</t>
  </si>
  <si>
    <t>卖出号码</t>
  </si>
  <si>
    <t>&gt;賣出號碼</t>
  </si>
  <si>
    <t>namibia</t>
  </si>
  <si>
    <t>Namibia</t>
  </si>
  <si>
    <t>Namibie</t>
  </si>
  <si>
    <t>Намибия</t>
  </si>
  <si>
    <t>Namibija</t>
  </si>
  <si>
    <t>promoted_content</t>
  </si>
  <si>
    <t>Promoted content</t>
  </si>
  <si>
    <t>Promoveret indhold</t>
  </si>
  <si>
    <t>Contenido promocionado</t>
  </si>
  <si>
    <t>Mainostettu sisältö</t>
  </si>
  <si>
    <t>Contenu sponsorisé</t>
  </si>
  <si>
    <t>Támogatott tartalom</t>
  </si>
  <si>
    <t>Promosikan konten</t>
  </si>
  <si>
    <t>Contenuto promosso</t>
  </si>
  <si>
    <t>プロモートされたコンテンツ</t>
  </si>
  <si>
    <t>Kandungan dipromosi</t>
  </si>
  <si>
    <t>Gesponsorde inhoud</t>
  </si>
  <si>
    <t>Promotert innhold</t>
  </si>
  <si>
    <t>Promowana treść</t>
  </si>
  <si>
    <t>Conteúdo promovido</t>
  </si>
  <si>
    <t>Marknadsfört innehåll</t>
  </si>
  <si>
    <t>Tanıtılan içerik</t>
  </si>
  <si>
    <t>推广内容</t>
  </si>
  <si>
    <t>enter_logname</t>
  </si>
  <si>
    <t>Enter your user name</t>
  </si>
  <si>
    <t>أدخل اسم المستخدم الخاص بك</t>
  </si>
  <si>
    <t>Въведете потребителското си име</t>
  </si>
  <si>
    <t>Zadejte své uživatelské jméno</t>
  </si>
  <si>
    <t>Skriv dit brugernavn</t>
  </si>
  <si>
    <t>Geben Sie Ihren Benutzernamen ein</t>
  </si>
  <si>
    <t>Εισαγάγετε το όνομα χρήστη σας</t>
  </si>
  <si>
    <t>Introduzca su nombre de usuario</t>
  </si>
  <si>
    <t>Syötä käyttäjänimesi</t>
  </si>
  <si>
    <t>Entrez votre nom d\'utilisateur ici</t>
  </si>
  <si>
    <t>अपना प्रयोक्ता नाम दर्ज करें</t>
  </si>
  <si>
    <t>Adja meg felhasználó nevét</t>
  </si>
  <si>
    <t>Masukkan nama pengguna anda</t>
  </si>
  <si>
    <t>Inserisci il tuo user name</t>
  </si>
  <si>
    <t>הכנס שם משתמש</t>
  </si>
  <si>
    <t>ユーザー名を入力して下さい</t>
  </si>
  <si>
    <t>사용자 이름 입력</t>
  </si>
  <si>
    <t>Vul uw gebruikersnaam in</t>
  </si>
  <si>
    <t>Oppgi brukernavnet ditt</t>
  </si>
  <si>
    <t>Wprowadź nazwę użytkownika</t>
  </si>
  <si>
    <t>Entre o seu nome de utilizador</t>
  </si>
  <si>
    <t>Introdu numele tău de utilizator</t>
  </si>
  <si>
    <t>Введите имя пользователя</t>
  </si>
  <si>
    <t>Zadajte vaše používateľské meno</t>
  </si>
  <si>
    <t>Vnesite svoje uporabniško ime</t>
  </si>
  <si>
    <t>Unesite korisničko ime</t>
  </si>
  <si>
    <t>Ange ditt användarnamn</t>
  </si>
  <si>
    <t>ป้อนชื่อผู้ใช้</t>
  </si>
  <si>
    <t>Kullanıcı adınızı giriniz</t>
  </si>
  <si>
    <t>Nhập tên người dùng của bạn</t>
  </si>
  <si>
    <t>输入您的用户名称</t>
  </si>
  <si>
    <t>openkeychain_required_long</t>
  </si>
  <si>
    <t>Conversations utilizes a third party app called</t>
  </si>
  <si>
    <t>Conversations :: يستخدم تطبيق آخر يسمى</t>
  </si>
  <si>
    <t>Conversations използва външно приложение с име</t>
  </si>
  <si>
    <t>El Conversations utilitza una aplicació de tercers anomenada</t>
  </si>
  <si>
    <t>Conversations benutzt eine Drittanwendung namens</t>
  </si>
  <si>
    <t>Conversations utiliza una aplicación de terceros llamada</t>
  </si>
  <si>
    <t>Conversations requiert une application tierce nommée</t>
  </si>
  <si>
    <t>Conversations emprega unha aplicación de terceiros chamada</t>
  </si>
  <si>
    <t>A Conversations egy harmadik fél által biztosított alkalmazást használ:</t>
  </si>
  <si>
    <t>Conversations menggunakan app pihak ke-3 bernama</t>
  </si>
  <si>
    <t>Conversations usa una app di terze parti chiamata</t>
  </si>
  <si>
    <t>Conversations は</t>
  </si>
  <si>
    <t>Conversations는 메세지를 암호화 및 복호화하고 공개 키를 관리하기 위해 OpenKeychain이라는 제 3자 앱을 활용합니다. OpenKeychain은 GPLv3 라이센스를 사용하며 F-Droid와 Google Play에서 구하실 수 있습니다. (이후 Conversations를 재시작하세요)</t>
  </si>
  <si>
    <t>Conversations gebruikt een derde partij app genaamd</t>
  </si>
  <si>
    <t>Conversations używa zewnętrznej aplikacji</t>
  </si>
  <si>
    <t>Conversations utiliza uma aplicação de terceiros chamada</t>
  </si>
  <si>
    <t>Conversations использует стороннее приложение под названием</t>
  </si>
  <si>
    <t>Conversations využíva aplikáciu tretej strany,</t>
  </si>
  <si>
    <t>Конверзација користи апликацију</t>
  </si>
  <si>
    <t>Conversations använder en tredjeparts-applikation som heter</t>
  </si>
  <si>
    <t>Програма використовує сторонню програму, яка називається</t>
  </si>
  <si>
    <t>Conversations dùng ứng dụng bên thứ ba gọi là</t>
  </si>
  <si>
    <t>Conversations 使用了協力廠商app &lt;bOpenKeychain&lt;/b 來加密、解密訊息並管理您的金鑰。\n\nOpenKeychain 遵循 GPLv3 並且可以在 F-Droid 和 Google Play 上獲取。\n\n&lt;small（安裝之後請重啟 Conversations）&lt;/small</t>
  </si>
  <si>
    <t>tt_daterange_small_5years</t>
  </si>
  <si>
    <t>5Y</t>
  </si>
  <si>
    <t>5R</t>
  </si>
  <si>
    <t>5J</t>
  </si>
  <si>
    <t>5Υ</t>
  </si>
  <si>
    <t>5A</t>
  </si>
  <si>
    <t>5V</t>
  </si>
  <si>
    <t>5वर्ष</t>
  </si>
  <si>
    <t>5ÉV</t>
  </si>
  <si>
    <t>5T</t>
  </si>
  <si>
    <t>5Å</t>
  </si>
  <si>
    <t>5L</t>
  </si>
  <si>
    <t>5Л</t>
  </si>
  <si>
    <t>5G</t>
  </si>
  <si>
    <t>5N</t>
  </si>
  <si>
    <t>enable_chat_feature</t>
  </si>
  <si>
    <t>To use this feature you have to login to Chat.</t>
  </si>
  <si>
    <t>Um dieses Feature zu verwenden, müssen Sie sich im Chat anmelden.</t>
  </si>
  <si>
    <t>Para usar esta función necesita iniciar sesión en el Chat.</t>
  </si>
  <si>
    <t>Pour utiliser cette fonctionnalité, vous devez vous connecter à Chat.</t>
  </si>
  <si>
    <t>A funkció felhasználásához kérjük lépjen be a Csetbe.</t>
  </si>
  <si>
    <t>Для использования этой функции войдите, чтобы начать чат.</t>
  </si>
  <si>
    <t>Da bi ste koristili ovu uslugu morate se ulogovati na čet.</t>
  </si>
  <si>
    <t>publishing</t>
  </si>
  <si>
    <t>Publishing…</t>
  </si>
  <si>
    <t>نشر ...</t>
  </si>
  <si>
    <t>Публикуване…</t>
  </si>
  <si>
    <t>S\'està publicant...</t>
  </si>
  <si>
    <t>Veröffentliche…</t>
  </si>
  <si>
    <t>Publicando…</t>
  </si>
  <si>
    <t>Mise à jour…</t>
  </si>
  <si>
    <t>Publicando...</t>
  </si>
  <si>
    <t>Közzétesz...</t>
  </si>
  <si>
    <t>Mempublikasi...</t>
  </si>
  <si>
    <t>Pubblicazione…</t>
  </si>
  <si>
    <t>公開中…</t>
  </si>
  <si>
    <t>공개중...</t>
  </si>
  <si>
    <t>Publiceren…</t>
  </si>
  <si>
    <t>Publikowanie...</t>
  </si>
  <si>
    <t>Установка…</t>
  </si>
  <si>
    <t>Zverejňujem…</t>
  </si>
  <si>
    <t>Објављујем…</t>
  </si>
  <si>
    <t>Publicerar…</t>
  </si>
  <si>
    <t>Публікація…</t>
  </si>
  <si>
    <t>Đang đăng...</t>
  </si>
  <si>
    <t>正在發佈…</t>
  </si>
  <si>
    <t>forgot_password</t>
  </si>
  <si>
    <t>Forgot password</t>
  </si>
  <si>
    <t>هل نسيت كلمة المرور؟</t>
  </si>
  <si>
    <t>Забравена парола</t>
  </si>
  <si>
    <t>Zapomenuté heslo</t>
  </si>
  <si>
    <t>Glemt kodeord</t>
  </si>
  <si>
    <t>Ξεχάσατε τον κωδικό</t>
  </si>
  <si>
    <t>¿Ha olvidado su contraseña?</t>
  </si>
  <si>
    <t>Unohtuiko salasana</t>
  </si>
  <si>
    <t>Mot de passe oublié?</t>
  </si>
  <si>
    <t>पासवर्ड भूल गए हैं</t>
  </si>
  <si>
    <t>Elfelejtette a jelszavát?</t>
  </si>
  <si>
    <t>Lupa kata sandi?</t>
  </si>
  <si>
    <t>Dimenticato Password?</t>
  </si>
  <si>
    <t>שכחתי את הסיסמה</t>
  </si>
  <si>
    <t>パスワードをお忘れですか？</t>
  </si>
  <si>
    <t>비밀번호를 잊으셨나요?</t>
  </si>
  <si>
    <t>Lupa kata laluan?</t>
  </si>
  <si>
    <t>wachtwoord vergeten?</t>
  </si>
  <si>
    <t>Glemt passord</t>
  </si>
  <si>
    <t>Zapomniałeś hasła?</t>
  </si>
  <si>
    <t>Esqueceu a palavra-passe?</t>
  </si>
  <si>
    <t>Ai uitat parola</t>
  </si>
  <si>
    <t>Забыли пароль?</t>
  </si>
  <si>
    <t>Zabudli ste heslo</t>
  </si>
  <si>
    <t>Ste pozabili geslo</t>
  </si>
  <si>
    <t>Zaboravljena lozinka?</t>
  </si>
  <si>
    <t>Glömt ditt lösenord</t>
  </si>
  <si>
    <t>ลืมรหัสผ่าน</t>
  </si>
  <si>
    <t>Parolanızı mı unuttunuz?</t>
  </si>
  <si>
    <t>Quên mật khẩu</t>
  </si>
  <si>
    <t>忘记密码？</t>
  </si>
  <si>
    <t>tt_commodities_softs</t>
  </si>
  <si>
    <t>Softs</t>
  </si>
  <si>
    <t>المواد الخفيفة</t>
  </si>
  <si>
    <t>Стоки, добивани от растения</t>
  </si>
  <si>
    <t>Měkké</t>
  </si>
  <si>
    <t>Landwirtschaft</t>
  </si>
  <si>
    <t>Μαλακά</t>
  </si>
  <si>
    <t>Materias primas agrícolas</t>
  </si>
  <si>
    <t>Heikot</t>
  </si>
  <si>
    <t>सॉफ्ट्स</t>
  </si>
  <si>
    <t>Élelmiszer</t>
  </si>
  <si>
    <t>Lembut</t>
  </si>
  <si>
    <t>Prodotti agricoli</t>
  </si>
  <si>
    <t>ソフト</t>
  </si>
  <si>
    <t>소프트</t>
  </si>
  <si>
    <t>Myke råvarer</t>
  </si>
  <si>
    <t>Surowce rolne</t>
  </si>
  <si>
    <t>Perecíveis</t>
  </si>
  <si>
    <t>Softuri</t>
  </si>
  <si>
    <t>Мягкие</t>
  </si>
  <si>
    <t>Nekovové komodity</t>
  </si>
  <si>
    <t>Softs - "meka" berzanska roba</t>
  </si>
  <si>
    <t>ซอฟต์</t>
  </si>
  <si>
    <t>Bitkiler</t>
  </si>
  <si>
    <t>Hàng hóa mềm</t>
  </si>
  <si>
    <t>软商品</t>
  </si>
  <si>
    <t>&gt;軟商品</t>
  </si>
  <si>
    <t>tt_accumulator</t>
  </si>
  <si>
    <t>Acc.</t>
  </si>
  <si>
    <t>Акумулация</t>
  </si>
  <si>
    <t>Ak.</t>
  </si>
  <si>
    <t>Compte</t>
  </si>
  <si>
    <t>Akun</t>
  </si>
  <si>
    <t>אוגר</t>
  </si>
  <si>
    <t>アキュムレーター</t>
  </si>
  <si>
    <t>가속</t>
  </si>
  <si>
    <t>Akaun</t>
  </si>
  <si>
    <t>Akk.</t>
  </si>
  <si>
    <t>Przysp.</t>
  </si>
  <si>
    <t>Acc. (acumulare)</t>
  </si>
  <si>
    <t>Акк.</t>
  </si>
  <si>
    <t>Podľa</t>
  </si>
  <si>
    <t>Acc</t>
  </si>
  <si>
    <t>Toplayıcı</t>
  </si>
  <si>
    <t>累计</t>
  </si>
  <si>
    <t>&gt;累計</t>
  </si>
  <si>
    <t>trending_show_less</t>
  </si>
  <si>
    <t>SHOW LESS</t>
  </si>
  <si>
    <t>اظهار اقل</t>
  </si>
  <si>
    <t>ПОКАЖИ ПО-МАЛКО</t>
  </si>
  <si>
    <t>ZOBRAZIT MÉNĚ</t>
  </si>
  <si>
    <t>VIS MINDRE</t>
  </si>
  <si>
    <t>Weniger anzeigen</t>
  </si>
  <si>
    <t>ΠΡΟΒΟΛΗ ΛΙΓΟΤΕΡΩΝ</t>
  </si>
  <si>
    <t>Mostrar menos</t>
  </si>
  <si>
    <t>NÄYTÄ VÄHEMMÄN</t>
  </si>
  <si>
    <t>AFFICHER MOINS</t>
  </si>
  <si>
    <t>कम दिखाएँ</t>
  </si>
  <si>
    <t>Mutasson kevesebbet</t>
  </si>
  <si>
    <t>TAMPILKAN SEDIKIT</t>
  </si>
  <si>
    <t>MOSTRA DI MENO</t>
  </si>
  <si>
    <t>הצג פחות</t>
  </si>
  <si>
    <t>이것에 관해 덜 보기</t>
  </si>
  <si>
    <t>TUNJUKKAN SEDIKIT</t>
  </si>
  <si>
    <t>Minder weergeven</t>
  </si>
  <si>
    <t>Pokaż mniej</t>
  </si>
  <si>
    <t>MOSTRAR MENOS</t>
  </si>
  <si>
    <t>ARATĂ MAI PUȚIN</t>
  </si>
  <si>
    <t>ПОКАЗАТЬ МЕНЬШЕ</t>
  </si>
  <si>
    <t>ZOBRAZIŤ MENEJ</t>
  </si>
  <si>
    <t>PRIKAŽI MANJ</t>
  </si>
  <si>
    <t>PRIKAŽI MANJE</t>
  </si>
  <si>
    <t>VISA MINDRE</t>
  </si>
  <si>
    <t>ย่อ</t>
  </si>
  <si>
    <t>DAHA AZ GÖSTER</t>
  </si>
  <si>
    <t>HIỆN ÍT HƠN</t>
  </si>
  <si>
    <t>显示更少</t>
  </si>
  <si>
    <t>contact</t>
  </si>
  <si>
    <t>Contact</t>
  </si>
  <si>
    <t>Контакт</t>
  </si>
  <si>
    <t>Contacte</t>
  </si>
  <si>
    <t>Kontakt</t>
  </si>
  <si>
    <t>Contacto</t>
  </si>
  <si>
    <t>Contatto</t>
  </si>
  <si>
    <t>creating_conference</t>
  </si>
  <si>
    <t>Creating group chat…</t>
  </si>
  <si>
    <t>جارٍ إنشاء مجموعة المحادثة ...</t>
  </si>
  <si>
    <t>Създаване на групов разговор…</t>
  </si>
  <si>
    <t>S\'està creant el xat en grup...</t>
  </si>
  <si>
    <t>Erstelle Gruppenchat…</t>
  </si>
  <si>
    <t>Creando conversación en grupo...</t>
  </si>
  <si>
    <t>Création d\'un groupe de discussion...</t>
  </si>
  <si>
    <t>Creando unha conversa en grupo...</t>
  </si>
  <si>
    <t>Konferencia létrehozása ...</t>
  </si>
  <si>
    <t>Creazione chat di gruppo...</t>
  </si>
  <si>
    <t>談話室を作成しています…</t>
  </si>
  <si>
    <t>Groepsgesprek aanmaken…</t>
  </si>
  <si>
    <t>Tworzenie konferencji</t>
  </si>
  <si>
    <t>Criando conversa em grupo...</t>
  </si>
  <si>
    <t>Создание конференции…</t>
  </si>
  <si>
    <t>Правим групно ћаскање…</t>
  </si>
  <si>
    <t>tt_more</t>
  </si>
  <si>
    <t>More</t>
  </si>
  <si>
    <t>أكثر من</t>
  </si>
  <si>
    <t>Повече</t>
  </si>
  <si>
    <t>Více</t>
  </si>
  <si>
    <t>Mere</t>
  </si>
  <si>
    <t>Mehr</t>
  </si>
  <si>
    <t>Περισσότερα</t>
  </si>
  <si>
    <t>Más</t>
  </si>
  <si>
    <t>Lisää</t>
  </si>
  <si>
    <t>Plus</t>
  </si>
  <si>
    <t>और अधिक</t>
  </si>
  <si>
    <t>Több</t>
  </si>
  <si>
    <t>Lagi</t>
  </si>
  <si>
    <t>Più</t>
  </si>
  <si>
    <t>יותר</t>
  </si>
  <si>
    <t>더 보기</t>
  </si>
  <si>
    <t>Meer</t>
  </si>
  <si>
    <t>Mer</t>
  </si>
  <si>
    <t>Więcej</t>
  </si>
  <si>
    <t>Mais</t>
  </si>
  <si>
    <t>Mai Multe</t>
  </si>
  <si>
    <t>Еще</t>
  </si>
  <si>
    <t>Viac</t>
  </si>
  <si>
    <t>Več</t>
  </si>
  <si>
    <t>Još</t>
  </si>
  <si>
    <t>เพิ่มเติม</t>
  </si>
  <si>
    <t>Daha fazla</t>
  </si>
  <si>
    <t>Nhiều hơn</t>
  </si>
  <si>
    <t>更多</t>
  </si>
  <si>
    <t>&gt;更多</t>
  </si>
  <si>
    <t>mgmt_account_disable</t>
  </si>
  <si>
    <t>Temporarily disable</t>
  </si>
  <si>
    <t>عطل موقتاً</t>
  </si>
  <si>
    <t>Временно деактивиране</t>
  </si>
  <si>
    <t>Inhabilita temporalment</t>
  </si>
  <si>
    <t>Vorübergehend abschalten</t>
  </si>
  <si>
    <t>Deshabilitar temporalmente</t>
  </si>
  <si>
    <t>Désactiver temporairement</t>
  </si>
  <si>
    <t>Desactivar temporalmente</t>
  </si>
  <si>
    <t>Letiltja átmenetileg</t>
  </si>
  <si>
    <t>Disattiva temporaneamente</t>
  </si>
  <si>
    <t>一時的に無効にする</t>
  </si>
  <si>
    <t>Tijdelijk uitschakelen</t>
  </si>
  <si>
    <t>Wyłącz tymczasowo</t>
  </si>
  <si>
    <t>Desativar temporariamente</t>
  </si>
  <si>
    <t>Временно отключить</t>
  </si>
  <si>
    <t>Dočasne vypnúť</t>
  </si>
  <si>
    <t>Привремено искључи</t>
  </si>
  <si>
    <t>Inaktivera tillfälligt</t>
  </si>
  <si>
    <t>Тимчасово вимкнути</t>
  </si>
  <si>
    <t>pgp_message</t>
  </si>
  <si>
    <t>OpenPGP encrypted message</t>
  </si>
  <si>
    <t>رسالة مشفرة عبر OpenPGP</t>
  </si>
  <si>
    <t>Съобщение, шифр. чрез OpenPGP</t>
  </si>
  <si>
    <t>Missatge xifrat amb OpenPGP</t>
  </si>
  <si>
    <t>OpenPGP-verschlüsselte Nachricht</t>
  </si>
  <si>
    <t>Mensaje cifrado con OpenPGP</t>
  </si>
  <si>
    <t>Message chiffré avec OpenPGP</t>
  </si>
  <si>
    <t>Mensaxe cifrado con OpenPGP</t>
  </si>
  <si>
    <t>OpenPGP kódolású üzenet</t>
  </si>
  <si>
    <t>Pesan terenkripsi OpenPGP</t>
  </si>
  <si>
    <t>Messaggio cifrato con OpenPGP</t>
  </si>
  <si>
    <t>OpenPGP 暗号化メッセージ</t>
  </si>
  <si>
    <t>OpenPGP로 암호화된 메세지</t>
  </si>
  <si>
    <t>OpenPGP-versleuteld bericht</t>
  </si>
  <si>
    <t>Wiadomość zaszyfrowana OpenPGP</t>
  </si>
  <si>
    <t>Mensagem cifrada OpenPGP</t>
  </si>
  <si>
    <t>ОпенПГП шифрована порука</t>
  </si>
  <si>
    <t>OpenPGP-krypterat meddelande</t>
  </si>
  <si>
    <t>Повідомлення, зашифроване OpenPGP</t>
  </si>
  <si>
    <t>Tin nhắn mã hoá bằng OpenPGP</t>
  </si>
  <si>
    <t>OpenPGP 加密的信息</t>
  </si>
  <si>
    <t>title_undo_swipe_out_muc</t>
  </si>
  <si>
    <t>Left group chat</t>
  </si>
  <si>
    <t>عادَر مجموعة المحادثة</t>
  </si>
  <si>
    <t>Напуснахте груповия разговор</t>
  </si>
  <si>
    <t>Sortir del xat en grup</t>
  </si>
  <si>
    <t>Gruppenchat verlassen</t>
  </si>
  <si>
    <t>Salir de la conversación</t>
  </si>
  <si>
    <t>Quitter le groupe de discussion</t>
  </si>
  <si>
    <t>Deixar a conversa en grupo</t>
  </si>
  <si>
    <t>A konferenciát elhagyta</t>
  </si>
  <si>
    <t>Chat di gruppo abbandonata</t>
  </si>
  <si>
    <t>談話室を退出</t>
  </si>
  <si>
    <t>Groepsgesprek verlaten</t>
  </si>
  <si>
    <t>Opuszczono konferencję</t>
  </si>
  <si>
    <t>Saiu da conversa em grupo</t>
  </si>
  <si>
    <t>Покинул конференцию</t>
  </si>
  <si>
    <t>Напусти групно ћаскање</t>
  </si>
  <si>
    <t>tt_select_news_category</t>
  </si>
  <si>
    <t>Select news category</t>
  </si>
  <si>
    <t>تحديد فئة الأخبار</t>
  </si>
  <si>
    <t>ИзберИ категория новини</t>
  </si>
  <si>
    <t>Vyberte kategorii zpráv</t>
  </si>
  <si>
    <t>Vælg nyhedskategori</t>
  </si>
  <si>
    <t>Nachrichtenkategorie wählen</t>
  </si>
  <si>
    <t>Επιλέξτε κατηγορία ειδήσεων</t>
  </si>
  <si>
    <t>Seleccionar categoría de noticias</t>
  </si>
  <si>
    <t>Valitse uutisluokka</t>
  </si>
  <si>
    <t>Sélectionner la catégorie d\'actualités</t>
  </si>
  <si>
    <t>समाचार श्रेणी का चयन करें</t>
  </si>
  <si>
    <t>Új kategória kiválasztása</t>
  </si>
  <si>
    <t>Pilih kategori berita</t>
  </si>
  <si>
    <t>Scegli categoria di notizie</t>
  </si>
  <si>
    <t>בחר קטגוריית חדשות</t>
  </si>
  <si>
    <t>ニュース選択</t>
  </si>
  <si>
    <t>새 카테고리 선택</t>
  </si>
  <si>
    <t>Selecteer nieuws categorie</t>
  </si>
  <si>
    <t>Velg nyhetskategori</t>
  </si>
  <si>
    <t>Wybierz kategorię wiadomości</t>
  </si>
  <si>
    <t>Selecionar a categoria de notícias</t>
  </si>
  <si>
    <t>Selectează categoria de știri</t>
  </si>
  <si>
    <t>Выберите категории новостей</t>
  </si>
  <si>
    <t>Zvoľte kategóriu správ</t>
  </si>
  <si>
    <t>Izberite kategorijo novic</t>
  </si>
  <si>
    <t>Izaberite kategoriju vesti</t>
  </si>
  <si>
    <t>Välj nyhetskategori</t>
  </si>
  <si>
    <t>เลือกหมวดหมู่ข่าว</t>
  </si>
  <si>
    <t>Haber kategorisi seç</t>
  </si>
  <si>
    <t>Chọn hạng mục tin tức</t>
  </si>
  <si>
    <t>选择新闻类别</t>
  </si>
  <si>
    <t>&gt;選擇新聞類別</t>
  </si>
  <si>
    <t>tt_time_date_short</t>
  </si>
  <si>
    <t>Time/Date</t>
  </si>
  <si>
    <t>الوقت/التاريخ</t>
  </si>
  <si>
    <t>Час/дата</t>
  </si>
  <si>
    <t>Čas/datum</t>
  </si>
  <si>
    <t>Tid/Dato</t>
  </si>
  <si>
    <t>Zeit/Datum</t>
  </si>
  <si>
    <t>Ώρα/Ημερομηνία</t>
  </si>
  <si>
    <t>Tiempo/Fecha</t>
  </si>
  <si>
    <t>Aika/päivämäärä</t>
  </si>
  <si>
    <t>Heure/Date</t>
  </si>
  <si>
    <t>समय/तिथि</t>
  </si>
  <si>
    <t>Idő/Dátum</t>
  </si>
  <si>
    <t>Waktu/Tanggal</t>
  </si>
  <si>
    <t>Tempo/Data</t>
  </si>
  <si>
    <t>שעה/ תאריך</t>
  </si>
  <si>
    <t>時間／日</t>
  </si>
  <si>
    <t>시간/날짜</t>
  </si>
  <si>
    <t>Masa/Tarikh</t>
  </si>
  <si>
    <t>Tijd/Datum</t>
  </si>
  <si>
    <t>Tid/dato</t>
  </si>
  <si>
    <t>Czas/Data</t>
  </si>
  <si>
    <t>Tempo/ Data</t>
  </si>
  <si>
    <t>Oră/Dată</t>
  </si>
  <si>
    <t>Время/Дата</t>
  </si>
  <si>
    <t>Čas/Dátum</t>
  </si>
  <si>
    <t>Vreme/datum</t>
  </si>
  <si>
    <t>Tid/Datum</t>
  </si>
  <si>
    <t>วัน/เวลา</t>
  </si>
  <si>
    <t>Saat/Tarih</t>
  </si>
  <si>
    <t>Thời gian/ngày</t>
  </si>
  <si>
    <t>时间/日期</t>
  </si>
  <si>
    <t>&gt;時間/日期</t>
  </si>
  <si>
    <t>tt_select_data_compression</t>
  </si>
  <si>
    <t>Data compression</t>
  </si>
  <si>
    <t>ضغط البيانات</t>
  </si>
  <si>
    <t>Компресиране на данни</t>
  </si>
  <si>
    <t>Komprese dat</t>
  </si>
  <si>
    <t>Datakomprimering</t>
  </si>
  <si>
    <t>Datakompression</t>
  </si>
  <si>
    <t>Συμπίεση δεδομένων</t>
  </si>
  <si>
    <t>Compresión de datos</t>
  </si>
  <si>
    <t>Tietojen pakkaus</t>
  </si>
  <si>
    <t>Compression des données</t>
  </si>
  <si>
    <t>डेटा संकोचन</t>
  </si>
  <si>
    <t>Adat összehasonlítás</t>
  </si>
  <si>
    <t>Data Kompresi</t>
  </si>
  <si>
    <t>Frequenza dei dati</t>
  </si>
  <si>
    <t>דחיסת מידע</t>
  </si>
  <si>
    <t>ﾃﾞｰﾀ比較</t>
  </si>
  <si>
    <t>데이터 압축</t>
  </si>
  <si>
    <t>Mampatan data</t>
  </si>
  <si>
    <t>Datacomressie</t>
  </si>
  <si>
    <t>Kompresja danych</t>
  </si>
  <si>
    <t>Compressão de dados</t>
  </si>
  <si>
    <t>Compresia datelor</t>
  </si>
  <si>
    <t>Сжатие данных</t>
  </si>
  <si>
    <t>Kompresia údajov</t>
  </si>
  <si>
    <t>Stiskanje podatkov</t>
  </si>
  <si>
    <t>Izaberite kompresiju podataka:</t>
  </si>
  <si>
    <t>การลดขนาดข้อมูล</t>
  </si>
  <si>
    <t>Veri sıkıştırma</t>
  </si>
  <si>
    <t>Nén dữ liệu</t>
  </si>
  <si>
    <t>数据压缩</t>
  </si>
  <si>
    <t>&gt;數據壓縮</t>
  </si>
  <si>
    <t>tt_sales</t>
  </si>
  <si>
    <t>Sales</t>
  </si>
  <si>
    <t>المبيعات</t>
  </si>
  <si>
    <t>Продажби</t>
  </si>
  <si>
    <t>Odbyt</t>
  </si>
  <si>
    <t>Salg</t>
  </si>
  <si>
    <t>Umsatz</t>
  </si>
  <si>
    <t>Πωλήσεις</t>
  </si>
  <si>
    <t>Ventas</t>
  </si>
  <si>
    <t>Myynti</t>
  </si>
  <si>
    <t>Ventes</t>
  </si>
  <si>
    <t>बिक्री</t>
  </si>
  <si>
    <t>Eladások</t>
  </si>
  <si>
    <t>Penjualan</t>
  </si>
  <si>
    <t>Ricavi</t>
  </si>
  <si>
    <t>מכירות</t>
  </si>
  <si>
    <t>売上</t>
  </si>
  <si>
    <t>매출</t>
  </si>
  <si>
    <t>Jualan</t>
  </si>
  <si>
    <t>Omzet</t>
  </si>
  <si>
    <t>Przychody</t>
  </si>
  <si>
    <t>Vendas</t>
  </si>
  <si>
    <t>Vânzări</t>
  </si>
  <si>
    <t>Продажи</t>
  </si>
  <si>
    <t>Predaje</t>
  </si>
  <si>
    <t>Försäljning</t>
  </si>
  <si>
    <t>การขาย</t>
  </si>
  <si>
    <t>Satışlar</t>
  </si>
  <si>
    <t>Bán hàng</t>
  </si>
  <si>
    <t>销售</t>
  </si>
  <si>
    <t>&gt;銷售</t>
  </si>
  <si>
    <t>error_channel_name</t>
  </si>
  <si>
    <t>Connectivity Problems</t>
  </si>
  <si>
    <t>Проблеми с връзката</t>
  </si>
  <si>
    <t>Verbindungsprobleme</t>
  </si>
  <si>
    <t>Problemas de conectividad</t>
  </si>
  <si>
    <t>Problèmes de connectivité</t>
  </si>
  <si>
    <t>Problemas de conexión</t>
  </si>
  <si>
    <t>Kapcsolódási problémák</t>
  </si>
  <si>
    <t>Problemi di connettività</t>
  </si>
  <si>
    <t>Verbindingsproblemen</t>
  </si>
  <si>
    <t>Problemy z połączeniem</t>
  </si>
  <si>
    <t>view_conversation</t>
  </si>
  <si>
    <t>View conversation</t>
  </si>
  <si>
    <t>Преглед на разговора</t>
  </si>
  <si>
    <t>Veure conversa</t>
  </si>
  <si>
    <t>Unterhaltung anzeigen</t>
  </si>
  <si>
    <t>Ver conversación</t>
  </si>
  <si>
    <t>Voir la conversation</t>
  </si>
  <si>
    <t>Ver conversa</t>
  </si>
  <si>
    <t>Beszélgetés megtekintése</t>
  </si>
  <si>
    <t>Vedi conversazione</t>
  </si>
  <si>
    <t>Gesprek bekijken</t>
  </si>
  <si>
    <t>Pokaż konwersację</t>
  </si>
  <si>
    <t>Погледај преписку</t>
  </si>
  <si>
    <t>pref_use_indicate_received_summary</t>
  </si>
  <si>
    <t>Received messages will be marked with a green tick if supported</t>
  </si>
  <si>
    <t>Получените съобщения ще бъдат отбелязани със зелена отметка, ако това се поддържа</t>
  </si>
  <si>
    <t>Els missatges rebuts seràn marcats amb uns ticks verds si ho admet</t>
  </si>
  <si>
    <t>Empfangene Nachrichten werden mit einem grünen Häkchen markiert. Bitte beachte, dass dies nicht in allen Fällen funktioniert.</t>
  </si>
  <si>
    <t>Cuando el contacto reciba el mensaje será indicado con una marca verde. Cuidado, esto podría no funcionar en todos los casos.</t>
  </si>
  <si>
    <t>Les messages reçus seront marqués d\'une coche verte (si supporté).</t>
  </si>
  <si>
    <t>As mensaxes recibidas marcaránse cun sinal verde si este está admitido</t>
  </si>
  <si>
    <t>A megkapott üzenetek egy zöld pipával lesznek jelölve ha támogatott ez a funkció</t>
  </si>
  <si>
    <t>Pesan yang diterima akan ditambahkan centang hijau jika didukung</t>
  </si>
  <si>
    <t>I messaggi ricevuti verranno contrassegnati con una spunta verde se supportato</t>
  </si>
  <si>
    <t>サポートされている場合、受信したメッセージに緑色のチェックマークが付きます</t>
  </si>
  <si>
    <t>만약 지원될 경우, 수신된 메세지는 초록색 기호로 표시됩니다.</t>
  </si>
  <si>
    <t>Indien ondersteund, worden ontvangen berichten met een groen vinkje aangeduid</t>
  </si>
  <si>
    <t>Jeżeli to możliwe, oznaczaj dostarczone wiadomości zielonym haczykiem</t>
  </si>
  <si>
    <t>Mensagens recebidas serão marcadas com um visto verde se suportado</t>
  </si>
  <si>
    <t>Если поддерживается, поступившие сообщения будут отмечены зелёной галочкой</t>
  </si>
  <si>
    <t>Prijaté správy budú označené zelenou kvačkou. Toto nemusí vždy plne fungovať.</t>
  </si>
  <si>
    <t>Означи примљене поруке зеленом квачицом, ако је подржано</t>
  </si>
  <si>
    <t>Mottagna meddelanden markeras med en grön bock om det stöds</t>
  </si>
  <si>
    <t>Отримані повідомлення будуть позначені зеленою галочкою, якщо ця функція підтримується</t>
  </si>
  <si>
    <t>Các tin nhắn đã nhận sẽ được đánh dấu kiểm màu xanh lá nếu được hỗ trợ</t>
  </si>
  <si>
    <t>如果支援收到的訊息將會以綠色勾號標識</t>
  </si>
  <si>
    <t>tt_new_version_description</t>
  </si>
  <si>
    <t>- optimized for iOS 8n- native Resolution for iPhone 6 and iPhone 6 Plusn- improved navigation and tools for interactive chartingn- additional data including Bitcoin prices</t>
  </si>
  <si>
    <t>- مُحسن لنظام iOS 8n- native Resolution لأجهزة iPhone 6 و iPhone 6 Plus- تصفح مُحسن وأدوات للرسم التفاعلي- بيانات إضافية بما في ذلك أسعار عملة بيتكوين</t>
  </si>
  <si>
    <t>- оптимизиран за iOS 8n - вградена резолюция за iPhone 6 и iPhone 6 Plusn - подобрена навигация и инструменти за интерактивни графики - допълнителни данни, включително цени на биткойн</t>
  </si>
  <si>
    <t>- optimalizováno pro iOS 8</t>
  </si>
  <si>
    <t>- optimeret til iOS 8n-native opløsning til iPhone 6 og iPhone 6 Plusn- forbedret navigation og værktøjer til interaktiv kortlægning - yderligere data inklusive Bitcoin-priser</t>
  </si>
  <si>
    <t>- optimiert für iOS 8n- volle Unterstützung der Auflösung von iPhone 6 &amp;amp; iPhone 6 Plusn- verbessertes interaktives Chartingn- zusätzliche Daten inklusive Bitcoin Preise</t>
  </si>
  <si>
    <t>- βελτιστοποιημένο για iOS 8</t>
  </si>
  <si>
    <t>- Optimizado para iOS 8n- Resolución nativa para iPhone 6 y iPhone 6 Plusn- Mejora en la navegación y las herramientas de los gráficos interactivos.n- Añadida información adicional, incluidos los precios de Bitcoin.</t>
  </si>
  <si>
    <t>- optimoitu iOS 8n:lle - natiivi resoluutio iPhone 6:lle ja iPhone 6 Plusn:lle - parannettu navigointi ja työkalut vuorovaikutteiseen kartoittamiseen - lisätietoja, mukaan lukien Bitcoin-hinnat</t>
  </si>
  <si>
    <t>Optimisée pour iOS 8/résolution native pour iPhone et iPhone 6 Plus/navigation améliorée et des outils pour les graphiques interactifs/données supplémentaires y comprix prix du Bitcoin</t>
  </si>
  <si>
    <t>- आईओएस 8एन के लिए अनुकूलित- आईफोन 6 और आईफोन 6 प्लस के लिए सहज रिज़ॉल्यूशन-इंटरैक्टिव चार्टिंग के लिए उन्नत नेविगेशन और उपकरण-बिटकॉइन की कीमत सहित अतिरिक्त डेटा</t>
  </si>
  <si>
    <t>- iOS 8-ra optimalizáltn- natív felbontás iPhone 6 és iPhone 6 Plus készülékekhezn- továbbfejlesztett navigáció és eszközök interaktív grafikonrajzolóhozn- kiegészítő adatok, beleértve Bitcoin árak</t>
  </si>
  <si>
    <t>- dioptimalkan untuk Resolusi asli iOS 8n untuk iPhone 6 dan iPhone 6 Plusn- navigasi dan alat yang lebih baik untuk charta interaktif - data tambahan termasuk harga Bitcoin</t>
  </si>
  <si>
    <t>Ottimizzato per iOS 8n la risoluzione ottimale per iPhone 6 e iPhone 6 Plusn migliorata navigazione e i strumenti per il chart interattivo-i dati addizionali includendo i prezzi dei Bitcoin</t>
  </si>
  <si>
    <t>אופטימיזציה ל- iOS 8n- רזולוציה מקורית לאייפון 6 ו- iPhone 6 Plusn- ניווט משופר וכלים לגרף אינטראקטיבי- נתונים נוספים כולל מחירי ביטקוין</t>
  </si>
  <si>
    <t>- iOS 8に対応\n- 解像度をiPhone 6 and iPhone 6 Plusに対応\n- ナビゲーションの最適化とインタラクティブチャートへの対応\n- ビットコインを含むデータの追加</t>
  </si>
  <si>
    <t>- iOS 8n에 최적화- iPhone 6 및 iPhone 6 Plus의 기본 해상도- 향상된 탐색 및 도구로 대화형 차트 작성 가능- 비트코인 가격 등 데이터 추가</t>
  </si>
  <si>
    <t>- dioptimumkan untuk Resolusi asli iOS 8n untuk iPhone 6 dan iPhone 6 Plusn- navigasi dan alat yang lebih baik untuk carta interaktif - data tambahan termasuk harga Bitcoin</t>
  </si>
  <si>
    <t>- optimalisert for iOS 8n-oppløsning for iPhone 6 og iPhone 6 Plus</t>
  </si>
  <si>
    <t>Otimizado para IOS 8\n - resolução nativa para iPhone 6 e iPhone 6 Plus/n - navegação melhorada e ferramentas para gráficos interativos\n- Adicional dados incluindo preços Bitcoin.</t>
  </si>
  <si>
    <t>- optimizat pentru iOS 8n- Rezoluție nativă pentru iPhone 6 și iPhone 6 Plusn - navigare și instrumente îmbunătățite pentru grafice interactive - date suplimentare, inclusiv prețurile Bitcoin</t>
  </si>
  <si>
    <t>- оптимизирован для iOS 8 - собственное разрешение для iPhone 6 и iPhone 6 Plus - улучшенная навигация и инструменты для интерактивного построения графиков - дополнительные данные, включая цены биткоинов</t>
  </si>
  <si>
    <t>- optimalizované pre iOS 8n- natívne rozlíšenie pre iPhone 6 a iPhone 6 Plusn - vylepšená navigácia a nástroje pre interaktívne grafyn - ďalšie údaje vrátane cien Bitcoinu</t>
  </si>
  <si>
    <t>- optimiziran za iOS 8n - domača ločljivost za iPhone 6 in iPhone 6 Plusn - izboljšana navigacija in orodje za interaktivni grafikon - dodatni podatki, vključno s cenami Bitcoin</t>
  </si>
  <si>
    <t>- Optimiziovano za iOS8n- Rezolucija prilagođena za iPhone 6 i iPhone 6 Plusn- Unapređenje navigacije i alata na interaktivnom grafikonun- Novi paketi podataka uključujući i kvote za Bitcoin</t>
  </si>
  <si>
    <t>- optimerad för iOS 8n egen upplösning för iPhone 6 och iPhone 6 Plus- förbättrad navigering och verktyg för interaktiv kartläggning- ytterligare data inklusive Bitcoin-priser</t>
  </si>
  <si>
    <t>- ออกแบบมาเพื่อการใช้อย่างเหมาะสมกับ iOS ความละเอียดหน้าจอสำหรับ iPhone 6 และ iPhone 6 Plus ปรับปรุงพัฒนาระบบค้นหาและเครื่องมือสำหรับใช้กับแผนภูมิเชิงโต้ตอบ ข้อมูลเพิ่มเติมต่างๆ รวมไปถึงราคาบิตคอยน์</t>
  </si>
  <si>
    <t>- iPhone 6 ve iPhone 6 Plus için iOS 8n-native Çözünürlüğü için iyileştirilldi- Bitcoin fiyatları da dahil olmak üzere etkileşimli grafikler ve etkileşimli grafikler için geliştirilmiş gezinme ve araçlar</t>
  </si>
  <si>
    <t>- tối ưu hóa cho iOS 8n- Độ phân giải gốc cho iPhone 6 và iPhone 6 Plusn- công cụ và điều hướng cải tiến để lập biểu đồ tương tácn- dữ liệu bổ sung bao gồm giá Bitcoin</t>
  </si>
  <si>
    <t>——为iPhone 6及iPhone 6 Plus的iOS 8n原始解决方案提高交互式图表的导航与工具——增加额外的数据，包括比特币价格</t>
  </si>
  <si>
    <t>&gt;-為iPhone 6及iPhone 6 Plus的iOS 8n原始解決方案提高交互式圖表的導航與工具-增加額外的數據，包括比特幣價格</t>
  </si>
  <si>
    <t>online</t>
  </si>
  <si>
    <t>en ligne</t>
  </si>
  <si>
    <t>oнлайн</t>
  </si>
  <si>
    <t>onlajn</t>
  </si>
  <si>
    <t>tt_set_as_default_template</t>
  </si>
  <si>
    <t>Set as default Template</t>
  </si>
  <si>
    <t>تعيين كقالب افتراضي</t>
  </si>
  <si>
    <t>Задай като шаблон по подразбиране</t>
  </si>
  <si>
    <t>Nastavit jako implicitní šablonu</t>
  </si>
  <si>
    <t>Indstil som standardskabelon</t>
  </si>
  <si>
    <t>Als Standard Template laden</t>
  </si>
  <si>
    <t>Ορισμός ως προεπιλεγμένου προτύπου</t>
  </si>
  <si>
    <t>Fijar como Plantilla predeterminada</t>
  </si>
  <si>
    <t>Aseta oletusmalliksi</t>
  </si>
  <si>
    <t>Choisir en tant que template par défaut</t>
  </si>
  <si>
    <t>डिफ़ॉल्ट टेम्पलेट के रूप में सेट करें</t>
  </si>
  <si>
    <t>Beállítás alapértelmezett sablonként</t>
  </si>
  <si>
    <t>Setel sebagai Template default</t>
  </si>
  <si>
    <t>Imposta come modello predefinito</t>
  </si>
  <si>
    <t>הגדר כתבנית ברירת מחדל</t>
  </si>
  <si>
    <t>기본 템플릿으로 설정</t>
  </si>
  <si>
    <t>Tetapkan sebagai Templat lalai</t>
  </si>
  <si>
    <t>Stel in als Standaard Sjabloon</t>
  </si>
  <si>
    <t>Angi som standardmal</t>
  </si>
  <si>
    <t>Ustaw jako domyślny szablon</t>
  </si>
  <si>
    <t>Definir como modelo padrão</t>
  </si>
  <si>
    <t>Setează ca Șablon implicit</t>
  </si>
  <si>
    <t>Установить как шаблон по умолчанию</t>
  </si>
  <si>
    <t>Nastaviť ako predvolenú šablónu</t>
  </si>
  <si>
    <t>Nastavi kot privzeto predlogo</t>
  </si>
  <si>
    <t>Postavi kao podrazumevani obrazac</t>
  </si>
  <si>
    <t>Ange som standardmall</t>
  </si>
  <si>
    <t>ตั้งเป็นเท็มเพล็ตค่าเริ่มต้น</t>
  </si>
  <si>
    <t>Varsayılan Şablon olarak ayarla</t>
  </si>
  <si>
    <t>Đặt làm Mẫu mặc định</t>
  </si>
  <si>
    <t>设置为设定的模板</t>
  </si>
  <si>
    <t>&gt;設置為設定的模板</t>
  </si>
  <si>
    <t>brazil</t>
  </si>
  <si>
    <t>Brazil</t>
  </si>
  <si>
    <t>Brasilien</t>
  </si>
  <si>
    <t>Brasil</t>
  </si>
  <si>
    <t>Brésil</t>
  </si>
  <si>
    <t>Бразилия</t>
  </si>
  <si>
    <t>registration_please_wait</t>
  </si>
  <si>
    <t>Registration failed: Try again later</t>
  </si>
  <si>
    <t>فشل تسجيل الحساب : حاول مرةً أخرى لاحقاً</t>
  </si>
  <si>
    <t>Неуспешна регистрация. Опитайте отново по-късно</t>
  </si>
  <si>
    <t>Error de registre: torna-ho a provar més tard</t>
  </si>
  <si>
    <t>Registrierung fehlgeschlagen: Bitte später versuchen</t>
  </si>
  <si>
    <t>El registro falló. Prueba de nuevo más tarde</t>
  </si>
  <si>
    <t>L\'enregistrement a échoué : Réessayer plus tard</t>
  </si>
  <si>
    <t>Fallo no rexistro: inténteo de novo</t>
  </si>
  <si>
    <t>Regisztráció nem sikerült: Próbálkozzon később</t>
  </si>
  <si>
    <t>Registrasi gagal: Coba lagi nanti</t>
  </si>
  <si>
    <t>Registrazione fallita: riprova più tardi</t>
  </si>
  <si>
    <t>登録に失敗しました: 後でもう一度試してください</t>
  </si>
  <si>
    <t>등록에 실패했습니다. 나중에 다시 시도하십시오</t>
  </si>
  <si>
    <t>Registratie mislukt: probeer later opnieuw</t>
  </si>
  <si>
    <t>Rejestracja nie powiodła się: spróbuj później</t>
  </si>
  <si>
    <t>Registo falhou: Tente de novo mais tarde</t>
  </si>
  <si>
    <t>Регистрация не удалась: повторите попытку позднее</t>
  </si>
  <si>
    <t>Регистрација није успела: покушајте поново касније</t>
  </si>
  <si>
    <t>Registreringfel: Försök igen senare</t>
  </si>
  <si>
    <t>Реєстрація не вдалася: Спробуйте ще раз пізніше</t>
  </si>
  <si>
    <t>註冊失敗：請重試</t>
  </si>
  <si>
    <t>audio</t>
  </si>
  <si>
    <t>صوت</t>
  </si>
  <si>
    <t>аудио</t>
  </si>
  <si>
    <t>Audio</t>
  </si>
  <si>
    <t>son</t>
  </si>
  <si>
    <t>hanganyag</t>
  </si>
  <si>
    <t>オーディオ</t>
  </si>
  <si>
    <t>오디오</t>
  </si>
  <si>
    <t>plik audio</t>
  </si>
  <si>
    <t>áudio</t>
  </si>
  <si>
    <t>звук</t>
  </si>
  <si>
    <t>ljud</t>
  </si>
  <si>
    <t>аудіо</t>
  </si>
  <si>
    <t>âm thanh</t>
  </si>
  <si>
    <t>音訊</t>
  </si>
  <si>
    <t>check_x_filesize</t>
  </si>
  <si>
    <t>Check %s size</t>
  </si>
  <si>
    <t>تحقق من حجم %s</t>
  </si>
  <si>
    <t>Проверете размера на %s</t>
  </si>
  <si>
    <t>Verificació de la mida de %s</t>
  </si>
  <si>
    <t>%s-Größe prüfen</t>
  </si>
  <si>
    <t>Comprobar tamaño de %s</t>
  </si>
  <si>
    <t>Vérification de la taille de %s</t>
  </si>
  <si>
    <t>Comprobando o tamaño de %s</t>
  </si>
  <si>
    <t>Ellenőrizze a %s méretét</t>
  </si>
  <si>
    <t>Cek %s ukuran</t>
  </si>
  <si>
    <t>Controlla dimensione %s</t>
  </si>
  <si>
    <t>%s サイズを確認</t>
  </si>
  <si>
    <t>%s 크기 확인</t>
  </si>
  <si>
    <t>Bestandsgrootte van %s controleren</t>
  </si>
  <si>
    <t>Sprawdź rozmiar %s</t>
  </si>
  <si>
    <t>Verifique o tamanho de %s</t>
  </si>
  <si>
    <t>Проверить размер %s</t>
  </si>
  <si>
    <t>Overiť %s veľkosť</t>
  </si>
  <si>
    <t>Провери величину %s</t>
  </si>
  <si>
    <t>Kontrollera filstorleken på %s</t>
  </si>
  <si>
    <t>Перевірити %s розмір</t>
  </si>
  <si>
    <t>Kiểm tra kích cỡ %s</t>
  </si>
  <si>
    <t>檢查 %s 大小</t>
  </si>
  <si>
    <t>tt_empty_name_not_allowed</t>
  </si>
  <si>
    <t>Empty name not allowed!</t>
  </si>
  <si>
    <t>لا يسمح بترك خانة الاسم فارغة!</t>
  </si>
  <si>
    <t>Полето за име не може да е празно!</t>
  </si>
  <si>
    <t>Prázdné jméno není povoleno!</t>
  </si>
  <si>
    <t>Tomt navn ikke tilladt!</t>
  </si>
  <si>
    <t>Bitte geben Sie einen Namen ein!</t>
  </si>
  <si>
    <t>Δεν επιτρέπεται κενό όνομα!</t>
  </si>
  <si>
    <t>EL nombre vacío no está permitido</t>
  </si>
  <si>
    <t>Tyhjä nimi ei ole sallittu!</t>
  </si>
  <si>
    <t>Veuillez entrer un nom</t>
  </si>
  <si>
    <t>रिक्त नाम की अनुमति नहीं है!</t>
  </si>
  <si>
    <t>A "Név" mező nem hagyható üresen.</t>
  </si>
  <si>
    <t>Nama kosong tidak diizinkan!</t>
  </si>
  <si>
    <t>Nome vuoto non permesso!</t>
  </si>
  <si>
    <t>אין להשאיר שם ריק</t>
  </si>
  <si>
    <t>名前を入力してください</t>
  </si>
  <si>
    <t>이름에 내용을 입력해야 합니다!</t>
  </si>
  <si>
    <t>Nama kosong tidak dibenarkan!</t>
  </si>
  <si>
    <t>Leeg veld niet toegestaan!</t>
  </si>
  <si>
    <t>Tomt navn ikke tillatt!</t>
  </si>
  <si>
    <t>Pusta nazwa nie jest dozwolona!</t>
  </si>
  <si>
    <t>Nome vazio não é permitido!</t>
  </si>
  <si>
    <t>Numele gol nu este permis!</t>
  </si>
  <si>
    <t>Имя обязательно к заполнению</t>
  </si>
  <si>
    <t>Pole s menom nesmie zostať prázdne!</t>
  </si>
  <si>
    <t>Prazno ime ni dovoljeno!</t>
  </si>
  <si>
    <t>Ime nesme biti prazno!</t>
  </si>
  <si>
    <t>Tomt namn tillåts inte!</t>
  </si>
  <si>
    <t>จำเป็นต้องมีชื่อ!</t>
  </si>
  <si>
    <t>Boş isim koyulamaz!</t>
  </si>
  <si>
    <t>Không chấp nhận tên trống!</t>
  </si>
  <si>
    <t>请输入名称</t>
  </si>
  <si>
    <t>&gt;請輸入名稱</t>
  </si>
  <si>
    <t>chart_popup_title</t>
  </si>
  <si>
    <t>INTERACTIVE CHART</t>
  </si>
  <si>
    <t>مُخطط تفاعلي</t>
  </si>
  <si>
    <t>ИНТЕРАКТИВНА ГРАФИКА</t>
  </si>
  <si>
    <t>INTERAKTIVNÍ SCHÉMA</t>
  </si>
  <si>
    <t>INTERAKTIVT DIAGRAM</t>
  </si>
  <si>
    <t>INTERAKTIVER CHART</t>
  </si>
  <si>
    <t>ΔΙΑΔΡΑΣΤΙΚΟΣ ΧΑΡΤΗΣ</t>
  </si>
  <si>
    <t>GRÁFICO INTERACTIVO</t>
  </si>
  <si>
    <t>Interaktiivinen kaavio</t>
  </si>
  <si>
    <t>GRAPHIQUE INTERACTIF</t>
  </si>
  <si>
    <t>इंटरएक्टिव चार्ट</t>
  </si>
  <si>
    <t>Intaraktív grafikon</t>
  </si>
  <si>
    <t>GRAFIK INTERAKTIF</t>
  </si>
  <si>
    <t>GRAFICO INTERATTIVO</t>
  </si>
  <si>
    <t>גרף אינטראקטיבי</t>
  </si>
  <si>
    <t>インタラクティブチャート</t>
  </si>
  <si>
    <t>대화형 차트</t>
  </si>
  <si>
    <t>CARTA INTERAKTIF</t>
  </si>
  <si>
    <t>interactieve grafiek</t>
  </si>
  <si>
    <t>WYKRES INTERAKTYWNY</t>
  </si>
  <si>
    <t>GRÁFICO INTERATIVO</t>
  </si>
  <si>
    <t>GRAFIC INTERACTIV</t>
  </si>
  <si>
    <t>ИНТЕРАКТИВНЫЙ ГРАФИК</t>
  </si>
  <si>
    <t>INTERAKTÍVNY GRAF</t>
  </si>
  <si>
    <t>INTERAKTIVNA KARTA</t>
  </si>
  <si>
    <t>INTERAKTIVNI GRAFIKONI</t>
  </si>
  <si>
    <t>ETKİLEŞİMLİ GRAFİK</t>
  </si>
  <si>
    <t>BIỂU ĐỒ TƯƠNG TÁC</t>
  </si>
  <si>
    <t>action_add_phone_book</t>
  </si>
  <si>
    <t>Add to address book</t>
  </si>
  <si>
    <t>أضف إلى دفتر العناوين</t>
  </si>
  <si>
    <t>Добавяне към адресния указател</t>
  </si>
  <si>
    <t>Afegeix a la llibreta d\'adreces</t>
  </si>
  <si>
    <t>Zum Telefonbuch hinzufügen</t>
  </si>
  <si>
    <t>Añadir a contactos</t>
  </si>
  <si>
    <t>Ajouter au carnet d\'adresses</t>
  </si>
  <si>
    <t>Engadir a libreta de enderezos</t>
  </si>
  <si>
    <t>Címjegyzékhez hozzáad</t>
  </si>
  <si>
    <t>Tambahkan ke daftar kontak</t>
  </si>
  <si>
    <t>Aggiungi alla rubrica</t>
  </si>
  <si>
    <t>アドレス帳に追加</t>
  </si>
  <si>
    <t>주소록에 추가</t>
  </si>
  <si>
    <t>Toevoegen aan adresboek</t>
  </si>
  <si>
    <t>Dodaj do kontaktów</t>
  </si>
  <si>
    <t>Adicionar ao livro de endereços</t>
  </si>
  <si>
    <t>Добавить в адресную книгу</t>
  </si>
  <si>
    <t>Додај у именик</t>
  </si>
  <si>
    <t>Lägg till i kontakter</t>
  </si>
  <si>
    <t>Додати до контактів</t>
  </si>
  <si>
    <t>Thêm vào danh bạ</t>
  </si>
  <si>
    <t>添加到地址薄</t>
  </si>
  <si>
    <t>always</t>
  </si>
  <si>
    <t>دائماً</t>
  </si>
  <si>
    <t>Selalu</t>
  </si>
  <si>
    <t>常に</t>
  </si>
  <si>
    <t>увек</t>
  </si>
  <si>
    <t>Завжди</t>
  </si>
  <si>
    <t>總是</t>
  </si>
  <si>
    <t>remote_server_timeout</t>
  </si>
  <si>
    <t>Remote server timeout</t>
  </si>
  <si>
    <t>Времето за изчакване на отдалечения сървър изтече</t>
  </si>
  <si>
    <t>Zeitüberschreitung des Remote-Servers</t>
  </si>
  <si>
    <t>Tiempo de espera agotado al servidor remoto</t>
  </si>
  <si>
    <t>Dépassement du délai du serveur distant</t>
  </si>
  <si>
    <t>Espera do servidor remoto</t>
  </si>
  <si>
    <t>Távoli szerver időtúllépés</t>
  </si>
  <si>
    <t>Scadenza server remoto</t>
  </si>
  <si>
    <t>Time-out bij externe server</t>
  </si>
  <si>
    <t>Brak odpowiedzi od zdalnego serwera</t>
  </si>
  <si>
    <t>tt_ind_moving_average___weighted_short</t>
  </si>
  <si>
    <t>Moving Average - Weighted</t>
  </si>
  <si>
    <t>المتوسط ​​المتحرك - المرجح</t>
  </si>
  <si>
    <t>Пълзяща средна стойност - измерена</t>
  </si>
  <si>
    <t>Klouzavý průměr - vážený</t>
  </si>
  <si>
    <t>Bevægende gennemsnit - Vægtet</t>
  </si>
  <si>
    <t>Κινητός μέσος όρος - Σταθμισμένος</t>
  </si>
  <si>
    <t>Liukuva painotettu keskiarvo</t>
  </si>
  <si>
    <t>Moyenne mobile - pondérée</t>
  </si>
  <si>
    <t>मूविंग औसत - भारित</t>
  </si>
  <si>
    <t>rata-rata Bergerak - Berat</t>
  </si>
  <si>
    <t>ממוצע נע - משוקלל</t>
  </si>
  <si>
    <t>加重移動平均</t>
  </si>
  <si>
    <t>이동평균선 - 가중</t>
  </si>
  <si>
    <t>Purata Bergerak - Berat</t>
  </si>
  <si>
    <t>Glidende gjennomsnitt – vektet</t>
  </si>
  <si>
    <t>Średnia ruchoma - ważona</t>
  </si>
  <si>
    <t>Média móvel ponderada</t>
  </si>
  <si>
    <t>Media în Mișcare - Ponderată</t>
  </si>
  <si>
    <t>Взвешенное скользящее среднее</t>
  </si>
  <si>
    <t>Kĺzavý priemer - vážený</t>
  </si>
  <si>
    <t>Drseče povprečje - tehtano</t>
  </si>
  <si>
    <t>Rörligt medelvärde - viktat</t>
  </si>
  <si>
    <t>ค่าเฉลี่ยเคลื่อนที่ - แบบถ่วงน้ำหนัก</t>
  </si>
  <si>
    <t>Hareketli Ortalamalar - Ağırlıklı</t>
  </si>
  <si>
    <t>Đường trung bình động - Có trọng số</t>
  </si>
  <si>
    <t>加权移动平均（均线）</t>
  </si>
  <si>
    <t>&gt;加權移動平均</t>
  </si>
  <si>
    <t>cancel</t>
  </si>
  <si>
    <t>الغاء</t>
  </si>
  <si>
    <t>Cancel·la</t>
  </si>
  <si>
    <t>Batal</t>
  </si>
  <si>
    <t>Annuleren</t>
  </si>
  <si>
    <t>Отмена</t>
  </si>
  <si>
    <t>Одустани</t>
  </si>
  <si>
    <t>Скасувати</t>
  </si>
  <si>
    <t>Huỷ</t>
  </si>
  <si>
    <t>tt_push</t>
  </si>
  <si>
    <t>Push</t>
  </si>
  <si>
    <t>اطلق</t>
  </si>
  <si>
    <t>Notifications Push</t>
  </si>
  <si>
    <t>पुश करें</t>
  </si>
  <si>
    <t>Tolak</t>
  </si>
  <si>
    <t>Spinta</t>
  </si>
  <si>
    <t>דחיפה</t>
  </si>
  <si>
    <t>プッシュ通知</t>
  </si>
  <si>
    <t>푸시</t>
  </si>
  <si>
    <t>Empurre</t>
  </si>
  <si>
    <t>Обновления</t>
  </si>
  <si>
    <t>Potisnite</t>
  </si>
  <si>
    <t>Đẩy</t>
  </si>
  <si>
    <t>推播</t>
  </si>
  <si>
    <t>&gt;推播</t>
  </si>
  <si>
    <t>error_message</t>
  </si>
  <si>
    <t>Error Message</t>
  </si>
  <si>
    <t>رسالة خطأ</t>
  </si>
  <si>
    <t>Съобщение за грешка</t>
  </si>
  <si>
    <t>Missatge d\'error</t>
  </si>
  <si>
    <t>Fehlermeldung</t>
  </si>
  <si>
    <t>Mensaje de error</t>
  </si>
  <si>
    <t>Message d\'erreur</t>
  </si>
  <si>
    <t>Mensaxe de fallo</t>
  </si>
  <si>
    <t>Hibaüzenet</t>
  </si>
  <si>
    <t>Messaggio di errore</t>
  </si>
  <si>
    <t>エラーメッセージ</t>
  </si>
  <si>
    <t>에러 메세지</t>
  </si>
  <si>
    <t>Foutbericht</t>
  </si>
  <si>
    <t>Komunikat o błędzie</t>
  </si>
  <si>
    <t>Mensagem de Erro</t>
  </si>
  <si>
    <t>Порука грешке</t>
  </si>
  <si>
    <t>Felmeddelande</t>
  </si>
  <si>
    <t>Повідомлення про помилку</t>
  </si>
  <si>
    <t>錯誤訊息</t>
  </si>
  <si>
    <t>onboarding_trade_like_insider</t>
  </si>
  <si>
    <t>Trade like an insider</t>
  </si>
  <si>
    <t>Handle som en insider</t>
  </si>
  <si>
    <t>Handeln wie ein Insider</t>
  </si>
  <si>
    <t>Negocie como un insider</t>
  </si>
  <si>
    <t>Käy kauppaa kuin sisäpiiriläinen</t>
  </si>
  <si>
    <t>Faites des transactions boursières tel un expert</t>
  </si>
  <si>
    <t>Kereskedjen mint egy bennfentes</t>
  </si>
  <si>
    <t>Lakukan transaksi seperti orang dalam perusahaan</t>
  </si>
  <si>
    <t>Fai trading come un insider</t>
  </si>
  <si>
    <t>内部関係者のような取引</t>
  </si>
  <si>
    <t>내부자처럼 거래하세요</t>
  </si>
  <si>
    <t>Berdagang seperti orang dalaman</t>
  </si>
  <si>
    <t>Handel als een insider.</t>
  </si>
  <si>
    <t>Handluj jak ekspert</t>
  </si>
  <si>
    <t>Negocie como um insider</t>
  </si>
  <si>
    <t>Торгуйте как инсайдер</t>
  </si>
  <si>
    <t>Trgujte poput insajdera</t>
  </si>
  <si>
    <t>Investera som en insider</t>
  </si>
  <si>
    <t>İçeriden biri gibi alım satım yapın</t>
  </si>
  <si>
    <t>像内幕人士一样交易</t>
  </si>
  <si>
    <t>tt_show</t>
  </si>
  <si>
    <t>Show</t>
  </si>
  <si>
    <t>Покажи</t>
  </si>
  <si>
    <t>Zobrazit</t>
  </si>
  <si>
    <t>Vis</t>
  </si>
  <si>
    <t>Anzeigen</t>
  </si>
  <si>
    <t>Mostrar</t>
  </si>
  <si>
    <t>Näytä</t>
  </si>
  <si>
    <t>Montrer</t>
  </si>
  <si>
    <t>प्रदर्शित करें</t>
  </si>
  <si>
    <t>Mutasd</t>
  </si>
  <si>
    <t>Tunjukkan</t>
  </si>
  <si>
    <t>Mostra</t>
  </si>
  <si>
    <t>הצג</t>
  </si>
  <si>
    <t>表示する</t>
  </si>
  <si>
    <t>표시</t>
  </si>
  <si>
    <t>Laat zien</t>
  </si>
  <si>
    <t>Poka</t>
  </si>
  <si>
    <t>Afișează</t>
  </si>
  <si>
    <t>Показать</t>
  </si>
  <si>
    <t>Pokaži</t>
  </si>
  <si>
    <t>Prikaži</t>
  </si>
  <si>
    <t>Visa</t>
  </si>
  <si>
    <t>แสดง</t>
  </si>
  <si>
    <t>Göster</t>
  </si>
  <si>
    <t>Hiện</t>
  </si>
  <si>
    <t>显示</t>
  </si>
  <si>
    <t>mauritania</t>
  </si>
  <si>
    <t>Mauritania</t>
  </si>
  <si>
    <t>Mauretanien</t>
  </si>
  <si>
    <t>Mauritanie</t>
  </si>
  <si>
    <t>Мавритания</t>
  </si>
  <si>
    <t>Mauritanija</t>
  </si>
  <si>
    <t>tt_onboarding_settings_sign_up_email</t>
  </si>
  <si>
    <t>Sign up with e-mail</t>
  </si>
  <si>
    <t>سجل الدخول باستخدام البريد الإلكتروني</t>
  </si>
  <si>
    <t>Регистриране с имейл</t>
  </si>
  <si>
    <t>Registrace přes e-mail</t>
  </si>
  <si>
    <t>Tilmeld dig med e-mail</t>
  </si>
  <si>
    <t>Über E-Mail anmelden</t>
  </si>
  <si>
    <t>Εγγραφείτε με e-mail</t>
  </si>
  <si>
    <t>Iniciar sesión con e-mail</t>
  </si>
  <si>
    <t>Rekisteröidy sähköpostitse</t>
  </si>
  <si>
    <t>Inscription avec l\'email</t>
  </si>
  <si>
    <t>ई-मेल के साथ साइन-अप करें</t>
  </si>
  <si>
    <t>Regisztráció emaillel</t>
  </si>
  <si>
    <t>Daftar dengan email</t>
  </si>
  <si>
    <t>Iscriviti con e-mail</t>
  </si>
  <si>
    <t>הירשם באמצעות דואר אלקטרוני</t>
  </si>
  <si>
    <t>Eメールでサインアップする</t>
  </si>
  <si>
    <t>이메일로 가입</t>
  </si>
  <si>
    <t>Daftar dengan e-mel</t>
  </si>
  <si>
    <t>Meld u aan met e-mail</t>
  </si>
  <si>
    <t>Registrer med e-post</t>
  </si>
  <si>
    <t>Zaloguj się przez e-mail</t>
  </si>
  <si>
    <t>Registe-se com e-mail</t>
  </si>
  <si>
    <t>Autentifică-te cu emailul</t>
  </si>
  <si>
    <t>Зарегистрироваться с эл. почтой</t>
  </si>
  <si>
    <t>Zaregistrujte sa pomocou e-mailu</t>
  </si>
  <si>
    <t>Prijavite se z e-pošto</t>
  </si>
  <si>
    <t>Registruj se uz e-mail</t>
  </si>
  <si>
    <t>Registrera dig med e-post</t>
  </si>
  <si>
    <t>ลงทะเบียนใช้งานด้วยอีเมล</t>
  </si>
  <si>
    <t>E-posta ile kayıt ol</t>
  </si>
  <si>
    <t>Đăng ký với email</t>
  </si>
  <si>
    <t>用电子邮件注册</t>
  </si>
  <si>
    <t>send_omemo_message</t>
  </si>
  <si>
    <t>Send OMEMO encrypted message</t>
  </si>
  <si>
    <t>إرسال رسالة مشفرة عبر OMEMO</t>
  </si>
  <si>
    <t>Изпр. на съобщение, шифр. чрез OMEMO</t>
  </si>
  <si>
    <t>Envia un missatge xifrat amb OMEMO</t>
  </si>
  <si>
    <t>OMEMO-verschlüsselt schreiben…</t>
  </si>
  <si>
    <t>Enviar mensaje cifrado con OMEMO</t>
  </si>
  <si>
    <t>Envoyer un message chiffré avec OMEMO</t>
  </si>
  <si>
    <t>Enviar mensaxe cifrada con OMEMO</t>
  </si>
  <si>
    <t>OMEMO titkosított üzenet küldése</t>
  </si>
  <si>
    <t>Invia messaggio cifrato OMEMO</t>
  </si>
  <si>
    <t>OMEMO 暗号化メッセージを送信</t>
  </si>
  <si>
    <t>OMEMO로 암호화된 메세지</t>
  </si>
  <si>
    <t>Verstuur OMEMO-versleuteld bericht</t>
  </si>
  <si>
    <t>Wyślij wiadomość zaszyfrowaną OMEMO</t>
  </si>
  <si>
    <t>Enviar mensagem cifrada com OMEMO</t>
  </si>
  <si>
    <t>OMEMO зашифр. сообщение</t>
  </si>
  <si>
    <t>Poslať OMEMO šifrovanú správu</t>
  </si>
  <si>
    <t>Пошаљи ОМЕМО шифровану поруку</t>
  </si>
  <si>
    <t>Skicka OMEMO-krypterat meddelande</t>
  </si>
  <si>
    <t>Відправити повідомлення, зашифроване OMEMO</t>
  </si>
  <si>
    <t>Gửi tin nhắn mã hoá OMEMO</t>
  </si>
  <si>
    <t>送 OMEMO 加密訊息</t>
  </si>
  <si>
    <t>venezuela</t>
  </si>
  <si>
    <t>Venezuela (Bolivarian Republic of)</t>
  </si>
  <si>
    <t>Venezuela</t>
  </si>
  <si>
    <t>Venezuela (République Bolivarienne du)</t>
  </si>
  <si>
    <t>Венесуэла</t>
  </si>
  <si>
    <t>Venecuela</t>
  </si>
  <si>
    <t>conference_address_example</t>
  </si>
  <si>
    <t>room@conference.baha.com/nick</t>
  </si>
  <si>
    <t>room@conference.teletrader.com/nick</t>
  </si>
  <si>
    <t>стая@беседа.сървър.com/псевдоним</t>
  </si>
  <si>
    <t>raum@conference.beispiel.de/Nickname</t>
  </si>
  <si>
    <t>sala@salas.ejemplo.com/nick</t>
  </si>
  <si>
    <t>salle@conference.exemple.com/pseudo</t>
  </si>
  <si>
    <t>sala@xuntanza.exemplo.com/nick</t>
  </si>
  <si>
    <t>stanza@conferenza.esempio.com/nick</t>
  </si>
  <si>
    <t>ruimte@groepsgesprek.voorbeeld.be/naam</t>
  </si>
  <si>
    <t>konferencja@konferencje.teletrader.com/nick</t>
  </si>
  <si>
    <t>soba@konferencija.primer.com/nadimak</t>
  </si>
  <si>
    <t>tt_kursziel</t>
  </si>
  <si>
    <t>Target price</t>
  </si>
  <si>
    <t>السعر المستهدف</t>
  </si>
  <si>
    <t>Целева цена</t>
  </si>
  <si>
    <t>Cílová cena</t>
  </si>
  <si>
    <t>Målpris</t>
  </si>
  <si>
    <t>Kursziel</t>
  </si>
  <si>
    <t>Τιμή στόχος</t>
  </si>
  <si>
    <t>Precio objetivo</t>
  </si>
  <si>
    <t>Tavoitehinta</t>
  </si>
  <si>
    <t>Prix cible</t>
  </si>
  <si>
    <t>लक्षित कीमत</t>
  </si>
  <si>
    <t>Célárfolyam</t>
  </si>
  <si>
    <t>Harga target</t>
  </si>
  <si>
    <t>Stima target</t>
  </si>
  <si>
    <t>מחיר היעד</t>
  </si>
  <si>
    <t>目標価格</t>
  </si>
  <si>
    <t>목표 가격</t>
  </si>
  <si>
    <t>Harga sasaran</t>
  </si>
  <si>
    <t>Doelprijs/waarde</t>
  </si>
  <si>
    <t>Cena Docelowa</t>
  </si>
  <si>
    <t>Preço-alvo</t>
  </si>
  <si>
    <t>Preț țintă</t>
  </si>
  <si>
    <t>Целевая цена</t>
  </si>
  <si>
    <t>Cieľová cena</t>
  </si>
  <si>
    <t>Ciljna cena</t>
  </si>
  <si>
    <t>Ciljana cena</t>
  </si>
  <si>
    <t>ราคาเป้าหมาย</t>
  </si>
  <si>
    <t>Hedef fiyat</t>
  </si>
  <si>
    <t>Giá mục tiêu</t>
  </si>
  <si>
    <t>目标价</t>
  </si>
  <si>
    <t>&gt;目標價</t>
  </si>
  <si>
    <t>delete_messages</t>
  </si>
  <si>
    <t>DELETE</t>
  </si>
  <si>
    <t>LÖSCHEN</t>
  </si>
  <si>
    <t>BORRAR</t>
  </si>
  <si>
    <t>EFFACER</t>
  </si>
  <si>
    <t>УДАЛИТЬ</t>
  </si>
  <si>
    <t>OBRIŠI</t>
  </si>
  <si>
    <t>title_activity_choose_contacts</t>
  </si>
  <si>
    <t>Choose Contacts</t>
  </si>
  <si>
    <t>Изберете контакти</t>
  </si>
  <si>
    <t>Seleccionar contactes</t>
  </si>
  <si>
    <t>Kontakte auswählen</t>
  </si>
  <si>
    <t>Seleccionar Contactos</t>
  </si>
  <si>
    <t>Choisir les contacts</t>
  </si>
  <si>
    <t>Escolla contactos</t>
  </si>
  <si>
    <t>Válassz névjegyeket</t>
  </si>
  <si>
    <t>Scegli i contatti</t>
  </si>
  <si>
    <t>連絡先の選択</t>
  </si>
  <si>
    <t>Contacten kiezen</t>
  </si>
  <si>
    <t>Wybierz kontakty</t>
  </si>
  <si>
    <t>Escolher contactos</t>
  </si>
  <si>
    <t>Выберите контакты</t>
  </si>
  <si>
    <t>Изабери контакте</t>
  </si>
  <si>
    <t>last_seen_hour</t>
  </si>
  <si>
    <t>last seen 1 hour ago</t>
  </si>
  <si>
    <t>آخر ظهور منذ 1 ساعة</t>
  </si>
  <si>
    <t>последно видян преди 1 час</t>
  </si>
  <si>
    <t>darrera connexió: fa 1 hora</t>
  </si>
  <si>
    <t>vor einer Stunde gesehen</t>
  </si>
  <si>
    <t>Visto última vez hace 1 hora</t>
  </si>
  <si>
    <t>en ligne il y a 1 heure</t>
  </si>
  <si>
    <t>visto hai 1 hora</t>
  </si>
  <si>
    <t>1 órája volt aktív</t>
  </si>
  <si>
    <t>terlihat 1 jam lalu</t>
  </si>
  <si>
    <t>visto 1 ora fa</t>
  </si>
  <si>
    <t>1 時間前に会いました</t>
  </si>
  <si>
    <t>1시간 전까지 접속했었음</t>
  </si>
  <si>
    <t>1 uur geleden voor het laatst gezien</t>
  </si>
  <si>
    <t>widziany godzinę temu</t>
  </si>
  <si>
    <t>visto há 1 hora atrás</t>
  </si>
  <si>
    <t>Присутствие: 1 час назад</t>
  </si>
  <si>
    <t>naposledy prihlásený pred 1 hodinou</t>
  </si>
  <si>
    <t>виђен/а пре сата</t>
  </si>
  <si>
    <t>senast sedd 1 timme sedan</t>
  </si>
  <si>
    <t>востанє бачили 1 годину тому</t>
  </si>
  <si>
    <t>thấy lần cuối 1 tiếng trước</t>
  </si>
  <si>
    <t>1 小時前查看過</t>
  </si>
  <si>
    <t>save_chat_image_problem</t>
  </si>
  <si>
    <t>Problem saving image.</t>
  </si>
  <si>
    <t>Problem beim Speichern des Bildes.</t>
  </si>
  <si>
    <t>Problema salvando la imagen.</t>
  </si>
  <si>
    <t>Problème avec l\'enregistrement de l\'image.</t>
  </si>
  <si>
    <t>Probléma a kép mentésével.</t>
  </si>
  <si>
    <t>Проблема с сохранением изображения.</t>
  </si>
  <si>
    <t>Problem u toku snimanja slike.</t>
  </si>
  <si>
    <t>tt_static_wallpaper</t>
  </si>
  <si>
    <t>Choose wallpaper</t>
  </si>
  <si>
    <t>اختيار خلفية</t>
  </si>
  <si>
    <t>Избери тапет</t>
  </si>
  <si>
    <t>Vyberte tapetu</t>
  </si>
  <si>
    <t>Vælg tapet</t>
  </si>
  <si>
    <t>Wallpaper auswählen</t>
  </si>
  <si>
    <t>Επιλογή ταπετσαρίας</t>
  </si>
  <si>
    <t>Seleccionar fondo de pantalla</t>
  </si>
  <si>
    <t>Valitse taustakuva</t>
  </si>
  <si>
    <t>Choisir un fond d\'écran</t>
  </si>
  <si>
    <t>वॉलपेपर का चयन करें</t>
  </si>
  <si>
    <t>Válasszon háttérképet</t>
  </si>
  <si>
    <t>Pilih walpaper</t>
  </si>
  <si>
    <t>Scegli lo sfondo</t>
  </si>
  <si>
    <t>בחר תמונת רקע</t>
  </si>
  <si>
    <t>壁紙を選ぶ</t>
  </si>
  <si>
    <t>월페이퍼 선택</t>
  </si>
  <si>
    <t>Pilih kertas dinding</t>
  </si>
  <si>
    <t>Kies achtergrond</t>
  </si>
  <si>
    <t>Velg bakgrunnsbilde</t>
  </si>
  <si>
    <t>Wybierz tapetę</t>
  </si>
  <si>
    <t>Escolher wallpaper</t>
  </si>
  <si>
    <t>Alege imaginea de fundal</t>
  </si>
  <si>
    <t>Выбрать обои</t>
  </si>
  <si>
    <t>Vybrať tapetu</t>
  </si>
  <si>
    <t>Izberite ozadje</t>
  </si>
  <si>
    <t>Izaberi tapet</t>
  </si>
  <si>
    <t>Välj bakgrundsbild</t>
  </si>
  <si>
    <t>เลือกภาพวอลเปเปอร์</t>
  </si>
  <si>
    <t>Duvar kağıdı seç</t>
  </si>
  <si>
    <t>Chọn hình nền</t>
  </si>
  <si>
    <t>apk</t>
  </si>
  <si>
    <t>Android App</t>
  </si>
  <si>
    <t>تطبيق اندرويد</t>
  </si>
  <si>
    <t>Приложение за Андроид</t>
  </si>
  <si>
    <t>Aplicació d\'Android</t>
  </si>
  <si>
    <t>Application Android</t>
  </si>
  <si>
    <t>App Android</t>
  </si>
  <si>
    <t>Android applikáció</t>
  </si>
  <si>
    <t>Apl Android</t>
  </si>
  <si>
    <t>Applicazione Android</t>
  </si>
  <si>
    <t>Android アプリ</t>
  </si>
  <si>
    <t>안드로이드 앱</t>
  </si>
  <si>
    <t>Android-applicatie</t>
  </si>
  <si>
    <t>Aplikacja Androida</t>
  </si>
  <si>
    <t>Aplicação Android</t>
  </si>
  <si>
    <t>Приложение Android</t>
  </si>
  <si>
    <t>Апликација за Андроид</t>
  </si>
  <si>
    <t>Android-app</t>
  </si>
  <si>
    <t>програма Android</t>
  </si>
  <si>
    <t>Ứng dụng Android</t>
  </si>
  <si>
    <t>waiting</t>
  </si>
  <si>
    <t>waiting…</t>
  </si>
  <si>
    <t>انتظار ..</t>
  </si>
  <si>
    <t>изчакване…</t>
  </si>
  <si>
    <t>s\'està esperant...</t>
  </si>
  <si>
    <t>warten…</t>
  </si>
  <si>
    <t>esperando…</t>
  </si>
  <si>
    <t>Patientez…</t>
  </si>
  <si>
    <t>agardando...</t>
  </si>
  <si>
    <t>várakozik...</t>
  </si>
  <si>
    <t>menunggu...</t>
  </si>
  <si>
    <t>in attesa…</t>
  </si>
  <si>
    <t>待機中…</t>
  </si>
  <si>
    <t>대기중...</t>
  </si>
  <si>
    <t>wachten…</t>
  </si>
  <si>
    <t>oczekiwanie...</t>
  </si>
  <si>
    <t>aguardando...</t>
  </si>
  <si>
    <t>ожидание…</t>
  </si>
  <si>
    <t>čakám…</t>
  </si>
  <si>
    <t>чекам…</t>
  </si>
  <si>
    <t>väntar…</t>
  </si>
  <si>
    <t>чекаю…</t>
  </si>
  <si>
    <t>đang chờ...</t>
  </si>
  <si>
    <t>等待…</t>
  </si>
  <si>
    <t>gp_short</t>
  </si>
  <si>
    <t>Short</t>
  </si>
  <si>
    <t>قصير</t>
  </si>
  <si>
    <t>Кратко</t>
  </si>
  <si>
    <t>Curt</t>
  </si>
  <si>
    <t>kurz</t>
  </si>
  <si>
    <t>Corto</t>
  </si>
  <si>
    <t>Courte</t>
  </si>
  <si>
    <t>Rövid</t>
  </si>
  <si>
    <t>Pendek</t>
  </si>
  <si>
    <t>Breve</t>
  </si>
  <si>
    <t>短</t>
  </si>
  <si>
    <t>짧음</t>
  </si>
  <si>
    <t>Kort</t>
  </si>
  <si>
    <t>Krótki</t>
  </si>
  <si>
    <t>Curto</t>
  </si>
  <si>
    <t>Короткий</t>
  </si>
  <si>
    <t>Кратак</t>
  </si>
  <si>
    <t>blocked</t>
  </si>
  <si>
    <t>Blocked</t>
  </si>
  <si>
    <t>Блокиран</t>
  </si>
  <si>
    <t>Bloquejats</t>
  </si>
  <si>
    <t>Gesperrt</t>
  </si>
  <si>
    <t>Bloqueado</t>
  </si>
  <si>
    <t>Bloqué</t>
  </si>
  <si>
    <t>Letiltva</t>
  </si>
  <si>
    <t>Bloccato</t>
  </si>
  <si>
    <t>ブロックしました</t>
  </si>
  <si>
    <t>Geblokkeerd</t>
  </si>
  <si>
    <t>Zablokowane</t>
  </si>
  <si>
    <t>tt_unbekannt</t>
  </si>
  <si>
    <t>Neznámá</t>
  </si>
  <si>
    <t>Ukendt</t>
  </si>
  <si>
    <t>Αγνωστος</t>
  </si>
  <si>
    <t>Tuntematon</t>
  </si>
  <si>
    <t>अज्ञात</t>
  </si>
  <si>
    <t>Ismeretlen</t>
  </si>
  <si>
    <t>Tidak Diketahui</t>
  </si>
  <si>
    <t>לא ידוע</t>
  </si>
  <si>
    <t>Ukjent</t>
  </si>
  <si>
    <t>Necunoscut</t>
  </si>
  <si>
    <t>Неизвестно</t>
  </si>
  <si>
    <t>Neznano</t>
  </si>
  <si>
    <t>Nepoznat</t>
  </si>
  <si>
    <t>ไม่ทราบที่มา</t>
  </si>
  <si>
    <t>Bilinmeyen</t>
  </si>
  <si>
    <t>Không xác định</t>
  </si>
  <si>
    <t>&gt;未知</t>
  </si>
  <si>
    <t>message_typing</t>
  </si>
  <si>
    <t>Typing...</t>
  </si>
  <si>
    <t>Schreibt...</t>
  </si>
  <si>
    <t>Escribiendo...</t>
  </si>
  <si>
    <t>En train d\'écrire...</t>
  </si>
  <si>
    <t>Печатает...</t>
  </si>
  <si>
    <t>Piše...</t>
  </si>
  <si>
    <t>chat_load_image</t>
  </si>
  <si>
    <t>Load image</t>
  </si>
  <si>
    <t>Bild laden</t>
  </si>
  <si>
    <t>Cargar imagen</t>
  </si>
  <si>
    <t>Charger l\'image</t>
  </si>
  <si>
    <t>Kép betöltése</t>
  </si>
  <si>
    <t>Загрузить изображение</t>
  </si>
  <si>
    <t>Učitaj sliku</t>
  </si>
  <si>
    <t>tt_network_not_available</t>
  </si>
  <si>
    <t>Internet connection is not available</t>
  </si>
  <si>
    <t>اتصال الإنترنت غير متوفر</t>
  </si>
  <si>
    <t>Не е налична интернет връзка</t>
  </si>
  <si>
    <t>Není k dispozici připojení k internetu</t>
  </si>
  <si>
    <t>Internetforbindelse er ikke tilgængelig</t>
  </si>
  <si>
    <t>Keine Internetverbindung verfügbar</t>
  </si>
  <si>
    <t>Η σύνδεση στο Διαδίκτυο δεν είναι διαθέσιμη</t>
  </si>
  <si>
    <t>La conexión a internet no está disponible.</t>
  </si>
  <si>
    <t>Internet-yhteyttä ei ole käytettävissä</t>
  </si>
  <si>
    <t>Vous n\'êtes pas connecté à Internet. Merci de vérifier votre connexion.</t>
  </si>
  <si>
    <t>इंटरनेट कनेक्शन उपलब्ध नहीं है</t>
  </si>
  <si>
    <t>Az internetkapcsolat nem elérhető</t>
  </si>
  <si>
    <t>Sambungan internet tidak tersedia</t>
  </si>
  <si>
    <t>La connessione Internet non è disponibile</t>
  </si>
  <si>
    <t>חיבור אינטרנט אינו זמין</t>
  </si>
  <si>
    <t>ネットワークに接続できません</t>
  </si>
  <si>
    <t>인터넷에 연결할 수 없습니다</t>
  </si>
  <si>
    <t>Geen internetverbinding beschikbaar</t>
  </si>
  <si>
    <t>Internett-tilkobling er ikke tilgjengelig</t>
  </si>
  <si>
    <t>Połączenie z Internetem nie jest dostępne</t>
  </si>
  <si>
    <t>Conexão à Internet não está disponível</t>
  </si>
  <si>
    <t>Conexiunea la Internet nu este disponibilă</t>
  </si>
  <si>
    <t>Отсутствует соединение с интернетом</t>
  </si>
  <si>
    <t>Internetové pripojenie nie je k dispozícii</t>
  </si>
  <si>
    <t>Internetna povezava ni na voljo</t>
  </si>
  <si>
    <t>Internet konekcija nije dostupna</t>
  </si>
  <si>
    <t>Internetanslutning ej tillgänglig</t>
  </si>
  <si>
    <t>ไม่มีสัญญาณอินเทอร์เน็ต</t>
  </si>
  <si>
    <t>İnternet bağlantısı mevcut değil</t>
  </si>
  <si>
    <t>Kết nối Internet không khả dụng</t>
  </si>
  <si>
    <t>不能连接互联网</t>
  </si>
  <si>
    <t>&gt;不能連接互聯網</t>
  </si>
  <si>
    <t>tt_pull_down_to_refresh</t>
  </si>
  <si>
    <t>Pull down to refresh...</t>
  </si>
  <si>
    <t>للتحديث اسحب للأسفل...</t>
  </si>
  <si>
    <t>Дръпнете надолу, за да презаредите...</t>
  </si>
  <si>
    <t>Obnovit můžete potažením dolů...</t>
  </si>
  <si>
    <t>Træk ned for at opdatere...</t>
  </si>
  <si>
    <t>Herunterziehen zum Neuladen...</t>
  </si>
  <si>
    <t>Τραβήξτε προς τα κάτω για ανανέωση...</t>
  </si>
  <si>
    <t>Deslice hacia abajo para actualizar...</t>
  </si>
  <si>
    <t>Vedä alas päivittääksesi...</t>
  </si>
  <si>
    <t>Tirez vers le bas pour rafraîchir</t>
  </si>
  <si>
    <t>रिफ्रेश करने के लिए नीचे की ओर खींचें...</t>
  </si>
  <si>
    <t>Frissítéshez húzza lefelé…</t>
  </si>
  <si>
    <t>Tarik ke bawah untuk memuat ulang...</t>
  </si>
  <si>
    <t>Tira giù per aggiornare…</t>
  </si>
  <si>
    <t>משוך למטה כדי לרענן...</t>
  </si>
  <si>
    <t>更新する</t>
  </si>
  <si>
    <t>새로고침 하려면 아래로 내리세요...</t>
  </si>
  <si>
    <t>Tarik ke bawah untuk muatkan semula...</t>
  </si>
  <si>
    <t>Veeg naar beneden om te refreshen...</t>
  </si>
  <si>
    <t>Trekk ned for å oppdatere ...</t>
  </si>
  <si>
    <t>Przeciągnij w dół, aby odświeżyć ...</t>
  </si>
  <si>
    <t>Puxar para baixo para atualizar</t>
  </si>
  <si>
    <t>Trage în jos pentru a reîmprospăta...</t>
  </si>
  <si>
    <t>Чтобы обновить, потяните страницу вниз</t>
  </si>
  <si>
    <t>Potiahnutím nadol obnovíte...</t>
  </si>
  <si>
    <t>Povlecite navzdol, da osvežite...</t>
  </si>
  <si>
    <t>Povuži nadole za osvežavanje...</t>
  </si>
  <si>
    <t>Dra ner för att uppdatera...</t>
  </si>
  <si>
    <t>ดึงลงเพื่อรีเฟรช...</t>
  </si>
  <si>
    <t>Yenilemek için aşağıya çekin...</t>
  </si>
  <si>
    <t>Kéo xuống để tải lại...</t>
  </si>
  <si>
    <t>拉下页面更新</t>
  </si>
  <si>
    <t>&gt;拉下頁面更新</t>
  </si>
  <si>
    <t>onboarding_be_first</t>
  </si>
  <si>
    <t>Be the first to hear the latest news.</t>
  </si>
  <si>
    <t>Seien Sie der Erste, der die neuesten Nachrichten erfährt.</t>
  </si>
  <si>
    <t>Sé el primero en escuchar las noticias más recientes.</t>
  </si>
  <si>
    <t>Vær den første til at høre de seneste nyheder.</t>
  </si>
  <si>
    <t>Kuule ensimmäisenä tuoreimmat uutiset.</t>
  </si>
  <si>
    <t>Soyez le premier à connaître les dernières nouvelles.</t>
  </si>
  <si>
    <t>Ismerje meg elsőként a legfrissebb híreket.</t>
  </si>
  <si>
    <t>Jadilah yang pertama mendengar berita terbaru.</t>
  </si>
  <si>
    <t>Ricevi per primo le ultime notizie.</t>
  </si>
  <si>
    <t>En son haberleri ilk duyan siz olun.</t>
  </si>
  <si>
    <t>最新ニュースをいち早く知る</t>
  </si>
  <si>
    <t>최근 소식을 먼저 들으세요.</t>
  </si>
  <si>
    <t>Jadilah orang pertama untuk mendengar berita terkini.</t>
  </si>
  <si>
    <t>Hoor als eerste het laatste nieuws.</t>
  </si>
  <si>
    <t>Bli den første til å høre siste nytt</t>
  </si>
  <si>
    <t>Otrzymuj jako pierwszy najnowsze wiadomości.</t>
  </si>
  <si>
    <t>Seja o primeiro a saber das últimas notícias.</t>
  </si>
  <si>
    <t>Узнавайте самые свежие новости первыми.</t>
  </si>
  <si>
    <t>第一时间知晓最新消息。</t>
  </si>
  <si>
    <t>Budite prvi koji će čuti najnovije vesti.</t>
  </si>
  <si>
    <t>Var först med att höra senaste nytt.</t>
  </si>
  <si>
    <t>appstore_picture3_bottom</t>
  </si>
  <si>
    <t>قوائم المراقبة تتبع أهم أوراقك المالية</t>
  </si>
  <si>
    <t>Уочлисти / Следвайте най-важните си ценни книжа</t>
  </si>
  <si>
    <t>Seznamy sledovaných / sledujte své nejdůležitější cenné papíry</t>
  </si>
  <si>
    <t>Overvågningslister / Følg dine vigtigste værdipapirer</t>
  </si>
  <si>
    <t>Λίστες παρακολούθησης / Ακολουθήστε τις πιο σημαντικές εγγυήσεις σας</t>
  </si>
  <si>
    <t>Tarkkailulistat / Seuraa tärkeimpiä arvopapereitasi</t>
  </si>
  <si>
    <t>वॉचलिस्ट / अपनी सबसे महत्वपूर्ण प्रतिभूतियों को फॉलो करें</t>
  </si>
  <si>
    <t>רשימות מעקב / עקוב אחר ניירות הערך החשובים ביותר שלך</t>
  </si>
  <si>
    <t>관심목록
  가장 중요한 유가증권 목록에 추가</t>
  </si>
  <si>
    <t>Overvåkningslister / Følg de viktigste verdipapirene dine</t>
  </si>
  <si>
    <t>Liste de urmărire / Urmărește cele mai importante valori mobiliare</t>
  </si>
  <si>
    <t>Sledované zoznamy / Sledujte svoje najdôležitejšie cenné papiere</t>
  </si>
  <si>
    <t>Seznami za spremljanje / Sledite svojim najpomembnejšim vrednostnim papirjem</t>
  </si>
  <si>
    <t>Bevakningslistor / Följ dina viktigaste värdepapper</t>
  </si>
  <si>
    <t>รายการหุ้นที่ติดตาม / ติดตามหลักทรัพย์ที่คุณให้ความสนใจมากที่สุด</t>
  </si>
  <si>
    <t>Danh mục theo dõi/Theo dõi các mã chứng khoán quan trọng nhất của bạn</t>
  </si>
  <si>
    <t>tt_watchlist_remove_symbols</t>
  </si>
  <si>
    <t>Remove selected</t>
  </si>
  <si>
    <t>إزالة المحدد</t>
  </si>
  <si>
    <t>Премахни избраното</t>
  </si>
  <si>
    <t>Odstranit vybrané</t>
  </si>
  <si>
    <t>Fjern valgte</t>
  </si>
  <si>
    <t>Αφαίρεση επιλεγμένων</t>
  </si>
  <si>
    <t>Poista valitut</t>
  </si>
  <si>
    <t>चयनित को हटाएँ</t>
  </si>
  <si>
    <t>Törlés kiválasztva</t>
  </si>
  <si>
    <t>Hapus yang ditandai</t>
  </si>
  <si>
    <t>Rimuovi selezionato</t>
  </si>
  <si>
    <t>הסר פריטים שנבחרו</t>
  </si>
  <si>
    <t>選択済削除</t>
  </si>
  <si>
    <t>선택항목 삭제</t>
  </si>
  <si>
    <t>Buang yang ditanda</t>
  </si>
  <si>
    <t>Verwijder geselecteerde</t>
  </si>
  <si>
    <t>Remover selecionado</t>
  </si>
  <si>
    <t>Sterge selecția</t>
  </si>
  <si>
    <t>Удалить выделенные</t>
  </si>
  <si>
    <t>Odstrániť zvolené</t>
  </si>
  <si>
    <t>Odstrani izbrano</t>
  </si>
  <si>
    <t>Ukloni selektovano</t>
  </si>
  <si>
    <t>Ta bort markerade</t>
  </si>
  <si>
    <t>ลบสิ่งที่เลือก</t>
  </si>
  <si>
    <t>Seçilenleri kaldır</t>
  </si>
  <si>
    <t>Gỡ các mục đã chọn</t>
  </si>
  <si>
    <t>删除所选</t>
  </si>
  <si>
    <t>&gt;刪除所選</t>
  </si>
  <si>
    <t>tt_time</t>
  </si>
  <si>
    <t>Time</t>
  </si>
  <si>
    <t>الوقت</t>
  </si>
  <si>
    <t>Време</t>
  </si>
  <si>
    <t>Čas</t>
  </si>
  <si>
    <t>Tid</t>
  </si>
  <si>
    <t>Zeit</t>
  </si>
  <si>
    <t>Ώρα</t>
  </si>
  <si>
    <t>Aika</t>
  </si>
  <si>
    <t>Heure</t>
  </si>
  <si>
    <t>समय</t>
  </si>
  <si>
    <t>Idő</t>
  </si>
  <si>
    <t>Waktu</t>
  </si>
  <si>
    <t>Tempo</t>
  </si>
  <si>
    <t>זמן</t>
  </si>
  <si>
    <t>時間</t>
  </si>
  <si>
    <t>시각</t>
  </si>
  <si>
    <t>Masa</t>
  </si>
  <si>
    <t>Tijd</t>
  </si>
  <si>
    <t>Czas</t>
  </si>
  <si>
    <t>Timp</t>
  </si>
  <si>
    <t>Время</t>
  </si>
  <si>
    <t>เวลา</t>
  </si>
  <si>
    <t>Saat</t>
  </si>
  <si>
    <t>Thời gian</t>
  </si>
  <si>
    <t>时间</t>
  </si>
  <si>
    <t>&gt;時間</t>
  </si>
  <si>
    <t>account_image_description</t>
  </si>
  <si>
    <t>Account avatar</t>
  </si>
  <si>
    <t>الصورة الرمزية للحساب</t>
  </si>
  <si>
    <t>Аватар на профила</t>
  </si>
  <si>
    <t>Avatar del compte</t>
  </si>
  <si>
    <t>Konto-Avatar</t>
  </si>
  <si>
    <t>Imagen de perfil</t>
  </si>
  <si>
    <t>Avatar du compte</t>
  </si>
  <si>
    <t>Avatar da conta</t>
  </si>
  <si>
    <t>Fiók profilkép</t>
  </si>
  <si>
    <t>Avatar akun</t>
  </si>
  <si>
    <t>Avatar utente</t>
  </si>
  <si>
    <t>アカウント アバター</t>
  </si>
  <si>
    <t>계정 아바타</t>
  </si>
  <si>
    <t>Account-avatar</t>
  </si>
  <si>
    <t>Awatar konta</t>
  </si>
  <si>
    <t>Аватар аккаунта</t>
  </si>
  <si>
    <t>Avatar účtu</t>
  </si>
  <si>
    <t>Аватар налога</t>
  </si>
  <si>
    <t>Kontots avatarbild</t>
  </si>
  <si>
    <t>Аватар облікового запису</t>
  </si>
  <si>
    <t>Ảnh đại diện tài khoản</t>
  </si>
  <si>
    <t>帳戶頭像</t>
  </si>
  <si>
    <t>tt_email_address_description</t>
  </si>
  <si>
    <t>E-mail address (will be your username)</t>
  </si>
  <si>
    <t>عنوان البريد الإلكتروني (سيكون اسم المستخدم الخاص بك)</t>
  </si>
  <si>
    <t>Е-мейл адрес (ще бъде вашето потребителско име)</t>
  </si>
  <si>
    <t>E-mailová adresa (bude Vaše uživatelské jméno)</t>
  </si>
  <si>
    <t>E-mail-adresse (vil være dit brugernavn)</t>
  </si>
  <si>
    <t>Διεύθυνση email (θα είναι το όνομα χρήστη σας)</t>
  </si>
  <si>
    <t>Dirección de correo electrónico (será su nombre de usuario)</t>
  </si>
  <si>
    <t>Sähköpostiosoite (tulee olemaan käyttäjänimesi)</t>
  </si>
  <si>
    <t>Adresse email (c\'est aussi votre identifiant)</t>
  </si>
  <si>
    <t>ई-मेल पता (आपका यूजरनेम होगा)</t>
  </si>
  <si>
    <t>E-mail cím (ez lesz a felhasználói neve)</t>
  </si>
  <si>
    <t>Alamat email (akan menjadi nama pengguna anda)</t>
  </si>
  <si>
    <t>Email (sarà il tuo username)</t>
  </si>
  <si>
    <t>כתובת דואר אלקטרוני (תשמש כשם המשתמש שלך)</t>
  </si>
  <si>
    <t>e-メールアドレス（ユーザー名となります）</t>
  </si>
  <si>
    <t>이메일 주소(사용자이름으로 사용됩니다)</t>
  </si>
  <si>
    <t>Alamat e-mel (akan menjadi nama pengguna anda)</t>
  </si>
  <si>
    <t>e-mailadres (wordt uw gebruikersnaam)</t>
  </si>
  <si>
    <t>E-postadresse (vil være ditt brukernavn)</t>
  </si>
  <si>
    <t>E-mail (będzie Twoją nazwą użytkownika)</t>
  </si>
  <si>
    <t>Endereço de e- mail ( será o seu nome de usuário )</t>
  </si>
  <si>
    <t>Adresa de e-mail (va fi numele dvs. de utilizator)</t>
  </si>
  <si>
    <t>Адрес электронной почты (будет использован как имя пользователя)</t>
  </si>
  <si>
    <t>E-mailová adresa (bude vaše používateľské meno)</t>
  </si>
  <si>
    <t>E-poštni naslov (bo vaše uporabniško ime)</t>
  </si>
  <si>
    <t>E-mail (biće korisničko ime)</t>
  </si>
  <si>
    <t>E-postadress (ditt användarnamn)</t>
  </si>
  <si>
    <t>อีเมล (ซึ่งจะเป็นชื่อผู้ใช้ของคุณ)</t>
  </si>
  <si>
    <t>E-Posta adresi (Kullanıcı adınız olacaktır)</t>
  </si>
  <si>
    <t>Địa chỉ email (sẽ là tên người dùng của bạn)</t>
  </si>
  <si>
    <t>电邮地址（用户登入名称）</t>
  </si>
  <si>
    <t>&gt;電郵地址（用戶登入名稱）</t>
  </si>
  <si>
    <t>activate</t>
  </si>
  <si>
    <t>Activate</t>
  </si>
  <si>
    <t>Activar</t>
  </si>
  <si>
    <t>Activer</t>
  </si>
  <si>
    <t>Активировать</t>
  </si>
  <si>
    <t>fetching_keys</t>
  </si>
  <si>
    <t>Fetching keys…</t>
  </si>
  <si>
    <t>جارإحضار المفاتيح ...</t>
  </si>
  <si>
    <t>Изтегляне на ключове…</t>
  </si>
  <si>
    <t>S\'estan obtenint les claus...</t>
  </si>
  <si>
    <t>Schlüssel werden abgerufen …</t>
  </si>
  <si>
    <t>Buscando claves...</t>
  </si>
  <si>
    <t>Récupération des clefs...</t>
  </si>
  <si>
    <t>Obtendo chaves...</t>
  </si>
  <si>
    <t>Kulcsok beszerzése...</t>
  </si>
  <si>
    <t>Ricezione chiavi...</t>
  </si>
  <si>
    <t>鍵の取得中…</t>
  </si>
  <si>
    <t>키 가져오는 중...</t>
  </si>
  <si>
    <t>Sleutels ophalen…</t>
  </si>
  <si>
    <t>Pobieranie kluczy...</t>
  </si>
  <si>
    <t>Obtendo as chaves...</t>
  </si>
  <si>
    <t>Получение ключей…</t>
  </si>
  <si>
    <t>Добављам кључеве…</t>
  </si>
  <si>
    <t>Hämtar nycklar...</t>
  </si>
  <si>
    <t>Отримую ключі…</t>
  </si>
  <si>
    <t>Đang nhận khoá...</t>
  </si>
  <si>
    <t>獲取金鑰中</t>
  </si>
  <si>
    <t>enable_notifications</t>
  </si>
  <si>
    <t>Enable notifications</t>
  </si>
  <si>
    <t>تفعيل الإشعارات</t>
  </si>
  <si>
    <t>Включване на известията</t>
  </si>
  <si>
    <t>Habilitar notificació</t>
  </si>
  <si>
    <t>Benachrichtigungen aktivieren</t>
  </si>
  <si>
    <t>Habilitar notificaciones</t>
  </si>
  <si>
    <t>Activer les notifications</t>
  </si>
  <si>
    <t>Habilitar notificacións</t>
  </si>
  <si>
    <t>Értesítések bekapcsolása</t>
  </si>
  <si>
    <t>Aktifkan notifikasi</t>
  </si>
  <si>
    <t>Attiva le notifiche</t>
  </si>
  <si>
    <t>通知を有効にする</t>
  </si>
  <si>
    <t>알림 사용</t>
  </si>
  <si>
    <t>Meldingen inschakelen</t>
  </si>
  <si>
    <t>Włącz powiadomienia</t>
  </si>
  <si>
    <t>Ativar notificações</t>
  </si>
  <si>
    <t>Включить уведомления</t>
  </si>
  <si>
    <t>Povoliť upozornenia</t>
  </si>
  <si>
    <t>Укључи обавештења</t>
  </si>
  <si>
    <t>Aktivera notifieringar</t>
  </si>
  <si>
    <t>Увікнути сповіщення</t>
  </si>
  <si>
    <t>Bật thông báo</t>
  </si>
  <si>
    <t>啟用通知</t>
  </si>
  <si>
    <t>hong_kong</t>
  </si>
  <si>
    <t>Hong Kong, SAR</t>
  </si>
  <si>
    <t>Hongkong</t>
  </si>
  <si>
    <t>Hong Kong</t>
  </si>
  <si>
    <t>Гонконг</t>
  </si>
  <si>
    <t>tt_point_value</t>
  </si>
  <si>
    <t>Point Value</t>
  </si>
  <si>
    <t>قيمة النقطة</t>
  </si>
  <si>
    <t>Пунктова стойност</t>
  </si>
  <si>
    <t>Bodová hodnota</t>
  </si>
  <si>
    <t>Punktværdi</t>
  </si>
  <si>
    <t>Punktwert</t>
  </si>
  <si>
    <t>Τιμή σημείου</t>
  </si>
  <si>
    <t>Valor del punto</t>
  </si>
  <si>
    <t>Pistearvo</t>
  </si>
  <si>
    <t>Valeur du point</t>
  </si>
  <si>
    <t>प्वाइंट मान</t>
  </si>
  <si>
    <t>Mutasson értéket</t>
  </si>
  <si>
    <t>Nilai Poin</t>
  </si>
  <si>
    <t>Valore del punto</t>
  </si>
  <si>
    <t>נקודת ערך</t>
  </si>
  <si>
    <t>ポイントバリュー</t>
  </si>
  <si>
    <t>포인트 값</t>
  </si>
  <si>
    <t>Nilai Tahap</t>
  </si>
  <si>
    <t>Punktverdi</t>
  </si>
  <si>
    <t>Wartość punktu</t>
  </si>
  <si>
    <t>Valor de ponto</t>
  </si>
  <si>
    <t>Valoarea Punctului</t>
  </si>
  <si>
    <t>Значение в точке</t>
  </si>
  <si>
    <t>Vrednost točke</t>
  </si>
  <si>
    <t>Vrednost tačke</t>
  </si>
  <si>
    <t>Punktvärde</t>
  </si>
  <si>
    <t>ค่าพ้อยท์</t>
  </si>
  <si>
    <t>Nokta Değeri</t>
  </si>
  <si>
    <t>Giá trị điểm</t>
  </si>
  <si>
    <t>点值</t>
  </si>
  <si>
    <t>save_as_bookmark</t>
  </si>
  <si>
    <t>Save as bookmark</t>
  </si>
  <si>
    <t>حفظ بالمفضلة</t>
  </si>
  <si>
    <t>Запазване като отметка</t>
  </si>
  <si>
    <t>Desa com a marcador</t>
  </si>
  <si>
    <t>Zur Kontaktliste hinzufügen</t>
  </si>
  <si>
    <t>Guardar en marcadores</t>
  </si>
  <si>
    <t>Enregistrer comme favori</t>
  </si>
  <si>
    <t>Gardar como marcador</t>
  </si>
  <si>
    <t>Könyvjelzőkhöz hozzáadás</t>
  </si>
  <si>
    <t>Simpan sebagai bookmark</t>
  </si>
  <si>
    <t>Salva come segnalibro</t>
  </si>
  <si>
    <t>ブックマークとして保存</t>
  </si>
  <si>
    <t>즐겨찾기로 저장</t>
  </si>
  <si>
    <t>Opslaan als bladwijzer</t>
  </si>
  <si>
    <t>Dodaj jako zakładkę</t>
  </si>
  <si>
    <t>Guardar como favorito</t>
  </si>
  <si>
    <t>Сохранить закладку</t>
  </si>
  <si>
    <t>Uložiť ako záložku</t>
  </si>
  <si>
    <t>Сачувај као обележивач</t>
  </si>
  <si>
    <t>Spara som bokmärke</t>
  </si>
  <si>
    <t>Зберегти як закладку</t>
  </si>
  <si>
    <t>Lưu thành đánh dấu</t>
  </si>
  <si>
    <t>保存為書簽</t>
  </si>
  <si>
    <t>group_chat_will_make_your_jabber_id_public</t>
  </si>
  <si>
    <t>This group chat will make your Jabber ID public</t>
  </si>
  <si>
    <t>tt_pf_sell_success</t>
  </si>
  <si>
    <t>Sell order successfully completed!</t>
  </si>
  <si>
    <t>تم إكمال أمر البيع بنجاح!</t>
  </si>
  <si>
    <t>Поръчката за продажба е успешно завършена!</t>
  </si>
  <si>
    <t>Prodejní příkaz úspěšně dokončen!</t>
  </si>
  <si>
    <t>Salgsordre fuldført!</t>
  </si>
  <si>
    <t>Verkaufsorder erfolgreich abgeschlossen!</t>
  </si>
  <si>
    <t>Η παραγγελία πώλησης ολοκληρώθηκε με επιτυχία!</t>
  </si>
  <si>
    <t>¡La orden de venta se ha realizado satisfactoriamente!</t>
  </si>
  <si>
    <t>Myyntitilaus onnistui!</t>
  </si>
  <si>
    <t>Ordre de vente validé avec succès</t>
  </si>
  <si>
    <t>बिक्री आदेश सफलतापूर्वक पूरा हुआ!</t>
  </si>
  <si>
    <t>Eladási megbízás sikeresen végrehajtva!</t>
  </si>
  <si>
    <t>Pesanan jual berhasil diselesaikan!</t>
  </si>
  <si>
    <t>L\'ordine di vendita è stato completato con successo!</t>
  </si>
  <si>
    <t>פקודת המכירה הושלמה בהצלחה!</t>
  </si>
  <si>
    <t>売注文完了</t>
  </si>
  <si>
    <t>매도 주문이 성공적으로 완료되었습니다!</t>
  </si>
  <si>
    <t>Pesanan jual berjaya disiapkan!</t>
  </si>
  <si>
    <t>Verkooporder succesvol afgerond!!</t>
  </si>
  <si>
    <t>Salgsordren fullført!</t>
  </si>
  <si>
    <t>Zlecenie sprzedaży zakończone powodzeniem!</t>
  </si>
  <si>
    <t>Ordem de venda concluída com sucesso!</t>
  </si>
  <si>
    <t>Comanda de vânzare a fost finalizată cu succes!</t>
  </si>
  <si>
    <t>Продажа завершена!</t>
  </si>
  <si>
    <t>Objednávka na predaj bola úspešne dokončená!</t>
  </si>
  <si>
    <t>Naročilo za prodajo uspešno zaključeno!</t>
  </si>
  <si>
    <t>Prodajni nalog je uspešno izvršen!</t>
  </si>
  <si>
    <t>Försäljningsordern slutförd!</t>
  </si>
  <si>
    <t>คำสั่งขายเสร็จสมบูรณ์แล้ว</t>
  </si>
  <si>
    <t>Satış talimatı başarıyla tamamlandı!</t>
  </si>
  <si>
    <t>Đã hoàn thành lệnh bán!</t>
  </si>
  <si>
    <t>成功卖出</t>
  </si>
  <si>
    <t>&gt;成功賣出</t>
  </si>
  <si>
    <t>tt_daterange_small_max</t>
  </si>
  <si>
    <t>Max</t>
  </si>
  <si>
    <t>الحد الأقصى</t>
  </si>
  <si>
    <t>Максимално</t>
  </si>
  <si>
    <t>Μέγ</t>
  </si>
  <si>
    <t>Maks.</t>
  </si>
  <si>
    <t>अधिकतम</t>
  </si>
  <si>
    <t>Maksimal</t>
  </si>
  <si>
    <t>מקסימום</t>
  </si>
  <si>
    <t>最小</t>
  </si>
  <si>
    <t>최대</t>
  </si>
  <si>
    <t>Maksima</t>
  </si>
  <si>
    <t>Maks</t>
  </si>
  <si>
    <t>Максимум</t>
  </si>
  <si>
    <t>Max.</t>
  </si>
  <si>
    <t>Maksimalno</t>
  </si>
  <si>
    <t>สูงสุด</t>
  </si>
  <si>
    <t>Maksimum</t>
  </si>
  <si>
    <t>Tối đa</t>
  </si>
  <si>
    <t>最大</t>
  </si>
  <si>
    <t>&gt;最大</t>
  </si>
  <si>
    <t>openpgp_messages_found</t>
  </si>
  <si>
    <t>OpenPGP encrypted messages found</t>
  </si>
  <si>
    <t>تم العثور على رسائل مشفرة بال OpenPGP</t>
  </si>
  <si>
    <t>Открити са съобщения, шифровани чрез OpenPGP</t>
  </si>
  <si>
    <t>S\'han trobat missatges xifrats amb OpenPGP</t>
  </si>
  <si>
    <t>Verschlüsselte OpenPGP-Nachricht gefunden</t>
  </si>
  <si>
    <t>Encontrado mensaje cifrado con OpenPGP</t>
  </si>
  <si>
    <t>Messages chiffrés avec OpenPGP détectés.</t>
  </si>
  <si>
    <t>Atopáronse mensaxes cifradas con OpenPGP</t>
  </si>
  <si>
    <t>OpenPGP kódolású üzeneteket találtunk</t>
  </si>
  <si>
    <t>pesan terkunci OpenPGP ditemukan</t>
  </si>
  <si>
    <t>Messaggi cifrati con OpenPGP trovati</t>
  </si>
  <si>
    <t>OpenPGP 暗号化されたメッセージが見つかりました</t>
  </si>
  <si>
    <t>OpenPGP 암호화 메세지 발견</t>
  </si>
  <si>
    <t>OpenPGP-versleutelde berichten gevonden</t>
  </si>
  <si>
    <t>Znaleziono wiadomości zaszyfrowane przez OpenPGP</t>
  </si>
  <si>
    <t>Mensagens encriptadas com OpenPGP encontradas</t>
  </si>
  <si>
    <t>Найдены OpenPGP зашифрованые сообщения</t>
  </si>
  <si>
    <t>Našla sa OpenPGP šifrovaná správa</t>
  </si>
  <si>
    <t>Нађене ОпенПГП шифроване поруке</t>
  </si>
  <si>
    <t>OpenPGP-krypterat meddelande funnet</t>
  </si>
  <si>
    <t>Знайдено повідомлення, зашифроване OpenPGP</t>
  </si>
  <si>
    <t>Đã tìm thấy các tin nhắn mã hoá OpenPGP</t>
  </si>
  <si>
    <t>發現 OpenPGP 加密訊息</t>
  </si>
  <si>
    <t>tt_edgar_price_earnings_ratio</t>
  </si>
  <si>
    <t>Price/Earnings Ratio</t>
  </si>
  <si>
    <t>نسبة السعر/الأرباح</t>
  </si>
  <si>
    <t>Съотношение цена/печалба</t>
  </si>
  <si>
    <t>Poměr cena/výdělek</t>
  </si>
  <si>
    <t>Pris/indtjeningsforhold</t>
  </si>
  <si>
    <t>Kurs/Gewinn-Verhältnis</t>
  </si>
  <si>
    <t>Αναλογία τιμής/κερδών</t>
  </si>
  <si>
    <t>Precio/ganancias ratio</t>
  </si>
  <si>
    <t>Hinta-tuottosuhde</t>
  </si>
  <si>
    <t>मूल्य/आय अनुपात</t>
  </si>
  <si>
    <t>P/E Rapporto</t>
  </si>
  <si>
    <t>יחס מחיר/רווחים</t>
  </si>
  <si>
    <t>株価収益率</t>
  </si>
  <si>
    <t>Kosten/opbrengsten ratio</t>
  </si>
  <si>
    <t>Pris/inntjeningsgrad</t>
  </si>
  <si>
    <t>Cena/Zysk</t>
  </si>
  <si>
    <t>Relação preço/ganhos</t>
  </si>
  <si>
    <t>Raport Preț/Câștiguri</t>
  </si>
  <si>
    <t>Pomer cena/zisk</t>
  </si>
  <si>
    <t>Razmerje med ceno in zaslužkom</t>
  </si>
  <si>
    <t>Trz. Cena/Dobit po akciji</t>
  </si>
  <si>
    <t>อัตราส่วนราคาต่อกำไร</t>
  </si>
  <si>
    <t>Fiyat/Kazanç oranı</t>
  </si>
  <si>
    <t>Hệ số Giá/Thu nhập</t>
  </si>
  <si>
    <t>市盈率</t>
  </si>
  <si>
    <t>ivory_coast</t>
  </si>
  <si>
    <t>Ivory Coast</t>
  </si>
  <si>
    <t>Elfenbeinküste</t>
  </si>
  <si>
    <t>Costa de Marfil</t>
  </si>
  <si>
    <t>Côte d\'Ivoire</t>
  </si>
  <si>
    <t>Costa d\'Avorio</t>
  </si>
  <si>
    <t>Кот-д’Ивуар</t>
  </si>
  <si>
    <t>Obala slonovače</t>
  </si>
  <si>
    <t>united_kingdom</t>
  </si>
  <si>
    <t>United Kingdom</t>
  </si>
  <si>
    <t>Vereinigtes Königsreich</t>
  </si>
  <si>
    <t>Reino Unido</t>
  </si>
  <si>
    <t>Royaume-Uni</t>
  </si>
  <si>
    <t>Соединённое Королевство</t>
  </si>
  <si>
    <t>Britanija</t>
  </si>
  <si>
    <t>tt_email_footer</t>
  </si>
  <si>
    <t>This is a free service provided by the app StockMarkets: apps.baha.com</t>
  </si>
  <si>
    <t>Това е безплатна услуга, предоставена от приложението StockMarkets: apps.teletrader.com</t>
  </si>
  <si>
    <t>Toto je bezplatná služba poskytovaná aplikací StockMarkets: apps.teletrader.com</t>
  </si>
  <si>
    <t>Dette er en gratis tjeneste, der leveres af appen StockMarkets: apps.teletrader.com</t>
  </si>
  <si>
    <t>Αυτή είναι μια δωρεάν υπηρεσία που παρέχεται από την εφαρμογή StockMarkets: apps.teletrader.com</t>
  </si>
  <si>
    <t>Este es un servicio gratuito proporcionado por la app: StockMarkets: apps.baha.com</t>
  </si>
  <si>
    <t>Tämä on ilmainen palvelu, jonka tarjoaa StockMarkets: apps.teletrader.com</t>
  </si>
  <si>
    <t>Ceci est un service gratuit fourni par l\'application StockMarkets : apps.baha.com</t>
  </si>
  <si>
    <t>यह StockMarkets: apps.teletrader.com ऐप द्वारा प्रदान की गई एक नि:शुल्क सेवा है</t>
  </si>
  <si>
    <t>Ez a StockMarkets: apps.baha.com alkalmazás ingyenes szolgáltatása</t>
  </si>
  <si>
    <t>Ini adalah layanan gratis yang disediakan oleh app StockMarkets: apps.baha.com</t>
  </si>
  <si>
    <t>זהו שירות בחינם הניתן על ידי אפליקציית : StockMarkets: apps.teletrader.com</t>
  </si>
  <si>
    <t>これはStockMarketsアプリ提供も無料サービスです: apps.baha.com</t>
  </si>
  <si>
    <t>Ini adalah perkhidmatan percuma yang disediakan oleh aplikasi StockMarkets: apps.baha.com</t>
  </si>
  <si>
    <t>Dit is een gratis service die wordt geleverd door de app StockMarkets: apps.baha.com.</t>
  </si>
  <si>
    <t>Dette er en gratis tjeneste som tilbys av appen StockMarkets: apps.teletrader.com</t>
  </si>
  <si>
    <t>Jest to darmowa usługa dostępna w aplikacji StockMarkets: apps.baha.com</t>
  </si>
  <si>
    <t>Este é um serviço grátis fornecido pela app StockMarkets: apps.baha.com</t>
  </si>
  <si>
    <t>Это бесплатная услуга, предоставляемая приложением StockMarkets: apps.baha.com</t>
  </si>
  <si>
    <t>Toto je bezplatná služba poskytovaná aplikáciou StockMarkets: apps.teletrader.com</t>
  </si>
  <si>
    <t>To je brezplačna storitev, ki jo ponuja aplikacija StockMarkets: apps.teletrader.com</t>
  </si>
  <si>
    <t>Detta är en gratis tjänst som tillhandahålls av appen StockMarkets: apps.baha.com</t>
  </si>
  <si>
    <t>Det här är en gratis tjänst som tillhandahålls av appen StockMarkets: apps.teletrader.com</t>
  </si>
  <si>
    <t>Đây là một dịch vụ miễn phí được cung cấp bởi ứng dụng TTCK: apps.teletrader.com</t>
  </si>
  <si>
    <t>这是应用程序StockMarkets: apps.baha.com提供的免费服务</t>
  </si>
  <si>
    <t>บริการฟรีจากแอป StockMarkets: apps.teletrader.com</t>
  </si>
  <si>
    <t>select_news_source</t>
  </si>
  <si>
    <t>Select news source</t>
  </si>
  <si>
    <t>Vælg nyhedskilde</t>
  </si>
  <si>
    <t>Nachrichtenquelle auswählen</t>
  </si>
  <si>
    <t>Seleccione fuente de noticias</t>
  </si>
  <si>
    <t>Valitse uutislähde</t>
  </si>
  <si>
    <t>Sélectionnez source d\'actualités</t>
  </si>
  <si>
    <t>Válassza ki a hírforrást</t>
  </si>
  <si>
    <t>Pilih sumber berita</t>
  </si>
  <si>
    <t>Seleziona fonte di notizie</t>
  </si>
  <si>
    <t>ニュースソースを選択</t>
  </si>
  <si>
    <t>Selecteer nieuwsbron</t>
  </si>
  <si>
    <t>Velg nyhetskilde</t>
  </si>
  <si>
    <t>Wybierz źródło wiadomości</t>
  </si>
  <si>
    <t>Selecione fonte de notícias</t>
  </si>
  <si>
    <t>Выберите источник новостей</t>
  </si>
  <si>
    <t>Изаберите извор вести</t>
  </si>
  <si>
    <t>Välj nyhetskälla</t>
  </si>
  <si>
    <t>Haber kaynağı seçin</t>
  </si>
  <si>
    <t>选择新闻来源</t>
  </si>
  <si>
    <t>chart_config_popup_text</t>
  </si>
  <si>
    <t>Tap here for editing options and to start your technical analysis!</t>
  </si>
  <si>
    <t>انقر هنا لتحرير الخيارات ولبدء التحليل الفني الخاص بك!</t>
  </si>
  <si>
    <t>Докоснете тук за опции за редактиране и за да започнете техническия си анализ!</t>
  </si>
  <si>
    <t>Klepnutím sem zobrazíte možnosti úprav a zahájíte technickou analýzu!</t>
  </si>
  <si>
    <t>Tryk her for redigeringsmuligheder og for at starte din tekniske analyse!</t>
  </si>
  <si>
    <t>Hier finden Sie Optionen zum Bearbeiten und um Ihre technische Analyse zu starten!</t>
  </si>
  <si>
    <t>Πατήστε εδώ για επιλογές επεξεργασίας και για να ξεκινήσετε την τεχνική σας ανάλυση!</t>
  </si>
  <si>
    <t>¡Toque aquí para ver opciones de edición y para empezar su análisis técnico!</t>
  </si>
  <si>
    <t>Napauta tätä muokataksesi ja aloittaaksesi teknisen analyysin!</t>
  </si>
  <si>
    <t>Appuyez ici pour les options pour commncer et modifier votre analyse technique!</t>
  </si>
  <si>
    <t>एडिट करने के विकल्पों के लिए और अपने तकनीकी विश्लेषण को शुरू करने के लिए यहां टैप करें!</t>
  </si>
  <si>
    <t>Koppintson ide további módosítási lehetőségekért és kezdje el technikai elemzését!</t>
  </si>
  <si>
    <t>Ketik disini untuk pilihan pengeditan dan untuk memulai analisis teknis anda!</t>
  </si>
  <si>
    <t>Clicca qui per le opzioni e per iniziare la tua analisi tecnica!</t>
  </si>
  <si>
    <t>הקש כאן לקבלת אפשרויות עריכה וכדי להתחיל בניתוח הטכני שלך!</t>
  </si>
  <si>
    <t>オプションを編集して、テクニカル分析を始めるにはここをタップして下さい！</t>
  </si>
  <si>
    <t>옵션 편집 및 기술 분석을 시작하려면 여기를 누르세요!</t>
  </si>
  <si>
    <t>Ketik sini untuk pilihan penyuntingan dan untuk memulakan analisa teknikal anda!</t>
  </si>
  <si>
    <t>tik hier voor bewerkingsopties en om uw technische analyse te starten</t>
  </si>
  <si>
    <t>Trykk her for redigeringsalternativer og for å starte din tekniske analyse!</t>
  </si>
  <si>
    <t>Dotknij tutaj w celu edycji ustawień i rozpoczęciu analizy technicznej.</t>
  </si>
  <si>
    <t>Toque aqui para opções de edição e para iniciar a sua análise técnica!</t>
  </si>
  <si>
    <t>Atinge aici pentru a edita opțiunile și pentru a începe analiza tehnică!</t>
  </si>
  <si>
    <t>Нажмите здесь для функций редактирования и для начала технического анализа.</t>
  </si>
  <si>
    <t>Kliknutím tu zobrazíte možnosti úpravy a spustíte technickú analýzu!</t>
  </si>
  <si>
    <t>Tapnite tukaj za možnosti urejanja in zaženite svojo tehnično analizo!</t>
  </si>
  <si>
    <t>Klikni ovde da promeniš opcije i započneš tehničku analizu!</t>
  </si>
  <si>
    <t>Klicka här för att redigera alternativ och starta din tekniska analys!</t>
  </si>
  <si>
    <t>แตะที่นี่เพื่อแก้ไขตัวเลือกและเริ่มการวิเคราะห์เชิงเทคนิค</t>
  </si>
  <si>
    <t>Seçenekleri düzenlemek ve teknik analizinize başlamak için buraya dokunun!</t>
  </si>
  <si>
    <t>Nhấn vào đây để chỉnh sửa tùy chọn và để bắt đầu phân tích kỹ thuật!</t>
  </si>
  <si>
    <t>点触这里的编辑选项为了开始进行技术分析！</t>
  </si>
  <si>
    <t>appstore_short_description</t>
  </si>
  <si>
    <t>free realtime portfolio tracker + alerts, stock, crypto, trade &amp;amp; commodity data</t>
  </si>
  <si>
    <t>متتبع المحفظة المجاني + تنبيهات وأسهم وتشفير وبيانات التجارة والسلع</t>
  </si>
  <si>
    <t>volný realtime portfolio tracker + výstrahy, zásoby, crypto, obchod &amp;amp; komodit údaje</t>
  </si>
  <si>
    <t>gratis realtime portefølje tracker + advarsler, lager, krypto, handel &amp;amp; data råvare</t>
  </si>
  <si>
    <t>kostenlose Echtzeit-Portfolio-Tracker + Warnungen, Lager, Krypto, Handel &amp;amp; Warendaten</t>
  </si>
  <si>
    <t>alertas cartera de seguimiento en tiempo real libre +, de valores, de cifrado, el comercio &amp;amp; los datos de las materias primas</t>
  </si>
  <si>
    <t>vapaa reaaliaikainen portfolio tracker + hälytyksiä, kalusto, Crypto, kauppa &amp;amp; hyödyke tiedot</t>
  </si>
  <si>
    <t>suivi de portefeuille en temps réel gratuit + alertes, stock, Crypto, commerce &amp;amp; données sur les produits</t>
  </si>
  <si>
    <t>ingyenes valós idejű portfólió tracker + jelzések, stock, crypto, kereskedelmi &amp;amp; árucikk adatok</t>
  </si>
  <si>
    <t>realtime bebas portofolio tracker + alert, saham, kripto, perdagangan &amp;amp; Data komoditas</t>
  </si>
  <si>
    <t>gratis in tempo reale del portafoglio tracker + avvisi, magazzino, cripto, commercio &amp;amp; i dati delle materie prime</t>
  </si>
  <si>
    <t>무료 실시간 포트폴리오 트랙커 + 알림, 주식, 암호화화폐, 트레이드 및 원자재 데이터</t>
  </si>
  <si>
    <t>realtime percuma portfolio tracker + amaran, saham, crypto, perdagangan &amp;amp; data komoditi</t>
  </si>
  <si>
    <t>gratis realtime portfolio tracker + waarschuwingen, voorraad, crypto, handel &amp;amp; commodity-data</t>
  </si>
  <si>
    <t>gratis realtime portefølje tracker + varsler, lager, krypto, handel &amp;amp; råvare data</t>
  </si>
  <si>
    <t>Alerty w czasie rzeczywistym za darmo portfolio tracker +, zbiory obrazów, Crypto, handel &amp;amp; dane surowców</t>
  </si>
  <si>
    <t>realtime livre portfólio rastreador + alertas, estoque, cripto, comércio &amp;amp; dados de commodities</t>
  </si>
  <si>
    <t>restart</t>
  </si>
  <si>
    <t>Restart</t>
  </si>
  <si>
    <t>إعادة التشغيل</t>
  </si>
  <si>
    <t>Рестартиране</t>
  </si>
  <si>
    <t>Reinicia</t>
  </si>
  <si>
    <t>Neu starten</t>
  </si>
  <si>
    <t>Reiniciar</t>
  </si>
  <si>
    <t>Redémarrer</t>
  </si>
  <si>
    <t>Újrakezd</t>
  </si>
  <si>
    <t>Mulai ulang</t>
  </si>
  <si>
    <t>Riavvia</t>
  </si>
  <si>
    <t>再起動</t>
  </si>
  <si>
    <t>재시작</t>
  </si>
  <si>
    <t>Herstarten</t>
  </si>
  <si>
    <t>Zrestartuj</t>
  </si>
  <si>
    <t>Перезапуск</t>
  </si>
  <si>
    <t>Reštartovať</t>
  </si>
  <si>
    <t>Поново покрени</t>
  </si>
  <si>
    <t>Starta om</t>
  </si>
  <si>
    <t>Перезапустити</t>
  </si>
  <si>
    <t>Khởi chạy lại</t>
  </si>
  <si>
    <t>重啟</t>
  </si>
  <si>
    <t>chat_image_saved</t>
  </si>
  <si>
    <t>Image saved.</t>
  </si>
  <si>
    <t>Bild gespeichert.</t>
  </si>
  <si>
    <t>Imagen guardada</t>
  </si>
  <si>
    <t>Image enregistrée.</t>
  </si>
  <si>
    <t>Kép elmentve.</t>
  </si>
  <si>
    <t>Изображение сохранено.</t>
  </si>
  <si>
    <t>Slika je snimljena.</t>
  </si>
  <si>
    <t>palestina</t>
  </si>
  <si>
    <t>Palestinian Territory, Occupied</t>
  </si>
  <si>
    <t>Palästina</t>
  </si>
  <si>
    <t>Ocupado territorio de Palestina</t>
  </si>
  <si>
    <t>Territoire Palestinien, Occupé</t>
  </si>
  <si>
    <t>Палестинские территории</t>
  </si>
  <si>
    <t>Palestina</t>
  </si>
  <si>
    <t>guinea_bissau</t>
  </si>
  <si>
    <t>Guinea-Bissau</t>
  </si>
  <si>
    <t>Guinée-Bissau</t>
  </si>
  <si>
    <t>Гвинея-Бисау</t>
  </si>
  <si>
    <t>Gvinea-Bisao</t>
  </si>
  <si>
    <t>error_publish_avatar_converting</t>
  </si>
  <si>
    <t>Something went wrong while converting your picture</t>
  </si>
  <si>
    <t>لقد حدث خلل أثناء تحويل الصورة</t>
  </si>
  <si>
    <t>Нещо се обърка при преобразуването на снимката Ви</t>
  </si>
  <si>
    <t>Bei der Konvertierung des Avatars lief etwas schief.</t>
  </si>
  <si>
    <t>Se ha producido un error mientras se convertía la imagen</t>
  </si>
  <si>
    <t>Une erreur s\'est produite pendant la conversion de votre image.</t>
  </si>
  <si>
    <t>Algo fallou mentras se convertía a súa imaxe</t>
  </si>
  <si>
    <t>Valami hiba történt a képed átalakítása közben</t>
  </si>
  <si>
    <t>Sesuatu yang salah terjadi ketika mengkonversi gambar anda</t>
  </si>
  <si>
    <t>Qualcosa è andato storto durante la conversione della tua immagine</t>
  </si>
  <si>
    <t>写真の変換中に、何か問題が発生しました</t>
  </si>
  <si>
    <t>사진을 변환하는 중 오류가 발생했습니다</t>
  </si>
  <si>
    <t>Fout bij converteren van afbeelding</t>
  </si>
  <si>
    <t>Wystąpił błąd podczas konwersji obrazu</t>
  </si>
  <si>
    <t>Algo deu errado ao converter a sua imagem</t>
  </si>
  <si>
    <t>В процессе преобразования фотографии возникла ошибка</t>
  </si>
  <si>
    <t>Pri konverzii obrázku sa niečo nepodarilo</t>
  </si>
  <si>
    <t>Дошло је до грешке при прекодирању слике</t>
  </si>
  <si>
    <t>Något gick fel vid konvertering av din bild</t>
  </si>
  <si>
    <t>Щось пішло не так під час перетворення Вашого зображення</t>
  </si>
  <si>
    <t>Đã xảy ra lỗi khi chuyển đổi hình của bạn</t>
  </si>
  <si>
    <t>轉換頭像圖片出錯</t>
  </si>
  <si>
    <t>tt_template_successfully_saved</t>
  </si>
  <si>
    <t>Chart-Template successfully saved!</t>
  </si>
  <si>
    <t>تم حفظ قالب المخطط بنجاح!</t>
  </si>
  <si>
    <t>Графиката-шаблон е успешно запазена!</t>
  </si>
  <si>
    <t>Šablona grafu byla úspěšně uložena!</t>
  </si>
  <si>
    <t>Diagram-skabelon er gemt!</t>
  </si>
  <si>
    <t>Chart-Vorlage erfolgreich gespeichert!</t>
  </si>
  <si>
    <t>Το πρότυπο γραφήματος αποθηκεύτηκε με επιτυχία!</t>
  </si>
  <si>
    <t>¡La plantilla del gráfico fue guardada satisfactoriamente!</t>
  </si>
  <si>
    <t>Kaavion malli tallennettu onnistuneesti!</t>
  </si>
  <si>
    <t>Modèle de graphique sauvegardé avec succès!</t>
  </si>
  <si>
    <t>चार्ट-टेम्पलेट को सफलतापूर्वक सहेजा गया!</t>
  </si>
  <si>
    <t>Template Chart berhasil disimpan!</t>
  </si>
  <si>
    <t>Modello di grafico è stato salvato!</t>
  </si>
  <si>
    <t>תבנית גרף נשמרה בהצלחה!</t>
  </si>
  <si>
    <t>チャート・テンプレートが保存されました</t>
  </si>
  <si>
    <t>차트-템플릿을 성공적으로 저장했습니다!</t>
  </si>
  <si>
    <t>Templat Carta berjaya disimpan!</t>
  </si>
  <si>
    <t>Grafiek- De template is succesvol opgeslagen!</t>
  </si>
  <si>
    <t>Diagrammal er lagret!</t>
  </si>
  <si>
    <t>Szblon wykresu pomyślnie zapisany!</t>
  </si>
  <si>
    <t>Modelo de gráfico foi salvado com sucesso</t>
  </si>
  <si>
    <t>Graficul-Șablon a fost salvat cu succes!</t>
  </si>
  <si>
    <t>Графический шаблон успешно сохранен!</t>
  </si>
  <si>
    <t>Šablóna grafu bola úspešne uložená!</t>
  </si>
  <si>
    <t>Predloga grafikona je uspešno shranjena!</t>
  </si>
  <si>
    <t>Čart obrasci su sačuvani</t>
  </si>
  <si>
    <t>Diagrammallen har sparats!</t>
  </si>
  <si>
    <t>บันทึกเท็มเพล็ตแผนภูมิเรียบร้อยแล้ว!</t>
  </si>
  <si>
    <t>Grafik-Şablon başarıyla kaydedildi!</t>
  </si>
  <si>
    <t>Đã lưu Mẫu biểu đồ thành công!</t>
  </si>
  <si>
    <t>图表模板保存成功！</t>
  </si>
  <si>
    <t>&gt;圖表模板保存成功!</t>
  </si>
  <si>
    <t>verify_your_phone_number</t>
  </si>
  <si>
    <t>Verify your phone number</t>
  </si>
  <si>
    <t>Потвърдете телефонния си номер</t>
  </si>
  <si>
    <t>Telefonnummer überprüfen</t>
  </si>
  <si>
    <t>Verifica tu número de teléfono</t>
  </si>
  <si>
    <t>Vérifier votre numéro de téléphone</t>
  </si>
  <si>
    <t>Valide o seu número de teléfono</t>
  </si>
  <si>
    <t>Erősítsd meg a telefonszámod</t>
  </si>
  <si>
    <t>Verifica il tuo numero di telefono</t>
  </si>
  <si>
    <t>Verifieer je telefoonnummer</t>
  </si>
  <si>
    <t>Zweryfikuj swój numer telefonu</t>
  </si>
  <si>
    <t>minute_short</t>
  </si>
  <si>
    <t>m</t>
  </si>
  <si>
    <t>M</t>
  </si>
  <si>
    <t>min.</t>
  </si>
  <si>
    <t>एम</t>
  </si>
  <si>
    <t>p</t>
  </si>
  <si>
    <t>Min.</t>
  </si>
  <si>
    <t>м</t>
  </si>
  <si>
    <t>ล</t>
  </si>
  <si>
    <t>dk</t>
  </si>
  <si>
    <t>enter_your_name_instructions</t>
  </si>
  <si>
    <t>Please enter your name to let people, who don’t have you in their address books, know who you are.</t>
  </si>
  <si>
    <t>Моля, въведете името си, за да могат хората, които Ви нямат в адресните си указатели, да знаят кой сте.</t>
  </si>
  <si>
    <t>Bitte gib deinen Namen ein und lass Leute, die dich nicht in ihren Adressbüchern haben, wissen, wer du bist.</t>
  </si>
  <si>
    <t>Por favor, introduce tu nombre para dejar que las personas que no están en tu agenda de contactos sepan quien eres.</t>
  </si>
  <si>
    <t>Veuillez entrer votre nom pour laisser les gens, qui ne vous a pas dans leurs livres d\'adresses, savez qui vous êtes.</t>
  </si>
  <si>
    <t>Por favor, introduza o seu nome para permitir que a xente que non o ten na axenda de enderezos sepa quen é vostede.</t>
  </si>
  <si>
    <t>Kérjük, adja meg nevét, hogy az emberek, akiknek nincs benne a címjegyzékében, tudják, kicsoda Ön.</t>
  </si>
  <si>
    <t>Inserisci il tuo nome per far sapere chi sei alle persone che non ti hanno nelle loro rubriche.</t>
  </si>
  <si>
    <t>Voer je naam in om mensen buiten je adresboek te laten weten wie je bent.</t>
  </si>
  <si>
    <t>Proszę wpisać swoją nazwę aby ludzie którzy mają ciebie w kontaktach wiedzieli kim jesteś.</t>
  </si>
  <si>
    <t>chat_unblock_user</t>
  </si>
  <si>
    <t>Unblock user</t>
  </si>
  <si>
    <t>Benutzer zulassen</t>
  </si>
  <si>
    <t>Desbloquear usuario</t>
  </si>
  <si>
    <t>Débloquer utilisateur</t>
  </si>
  <si>
    <t>Felhasználó blokkolásának feloldása</t>
  </si>
  <si>
    <t>Разблокировать пользователя</t>
  </si>
  <si>
    <t>Odblokiraj korisnika</t>
  </si>
  <si>
    <t>tt_million_suffix</t>
  </si>
  <si>
    <t>Mil.</t>
  </si>
  <si>
    <t>مل.</t>
  </si>
  <si>
    <t>Млн.</t>
  </si>
  <si>
    <t>Mio.</t>
  </si>
  <si>
    <t>mill.</t>
  </si>
  <si>
    <t>Mio</t>
  </si>
  <si>
    <t>मिल.</t>
  </si>
  <si>
    <t>Mió.</t>
  </si>
  <si>
    <t>Juta</t>
  </si>
  <si>
    <t>מיל.</t>
  </si>
  <si>
    <t>百万</t>
  </si>
  <si>
    <t>miljoen</t>
  </si>
  <si>
    <t>mln</t>
  </si>
  <si>
    <t>Milhão</t>
  </si>
  <si>
    <t>млн.</t>
  </si>
  <si>
    <t>mil.</t>
  </si>
  <si>
    <t>ล้าน</t>
  </si>
  <si>
    <t>Tr.</t>
  </si>
  <si>
    <t>&gt;百萬</t>
  </si>
  <si>
    <t>tt_security_type__1</t>
  </si>
  <si>
    <t>Αγνωστο</t>
  </si>
  <si>
    <t>tt_social_networks_login_error_no_email_found</t>
  </si>
  <si>
    <t>No email address was found for chosen account.</t>
  </si>
  <si>
    <t>لم يتم العثور على عنوان بريد إلكتروني للحساب المختار.</t>
  </si>
  <si>
    <t>Не е намерен имейл адрес за избрания акаунт.</t>
  </si>
  <si>
    <t>Pro vybraný účet nebyla nalezena žádná e-mailová adresa.</t>
  </si>
  <si>
    <t>Der blev ikke fundet nogen e-mail-adresse til den valgte konto.</t>
  </si>
  <si>
    <t>Für das gewählte Benutzerkonto ist keine E-Mail Adresse definiert.</t>
  </si>
  <si>
    <t>Δεν βρέθηκε διεύθυνση email για τον επιλεγμένο λογαριασμό.</t>
  </si>
  <si>
    <t>No se encontró el e-mail de la cuenta elegida.</t>
  </si>
  <si>
    <t>Valitulle tilille ei löytynyt sähköpostiosoitetta.</t>
  </si>
  <si>
    <t>Aucune adresse électronique n\'a été trouvée pour le compte choisi.</t>
  </si>
  <si>
    <t>चुने गए खाते के लिए कोई ईमेल पता नहीं मिला था।</t>
  </si>
  <si>
    <t>Tidak ada alamat email yang ditemukan untuk akun yang dipilih.</t>
  </si>
  <si>
    <t>Non è stato trovato l\'indirizzo email associato con conto scelto.</t>
  </si>
  <si>
    <t>לא נמצאה כתובת דוא"ל עבור החשבון שנבחר.</t>
  </si>
  <si>
    <t>Eメールアドレスが登録されていません</t>
  </si>
  <si>
    <t>선택한 계정에 이메일 주소가 없습니다.</t>
  </si>
  <si>
    <t>Tiada alamat e-mel yang ditemui untuk akaun yang dipilih.</t>
  </si>
  <si>
    <t>Geen e-mailadres gevonden voor het gekozen account.</t>
  </si>
  <si>
    <t>Ingen e-postadresse ble funnet for valgt konto.</t>
  </si>
  <si>
    <t>Nie znaleziono adresu e-mail dla wybranego konta.</t>
  </si>
  <si>
    <t>Nenhum email foi encontrado para a conta escolhida.</t>
  </si>
  <si>
    <t>Nu a fost găsită nicio adresă de e-mail pentru contul ales.</t>
  </si>
  <si>
    <t>Для выбранной учетной записи адрес электронной почты не найден</t>
  </si>
  <si>
    <t>Pre vybraný účet sa nenašla žiadna e-mailová adresa.</t>
  </si>
  <si>
    <t>Za izbrani račun ni bil najden noben e-poštni naslov.</t>
  </si>
  <si>
    <t>Nije nađena e-mail adresa za izabrani nalog</t>
  </si>
  <si>
    <t>Ingen e-postadress hittades för det valda kontot.</t>
  </si>
  <si>
    <t>ไม่พบอีเมลในบัญชีผู้ใช้ที่เลือก</t>
  </si>
  <si>
    <t>Seçilen hesap için e-posta adresi bulunamadı.</t>
  </si>
  <si>
    <t>Không tìm thấy địa chỉ email cho tài khoản đã chọn.</t>
  </si>
  <si>
    <t>该帐户没有电子邮件地址存在</t>
  </si>
  <si>
    <t>&gt;該帳戶沒有電子郵件地址存在</t>
  </si>
  <si>
    <t>tt_watchlists</t>
  </si>
  <si>
    <t>Mes listes</t>
  </si>
  <si>
    <t>Listas de observação</t>
  </si>
  <si>
    <t>Seznami ogledov</t>
  </si>
  <si>
    <t>tt_bid_time</t>
  </si>
  <si>
    <t>Bid time</t>
  </si>
  <si>
    <t>وقت العطاء</t>
  </si>
  <si>
    <t>Време за наддаване</t>
  </si>
  <si>
    <t>Čas nabídky</t>
  </si>
  <si>
    <t>Byd tid</t>
  </si>
  <si>
    <t>Bid Uhrzeit</t>
  </si>
  <si>
    <t>Ώρα προσφοράς</t>
  </si>
  <si>
    <t>Tiempo de oferta</t>
  </si>
  <si>
    <t>Tarjousaika</t>
  </si>
  <si>
    <t>बोली समय</t>
  </si>
  <si>
    <t>Waktu tawaran</t>
  </si>
  <si>
    <t>Bid Tempo</t>
  </si>
  <si>
    <t>זמן הצעה</t>
  </si>
  <si>
    <t>売却時刻</t>
  </si>
  <si>
    <t>매수가격 시간</t>
  </si>
  <si>
    <t>Masa tawaran</t>
  </si>
  <si>
    <t>Biedingstijd</t>
  </si>
  <si>
    <t>Budtid</t>
  </si>
  <si>
    <t>Czas Bid</t>
  </si>
  <si>
    <t>Tempo do bid</t>
  </si>
  <si>
    <t>Timpul de ofertă</t>
  </si>
  <si>
    <t>Время ставки</t>
  </si>
  <si>
    <t>Čas cenovej ponuky</t>
  </si>
  <si>
    <t>Čas ponudbe</t>
  </si>
  <si>
    <t>เวลาประมูล</t>
  </si>
  <si>
    <t>Teklif saati</t>
  </si>
  <si>
    <t>Thời gian mua</t>
  </si>
  <si>
    <t>投标时间</t>
  </si>
  <si>
    <t>&gt;投標時間</t>
  </si>
  <si>
    <t>no_microphone_permission</t>
  </si>
  <si>
    <t>Conversations needs access to the microphone</t>
  </si>
  <si>
    <t>Conversations се нуждае от достъп до микрофона</t>
  </si>
  <si>
    <t>Conversations necessita accés al micròfon</t>
  </si>
  <si>
    <t>Conversations benötigt Zugriff auf das Mikrofon</t>
  </si>
  <si>
    <t>Conversations necesita acceder al micrófono</t>
  </si>
  <si>
    <t>Conversations a besoin d\'accéder au micro</t>
  </si>
  <si>
    <t>Conversations precisa acceder ao micrófono</t>
  </si>
  <si>
    <t>A Conversations-nek hozzáférésre van szüksége a mikrofonhoz</t>
  </si>
  <si>
    <t>Conversations ha bisogno di accedere al microfono</t>
  </si>
  <si>
    <t>Conversations heeft toegang nodig tot de microfoon</t>
  </si>
  <si>
    <t>Conversations potrzebuje dostępu do mikrofonu</t>
  </si>
  <si>
    <t>Конверзацији је потребан приступ микрофону</t>
  </si>
  <si>
    <t>also_end_conversation</t>
  </si>
  <si>
    <t>Close this conversation afterwards</t>
  </si>
  <si>
    <t>Затваряне на този разговор след това</t>
  </si>
  <si>
    <t>Tanca aquesta conversa després</t>
  </si>
  <si>
    <t>Diese Unterhaltung danach beenden</t>
  </si>
  <si>
    <t>Cerrar esta conversación después</t>
  </si>
  <si>
    <t>Pechar esta conversa a posteriori</t>
  </si>
  <si>
    <t>Chiudi questa conversazione successivamente</t>
  </si>
  <si>
    <t>Dit gesprek nadien sluiten</t>
  </si>
  <si>
    <t>Zamknij konwersację po zakończeniu</t>
  </si>
  <si>
    <t>tt_portfolio_capital</t>
  </si>
  <si>
    <t>maybe_later</t>
  </si>
  <si>
    <t>MAYBE LATER</t>
  </si>
  <si>
    <t>ربما لاحقا</t>
  </si>
  <si>
    <t>МОЖЕ БИ ПО-КЪСНО</t>
  </si>
  <si>
    <t>MOŽNÁ POZDĚJI</t>
  </si>
  <si>
    <t>MÅSKE SENERE</t>
  </si>
  <si>
    <t>ΙΣΩΣ ΑΡΓΟΤΕΡΑ</t>
  </si>
  <si>
    <t>Quizás más tarde</t>
  </si>
  <si>
    <t>EHKÄ MYÖHEMMIN</t>
  </si>
  <si>
    <t>PLUS TARD</t>
  </si>
  <si>
    <t>शायद बाद में</t>
  </si>
  <si>
    <t>Késöbb talán</t>
  </si>
  <si>
    <t>MUNGKIN NANTI</t>
  </si>
  <si>
    <t>FORSE PIÙ TARDI</t>
  </si>
  <si>
    <t>אולי אחר כך</t>
  </si>
  <si>
    <t>MUNGKIN KEMUDIAN</t>
  </si>
  <si>
    <t>KANSKJE SENERE</t>
  </si>
  <si>
    <t>TALVEZ MAIS TARDE</t>
  </si>
  <si>
    <t>POATE MAI TÂRZIU</t>
  </si>
  <si>
    <t>МОЖЕТ БЫТЬ ПОЗЖЕ</t>
  </si>
  <si>
    <t>MOŽNO NESKÔR</t>
  </si>
  <si>
    <t>MOGOČE KASNEJE</t>
  </si>
  <si>
    <t>MOŽDA KASNIJE</t>
  </si>
  <si>
    <t>KANSKE SENARE</t>
  </si>
  <si>
    <t>BELKİ DAHA SONRA</t>
  </si>
  <si>
    <t>ĐỂ SAU</t>
  </si>
  <si>
    <t>也许晚些时候</t>
  </si>
  <si>
    <t>argentina</t>
  </si>
  <si>
    <t>Argentina</t>
  </si>
  <si>
    <t>Argentinien</t>
  </si>
  <si>
    <t>Argentine</t>
  </si>
  <si>
    <t>Аргентина</t>
  </si>
  <si>
    <t>new_message_from</t>
  </si>
  <si>
    <t>New message from:</t>
  </si>
  <si>
    <t>Neue Nachricht von:</t>
  </si>
  <si>
    <t>Nuevo mensaje de:</t>
  </si>
  <si>
    <t>Nouveau message de:</t>
  </si>
  <si>
    <t>Új üzenet:</t>
  </si>
  <si>
    <t>Новое сообщение от:</t>
  </si>
  <si>
    <t>Nova poruka od:</t>
  </si>
  <si>
    <t>tt_info_reviewinmarket_huawei</t>
  </si>
  <si>
    <t>Rate on AppGallery</t>
  </si>
  <si>
    <t>قم بتقييم التطبيق على AppGallery</t>
  </si>
  <si>
    <t>Оценете в AppGallery</t>
  </si>
  <si>
    <t>Hodnotit na AppGallery</t>
  </si>
  <si>
    <t>Pris i AppGalleri</t>
  </si>
  <si>
    <t>Bewerten Sie auf AppGallery</t>
  </si>
  <si>
    <t>Αξιολογήστε στο AppGallery</t>
  </si>
  <si>
    <t>Calificar en AppGallery</t>
  </si>
  <si>
    <t>Arvostele AppGalleryssa</t>
  </si>
  <si>
    <t>Noter sur AppGallery</t>
  </si>
  <si>
    <t>ऐपगैलरी पर रेट करें</t>
  </si>
  <si>
    <t>Értékelje az AppGallery részben</t>
  </si>
  <si>
    <t>Nilai di AppGallery</t>
  </si>
  <si>
    <t>Valuta nell\'AppGallery</t>
  </si>
  <si>
    <t>דרג ב- AppGallery</t>
  </si>
  <si>
    <t>AppGalleryで評価</t>
  </si>
  <si>
    <t>AppGallery 평가하기</t>
  </si>
  <si>
    <t>Nilaikan di AppGallery</t>
  </si>
  <si>
    <t>Beoordelen in AppGallery</t>
  </si>
  <si>
    <t>Vurder hos AppGallery</t>
  </si>
  <si>
    <t>Oceń w AppGallery</t>
  </si>
  <si>
    <t>Avaliar na AppGallery</t>
  </si>
  <si>
    <t>Evaluează pe AppGallery</t>
  </si>
  <si>
    <t>Оценить в AppGallery</t>
  </si>
  <si>
    <t>Hodnotiť v AppGallery</t>
  </si>
  <si>
    <t>Ocenite na AppGallery</t>
  </si>
  <si>
    <t>Betygsätt på AppGallery</t>
  </si>
  <si>
    <t>ให้คะแนนใน AppGallery</t>
  </si>
  <si>
    <t>AppGallery\'de değerlendir</t>
  </si>
  <si>
    <t>Đánh giá trên AppGallery</t>
  </si>
  <si>
    <t>在AppGallery上评价</t>
  </si>
  <si>
    <t>enter_contact</t>
  </si>
  <si>
    <t>Enter Contact</t>
  </si>
  <si>
    <t>قم بإدخال جهة إتصال</t>
  </si>
  <si>
    <t>Въведете контакт</t>
  </si>
  <si>
    <t>Introduïu un contacte</t>
  </si>
  <si>
    <t>Kontakt eingeben</t>
  </si>
  <si>
    <t>Introducir contacto</t>
  </si>
  <si>
    <t>Ajouter contact</t>
  </si>
  <si>
    <t>Névjegy megadása</t>
  </si>
  <si>
    <t>Inserisci contatto</t>
  </si>
  <si>
    <t>連絡先を入力</t>
  </si>
  <si>
    <t>연락처 입력</t>
  </si>
  <si>
    <t>Contact invoeren</t>
  </si>
  <si>
    <t>Wpisz kontakt</t>
  </si>
  <si>
    <t>Inserir Contacto</t>
  </si>
  <si>
    <t>Унеси контакт</t>
  </si>
  <si>
    <t>Fyll i kontakt</t>
  </si>
  <si>
    <t>Увести контакт</t>
  </si>
  <si>
    <t>Nhập liên hệ</t>
  </si>
  <si>
    <t>輸入連絡人</t>
  </si>
  <si>
    <t>recording_error</t>
  </si>
  <si>
    <t>Грешка</t>
  </si>
  <si>
    <t>Fehler</t>
  </si>
  <si>
    <t>Erreur</t>
  </si>
  <si>
    <t>Fallo</t>
  </si>
  <si>
    <t>Hiba</t>
  </si>
  <si>
    <t>Errore</t>
  </si>
  <si>
    <t>Fout</t>
  </si>
  <si>
    <t>Błąd</t>
  </si>
  <si>
    <t>Erro</t>
  </si>
  <si>
    <t>Ошибка</t>
  </si>
  <si>
    <t>tt_dividend_yield_short</t>
  </si>
  <si>
    <t>Dividendenr.</t>
  </si>
  <si>
    <t>Rendimiento de acción</t>
  </si>
  <si>
    <t>Rendement du dividende</t>
  </si>
  <si>
    <t>配当率</t>
  </si>
  <si>
    <t>Zysk z dywidendy</t>
  </si>
  <si>
    <t>Rendimento de dividendos</t>
  </si>
  <si>
    <t>Dobitek dividenda</t>
  </si>
  <si>
    <t>Dividendna stopa</t>
  </si>
  <si>
    <t>delete_contact</t>
  </si>
  <si>
    <t>Delete contact</t>
  </si>
  <si>
    <t>حذف جهة الإتصال</t>
  </si>
  <si>
    <t>Изтриване на контакта</t>
  </si>
  <si>
    <t>Suprimeix el contacte</t>
  </si>
  <si>
    <t>Kontakt löschen</t>
  </si>
  <si>
    <t>Eliminar contacto</t>
  </si>
  <si>
    <t>Supprimer un contact</t>
  </si>
  <si>
    <t>Névjegy törlése</t>
  </si>
  <si>
    <t>Elimina contatto</t>
  </si>
  <si>
    <t>連絡先を削除</t>
  </si>
  <si>
    <t>Contact verwijderen</t>
  </si>
  <si>
    <t>Usuń kontakt</t>
  </si>
  <si>
    <t>Apagar contacto</t>
  </si>
  <si>
    <t>Удалить контакт</t>
  </si>
  <si>
    <t>Обриши контакт</t>
  </si>
  <si>
    <t>install_orbot</t>
  </si>
  <si>
    <t>Install Orbot</t>
  </si>
  <si>
    <t>Инсталиране на Orbot</t>
  </si>
  <si>
    <t>Orbot installieren</t>
  </si>
  <si>
    <t>Instalar Orbot</t>
  </si>
  <si>
    <t>Installa Orbot</t>
  </si>
  <si>
    <t>Orbot installeren</t>
  </si>
  <si>
    <t>Zainstaluj Orbot</t>
  </si>
  <si>
    <t>latvia</t>
  </si>
  <si>
    <t>Latvia</t>
  </si>
  <si>
    <t>Lettland</t>
  </si>
  <si>
    <t>Letonia</t>
  </si>
  <si>
    <t>Lettonie</t>
  </si>
  <si>
    <t>Латвия</t>
  </si>
  <si>
    <t>Letonija</t>
  </si>
  <si>
    <t>tt_analysis_buy</t>
  </si>
  <si>
    <t>Buy</t>
  </si>
  <si>
    <t>شراء</t>
  </si>
  <si>
    <t>Koupit</t>
  </si>
  <si>
    <t>Køb</t>
  </si>
  <si>
    <t>Kaufen</t>
  </si>
  <si>
    <t>Αγορά</t>
  </si>
  <si>
    <t>Comprar</t>
  </si>
  <si>
    <t>Osta</t>
  </si>
  <si>
    <t>Acheter</t>
  </si>
  <si>
    <t>खरीदें</t>
  </si>
  <si>
    <t>Beli</t>
  </si>
  <si>
    <t>Comprare</t>
  </si>
  <si>
    <t>קנה</t>
  </si>
  <si>
    <t>購入する</t>
  </si>
  <si>
    <t>매입</t>
  </si>
  <si>
    <t>Koop</t>
  </si>
  <si>
    <t>Kjøpe</t>
  </si>
  <si>
    <t>Kup</t>
  </si>
  <si>
    <t>Cumpără</t>
  </si>
  <si>
    <t>Купить</t>
  </si>
  <si>
    <t>Kúpiť</t>
  </si>
  <si>
    <t>Nakup</t>
  </si>
  <si>
    <t>Kupi</t>
  </si>
  <si>
    <t>Köp</t>
  </si>
  <si>
    <t>ซื้อ</t>
  </si>
  <si>
    <t>Satın Al</t>
  </si>
  <si>
    <t>买入</t>
  </si>
  <si>
    <t>&gt;買入</t>
  </si>
  <si>
    <t>calendar_notifications_enabled</t>
  </si>
  <si>
    <t>Calendar notifications</t>
  </si>
  <si>
    <t>إشعارات التقويم</t>
  </si>
  <si>
    <t>Известия в календара</t>
  </si>
  <si>
    <t>Kalendářní oznámení</t>
  </si>
  <si>
    <t>Kalenderunderretninger</t>
  </si>
  <si>
    <t>Kalenderbenachrichtigungen</t>
  </si>
  <si>
    <t>Ειδοποιήσεις ημερολογίου</t>
  </si>
  <si>
    <t>Notificaciones del calendario</t>
  </si>
  <si>
    <t>Kalenteri-ilmoitukset</t>
  </si>
  <si>
    <t>Notifications de calendrier</t>
  </si>
  <si>
    <t>कैलेंडर नोटिफिकेशन</t>
  </si>
  <si>
    <t>Naptár értesítések</t>
  </si>
  <si>
    <t>Pemberitahuan kalender</t>
  </si>
  <si>
    <t>Notifiche di calendario</t>
  </si>
  <si>
    <t>התראות ביומן</t>
  </si>
  <si>
    <t>カレンダー通知</t>
  </si>
  <si>
    <t>캘린더 알림</t>
  </si>
  <si>
    <t>Pemberitahuan kalendar</t>
  </si>
  <si>
    <t>agendamelding</t>
  </si>
  <si>
    <t>Kalendervarsler</t>
  </si>
  <si>
    <t>Powiadomienia kalendarza</t>
  </si>
  <si>
    <t>Notificações de calendário</t>
  </si>
  <si>
    <t>Notificări din calendar</t>
  </si>
  <si>
    <t>Уведомления календаря</t>
  </si>
  <si>
    <t>Upozornenia kalendára</t>
  </si>
  <si>
    <t>Obvestila v koledarju</t>
  </si>
  <si>
    <t>Notifikacije kalendara</t>
  </si>
  <si>
    <t>Kalenderaviseringar</t>
  </si>
  <si>
    <t>การแจ้งเตือนในปฏิทิน</t>
  </si>
  <si>
    <t>Takvim bildirimleri</t>
  </si>
  <si>
    <t>Thông báo lịch</t>
  </si>
  <si>
    <t>日历通知</t>
  </si>
  <si>
    <t>contacts_are_typing</t>
  </si>
  <si>
    <t>%s are typing…</t>
  </si>
  <si>
    <t>%s يكتبون …</t>
  </si>
  <si>
    <t>%s пишат…</t>
  </si>
  <si>
    <t>%sestà escrivint ...</t>
  </si>
  <si>
    <t>%s schreiben...</t>
  </si>
  <si>
    <t>%s están escribiendo...</t>
  </si>
  <si>
    <t>%s sont en train d\'écrire...</t>
  </si>
  <si>
    <t>%s están escribindo...</t>
  </si>
  <si>
    <t>%s éppen ír…</t>
  </si>
  <si>
    <t>%s stanno scrivendo…</t>
  </si>
  <si>
    <t>%s さんが入力中…</t>
  </si>
  <si>
    <t>%s zijn aan het typen…</t>
  </si>
  <si>
    <t>%s piszą...</t>
  </si>
  <si>
    <t>%s estão a escrever...</t>
  </si>
  <si>
    <t>%s набирает...</t>
  </si>
  <si>
    <t>%s куцају…</t>
  </si>
  <si>
    <t>%s набирає повідомлення…</t>
  </si>
  <si>
    <t>device_does_not_support_battery_op</t>
  </si>
  <si>
    <t>Your device does not support opting out of battery optimization</t>
  </si>
  <si>
    <t>Устройството Ви не поддържа изключването на оптимизациите за използването на батерията</t>
  </si>
  <si>
    <t>El dispositiu no admet l\'exclusió de l\'optimització de la bateria</t>
  </si>
  <si>
    <t>Dein Gerät unterstützt kein Ausschalten der Batterieoptimierung</t>
  </si>
  <si>
    <t>Tu dispositivo no soporta la opción de optimización de batería</t>
  </si>
  <si>
    <t>Les optimisations de batterie ne peuvent pas être désactivées sur votre appareil</t>
  </si>
  <si>
    <t>O seu dispositivo non permite non optimizar a batería</t>
  </si>
  <si>
    <t>Az Eszközöd nem támogatja az akkumulátor-optimalizálás kikapcsolását</t>
  </si>
  <si>
    <t>Il tuo dispositivo non supporta l\'esclusione per l\'ottimizzazione della batteria</t>
  </si>
  <si>
    <t>お使いのデバイスはバッテリー最適化の停止をサポートしていません</t>
  </si>
  <si>
    <t>장치가 배터리 최적화 정지를 지원하지 않습니다</t>
  </si>
  <si>
    <t>Je apparaat ondersteunt het uitschakelen van batterij-optimalisatie niet</t>
  </si>
  <si>
    <t>Twoje urządzenie nie pozwala na wyłączenie optymalizacji baterii</t>
  </si>
  <si>
    <t>O seu dispositivo não suporta o desligamento da optimização da bateria</t>
  </si>
  <si>
    <t>Ваше устройство не поддерживает отключение оптимизации энергопотребления</t>
  </si>
  <si>
    <t>Ваш уређај не подржава искључивање оптимизације батерије</t>
  </si>
  <si>
    <t>Din enhet stödjer inte deaktivering av batterioptimeringar</t>
  </si>
  <si>
    <t>Ваш пристрій не підтримує відключення оптимізації батареї</t>
  </si>
  <si>
    <t>該設備不支援禁用電池優化</t>
  </si>
  <si>
    <t>event</t>
  </si>
  <si>
    <t>Event Information</t>
  </si>
  <si>
    <t>معلومات الحدث</t>
  </si>
  <si>
    <t>Информация за събитието</t>
  </si>
  <si>
    <t>Informace o události</t>
  </si>
  <si>
    <t>Begivenhedsoplysninger</t>
  </si>
  <si>
    <t>Event-Information</t>
  </si>
  <si>
    <t>Πληροφορίες εκδήλωσης</t>
  </si>
  <si>
    <t>Información del evento</t>
  </si>
  <si>
    <t>Tapahtumatiedot</t>
  </si>
  <si>
    <t>Informations sur l\'événement</t>
  </si>
  <si>
    <t>घटना की जानकारी</t>
  </si>
  <si>
    <t>Esemény információk</t>
  </si>
  <si>
    <t>Informasi Acara</t>
  </si>
  <si>
    <t>Informazioni sull\'evento</t>
  </si>
  <si>
    <t>מידע על אירועים</t>
  </si>
  <si>
    <t>イベントインフォメーション</t>
  </si>
  <si>
    <t>사건 정보</t>
  </si>
  <si>
    <t>Maklumat Acara</t>
  </si>
  <si>
    <t>evenement informatie</t>
  </si>
  <si>
    <t>Hendelsessinformasjon</t>
  </si>
  <si>
    <t>Informacja o wydarzeniu</t>
  </si>
  <si>
    <t>Informações sobre o evento</t>
  </si>
  <si>
    <t>Informații despre Eveniment</t>
  </si>
  <si>
    <t>Информация о событиях</t>
  </si>
  <si>
    <t>Informácie o udalosti</t>
  </si>
  <si>
    <t>Informacije o dogodku</t>
  </si>
  <si>
    <t>Događaji</t>
  </si>
  <si>
    <t>Information om händelser</t>
  </si>
  <si>
    <t>ข้อมูลสถานการณ์</t>
  </si>
  <si>
    <t>Etkinlik bilgileri</t>
  </si>
  <si>
    <t>Thông tin sự kiện</t>
  </si>
  <si>
    <t>事件信息</t>
  </si>
  <si>
    <t>tt_daterange_small_3months</t>
  </si>
  <si>
    <t>3M</t>
  </si>
  <si>
    <t>3Μ</t>
  </si>
  <si>
    <t>3K</t>
  </si>
  <si>
    <t>3महीने</t>
  </si>
  <si>
    <t>3Hó</t>
  </si>
  <si>
    <t>3B</t>
  </si>
  <si>
    <t>3М</t>
  </si>
  <si>
    <t>3Th</t>
  </si>
  <si>
    <t>tt_username</t>
  </si>
  <si>
    <t>User name</t>
  </si>
  <si>
    <t>اسم المستخدم</t>
  </si>
  <si>
    <t>Uživatelské jméno</t>
  </si>
  <si>
    <t>Brugernavn</t>
  </si>
  <si>
    <t>Όνομα χρήστη</t>
  </si>
  <si>
    <t>Nombre de usuario</t>
  </si>
  <si>
    <t>Käyttäjänimi</t>
  </si>
  <si>
    <t>यूजरनेम</t>
  </si>
  <si>
    <t>Felhasználó neve</t>
  </si>
  <si>
    <t>Nama pemakai</t>
  </si>
  <si>
    <t>שם משתמש</t>
  </si>
  <si>
    <t>Nama pengguna</t>
  </si>
  <si>
    <t>Brukernavn</t>
  </si>
  <si>
    <t>Nome do usuário</t>
  </si>
  <si>
    <t>Nume utilizator</t>
  </si>
  <si>
    <t>Používateľské meno</t>
  </si>
  <si>
    <t>Uporabniško ime</t>
  </si>
  <si>
    <t>Korisničko ime</t>
  </si>
  <si>
    <t>ชื่อผู้ใช้</t>
  </si>
  <si>
    <t>Kullanıcı adı</t>
  </si>
  <si>
    <t>Tên tài khoản</t>
  </si>
  <si>
    <t>用户名称</t>
  </si>
  <si>
    <t>&gt;用戶名稱</t>
  </si>
  <si>
    <t>enable_all_accounts</t>
  </si>
  <si>
    <t>Enable all accounts</t>
  </si>
  <si>
    <t>تفعيل كل الحسابات</t>
  </si>
  <si>
    <t>Активиране на всички профили</t>
  </si>
  <si>
    <t>Habilitar tots els comptes</t>
  </si>
  <si>
    <t>Alle Konten aktiveren</t>
  </si>
  <si>
    <t>Habilitar todas las cuentas</t>
  </si>
  <si>
    <t>Activer tous les comptes</t>
  </si>
  <si>
    <t>Habilitar todas as contas</t>
  </si>
  <si>
    <t>Minden fiók bekapcsolása</t>
  </si>
  <si>
    <t>Aktifkan semua akun</t>
  </si>
  <si>
    <t>Attiva tutti gli account</t>
  </si>
  <si>
    <t>すべてのアカウントを有効にする</t>
  </si>
  <si>
    <t>모든 계정 사용</t>
  </si>
  <si>
    <t>Alle accounts inschakelen</t>
  </si>
  <si>
    <t>Aktywuj wszystkie konta</t>
  </si>
  <si>
    <t>Ativar todas as contas</t>
  </si>
  <si>
    <t>Включить все аккаунты</t>
  </si>
  <si>
    <t>Povoliť všetky účty</t>
  </si>
  <si>
    <t>Укључи све налоге</t>
  </si>
  <si>
    <t>Aktivera alla konton</t>
  </si>
  <si>
    <t>Задіяти всі облікові записи</t>
  </si>
  <si>
    <t>Bật toàn bộ tài khoản</t>
  </si>
  <si>
    <t>啟用所有帳戶</t>
  </si>
  <si>
    <t>send_unencrypted</t>
  </si>
  <si>
    <t>Send unencrypted</t>
  </si>
  <si>
    <t>إرسال بدون تشفير</t>
  </si>
  <si>
    <t>Изпращане нешифровано</t>
  </si>
  <si>
    <t>Envia sense xifrar</t>
  </si>
  <si>
    <t>Unverschlüsselt senden</t>
  </si>
  <si>
    <t>Enviar sin cifrar</t>
  </si>
  <si>
    <t>Envoyer en clair</t>
  </si>
  <si>
    <t>Enviar sen cifrar</t>
  </si>
  <si>
    <t>Küldés titkosítás nélkül</t>
  </si>
  <si>
    <t>Kirim tidak terenkripsi</t>
  </si>
  <si>
    <t>Invia non cifrato</t>
  </si>
  <si>
    <t>暗号化されていない送信</t>
  </si>
  <si>
    <t>암호화하지 않고 전송</t>
  </si>
  <si>
    <t>Verstuur onversleuteld</t>
  </si>
  <si>
    <t>Wyślij bez szyfrowania</t>
  </si>
  <si>
    <t>Enviar não cifrada</t>
  </si>
  <si>
    <t>Отправить в незашифрованном виде</t>
  </si>
  <si>
    <t>Poslať nešifrované</t>
  </si>
  <si>
    <t>Пошаљи нешифровано</t>
  </si>
  <si>
    <t>Skicka okrypterat</t>
  </si>
  <si>
    <t>Надіслати незашифрованим</t>
  </si>
  <si>
    <t>Gửi dạng không mã hoá</t>
  </si>
  <si>
    <t>不加密發送</t>
  </si>
  <si>
    <t>mgmt_account_enable</t>
  </si>
  <si>
    <t>Enable account</t>
  </si>
  <si>
    <t>تفعيل الحساب</t>
  </si>
  <si>
    <t>Активиране на профила</t>
  </si>
  <si>
    <t>Habilita el compte</t>
  </si>
  <si>
    <t>Konto aktivieren</t>
  </si>
  <si>
    <t>Habilitar</t>
  </si>
  <si>
    <t>Fiók bekapcsolása</t>
  </si>
  <si>
    <t>Aktifkan Akun</t>
  </si>
  <si>
    <t>Attiva utente</t>
  </si>
  <si>
    <t>アカウントを有効にする</t>
  </si>
  <si>
    <t>계정 사용</t>
  </si>
  <si>
    <t>Account inschakelen</t>
  </si>
  <si>
    <t>Włącz konto</t>
  </si>
  <si>
    <t>Ativar conta</t>
  </si>
  <si>
    <t>Включить аккаунт</t>
  </si>
  <si>
    <t>Povoliť účet</t>
  </si>
  <si>
    <t>Укључи налог</t>
  </si>
  <si>
    <t>Aktivera konto</t>
  </si>
  <si>
    <t>Увімкнути обліковий запис</t>
  </si>
  <si>
    <t>Bật tài khoản</t>
  </si>
  <si>
    <t>啟用帳戶</t>
  </si>
  <si>
    <t>resend_sms_in</t>
  </si>
  <si>
    <t>Resend SMS (%s)</t>
  </si>
  <si>
    <t>Повторно изпращане на съобщението (%s)</t>
  </si>
  <si>
    <t>SMS erneut versenden (%s)</t>
  </si>
  <si>
    <t>Reenviar SMS (%s)</t>
  </si>
  <si>
    <t>SMS újraküldése (%s)</t>
  </si>
  <si>
    <t>Reinvia SMS (%s)</t>
  </si>
  <si>
    <t>Sms opnieuw versturen (%s)</t>
  </si>
  <si>
    <t>Wyślij SMSa ponownie (%s)</t>
  </si>
  <si>
    <t>clear_histor_msg</t>
  </si>
  <si>
    <t>Are you sure you want to delete all messages within this conversation?\n\n</t>
  </si>
  <si>
    <t>Наистина ли искате да изтриете всички съобщения в този разговор?\n\n</t>
  </si>
  <si>
    <t>Estàs segur que vols esborrar tots els missatges d\'aquesta conversa?\n\n</t>
  </si>
  <si>
    <t>Bist du sicher, dass du alle Nachrichten in dieser Unterhaltung löschen möchtest?\n\n</t>
  </si>
  <si>
    <t>¿Estás seguro de que quieres borrar todos los mensajes de esta conversación?\n\n</t>
  </si>
  <si>
    <t>Êtes-vous sûr de vouloir supprimer tous les messages de cette conversation ?\n\n</t>
  </si>
  <si>
    <t>Está segura de querer eliminar todas as mensaxes de esta conversación¿\n\n</t>
  </si>
  <si>
    <t>Biztosan szeretnéd az üzeneteket törölni ebben a beszélgetésben?\n\n</t>
  </si>
  <si>
    <t>Sei sicuro di voler eliminare tutti i messaggi di questa conversazione?\n\n</t>
  </si>
  <si>
    <t>Weet je zeker dat je alle berichten in dit gesprek wil verwijderen?\n\n</t>
  </si>
  <si>
    <t>Czy na pewno usunąć wszystkie wiadomości powiązane z konwersacją?\n\n</t>
  </si>
  <si>
    <t>Вы хотите удалить все сообщения в этой беседе?\n\n</t>
  </si>
  <si>
    <t>morocco</t>
  </si>
  <si>
    <t>Morocco and Western Sahara</t>
  </si>
  <si>
    <t>Marokko</t>
  </si>
  <si>
    <t>Marruecos y Sahara Oriental</t>
  </si>
  <si>
    <t>Maroc et Sahara Occidental</t>
  </si>
  <si>
    <t>Марокко и Западная Сахара</t>
  </si>
  <si>
    <t>Maroko i zapadna sahara</t>
  </si>
  <si>
    <t>tt_symbol_isin</t>
  </si>
  <si>
    <t>ISIN</t>
  </si>
  <si>
    <t>الرقم التعريفي الدولي للأوراق المالية</t>
  </si>
  <si>
    <t>आईएसआईएन</t>
  </si>
  <si>
    <t>&gt;ISIN</t>
  </si>
  <si>
    <t>mexico</t>
  </si>
  <si>
    <t>Mexico</t>
  </si>
  <si>
    <t>Mexiko</t>
  </si>
  <si>
    <t>Mexique</t>
  </si>
  <si>
    <t>Мексика</t>
  </si>
  <si>
    <t>Meksiko</t>
  </si>
  <si>
    <t>consensus</t>
  </si>
  <si>
    <t>Cons</t>
  </si>
  <si>
    <t>السلبيات</t>
  </si>
  <si>
    <t>Недостатъци</t>
  </si>
  <si>
    <t>Nevýhody</t>
  </si>
  <si>
    <t>Kons.</t>
  </si>
  <si>
    <t>Μειονεκτήματα</t>
  </si>
  <si>
    <t>Huonot puolet</t>
  </si>
  <si>
    <t>नुकसान</t>
  </si>
  <si>
    <t>Konsz</t>
  </si>
  <si>
    <t>Kekurangan</t>
  </si>
  <si>
    <t>חסרונות</t>
  </si>
  <si>
    <t>コンセンサス</t>
  </si>
  <si>
    <t>Keburukan</t>
  </si>
  <si>
    <t>Ulemper</t>
  </si>
  <si>
    <t>Konsensus</t>
  </si>
  <si>
    <t>Contras</t>
  </si>
  <si>
    <t>Contra</t>
  </si>
  <si>
    <t>Консенсус</t>
  </si>
  <si>
    <t>Slabosti</t>
  </si>
  <si>
    <t>ด้อย</t>
  </si>
  <si>
    <t>Eksileri</t>
  </si>
  <si>
    <t>Đồng thuận</t>
  </si>
  <si>
    <t>共识</t>
  </si>
  <si>
    <t>tt_market_options_menu_refresh</t>
  </si>
  <si>
    <t>Muat Ulang</t>
  </si>
  <si>
    <t>Aggiorna</t>
  </si>
  <si>
    <t>tt_rate_in_app_store_description</t>
  </si>
  <si>
    <t>Rate us 5 stars on app store for updates to keep coming</t>
  </si>
  <si>
    <t>امنحنا تقييم 5 نجوم في متجر التطبيقات للاستمرار في الحصول على التحديثات</t>
  </si>
  <si>
    <t>Оценете ни с 5 звезди в магазина за приложения, за да продължим да актуализираме приложението</t>
  </si>
  <si>
    <t>Ohodnoťte nás 5 hvězdičkami v obchodě s aplikacemi, abyste dostávali aktualizace</t>
  </si>
  <si>
    <t>Bedøm os med 5 stjerner i app store for nye opdateringer</t>
  </si>
  <si>
    <t>Hat Ihnen unsere App gefallen?</t>
  </si>
  <si>
    <t>Βαθμολογήστε μας με 5 αστέρια στο app store για να έχετε συνεχείς ενημερώσεις</t>
  </si>
  <si>
    <t>Califíquenos con 5 estrellas en el app store para que podamos seguir actualizando la app</t>
  </si>
  <si>
    <t>Anna meille 5 tähteä App Storessa, ja saat päivityksiä jatkuvasti</t>
  </si>
  <si>
    <t>Pour plus de mises à jour, mettez-nous 5 étoiles dans l\'App Store!</t>
  </si>
  <si>
    <t>अपडेटों के प्रदर्शित होते रहने के लिए ऐप स्टोर पर हमें 5 स्टार दें</t>
  </si>
  <si>
    <t>Értékeljen minket 5 csillaggal az app store-on a frissítések folyamatos érkezéséhez</t>
  </si>
  <si>
    <t>Beri nilai kami 5 bintang pada App Store untuk terus memperbarui</t>
  </si>
  <si>
    <t>Valoraci con 5 stelle nella app store per far venire i nuovi aggiornamenti.</t>
  </si>
  <si>
    <t>תן לנו דירוג של 5 כוכבים בחנות האפליקציות לצורך המשך קבלת עדכונים</t>
  </si>
  <si>
    <t>５つの星で評価してください</t>
  </si>
  <si>
    <t>계속 업데이트할 수 있도록 앱스토어에서 별 5개로 평가해 주세요</t>
  </si>
  <si>
    <t>Nilaikan kami 5 bintang pada App Store untuk teruskan kemas kini</t>
  </si>
  <si>
    <t>Geef ons een 5 ster rating in de App store om updates te blijven ontvangen.</t>
  </si>
  <si>
    <t>Gi oss 5 stjerner i App sStore for oppdateringene som kommer løpende</t>
  </si>
  <si>
    <t>Oceń nas na 5 gwiazdek na App Store</t>
  </si>
  <si>
    <t>Classifique-nos 5 estrelas no App Store para que atualizações continuem a serem realizadas</t>
  </si>
  <si>
    <t>Evaluează-ne cu 5 stele în magazinul de aplicații pentru ca actualizările să continue să sosească</t>
  </si>
  <si>
    <t>Чтобы мы могли выпускать новые обновления, оцените наше приложение в app store на звезд 5</t>
  </si>
  <si>
    <t>Ohodnoťte nás 5 hviezdičkami v obchode s aplikáciami, aby ste mohli naďalej dostávať aktualizácie</t>
  </si>
  <si>
    <t>Ocenite nas z 5 zvezdicami v trgovini za posodobitve, da bomo še naprej prihajali</t>
  </si>
  <si>
    <t>Betygsätt oss med 5 stjärnor i app store för att vi ska kunna fortsätta att skicka uppdateringar</t>
  </si>
  <si>
    <t>ให้คะแนน 5 ดาวใน App Store เพื่อเป็นกำลังใจในการอัปเดตข้อมูล</t>
  </si>
  <si>
    <t>Yeni güncellemeler getirebilmemiz için uygulama mağazasından bizi 5 yıldızla değerlendirin</t>
  </si>
  <si>
    <t>Hãy đánh giá chúng tôi 5 sao trên cửa hàng ứng dụng để chúng tôi tiếp tục phát hành các bản cập nhật</t>
  </si>
  <si>
    <t>评价此应用程式为5星以得到更多更新</t>
  </si>
  <si>
    <t>&gt;評價此應用程式為5星以得到更多更新</t>
  </si>
  <si>
    <t>action_close</t>
  </si>
  <si>
    <t>اغلاق</t>
  </si>
  <si>
    <t>Schließen</t>
  </si>
  <si>
    <t>Cerrar</t>
  </si>
  <si>
    <t>Fermer</t>
  </si>
  <si>
    <t>Bezárás</t>
  </si>
  <si>
    <t>Chiudi</t>
  </si>
  <si>
    <t>Sluiten</t>
  </si>
  <si>
    <t>Закрыто</t>
  </si>
  <si>
    <t>Zaprite</t>
  </si>
  <si>
    <t>关闭</t>
  </si>
  <si>
    <t>conference_banned</t>
  </si>
  <si>
    <t>You are banned from this group chat</t>
  </si>
  <si>
    <t>حسابك محظور للإلتحاق بمجموعة المحادثة هذه</t>
  </si>
  <si>
    <t>Достъпът Ви до този групов разговор е забранен</t>
  </si>
  <si>
    <t>Estàs prohibit en aquest xat de grup</t>
  </si>
  <si>
    <t>Du wurdest aus diesem Gruppenchat ausgeschlossen</t>
  </si>
  <si>
    <t>Tu entrada a esta conversación en grupo ha sido prohibida</t>
  </si>
  <si>
    <t>Vous êtes bannis de cette conversation de groupe</t>
  </si>
  <si>
    <t>Vostede non pode acceder a esta conversa en grupo</t>
  </si>
  <si>
    <t>Ki vagy tiltva ebből a konferenciából</t>
  </si>
  <si>
    <t>Sei stato bandito da questa chat di gruppo</t>
  </si>
  <si>
    <t>この談話室から締め出されています</t>
  </si>
  <si>
    <t>Je bent verbannen uit dit groepsgesprek</t>
  </si>
  <si>
    <t>Zbanowany</t>
  </si>
  <si>
    <t>Está banido desta conversa de grupo</t>
  </si>
  <si>
    <t>Вы заблокированы из этой конференции</t>
  </si>
  <si>
    <t>Забрањени сте на овом групном ћаскању</t>
  </si>
  <si>
    <t>all</t>
  </si>
  <si>
    <t>ALL</t>
  </si>
  <si>
    <t>الكل</t>
  </si>
  <si>
    <t>ВСИЧКО</t>
  </si>
  <si>
    <t>VŠECHNO</t>
  </si>
  <si>
    <t>ALLE</t>
  </si>
  <si>
    <t>ΟΛΑ</t>
  </si>
  <si>
    <t>TODAS</t>
  </si>
  <si>
    <t>KAIKKI</t>
  </si>
  <si>
    <t>TOUT</t>
  </si>
  <si>
    <t>सभी</t>
  </si>
  <si>
    <t>MINDEN</t>
  </si>
  <si>
    <t>SEMUA</t>
  </si>
  <si>
    <t>Tutto</t>
  </si>
  <si>
    <t>הכל</t>
  </si>
  <si>
    <t>전체</t>
  </si>
  <si>
    <t>Alle</t>
  </si>
  <si>
    <t>WSZYSTKO</t>
  </si>
  <si>
    <t>TODOS</t>
  </si>
  <si>
    <t>TOATE</t>
  </si>
  <si>
    <t>ВСЕ</t>
  </si>
  <si>
    <t>VŠETKO</t>
  </si>
  <si>
    <t>VSE</t>
  </si>
  <si>
    <t>SVE</t>
  </si>
  <si>
    <t>ALLA</t>
  </si>
  <si>
    <t>ทั้งหมด</t>
  </si>
  <si>
    <t>TÜMÜ</t>
  </si>
  <si>
    <t>TẤT CẢ</t>
  </si>
  <si>
    <t>所有的</t>
  </si>
  <si>
    <t>error_file_not_found</t>
  </si>
  <si>
    <t>File not found</t>
  </si>
  <si>
    <t>الملف غير موجود</t>
  </si>
  <si>
    <t>Файлът не е открит</t>
  </si>
  <si>
    <t>No s\'ha trobat el fitxer</t>
  </si>
  <si>
    <t>Datei nicht gefunden</t>
  </si>
  <si>
    <t>Archivo no encontrado</t>
  </si>
  <si>
    <t>Impossible de trouver le fichier</t>
  </si>
  <si>
    <t>Arquivo non atopado</t>
  </si>
  <si>
    <t>Nem található fájl</t>
  </si>
  <si>
    <t>Berkas tidak ditemukan</t>
  </si>
  <si>
    <t>File non trovato</t>
  </si>
  <si>
    <t>ファイルが見つかりません</t>
  </si>
  <si>
    <t>파일을 찾을 수 없음</t>
  </si>
  <si>
    <t>Bestand niet gevonden</t>
  </si>
  <si>
    <t>Nie odnaleziono pliku</t>
  </si>
  <si>
    <t>Ficheiro não encontrado</t>
  </si>
  <si>
    <t>Файл не найден</t>
  </si>
  <si>
    <t>Súbor sa nenašiel</t>
  </si>
  <si>
    <t>Фајл није нађен</t>
  </si>
  <si>
    <t>Filen hittas ej</t>
  </si>
  <si>
    <t>Файл не знайдено</t>
  </si>
  <si>
    <t>Không tìm thấy tập tin</t>
  </si>
  <si>
    <t>找不到檔案</t>
  </si>
  <si>
    <t>pref_clean_cache_summary</t>
  </si>
  <si>
    <t>Clean cache folder (used by Camera Application)</t>
  </si>
  <si>
    <t>Изчистване на папката с кеша (използвана от камерата)</t>
  </si>
  <si>
    <t>Carpeta de memòria cache neta (utilitzada per l\'aplicació de la càmera)</t>
  </si>
  <si>
    <t>Lösche Cache-Ordner (wurde von der Kamera benutzt)</t>
  </si>
  <si>
    <t>Limpiar caché de datos (usado por la aplicación de la cámara)</t>
  </si>
  <si>
    <t>Vide le dossier de cache (utilisé par l\'app Camera)</t>
  </si>
  <si>
    <t>Limpar o cartafol de caché (utilizado polo aplicativo Cámara)</t>
  </si>
  <si>
    <t>Gyorsítótár mappa kitisztítása (Kamera szoftver által használt)</t>
  </si>
  <si>
    <t>Svuota la cartella della cache (usata dall\'app fotocamera)</t>
  </si>
  <si>
    <t>キャッシュフォルダーをクリアします (カメラアプリケーションで使用)</t>
  </si>
  <si>
    <t>캐시 폴더를 삭제합니다 (카메라에서 사용)</t>
  </si>
  <si>
    <t>Cachemap wissen (wordt gebruikt door Camera)</t>
  </si>
  <si>
    <t>Wyczyść cache (używane przez kamerę)</t>
  </si>
  <si>
    <t>Очистить кэш (используется камерой)</t>
  </si>
  <si>
    <t>Rensa cachefolder (används av Kameraapplikation)</t>
  </si>
  <si>
    <t>Очистити теку кешу (викорситовується програмою камери)</t>
  </si>
  <si>
    <t>清理快取資料夾(給相機應用程式用的)</t>
  </si>
  <si>
    <t>tt_iosbridge_android_createnewuser_mail_subject</t>
  </si>
  <si>
    <t>baha Android App – Your Registration</t>
  </si>
  <si>
    <t>تطبيق TeleTrader Android - التسجيل</t>
  </si>
  <si>
    <t>TeleTrader Android App - Вашата регистрация</t>
  </si>
  <si>
    <t>Aplikace TeleTrader pro Android - Vaše registrace</t>
  </si>
  <si>
    <t>TeleTrader Android-app - Din registrering</t>
  </si>
  <si>
    <t>baha Android App – Ihre Registrierung</t>
  </si>
  <si>
    <t>Εφαρμογή TeleTrader για Android - Η εγγραφή σας</t>
  </si>
  <si>
    <t>TeleTrader Android App – Su registración</t>
  </si>
  <si>
    <t>TeleTrader Android -sovellus - rekisteröinti</t>
  </si>
  <si>
    <t>TeleTrader Android App – Votre inscription</t>
  </si>
  <si>
    <t>टेलीट्रेडर एंड्रॉइड ऐप - आपका पंजीकरण</t>
  </si>
  <si>
    <t>TeleTrader Android App – Az Ön regisztrációja</t>
  </si>
  <si>
    <t>Aplikasi Android TeleTrader - Pendaftaran Anda</t>
  </si>
  <si>
    <t>TeleTrader Android App – Tua Registrazione</t>
  </si>
  <si>
    <t>אפליקציית TeleTrader באנדרואיד - ההרשמה שלך</t>
  </si>
  <si>
    <t>TeleTrader Android App – 登録</t>
  </si>
  <si>
    <t>TeleTrader 안드로이드 앱</t>
  </si>
  <si>
    <t>Teletrader Android App – Uw registratie</t>
  </si>
  <si>
    <t>TeleTrader Android-app – din registrering</t>
  </si>
  <si>
    <t>TeleTrader Android App - Twoja Rejestracja</t>
  </si>
  <si>
    <t>TeleTrader Android App – O seu registro</t>
  </si>
  <si>
    <t>Aplicația Android TeleTrader - Înregistrarea Ta</t>
  </si>
  <si>
    <t>Приложение baha для Android– Ваша регистрация</t>
  </si>
  <si>
    <t>Aplikácia TeleTrader pre Android - Vaša registrácia</t>
  </si>
  <si>
    <t>TeleTrader Android App - Vaša registracija</t>
  </si>
  <si>
    <t>TeleTrader Android App – Vaša registracija</t>
  </si>
  <si>
    <t>แอป TeleTrader สำหรับแอนดรอยด์ - การลงทะเบียนของคุณ</t>
  </si>
  <si>
    <t>TeleTrader Android Uygulaması - Kaydınız</t>
  </si>
  <si>
    <t>Ứng dụng TeleTrader trên Android - Đăng ký của bạn</t>
  </si>
  <si>
    <t>登记TeleTrader Android App</t>
  </si>
  <si>
    <t>&gt;登記TeleTrader Android App</t>
  </si>
  <si>
    <t>tt_feedback_email_subject_ipad</t>
  </si>
  <si>
    <t>baha iPad App</t>
  </si>
  <si>
    <t>تطبيق TeleTrader لجهاز آيباد</t>
  </si>
  <si>
    <t>TeleTrader iPad App</t>
  </si>
  <si>
    <t>Aplikace TeleTrader pro iPad</t>
  </si>
  <si>
    <t>TeleTrader iPad-app</t>
  </si>
  <si>
    <t>Εφαρμογή TeleTrader για iPad</t>
  </si>
  <si>
    <t>TeleTrader iPad -sovellus</t>
  </si>
  <si>
    <t>टेलीट्रेडर एंड्रॉइड आईपैड ऐप</t>
  </si>
  <si>
    <t>Aplikasi TeleTrader iPad</t>
  </si>
  <si>
    <t>אפליקציית TeleTrader ב- iPad</t>
  </si>
  <si>
    <t>TeleTrader iPad アプリ</t>
  </si>
  <si>
    <t>TeleTrader 아이패드 앱</t>
  </si>
  <si>
    <t>Aplicația TeleTrader iPad</t>
  </si>
  <si>
    <t>Приложение baha на iPad</t>
  </si>
  <si>
    <t>Aplikácia TeleTrader pre iPad</t>
  </si>
  <si>
    <t>แอป TeleTrader สำหรับ iPad</t>
  </si>
  <si>
    <t>Teletrader iPad Uygulaması</t>
  </si>
  <si>
    <t>Ứng dụng TeleTrader trên iPad</t>
  </si>
  <si>
    <t>TeleTrader iPad应用程式</t>
  </si>
  <si>
    <t>&gt;TeleTrader iPad應用程式</t>
  </si>
  <si>
    <t>action_fix_to_location</t>
  </si>
  <si>
    <t>Fix position</t>
  </si>
  <si>
    <t>Фиксиране на позицията</t>
  </si>
  <si>
    <t>Posició fixa</t>
  </si>
  <si>
    <t>Position fixieren</t>
  </si>
  <si>
    <t>Fijar posición</t>
  </si>
  <si>
    <t>Figer la position</t>
  </si>
  <si>
    <t>Fixar posición</t>
  </si>
  <si>
    <t>Pozíció fixálása</t>
  </si>
  <si>
    <t>Fissa la posizione</t>
  </si>
  <si>
    <t>位置を固定</t>
  </si>
  <si>
    <t>Positie vergrendelen</t>
  </si>
  <si>
    <t>Zablokuj pozycję</t>
  </si>
  <si>
    <t>tt_commodities_agrar</t>
  </si>
  <si>
    <t>Agricultural</t>
  </si>
  <si>
    <t>الزراعة</t>
  </si>
  <si>
    <t>Земеделски</t>
  </si>
  <si>
    <t>Zemědělské produkty</t>
  </si>
  <si>
    <t>Landbrug</t>
  </si>
  <si>
    <t>Agrar</t>
  </si>
  <si>
    <t>Γεωργικά</t>
  </si>
  <si>
    <t>Agricultura</t>
  </si>
  <si>
    <t>Maatalous</t>
  </si>
  <si>
    <t>Agricole</t>
  </si>
  <si>
    <t>कृषि-संबंधी</t>
  </si>
  <si>
    <t>Mezőgazdasági</t>
  </si>
  <si>
    <t>Pertanian</t>
  </si>
  <si>
    <t>Prodotti Agricoli</t>
  </si>
  <si>
    <t>חקלאי</t>
  </si>
  <si>
    <t>農作物</t>
  </si>
  <si>
    <t>농산물</t>
  </si>
  <si>
    <t>Landbouw</t>
  </si>
  <si>
    <t>Landbruk</t>
  </si>
  <si>
    <t>Rolniczy</t>
  </si>
  <si>
    <t>Agricol</t>
  </si>
  <si>
    <t>Сельскохозяйственные</t>
  </si>
  <si>
    <t>Poľnohospodársky</t>
  </si>
  <si>
    <t>Kmetijska</t>
  </si>
  <si>
    <t>Poljoprivreda</t>
  </si>
  <si>
    <t>Jordbruk</t>
  </si>
  <si>
    <t>การเกษตร</t>
  </si>
  <si>
    <t>tarım</t>
  </si>
  <si>
    <t>Nông nghiệp</t>
  </si>
  <si>
    <t>农产品</t>
  </si>
  <si>
    <t>&gt;農產品</t>
  </si>
  <si>
    <t>contact_already_exists</t>
  </si>
  <si>
    <t>The contact already exists</t>
  </si>
  <si>
    <t>جهة الاتصال موجودة لديك مسبقا</t>
  </si>
  <si>
    <t>Контактът вече съществува</t>
  </si>
  <si>
    <t>El contacte ja existeix</t>
  </si>
  <si>
    <t>Der Kontakt existiert bereits</t>
  </si>
  <si>
    <t>El contacto ya existe</t>
  </si>
  <si>
    <t>Le contact existe déjà</t>
  </si>
  <si>
    <t>Xa existe o contacto</t>
  </si>
  <si>
    <t>A névjegy már létezik</t>
  </si>
  <si>
    <t>Kontak ini sudah ada</t>
  </si>
  <si>
    <t>Il contatto esiste già</t>
  </si>
  <si>
    <t>連絡先はすでに存在します</t>
  </si>
  <si>
    <t>이미 존재하는 연락처입니다</t>
  </si>
  <si>
    <t>Het contact bestaat al</t>
  </si>
  <si>
    <t>Kontakt już istnieje</t>
  </si>
  <si>
    <t>O contacto já existe</t>
  </si>
  <si>
    <t>Контакт уже существует</t>
  </si>
  <si>
    <t>Kontakt už existuje</t>
  </si>
  <si>
    <t>Контакт већ постоји</t>
  </si>
  <si>
    <t>Kontakten finns redan</t>
  </si>
  <si>
    <t>Контакт уже існує</t>
  </si>
  <si>
    <t>Đã có liên hệ này rồi</t>
  </si>
  <si>
    <t>連絡人已存在</t>
  </si>
  <si>
    <t>china</t>
  </si>
  <si>
    <t>China</t>
  </si>
  <si>
    <t>Chine</t>
  </si>
  <si>
    <t>Китай</t>
  </si>
  <si>
    <t>Kina</t>
  </si>
  <si>
    <t>pref_sound</t>
  </si>
  <si>
    <t>Ringtone</t>
  </si>
  <si>
    <t>التنبيه الصوتي</t>
  </si>
  <si>
    <t>Тон на звънене</t>
  </si>
  <si>
    <t>So d\'avís</t>
  </si>
  <si>
    <t>Benachrichtigungston</t>
  </si>
  <si>
    <t>Tono</t>
  </si>
  <si>
    <t>Sonnerie</t>
  </si>
  <si>
    <t>Ton de aviso</t>
  </si>
  <si>
    <t>Csengőhang</t>
  </si>
  <si>
    <t>Nada dering</t>
  </si>
  <si>
    <t>Suono di notifica</t>
  </si>
  <si>
    <t>着信音</t>
  </si>
  <si>
    <t>알림음</t>
  </si>
  <si>
    <t>Meldingstoon</t>
  </si>
  <si>
    <t>Dzwonek</t>
  </si>
  <si>
    <t>Tom de toque</t>
  </si>
  <si>
    <t>Звук уведомления</t>
  </si>
  <si>
    <t>Звук</t>
  </si>
  <si>
    <t>Meddelandesignal</t>
  </si>
  <si>
    <t>Мелодія дзвінка</t>
  </si>
  <si>
    <t>Âm báo</t>
  </si>
  <si>
    <t>鈴聲</t>
  </si>
  <si>
    <t>tt_upper_limit</t>
  </si>
  <si>
    <t>Upper limit</t>
  </si>
  <si>
    <t>الحد الأعلى</t>
  </si>
  <si>
    <t>Горен лимит</t>
  </si>
  <si>
    <t>Horní mez</t>
  </si>
  <si>
    <t>Øverste grænse</t>
  </si>
  <si>
    <t>Oberes Limit</t>
  </si>
  <si>
    <t>Ανώτερο όριο</t>
  </si>
  <si>
    <t>Limite superior</t>
  </si>
  <si>
    <t>Yläraja</t>
  </si>
  <si>
    <t>Limite supérieure</t>
  </si>
  <si>
    <t>ऊपरी सीमा</t>
  </si>
  <si>
    <t>Magasabb szint</t>
  </si>
  <si>
    <t>Batas atas</t>
  </si>
  <si>
    <t>Limite superiore</t>
  </si>
  <si>
    <t>גבול עליון</t>
  </si>
  <si>
    <t>상한</t>
  </si>
  <si>
    <t>Had atas</t>
  </si>
  <si>
    <t>Bovengrens</t>
  </si>
  <si>
    <t>Øvre grense</t>
  </si>
  <si>
    <t>Górny limit</t>
  </si>
  <si>
    <t>Limita superioară</t>
  </si>
  <si>
    <t>Верхний предел</t>
  </si>
  <si>
    <t>Vyššia hranica</t>
  </si>
  <si>
    <t>Zgornja meja</t>
  </si>
  <si>
    <t>Gornja granica</t>
  </si>
  <si>
    <t>Övre gräns</t>
  </si>
  <si>
    <t>ขีดจำกัดบน</t>
  </si>
  <si>
    <t>Üst sınır</t>
  </si>
  <si>
    <t>Giới hạn trên</t>
  </si>
  <si>
    <t>nick_in_use</t>
  </si>
  <si>
    <t>Nickname is already in use</t>
  </si>
  <si>
    <t>اللقب مستخدم من قبل</t>
  </si>
  <si>
    <t>Псевдонимът вече се използва</t>
  </si>
  <si>
    <t>El sobrenom ja està en ús</t>
  </si>
  <si>
    <t>Nickname wird bereits verwendet</t>
  </si>
  <si>
    <t>El apodo ya está en uso</t>
  </si>
  <si>
    <t>Cet identifiant est déjà utilisé</t>
  </si>
  <si>
    <t>O apodo xa está en uso</t>
  </si>
  <si>
    <t>A becenév már foglalt</t>
  </si>
  <si>
    <t>Nickname ini sudah digunakan</t>
  </si>
  <si>
    <t>ニックネームは既に使用されています</t>
  </si>
  <si>
    <t>사용중인 별명입니다</t>
  </si>
  <si>
    <t>Naam is al in gebruik</t>
  </si>
  <si>
    <t>O apelido já está em uso</t>
  </si>
  <si>
    <t>Имя уже используется</t>
  </si>
  <si>
    <t>Prezývka už existuje</t>
  </si>
  <si>
    <t>Надимак је већ у употреби</t>
  </si>
  <si>
    <t>Nick används redan</t>
  </si>
  <si>
    <t>Псевдонім уже використовується</t>
  </si>
  <si>
    <t>Biệt danh đã được sử dụng</t>
  </si>
  <si>
    <t>該名稱已存在</t>
  </si>
  <si>
    <t>chat_delete_chat_history</t>
  </si>
  <si>
    <t>Delete chat history</t>
  </si>
  <si>
    <t>Chat-Historie löschen</t>
  </si>
  <si>
    <t>Eliminar historial del chat</t>
  </si>
  <si>
    <t>Supprimer l\'historique des conversations</t>
  </si>
  <si>
    <t>Teljes beszélgetés törlése</t>
  </si>
  <si>
    <t>Удалить историю переписки</t>
  </si>
  <si>
    <t>Obriši istoriju konverzacija</t>
  </si>
  <si>
    <t>your_profile</t>
  </si>
  <si>
    <t>Your profile</t>
  </si>
  <si>
    <t>ملفك الشخصي</t>
  </si>
  <si>
    <t>Вашият профил</t>
  </si>
  <si>
    <t>Váš profil</t>
  </si>
  <si>
    <t>Din profil</t>
  </si>
  <si>
    <t>Ihr Profil</t>
  </si>
  <si>
    <t>Το προφίλ σας</t>
  </si>
  <si>
    <t>Su cuenta</t>
  </si>
  <si>
    <t>Profiilisi</t>
  </si>
  <si>
    <t>Votre profil</t>
  </si>
  <si>
    <t>आपकी प्रोफाइल</t>
  </si>
  <si>
    <t>Profil</t>
  </si>
  <si>
    <t>Profil anda</t>
  </si>
  <si>
    <t>Il tuo profilo</t>
  </si>
  <si>
    <t>הפרופיל שלך</t>
  </si>
  <si>
    <t>あなたのプロファイル</t>
  </si>
  <si>
    <t>내 프로필</t>
  </si>
  <si>
    <t>Uw profiel</t>
  </si>
  <si>
    <t>Twój profil</t>
  </si>
  <si>
    <t>O seu perfil</t>
  </si>
  <si>
    <t>Profilul tău</t>
  </si>
  <si>
    <t>Твой профиль</t>
  </si>
  <si>
    <t>Tvoj profil</t>
  </si>
  <si>
    <t>โปรไฟล์ของคุณ</t>
  </si>
  <si>
    <t>Profiliniz</t>
  </si>
  <si>
    <t>Hồ sơ của bạn</t>
  </si>
  <si>
    <t>您的账户</t>
  </si>
  <si>
    <t>sasl_downgrade</t>
  </si>
  <si>
    <t>Downgraded SASL mechanism</t>
  </si>
  <si>
    <t>Механизмът на SASL е понижен</t>
  </si>
  <si>
    <t>Mecanisme SASL degradat</t>
  </si>
  <si>
    <t>SASL-Mechanismus zurückgestuft</t>
  </si>
  <si>
    <t>Mécanisme SASL dégradé</t>
  </si>
  <si>
    <t>Csökkentett SASL mechanizmus</t>
  </si>
  <si>
    <t>Meccanismo SASL degradato</t>
  </si>
  <si>
    <t>ダウングレードされた SASL メカニズム</t>
  </si>
  <si>
    <t>SASL-mechanisme neergewaardeerd</t>
  </si>
  <si>
    <t>Starszy mechanizm SASL</t>
  </si>
  <si>
    <t>Застарілий механізм SASL</t>
  </si>
  <si>
    <t>tt_last</t>
  </si>
  <si>
    <t>Last</t>
  </si>
  <si>
    <t>الأخير</t>
  </si>
  <si>
    <t>Последно</t>
  </si>
  <si>
    <t>Poslední</t>
  </si>
  <si>
    <t>Sidst</t>
  </si>
  <si>
    <t>Kurs</t>
  </si>
  <si>
    <t>Τελευταία</t>
  </si>
  <si>
    <t>Último</t>
  </si>
  <si>
    <t>Viimeinen</t>
  </si>
  <si>
    <t>Dernier</t>
  </si>
  <si>
    <t>अंतिम</t>
  </si>
  <si>
    <t>Utolsó ár</t>
  </si>
  <si>
    <t>Terakhir</t>
  </si>
  <si>
    <t>Ultimo</t>
  </si>
  <si>
    <t>אחרון</t>
  </si>
  <si>
    <t>最後</t>
  </si>
  <si>
    <t>최근</t>
  </si>
  <si>
    <t>Laatste</t>
  </si>
  <si>
    <t>Siste</t>
  </si>
  <si>
    <t>Cena</t>
  </si>
  <si>
    <t>Ultimul</t>
  </si>
  <si>
    <t>Последняя</t>
  </si>
  <si>
    <t>Posledný</t>
  </si>
  <si>
    <t>Zadnji</t>
  </si>
  <si>
    <t>Sista</t>
  </si>
  <si>
    <t>สุดท้าย</t>
  </si>
  <si>
    <t>Son</t>
  </si>
  <si>
    <t>Cuối cùng</t>
  </si>
  <si>
    <t>最后</t>
  </si>
  <si>
    <t>&gt;最後</t>
  </si>
  <si>
    <t>tt_analysis_hold</t>
  </si>
  <si>
    <t>Hold</t>
  </si>
  <si>
    <t>احتفاظ</t>
  </si>
  <si>
    <t>Изчакване</t>
  </si>
  <si>
    <t>Držet</t>
  </si>
  <si>
    <t>Holde</t>
  </si>
  <si>
    <t>Halten</t>
  </si>
  <si>
    <t>Κράτηση</t>
  </si>
  <si>
    <t>Mantener</t>
  </si>
  <si>
    <t>Pidä</t>
  </si>
  <si>
    <t>Conserver</t>
  </si>
  <si>
    <t>धारण करें</t>
  </si>
  <si>
    <t>Tartás</t>
  </si>
  <si>
    <t>Pegang</t>
  </si>
  <si>
    <t>Tenere</t>
  </si>
  <si>
    <t>החזק</t>
  </si>
  <si>
    <t>保有</t>
  </si>
  <si>
    <t>보유</t>
  </si>
  <si>
    <t>Houd</t>
  </si>
  <si>
    <t>Trzymaj</t>
  </si>
  <si>
    <t>Segurar</t>
  </si>
  <si>
    <t>Ține</t>
  </si>
  <si>
    <t>Удерживать</t>
  </si>
  <si>
    <t>Pozastaviť</t>
  </si>
  <si>
    <t>Držite</t>
  </si>
  <si>
    <t>Zadrži</t>
  </si>
  <si>
    <t>Reserv</t>
  </si>
  <si>
    <t>ถือ</t>
  </si>
  <si>
    <t>Beklet</t>
  </si>
  <si>
    <t>Giữ</t>
  </si>
  <si>
    <t>持有</t>
  </si>
  <si>
    <t>&gt;持有</t>
  </si>
  <si>
    <t>tt_period_monthly</t>
  </si>
  <si>
    <t>1 Ay</t>
  </si>
  <si>
    <t>no_name_set_instructions</t>
  </si>
  <si>
    <t>Use the edit button to set your name.</t>
  </si>
  <si>
    <t>Използвайте бутона за редактиране, за да въведете името си.</t>
  </si>
  <si>
    <t>Benutze die \"Bearbeiten\"-Schaltfläche, um deinen Namen festzulegen.</t>
  </si>
  <si>
    <t>Usa este botón para establecer tu nombre.</t>
  </si>
  <si>
    <t>Utilice o botón editar para escribir o seu nome.</t>
  </si>
  <si>
    <t>A szerkesztő gombbal állítsa be a nevét.</t>
  </si>
  <si>
    <t>Usa il pulsante modifica per impostare il tuo nome.</t>
  </si>
  <si>
    <t>Gebruik de knop \'bewerken\' op je naam in te stellen.</t>
  </si>
  <si>
    <t>Użyj przycisku edycji aby ustawić swoją nazwę.</t>
  </si>
  <si>
    <t>tt_accept_eula</t>
  </si>
  <si>
    <t>I accept the Terms of Use</t>
  </si>
  <si>
    <t>أقبل شروط الاستخدام</t>
  </si>
  <si>
    <t>Приемам Условията за ползване</t>
  </si>
  <si>
    <t>Souhlasím s podmínkami užívání</t>
  </si>
  <si>
    <t>Jeg accepterer brugsbetingelserne</t>
  </si>
  <si>
    <t>Ich akzeptiere die Nutzungsbedingungen</t>
  </si>
  <si>
    <t>Αποδέχομαι τους Όρους Χρήσης</t>
  </si>
  <si>
    <t>Accepto las Condiciones de Uso</t>
  </si>
  <si>
    <t>Hyväksyn käyttöehdot</t>
  </si>
  <si>
    <t>J\'accepte les conditions générales d\'utilisation</t>
  </si>
  <si>
    <t>मुझे उपयोग की शर्तें स्वीकार हैं</t>
  </si>
  <si>
    <t>Elfogadom az ÁSZF-et</t>
  </si>
  <si>
    <t>Saya menerima Syarat Penggunaan</t>
  </si>
  <si>
    <t>Accetto i Termini d\'uso</t>
  </si>
  <si>
    <t>תנאי השימוש מוסכמים עליי</t>
  </si>
  <si>
    <t>利用規約に同意します。</t>
  </si>
  <si>
    <t>이용 약관에 동의합니다.</t>
  </si>
  <si>
    <t>Saya menerima Terma Penggunaan</t>
  </si>
  <si>
    <t>Ik accepteer de gebruiksovereenkomst</t>
  </si>
  <si>
    <t>Jeg godtar bruksvilkårene</t>
  </si>
  <si>
    <t>Akceptuję warunki użytkowania</t>
  </si>
  <si>
    <t>Eu aceito os termos de uso</t>
  </si>
  <si>
    <t>Accept Termenii de Utilizare</t>
  </si>
  <si>
    <t>Я принимаю Условия Использования</t>
  </si>
  <si>
    <t>Súhlasím s podmienkami používania</t>
  </si>
  <si>
    <t>Sprejemam Pogoje uporabe</t>
  </si>
  <si>
    <t>Prihvatam Uslove o korišćenju</t>
  </si>
  <si>
    <t>Jag accepterar användarvillkoren</t>
  </si>
  <si>
    <t>ฉันยอมรับข้อกำหนดการใช้งาน</t>
  </si>
  <si>
    <t>Kullanım Şartlarını kabul ediyorum</t>
  </si>
  <si>
    <t>Tôi chấp nhận Điều khoản sử dụng</t>
  </si>
  <si>
    <t>我接受使用条款</t>
  </si>
  <si>
    <t>&gt;我接受使用條款</t>
  </si>
  <si>
    <t>fontsize_big_txt</t>
  </si>
  <si>
    <t>grand/e</t>
  </si>
  <si>
    <t>nagy</t>
  </si>
  <si>
    <t>groot</t>
  </si>
  <si>
    <t>Veliki</t>
  </si>
  <si>
    <t>tt_interestrates_android</t>
  </si>
  <si>
    <t>Interest Rates</t>
  </si>
  <si>
    <t>أسعار الفائدة</t>
  </si>
  <si>
    <t>Лихвени проценти</t>
  </si>
  <si>
    <t>Úrokové sazby</t>
  </si>
  <si>
    <t>Rentesatser</t>
  </si>
  <si>
    <t>Zinsen</t>
  </si>
  <si>
    <t>Επιτόκια</t>
  </si>
  <si>
    <t>Tasas de interés</t>
  </si>
  <si>
    <t>Korot</t>
  </si>
  <si>
    <t>Taux d\'intérêts</t>
  </si>
  <si>
    <t>ब्याज दरें</t>
  </si>
  <si>
    <t>Kamatlábak</t>
  </si>
  <si>
    <t>Tingkat Bunga</t>
  </si>
  <si>
    <t>Tassi di Interesse</t>
  </si>
  <si>
    <t>שערי ריבית</t>
  </si>
  <si>
    <t>Kadar Faedah</t>
  </si>
  <si>
    <t>Rentes</t>
  </si>
  <si>
    <t>Renter</t>
  </si>
  <si>
    <t>Stopy procentowe</t>
  </si>
  <si>
    <t>Taxa de juros</t>
  </si>
  <si>
    <t>Ratele Dobânzilor</t>
  </si>
  <si>
    <t>Процентные cтавки</t>
  </si>
  <si>
    <t>Úrokové sadzby</t>
  </si>
  <si>
    <t>Obrestne mere</t>
  </si>
  <si>
    <t>Kamatne stope</t>
  </si>
  <si>
    <t>Räntor</t>
  </si>
  <si>
    <t>Faiz Oranları</t>
  </si>
  <si>
    <t>&gt;利率</t>
  </si>
  <si>
    <t>tt_partially</t>
  </si>
  <si>
    <t>Partially</t>
  </si>
  <si>
    <t>جزئيًا</t>
  </si>
  <si>
    <t>Частично</t>
  </si>
  <si>
    <t>Částečně</t>
  </si>
  <si>
    <t>Delvist</t>
  </si>
  <si>
    <t>Teilweise</t>
  </si>
  <si>
    <t>Εν μέρει</t>
  </si>
  <si>
    <t>Parcialmente</t>
  </si>
  <si>
    <t>Osittain</t>
  </si>
  <si>
    <t>Partiellement</t>
  </si>
  <si>
    <t>आंशिक रूप से</t>
  </si>
  <si>
    <t>Részben</t>
  </si>
  <si>
    <t>Sebagian</t>
  </si>
  <si>
    <t>Parzialmente</t>
  </si>
  <si>
    <t>חלקית</t>
  </si>
  <si>
    <t>一部</t>
  </si>
  <si>
    <t>부분</t>
  </si>
  <si>
    <t>Sebahagian</t>
  </si>
  <si>
    <t>Gedeeltelijk</t>
  </si>
  <si>
    <t>Delvis</t>
  </si>
  <si>
    <t>Częściowo</t>
  </si>
  <si>
    <t>Parţial</t>
  </si>
  <si>
    <t>Čiastočne</t>
  </si>
  <si>
    <t>Delno</t>
  </si>
  <si>
    <t>Delimično</t>
  </si>
  <si>
    <t>จับคู่ไปแล้วบางส่วน</t>
  </si>
  <si>
    <t>Kısmen</t>
  </si>
  <si>
    <t>Một phần</t>
  </si>
  <si>
    <t>部分</t>
  </si>
  <si>
    <t>tt_studies</t>
  </si>
  <si>
    <t>Indicators</t>
  </si>
  <si>
    <t>Индикатори</t>
  </si>
  <si>
    <t>Indikátory</t>
  </si>
  <si>
    <t>Indikatorer</t>
  </si>
  <si>
    <t>Indikatoren</t>
  </si>
  <si>
    <t>Indicadores</t>
  </si>
  <si>
    <t>indikaattorit</t>
  </si>
  <si>
    <t>Indicateurs</t>
  </si>
  <si>
    <t>संकेतक</t>
  </si>
  <si>
    <t>Indikátorok</t>
  </si>
  <si>
    <t>Penunjuk</t>
  </si>
  <si>
    <t>Indicatori</t>
  </si>
  <si>
    <t>אינדיקטורים</t>
  </si>
  <si>
    <t>指標</t>
  </si>
  <si>
    <t>Indicatoren</t>
  </si>
  <si>
    <t>Wskaźniki</t>
  </si>
  <si>
    <t>Индикаторы</t>
  </si>
  <si>
    <t>Ukazovatele</t>
  </si>
  <si>
    <t>Kazalniki</t>
  </si>
  <si>
    <t>Analiza</t>
  </si>
  <si>
    <t>ตัวชี้วัด</t>
  </si>
  <si>
    <t>Göstergeler</t>
  </si>
  <si>
    <t>指标</t>
  </si>
  <si>
    <t>&gt;指標</t>
  </si>
  <si>
    <t>sudan</t>
  </si>
  <si>
    <t>Sudan</t>
  </si>
  <si>
    <t>Sudán</t>
  </si>
  <si>
    <t>Soudan</t>
  </si>
  <si>
    <t>Судан</t>
  </si>
  <si>
    <t>tt_info_about</t>
  </si>
  <si>
    <t>About baha</t>
  </si>
  <si>
    <t>حول TeleTrader</t>
  </si>
  <si>
    <t>Относно TeleTrader</t>
  </si>
  <si>
    <t>O společnosti TeleTrader</t>
  </si>
  <si>
    <t>Om TeleTrader</t>
  </si>
  <si>
    <t>Über baha</t>
  </si>
  <si>
    <t>Σχετικά με το TeleTrader</t>
  </si>
  <si>
    <t>Sobre TeleTrader</t>
  </si>
  <si>
    <t>Tietoja TeleTraderista</t>
  </si>
  <si>
    <t>À propos de TeleTrader</t>
  </si>
  <si>
    <t>टेलीट्रेडर के बारे में</t>
  </si>
  <si>
    <t>TeleTrader-ről</t>
  </si>
  <si>
    <t>Mengenai TeleTrader</t>
  </si>
  <si>
    <t>Sul TeleTrader</t>
  </si>
  <si>
    <t>אודות TeleTrader</t>
  </si>
  <si>
    <t>TeleTrader とは</t>
  </si>
  <si>
    <t>TeleTrader 정보</t>
  </si>
  <si>
    <t>Over Teletrader</t>
  </si>
  <si>
    <t>O TeleTrader</t>
  </si>
  <si>
    <t>Despre TeleTrader</t>
  </si>
  <si>
    <t>О компании baha</t>
  </si>
  <si>
    <t>O aplikácii TeleTrader</t>
  </si>
  <si>
    <t>O TeleTraderju</t>
  </si>
  <si>
    <t>O kompaniji TeleTrader</t>
  </si>
  <si>
    <t>เกี่ยวกับ TeleTrader</t>
  </si>
  <si>
    <t>Teletrader Hakkında</t>
  </si>
  <si>
    <t>Giới thiệu về TeleTrader</t>
  </si>
  <si>
    <t>关于TeleTrader</t>
  </si>
  <si>
    <t>&gt;關於TeleTrader</t>
  </si>
  <si>
    <t>on_boarding_message_2_1_huawei_insert</t>
  </si>
  <si>
    <t>Access our Market Overview or your Watchlists directly in your HUAWEI Assistant feed!</t>
  </si>
  <si>
    <t>قم بالوصول الى عرضنا عن السوق او قائمة مشاهداتك من خلال مساعدك الخاص HUAWEI!</t>
  </si>
  <si>
    <t>Директен достъп до нашия обзор на пазара или до уочлистите ви във вашия HUAWEI Assistant фийд!</t>
  </si>
  <si>
    <t>Získejte přístup k našemu tržnímu přehledu nebo seznamům sledovaných přímo ve zdroji HUAWEI Assistant!</t>
  </si>
  <si>
    <t>Få adgang til vores markedsoversigt eller dine overvågningslister direkte i dit HUAWEI Assistant-feed!</t>
  </si>
  <si>
    <t>Αποκτήστε πρόσβαση στην Επισκόπηση αγοράς ή στις λίστες παρακολούθησης απευθείας στη ροή του Βοηθού HUAWEI!</t>
  </si>
  <si>
    <t>Pääset markkinoiden yleiskatsaukseen tai tarkkailulistoillesi suoraan HUAWEI Assistant -syötteestäsi!</t>
  </si>
  <si>
    <t>Accédez à notre aperçu du marché ou à vos listes de surveillance directement dans votre flux HUAWEI Assistant !</t>
  </si>
  <si>
    <t>अपने HUAWEI सहायक फ़ीड में सीधे हमारे मार्केट विहंगावलोकन या अपने वॉचलिस्ट में एक्सेस करें!</t>
  </si>
  <si>
    <t>A Market Overview (piaci áttekintés) vagy saját Watchlist-ek (figyelési listák) elérése közvetlenül HUAWEI asszisztens feedjéből!</t>
  </si>
  <si>
    <t>Akses Ringkasan Pasar kami atau Daftar pengawasan di umpan Asisten HUAWEI Anda!</t>
  </si>
  <si>
    <t>Accedi alla nostra panoramica del mercato o direttamente alla Watchlist nel feed del tuo assistente HUAWEI!</t>
  </si>
  <si>
    <t>גש לסקירת השוק שלנו או לרשימות המעקב שלך ישירות בעדכון ה- HUAWEI שלך!</t>
  </si>
  <si>
    <t>マーケット概要やウォッチリストにはHUAWEI Assistantフィードから直接アクセスできます。</t>
  </si>
  <si>
    <t>고객님의 HUAWEI 어시스턴트 피드를 통해 저희의 마켓 개요 혹은 고객님의 보기목록에 바로 접속하세요!</t>
  </si>
  <si>
    <t>Akses Gambaran Pasaran kami atau Senarai Tontonan anda secara langsung dalam suapan HUAWEI Assistant anda!</t>
  </si>
  <si>
    <t>Verkrijg direct in de feed van uw HUAWEI Assistant toegang tot onze Market Overview of uw Watchlists.</t>
  </si>
  <si>
    <t>Få tilgang til markedsoversikten eller overvåkningslistene dine direkte i HUAWEI Assistant-strømmen!</t>
  </si>
  <si>
    <t>Uzyskuj dostęp do informacji HUAWEI Assistant bezpośrednio z poziomu Market Overview lub Watchlist!</t>
  </si>
  <si>
    <t>Aceda à nossa Visão Geral de Mercado ou às Listas de Controlo diretamente no feed do Assistente HUAWEI!</t>
  </si>
  <si>
    <t>Accesează Prezentarea noastră Generală a Pieței sau Listele de Urmărire direct în fluxul Asistentului tău HUAWEI!</t>
  </si>
  <si>
    <t>Získajte prístup k nášmu prehľadu o trhu alebo k vašim sledovaným zoznamom priamo vo vašom kanáli HUAWEI Assistant!</t>
  </si>
  <si>
    <t>Oglejte si neposredno v  HUAWEI Asistentu naš Pregleda trga ali  svoj seznam ogledov!</t>
  </si>
  <si>
    <t>Få tillgång till vår marknadsöversikt eller dina bevakningslistor direkt i ditt HUAWEI Assistant-flöde!</t>
  </si>
  <si>
    <t>เข้าดูข้อมูลภาพรวมของตลาดหุ้นหรือรายการหุ้นที่ติดตามได้โดยตรงจากฟีดข่าว HUAWEI Assistant</t>
  </si>
  <si>
    <t>Pazara Genel Bakışımıza veya İzleme Listelerinize doğrudan HUAWEI Assistant feed\'inizden erişin!</t>
  </si>
  <si>
    <t>Truy cập tính năng Tổng quan thị trường hoặc Danh mục theo dõi trực tiếp trên bảng tin Trợ lý HUAWEI của bạn!</t>
  </si>
  <si>
    <t>在您的华为助手动态中直接访问我们的市场概览或您的观察列表！</t>
  </si>
  <si>
    <t>tt_editwatchlists</t>
  </si>
  <si>
    <t>Edit Watchlists</t>
  </si>
  <si>
    <t>تحرير قوائم المتابعة</t>
  </si>
  <si>
    <t>Редактиране на уочлисти</t>
  </si>
  <si>
    <t>Upravit seznamy sledovaných</t>
  </si>
  <si>
    <t>Rediger overvågningslister</t>
  </si>
  <si>
    <t>Kurslisten bearbeiten</t>
  </si>
  <si>
    <t>Επεξεργασία λιστών παρακολούθησης</t>
  </si>
  <si>
    <t>Editar Watchlists</t>
  </si>
  <si>
    <t>Muokkaa tarkkailulistoja</t>
  </si>
  <si>
    <t>Editer vos listes personnelles</t>
  </si>
  <si>
    <t>वॉचलिस्टों को एडिट करें</t>
  </si>
  <si>
    <t>Figyelőlisták szerkesztése</t>
  </si>
  <si>
    <t>Edit daftar Pantau</t>
  </si>
  <si>
    <t>Modifica watchlist</t>
  </si>
  <si>
    <t>ערוך רשימות מעקב</t>
  </si>
  <si>
    <t>お気に入りを編集する</t>
  </si>
  <si>
    <t>보기목록 편집</t>
  </si>
  <si>
    <t>Sunting Senarai Pantau</t>
  </si>
  <si>
    <t>Pas Watchlist aan</t>
  </si>
  <si>
    <t>Rediger overvåkningslister</t>
  </si>
  <si>
    <t>Edycja obserwowanych instrumentów</t>
  </si>
  <si>
    <t>Editar listas de observação</t>
  </si>
  <si>
    <t>Editează Listele de Vizionare</t>
  </si>
  <si>
    <t>Редактировать списки наблюдения</t>
  </si>
  <si>
    <t>Upraviť sledované zoznamy</t>
  </si>
  <si>
    <t>Uredite si seznamov ogledov</t>
  </si>
  <si>
    <t>Uredi Watch liste</t>
  </si>
  <si>
    <t>Redigera bevakningslistor</t>
  </si>
  <si>
    <t>แก้ไขรายการหุ้นที่ติดตาม</t>
  </si>
  <si>
    <t>İzleme Listelerini Düzenle</t>
  </si>
  <si>
    <t>Chỉnh sửa danh mục theo dõi</t>
  </si>
  <si>
    <t>编辑收藏夹</t>
  </si>
  <si>
    <t>&gt;編輯收藏夾</t>
  </si>
  <si>
    <t>attach_record_voice</t>
  </si>
  <si>
    <t>Record voice</t>
  </si>
  <si>
    <t>تسجيل صوت</t>
  </si>
  <si>
    <t>Запис на глас</t>
  </si>
  <si>
    <t>Enregistra veu</t>
  </si>
  <si>
    <t>Sprache aufzeichnen</t>
  </si>
  <si>
    <t>Grabar audio</t>
  </si>
  <si>
    <t>Enregistrer un son</t>
  </si>
  <si>
    <t>Hang felvétele</t>
  </si>
  <si>
    <t>Rekam suara</t>
  </si>
  <si>
    <t>Registra la voce</t>
  </si>
  <si>
    <t>音声を録音</t>
  </si>
  <si>
    <t>녹음</t>
  </si>
  <si>
    <t>Stem opnemen</t>
  </si>
  <si>
    <t>Nagraj głos</t>
  </si>
  <si>
    <t>Gravar voz</t>
  </si>
  <si>
    <t>Запись голоса</t>
  </si>
  <si>
    <t>Nahrať hlas</t>
  </si>
  <si>
    <t>Сними глас</t>
  </si>
  <si>
    <t>Spela in röst</t>
  </si>
  <si>
    <t>Записати голос</t>
  </si>
  <si>
    <t>Ghi âm</t>
  </si>
  <si>
    <t>錄音</t>
  </si>
  <si>
    <t>tt_frequency</t>
  </si>
  <si>
    <t>Frequency</t>
  </si>
  <si>
    <t>التكرار</t>
  </si>
  <si>
    <t>Честота</t>
  </si>
  <si>
    <t>Frekvence</t>
  </si>
  <si>
    <t>Frekvens</t>
  </si>
  <si>
    <t>Frequenz</t>
  </si>
  <si>
    <t>Συχνότητα</t>
  </si>
  <si>
    <t>Frecuencia</t>
  </si>
  <si>
    <t>Tiheys</t>
  </si>
  <si>
    <t>Fréquence</t>
  </si>
  <si>
    <t>आवृत्ति</t>
  </si>
  <si>
    <t>Gyakoriság</t>
  </si>
  <si>
    <t>frekuensi</t>
  </si>
  <si>
    <t>Frequenza</t>
  </si>
  <si>
    <t>תדירות</t>
  </si>
  <si>
    <t>頻度</t>
  </si>
  <si>
    <t>빈도</t>
  </si>
  <si>
    <t>Kekerapan</t>
  </si>
  <si>
    <t>Frequentie</t>
  </si>
  <si>
    <t>Częstotliwość</t>
  </si>
  <si>
    <t>Freqüência</t>
  </si>
  <si>
    <t>Frecvență</t>
  </si>
  <si>
    <t>Частота</t>
  </si>
  <si>
    <t>Frekvencia</t>
  </si>
  <si>
    <t>Frekvenca</t>
  </si>
  <si>
    <t>Učestalost</t>
  </si>
  <si>
    <t>ความถี่</t>
  </si>
  <si>
    <t>Sıklık</t>
  </si>
  <si>
    <t>Tần suất</t>
  </si>
  <si>
    <t>频率</t>
  </si>
  <si>
    <t>&gt;頻率</t>
  </si>
  <si>
    <t>tt_notify_comment</t>
  </si>
  <si>
    <t>Comment</t>
  </si>
  <si>
    <t>تعليق</t>
  </si>
  <si>
    <t>Коментирай</t>
  </si>
  <si>
    <t>Komentář</t>
  </si>
  <si>
    <t>Kommentar</t>
  </si>
  <si>
    <t>Σχόλιο</t>
  </si>
  <si>
    <t>Comentar</t>
  </si>
  <si>
    <t>Kommentti</t>
  </si>
  <si>
    <t>Commentaire</t>
  </si>
  <si>
    <t>टिप्पणी</t>
  </si>
  <si>
    <t>Megjegyzés</t>
  </si>
  <si>
    <t>Komen</t>
  </si>
  <si>
    <t>Commento</t>
  </si>
  <si>
    <t>תגובה</t>
  </si>
  <si>
    <t>コメント</t>
  </si>
  <si>
    <t>코멘트</t>
  </si>
  <si>
    <t>Commentaar</t>
  </si>
  <si>
    <t>Komentarz</t>
  </si>
  <si>
    <t>Cometariu</t>
  </si>
  <si>
    <t>Добавлен комментарий</t>
  </si>
  <si>
    <t>Komentár</t>
  </si>
  <si>
    <t>Komentar</t>
  </si>
  <si>
    <t>คอมเม้นต์</t>
  </si>
  <si>
    <t>Yorum</t>
  </si>
  <si>
    <t>Bình luận</t>
  </si>
  <si>
    <t>评论</t>
  </si>
  <si>
    <t>&gt;評論</t>
  </si>
  <si>
    <t>tt_turnover</t>
  </si>
  <si>
    <t>Turnover</t>
  </si>
  <si>
    <t>إجمالي الحركة</t>
  </si>
  <si>
    <t>Оборот</t>
  </si>
  <si>
    <t>Obrat</t>
  </si>
  <si>
    <t>Omsætning</t>
  </si>
  <si>
    <t>Handelsumsatz</t>
  </si>
  <si>
    <t>Τζίρος</t>
  </si>
  <si>
    <t>Facturación</t>
  </si>
  <si>
    <t>Liikevaihto</t>
  </si>
  <si>
    <t>Chiffre d\'affaires</t>
  </si>
  <si>
    <t>टर्नओवर</t>
  </si>
  <si>
    <t>Forgalom</t>
  </si>
  <si>
    <t>Pendapatan</t>
  </si>
  <si>
    <t>Il Turnover</t>
  </si>
  <si>
    <t>מחזור</t>
  </si>
  <si>
    <t>ターンオーバー</t>
  </si>
  <si>
    <t>회전</t>
  </si>
  <si>
    <t>Perolehan</t>
  </si>
  <si>
    <t>Omsetning</t>
  </si>
  <si>
    <t>Obroty</t>
  </si>
  <si>
    <t>Volume de negócios</t>
  </si>
  <si>
    <t>Cifră de afaceri</t>
  </si>
  <si>
    <t>Товарооборот</t>
  </si>
  <si>
    <t>Prihodek od prodaje</t>
  </si>
  <si>
    <t>Omsättning</t>
  </si>
  <si>
    <t>ผลตอบแทน</t>
  </si>
  <si>
    <t>Ciro</t>
  </si>
  <si>
    <t>Doanh số</t>
  </si>
  <si>
    <t>营业额</t>
  </si>
  <si>
    <t>&gt;營業額</t>
  </si>
  <si>
    <t>leave</t>
  </si>
  <si>
    <t>Leave</t>
  </si>
  <si>
    <t>غادر</t>
  </si>
  <si>
    <t>Напускане</t>
  </si>
  <si>
    <t>Surt</t>
  </si>
  <si>
    <t>Verlassen</t>
  </si>
  <si>
    <t>Salir</t>
  </si>
  <si>
    <t>Partir</t>
  </si>
  <si>
    <t>Saír</t>
  </si>
  <si>
    <t>Távozás</t>
  </si>
  <si>
    <t>Tinggalkan</t>
  </si>
  <si>
    <t>Abbandona</t>
  </si>
  <si>
    <t>退出</t>
  </si>
  <si>
    <t>퇴장</t>
  </si>
  <si>
    <t>Verlaten</t>
  </si>
  <si>
    <t>Opuść pokój</t>
  </si>
  <si>
    <t>Sair</t>
  </si>
  <si>
    <t>Покинуть</t>
  </si>
  <si>
    <t>Odísť</t>
  </si>
  <si>
    <t>Напусти</t>
  </si>
  <si>
    <t>Lämna</t>
  </si>
  <si>
    <t>Залишити</t>
  </si>
  <si>
    <t>Rời khỏi</t>
  </si>
  <si>
    <t>離開</t>
  </si>
  <si>
    <t>no_pgp_keys</t>
  </si>
  <si>
    <t>No OpenPGP Keys found</t>
  </si>
  <si>
    <t>لم يتم العثور على أية مفاتيح OpenPGP</t>
  </si>
  <si>
    <t>Не са открити OpenPGP ключове</t>
  </si>
  <si>
    <t>No s\'ha trobat cap clau OpenPGP</t>
  </si>
  <si>
    <t>Keine OpenPGP-Schlüssel gefunden</t>
  </si>
  <si>
    <t>Claves OpenPGP no encontradas</t>
  </si>
  <si>
    <t>Aucune clef OpenPGP n\'a été trouvée.</t>
  </si>
  <si>
    <t>Non se atoparon chaves OpenPGP</t>
  </si>
  <si>
    <t>Nem talált OpenPGP kulcsokat</t>
  </si>
  <si>
    <t>Tidak ada kunci OpenPGP ditemukan</t>
  </si>
  <si>
    <t>Nessuna chiave OpenPGP trovata</t>
  </si>
  <si>
    <t>OpenPGP の鍵はありません</t>
  </si>
  <si>
    <t>OpenPGP 키가 발견되지 않음</t>
  </si>
  <si>
    <t>Geen OpenPGP-sleutels gevonden</t>
  </si>
  <si>
    <t>Nie znaleziono kluczy OpenPGP</t>
  </si>
  <si>
    <t>Não foram encontradas chaves OpenPGP</t>
  </si>
  <si>
    <t>Нет OpenPGP ключей</t>
  </si>
  <si>
    <t>Nenašli sa žiadne OpenPGP kľúče</t>
  </si>
  <si>
    <t>Нема ОпенПГП кључева</t>
  </si>
  <si>
    <t>Inga OpenPGP-nycklar funna</t>
  </si>
  <si>
    <t>Не знайдено жодного OpenPGP ключа</t>
  </si>
  <si>
    <t>Không tìm thấy các khoá OpenPGP</t>
  </si>
  <si>
    <t>未找到 OpenPGP 金鑰</t>
  </si>
  <si>
    <t>tt_lower_limit</t>
  </si>
  <si>
    <t>Unteres Limit</t>
  </si>
  <si>
    <t>Onderste limiet</t>
  </si>
  <si>
    <t>Limita inferioară</t>
  </si>
  <si>
    <t>Нижний предел</t>
  </si>
  <si>
    <t>tt_select_country</t>
  </si>
  <si>
    <t>Please select country.</t>
  </si>
  <si>
    <t>Bitte wählen Sie ein Land.</t>
  </si>
  <si>
    <t>Por favor selecciona tu pais.</t>
  </si>
  <si>
    <t>Veuillez sélectionner un pays.</t>
  </si>
  <si>
    <t>Kérjük válasszon országot.</t>
  </si>
  <si>
    <t>Пожалуйста, выберите страну.</t>
  </si>
  <si>
    <t>Molimo vas selektujte zemlju.</t>
  </si>
  <si>
    <t>Lütfen Ülke\'yi seçin.</t>
  </si>
  <si>
    <t>uzbekistan</t>
  </si>
  <si>
    <t>Uzbekistan</t>
  </si>
  <si>
    <t>Usbekistan</t>
  </si>
  <si>
    <t>Uzbekistán</t>
  </si>
  <si>
    <t>Ouzbékistan</t>
  </si>
  <si>
    <t>Узбекистан</t>
  </si>
  <si>
    <t>omemo_fingerprint_x509_selected_message</t>
  </si>
  <si>
    <t>v\\OMEMO fingerprint of message</t>
  </si>
  <si>
    <t>Отпечатък v\\OMEMO на съобщението</t>
  </si>
  <si>
    <t>Empremta digital v\\OMEMO del missatge</t>
  </si>
  <si>
    <t>v\\OMEMO-Fingerabdruck der Nachricht</t>
  </si>
  <si>
    <t>huella digital v\\OMEMO del mensaje</t>
  </si>
  <si>
    <t>v\\Empreinte OMEMO du message</t>
  </si>
  <si>
    <t>v\\Pegada OMEMO da mensaxe</t>
  </si>
  <si>
    <t>v\\OMEMO ujjlenyomata az üzenetnek</t>
  </si>
  <si>
    <t>Impronta v\\OMEMO del messaggio</t>
  </si>
  <si>
    <t>メッセージの v\\OMEMO フィンガープリント</t>
  </si>
  <si>
    <t>메세지의 v\\OMEMO 핑거프린트</t>
  </si>
  <si>
    <t>v\\OMEMO-vingerafdruk van bericht</t>
  </si>
  <si>
    <t>Odcisk v\\OMEMO wiadomości</t>
  </si>
  <si>
    <t>Impressão digital v\\OMEMO da mensagem</t>
  </si>
  <si>
    <t>v\\OMEMO отпечаток сообщения</t>
  </si>
  <si>
    <t>v\\ОМЕМО отисак поруке</t>
  </si>
  <si>
    <t>Meddelandets v\\OMEMO-fingeravtryck</t>
  </si>
  <si>
    <t>Відбиток v\\OMEMO повідомлення</t>
  </si>
  <si>
    <t>Dấu vân tay v\\OMEMO của tin nhắn</t>
  </si>
  <si>
    <t>mozambique</t>
  </si>
  <si>
    <t>Mozambique</t>
  </si>
  <si>
    <t>Mosambik</t>
  </si>
  <si>
    <t>Мозамбик</t>
  </si>
  <si>
    <t>Mozambik</t>
  </si>
  <si>
    <t>incorrect_pin</t>
  </si>
  <si>
    <t>The pin you have entered is incorrect.</t>
  </si>
  <si>
    <t>Въведеният код е неправилен.</t>
  </si>
  <si>
    <t>Die eingegebene PIN ist falsch.</t>
  </si>
  <si>
    <t>El código que has introducido no es correcto.</t>
  </si>
  <si>
    <t>O pin introducido non é correcto.</t>
  </si>
  <si>
    <t>A beírt PIN helytelen.</t>
  </si>
  <si>
    <t>Il pin che hai inserito è sbagliato.</t>
  </si>
  <si>
    <t>De ingevoerde code is onjuist.</t>
  </si>
  <si>
    <t>PIN który wpisałeś jest nieprawidłowy.</t>
  </si>
  <si>
    <t>send_omemo_x509_message</t>
  </si>
  <si>
    <t>Send v\\OMEMO encrypted message</t>
  </si>
  <si>
    <t>إبعث رسالة مشفَّرة بـ أومي مو OMEMO</t>
  </si>
  <si>
    <t>Изпр. на съобщение, шифр. чрез v\\OMEMO</t>
  </si>
  <si>
    <t>Envia un missatge xifrat amb v\\OMEMO</t>
  </si>
  <si>
    <t>v\\OMEMO-verschlüsselte Nachricht senden</t>
  </si>
  <si>
    <t>Enviar mensaje cifrado v\\OMEMO</t>
  </si>
  <si>
    <t>Envoyer un message chiffré avec \\OMEMO</t>
  </si>
  <si>
    <t>Enviar mensaxe cifrada v\\OMEMO</t>
  </si>
  <si>
    <t>OMEMO v\\titkosított üzenet küldése</t>
  </si>
  <si>
    <t>Invia messaggio cifrato v\\OMEMO</t>
  </si>
  <si>
    <t>v\\OMEMO 暗号化メッセージを送信</t>
  </si>
  <si>
    <t>v\\OMEMO로 암호화된 메세지 전송</t>
  </si>
  <si>
    <t>Verstuur v\\OMEMO-versleuteld bericht</t>
  </si>
  <si>
    <t>Wyślij wiadomość zaszyfrowaną v\\OMEMO</t>
  </si>
  <si>
    <t>Enviar mensagem cifrada com v\\OMEMO</t>
  </si>
  <si>
    <t>v\\OMEMO зашифр. сообщение</t>
  </si>
  <si>
    <t>Пошаљи v\\ОМЕМО шифровану поруку</t>
  </si>
  <si>
    <t>Skicka v\\OMEMO-krypterat meddelande</t>
  </si>
  <si>
    <t>Відправити повідомлення, зашифроване v\\OMEMO</t>
  </si>
  <si>
    <t>Gửi tin nhắn mã hoá v\\OMEMO</t>
  </si>
  <si>
    <t>送 v\\OMEMO 加密訊息</t>
  </si>
  <si>
    <t>file</t>
  </si>
  <si>
    <t>ملف</t>
  </si>
  <si>
    <t>файл</t>
  </si>
  <si>
    <t>Arxiu</t>
  </si>
  <si>
    <t>Datei</t>
  </si>
  <si>
    <t>archivo</t>
  </si>
  <si>
    <t>fichier</t>
  </si>
  <si>
    <t>ficheiro</t>
  </si>
  <si>
    <t>fájl</t>
  </si>
  <si>
    <t>berkas</t>
  </si>
  <si>
    <t>ファイル</t>
  </si>
  <si>
    <t>파일</t>
  </si>
  <si>
    <t>bestand</t>
  </si>
  <si>
    <t>plik</t>
  </si>
  <si>
    <t>súbor</t>
  </si>
  <si>
    <t>фајл</t>
  </si>
  <si>
    <t>fil</t>
  </si>
  <si>
    <t>tập tin</t>
  </si>
  <si>
    <t>檔案</t>
  </si>
  <si>
    <t>chile</t>
  </si>
  <si>
    <t>Chile</t>
  </si>
  <si>
    <t>Chili</t>
  </si>
  <si>
    <t>Чили</t>
  </si>
  <si>
    <t>Čile</t>
  </si>
  <si>
    <t>reunion_and_mayotte</t>
  </si>
  <si>
    <t>Reunion and Mayotte</t>
  </si>
  <si>
    <t>Reunion</t>
  </si>
  <si>
    <t>Reunión y Mayotte</t>
  </si>
  <si>
    <t>Réunion et Mayotte</t>
  </si>
  <si>
    <t>Реюньон и Майотта</t>
  </si>
  <si>
    <t>Reunion i Mayoti</t>
  </si>
  <si>
    <t>tt_changeperc</t>
  </si>
  <si>
    <t>Chg. %</t>
  </si>
  <si>
    <t>تغيير %</t>
  </si>
  <si>
    <t>Смен.екран. %</t>
  </si>
  <si>
    <t>% změny</t>
  </si>
  <si>
    <t>Bytte %</t>
  </si>
  <si>
    <t>Diff. %</t>
  </si>
  <si>
    <t>Camb. %</t>
  </si>
  <si>
    <t>Muut. %</t>
  </si>
  <si>
    <t>Var%</t>
  </si>
  <si>
    <t>परिवर्तन. %</t>
  </si>
  <si>
    <t>Vált. (%)</t>
  </si>
  <si>
    <t>Ubah %</t>
  </si>
  <si>
    <t>Cmb. %</t>
  </si>
  <si>
    <t>אחוז שינוי</t>
  </si>
  <si>
    <t>変動率</t>
  </si>
  <si>
    <t>변동 %</t>
  </si>
  <si>
    <t>Tukar %</t>
  </si>
  <si>
    <t>Aan.%</t>
  </si>
  <si>
    <t>Endr. %</t>
  </si>
  <si>
    <t>Zm. %</t>
  </si>
  <si>
    <t>Mudar \%</t>
  </si>
  <si>
    <t>Schimb %</t>
  </si>
  <si>
    <t>Измен.%</t>
  </si>
  <si>
    <t>Zmena %</t>
  </si>
  <si>
    <t>Chg %</t>
  </si>
  <si>
    <t>เปลี่ยน %</t>
  </si>
  <si>
    <t>Değ %</t>
  </si>
  <si>
    <t>% Chênh lệch</t>
  </si>
  <si>
    <t>变动（%）</t>
  </si>
  <si>
    <t>&gt;變動(%)</t>
  </si>
  <si>
    <t>tt_indicator_type9</t>
  </si>
  <si>
    <t>Momentum</t>
  </si>
  <si>
    <t>قوة ارتفاع السعر أو انخفاضه</t>
  </si>
  <si>
    <t>Моментум</t>
  </si>
  <si>
    <t>Hybnost</t>
  </si>
  <si>
    <t>Ορμή</t>
  </si>
  <si>
    <t>Momento</t>
  </si>
  <si>
    <t>आवेग</t>
  </si>
  <si>
    <t>מומנטום</t>
  </si>
  <si>
    <t>モメンタム</t>
  </si>
  <si>
    <t>모멘텀</t>
  </si>
  <si>
    <t>Moment</t>
  </si>
  <si>
    <t>Импульс</t>
  </si>
  <si>
    <t>Hybná sila</t>
  </si>
  <si>
    <t>Zagon</t>
  </si>
  <si>
    <t>โมเมนตัม</t>
  </si>
  <si>
    <t>Động lượng</t>
  </si>
  <si>
    <t>动量指标</t>
  </si>
  <si>
    <t>&gt;動量指標</t>
  </si>
  <si>
    <t>invalid_barcode</t>
  </si>
  <si>
    <t>Invalid 2D barcode</t>
  </si>
  <si>
    <t>الشفْرة الخيْطيّة خاطئة</t>
  </si>
  <si>
    <t>Грешен 2-измерен баркод</t>
  </si>
  <si>
    <t>Codi de barres 2D no vàlid</t>
  </si>
  <si>
    <t>Ungültiger Barcode</t>
  </si>
  <si>
    <t>Código QR inválido</t>
  </si>
  <si>
    <t>Code-barres 2D invalide</t>
  </si>
  <si>
    <t>Código de barras 2D non válido</t>
  </si>
  <si>
    <t>Érvénytelen 2D vonalkód</t>
  </si>
  <si>
    <t>Codice a barre 2D non valido</t>
  </si>
  <si>
    <t>不正な 2D バーコード</t>
  </si>
  <si>
    <t>잘못된 2D 바코드</t>
  </si>
  <si>
    <t>Ongeldige 2D-streepjescode</t>
  </si>
  <si>
    <t>Nieprawidłowy kod kreskowy 2D</t>
  </si>
  <si>
    <t>Некорректный 2D штрихкод</t>
  </si>
  <si>
    <t>Неисправан 2Д бар-кôд</t>
  </si>
  <si>
    <t>Ogiltig 2D-streckkod</t>
  </si>
  <si>
    <t>Недійсний QR-код</t>
  </si>
  <si>
    <t>二維條碼不合格</t>
  </si>
  <si>
    <t>tt_eckdaten</t>
  </si>
  <si>
    <t>Basic data</t>
  </si>
  <si>
    <t>Eckdaten</t>
  </si>
  <si>
    <t>Datos básicos</t>
  </si>
  <si>
    <t>Alapadatok</t>
  </si>
  <si>
    <t>Data Fondamentale</t>
  </si>
  <si>
    <t>基本情報</t>
  </si>
  <si>
    <t>Basisinformatie</t>
  </si>
  <si>
    <t>Podstawowe dane</t>
  </si>
  <si>
    <t>Dados básicos</t>
  </si>
  <si>
    <t>Date de bază</t>
  </si>
  <si>
    <t>Первичные данные</t>
  </si>
  <si>
    <t>Osnovni podatki</t>
  </si>
  <si>
    <t>Osnovni podaci</t>
  </si>
  <si>
    <t>Temel veri</t>
  </si>
  <si>
    <t>&gt;基本數據</t>
  </si>
  <si>
    <t>tt_indicator_type8</t>
  </si>
  <si>
    <t>Fast Stohastic Oscillator</t>
  </si>
  <si>
    <t>مذبذب التسلسل العشوائي السريع</t>
  </si>
  <si>
    <t>Бърз стохастичен осцилатор</t>
  </si>
  <si>
    <t>Rychlý stohastický oscilátor</t>
  </si>
  <si>
    <t>Hurtig Stokastisk oscillator</t>
  </si>
  <si>
    <t>Ταλαντωτής Fast Stochastic</t>
  </si>
  <si>
    <t>Nopea stokastinen oskillaattori</t>
  </si>
  <si>
    <t>तीव्र स्टोकेस्टिक ऑसिलेटर</t>
  </si>
  <si>
    <t>Oscillator Stohastic Kecepatan</t>
  </si>
  <si>
    <t>מתנד סטוהסטי מהיר</t>
  </si>
  <si>
    <t>指標 ﾀｲﾌﾟ８</t>
  </si>
  <si>
    <t>빠른 스토캐스틱 오실레이터</t>
  </si>
  <si>
    <t>Oscillator Stohastic Laju</t>
  </si>
  <si>
    <t>Snelle Stohastic Oscillator</t>
  </si>
  <si>
    <t>Rask Stohastic oscillator</t>
  </si>
  <si>
    <t>Rápido oscilador stohastic</t>
  </si>
  <si>
    <t>Быстрый стохастический осциллятор</t>
  </si>
  <si>
    <t>Rýchly náhodný oscilátor</t>
  </si>
  <si>
    <t>Hitri stohastični oscilator</t>
  </si>
  <si>
    <t>Snabb stohastisk oscillator</t>
  </si>
  <si>
    <t>Stohastic Oscillator แบบเร็ว</t>
  </si>
  <si>
    <t>Hızlı Stokastik Osilatör</t>
  </si>
  <si>
    <t>Chỉ số dao động ngẫu nhiên nhanh</t>
  </si>
  <si>
    <t>&gt;快速隨機指標</t>
  </si>
  <si>
    <t>tt_indicator_type7</t>
  </si>
  <si>
    <t>Slow Stohastic Oscillator</t>
  </si>
  <si>
    <t>مذبذب التسلسل العشوائي البطيء</t>
  </si>
  <si>
    <t>Бавен стохастичен осцилатор</t>
  </si>
  <si>
    <t>Pomalý stohastický oscilátor</t>
  </si>
  <si>
    <t>Langsom Stokastisk oscillator</t>
  </si>
  <si>
    <t>Ταλαντωτής Slow Stochastic</t>
  </si>
  <si>
    <t>Hidas stokastinen oskillaattori</t>
  </si>
  <si>
    <t>धीमा स्टोकेस्टिक ऑसिलेटर</t>
  </si>
  <si>
    <t>Oscillator Stohastic Perlahan</t>
  </si>
  <si>
    <t>מתנד סטוהסטי איטי</t>
  </si>
  <si>
    <t>指標 ﾀｲﾌﾟ７</t>
  </si>
  <si>
    <t>느린 스토캐스틱 오실레이터</t>
  </si>
  <si>
    <t>Langzame Stohastic Oscillator</t>
  </si>
  <si>
    <t>Sakte Stohastic oscillator</t>
  </si>
  <si>
    <t>Oscilador stohastic Lento</t>
  </si>
  <si>
    <t>Медленный стохастический осциллятор</t>
  </si>
  <si>
    <t>Pomalý náhodný oscilátor</t>
  </si>
  <si>
    <t>Počasen stohastični oscilator</t>
  </si>
  <si>
    <t>Långsam stohastisk oscillator</t>
  </si>
  <si>
    <t>Stohastic Oscillator แบบช้า</t>
  </si>
  <si>
    <t>Yavaş Stokastik Osilatör</t>
  </si>
  <si>
    <t>Chỉ số dao động ngẫu nhiên chậm</t>
  </si>
  <si>
    <t>&gt;慢速隨機指標</t>
  </si>
  <si>
    <t>undo</t>
  </si>
  <si>
    <t>UNDO</t>
  </si>
  <si>
    <t>تراجع</t>
  </si>
  <si>
    <t>ОТМЕНИ</t>
  </si>
  <si>
    <t>VRÁTIT</t>
  </si>
  <si>
    <t>FORTRYD</t>
  </si>
  <si>
    <t>Rückgängig machen</t>
  </si>
  <si>
    <t>ΑΝΑΙΡΕΣΗ</t>
  </si>
  <si>
    <t>DESHACER</t>
  </si>
  <si>
    <t>KUMOA</t>
  </si>
  <si>
    <t>ANNULER</t>
  </si>
  <si>
    <t>पूर्ववत करें</t>
  </si>
  <si>
    <t>Vissza</t>
  </si>
  <si>
    <t>BUAT ASAL</t>
  </si>
  <si>
    <t>ANNULLA</t>
  </si>
  <si>
    <t>取り消し</t>
  </si>
  <si>
    <t>실행 취소</t>
  </si>
  <si>
    <t>Ongedaan maken</t>
  </si>
  <si>
    <t>ANGRE</t>
  </si>
  <si>
    <t>Cofnij</t>
  </si>
  <si>
    <t>ANULAR</t>
  </si>
  <si>
    <t>ANULEAZĂ</t>
  </si>
  <si>
    <t>ОТМЕНИТЬ</t>
  </si>
  <si>
    <t>VRÁTIŤ SPÄŤ</t>
  </si>
  <si>
    <t>RAZVELJAVITE</t>
  </si>
  <si>
    <t>VRATI</t>
  </si>
  <si>
    <t>ÅNGRA</t>
  </si>
  <si>
    <t>ย้อนกลับ</t>
  </si>
  <si>
    <t>GERİ AL</t>
  </si>
  <si>
    <t>HOÀN TÁC</t>
  </si>
  <si>
    <t>撤销</t>
  </si>
  <si>
    <t>we_will_be_verifying</t>
  </si>
  <si>
    <t>tt_indicator_type6</t>
  </si>
  <si>
    <t>William\'s %R</t>
  </si>
  <si>
    <t>نطاق وليام %R</t>
  </si>
  <si>
    <t>विलियम \'s %R</t>
  </si>
  <si>
    <t>William %R</t>
  </si>
  <si>
    <t>%R של ויליאם</t>
  </si>
  <si>
    <t>윌리엄스 %R</t>
  </si>
  <si>
    <t>William R%</t>
  </si>
  <si>
    <t>%R William</t>
  </si>
  <si>
    <t>William's %R</t>
  </si>
  <si>
    <t>tt_indicator_type5</t>
  </si>
  <si>
    <t>Relative Strength Index</t>
  </si>
  <si>
    <t>Индекс на относителната сила</t>
  </si>
  <si>
    <t>Index relativní pevnosti</t>
  </si>
  <si>
    <t>Relativ styrkeindeks</t>
  </si>
  <si>
    <t>Δείκτης σχετικής δύναμης</t>
  </si>
  <si>
    <t>Relative Strength Index (RSI)</t>
  </si>
  <si>
    <t>सापेक्ष दृढ़ता सूचकांक</t>
  </si>
  <si>
    <t>Indeks Kekuatan Relatif</t>
  </si>
  <si>
    <t>מדד כוח יחסי</t>
  </si>
  <si>
    <t>指標 ﾀｲﾌﾟ５</t>
  </si>
  <si>
    <t>상대강도지수</t>
  </si>
  <si>
    <t>Índice de Força Relativa</t>
  </si>
  <si>
    <t>Indice de Forță Relativă</t>
  </si>
  <si>
    <t>Index relatívnej pevnosti</t>
  </si>
  <si>
    <t>Indeks relativne jakosti</t>
  </si>
  <si>
    <t>Relativt styrkeindex</t>
  </si>
  <si>
    <t>Göreli Güç Endeksi</t>
  </si>
  <si>
    <t>Chỉ số sức mạnh tương đối</t>
  </si>
  <si>
    <t>email_not_verified</t>
  </si>
  <si>
    <t>Email not verified. Please verify via the login page on baha.com</t>
  </si>
  <si>
    <t>لم يتم تأكيد البريد الإلكتروني. يُرجى التأكيد عبر صفحة تسجيل الدخول على TeleTrader.com</t>
  </si>
  <si>
    <t>Имейлът не е потвърден. Моля, потвърдете чрез страницата за вход в TeleTrader.com</t>
  </si>
  <si>
    <t>E-mail nebyl ověřen. Ověřte jej pomocí přihlašovací stránky na TeleTrader.com</t>
  </si>
  <si>
    <t>E-mail ikke bekræftet. Bekræft via log ind-siden på TeleTrader.com</t>
  </si>
  <si>
    <t>E-Mail-Adresse nicht verifiziert. Bitte verifizieren Sie sich über die Login-Seite auf baha.com</t>
  </si>
  <si>
    <t>Το email δεν επαληθεύτηκε. Επαληθεύστε μέσω της σελίδας σύνδεσης στο TeleTrader.com</t>
  </si>
  <si>
    <t>E-mail no fue confirmado. Por favor compruébelo en baha.com</t>
  </si>
  <si>
    <t>Sähköpostia ei ole vahvistettu. Vahvista TeleTrader.com-sivun kirjautumissivun kautta</t>
  </si>
  <si>
    <t>Email non vérifié. Veuillez vérifier via la page de connexion sur TeleTrader.com</t>
  </si>
  <si>
    <t>ईमेल सत्यापित नहीं है। कृपया TeleTrader.com पर लॉग-इन पृष्ठ के माध्यम से सत्यापित करें</t>
  </si>
  <si>
    <t>Az email cím nincs visszaigazolva. Kérjük igazolja vissza a belépési oldalon a TeleTrader.com címen.</t>
  </si>
  <si>
    <t>Email tidak terverifikasi. Silahkan verifikasi melalui halaman log masuk di TeleTrader.com</t>
  </si>
  <si>
    <t>E-mail non è verificata. Per favore verificare alla pagina di login TeleTrader.com</t>
  </si>
  <si>
    <t>כתובת דוא"ל לא מאומתת נא לאמת באמצעות עמוד ההתחברות באתר TeleTrader.com</t>
  </si>
  <si>
    <t>Eメールが確認されません。TeleTrader.comのログインページで確認して下さい。</t>
  </si>
  <si>
    <t>이메일이 확인되지 않았습니다. TeleTrader.com의 로그인 페이지를 통해 확인해주세요</t>
  </si>
  <si>
    <t>E-mel tidak disahkan. Sila sahkan melalui halaman log masuk di TeleTrader.com</t>
  </si>
  <si>
    <t>Email niet geverifieerd. Bevestig via de inlogpagina op www.TeleTrader.com aub</t>
  </si>
  <si>
    <t>E-post ikke verifisert Bekreft via innloggingssiden hos TeleTrader.com</t>
  </si>
  <si>
    <t>Niezweryfikowany email. Proszę zweryfikować email poprzez zalogowanie się na stronie teletrader.com</t>
  </si>
  <si>
    <t>E-mail não verificado. Por favor, verificar através da página de login em TeleTrader.com</t>
  </si>
  <si>
    <t>Emailul nu este verificat. Te rugăm să verifici prin pagina de autentificare pe TeleTrader.com</t>
  </si>
  <si>
    <t>Эл. почта не подтверждена. Пожалуйста, подтвердите через страницу входа на TeleTrader.com</t>
  </si>
  <si>
    <t>E-mail nebol overený. Overte ho cez prihlasovaciu stránku na TeleTrader.com</t>
  </si>
  <si>
    <t>E-pošta ni preverjena. Preverite na strani za prijavo na TeleTrader.com</t>
  </si>
  <si>
    <t>Email nije verifikovan. Uradite to preko Teletrader.com portala</t>
  </si>
  <si>
    <t>E-postadressen har inte verifierats. Bekräfta via inloggningssidan på TeleTrader.com</t>
  </si>
  <si>
    <t>อีเมลไม่ได้รับการยืนยัน โปรดยืนยันด้วยการเข้าสู่ระบบใน TeleTrader.com</t>
  </si>
  <si>
    <t>E-posta doğrulanmadı. Lütfen TeleTrader.com adresindeki giriş sayfası ile doğrulayın.</t>
  </si>
  <si>
    <t>Email chưa được xác minh. Vui lòng xác minh qua trang đăng nhập trên TeleTrader.com</t>
  </si>
  <si>
    <t>无法验证您的电子邮件。请用TeleTrader.com的登陆页为了确认邮件</t>
  </si>
  <si>
    <t>lebanon</t>
  </si>
  <si>
    <t>Lebanon</t>
  </si>
  <si>
    <t>Libanon</t>
  </si>
  <si>
    <t>Líbano</t>
  </si>
  <si>
    <t>Liban</t>
  </si>
  <si>
    <t>Ливан</t>
  </si>
  <si>
    <t>tt_indicator_type4</t>
  </si>
  <si>
    <t>Commodity Channel Index</t>
  </si>
  <si>
    <t>مؤشر قناة السلع</t>
  </si>
  <si>
    <t>Индекс на стоковия канал</t>
  </si>
  <si>
    <t>Index komoditních kanálů</t>
  </si>
  <si>
    <t>Indeks for råvarekanal</t>
  </si>
  <si>
    <t>Ευρετήριο καναλιών εμπορευμάτων</t>
  </si>
  <si>
    <t>Hyödykekanavaindeksi</t>
  </si>
  <si>
    <t>Commodity Channel Index (CCI)</t>
  </si>
  <si>
    <t>कमोडिटी चैनल सूचकांक</t>
  </si>
  <si>
    <t>Indeks Saluran Komoditi</t>
  </si>
  <si>
    <t>מדד ערוץ הסחורות</t>
  </si>
  <si>
    <t>コモディティ・チャネル・インデックス</t>
  </si>
  <si>
    <t>커머디티 채널 인덱스</t>
  </si>
  <si>
    <t>Grondstoffen Kanaal Index</t>
  </si>
  <si>
    <t>Råvarekanalindeks</t>
  </si>
  <si>
    <t>Indice Canal de Mărfuri</t>
  </si>
  <si>
    <t>Индекс товарного канала</t>
  </si>
  <si>
    <t>Index komoditných kanálov</t>
  </si>
  <si>
    <t>Indeks blagovnih kanalov</t>
  </si>
  <si>
    <t>Råvarukanalindex</t>
  </si>
  <si>
    <t>CCI</t>
  </si>
  <si>
    <t>Emtia Kanal Endeksi</t>
  </si>
  <si>
    <t>Chỉ số kênh hàng hóa</t>
  </si>
  <si>
    <t>顺势指数（CCI）</t>
  </si>
  <si>
    <t>&gt;順勢指數(CCI)</t>
  </si>
  <si>
    <t>tt_indicator_type3</t>
  </si>
  <si>
    <t>ماك دي</t>
  </si>
  <si>
    <t>tt_indicator_type2</t>
  </si>
  <si>
    <t>Ζώνες Bollinger</t>
  </si>
  <si>
    <t>Bollinger Bantları</t>
  </si>
  <si>
    <t>tt_indicator_type1</t>
  </si>
  <si>
    <t>Exponential Moving Average</t>
  </si>
  <si>
    <t>متوسط ​​متحرك أسي</t>
  </si>
  <si>
    <t>Експоненциална пълзяща средна стойност</t>
  </si>
  <si>
    <t>Exponenciální klouzavý průměr</t>
  </si>
  <si>
    <t>Eksponentielt Bevægende gennemsnit</t>
  </si>
  <si>
    <t>Εκθετικός κινούμενος μέσος όρος</t>
  </si>
  <si>
    <t>Media Móvil Exponencial</t>
  </si>
  <si>
    <t>Eksponentiaalinen liukuva keskiarvo</t>
  </si>
  <si>
    <t>Moyenne Mobile Exponentielle</t>
  </si>
  <si>
    <t>घातांकीय मूविंग औसत</t>
  </si>
  <si>
    <t>rata-rata Bergerak Eksponen</t>
  </si>
  <si>
    <t>ממוצע נע אקספוננציאלי</t>
  </si>
  <si>
    <t>指数平滑移動平均線</t>
  </si>
  <si>
    <t>지수이동평균</t>
  </si>
  <si>
    <t>Purata Bergerak Eksponen</t>
  </si>
  <si>
    <t>Exponentieel Voortschrijdend Gemiddelde</t>
  </si>
  <si>
    <t>Eksponentielt glidende gjennomsnitt</t>
  </si>
  <si>
    <t>Wykładnicza średnia ruchoma</t>
  </si>
  <si>
    <t>Média móvel exponencial</t>
  </si>
  <si>
    <t>Media Exponențială în Mișcare</t>
  </si>
  <si>
    <t>Экспоненциальное скользящее среднее</t>
  </si>
  <si>
    <t>Exponenciálny kĺzavý priemer</t>
  </si>
  <si>
    <t>Eksponentno gibanje povprečja</t>
  </si>
  <si>
    <t>Exponentiellt rörligt medelvärde</t>
  </si>
  <si>
    <t>ค่าเฉลี่ยเคลื่อนที่แบบถ่วงน้ำหนักซับซ้อน</t>
  </si>
  <si>
    <t>Üstel Hareketli Ortalaması</t>
  </si>
  <si>
    <t>Đường trung bình động cấp số nhân</t>
  </si>
  <si>
    <t>指数移动平均线（均线）</t>
  </si>
  <si>
    <t>&gt;指數移動平均線</t>
  </si>
  <si>
    <t>tt_pf_currencyquote</t>
  </si>
  <si>
    <t>Exchange rate</t>
  </si>
  <si>
    <t>سعر الصرف</t>
  </si>
  <si>
    <t>Валутен курс</t>
  </si>
  <si>
    <t>Směnný kurz</t>
  </si>
  <si>
    <t>Valutakurs</t>
  </si>
  <si>
    <t>Währungkurs</t>
  </si>
  <si>
    <t>Συναλλαγματική ισοτιμία</t>
  </si>
  <si>
    <t>Tipo de cambio</t>
  </si>
  <si>
    <t>Vaihtokurssi</t>
  </si>
  <si>
    <t>Taux de change</t>
  </si>
  <si>
    <t>विनिमय दर</t>
  </si>
  <si>
    <t>Devizaárfolyam</t>
  </si>
  <si>
    <t>Nilai tukar</t>
  </si>
  <si>
    <t>Tassi di cambio</t>
  </si>
  <si>
    <t>שער חליפין</t>
  </si>
  <si>
    <t>為替レート</t>
  </si>
  <si>
    <t>환율</t>
  </si>
  <si>
    <t>Kadar pertukaran</t>
  </si>
  <si>
    <t>Beurs tarief</t>
  </si>
  <si>
    <t>Vekslingskurs</t>
  </si>
  <si>
    <t>Kurs walutowy</t>
  </si>
  <si>
    <t>Taxa de câmbio</t>
  </si>
  <si>
    <t>Rata de schimb</t>
  </si>
  <si>
    <t>Обменный курс</t>
  </si>
  <si>
    <t>Výmenný kurz</t>
  </si>
  <si>
    <t>Menjalni tečaj</t>
  </si>
  <si>
    <t>Kursna lista</t>
  </si>
  <si>
    <t>Växlingskurs</t>
  </si>
  <si>
    <t>อัตราแลกเปลี่ยน</t>
  </si>
  <si>
    <t>Döviz kuru</t>
  </si>
  <si>
    <t>Tỷ giá hối đoái</t>
  </si>
  <si>
    <t>汇率</t>
  </si>
  <si>
    <t>&gt;匯率</t>
  </si>
  <si>
    <t>tt_indicator_type0</t>
  </si>
  <si>
    <t>Simple Moving Average</t>
  </si>
  <si>
    <t>متوسط ​​متحرك بسيط</t>
  </si>
  <si>
    <t>Обикновена пълзяща средна стойност</t>
  </si>
  <si>
    <t>Jednoduchý klouzavý průměr</t>
  </si>
  <si>
    <t>Simpelt Bevægende gennemsnit</t>
  </si>
  <si>
    <t>Gleitender Durchschnitt</t>
  </si>
  <si>
    <t>Απλός Κινούμενος μέσος</t>
  </si>
  <si>
    <t>Media Móvil Simple</t>
  </si>
  <si>
    <t>Yksinkertainen liukuva keskiarvo</t>
  </si>
  <si>
    <t>Moyenne Mobile Simple</t>
  </si>
  <si>
    <t>सरल मूविंग औसत</t>
  </si>
  <si>
    <t>rata-rata Bergerak Mudah</t>
  </si>
  <si>
    <t>ממוצע נע פשוט</t>
  </si>
  <si>
    <t>単純移動平均</t>
  </si>
  <si>
    <t>단순이동평균</t>
  </si>
  <si>
    <t>Purata Bergerak Mudah</t>
  </si>
  <si>
    <t>Simpel voortschrijdend gemiddelde</t>
  </si>
  <si>
    <t>Enkelt glidende gjennomsnitt</t>
  </si>
  <si>
    <t>Prosta średnia ruchoma</t>
  </si>
  <si>
    <t>Média móvel simples</t>
  </si>
  <si>
    <t>Media în Mișcare Simplă</t>
  </si>
  <si>
    <t>Простое скользящее среднее</t>
  </si>
  <si>
    <t>Jednoduchý kĺzavý priemer</t>
  </si>
  <si>
    <t>Preprosto drseče povprečje</t>
  </si>
  <si>
    <t>Enkelt rörligt medelvärde</t>
  </si>
  <si>
    <t>ค่าเฉลี่ยเคลื่อนที่อย่างง่าย</t>
  </si>
  <si>
    <t>Basit Hareketli Ortalaması</t>
  </si>
  <si>
    <t>Đường trung bình động đơn giản</t>
  </si>
  <si>
    <t>简单移动平均线（均线）</t>
  </si>
  <si>
    <t>&gt;簡單移動平均線</t>
  </si>
  <si>
    <t>australia</t>
  </si>
  <si>
    <t>Australia</t>
  </si>
  <si>
    <t>Australien</t>
  </si>
  <si>
    <t>Australie</t>
  </si>
  <si>
    <t>Австралия</t>
  </si>
  <si>
    <t>tt_pf_name_missing_error</t>
  </si>
  <si>
    <t>Please enter name for your portfolio!</t>
  </si>
  <si>
    <t>يُرجى إدخال اسم لمحفظتك!</t>
  </si>
  <si>
    <t>Моля, въведете име за вашето портфолио!</t>
  </si>
  <si>
    <t>Zadejte název svého portfolia!</t>
  </si>
  <si>
    <t>Angiv navn på din portefølje!</t>
  </si>
  <si>
    <t>Bitte geben Sie einen Namen für Ihr Musterdepot ein!</t>
  </si>
  <si>
    <t>Εισαγάγετε όνομα για το χαρτοφυλάκιό σας!</t>
  </si>
  <si>
    <t>¡Por favor, introduzca un nombre a su cartera!</t>
  </si>
  <si>
    <t>Anna salkkusi nimi!</t>
  </si>
  <si>
    <t>Saisissez un nom pour votre portefeuille</t>
  </si>
  <si>
    <t>कृपया अपने पोर्टफोलियो के लिए नाम दर्ज करें!</t>
  </si>
  <si>
    <t>Portfolio name must be defined</t>
  </si>
  <si>
    <t>Harap masukkan nama untuk portfolio anda!</t>
  </si>
  <si>
    <t>Per favore inserisci il nome per il tuo portafoglio</t>
  </si>
  <si>
    <t>אנא הכנס שם לתיק ההשקעות שלך!</t>
  </si>
  <si>
    <t>ポートフォリオに名前を入力してください</t>
  </si>
  <si>
    <t>포트폴리오에 이름을 입력하세요!</t>
  </si>
  <si>
    <t>Sila masukkan nama untuk portfolio anda!</t>
  </si>
  <si>
    <t>Vul de naam in van uw portefeuille!</t>
  </si>
  <si>
    <t>Oppgi navnet på porteføljen din!</t>
  </si>
  <si>
    <t>Wprowadź nazwę dla swojego portfela!</t>
  </si>
  <si>
    <t>Por favor, insira o nome para a sua carteira!</t>
  </si>
  <si>
    <t>Introdu numele portofoliului tău!</t>
  </si>
  <si>
    <t>Пожалуйста, введите имя для портфеля!</t>
  </si>
  <si>
    <t>Zadajte názov svojho portfólia!</t>
  </si>
  <si>
    <t>Vnesite ime svojega portfelja!</t>
  </si>
  <si>
    <t>Ime portfolija je obavezno</t>
  </si>
  <si>
    <t>Ange namnet på din portfölj!</t>
  </si>
  <si>
    <t>โปรดป้อนชื่อพอร์ตของคุณ!</t>
  </si>
  <si>
    <t>Portföy için lütfen adınızı giriniz!</t>
  </si>
  <si>
    <t>Vui lòng nhập tên cho danh mục đầu tư của bạn!</t>
  </si>
  <si>
    <t>请为您的投资组合输入名称！</t>
  </si>
  <si>
    <t>&gt;請為您的投資組合輸入名稱!</t>
  </si>
  <si>
    <t>send_symbol</t>
  </si>
  <si>
    <t>Send symbol</t>
  </si>
  <si>
    <t>symbols_removed_from_wl</t>
  </si>
  <si>
    <t>Symbols removed from watchlist</t>
  </si>
  <si>
    <t>تمت إزالة الرموز من قائمة المتابعة</t>
  </si>
  <si>
    <t>Символите са премахнати от уочлиста</t>
  </si>
  <si>
    <t>Symboly byly odstraněny ze seznamu sledovaných</t>
  </si>
  <si>
    <t>Symboler fjernet fra overvågningslisten</t>
  </si>
  <si>
    <t>Von der Kursliste entfernte Symbole</t>
  </si>
  <si>
    <t>Τα σύμβολα καταργήθηκαν από τη λίστα παρακολούθησης</t>
  </si>
  <si>
    <t>Símbolos eliminados de la lista de seguimiento</t>
  </si>
  <si>
    <t>Tarkkailulistalta poistetut symbolit</t>
  </si>
  <si>
    <t>Symboles supprimés de la liste de suivi</t>
  </si>
  <si>
    <t>वॉचलिस्ट से प्रतीक हटा दिए गए हैं</t>
  </si>
  <si>
    <t>Szimbolumok eltávolítása a figyelőlistából</t>
  </si>
  <si>
    <t>Simbol dihapus dari daftar pantauan</t>
  </si>
  <si>
    <t>I simboli rimossi dalla watchlist</t>
  </si>
  <si>
    <t>סמלים הוסרו מרשימת המעקב</t>
  </si>
  <si>
    <t>ウォッチリストから削除されたシンボル</t>
  </si>
  <si>
    <t>보기 목록에서 기호들이 삭제되었습니다</t>
  </si>
  <si>
    <t>Simbol dikeluarkan daripada senarai pantau</t>
  </si>
  <si>
    <t>Symbolen verwijderd van watchlist</t>
  </si>
  <si>
    <t>Symboler fjernet fra overvåkningslisten</t>
  </si>
  <si>
    <t>Symbole usunięte z listy obserwacyjnej</t>
  </si>
  <si>
    <t>Símbolos removidos da lista de observação</t>
  </si>
  <si>
    <t>Simboluri au fost eliminate din lista de urmărire</t>
  </si>
  <si>
    <t>Символы, удаленные из списка наблюдения</t>
  </si>
  <si>
    <t>Symboly boli odstránené zo sledovaného zoznamu</t>
  </si>
  <si>
    <t>Simboli, odstranjeni s seznama opazovanja</t>
  </si>
  <si>
    <t>Simboli uklonjeni iz watchliste</t>
  </si>
  <si>
    <t>Symboler tas bort från bevakningslistan</t>
  </si>
  <si>
    <t>ลบชื่อย่อหลักทรัพย์ออกจากรายการหุ้นที่ติดตาม</t>
  </si>
  <si>
    <t>Semboller izleme listesinden kaldırıldı</t>
  </si>
  <si>
    <t>Các công cụ bị xóa khỏi danh mục theo dõi</t>
  </si>
  <si>
    <t>证券已从收藏夹中删除了</t>
  </si>
  <si>
    <t>mgmt_account_publish_pgp</t>
  </si>
  <si>
    <t>Publish OpenPGP public key</t>
  </si>
  <si>
    <t>أنشر المفتاح العمومي OpenPGP</t>
  </si>
  <si>
    <t>Публикуване на публичния OpenPGP ключ</t>
  </si>
  <si>
    <t>Publica la clau pública d\'OpenPGP</t>
  </si>
  <si>
    <t>Öffentlichen OpenPGP-Schlüssel veröffentlichen</t>
  </si>
  <si>
    <t>Publicar clave pública OpenPGP</t>
  </si>
  <si>
    <t>Publier la clef publique OpenPGP</t>
  </si>
  <si>
    <t>Publicar chave pública OpenPGP</t>
  </si>
  <si>
    <t>OpenPGP publikus kulcs megadása</t>
  </si>
  <si>
    <t>Publikasikan kunci OpenPGP</t>
  </si>
  <si>
    <t>Pubblica chiave pubblica OpenPGP</t>
  </si>
  <si>
    <t>OpenPGP 公開鍵を公開</t>
  </si>
  <si>
    <t>OpenPGP 공개 키 공개</t>
  </si>
  <si>
    <t>OpenPGP-publieke sleutel publiceren</t>
  </si>
  <si>
    <t>Udostępnij klucz publiczny OpenPGP</t>
  </si>
  <si>
    <t>Анонсировать OpenPGP ключ</t>
  </si>
  <si>
    <t>Zverejniť OpenPGP kľúč</t>
  </si>
  <si>
    <t>Објави ОпенПГП јавни кључ</t>
  </si>
  <si>
    <t>Publicera OpenPGP publik nyckel</t>
  </si>
  <si>
    <t>Опублікувати публічний ключ OpenPGP</t>
  </si>
  <si>
    <t>Đăng khoá công cộng OpenPGP</t>
  </si>
  <si>
    <t>發佈 OpenPGP 公開金鑰</t>
  </si>
  <si>
    <t>contact_added_you</t>
  </si>
  <si>
    <t>Contact added you to contact list</t>
  </si>
  <si>
    <t>جهة اتصال أضافتك</t>
  </si>
  <si>
    <t>Контактът е добавен във Вашия списък от контакти</t>
  </si>
  <si>
    <t>S\'ha afegit el contacte a la llista de contactes</t>
  </si>
  <si>
    <t>Der Kontakt hat dich zur Kontaktliste hinzugefügt</t>
  </si>
  <si>
    <t>El contacto te ha añadido a su lista de contactos</t>
  </si>
  <si>
    <t>Votre correspondant vous a ajouté dans sa liste de contacts</t>
  </si>
  <si>
    <t>Contacto engadido a súa lista de contactos</t>
  </si>
  <si>
    <t>Ez a felhasználó hozzáadott téged a névjegyeihez</t>
  </si>
  <si>
    <t>Kontak ditambahkan ke daftar anda</t>
  </si>
  <si>
    <t>Il contatto ti ha aggiunto alla sua lista contatti</t>
  </si>
  <si>
    <t>連絡先があなたを連絡先リストに追加しました</t>
  </si>
  <si>
    <t>연락처가 당신을 연락처 목록에 추가했습니다</t>
  </si>
  <si>
    <t>Contact heeft je toegevoegd aan zijn/haar contacten</t>
  </si>
  <si>
    <t>Kontakt został dodany do listy</t>
  </si>
  <si>
    <t>Contacto adicionado à sua lista de contactos</t>
  </si>
  <si>
    <t>Собеседник добавил вас в список контактов</t>
  </si>
  <si>
    <t>Kontakt pridaný do zoznamu</t>
  </si>
  <si>
    <t>Контакт вас је додао на списак контаката</t>
  </si>
  <si>
    <t>Kontakten lade till dig i sin kontaktlista</t>
  </si>
  <si>
    <t>Контакт додано до Вашого списку контактів</t>
  </si>
  <si>
    <t>Liên hệ đã thêm bạn vào danh bạ</t>
  </si>
  <si>
    <t>連絡人已添加你到連絡人列表</t>
  </si>
  <si>
    <t>yemen</t>
  </si>
  <si>
    <t>Yemen</t>
  </si>
  <si>
    <t>Jemen</t>
  </si>
  <si>
    <t>Yémen</t>
  </si>
  <si>
    <t>Йемен</t>
  </si>
  <si>
    <t>tt_daterange_small_ytd</t>
  </si>
  <si>
    <t>منذ بداية العام وحتى تاريخه</t>
  </si>
  <si>
    <t>От началото на годината</t>
  </si>
  <si>
    <t>Rok do teď</t>
  </si>
  <si>
    <t>ÅTD</t>
  </si>
  <si>
    <t>Tulos tilivuoden alusta</t>
  </si>
  <si>
    <t>वाईटीडी</t>
  </si>
  <si>
    <t>STI</t>
  </si>
  <si>
    <t>מתחילת השנה עד היום</t>
  </si>
  <si>
    <t>СНГ</t>
  </si>
  <si>
    <t>Od začetka leta</t>
  </si>
  <si>
    <t>Yılbaşından bu yana</t>
  </si>
  <si>
    <t>今年为止</t>
  </si>
  <si>
    <t>&gt;今年為止</t>
  </si>
  <si>
    <t>cocos_keeling_islands</t>
  </si>
  <si>
    <t>Cocos (Keeling) Islands</t>
  </si>
  <si>
    <t>Cocos (Keeling) Inseln</t>
  </si>
  <si>
    <t>Islas Cocos</t>
  </si>
  <si>
    <t>Îles Cocos (Keeling)</t>
  </si>
  <si>
    <t>Кокосовые острова (Килинг)</t>
  </si>
  <si>
    <t>Kokos (Keeling) ostrva</t>
  </si>
  <si>
    <t>last_seen_day</t>
  </si>
  <si>
    <t>last seen 1 day ago</t>
  </si>
  <si>
    <t>آخر ظهور منذ 1 يوم</t>
  </si>
  <si>
    <t>последно видян преди 1 ден</t>
  </si>
  <si>
    <t>darrera connexió: fa 1 dia</t>
  </si>
  <si>
    <t>vor einem Tag gesehen</t>
  </si>
  <si>
    <t>Visto última vez hace 1 día</t>
  </si>
  <si>
    <t>en ligne hier</t>
  </si>
  <si>
    <t>última vez hai 1 día</t>
  </si>
  <si>
    <t>1 napja volt aktív</t>
  </si>
  <si>
    <t>terlihat 1 hari lalu</t>
  </si>
  <si>
    <t>visto 1 giorno fa</t>
  </si>
  <si>
    <t>1 日前に会いました</t>
  </si>
  <si>
    <t>1일 전까지 접속했었음</t>
  </si>
  <si>
    <t>1 dag geleden voor het laatst gezien</t>
  </si>
  <si>
    <t>widziany wczoraj</t>
  </si>
  <si>
    <t>visto há 1 dia atrás</t>
  </si>
  <si>
    <t>Присутствие: 1 день назад</t>
  </si>
  <si>
    <t>naposledy prihlásený pred 1 dňom</t>
  </si>
  <si>
    <t>виђен/а пре један дан</t>
  </si>
  <si>
    <t>senast sedd 1 dag sedan</t>
  </si>
  <si>
    <t>востаннє бачили 1 день тому</t>
  </si>
  <si>
    <t>thấy lần cuối 1 ngày trước</t>
  </si>
  <si>
    <t>1 天前查看過</t>
  </si>
  <si>
    <t>pref_keep_foreground_service</t>
  </si>
  <si>
    <t>Keep service in foreground</t>
  </si>
  <si>
    <t>احتفظ بالتطبيق يعمل في المقدمة</t>
  </si>
  <si>
    <t>Услугата да е на преден план</t>
  </si>
  <si>
    <t>Mantenir el servei en primer pla</t>
  </si>
  <si>
    <t>Dienst im Vordergrund ausführen</t>
  </si>
  <si>
    <t>Garder le service au 1er plan</t>
  </si>
  <si>
    <t>Manter servizo en primeiro plano</t>
  </si>
  <si>
    <t>Előtérben futtassa a programot</t>
  </si>
  <si>
    <t>Jaga layanan di latar depan</t>
  </si>
  <si>
    <t>Mantieni il servizio in primo piano</t>
  </si>
  <si>
    <t>サービスをフォアグラウンドに保持</t>
  </si>
  <si>
    <t>포어그라운드에서 서비스 유지</t>
  </si>
  <si>
    <t>Dienst in voorgrond houden</t>
  </si>
  <si>
    <t>Manter o serviço em primeiro plano</t>
  </si>
  <si>
    <t>Оставить службу на переднем плане</t>
  </si>
  <si>
    <t>Ponechať službu v prvom pláne</t>
  </si>
  <si>
    <t>Држи сервис у првом плану</t>
  </si>
  <si>
    <t>Håll tjänst i förgrunden</t>
  </si>
  <si>
    <t>Підтримувати сервіс на першому плані</t>
  </si>
  <si>
    <t>Giữ dịch vụ luôn chạy</t>
  </si>
  <si>
    <t>保持前臺服務</t>
  </si>
  <si>
    <t>tt_participation_rate</t>
  </si>
  <si>
    <t>Participation rate</t>
  </si>
  <si>
    <t>معدل المشاركة</t>
  </si>
  <si>
    <t>Коефициент на участие</t>
  </si>
  <si>
    <t>Míra účasti</t>
  </si>
  <si>
    <t>Deltagelsesgrad</t>
  </si>
  <si>
    <t>Partizipationsrate</t>
  </si>
  <si>
    <t>Ποσοστό συμμετοχής</t>
  </si>
  <si>
    <t>Tasa de participación</t>
  </si>
  <si>
    <t>Osallistumisaste</t>
  </si>
  <si>
    <t>Taux de participation</t>
  </si>
  <si>
    <t>भागीदारी दर</t>
  </si>
  <si>
    <t>Részesedési arány</t>
  </si>
  <si>
    <t>Tingkat inklusi</t>
  </si>
  <si>
    <t>Tasso di partecipazione</t>
  </si>
  <si>
    <t>שיעור ההשתתפות</t>
  </si>
  <si>
    <t>参加率</t>
  </si>
  <si>
    <t>참가율</t>
  </si>
  <si>
    <t>Kadar penyertaan</t>
  </si>
  <si>
    <t>Participatie ratio</t>
  </si>
  <si>
    <t>Deltakelsesgrad</t>
  </si>
  <si>
    <t>Stopa uczestnictwa</t>
  </si>
  <si>
    <t>Taxa de participação</t>
  </si>
  <si>
    <t>Rata de participare</t>
  </si>
  <si>
    <t>Коэффициент участия</t>
  </si>
  <si>
    <t>Miera účasti</t>
  </si>
  <si>
    <t>Stopnja udeležbe</t>
  </si>
  <si>
    <t>Stopa participacije</t>
  </si>
  <si>
    <t>Deltagandeförhållande</t>
  </si>
  <si>
    <t>อัตราการมีส่วนรวม</t>
  </si>
  <si>
    <t>Katılım oranı</t>
  </si>
  <si>
    <t>Tỷ lệ tham gia</t>
  </si>
  <si>
    <t>参与率</t>
  </si>
  <si>
    <t>fontsize_small_txt</t>
  </si>
  <si>
    <t>Malá</t>
  </si>
  <si>
    <t>petit/e</t>
  </si>
  <si>
    <t>kicsi</t>
  </si>
  <si>
    <t>klein</t>
  </si>
  <si>
    <t>update</t>
  </si>
  <si>
    <t>Update</t>
  </si>
  <si>
    <t>Bijwerken</t>
  </si>
  <si>
    <t>Aktualizuj</t>
  </si>
  <si>
    <t>pref_presence_settings</t>
  </si>
  <si>
    <t>Availability</t>
  </si>
  <si>
    <t>حالة الحضور</t>
  </si>
  <si>
    <t>Присъствие</t>
  </si>
  <si>
    <t>Disponibilitat</t>
  </si>
  <si>
    <t>Status</t>
  </si>
  <si>
    <t>Disponibilidad</t>
  </si>
  <si>
    <t>Disponibilité</t>
  </si>
  <si>
    <t>Disponibilidade</t>
  </si>
  <si>
    <t>Elérhetőség</t>
  </si>
  <si>
    <t>Disponibilità</t>
  </si>
  <si>
    <t>Aanwezigheid</t>
  </si>
  <si>
    <t>Dostępność</t>
  </si>
  <si>
    <t>Доступность</t>
  </si>
  <si>
    <t>Доступност</t>
  </si>
  <si>
    <t>gp_long</t>
  </si>
  <si>
    <t>Long</t>
  </si>
  <si>
    <t>طويل</t>
  </si>
  <si>
    <t>Дълго</t>
  </si>
  <si>
    <t>Llarg</t>
  </si>
  <si>
    <t>lang</t>
  </si>
  <si>
    <t>Largo</t>
  </si>
  <si>
    <t>Longue</t>
  </si>
  <si>
    <t>Longo</t>
  </si>
  <si>
    <t>Hosszú</t>
  </si>
  <si>
    <t>Panjang</t>
  </si>
  <si>
    <t>Lungo</t>
  </si>
  <si>
    <t>長</t>
  </si>
  <si>
    <t>김</t>
  </si>
  <si>
    <t>Lang</t>
  </si>
  <si>
    <t>Długi</t>
  </si>
  <si>
    <t>Длинный</t>
  </si>
  <si>
    <t>Дуг</t>
  </si>
  <si>
    <t>Lång</t>
  </si>
  <si>
    <t>Довгий</t>
  </si>
  <si>
    <t>korea_north</t>
  </si>
  <si>
    <t>Korea, Democratic People\'s Republic of (North)</t>
  </si>
  <si>
    <t>Korea, Demokratiske People\'s Republic of (North)</t>
  </si>
  <si>
    <t>Nordkorea</t>
  </si>
  <si>
    <t>Corea del Norte</t>
  </si>
  <si>
    <t>Corée, République Démocratique Populaire de (Nord)</t>
  </si>
  <si>
    <t>Корейская Народно-Демократическая Республика (Северная Корея)</t>
  </si>
  <si>
    <t>Severna Korea</t>
  </si>
  <si>
    <t>notify_on_all_messages</t>
  </si>
  <si>
    <t>Notify on all messages</t>
  </si>
  <si>
    <t>اخبرني عند وصول أية رسالة</t>
  </si>
  <si>
    <t>Известяване за всички съобщения</t>
  </si>
  <si>
    <t>Notifica a tots els missatges</t>
  </si>
  <si>
    <t>Bei allen Nachrichten benachrichtigen</t>
  </si>
  <si>
    <t>Notificar para todos los mensajes</t>
  </si>
  <si>
    <t>Notifier pour tous les messages</t>
  </si>
  <si>
    <t>Notificar todas as mensaxes</t>
  </si>
  <si>
    <t>Értesítsen minden üzenetnél</t>
  </si>
  <si>
    <t>Tampilkan notifikasi untuk semua pesan</t>
  </si>
  <si>
    <t>Notifica per tutti i messaggi</t>
  </si>
  <si>
    <t>すべてのメッセージで通知</t>
  </si>
  <si>
    <t>모든 메세지를 알림</t>
  </si>
  <si>
    <t>Melding bij alle berichten</t>
  </si>
  <si>
    <t>Powiadom o wszystkich wiadomościach</t>
  </si>
  <si>
    <t>Notificar em todas as mensagens</t>
  </si>
  <si>
    <t>Все сообщения</t>
  </si>
  <si>
    <t>Обавештења за све поруке</t>
  </si>
  <si>
    <t>Notifiera för alla meddelanden</t>
  </si>
  <si>
    <t>Сповіщати про всі повідомлення</t>
  </si>
  <si>
    <t>Thông báo tất cả tin nhắn</t>
  </si>
  <si>
    <t>為所有訊息顯示通知</t>
  </si>
  <si>
    <t>trinidad</t>
  </si>
  <si>
    <t>Trinidad and Tobago</t>
  </si>
  <si>
    <t>Trinidad und Tobago</t>
  </si>
  <si>
    <t>Trinidad y Tobago</t>
  </si>
  <si>
    <t>Trinité-et-Tobago</t>
  </si>
  <si>
    <t>Тринидад и Тобаго</t>
  </si>
  <si>
    <t>Trinidad i Tobago</t>
  </si>
  <si>
    <t>tt_currentpassword</t>
  </si>
  <si>
    <t>Current Password</t>
  </si>
  <si>
    <t>Настояща парола</t>
  </si>
  <si>
    <t>Aktuální heslo</t>
  </si>
  <si>
    <t>Nuværende kodeord</t>
  </si>
  <si>
    <t>Τρέχων κωδικός πρόσβασης</t>
  </si>
  <si>
    <t>Nykyinen salasana</t>
  </si>
  <si>
    <t>मौजूदा पासवर्ड</t>
  </si>
  <si>
    <t>Kata Sandi Saat ini</t>
  </si>
  <si>
    <t>סיסמה נוכחית</t>
  </si>
  <si>
    <t>현재 비밀번호</t>
  </si>
  <si>
    <t>Kata Laluan Semasa</t>
  </si>
  <si>
    <t>Huidige password</t>
  </si>
  <si>
    <t>Nåværende passord</t>
  </si>
  <si>
    <t>Aktualne hasło</t>
  </si>
  <si>
    <t>Senha atual</t>
  </si>
  <si>
    <t>Parola Actuală</t>
  </si>
  <si>
    <t>Действующий пароль</t>
  </si>
  <si>
    <t>trenutno geslo</t>
  </si>
  <si>
    <t>Trenutna lozinka</t>
  </si>
  <si>
    <t>รหัสผ่านปัจจุบัน</t>
  </si>
  <si>
    <t>Mevcut şifre</t>
  </si>
  <si>
    <t>现有密码</t>
  </si>
  <si>
    <t>&gt;現有密碼</t>
  </si>
  <si>
    <t>url_copied_to_clipboard</t>
  </si>
  <si>
    <t>Copied URL to clipboard</t>
  </si>
  <si>
    <t>Копиране на адреса</t>
  </si>
  <si>
    <t>URL copiada al portapapers</t>
  </si>
  <si>
    <t>URL in die Zwischenablage kopiert</t>
  </si>
  <si>
    <t>URL copiada al portapapeles</t>
  </si>
  <si>
    <t>URL copiée dans le presse-papier</t>
  </si>
  <si>
    <t>URL copiado ao portapapeis</t>
  </si>
  <si>
    <t>URL vágólapra másolása</t>
  </si>
  <si>
    <t>URL copiato negli appunti</t>
  </si>
  <si>
    <t>URL をクリップボードにコピーしました</t>
  </si>
  <si>
    <t>URL gekopieerd naar klembord</t>
  </si>
  <si>
    <t>Skopiowano URL do schowka</t>
  </si>
  <si>
    <t>URL copiado para a área de transferência</t>
  </si>
  <si>
    <t>Ссылка скопирована в буфер обмена</t>
  </si>
  <si>
    <t>УРЛ је копиран на клипборд</t>
  </si>
  <si>
    <t>URL\'yi panoya kopyalandı</t>
  </si>
  <si>
    <t>tt_moneyness</t>
  </si>
  <si>
    <t>Moneyness</t>
  </si>
  <si>
    <t>Паричност</t>
  </si>
  <si>
    <t>Peněžitost</t>
  </si>
  <si>
    <t>Pengepræg</t>
  </si>
  <si>
    <t>Geldnähe</t>
  </si>
  <si>
    <t>Χρηματικότητα</t>
  </si>
  <si>
    <t>Grado del dinero</t>
  </si>
  <si>
    <t>Liquidité</t>
  </si>
  <si>
    <t>मौद्रिकता</t>
  </si>
  <si>
    <t>Uang</t>
  </si>
  <si>
    <t>Monetario</t>
  </si>
  <si>
    <t>כספיות</t>
  </si>
  <si>
    <t>マネーネス</t>
  </si>
  <si>
    <t>화폐성</t>
  </si>
  <si>
    <t>Wang</t>
  </si>
  <si>
    <t>Lønnsomme</t>
  </si>
  <si>
    <t>Współczynnik określający stosunek ceny wykonania danego instrumentu pochodnego do ceny instrumentu bazowego</t>
  </si>
  <si>
    <t>Bani (Moneyness)</t>
  </si>
  <si>
    <t>Likvidita</t>
  </si>
  <si>
    <t>Denarnost</t>
  </si>
  <si>
    <t>Novac</t>
  </si>
  <si>
    <t>Zararda olma durumu</t>
  </si>
  <si>
    <t>Trạng thái Moneyness</t>
  </si>
  <si>
    <t>价值状况</t>
  </si>
  <si>
    <t>tt_onboarding_settings_notification_5</t>
  </si>
  <si>
    <t>AGREE</t>
  </si>
  <si>
    <t>موافق</t>
  </si>
  <si>
    <t>СЪГЛАСЕН(А)</t>
  </si>
  <si>
    <t>SOUHLASIT</t>
  </si>
  <si>
    <t>ENIG</t>
  </si>
  <si>
    <t>STIMME ZU</t>
  </si>
  <si>
    <t>ΣΥΜΦΩΝΩ</t>
  </si>
  <si>
    <t>ACEPTO</t>
  </si>
  <si>
    <t>HYVÄKSYN</t>
  </si>
  <si>
    <t>d\'accord</t>
  </si>
  <si>
    <t>सहमत</t>
  </si>
  <si>
    <t>Egyetértek</t>
  </si>
  <si>
    <t>SETUJU</t>
  </si>
  <si>
    <t>ACCETTI</t>
  </si>
  <si>
    <t>מסכים</t>
  </si>
  <si>
    <t>동의</t>
  </si>
  <si>
    <t>MEE EENS</t>
  </si>
  <si>
    <t>Zgadzam się</t>
  </si>
  <si>
    <t>CONCORDAR</t>
  </si>
  <si>
    <t>SUNT DE ACORD</t>
  </si>
  <si>
    <t>СОГЛАСЕН/НА</t>
  </si>
  <si>
    <t>SÚHLASÍM</t>
  </si>
  <si>
    <t>DOGOVORITE SE</t>
  </si>
  <si>
    <t>SLAŽEM SE</t>
  </si>
  <si>
    <t>GODKÄNN</t>
  </si>
  <si>
    <t>เห็นด้วย</t>
  </si>
  <si>
    <t>KABUL ET</t>
  </si>
  <si>
    <t>ĐỒNG Ý</t>
  </si>
  <si>
    <t>同意</t>
  </si>
  <si>
    <t>tt_onboarding_settings_notification_4</t>
  </si>
  <si>
    <t>Skip for now</t>
  </si>
  <si>
    <t>تخطي في الوقت الراهن</t>
  </si>
  <si>
    <t>Прескочи засега</t>
  </si>
  <si>
    <t>Prozatím přeskočit</t>
  </si>
  <si>
    <t>Spring over</t>
  </si>
  <si>
    <t>Erstmal überspringen</t>
  </si>
  <si>
    <t>Παράλειψη για τώρα</t>
  </si>
  <si>
    <t>Saltear por ahora</t>
  </si>
  <si>
    <t>Ohita nyt</t>
  </si>
  <si>
    <t>ignorer pour l\'instant</t>
  </si>
  <si>
    <t>अभी के लिए छोड़ दें</t>
  </si>
  <si>
    <t>Most kihagyom.</t>
  </si>
  <si>
    <t>Lewati untuk sekarang</t>
  </si>
  <si>
    <t>Salta per ora.</t>
  </si>
  <si>
    <t>דלג לעת עתה</t>
  </si>
  <si>
    <t>今はスキップする</t>
  </si>
  <si>
    <t>우선 넘기기</t>
  </si>
  <si>
    <t>Langkaui buat sekarang</t>
  </si>
  <si>
    <t>Sla over voor nu</t>
  </si>
  <si>
    <t>Hopp over for nå</t>
  </si>
  <si>
    <t>Pomiń</t>
  </si>
  <si>
    <t>Ignorar por enquanto</t>
  </si>
  <si>
    <t>Sari peste momentan</t>
  </si>
  <si>
    <t>Пропустить сейчас</t>
  </si>
  <si>
    <t xml:space="preserve">Nateraz preskočiť </t>
  </si>
  <si>
    <t>Preskočite za zdaj</t>
  </si>
  <si>
    <t>Preskoči</t>
  </si>
  <si>
    <t>Hoppa över nu</t>
  </si>
  <si>
    <t>ข้ามไปก่อน</t>
  </si>
  <si>
    <t>Şimdilik atla</t>
  </si>
  <si>
    <t>Bỏ qua</t>
  </si>
  <si>
    <t>暂时跳过</t>
  </si>
  <si>
    <t>gp_medium</t>
  </si>
  <si>
    <t>Средно</t>
  </si>
  <si>
    <t>Mitjà</t>
  </si>
  <si>
    <t>mittel</t>
  </si>
  <si>
    <t>Közepesen hosszú</t>
  </si>
  <si>
    <t>Sedang</t>
  </si>
  <si>
    <t>Средњи</t>
  </si>
  <si>
    <t>Середній</t>
  </si>
  <si>
    <t>tt_financials_dividendspershare_divident_yield</t>
  </si>
  <si>
    <t>Dividend per Share (Dividend Yield)</t>
  </si>
  <si>
    <t>توزيعات الأرباح للسهم (عائد الأرباح)</t>
  </si>
  <si>
    <t>Дивидент на акция (доход от дивидент)</t>
  </si>
  <si>
    <t>Dividenda na akcii (dividendový výnos)</t>
  </si>
  <si>
    <t>Udbytte pr. aktie (Udbytteprocent)</t>
  </si>
  <si>
    <t>Dividende je Aktie (Dividendenr.)</t>
  </si>
  <si>
    <t>Μέρισμα ανά μετοχή (Απόδοση μερίσματος)</t>
  </si>
  <si>
    <t>Dividendo por acción (Rendimiento de acción)</t>
  </si>
  <si>
    <t>Osinko/osake (osinkotuotto)</t>
  </si>
  <si>
    <t>Dividende par action (Dividend Yield)</t>
  </si>
  <si>
    <t>प्रति शेयर लाभांश (लाभांश लाभ)</t>
  </si>
  <si>
    <t>Egy részvényre jutó osztalék (Osztalékhozam)</t>
  </si>
  <si>
    <t>Dividen setiap Saham (Hasil Dividen)</t>
  </si>
  <si>
    <t>Dividendo per azione (Rendimento del dividendo )</t>
  </si>
  <si>
    <t>דיבידנד למניה (תשואת דיבידנד)</t>
  </si>
  <si>
    <t>주당 배당금(배당수익성)</t>
  </si>
  <si>
    <t>Verdeeld per aandeel (Dividend rendement)</t>
  </si>
  <si>
    <t>Utbytte per aksje (utbytteavkastning)</t>
  </si>
  <si>
    <t>Dywidenda na akcję (Wskaźnik dywidendy)</t>
  </si>
  <si>
    <t>Dividendo por ação (Rendimento de dividendos)</t>
  </si>
  <si>
    <t>Dividend pe Acțiune (Randament Dividend)</t>
  </si>
  <si>
    <t>Прибыль на акцию (Дивидендный доход)</t>
  </si>
  <si>
    <t>Dividenda na jednu akciu (dividendový výnos)</t>
  </si>
  <si>
    <t>Dividend na delnico (donos dividenda)</t>
  </si>
  <si>
    <t>Dividenda po akciji (Prinos od dividende)</t>
  </si>
  <si>
    <t>Utdelning per aktie (Utdelning)</t>
  </si>
  <si>
    <t>เงินปันผลต่อหุ้น (อัตราเงินปันผล)</t>
  </si>
  <si>
    <t>Hisse Başına Temettü (Temettü Verimi)</t>
  </si>
  <si>
    <t>Cổ tức trên mỗi cổ phần (Lợi tức cổ tức)</t>
  </si>
  <si>
    <t>tt_onboarding_settings_notification_3</t>
  </si>
  <si>
    <t>DISAGREE</t>
  </si>
  <si>
    <t>غير موافق</t>
  </si>
  <si>
    <t>НЕ СЪМ СЪГЛАСЕН(А)</t>
  </si>
  <si>
    <t>NESOUHLASÍM</t>
  </si>
  <si>
    <t>ER UENIG</t>
  </si>
  <si>
    <t>LEHNE AB</t>
  </si>
  <si>
    <t>ΔΙΑΦΩΝΩ</t>
  </si>
  <si>
    <t>NO ACEPTO</t>
  </si>
  <si>
    <t>EN HYVÄKSY</t>
  </si>
  <si>
    <t>pas d\'accord</t>
  </si>
  <si>
    <t>असहमत</t>
  </si>
  <si>
    <t>Nem értek egyet</t>
  </si>
  <si>
    <t>TIDAK SETUJU</t>
  </si>
  <si>
    <t>NON ACCETTO</t>
  </si>
  <si>
    <t>לא מסכים</t>
  </si>
  <si>
    <t>동의하지 않음</t>
  </si>
  <si>
    <t>TIDAK BERSETUJU</t>
  </si>
  <si>
    <t>NIET MEE EENS</t>
  </si>
  <si>
    <t>UENIG</t>
  </si>
  <si>
    <t>Nie zgadzam się</t>
  </si>
  <si>
    <t>DISCORDAR</t>
  </si>
  <si>
    <t>NU SUNT DE ACORD</t>
  </si>
  <si>
    <t>НЕ СОГЛАСЕН/НА</t>
  </si>
  <si>
    <t>NESÚHLASÍM</t>
  </si>
  <si>
    <t>SE NE STRINJATE</t>
  </si>
  <si>
    <t>NE SLAŽEM SE</t>
  </si>
  <si>
    <t>NEKAR</t>
  </si>
  <si>
    <t>ไม่เห็นด้วย</t>
  </si>
  <si>
    <t>KABUL ETMİYORUM</t>
  </si>
  <si>
    <t>KHÔNG ĐỒNG Ý</t>
  </si>
  <si>
    <t>拒绝接受</t>
  </si>
  <si>
    <t>tt_onboarding_settings_notification_2</t>
  </si>
  <si>
    <t>Notifications may include alerts, sounds, and icon badges. These can also be configured in Settings</t>
  </si>
  <si>
    <t>قد تتضمن الإشعارات تنبيهات وأصوات وشارات الرموز. يمكن أيضًا تهيئتها من الإعدادات</t>
  </si>
  <si>
    <t>Известията могат да включват сигнали, звуци и значки. Те също могат да бъдат конфигурирани в Настройки</t>
  </si>
  <si>
    <t>Upozornění mohou zahrnovat upozornění, zvuky a odznaky ikon. Lze je také nakonfigurovat v Nastavení</t>
  </si>
  <si>
    <t>Underretninger kan indeholde advarsler, lyde og ikonemblemer. Disse kan også konfigureres i Indstillinger</t>
  </si>
  <si>
    <t>Benachrichtigungen können Alarme, Töne, und Icons enthalten. Diese können auch über die Einstellungen konfiguriert werden.</t>
  </si>
  <si>
    <t>Οι ειδοποιήσεις μπορεί να περιλαμβάνουν ειδοποιήσεις, ήχους και σήματα εικονιδίων. Αυτά μπορούν επίσης να διαμορφωθούν στις Ρυθμίσεις</t>
  </si>
  <si>
    <t>Las notificaciones pueden incluir alertas, sonidos e íconos. Estos pueden ser configurados en ajustes</t>
  </si>
  <si>
    <t>Ilmoitukset voivat sisältää hälytyksiä, ääniä ja kuvakemerkkejä. Ne voidaan myös määrittää Asetukset-kohdassa</t>
  </si>
  <si>
    <t>Les notifications peuvent inclure des alertes , des sons , et des badges icônes. Ceux-ci peuvent aussi être configurés dans les paramètres.</t>
  </si>
  <si>
    <t>नोटिफिकेशनों में अलर्ट, ध्वनि और आइकन बैज शामिल हो सकते हैं। इन्हें सेटिंग्स में भी कॉन्फ़िगर किया जा सकता है</t>
  </si>
  <si>
    <t>Az értesítések figyelmeztetéseket, hangot és ikonokat tartalmazhat. Ezek módosíthatóak a Beállításokban.</t>
  </si>
  <si>
    <t>Pemberitahuan mungkin termasuk peringatan, suara, dan lencana ikon. Ini juga dapat dikonfigurasi dalam Pengaturan</t>
  </si>
  <si>
    <t>Le notifiche possono includere avvisi, suoni e icone. Possono pure essere configurati in Impostazioni.</t>
  </si>
  <si>
    <t>ההודעות עשויות לכלול התראות, צלילים ותגיות אייקונים. ניתן גם להגדיר את אלה בהגדרות</t>
  </si>
  <si>
    <t>アラート、サウンド、アイコンバッジで通知します。設定で変更できます。</t>
  </si>
  <si>
    <t>알림에는 알람, 소리 및 아이콘 배지가 포함될 수 있습니다. 이는 설정에서 구성할 수 있습니다</t>
  </si>
  <si>
    <t>Pemberitahuan mungkin termasuk makluman, bunyi, dan lencana ikon. Ini juga boleh dikonfigurasi dalam Tetapan</t>
  </si>
  <si>
    <t>Meldingen kunnen waarschuwingen, geluiden en pictogrambadges bevatten. Deze kunnen ook worden geconfigureerd in Instellingen</t>
  </si>
  <si>
    <t>Varslingene kan inneholde varsler, lyder og ikonmerker. Disse kan også konfigureres i innstillingene</t>
  </si>
  <si>
    <t>Powiadomienia mogą zawierać alarmy, dźwięki. Może to być dostosowane w ustawieniach.</t>
  </si>
  <si>
    <t>Notificações podem incluir alertas, sons, e ícone emblemas. Estes também podem ser configurados em Configurações</t>
  </si>
  <si>
    <t>Notificările pot include alerte, sunete și embleme pictograme. Acestea pot fi configurate și în Setări</t>
  </si>
  <si>
    <t>Уведомления могут включать предупреждения, звуки и значки. Их можно настроить в Настройках</t>
  </si>
  <si>
    <t>Oznámenia môžu zahŕňať upozornenia, zvuky a odznaky ikon. Je ich možné tiež nakonfigurovať v Nastaveniach</t>
  </si>
  <si>
    <t>Obvestila lahko vključujejo opozorila, zvoke in značke. Te lahko nastavite tudi v nastavitvah</t>
  </si>
  <si>
    <t>Notifikacije mogu da sadrže zvuk i prikaz ikone. Ovo se može promeniti u podešavanjima</t>
  </si>
  <si>
    <t>Aviseringar kan innehålla varningar, ljud och ikonmärken. Dessa kan också konfigureras i Inställningarna</t>
  </si>
  <si>
    <t>การแจ้งเตือนอาจรวมถึงการเตือน เสียงและจุดแจ้งเตือนบนไอคอน สามารถปรับตั้งค่าได้ในส่วนของการตั้งค่า</t>
  </si>
  <si>
    <t>Bildirimler uyarılar, sesler ve simgeleri içerebilir. Bunlar ayrıca Ayarlardan da yapılandırılabilir</t>
  </si>
  <si>
    <t>Thông báo có thể bao gồm cảnh báo, âm thanh và huy hiệu biểu tượng. Những tính năng này cũng có thể được đặt cấu hình trong phần Cài đặt</t>
  </si>
  <si>
    <t>通知可能包括警示，声音还有icon badges。您可以更改这样的设置</t>
  </si>
  <si>
    <t>tt_missing_phone</t>
  </si>
  <si>
    <t>Please enter your phone.</t>
  </si>
  <si>
    <t>Bitte geben Sie Ihre Telefonnummer ein.</t>
  </si>
  <si>
    <t>Por favor introduce tu teléfono.</t>
  </si>
  <si>
    <t>Veuillez entrer votre téléphone.</t>
  </si>
  <si>
    <t>Kérjük adja meg telefonszámát.</t>
  </si>
  <si>
    <t>Пожалуйста, введите Ваш номер телефона.</t>
  </si>
  <si>
    <t>Molimo vas unesite vaš telefonski broj.</t>
  </si>
  <si>
    <t>tt_onboarding_settings_notification_1</t>
  </si>
  <si>
    <t>The StockMarkets app would like to send you notifications</t>
  </si>
  <si>
    <t>يرغب تطبيق TeleTrader في إرسال إشعارات إليك</t>
  </si>
  <si>
    <t>TeleTrader би искал да ви изпраща известия</t>
  </si>
  <si>
    <t>Společnost TeleTrader by Vám chtěla zasílat oznámení</t>
  </si>
  <si>
    <t>TeleTrader vil gerne sende dig meddelelser</t>
  </si>
  <si>
    <t>Die StockMarkets app würde Ihnen gerne Benachrichtigungen senden</t>
  </si>
  <si>
    <t>Το TeleTrader θα ήθελε να σας στέλνει ειδοποιήσεις</t>
  </si>
  <si>
    <t>A baha le gustaría enviarle notificaciones</t>
  </si>
  <si>
    <t>TeleTrader haluaa lähettää sinulle ilmoituksia</t>
  </si>
  <si>
    <t>TeleTrader voudrait vous envoyer des notifications !</t>
  </si>
  <si>
    <t>टेलीट्रेडर आपको नोटिफिकेशन भेजना चाहेगा</t>
  </si>
  <si>
    <t>TeleTrader értesítéseket szeretne küldeni Önnek!</t>
  </si>
  <si>
    <t>TeleTrader Ingin Menghantar Pemberitahuan Kepada Anda</t>
  </si>
  <si>
    <t>TeleTrader vorrebbe mandarti delle notifiche.</t>
  </si>
  <si>
    <t>TeleTrader רוצה לשלוח לך הודעות</t>
  </si>
  <si>
    <t>TeleTrader からあなたに通知を送信します</t>
  </si>
  <si>
    <t>TeleTrader에서 알림을 보내고자 합니다</t>
  </si>
  <si>
    <t>TeleTrader wil u meldingen sturen</t>
  </si>
  <si>
    <t>TeleTrader vil sende deg varsler</t>
  </si>
  <si>
    <t>TeleTrader chciałby wysyłać Ci powiadomienia.</t>
  </si>
  <si>
    <t>TeleTrader gostaria de enviar-lhe notificações</t>
  </si>
  <si>
    <t>TeleTrader Ar Dori să îți Trimită Notificări</t>
  </si>
  <si>
    <t>Приложение StockMarkets хотело бы присылать Вам уведомления</t>
  </si>
  <si>
    <t>Aplikácia TeleTrader vám chce posielať oznámenia</t>
  </si>
  <si>
    <t>TeleTrader vam želi poslati obvestila</t>
  </si>
  <si>
    <t>TeleTrader želi da šalje notifikacije za najnovije vesti</t>
  </si>
  <si>
    <t>TeleTrader vill skicka aviseringar</t>
  </si>
  <si>
    <t>TeleTrader ต้องการส่งคำแจ้งเตือนต่างๆให้กับคุณ</t>
  </si>
  <si>
    <t>TeleTrader Size Bildirim Göndermek İstiyor</t>
  </si>
  <si>
    <t>TeleTrader muốn gửi thông báo cho bạn</t>
  </si>
  <si>
    <t>TeleTrader想发送通知</t>
  </si>
  <si>
    <t>session_failure</t>
  </si>
  <si>
    <t>Session failure</t>
  </si>
  <si>
    <t>فشلت الجلسة</t>
  </si>
  <si>
    <t>Грешка в сесията</t>
  </si>
  <si>
    <t>Fallo de la sessió</t>
  </si>
  <si>
    <t>Sitzungsfehler</t>
  </si>
  <si>
    <t>Fallo de sesión</t>
  </si>
  <si>
    <t>Échec de la session</t>
  </si>
  <si>
    <t>Fallo na sesión</t>
  </si>
  <si>
    <t>Munkamenet hiba</t>
  </si>
  <si>
    <t>Sessione fallita</t>
  </si>
  <si>
    <t>セッション失敗</t>
  </si>
  <si>
    <t>Sessiefout</t>
  </si>
  <si>
    <t>Błąd sesji</t>
  </si>
  <si>
    <t>Сбой сеанса</t>
  </si>
  <si>
    <t>Неуспех сесије</t>
  </si>
  <si>
    <t>Sessionsfel</t>
  </si>
  <si>
    <t>Помилка сесії</t>
  </si>
  <si>
    <t>通訊對話錯誤</t>
  </si>
  <si>
    <t>toast_no_trusted_certs</t>
  </si>
  <si>
    <t>No manually approved certificates</t>
  </si>
  <si>
    <t>Няма сертификати, одобрени на ръка</t>
  </si>
  <si>
    <t>No hi ha certificats aprovats manualment</t>
  </si>
  <si>
    <t>Keine manuell bestätigten Zertifikate</t>
  </si>
  <si>
    <t>No aceptar certificados manualmente</t>
  </si>
  <si>
    <t>Aucun certificat approuvé manuellement</t>
  </si>
  <si>
    <t>Sen certificados aprobados manualmente</t>
  </si>
  <si>
    <t>Nincs kézzel jóváhagyott tanúsítvány</t>
  </si>
  <si>
    <t>Tidak ada sertifikat yang disahkan secara manual</t>
  </si>
  <si>
    <t>Non sono presenti certificati accettati manualmente</t>
  </si>
  <si>
    <t>手動で承認された証明書はありません</t>
  </si>
  <si>
    <t>수동으로 승인된 인증서 없음</t>
  </si>
  <si>
    <t>Geen handmatig goedgekeurde certificaten</t>
  </si>
  <si>
    <t>Brak ręcznie zaufanych certyfikatów</t>
  </si>
  <si>
    <t>Não existem certificados aprovados manualmente</t>
  </si>
  <si>
    <t>Не найдено сертификатов, подтверждённых вручную</t>
  </si>
  <si>
    <t>Žiadne ručne schválené certifikáty</t>
  </si>
  <si>
    <t>Нема ручно одобрених сертификата</t>
  </si>
  <si>
    <t>Inga manuellt accepterade certifikat</t>
  </si>
  <si>
    <t>Немає сертифікатів, підтверджених вручну</t>
  </si>
  <si>
    <t>Không có chứng nhận được phê duyệt thủ công</t>
  </si>
  <si>
    <t>沒有人工通過的證書</t>
  </si>
  <si>
    <t>tt_interestrates</t>
  </si>
  <si>
    <t>Interest rates</t>
  </si>
  <si>
    <t>Tipos de intereses</t>
  </si>
  <si>
    <t>Tassi di interesse</t>
  </si>
  <si>
    <t>שערי ריביות</t>
  </si>
  <si>
    <t>Ratele dobânzilor</t>
  </si>
  <si>
    <t>Процентные ставки</t>
  </si>
  <si>
    <t>Faiz oranları</t>
  </si>
  <si>
    <t>x_file_offered_for_download</t>
  </si>
  <si>
    <t>%s offered for download</t>
  </si>
  <si>
    <t>%s عرض وتنزيل</t>
  </si>
  <si>
    <t>%s е предложен за сваляне</t>
  </si>
  <si>
    <t>%s ofert per descarregar</t>
  </si>
  <si>
    <t>%s zum Herunterladen angeboten</t>
  </si>
  <si>
    <t>%s ofrecido para descarga</t>
  </si>
  <si>
    <t>%s proposé à télécharger</t>
  </si>
  <si>
    <t>Ofreceuse %s para descargar</t>
  </si>
  <si>
    <t>%s letöltésre ajánlották</t>
  </si>
  <si>
    <t>%s ditawarkan untuk mengunduh</t>
  </si>
  <si>
    <t>%s offerto da scaricare</t>
  </si>
  <si>
    <t>%s ダウンロード依頼中</t>
  </si>
  <si>
    <t>%s 다운로드 제공됨</t>
  </si>
  <si>
    <t>%s aangeboden om te downloaden</t>
  </si>
  <si>
    <t>Zaproponowano pobranie pliku %s</t>
  </si>
  <si>
    <t>%s oferecido para download</t>
  </si>
  <si>
    <t>%s предлагается скачать</t>
  </si>
  <si>
    <t>%s ponúknutý na stiahnutie</t>
  </si>
  <si>
    <t>%s понуђен за преузимање</t>
  </si>
  <si>
    <t>%s erbjuden för nedladdning</t>
  </si>
  <si>
    <t>%s запропоновано для завантаження</t>
  </si>
  <si>
    <t>Đã đề xuất tải về %s</t>
  </si>
  <si>
    <t>可以下載 %s</t>
  </si>
  <si>
    <t>tt_security_type_201</t>
  </si>
  <si>
    <t>凭证</t>
  </si>
  <si>
    <t>&gt;憑證</t>
  </si>
  <si>
    <t>tt_security_type_200</t>
  </si>
  <si>
    <t>Funds (Fund Tool)</t>
  </si>
  <si>
    <t>الصناديق (أدوات الصندوق)</t>
  </si>
  <si>
    <t>Фондове (инструмент за фондове)</t>
  </si>
  <si>
    <t>Fondy (fondový nástroj)</t>
  </si>
  <si>
    <t>Fonde (Fondværktøj)</t>
  </si>
  <si>
    <t>Fonds (Fondstool)</t>
  </si>
  <si>
    <t>Κεφάλαια (Εργαλείο χρηματοδότησης)</t>
  </si>
  <si>
    <t>Fondos (Herramienta del fondo)</t>
  </si>
  <si>
    <t>Rahastot (Rahastotyökalu)</t>
  </si>
  <si>
    <t>Fonds (outils)</t>
  </si>
  <si>
    <t>निधि (निधि उपकरण)</t>
  </si>
  <si>
    <t>Dana (Alatan Dana)</t>
  </si>
  <si>
    <t>Fondi (Strumento del Fondo)</t>
  </si>
  <si>
    <t>כספים (כלי קרנות)</t>
  </si>
  <si>
    <t>펀드(펀드 도구)</t>
  </si>
  <si>
    <t>Fondsen (fondsapplicatie)</t>
  </si>
  <si>
    <t>Fond (fondverktøy)</t>
  </si>
  <si>
    <t>Fundusz inwestycyjny</t>
  </si>
  <si>
    <t>Fundos (Ferramentas)</t>
  </si>
  <si>
    <t>Fonduri (Instrument de Fond)</t>
  </si>
  <si>
    <t>Fondy (nástroj fondu)</t>
  </si>
  <si>
    <t>Sredstva (orodje sklada)</t>
  </si>
  <si>
    <t>Fonder (Fondverktyg)</t>
  </si>
  <si>
    <t>กองทุน (เครื่องมือกองทุน)</t>
  </si>
  <si>
    <t>Fonlar (Fon Aracı)</t>
  </si>
  <si>
    <t>Quỹ (Công cụ quỹ)</t>
  </si>
  <si>
    <t>基金（基金工具）</t>
  </si>
  <si>
    <t>&gt;基金（基金工具）</t>
  </si>
  <si>
    <t>fiji</t>
  </si>
  <si>
    <t>Fiji</t>
  </si>
  <si>
    <t>Fidschi Inseln</t>
  </si>
  <si>
    <t>Fidji</t>
  </si>
  <si>
    <t>Фиджи</t>
  </si>
  <si>
    <t>Fidži</t>
  </si>
  <si>
    <t>connection_mode_always_txt</t>
  </si>
  <si>
    <t>WiFi + Mobile Data</t>
  </si>
  <si>
    <t>شبكة WiFi + بيانات الجوال</t>
  </si>
  <si>
    <t>WiFi + мобилни данни</t>
  </si>
  <si>
    <t>WiFi + mobilní data</t>
  </si>
  <si>
    <t>WiFi + Mobildata</t>
  </si>
  <si>
    <t>WiFi + Mobile Daten</t>
  </si>
  <si>
    <t>WiFi + δεδομένα κινητής τηλεφωνίας</t>
  </si>
  <si>
    <t>Wifi + Datos móviles</t>
  </si>
  <si>
    <t>WiFi + mobiilidata</t>
  </si>
  <si>
    <t>WiFi + données mobiles</t>
  </si>
  <si>
    <t>वाईफाई+ मोबाइल डेटा</t>
  </si>
  <si>
    <t>WiFi + Data Seluler</t>
  </si>
  <si>
    <t>WiFi + נתוני טלפון נייד</t>
  </si>
  <si>
    <t>WiFi + データ通信</t>
  </si>
  <si>
    <t>WiFi + 모바일 데이터</t>
  </si>
  <si>
    <t>WiFi + Data Mudah Alih</t>
  </si>
  <si>
    <t>WIFI + Mobiele data</t>
  </si>
  <si>
    <t>WiFi + mobildata</t>
  </si>
  <si>
    <t>WiFi + Dane Komórkowe</t>
  </si>
  <si>
    <t>WiFi + Dados Móveis</t>
  </si>
  <si>
    <t>WiFi + Date Mobile</t>
  </si>
  <si>
    <t>WiFi + мобильные даные</t>
  </si>
  <si>
    <t>WiFi + mobilné dáta</t>
  </si>
  <si>
    <t>WiFi + mobilni podatki</t>
  </si>
  <si>
    <t>WiFi + Mobilne internet</t>
  </si>
  <si>
    <t>WiFi + ข้อมูลมือถือ</t>
  </si>
  <si>
    <t>WiFi + Mobil Veri</t>
  </si>
  <si>
    <t>Wi-Fi + Dữ liệu di động</t>
  </si>
  <si>
    <t>Wi-Fi无线连接+数据网络</t>
  </si>
  <si>
    <t>turkey</t>
  </si>
  <si>
    <t>Turkey</t>
  </si>
  <si>
    <t>Türkei</t>
  </si>
  <si>
    <t>Turquía</t>
  </si>
  <si>
    <t>Turquie</t>
  </si>
  <si>
    <t>Турция</t>
  </si>
  <si>
    <t>Turska</t>
  </si>
  <si>
    <t>later</t>
  </si>
  <si>
    <t>По-късно</t>
  </si>
  <si>
    <t>Kasnije</t>
  </si>
  <si>
    <t>tt_symbol_added_to_watchlist</t>
  </si>
  <si>
    <t>Symbol added to watchlist!</t>
  </si>
  <si>
    <t>تمت إضافة الرمز إلى قائمة المتابعة!</t>
  </si>
  <si>
    <t>Символът е добавен към уочлиста!</t>
  </si>
  <si>
    <t>Symbol přidán do seznamu sledovaných!</t>
  </si>
  <si>
    <t>Symbol føjet til overvågningslisten!</t>
  </si>
  <si>
    <t>Wertpapier der Kursliste hinzugefügt!</t>
  </si>
  <si>
    <t>Το σύμβολο προστέθηκε στη λίστα παρακολούθησης!</t>
  </si>
  <si>
    <t>Símbolo añadido a la lista de seguimiento</t>
  </si>
  <si>
    <t>Tunnus lisätty tarkkailulistaan!</t>
  </si>
  <si>
    <t>Symbole ajouté à la liste personnelle!</t>
  </si>
  <si>
    <t>वॉचलिस्ट में प्रतीक को जोड़ा गया!</t>
  </si>
  <si>
    <t>Szimbólum a figyelőlistához hozzáadásra került.</t>
  </si>
  <si>
    <t>Simbol ditambah kepada senarai pantau!</t>
  </si>
  <si>
    <t>Simbolo aggiunto alla watchlist!</t>
  </si>
  <si>
    <t>הסמל הוסף לרשימת המעקב!</t>
  </si>
  <si>
    <t>お気に入りに追加した銘柄</t>
  </si>
  <si>
    <t>보기목록에 기호가 추가되었습니다!</t>
  </si>
  <si>
    <t>Symbool toegevoegd aan favorietenlijst!</t>
  </si>
  <si>
    <t>Symbol lagt til overvåkningslisten!</t>
  </si>
  <si>
    <t>Symbol dodany do listy obserwowanych!</t>
  </si>
  <si>
    <t>Símbolo adicionado à watchlist</t>
  </si>
  <si>
    <t>Simbol a fost adăugat la lista de urmărire!</t>
  </si>
  <si>
    <t>Наименование добавлено в список наблюдения!</t>
  </si>
  <si>
    <t>Symbol bol pridaný do sledovaného zoznamu!</t>
  </si>
  <si>
    <t>Na seznam opazovanja dodan simbol!</t>
  </si>
  <si>
    <t>Simbol dodat u watch listu</t>
  </si>
  <si>
    <t>Symbolen läggs till i bevakningslistan!</t>
  </si>
  <si>
    <t>เพิ่มชื่อย่อหลักทรัพย์ในรายการหุ้นที่ติดตามแล้ว!</t>
  </si>
  <si>
    <t>Sembol izleme listesine eklendi!</t>
  </si>
  <si>
    <t>Đã thêm công cụ vào danh mục theo dõi!</t>
  </si>
  <si>
    <t>加入标记到收藏夹！</t>
  </si>
  <si>
    <t>&gt;加入標記到收藏夾!</t>
  </si>
  <si>
    <t>panama</t>
  </si>
  <si>
    <t>Panama</t>
  </si>
  <si>
    <t>Panamá</t>
  </si>
  <si>
    <t>Панама</t>
  </si>
  <si>
    <t>tt_product_name</t>
  </si>
  <si>
    <t>Product name</t>
  </si>
  <si>
    <t>اسم المنتج</t>
  </si>
  <si>
    <t>Име на продукта</t>
  </si>
  <si>
    <t>Jméno výrobku</t>
  </si>
  <si>
    <t>Produktnavn</t>
  </si>
  <si>
    <t>Produktname</t>
  </si>
  <si>
    <t>Ονομασία προϊόντος</t>
  </si>
  <si>
    <t>Nombre del producto</t>
  </si>
  <si>
    <t>Tuotteen nimi</t>
  </si>
  <si>
    <t>Nom du produit</t>
  </si>
  <si>
    <t>उत्पाद का नाम</t>
  </si>
  <si>
    <t>Termék neve</t>
  </si>
  <si>
    <t>Nama Produk</t>
  </si>
  <si>
    <t>Nome del prodotto</t>
  </si>
  <si>
    <t>שם מוצר</t>
  </si>
  <si>
    <t>商品名</t>
  </si>
  <si>
    <t>상품 이름</t>
  </si>
  <si>
    <t>Produktnaam</t>
  </si>
  <si>
    <t>Nazwa produktu</t>
  </si>
  <si>
    <t>Nome do Produto</t>
  </si>
  <si>
    <t>Numele produsului</t>
  </si>
  <si>
    <t>Наименование товара</t>
  </si>
  <si>
    <t>Názov produktu</t>
  </si>
  <si>
    <t>Ime izdelka</t>
  </si>
  <si>
    <t>ime proizvoda</t>
  </si>
  <si>
    <t>Produktnamn</t>
  </si>
  <si>
    <t>ชื่อผลิตภัณฑ์</t>
  </si>
  <si>
    <t>Ürün adı</t>
  </si>
  <si>
    <t>Tên sản phẩm</t>
  </si>
  <si>
    <t>产品名称</t>
  </si>
  <si>
    <t>delete_bookmark</t>
  </si>
  <si>
    <t>Delete bookmark</t>
  </si>
  <si>
    <t>إحذف من المفضلة</t>
  </si>
  <si>
    <t>Изтриване на отметка</t>
  </si>
  <si>
    <t>Elimina dels marcadors</t>
  </si>
  <si>
    <t>Von Kontaktliste entfernen</t>
  </si>
  <si>
    <t>Eliminar marcador</t>
  </si>
  <si>
    <t>Supprimer le favori</t>
  </si>
  <si>
    <t>Könyvjelző törlése</t>
  </si>
  <si>
    <t>Hapus bookmark</t>
  </si>
  <si>
    <t>Elimina segnalibro</t>
  </si>
  <si>
    <t>ブックマークを削除</t>
  </si>
  <si>
    <t>즐겨찾기 삭제</t>
  </si>
  <si>
    <t>Bladwijzer verwijderen</t>
  </si>
  <si>
    <t>Usuń zakładkę</t>
  </si>
  <si>
    <t>Apagar favorito</t>
  </si>
  <si>
    <t>Удалить закладку</t>
  </si>
  <si>
    <t>Vymazať záložku</t>
  </si>
  <si>
    <t>Обриши обележивач</t>
  </si>
  <si>
    <t>Ta bort bokmärke</t>
  </si>
  <si>
    <t>Видалити закладку</t>
  </si>
  <si>
    <t>Xoá đánh dấu</t>
  </si>
  <si>
    <t>刪除書簽</t>
  </si>
  <si>
    <t>singapore</t>
  </si>
  <si>
    <t>Singapore</t>
  </si>
  <si>
    <t>Singapur</t>
  </si>
  <si>
    <t>Singapour</t>
  </si>
  <si>
    <t>Сингапур</t>
  </si>
  <si>
    <t>admin</t>
  </si>
  <si>
    <t>Admin</t>
  </si>
  <si>
    <t>مدير</t>
  </si>
  <si>
    <t>Администратор</t>
  </si>
  <si>
    <t>Administrador</t>
  </si>
  <si>
    <t>Administrator</t>
  </si>
  <si>
    <t>Administrateur</t>
  </si>
  <si>
    <t>Adminisztrátor</t>
  </si>
  <si>
    <t>Amministratore</t>
  </si>
  <si>
    <t>管理者</t>
  </si>
  <si>
    <t>관리자</t>
  </si>
  <si>
    <t>Beheerder</t>
  </si>
  <si>
    <t>Administrátor</t>
  </si>
  <si>
    <t>Адміністратор</t>
  </si>
  <si>
    <t>Quản trị viên</t>
  </si>
  <si>
    <t>管理員</t>
  </si>
  <si>
    <t>preparing_image</t>
  </si>
  <si>
    <t>Preparing image for transmission</t>
  </si>
  <si>
    <t>اعداد صورة للإرسال</t>
  </si>
  <si>
    <t>Подготовка на изображението за изпращане</t>
  </si>
  <si>
    <t>S\'està preparant la imatge per enviar</t>
  </si>
  <si>
    <t>Bild wird für Übertragung vorbereitet</t>
  </si>
  <si>
    <t>Preparando imagen para enviar</t>
  </si>
  <si>
    <t>Préparation de l\'image pour envoi...</t>
  </si>
  <si>
    <t>Preparando imaxe para enviar</t>
  </si>
  <si>
    <t>A kép átvitelének előkészítése</t>
  </si>
  <si>
    <t>Mempersiapkan gambar untuk transmisi</t>
  </si>
  <si>
    <t>Preparazione immagine per la trasmissione</t>
  </si>
  <si>
    <t>転送用画像の準備中</t>
  </si>
  <si>
    <t>이미지 전송 준비중</t>
  </si>
  <si>
    <t>Bezig met voorbereiden van versturen van afbeelding</t>
  </si>
  <si>
    <t>Przygotowywanie obrazu do wysłania</t>
  </si>
  <si>
    <t>Preparando a imagem para transmissão</t>
  </si>
  <si>
    <t>Подготовка изображения к передаче</t>
  </si>
  <si>
    <t>Pripravujem obrázok na prenos</t>
  </si>
  <si>
    <t>Припремам слику за пренос</t>
  </si>
  <si>
    <t>Förbereder bild för sändning</t>
  </si>
  <si>
    <t>Підготовка зображення до передачі</t>
  </si>
  <si>
    <t>Đang chuẩn bị hình để chuyển</t>
  </si>
  <si>
    <t>準備傳輸圖像</t>
  </si>
  <si>
    <t>tt_chart_template</t>
  </si>
  <si>
    <t>Chart Template</t>
  </si>
  <si>
    <t>قالب المخطط</t>
  </si>
  <si>
    <t>Шаблон на графика</t>
  </si>
  <si>
    <t>Šablona grafu</t>
  </si>
  <si>
    <t>Diagramskabelon</t>
  </si>
  <si>
    <t>Πρότυπο γραφήματος</t>
  </si>
  <si>
    <t>Plantilla del gráfico</t>
  </si>
  <si>
    <t>Kaaviomalli</t>
  </si>
  <si>
    <t>Modèle de graphique</t>
  </si>
  <si>
    <t>चार्ट टेम्पलेट</t>
  </si>
  <si>
    <t>Grafikon sablon</t>
  </si>
  <si>
    <t>Template Grafik</t>
  </si>
  <si>
    <t>Modello del grafico</t>
  </si>
  <si>
    <t>תבנית גרף</t>
  </si>
  <si>
    <t>図表テンプレート</t>
  </si>
  <si>
    <t>차트 템플릿</t>
  </si>
  <si>
    <t>Templat Carta</t>
  </si>
  <si>
    <t>Grafiek sjabloon</t>
  </si>
  <si>
    <t>Diagram-mal</t>
  </si>
  <si>
    <t>Szablon wykreu</t>
  </si>
  <si>
    <t>Modelo de gráfico</t>
  </si>
  <si>
    <t>Șablon Grafic</t>
  </si>
  <si>
    <t>Графический шаблон</t>
  </si>
  <si>
    <t>Šablóna grafu</t>
  </si>
  <si>
    <t>Predloga grafikona</t>
  </si>
  <si>
    <t>Templejt čarta</t>
  </si>
  <si>
    <t>Diagrammall</t>
  </si>
  <si>
    <t>เท็มเพล็ตแผนภูมิ</t>
  </si>
  <si>
    <t>Grafik Şablonu</t>
  </si>
  <si>
    <t>Mẫu biểu đồ</t>
  </si>
  <si>
    <t>图表模板</t>
  </si>
  <si>
    <t>&gt;圖表模板</t>
  </si>
  <si>
    <t>tt_pf_numberofshare</t>
  </si>
  <si>
    <t>Shares</t>
  </si>
  <si>
    <t>الأسهم</t>
  </si>
  <si>
    <t>Акции</t>
  </si>
  <si>
    <t>Podílové akcie</t>
  </si>
  <si>
    <t>Aktier</t>
  </si>
  <si>
    <t>Anzahl</t>
  </si>
  <si>
    <t>Μερίδια</t>
  </si>
  <si>
    <t>Acciones</t>
  </si>
  <si>
    <t>Osakkeet</t>
  </si>
  <si>
    <t>Actions</t>
  </si>
  <si>
    <t>शेयर</t>
  </si>
  <si>
    <t>Részvények</t>
  </si>
  <si>
    <t>Saham</t>
  </si>
  <si>
    <t>Titoli</t>
  </si>
  <si>
    <t>מניות</t>
  </si>
  <si>
    <t>株式</t>
  </si>
  <si>
    <t>주식</t>
  </si>
  <si>
    <t>Aandelen</t>
  </si>
  <si>
    <t>Aksjer</t>
  </si>
  <si>
    <t>Akcje</t>
  </si>
  <si>
    <t>Ações</t>
  </si>
  <si>
    <t>Acțiuni</t>
  </si>
  <si>
    <t>Akcie</t>
  </si>
  <si>
    <t>Delnice</t>
  </si>
  <si>
    <t>Akcije</t>
  </si>
  <si>
    <t>หุ้น</t>
  </si>
  <si>
    <t>Hisseler</t>
  </si>
  <si>
    <t>Cổ phiếu</t>
  </si>
  <si>
    <t>股本</t>
  </si>
  <si>
    <t>&gt;股本</t>
  </si>
  <si>
    <t>pref_show_connection_options</t>
  </si>
  <si>
    <t>Extended connection settings</t>
  </si>
  <si>
    <t>إعدادات الربط الموسعة</t>
  </si>
  <si>
    <t>Разширени настройки за връзката</t>
  </si>
  <si>
    <t>Configuració de connexió estesa</t>
  </si>
  <si>
    <t>Erweiterte Verbindungsoptionen</t>
  </si>
  <si>
    <t>Opciones de conexión</t>
  </si>
  <si>
    <t>Paramètres de connexion avancés</t>
  </si>
  <si>
    <t>Axustes ampliados de conexión</t>
  </si>
  <si>
    <t>Kiterjesztett kapcsolat beállítások</t>
  </si>
  <si>
    <t>Impostazioni estese di connessione</t>
  </si>
  <si>
    <t>拡張接続設定</t>
  </si>
  <si>
    <t>확장 연결 설정</t>
  </si>
  <si>
    <t>Uitgebreide verbindingsinstellingen</t>
  </si>
  <si>
    <t>Rozszerzone ustawienia połączenia</t>
  </si>
  <si>
    <t>Definições de conexão</t>
  </si>
  <si>
    <t>Расширенные настройки подключения</t>
  </si>
  <si>
    <t>Проширене поставке повезивања</t>
  </si>
  <si>
    <t>Utökade anslutningsinställningar</t>
  </si>
  <si>
    <t>Розширені налаштування з\'єднання</t>
  </si>
  <si>
    <t>高級連接設置</t>
  </si>
  <si>
    <t>tt_limit</t>
  </si>
  <si>
    <t>Alert</t>
  </si>
  <si>
    <t>تنبيه</t>
  </si>
  <si>
    <t>Сигнал</t>
  </si>
  <si>
    <t>Limit</t>
  </si>
  <si>
    <t>Ειδοποίηση</t>
  </si>
  <si>
    <t>Límite</t>
  </si>
  <si>
    <t>Hälytys</t>
  </si>
  <si>
    <t>Avviso</t>
  </si>
  <si>
    <t>התראה</t>
  </si>
  <si>
    <t>Notificatie</t>
  </si>
  <si>
    <t>Varsling</t>
  </si>
  <si>
    <t>Limite</t>
  </si>
  <si>
    <t>Alerta</t>
  </si>
  <si>
    <t>Предельная стоимость</t>
  </si>
  <si>
    <t>Upozornenie</t>
  </si>
  <si>
    <t>Alarm</t>
  </si>
  <si>
    <t>tt_reset_chart_template</t>
  </si>
  <si>
    <t>Reset Chart</t>
  </si>
  <si>
    <t>إعادة تعيين المخطط (لا يوجد قالب)</t>
  </si>
  <si>
    <t>Нулирай графика</t>
  </si>
  <si>
    <t>Resetovat graf</t>
  </si>
  <si>
    <t>Nulstil diagram</t>
  </si>
  <si>
    <t>Επαναφορά γραφήματος</t>
  </si>
  <si>
    <t>Reiniciar Gráfico</t>
  </si>
  <si>
    <t>Nollaa kaavio</t>
  </si>
  <si>
    <t>Réinitialiser le graphique</t>
  </si>
  <si>
    <t>चार्ट को रीसेट करें</t>
  </si>
  <si>
    <t>Grafikon visszaállítása</t>
  </si>
  <si>
    <t>Setel Ulang chart(Tidak ada Template)</t>
  </si>
  <si>
    <t>Resetta il Grafico (Senza Modello)</t>
  </si>
  <si>
    <t>איפוס גרף</t>
  </si>
  <si>
    <t>図表リセット（テンプレート無し）</t>
  </si>
  <si>
    <t>차트 초기화(템플릿 없음)</t>
  </si>
  <si>
    <t>Tetapkan Semula Carta (Tiada Templat)</t>
  </si>
  <si>
    <t>Herstel Grafiek</t>
  </si>
  <si>
    <t>Tilbakestill diagram</t>
  </si>
  <si>
    <t>Reset</t>
  </si>
  <si>
    <t>Restabelecer gráfico</t>
  </si>
  <si>
    <t>Resetare Grafic</t>
  </si>
  <si>
    <t>Перезапустить график</t>
  </si>
  <si>
    <t>Obnoviť graf</t>
  </si>
  <si>
    <t>Ponastavitev grafikona</t>
  </si>
  <si>
    <t>Reset čarta</t>
  </si>
  <si>
    <t>Återställ diagrammet</t>
  </si>
  <si>
    <t>รีเซ็ตแผนภูมิ</t>
  </si>
  <si>
    <t>Grafiği Sıfırla</t>
  </si>
  <si>
    <t>Đặt lại biểu đồ</t>
  </si>
  <si>
    <t>图表重置（无模板）</t>
  </si>
  <si>
    <t>&gt;圖表重置（無模板）</t>
  </si>
  <si>
    <t>dialog_manage_certs_negativebutton</t>
  </si>
  <si>
    <t>Cancel·lar</t>
  </si>
  <si>
    <t>notify_never</t>
  </si>
  <si>
    <t>Notifications disabled</t>
  </si>
  <si>
    <t>تعطيل الإخطارات</t>
  </si>
  <si>
    <t>Известията са изключени</t>
  </si>
  <si>
    <t>S\'han desactivat les notificacions</t>
  </si>
  <si>
    <t>Benachrichtigungen deaktiviert</t>
  </si>
  <si>
    <t>Notificaciones deshabilitadas</t>
  </si>
  <si>
    <t>Notifications désactivées</t>
  </si>
  <si>
    <t>Notificacións desactivadas</t>
  </si>
  <si>
    <t>Értesítések letiltva</t>
  </si>
  <si>
    <t>Notifiche disattivate</t>
  </si>
  <si>
    <t>通知は無効</t>
  </si>
  <si>
    <t>알림 해제됨</t>
  </si>
  <si>
    <t>Meldingen uitgeschakeld</t>
  </si>
  <si>
    <t>Powiadomienia wyłączone</t>
  </si>
  <si>
    <t>Notificações desativadas</t>
  </si>
  <si>
    <t>Без уведомления</t>
  </si>
  <si>
    <t>Обавештења искључена</t>
  </si>
  <si>
    <t>Notifieringar deaktiverade</t>
  </si>
  <si>
    <t>Сповіщення вимкнено</t>
  </si>
  <si>
    <t>Đã tắt thông báo</t>
  </si>
  <si>
    <t>關閉通知</t>
  </si>
  <si>
    <t>resend_sms</t>
  </si>
  <si>
    <t>Resend SMS</t>
  </si>
  <si>
    <t>Повторно изпращане на съобщението</t>
  </si>
  <si>
    <t>SMS erneut versenden</t>
  </si>
  <si>
    <t>Reenviar SMS</t>
  </si>
  <si>
    <t>Renvoyer un SMS.</t>
  </si>
  <si>
    <t>SMS újraküldése</t>
  </si>
  <si>
    <t>Reinvia SMS</t>
  </si>
  <si>
    <t>Sms opnieuw versturen</t>
  </si>
  <si>
    <t>Wyślij SMSa ponownie</t>
  </si>
  <si>
    <t>SMS\'i tekrar gönder</t>
  </si>
  <si>
    <t>permission_contacts_denied</t>
  </si>
  <si>
    <t>Contacts permission was denied. Please consider granting it in order to access the Chat feature!</t>
  </si>
  <si>
    <t>Berechtigung für Kontakte wurde verweigert. Um das Chat-Feature verwenden zu können, sollte diese Berechtigung zugelassen werden!</t>
  </si>
  <si>
    <t>Permiso para acceder a los contactos fue denegado. ¡Por favor considera añadirlo para acceder a la función de Chat!</t>
  </si>
  <si>
    <t>L\'autorisation de contacts ont été refusés. S\'il vous plaît envisager de l\'accorder afin d\'accéder à la fonctionnalité de chat!</t>
  </si>
  <si>
    <t>Partnerlista hozzáférés letiltva. Engedélyezze a Cset használata érdekében!</t>
  </si>
  <si>
    <t>Доступ к контактам запрещён. Пожалуйста, разрешите доступ к контактам, чтобы использовать функцию чата!</t>
  </si>
  <si>
    <t>Pristup kontaktima je odbijen. Molimo vas dozvolite pristup kontaktima da bi ste mogli da koristite čet!</t>
  </si>
  <si>
    <t>tt_confirm</t>
  </si>
  <si>
    <t>Confirm</t>
  </si>
  <si>
    <t>تأكيد</t>
  </si>
  <si>
    <t>Потвърди</t>
  </si>
  <si>
    <t>Potvrdit</t>
  </si>
  <si>
    <t>Bekræfte</t>
  </si>
  <si>
    <t>Bestätigen</t>
  </si>
  <si>
    <t>Επιβεβαίωση</t>
  </si>
  <si>
    <t>Confirmar</t>
  </si>
  <si>
    <t>Vahvista</t>
  </si>
  <si>
    <t>Confirmer</t>
  </si>
  <si>
    <t>पुष्टि करें</t>
  </si>
  <si>
    <t>Megerősítés</t>
  </si>
  <si>
    <t>Konfirmasi</t>
  </si>
  <si>
    <t>Confirma</t>
  </si>
  <si>
    <t>אשר</t>
  </si>
  <si>
    <t>確認する</t>
  </si>
  <si>
    <t>확인</t>
  </si>
  <si>
    <t>Sahkan</t>
  </si>
  <si>
    <t>Bekreft</t>
  </si>
  <si>
    <t>Potwierdź</t>
  </si>
  <si>
    <t>Confirmă</t>
  </si>
  <si>
    <t>Подтвердить</t>
  </si>
  <si>
    <t>Potvrdiť</t>
  </si>
  <si>
    <t>Potrdite</t>
  </si>
  <si>
    <t>Potvrdi</t>
  </si>
  <si>
    <t>Bekräfta</t>
  </si>
  <si>
    <t>ยืนยัน</t>
  </si>
  <si>
    <t>Onayla</t>
  </si>
  <si>
    <t>Xác nhận</t>
  </si>
  <si>
    <t>确认</t>
  </si>
  <si>
    <t>&gt;確認</t>
  </si>
  <si>
    <t>title_pref_quiet_hours</t>
  </si>
  <si>
    <t>Quiet Hours</t>
  </si>
  <si>
    <t>ساعات السكون</t>
  </si>
  <si>
    <t>Тихи часове</t>
  </si>
  <si>
    <t>Hores de silenci</t>
  </si>
  <si>
    <t>Ruhige Stunden</t>
  </si>
  <si>
    <t>Horario de silencio</t>
  </si>
  <si>
    <t>Heures tranquilles</t>
  </si>
  <si>
    <t>Non molestar</t>
  </si>
  <si>
    <t>Csöndes órák</t>
  </si>
  <si>
    <t>Waktu sunyi</t>
  </si>
  <si>
    <t>Ore di quiete</t>
  </si>
  <si>
    <t>消音時間</t>
  </si>
  <si>
    <t>무음 시간대</t>
  </si>
  <si>
    <t>Stille uren</t>
  </si>
  <si>
    <t>Godziny ciszy</t>
  </si>
  <si>
    <t>Horas de tranquilidade</t>
  </si>
  <si>
    <t>Тихие часы</t>
  </si>
  <si>
    <t>Tichý režim</t>
  </si>
  <si>
    <t>Тихи сати</t>
  </si>
  <si>
    <t>Tysta timmar</t>
  </si>
  <si>
    <t>Години тиші</t>
  </si>
  <si>
    <t>Giờ yên lặng</t>
  </si>
  <si>
    <t>靜默時間段</t>
  </si>
  <si>
    <t>slovakia</t>
  </si>
  <si>
    <t>Slovakia</t>
  </si>
  <si>
    <t>Slowakei</t>
  </si>
  <si>
    <t>Eslovaquia</t>
  </si>
  <si>
    <t>Slovaquie</t>
  </si>
  <si>
    <t>Словакия</t>
  </si>
  <si>
    <t>Slovačka</t>
  </si>
  <si>
    <t>tt_apps</t>
  </si>
  <si>
    <t>Baha apps</t>
  </si>
  <si>
    <t>تطبيقات baha</t>
  </si>
  <si>
    <t>baha apps</t>
  </si>
  <si>
    <t>APLIKACE BAHA</t>
  </si>
  <si>
    <t>ΕΦΑΡΜΟΓΕΣ BAHA</t>
  </si>
  <si>
    <t>Aplicaciónes de baha</t>
  </si>
  <si>
    <t>BAHA-SOVELLUKSET</t>
  </si>
  <si>
    <t>Applis baha</t>
  </si>
  <si>
    <t>टेलीट्रेडर ऐप</t>
  </si>
  <si>
    <t>baha Applikáció</t>
  </si>
  <si>
    <t>Aplikasi baha</t>
  </si>
  <si>
    <t>אפליקציות TELETRADER</t>
  </si>
  <si>
    <t>baha アプリ</t>
  </si>
  <si>
    <t>baha 앱</t>
  </si>
  <si>
    <t>baha Apps</t>
  </si>
  <si>
    <t>baha APPS</t>
  </si>
  <si>
    <t xml:space="preserve">Apps baha </t>
  </si>
  <si>
    <t>APLICAȚII BAHA</t>
  </si>
  <si>
    <t>Приложения baha</t>
  </si>
  <si>
    <t>APLIKÁCIE BAHA</t>
  </si>
  <si>
    <t>BAHA APPLE</t>
  </si>
  <si>
    <t>baha Aplikacije</t>
  </si>
  <si>
    <t>BAHA-APPAR</t>
  </si>
  <si>
    <t>แอปจาก BAHA</t>
  </si>
  <si>
    <t>baha Uygulamaları</t>
  </si>
  <si>
    <t>ỨNG DỤNG BAHA</t>
  </si>
  <si>
    <t>baha的应用程序</t>
  </si>
  <si>
    <t>openkeychain_required</t>
  </si>
  <si>
    <t>OpenKeychain</t>
  </si>
  <si>
    <t>Установите OpenKeychain</t>
  </si>
  <si>
    <t>Отворени кључарник</t>
  </si>
  <si>
    <t>chat_app_name</t>
  </si>
  <si>
    <t>Chats</t>
  </si>
  <si>
    <t>niger</t>
  </si>
  <si>
    <t>Niger</t>
  </si>
  <si>
    <t>Нигер</t>
  </si>
  <si>
    <t>toast_delete_certificates</t>
  </si>
  <si>
    <t>REDUNDANT PLEASE IGNORE</t>
  </si>
  <si>
    <t>ban_now</t>
  </si>
  <si>
    <t>Ban now</t>
  </si>
  <si>
    <t>حظر الآن</t>
  </si>
  <si>
    <t>Забраняване на достъпа сега</t>
  </si>
  <si>
    <t>Banejat ara</t>
  </si>
  <si>
    <t>Kontakt ausschließen</t>
  </si>
  <si>
    <t>Prohibir ahora</t>
  </si>
  <si>
    <t>Bannir maintenant</t>
  </si>
  <si>
    <t>Rexeitar agora</t>
  </si>
  <si>
    <t>Kitiltás most</t>
  </si>
  <si>
    <t>Tendang sekarang</t>
  </si>
  <si>
    <t>Bandisci</t>
  </si>
  <si>
    <t>今すぐ禁止</t>
  </si>
  <si>
    <t>지금 금지</t>
  </si>
  <si>
    <t>Nu verbannen</t>
  </si>
  <si>
    <t>Zbanuj teraz</t>
  </si>
  <si>
    <t>Banir agora</t>
  </si>
  <si>
    <t>Заблокировать</t>
  </si>
  <si>
    <t>Vylúčiť</t>
  </si>
  <si>
    <t>Забрани одмах</t>
  </si>
  <si>
    <t>Bannlys nu</t>
  </si>
  <si>
    <t>Вигнати зараз</t>
  </si>
  <si>
    <t>Cấm ngay</t>
  </si>
  <si>
    <t>現在遮罩</t>
  </si>
  <si>
    <t>burkina_faso</t>
  </si>
  <si>
    <t>Burkina Faso</t>
  </si>
  <si>
    <t>Буркина-Фасо</t>
  </si>
  <si>
    <t>tt_quote_l</t>
  </si>
  <si>
    <t>L</t>
  </si>
  <si>
    <t>T</t>
  </si>
  <si>
    <t>B</t>
  </si>
  <si>
    <t>एल</t>
  </si>
  <si>
    <t>min</t>
  </si>
  <si>
    <t>低</t>
  </si>
  <si>
    <t>&gt;低</t>
  </si>
  <si>
    <t>tt_fundprofile_assetpositions</t>
  </si>
  <si>
    <t>Veranlagungen</t>
  </si>
  <si>
    <t>Περιουσιακά στοιχεία</t>
  </si>
  <si>
    <t>Actifs</t>
  </si>
  <si>
    <t>アセット</t>
  </si>
  <si>
    <t>Vermogens</t>
  </si>
  <si>
    <t>&gt;資產</t>
  </si>
  <si>
    <t>view_media</t>
  </si>
  <si>
    <t>View media</t>
  </si>
  <si>
    <t>Преглед на медийното съдържание</t>
  </si>
  <si>
    <t>Medien anzeigen</t>
  </si>
  <si>
    <t>Ver galería</t>
  </si>
  <si>
    <t>Voir les média</t>
  </si>
  <si>
    <t>Ver medios</t>
  </si>
  <si>
    <t>Multimédia megtekintése</t>
  </si>
  <si>
    <t>Vedi i media</t>
  </si>
  <si>
    <t>Media bekijken</t>
  </si>
  <si>
    <t>Pokaż media</t>
  </si>
  <si>
    <t>contacts_and_n_more_have_read_up_to_this_point</t>
  </si>
  <si>
    <t>%1$s +%2$d more have read up to this point</t>
  </si>
  <si>
    <t>%1$s и още %2$d човека са прочели до тук</t>
  </si>
  <si>
    <t>%1$s i %2$d més han llegit fins aquí</t>
  </si>
  <si>
    <t>%1$s +%2$d další Přečetl až do tohoto bodu</t>
  </si>
  <si>
    <t>%1$s +%2$d mere har læst op til dette punkt</t>
  </si>
  <si>
    <t>%1$s +%2$d weitere haben bis zu diesem Punkt gelesen</t>
  </si>
  <si>
    <t>%1$s + %2$d han leído hasta aquí</t>
  </si>
  <si>
    <t>%1$s +%2$d muuta lukenut tähän asti</t>
  </si>
  <si>
    <t>%1$s+%2$d et plus ont tout lu jusqu\'ici</t>
  </si>
  <si>
    <t>%1$s +%2$d máis leron ate este punto</t>
  </si>
  <si>
    <t>%1$s+ %2$d is eddig olvasta</t>
  </si>
  <si>
    <t>%1$s +%2$d lebih telah membaca sampai titik ini</t>
  </si>
  <si>
    <t>%1$s +%2$d altri hanno letto fino a questo punto</t>
  </si>
  <si>
    <t>%1$s en nog %2$d meer hebben tot hier gelezen</t>
  </si>
  <si>
    <t>%1$s +%2$d mer har lest opp til dette punktet</t>
  </si>
  <si>
    <t>%1$s i %2$d osób przeczytało do tego miejsca</t>
  </si>
  <si>
    <t>%1$s+ ещё %2$d прочитали сообщения до этого момента</t>
  </si>
  <si>
    <t>%1$s + још%2$d су прочитали довде</t>
  </si>
  <si>
    <t>%1$s +%2$d daha fazlası bu noktaya kadar okudu</t>
  </si>
  <si>
    <t>tt_market</t>
  </si>
  <si>
    <t>Markets</t>
  </si>
  <si>
    <t>الأسواق</t>
  </si>
  <si>
    <t>Пазари</t>
  </si>
  <si>
    <t>Trhy</t>
  </si>
  <si>
    <t>Markeder</t>
  </si>
  <si>
    <t>Märkte</t>
  </si>
  <si>
    <t>Αγορές</t>
  </si>
  <si>
    <t>Mercados</t>
  </si>
  <si>
    <t>Markkinat</t>
  </si>
  <si>
    <t>Marchés</t>
  </si>
  <si>
    <t>बाजार</t>
  </si>
  <si>
    <t>Piacok</t>
  </si>
  <si>
    <t>Pasar</t>
  </si>
  <si>
    <t>Mercati</t>
  </si>
  <si>
    <t>שווקים</t>
  </si>
  <si>
    <t>市場</t>
  </si>
  <si>
    <t>시장</t>
  </si>
  <si>
    <t>Pasaran</t>
  </si>
  <si>
    <t>Markten</t>
  </si>
  <si>
    <t>Rynki</t>
  </si>
  <si>
    <t>Mercado</t>
  </si>
  <si>
    <t>Piețe</t>
  </si>
  <si>
    <t>Рынки</t>
  </si>
  <si>
    <t>Trgi</t>
  </si>
  <si>
    <t>Tržišta</t>
  </si>
  <si>
    <t>Marknader</t>
  </si>
  <si>
    <t>Piyasalar</t>
  </si>
  <si>
    <t>Thị trường</t>
  </si>
  <si>
    <t>市场</t>
  </si>
  <si>
    <t>&gt;市場</t>
  </si>
  <si>
    <t>tt_quote_h</t>
  </si>
  <si>
    <t>H</t>
  </si>
  <si>
    <t>مرتفع</t>
  </si>
  <si>
    <t>Н</t>
  </si>
  <si>
    <t>Η</t>
  </si>
  <si>
    <t>एच</t>
  </si>
  <si>
    <t>Макс</t>
  </si>
  <si>
    <t>max</t>
  </si>
  <si>
    <t>สูง</t>
  </si>
  <si>
    <t>Đỉnh</t>
  </si>
  <si>
    <t>高</t>
  </si>
  <si>
    <t>&gt;高</t>
  </si>
  <si>
    <t>tt_fundcompany_short</t>
  </si>
  <si>
    <t>Funds company</t>
  </si>
  <si>
    <t>شركة الصناديق</t>
  </si>
  <si>
    <t>Финансираща компания</t>
  </si>
  <si>
    <t>Společnost fondů</t>
  </si>
  <si>
    <t>Fondsselskab</t>
  </si>
  <si>
    <t>KAG</t>
  </si>
  <si>
    <t>Εταιρεία κεφαλαίων</t>
  </si>
  <si>
    <t>Fondos de empresa</t>
  </si>
  <si>
    <t>Rahastoyhtiö</t>
  </si>
  <si>
    <t>निधि कंपनी</t>
  </si>
  <si>
    <t>Alapkezelő cégek</t>
  </si>
  <si>
    <t>Perusahaan dana</t>
  </si>
  <si>
    <t>Azienda del Fondo</t>
  </si>
  <si>
    <t>חברת קרנות</t>
  </si>
  <si>
    <t>ファンド会社</t>
  </si>
  <si>
    <t>펀드 회사</t>
  </si>
  <si>
    <t>Syarikat dana</t>
  </si>
  <si>
    <t>Fondsbedrijf</t>
  </si>
  <si>
    <t>Fondsselskap</t>
  </si>
  <si>
    <t>Fundusze firmy</t>
  </si>
  <si>
    <t>Fundos de empresa</t>
  </si>
  <si>
    <t>Societate de fonduri</t>
  </si>
  <si>
    <t>Фонды компании</t>
  </si>
  <si>
    <t>Spoločnosť s fondmi</t>
  </si>
  <si>
    <t>Družba za sklade</t>
  </si>
  <si>
    <t>Fondföretag</t>
  </si>
  <si>
    <t>บริษัทกองทุน</t>
  </si>
  <si>
    <t>Fon şirketi</t>
  </si>
  <si>
    <t>Công ty quỹ</t>
  </si>
  <si>
    <t>基金公司</t>
  </si>
  <si>
    <t>&gt;基金公司</t>
  </si>
  <si>
    <t>tt_fundprofile_strategy</t>
  </si>
  <si>
    <t>Fund strategy</t>
  </si>
  <si>
    <t>استراتيجية الصندوق</t>
  </si>
  <si>
    <t>Стратегия на фонда</t>
  </si>
  <si>
    <t>Strategie fondu</t>
  </si>
  <si>
    <t>Fondstrategi</t>
  </si>
  <si>
    <t>Fondsstrategie</t>
  </si>
  <si>
    <t>Στρατηγική κεφαλαίων</t>
  </si>
  <si>
    <t>Estrategia del fondo</t>
  </si>
  <si>
    <t>Rahastostrategia</t>
  </si>
  <si>
    <t>निधि की रणनीति</t>
  </si>
  <si>
    <t>Alap stratégiája</t>
  </si>
  <si>
    <t>Strategi dana</t>
  </si>
  <si>
    <t>Strategia del Fondo</t>
  </si>
  <si>
    <t>אסטרטגיית קרנות</t>
  </si>
  <si>
    <t>戦略</t>
  </si>
  <si>
    <t>펀드 전략</t>
  </si>
  <si>
    <t>Strategia funduszu</t>
  </si>
  <si>
    <t>Estratégia de fundo</t>
  </si>
  <si>
    <t>Strategia fondului</t>
  </si>
  <si>
    <t>Стратегия финансирования</t>
  </si>
  <si>
    <t>Stratégia fondu</t>
  </si>
  <si>
    <t>Strategija sklada</t>
  </si>
  <si>
    <t>Strategija fonda</t>
  </si>
  <si>
    <t>กลยุทธ์กองทุน</t>
  </si>
  <si>
    <t>Fon stratejisi</t>
  </si>
  <si>
    <t>Chiến lược quỹ</t>
  </si>
  <si>
    <t>基金策略</t>
  </si>
  <si>
    <t>&gt;基金策略</t>
  </si>
  <si>
    <t>conference_members_only</t>
  </si>
  <si>
    <t>This group chat is members only</t>
  </si>
  <si>
    <t>هذه المجموعة متاحة للأعضاء المنتمين إليها فقط</t>
  </si>
  <si>
    <t>Този групов разговор е само за членове</t>
  </si>
  <si>
    <t>Aquest xat en grup només és de membres</t>
  </si>
  <si>
    <t>Dieser Gruppenchat ist nur für Mitglieder</t>
  </si>
  <si>
    <t>Esta conversación en grupo es solo para miembros</t>
  </si>
  <si>
    <t>Cette conversation de groupe est réservée aux membres</t>
  </si>
  <si>
    <t>Esta conversa en grupo é so para membros</t>
  </si>
  <si>
    <t>Ez a konferencia csak tagoknak szól</t>
  </si>
  <si>
    <t>Questa chat di gruppo è solo per membri</t>
  </si>
  <si>
    <t>この談話室はメンバー制です</t>
  </si>
  <si>
    <t>Dit groepsgesprek is enkel voor leden</t>
  </si>
  <si>
    <t>Konferencja tylko dla użytkowników</t>
  </si>
  <si>
    <t>Esta conversa de grupo é apenas para membros</t>
  </si>
  <si>
    <t>Эта конференция — только для участников</t>
  </si>
  <si>
    <t>Ово групно ћаскање је само за чланове</t>
  </si>
  <si>
    <t>tt_anlageschwerpunkt</t>
  </si>
  <si>
    <t>Investment focus</t>
  </si>
  <si>
    <t>التركيز على الاستثمار</t>
  </si>
  <si>
    <t>Инвестиционен фокус</t>
  </si>
  <si>
    <t>Investiční zaměření</t>
  </si>
  <si>
    <t>Investeringsfokus</t>
  </si>
  <si>
    <t>Anlageschwerpunkt</t>
  </si>
  <si>
    <t>Επενδυτική εστίαση</t>
  </si>
  <si>
    <t>Foco de inversión</t>
  </si>
  <si>
    <t>Sijoitusten painopiste</t>
  </si>
  <si>
    <t>निवेश फोकस</t>
  </si>
  <si>
    <t>Befektetés hangsúlya</t>
  </si>
  <si>
    <t>Fokus investasi</t>
  </si>
  <si>
    <t>Focus di Investimento</t>
  </si>
  <si>
    <t>מיקוד השקעה</t>
  </si>
  <si>
    <t>投資の視点</t>
  </si>
  <si>
    <t>투자 포커스</t>
  </si>
  <si>
    <t>Tumpuan pelaburan</t>
  </si>
  <si>
    <t>Investeringsdoel</t>
  </si>
  <si>
    <t>Kierunek inwestycji</t>
  </si>
  <si>
    <t>Foco de investimento</t>
  </si>
  <si>
    <t>Focalizare pe investiții</t>
  </si>
  <si>
    <t>Инвестиционная направленность</t>
  </si>
  <si>
    <t>Investičné zameranie</t>
  </si>
  <si>
    <t>Poudarek naložb</t>
  </si>
  <si>
    <t>Investicioni fokus</t>
  </si>
  <si>
    <t>เป้าหมายการลงทุน</t>
  </si>
  <si>
    <t>Yatırım odağı</t>
  </si>
  <si>
    <t>Tiêu điểm đầu tư</t>
  </si>
  <si>
    <t>投资重点</t>
  </si>
  <si>
    <t>&gt;投資重點</t>
  </si>
  <si>
    <t>tt_tick_value</t>
  </si>
  <si>
    <t>Tick Value</t>
  </si>
  <si>
    <t>قيمة أصغر حركة سعر</t>
  </si>
  <si>
    <t>Тик стойност</t>
  </si>
  <si>
    <t>Okamžitá hodnota (tick)</t>
  </si>
  <si>
    <t>Afkryds værdi</t>
  </si>
  <si>
    <t>Tick-Wert</t>
  </si>
  <si>
    <t>Αξία tick</t>
  </si>
  <si>
    <t>Valor por Tick</t>
  </si>
  <si>
    <t>Valitse arvo</t>
  </si>
  <si>
    <t>Valeur du tick</t>
  </si>
  <si>
    <t>टिक मूल्य</t>
  </si>
  <si>
    <t>Tick érték</t>
  </si>
  <si>
    <t>Nilai Tampilan</t>
  </si>
  <si>
    <t>Valore del tick</t>
  </si>
  <si>
    <t>סמן ערך</t>
  </si>
  <si>
    <t>ティッカーバリュー</t>
  </si>
  <si>
    <t>틱 가치</t>
  </si>
  <si>
    <t>Nilai Paparan</t>
  </si>
  <si>
    <t>Tickwaarde</t>
  </si>
  <si>
    <t>Kryss av verdi</t>
  </si>
  <si>
    <t>Wartość tika</t>
  </si>
  <si>
    <t>Valor de tick</t>
  </si>
  <si>
    <t>Valoarea Tick (Standard de Preț)</t>
  </si>
  <si>
    <t>Стоимость тика</t>
  </si>
  <si>
    <t>Zaškrtnite hodnotu</t>
  </si>
  <si>
    <t>Vrednost označite</t>
  </si>
  <si>
    <t>Tick vrednost</t>
  </si>
  <si>
    <t>Tick-värde</t>
  </si>
  <si>
    <t>ค่า Ticker</t>
  </si>
  <si>
    <t>Tick Değeri</t>
  </si>
  <si>
    <t>Giá trị tick</t>
  </si>
  <si>
    <t>交易纪录值</t>
  </si>
  <si>
    <t>i_followed_this_link_from_a_trusted_source</t>
  </si>
  <si>
    <t>I followed this link from a trusted source</t>
  </si>
  <si>
    <t>لقد إتبعتُ هذا الرابط عبر مصدر موثوق</t>
  </si>
  <si>
    <t>Последвах тази връзка от доверено място</t>
  </si>
  <si>
    <t>He seguit aquest enllaç des d\'una font de confiança</t>
  </si>
  <si>
    <t>Ich habe diesen Link aus einer vertrauenswürdigen Quelle erhalten</t>
  </si>
  <si>
    <t>Enlace desde una fuente de confianza</t>
  </si>
  <si>
    <t>J\'ai obtenu ce lien d\'une source de confiance</t>
  </si>
  <si>
    <t>Seguín esta ligazón desde unha fonte de confianza</t>
  </si>
  <si>
    <t>Egy megbízható forrásból követtem ezt a linket</t>
  </si>
  <si>
    <t>Ho seguito questo link da una fonte fidata</t>
  </si>
  <si>
    <t>信頼できるソースからこのリンクをたどりました</t>
  </si>
  <si>
    <t>신뢰할 수 있는 소스에서 해당 링크를 따라갑니다</t>
  </si>
  <si>
    <t>Ik heb deze link gevolgd vanuit een betrouwbare bron</t>
  </si>
  <si>
    <t>Trafiłem na ten link w zaufanym źródle</t>
  </si>
  <si>
    <t>Открывать ссылки из надёжного источника</t>
  </si>
  <si>
    <t>Jag följde denna länk från en trovärdig källa</t>
  </si>
  <si>
    <t>Я прослідував за цим посиланням від довіреного джерела</t>
  </si>
  <si>
    <t>我使用來源可信任的連結</t>
  </si>
  <si>
    <t>tt_edgar_dividend_per_share</t>
  </si>
  <si>
    <t>الأرباح للسهم الواحد</t>
  </si>
  <si>
    <t>Udbytte pr. aktie</t>
  </si>
  <si>
    <t>1口毎の配当金</t>
  </si>
  <si>
    <t>Dividend per aandeel</t>
  </si>
  <si>
    <t>Дивиденд на акцию</t>
  </si>
  <si>
    <t>Dividenda na delnico</t>
  </si>
  <si>
    <t>每股股利</t>
  </si>
  <si>
    <t>enable</t>
  </si>
  <si>
    <t>تفعيل</t>
  </si>
  <si>
    <t>Включване</t>
  </si>
  <si>
    <t>Habilita</t>
  </si>
  <si>
    <t>Engedélyez</t>
  </si>
  <si>
    <t>Aktifkan</t>
  </si>
  <si>
    <t>Attiva</t>
  </si>
  <si>
    <t>有効</t>
  </si>
  <si>
    <t>Inschakelen</t>
  </si>
  <si>
    <t>Ativar</t>
  </si>
  <si>
    <t>Укључи</t>
  </si>
  <si>
    <t>Задіяти</t>
  </si>
  <si>
    <t>Bật</t>
  </si>
  <si>
    <t>打開通知</t>
  </si>
  <si>
    <t>a_code_will_be_sent_to_SMS_shortly</t>
  </si>
  <si>
    <t>A code will be sent to SMS shortly</t>
  </si>
  <si>
    <t>KOBER KOMBANLARA SMS\'e gönderilecektir.</t>
  </si>
  <si>
    <t>verify_x</t>
  </si>
  <si>
    <t>Verify %s</t>
  </si>
  <si>
    <t>Потвърждаване на %s</t>
  </si>
  <si>
    <t>Überprüfe %s</t>
  </si>
  <si>
    <t>Verificar %s</t>
  </si>
  <si>
    <t>Vérifier %s</t>
  </si>
  <si>
    <t>Validar %s</t>
  </si>
  <si>
    <t>Ellenőrzés %s</t>
  </si>
  <si>
    <t>Verifica %s</t>
  </si>
  <si>
    <t>%s verifiëren</t>
  </si>
  <si>
    <t>Zweryfikuj %s</t>
  </si>
  <si>
    <t>tt_email</t>
  </si>
  <si>
    <t>third_ticker_line</t>
  </si>
  <si>
    <t>Third Ticker Line</t>
  </si>
  <si>
    <t>خط شريط التداول الثالث</t>
  </si>
  <si>
    <t>Трета тикер линия</t>
  </si>
  <si>
    <t>Třetí řádek tickeru</t>
  </si>
  <si>
    <t>Tredje Tickerlinje</t>
  </si>
  <si>
    <t>Dritte Tickerzeile</t>
  </si>
  <si>
    <t>Tercera línea de Ticker</t>
  </si>
  <si>
    <t>Kolmas tikkeririvi</t>
  </si>
  <si>
    <t>troisième ligne de symbole boursier</t>
  </si>
  <si>
    <t>तीसरी टिकर लाइन</t>
  </si>
  <si>
    <t>harmadik Ticker sor</t>
  </si>
  <si>
    <t>Garis Tie Ketiga</t>
  </si>
  <si>
    <t>La terza riga dei dati scorrevoli.</t>
  </si>
  <si>
    <t>קו טיקר שלישי</t>
  </si>
  <si>
    <t>3番目のティッカーライン</t>
  </si>
  <si>
    <t>세 번째 티커 줄</t>
  </si>
  <si>
    <t>Barisan Pengira Ketiga</t>
  </si>
  <si>
    <t>Derde Tickerlijn</t>
  </si>
  <si>
    <t>Tredje ticker-linje</t>
  </si>
  <si>
    <t>Trzecia linia tickera</t>
  </si>
  <si>
    <t>Terceira linha de Ticker</t>
  </si>
  <si>
    <t>A Treia Linie a Telegrafului</t>
  </si>
  <si>
    <t>Третья строка тикера</t>
  </si>
  <si>
    <t>Tretí riadok tickera</t>
  </si>
  <si>
    <t>Tretja linija Ticker</t>
  </si>
  <si>
    <t>Treća Tiker linija</t>
  </si>
  <si>
    <t>Tredje Ticker-rad</t>
  </si>
  <si>
    <t>Ticker แถวที่สาม</t>
  </si>
  <si>
    <t>Üçüncü Takip Ekranı Hattı</t>
  </si>
  <si>
    <t>Đường ticker thứ ba</t>
  </si>
  <si>
    <t>三个自动收报机纸条行</t>
  </si>
  <si>
    <t>tt_itunes_link</t>
  </si>
  <si>
    <t>The baha iPhone App is available for free in the &amp;amp;lt;a href=\"{1}\"&amp;amp;gt;App Store&amp;lt;/a&amp;amp;gt;.</t>
  </si>
  <si>
    <t>يتوفر تطبيق TeleTrader iPhone مجانًا على الرابط &amp;lt;a href=http://itunes.apple.com/en/app/teletrader/id430284508؟mt=8&amp;amp;ls=1&amp;gt; App Store &amp;lt;/a&amp;gt;.</t>
  </si>
  <si>
    <t>Приложението TeleTrader за iPhone е безплатно в &amp;amp; lt,a href=\"{1} \"&amp;amp; gt,App Store&amp;amp; lt,/a&amp;amp; gt,.</t>
  </si>
  <si>
    <t>Aplikace TeleTrader pro iPhone je k dispozici zdarma v &amp;amp;lt,a href=\"{1}\"&amp;amp;gt,App Store&amp;amp;lt,/a&amp;amp;gt,.</t>
  </si>
  <si>
    <t>TeleTrader iPhone-appen er tilgængelig gratis i &amp;amp;lt,a href=\"{1}\"&amp;amp;gt,App Store&amp;amp;lt,/a&amp;amp;gt,.</t>
  </si>
  <si>
    <t>Die baha iPhone App ist kostenlos im &amp;lt;a href=\"{1}\"&amp;gt;App Store&amp;lt;/a&amp;gt; verfügbar.</t>
  </si>
  <si>
    <t>Η εφαρμογή TeleTrader για iPhone διατίθεται δωρεάν στο &amp; lt,a href=\"{1} \"&amp; gt,App Store&amp; lt,/a&amp; gt,.</t>
  </si>
  <si>
    <t>La aplicación TeleTrader iPhone está disponible gratis en la tienda&amp;lt;/a&amp;gt; &amp;lt;a href=\"{1}\"&amp;gt;</t>
  </si>
  <si>
    <t>TeleTrader iPhone -sovellus on saatavana ilmaiseksi: &amp;lt,a href=\"{1}\"&amp;gt,App Store&amp;lt,/a&amp;gt,.</t>
  </si>
  <si>
    <t>Téléchargez gratuitement l\'application TeleTrader dans l\'App Store</t>
  </si>
  <si>
    <t>टेलीट्रेडर आईफ़ोन ऐप, &amp;lt,a href=\"{1}\"&amp;gt,App Store&amp;lt,/a&amp;gt,.में निःशुल्क उपलब्ध है।</t>
  </si>
  <si>
    <t>A TeleTrader iPhone App ingyenesen letölthető az &amp;lt;a href=\"{1}\"&amp;gt;App Store-ban&amp;lt;/a&amp;gt;.</t>
  </si>
  <si>
    <t>Aplikasi Iphone TeleTrader tersedia secara gratis di &amp;lt;a href={1}&amp;gt; App Store&amp;lt;/a&amp;gt;.</t>
  </si>
  <si>
    <t>TeleTrader iPhone app è disponibile in &amp;lt;a href=\"{1}\"&amp;gt;App Store&amp;lt;/a&amp;gt;.</t>
  </si>
  <si>
    <t>אפליקציית ה- iPhone של TeleTrader זמינה בחינם ב- &amp; lt,href=\"{1} \"&amp; gt,App Store&amp; lt,/a&amp; gt,.</t>
  </si>
  <si>
    <t>TeleTrader for iPhone は</t>
  </si>
  <si>
    <t>TeleTrader 아이폰 앱은 &amp;lt;a href=http://itunes.apple.com/en/app/teletrader/id430284508?mt=8&amp;amp;ls=1&amp;gt;앱 스토어&amp;lt;/a&amp;gt;에서 무료로 이용할 수 있습니다.</t>
  </si>
  <si>
    <t>Aplikasi TeleTrader iPhone boleh didapati secara percuma di &amp;lt;a href={1}&amp;gt; App Store&amp;lt;/a&amp;gt;.</t>
  </si>
  <si>
    <t>De Teletrader App is gratis verkrijgbaar in de &amp;lt;a href=\"{1}\"&amp;gt;App Store&amp;lt;/a&amp;gt;.</t>
  </si>
  <si>
    <t>TeleTrader iPhone-appen er tilgjengelig gratis i &amp; lt,a href=\"{1} \"&amp; gt,App Store&amp; lt,/a&amp; gt,.</t>
  </si>
  <si>
    <t>Aplikacja TeleTrader jest dostępna za darmo w iPhone App Store &amp;lt; a href=\"{1}\"&amp;gt;</t>
  </si>
  <si>
    <t>O TeleTrader iPhone App está disponível gratuitamente no</t>
  </si>
  <si>
    <t>Aplicația TeleTrader pentru iPhone este disponibilă gratuit în &amp;lt,a href=\"{1}\"&amp;gt,App Store&amp;lt,/a&amp;gt,.</t>
  </si>
  <si>
    <t>Бесплатное приложение baha для Iphone доступно в &amp;lt;a href=\"{1}\"&amp;gt;App Store&amp;lt;/a&amp;gt;.</t>
  </si>
  <si>
    <t>Aplikácia TeleTrader pre iPhone je dostupná zadarmo v &amp;lt,a href=\"{1}\"&amp;gt,App Store&amp;lt,/a&amp;gt,.</t>
  </si>
  <si>
    <t>Aplikacija TeleTrader iPhone je na voljo brezplačno v &amp; lt, a href=\"{1} \"&gt; App Store&amp; lt,/a&amp; gt ,.</t>
  </si>
  <si>
    <t>TeleTrader iPhone App se besplatno može preuzeti u &amp;lt;a href=\"{1}\"&amp;gt;App Store&amp;lt;/a&amp;gt;.</t>
  </si>
  <si>
    <t>TeleTrader iPhone App är gratis i &amp;amp;lt,a href=\"{1}\"&amp;amp;gt,App Store&amp;amp;lt,/a&amp;amp;gt,.</t>
  </si>
  <si>
    <t>ใช้งานแอป TeleTrader สำหรับ iPhone ฟรีได้ที่ &amp;lt,a href=\"{1}\"&amp;gt,App Store&amp;lt,/a&amp;gt,.</t>
  </si>
  <si>
    <t>TeleTrader iPhone Uygulaması ücretsiz olarak kullanılabilir &amp;lt;a href=http://itunes.apple.com/en/app/teletrader/id430284508?mt=8&amp;amp;ls=1&amp;gt;App Store&amp;lt;/a&amp;gt;</t>
  </si>
  <si>
    <t>Ứng dụng TeleTrader iPhone được cung cấp miễn phí tại &amp;lt,a href=\"{1}\"&amp;gt,App Store&amp;lt,/a&amp;gt,.</t>
  </si>
  <si>
    <t>TeleTrader的iPhone免费应用程式&amp;lt;a href="http://itunes.apple.com/en/app/teletrader/id430284508?mt=8&amp;amp;ls=1"&amp;gt;App Store&amp;lt;/a&amp;gt;.</t>
  </si>
  <si>
    <t>&amp;gt;App Store&amp;lt;/a&amp;gt;.&lt;/string&gt;</t>
  </si>
  <si>
    <t>opinion_notification_enabled</t>
  </si>
  <si>
    <t>Opinion articles notifications</t>
  </si>
  <si>
    <t>Mening om artikelunderratninger</t>
  </si>
  <si>
    <t>Benachrichtigungen für Gastkommentare</t>
  </si>
  <si>
    <t>Notificaciones de artículos de opinión</t>
  </si>
  <si>
    <t>Mielipideartikkeleiden ilmoitukset</t>
  </si>
  <si>
    <t>Notifications des articles d’opinion</t>
  </si>
  <si>
    <t>Értesítés véleménycikkekről</t>
  </si>
  <si>
    <t>Notifikasi artikel opini</t>
  </si>
  <si>
    <t>Notifiche degli articoli con le opinioni</t>
  </si>
  <si>
    <t>意見記事通知</t>
  </si>
  <si>
    <t>의견 글 통보</t>
  </si>
  <si>
    <t>Pemberitahuan artikel pendapat</t>
  </si>
  <si>
    <t>Meldingen over opiniërende artikelen</t>
  </si>
  <si>
    <t>Varsler om meningsartikler</t>
  </si>
  <si>
    <t>Powiadomienia o artykułach z opiniami</t>
  </si>
  <si>
    <t>Notificações dos artigos de opinião</t>
  </si>
  <si>
    <t>Уведомления о статьях-мнениях</t>
  </si>
  <si>
    <t>Dozvoli notifikacije o mišljenjima</t>
  </si>
  <si>
    <t>Aviseringar om debattartiklar</t>
  </si>
  <si>
    <t>Makale Bildirimleri</t>
  </si>
  <si>
    <t>观点类文章通知</t>
  </si>
  <si>
    <t>mtm_trust_anchor</t>
  </si>
  <si>
    <t>The server certificate is not signed by a known Certificate Authority.</t>
  </si>
  <si>
    <t>إنّ شهادة الخادوم غير مُوقَّعَة مِن طرف هيئة شهادات معروفة.</t>
  </si>
  <si>
    <t>Сървърният сертификат не е подписан от познат център за сертификация.</t>
  </si>
  <si>
    <t>El certificat del servidor no està signat per una autoritat de certificació coneguda.</t>
  </si>
  <si>
    <t>Das Serverzertifikat wurde nicht von einer bekannten Zertifizierungsstelle signiert.</t>
  </si>
  <si>
    <t>El certificado del servidor no está firmado por una Autoridad Certificadora conocida.</t>
  </si>
  <si>
    <t>Le certificat du serveur n\'est pas signé par une Autorité de Certification connue.</t>
  </si>
  <si>
    <t>O certificado do servidor non está asinado por unha autoridade de certificación coñecida.</t>
  </si>
  <si>
    <t>A szervertanúsítványt nem írta alá ismert Tanúsító Hatóság.</t>
  </si>
  <si>
    <t>Il certificato del server non è firmato da una Certificate Authority nota.</t>
  </si>
  <si>
    <t>Het servercertificaat is niet ondertekend door een gekende certificaatautoriteit.</t>
  </si>
  <si>
    <t>Certyfikat serwera nie jest podpisany przez znany Urząd Certyfikacji</t>
  </si>
  <si>
    <t>tt_pf_fee</t>
  </si>
  <si>
    <t>Fees</t>
  </si>
  <si>
    <t>الرسوم</t>
  </si>
  <si>
    <t>Такси</t>
  </si>
  <si>
    <t>Poplatky</t>
  </si>
  <si>
    <t>Gebyrer</t>
  </si>
  <si>
    <t>Spesen</t>
  </si>
  <si>
    <t>Αμοιβές</t>
  </si>
  <si>
    <t>Comisiones</t>
  </si>
  <si>
    <t>Palkkiot</t>
  </si>
  <si>
    <t>Commissions</t>
  </si>
  <si>
    <t>शुल्क</t>
  </si>
  <si>
    <t>Díjak</t>
  </si>
  <si>
    <t>pembayaran</t>
  </si>
  <si>
    <t>Commissioni</t>
  </si>
  <si>
    <t>עמלות</t>
  </si>
  <si>
    <t>手数料</t>
  </si>
  <si>
    <t>수수료</t>
  </si>
  <si>
    <t>Bayaran</t>
  </si>
  <si>
    <t>Kosten</t>
  </si>
  <si>
    <t>Avgifter</t>
  </si>
  <si>
    <t>Opłaty</t>
  </si>
  <si>
    <t>Honorários</t>
  </si>
  <si>
    <t>Taxe</t>
  </si>
  <si>
    <t>Комиссии</t>
  </si>
  <si>
    <t>Pristojbine</t>
  </si>
  <si>
    <t>Provizija</t>
  </si>
  <si>
    <t>ค่าธรรมเนียม</t>
  </si>
  <si>
    <t>Harçlar</t>
  </si>
  <si>
    <t>Phí</t>
  </si>
  <si>
    <t>费用</t>
  </si>
  <si>
    <t>&gt;費用</t>
  </si>
  <si>
    <t>request_presence_updates</t>
  </si>
  <si>
    <t>Please request presence updates from your contact first.\n\n</t>
  </si>
  <si>
    <t>Моля, първо помолете контакта за актуализации на присъствието му.\n\n</t>
  </si>
  <si>
    <t>Si us plau, primer sol·liciteu les actualitzacions de presència del contacte.\n\n</t>
  </si>
  <si>
    <t xml:space="preserve">Nejprve požádejte o aktualizace přítomnosti z vašeho kontaktu.
</t>
  </si>
  <si>
    <t>Bitte erst Online-Status vom Kontakt anfragen.\n\n</t>
  </si>
  <si>
    <t>Por favor, solicita la suscripción de presencia a tu contacto primero.\n\n</t>
  </si>
  <si>
    <t>Veuillez demander à votre contact de partager ses mises à jour de disponibilité.\n\n</t>
  </si>
  <si>
    <t>Por favor, primeiro solicite actualizacións de presencia ao seu contacto.\n\n</t>
  </si>
  <si>
    <t>Kérlek, kérd először az állapot frissítéseket az ismerősödtől.\n\n</t>
  </si>
  <si>
    <t>Silakan meminta pembaruan kehadiran dari kontak Anda lebih dulu.\n\n</t>
  </si>
  <si>
    <t>Richiedi gli aggiornamenti della presenza dal tuo contatto.\n\n</t>
  </si>
  <si>
    <t>最初に連絡先から参加アップデートを要求してください。\n\n</t>
  </si>
  <si>
    <t>먼저 연락처로부터 프레즌스 업데이트를 요청하세요. 이는 당신의 연락처가 어떤 클라이언트를 사용하는지 결정하는 데 사용됩니다.</t>
  </si>
  <si>
    <t>Vraag eerst aanwezigheidsupdates van je contact aan.\n\n</t>
  </si>
  <si>
    <t>Poproś kontakt o udostępnienie powiadomień o obecności.\n\n</t>
  </si>
  <si>
    <t>Por favor peça atualizações de presença ao seu contacto primeiro.\n\n</t>
  </si>
  <si>
    <t>Пожалуйста, прежде запросите обновления присутствия у вашего собеседника.\n\n</t>
  </si>
  <si>
    <t>Najskôr si, prosím, vyžiadajte povolenie o zasielanie zmien stavu kontaktu.\n\n</t>
  </si>
  <si>
    <t>Најпре захтевајте ажурирање присутности од вашег контакта.\n\n</t>
  </si>
  <si>
    <t>Begär tillgänglighetsuppdateringar från din kontakt först.\n\n</t>
  </si>
  <si>
    <t>Будь ласка, спершу надішліть запит на оновлення пристуності від Вашого контакта.\n\n</t>
  </si>
  <si>
    <t>Xin yêu cầu cập nhật hiện diện từ liên hệ của bạn trước.\n\n</t>
  </si>
  <si>
    <t>請先發送更新線上連絡人的請求。\n\n&lt;small以判斷您的連絡人所用的用戶端類型。&lt;/small</t>
  </si>
  <si>
    <t>tt_missing_phone_prefix</t>
  </si>
  <si>
    <t>Please enter your phone prefix.</t>
  </si>
  <si>
    <t>Bitte geben Sie Ihre Telefon-Vorwahl ein.</t>
  </si>
  <si>
    <t>Por favor introduce tu prefijo telefónico</t>
  </si>
  <si>
    <t>Entrez votre préfixe téléphonique.</t>
  </si>
  <si>
    <t>Kérem adja meg az országhívószámot.</t>
  </si>
  <si>
    <t>Пожалуйста, введите телефонный код.</t>
  </si>
  <si>
    <t>Molimo vas unesite vaš prefiks telefona.</t>
  </si>
  <si>
    <t>Lütfen telefon öneki\'nizi girin.</t>
  </si>
  <si>
    <t>imported_portfolios_symbols</t>
  </si>
  <si>
    <t>Imported _1_ portfolios, _2_ symbols.\nImported _3_ watchlists, _4_ symbols.</t>
  </si>
  <si>
    <t>تم استيراد _1_ محفظة، _2_ رمز.\nتم استيراد _3_ قوائم متابعة و_4_ رمز.</t>
  </si>
  <si>
    <t>Импортирани _1_ портфолиа, _2_ символи.\ nИмпортирани _3_ уочлисти, _4_ символи.</t>
  </si>
  <si>
    <t>Importované _1_ portfolia, _2_ symboly.\nImportované _3_ seznamy sledovaných, _4_ symboly.</t>
  </si>
  <si>
    <t>Importerede _1_-porteføljer, _2_ symboler.\NImporterede _3_ overvågningslister, _4_ symboler.</t>
  </si>
  <si>
    <t>_1_ Portfolios mit _2_ Symbolen importiert.\n _3_ Kurslisten mit _4_ Symbolen importiert.</t>
  </si>
  <si>
    <t>Εισαγόμενα _1_ χαρτοφυλάκια, _2_ σύμβολα.\nΕισαγόμενα _3_ λίστες παρακολούθησης, _4_ σύμβολα.</t>
  </si>
  <si>
    <t>_1_ Carteras con _2_ símbolos importados.\n _3_ Listas de seguimiento con _4_ símbolos importadas.</t>
  </si>
  <si>
    <t>Tuodut _1_ salkut, _2_ symbolit.\ ntuodut _3_ tarkkailulistat, _4_ symbolit.</t>
  </si>
  <si>
    <t>_1_ portefeuille, _2_ symboles importés \n _3_ listes personnelles, _4_ symboles importés</t>
  </si>
  <si>
    <t>इम्पोर्ट किया हुआ_1_ पोर्टफोलियो, _2_ प्रतीक.\ n इम्पोर्ट किया हुआ_3_वॉचलिस्टें, _4_ प्रतीक।</t>
  </si>
  <si>
    <t>Importált _1_ portfóliók, _2_ szimbólumok.\nImportált _3_ figyelőlista, _4_ szimbólumok.</t>
  </si>
  <si>
    <t>Portfolio _1_ yang diimport, _2_ simbol.\nDaftar pantau _3_ yang diimport, _4_ simbol.</t>
  </si>
  <si>
    <t>Importato _1_portafoglio, _2_simboli.\nImportato_3_watchliste,_4_simboli.</t>
  </si>
  <si>
    <t>תיקי השקעות _1_ מיובאים, _2_ סמלים.\ N מיובאים _3_ רשימות מעקב, _4_ סמלים.</t>
  </si>
  <si>
    <t>포트폴리오 _1_개, 기호 _2_개를 가져왔습니다.\n보기목록 _3_개, 기호 _4_개를 가져왔습니다.</t>
  </si>
  <si>
    <t>Portfolio _1_ yang diimport, _2_ simbol.\nSenarai pantau _3_ yang diimport, _4_ simbol.</t>
  </si>
  <si>
    <t>Geïmporteerd _1_ portefeuilles, _2_ symbolen. \nGeïmporteerd _3_ Favorieten, _4_ Symbolen.</t>
  </si>
  <si>
    <t>Importerte _1_ porteføljer, _2_ symboler.\ N Importerte _3_ overvåkningslister, _4_ symboler.</t>
  </si>
  <si>
    <t>Zaimportowane _1_ portfele, _2_ symbole.\n Zaimportowane _3_ listy instrumentów obserwowanych, _4_ symbole</t>
  </si>
  <si>
    <t>Importados _1_ carteiras, _2_ símbolos.\nImportados _3_ listas de visualização, _4_ símbolos.</t>
  </si>
  <si>
    <t>Importate _1_ portofolii, _2_simboluri.\nImportate _3_ liste de urmărire, _4_ simboluri.</t>
  </si>
  <si>
    <t>Импортировано _1_ портфель, _2_ символа.\nИмпортировано _3_ списка наблюдения, _4_ символа.</t>
  </si>
  <si>
    <t>Importované _1_ portfóliá, _2_ symboly.\nimportované _3_ sledované zoznamy, _4_ symboly.</t>
  </si>
  <si>
    <t>Uvoženi _1_ portfelji, _2_ simboli.\ uvoženi _3_ seznami ogledov, _4_ simboli.</t>
  </si>
  <si>
    <t>Uvezeno _1_ portfolija, _2_ symbola.\nUvezeno _3_ watchlista, _4_ symbola.</t>
  </si>
  <si>
    <t>นำเข้า _1_ พอร์ต _2_ ชื่อย่อหลักทรัพย์แล้ว \นำเข้า _3_ รายการหุ้นที่ติดตาม _4_ ชื่อย่อหลักทรัพย์แล้ว</t>
  </si>
  <si>
    <t>Danh mục đầu tư _1_ đã nhập, _2_ công cụ.\nDanh mục theo dõi _3_ đã nhập, _4_ công cụ.</t>
  </si>
  <si>
    <t>已输出_1_种投资组合、_2_项符号、_3_项收藏夹、_4_项标记</t>
  </si>
  <si>
    <t>&gt;已輸出_1_種投資組合,_2_項符號, _3_項收藏夾,_4_項標記</t>
  </si>
  <si>
    <t>tt_ask</t>
  </si>
  <si>
    <t>Ask</t>
  </si>
  <si>
    <t>طلب</t>
  </si>
  <si>
    <t>Продажба</t>
  </si>
  <si>
    <t>Poptávka</t>
  </si>
  <si>
    <t>Spørg</t>
  </si>
  <si>
    <t>Brief</t>
  </si>
  <si>
    <t>Ζήτηση</t>
  </si>
  <si>
    <t>Kysy</t>
  </si>
  <si>
    <t>Vente</t>
  </si>
  <si>
    <t>पूछें</t>
  </si>
  <si>
    <t>Tanya</t>
  </si>
  <si>
    <t>買</t>
  </si>
  <si>
    <t>매도가격</t>
  </si>
  <si>
    <t>Vraag</t>
  </si>
  <si>
    <t>Etterspørsel</t>
  </si>
  <si>
    <t>Sprzedaż</t>
  </si>
  <si>
    <t>Cere</t>
  </si>
  <si>
    <t>Запрос</t>
  </si>
  <si>
    <t>Opýtať sa</t>
  </si>
  <si>
    <t>Vprašajte</t>
  </si>
  <si>
    <t>Ponuda</t>
  </si>
  <si>
    <t>Fråga</t>
  </si>
  <si>
    <t>ราคาเสนอขาย</t>
  </si>
  <si>
    <t>Sor</t>
  </si>
  <si>
    <t>account_status_no_internet</t>
  </si>
  <si>
    <t>No connectivity</t>
  </si>
  <si>
    <t>تحقق من اتصالك بالانترنت</t>
  </si>
  <si>
    <t>Няма връзка</t>
  </si>
  <si>
    <t>Sense connectivitat</t>
  </si>
  <si>
    <t>Keine Internetverbindung</t>
  </si>
  <si>
    <t>Sin conectividad</t>
  </si>
  <si>
    <t>Aucune connectivité</t>
  </si>
  <si>
    <t>Sen conectividade</t>
  </si>
  <si>
    <t>Nincs kapcsolat</t>
  </si>
  <si>
    <t>Tidak ada koneksi</t>
  </si>
  <si>
    <t>Connettività assente</t>
  </si>
  <si>
    <t>接続エラー</t>
  </si>
  <si>
    <t>접속할 수 없음</t>
  </si>
  <si>
    <t>Geen verbinding</t>
  </si>
  <si>
    <t>Brak połączenia</t>
  </si>
  <si>
    <t>Sem conectividade</t>
  </si>
  <si>
    <t>Нет подключения к сети</t>
  </si>
  <si>
    <t>Žiadne pripojenie</t>
  </si>
  <si>
    <t>Нема везе</t>
  </si>
  <si>
    <t>Ingen anslutning</t>
  </si>
  <si>
    <t>Немає зв\'язку із мережею</t>
  </si>
  <si>
    <t>Không có kết nối mạng</t>
  </si>
  <si>
    <t>未連接網路</t>
  </si>
  <si>
    <t>title_activity_about_x</t>
  </si>
  <si>
    <t>About %s</t>
  </si>
  <si>
    <t>Относно %s</t>
  </si>
  <si>
    <t>Sobre 1%s</t>
  </si>
  <si>
    <t>Über %s</t>
  </si>
  <si>
    <t>Acerca de %s</t>
  </si>
  <si>
    <t>Róla: %s</t>
  </si>
  <si>
    <t>Informazioni su %s</t>
  </si>
  <si>
    <t>Over %s</t>
  </si>
  <si>
    <t>O %s</t>
  </si>
  <si>
    <t>trending_page_name</t>
  </si>
  <si>
    <t>Trending</t>
  </si>
  <si>
    <t>مشهور حاليا</t>
  </si>
  <si>
    <t>Тенденции</t>
  </si>
  <si>
    <t>Trendy</t>
  </si>
  <si>
    <t>Tendens</t>
  </si>
  <si>
    <t>Τάσεις</t>
  </si>
  <si>
    <t>Tendencias</t>
  </si>
  <si>
    <t>Nousussa</t>
  </si>
  <si>
    <t>Tendance</t>
  </si>
  <si>
    <t>ट्रेडिंग</t>
  </si>
  <si>
    <t>Felkapott</t>
  </si>
  <si>
    <t>Popular</t>
  </si>
  <si>
    <t>מגמות</t>
  </si>
  <si>
    <t>トレンディング</t>
  </si>
  <si>
    <t>인기 목록</t>
  </si>
  <si>
    <t>Tersohor</t>
  </si>
  <si>
    <t>Trender</t>
  </si>
  <si>
    <t>Tendências</t>
  </si>
  <si>
    <t>Tendință</t>
  </si>
  <si>
    <t>Актуальное</t>
  </si>
  <si>
    <t>Vývoj situácie</t>
  </si>
  <si>
    <t>Trendi</t>
  </si>
  <si>
    <t>Trendar</t>
  </si>
  <si>
    <t>กำลังมาแรง</t>
  </si>
  <si>
    <t>Popüler</t>
  </si>
  <si>
    <t>Xu hướng</t>
  </si>
  <si>
    <t>热门话题</t>
  </si>
  <si>
    <t>india</t>
  </si>
  <si>
    <t>India</t>
  </si>
  <si>
    <t>Indien</t>
  </si>
  <si>
    <t>Inde</t>
  </si>
  <si>
    <t>Индия</t>
  </si>
  <si>
    <t>Indija</t>
  </si>
  <si>
    <t>samoa</t>
  </si>
  <si>
    <t>Samoa</t>
  </si>
  <si>
    <t>Самоа</t>
  </si>
  <si>
    <t>tokelau</t>
  </si>
  <si>
    <t>Tokelau</t>
  </si>
  <si>
    <t>Tokélaou</t>
  </si>
  <si>
    <t>Токелау</t>
  </si>
  <si>
    <t>tt_pf_numofshares_error</t>
  </si>
  <si>
    <t>Invalid number for shares!</t>
  </si>
  <si>
    <t>رقم غير صالح للأسهم!</t>
  </si>
  <si>
    <t>Невалиден номер за акции!</t>
  </si>
  <si>
    <t>Neplatný počet pro podílové akcie!</t>
  </si>
  <si>
    <t>Ugyldigt tal for aktier!</t>
  </si>
  <si>
    <t>Ungültige Anzahl!</t>
  </si>
  <si>
    <t>Μη έγκυρος αριθμός για μετοχές!</t>
  </si>
  <si>
    <t>¡Número no válido para las acciones!</t>
  </si>
  <si>
    <t>Virheellinen osakkeiden numero!</t>
  </si>
  <si>
    <t>Veuillez entrer un nombre d\'actions valide</t>
  </si>
  <si>
    <t>शेयरों के लिए अमान्य संख्या!</t>
  </si>
  <si>
    <t>Description for error when (pfNumOfShares &amp;lt;= 0) or (pfNumOfShares &amp;gt;= 1000000000)</t>
  </si>
  <si>
    <t>Nomor yang tidak valid untuk saham!</t>
  </si>
  <si>
    <t>Numero non valido per i titoli</t>
  </si>
  <si>
    <t>מספר לא חוקי למניות!</t>
  </si>
  <si>
    <t>無効な口数です</t>
  </si>
  <si>
    <t>유효하지 않은 주식 숫자입니다!</t>
  </si>
  <si>
    <t>Nombor yang tidak sah untuk saham!</t>
  </si>
  <si>
    <t>Ongeldig getal voor aandelen!</t>
  </si>
  <si>
    <t>Ugyldig antall for aksjer!</t>
  </si>
  <si>
    <t>Nieprawidłowa liczba dla akcji!</t>
  </si>
  <si>
    <t>Número inválido para as ações</t>
  </si>
  <si>
    <t>Număr nevalid de acțiuni!</t>
  </si>
  <si>
    <t>Число акций указано неверно!</t>
  </si>
  <si>
    <t>Neplatný počet akcií!</t>
  </si>
  <si>
    <t>Neveljavna številka za delnice!</t>
  </si>
  <si>
    <t>Opis greške kad (pfNumOfShares &amp;lt;= 0) or (pfNumOfShares &amp;gt;= 1000000000)</t>
  </si>
  <si>
    <t>Ogiltigt antal aktier!</t>
  </si>
  <si>
    <t>หมายเลขหุ้นไม่ถูกต้อง</t>
  </si>
  <si>
    <t>Hisseler için geçersiz sayı!</t>
  </si>
  <si>
    <t>Số lượng không hợp lệ cho cổ phiếu!</t>
  </si>
  <si>
    <t>股票数目不正确</t>
  </si>
  <si>
    <t>&gt;股票數目不正確</t>
  </si>
  <si>
    <t>silent_messages_channel_description</t>
  </si>
  <si>
    <t>This notification group is used to display notifications that should not trigger any sound. For example when being active on another device (Grace Period).</t>
  </si>
  <si>
    <t>Тази категория известия се използва за показване на известия, които не бива да изпълняват звук. Това може да се използва, например, докато използвате друго устройство (по време на Период на пренебрегване).</t>
  </si>
  <si>
    <t>Diese Benachrichtigungsart wird verwendet, um Benachrichtigungen anzuzeigen, die keinen Ton auslösen sollen. Zum Beispiel, wenn du auf einem anderen Gerät aktiv bist (Schonfrist).</t>
  </si>
  <si>
    <t>Este grupo de notificaciones se usa para mostrar notificaciones que no deberían emitir ningún sonido. Por ejemplo, cuando estás activo en otro dispositivo (periodo de gracia).</t>
  </si>
  <si>
    <t>Ce groupe de notifications est utilisé pour afficher les notifications qui ne doivent pas émettre de son. Par exemple, lorsque le son est activé sur un autre appareil (délai de grâce).</t>
  </si>
  <si>
    <t>Este grupo de notificacións é utilizado para mostrar notificacións que non debería activar ningún son. Por exemplo, cando está activo en outro dispositivo (Período de Graza).</t>
  </si>
  <si>
    <t>Ez az értesítési csoport olyan értesítéseket jelenít meg, amelyek nem okozhatnak hangot. Például amikor egy másik eszközön aktív (Türelmi idő).</t>
  </si>
  <si>
    <t>Questo gruppo di notifiche è usato per mostrare notifiche che non devono riprodurre alcun suono. Ad esempio mentre si è attivi su un altro dispositivo (Periodo di grazia).</t>
  </si>
  <si>
    <t>Deze meldingscategorie wordt gebruikt om meldingen weer te geven die geen geluid mogen maken. Bijvoorbeeld, indien actief op een ander apparaat (uitstelperiode).</t>
  </si>
  <si>
    <t>Ta kategoria powiadomień jest używana aby wyświetlać powiadomienia które nie powodują żadnych dźwięków. Na przykład w ciągu aktywności na innym urządzeniu (okres karencji).</t>
  </si>
  <si>
    <t>tt_edgar_revenues</t>
  </si>
  <si>
    <t>Revenues</t>
  </si>
  <si>
    <t>العائدات</t>
  </si>
  <si>
    <t>Постъпления</t>
  </si>
  <si>
    <t>Výnosy</t>
  </si>
  <si>
    <t>Indtægter</t>
  </si>
  <si>
    <t>Umsatzerlöse</t>
  </si>
  <si>
    <t>Έσοδα</t>
  </si>
  <si>
    <t>Ingresos</t>
  </si>
  <si>
    <t>Tulot</t>
  </si>
  <si>
    <t>Revenus</t>
  </si>
  <si>
    <t>राजस्व</t>
  </si>
  <si>
    <t>הכנסות</t>
  </si>
  <si>
    <t>収益</t>
  </si>
  <si>
    <t>수익</t>
  </si>
  <si>
    <t>Opbrengsten</t>
  </si>
  <si>
    <t>Inntekter</t>
  </si>
  <si>
    <t>Receitas</t>
  </si>
  <si>
    <t>Venituri</t>
  </si>
  <si>
    <t>Доходы</t>
  </si>
  <si>
    <t>Prihodki</t>
  </si>
  <si>
    <t>Prihodi</t>
  </si>
  <si>
    <t>Intäkter</t>
  </si>
  <si>
    <t>รายรับ</t>
  </si>
  <si>
    <t>Gelirler</t>
  </si>
  <si>
    <t>Doanh thu</t>
  </si>
  <si>
    <t>收入</t>
  </si>
  <si>
    <t>no_application_found_to_view_contact</t>
  </si>
  <si>
    <t>No application found to view contact</t>
  </si>
  <si>
    <t>Няма намерено приложение за преглед на контакта</t>
  </si>
  <si>
    <t>No s\'ha trobat cap aplicació per veure el contacte</t>
  </si>
  <si>
    <t>Keine Anwendung zum Anzeigen des Kontaktes gefunden</t>
  </si>
  <si>
    <t>No se ha encontrado aplicación para ver el contacto</t>
  </si>
  <si>
    <t>Aucune application trouvée pour afficher le contact</t>
  </si>
  <si>
    <t>Non se atopou aplicación para ver o contacto</t>
  </si>
  <si>
    <t>A névjegy megtekintéséhez nincs alkalmazás</t>
  </si>
  <si>
    <t>Nessuna applicazione trovata per vedere il contatto</t>
  </si>
  <si>
    <t>Geen applicatie om contact weer te geven</t>
  </si>
  <si>
    <t>Brak aplikacji która może wyświetlić kontakt</t>
  </si>
  <si>
    <t>Não foi encontrada nenhuma aplicação para mostrar o contacto</t>
  </si>
  <si>
    <t>Не найдено приложения для просмотра контакта</t>
  </si>
  <si>
    <t>Нема апликације за приказ контакта</t>
  </si>
  <si>
    <t>preparing_images</t>
  </si>
  <si>
    <t>Preparing images for transmission</t>
  </si>
  <si>
    <t>إعداد الصور للإرسال</t>
  </si>
  <si>
    <t>Подготовка на изображенията за изпращане</t>
  </si>
  <si>
    <t>S\'estan preparant les imatges per enviar</t>
  </si>
  <si>
    <t>Bilder werden für Übertragung vorbereitet</t>
  </si>
  <si>
    <t>Preparando imágenes para enviar</t>
  </si>
  <si>
    <t>Préparation des images à l\'envoi</t>
  </si>
  <si>
    <t>Preparando as imaxes para transmitilas</t>
  </si>
  <si>
    <t>Képek előkészítése az átvitelhez</t>
  </si>
  <si>
    <t>Preparazione immagini per la trasmissione</t>
  </si>
  <si>
    <t>Bezig met voorbereiden van versturen van afbeeldingen</t>
  </si>
  <si>
    <t>Przygotowywanie obrazów do wysłania</t>
  </si>
  <si>
    <t>Preparando as imagens para a transmissão</t>
  </si>
  <si>
    <t>Подготовка изображений для передачи</t>
  </si>
  <si>
    <t>Припремам слике за пренос</t>
  </si>
  <si>
    <t>Förbereder bilder för överföring</t>
  </si>
  <si>
    <t>Підготовка зображень до передачі</t>
  </si>
  <si>
    <t>正在傳輸圖像</t>
  </si>
  <si>
    <t>download_failed_could_not_write_file</t>
  </si>
  <si>
    <t>Download failed: Could not write file</t>
  </si>
  <si>
    <t>فشل التنزيل : لا يمكن كتابة الملف</t>
  </si>
  <si>
    <t>Неуспешно сваляне: Файлът не може да бъде записан</t>
  </si>
  <si>
    <t>S\'ha produït un error en la baixada: no s\'ha pogut escriure el fitxer</t>
  </si>
  <si>
    <t>Download fehlgeschlagen: Datei konnte nicht gespeichert werden</t>
  </si>
  <si>
    <t>Falló la descarga: No se puede escribir el fichero</t>
  </si>
  <si>
    <t>Échec du téléchargement : Écriture impossible</t>
  </si>
  <si>
    <t>Fallou a descarga: non se escribeu o ficheiro</t>
  </si>
  <si>
    <t>Letöltés sikertelen: a fájl írása meghiúsult</t>
  </si>
  <si>
    <t>Scaricamento fallito: scrittura del file impossibile</t>
  </si>
  <si>
    <t>ダウンロードに失敗しました: ファイルに書き込みできません</t>
  </si>
  <si>
    <t>다운로드 실패: 파일을 쓸 수 없습니다</t>
  </si>
  <si>
    <t>Download mislukt: kon bestand niet schrijven</t>
  </si>
  <si>
    <t>Pobieranie niepowiodło się: brak możliwości zapisu pliku</t>
  </si>
  <si>
    <t>Transferência falhou: Não foi possível escrever o ficheiro</t>
  </si>
  <si>
    <t>Загрузка не удалась: ошибка записи файла</t>
  </si>
  <si>
    <t>Преузимање није успело: не могох да упишем фајл</t>
  </si>
  <si>
    <t>Nerladdning gick fel: Kunde inte skriva fil</t>
  </si>
  <si>
    <t>Завантаження не вдалося: Не зміг записати файл</t>
  </si>
  <si>
    <t>下載失敗：無法寫入檔案</t>
  </si>
  <si>
    <t>account_status_connecting</t>
  </si>
  <si>
    <t>Connecting\u2026</t>
  </si>
  <si>
    <t>جاري الإتصال\u2026</t>
  </si>
  <si>
    <t>Свързване\u2026</t>
  </si>
  <si>
    <t>S\'està connectant\u2026</t>
  </si>
  <si>
    <t>Verbinde…</t>
  </si>
  <si>
    <t>Conectando\u2026</t>
  </si>
  <si>
    <t>Connexion\u2026</t>
  </si>
  <si>
    <t>Kapcsolódás\u2026</t>
  </si>
  <si>
    <t>Menghubungkan\u2026</t>
  </si>
  <si>
    <t>In connessione\u2026</t>
  </si>
  <si>
    <t>接続中\u2026</t>
  </si>
  <si>
    <t>접속중\u2026</t>
  </si>
  <si>
    <t>Verbinden\u2026</t>
  </si>
  <si>
    <t>Łączenie...</t>
  </si>
  <si>
    <t>Соединение\u2026</t>
  </si>
  <si>
    <t>Pripájam\u2026</t>
  </si>
  <si>
    <t>Повезивање\u2026</t>
  </si>
  <si>
    <t>Ansluter\u2026</t>
  </si>
  <si>
    <t>Підключення\u2026</t>
  </si>
  <si>
    <t>Đang kết nối\u2026</t>
  </si>
  <si>
    <t>連接中\u2026</t>
  </si>
  <si>
    <t>something_went_wrong_processing_your_request</t>
  </si>
  <si>
    <t>Something went wrong processing your request.</t>
  </si>
  <si>
    <t>Нещо се обърка при обработването на заявката Ви.</t>
  </si>
  <si>
    <t>Etwas ist bei der Bearbeitung deiner Anfrage schief gelaufen.</t>
  </si>
  <si>
    <t>Algo fue mal procesando tu solicitud.</t>
  </si>
  <si>
    <t>Algo fallou ao xestionar a súa solicitude.</t>
  </si>
  <si>
    <t>Valami hiba történt a kérelem feldolgozása során.</t>
  </si>
  <si>
    <t>Qualcosa è andato storto elaborando la tua richiesta.</t>
  </si>
  <si>
    <t>要求の処理中に、何か問題が発生しました。</t>
  </si>
  <si>
    <t>Er is iets misgegaan tijdens het verwerken van je verzoek.</t>
  </si>
  <si>
    <t>Wystąpił błąd przy przetwarzaniu twojego żądania.</t>
  </si>
  <si>
    <t>tt_edit</t>
  </si>
  <si>
    <t>Edit</t>
  </si>
  <si>
    <t>تحرير</t>
  </si>
  <si>
    <t>Редактиране</t>
  </si>
  <si>
    <t>Upravit</t>
  </si>
  <si>
    <t>Redigere</t>
  </si>
  <si>
    <t>Bearbeiten</t>
  </si>
  <si>
    <t>Επεξεργασία</t>
  </si>
  <si>
    <t>Editar</t>
  </si>
  <si>
    <t>एडिट करें</t>
  </si>
  <si>
    <t>Szerkesztése</t>
  </si>
  <si>
    <t>Modificare</t>
  </si>
  <si>
    <t>ערוך</t>
  </si>
  <si>
    <t>편집</t>
  </si>
  <si>
    <t>Sunting</t>
  </si>
  <si>
    <t>Pas aan</t>
  </si>
  <si>
    <t>Rediger</t>
  </si>
  <si>
    <t>Edytuj</t>
  </si>
  <si>
    <t>Editează</t>
  </si>
  <si>
    <t>Редактировать</t>
  </si>
  <si>
    <t>Upraviť</t>
  </si>
  <si>
    <t>Uredi</t>
  </si>
  <si>
    <t>Promeni</t>
  </si>
  <si>
    <t>Redigera</t>
  </si>
  <si>
    <t>แก้ไข</t>
  </si>
  <si>
    <t>Düzenle</t>
  </si>
  <si>
    <t>Chỉnh sửa</t>
  </si>
  <si>
    <t>编辑</t>
  </si>
  <si>
    <t>&gt;編輯</t>
  </si>
  <si>
    <t>please_write_something</t>
  </si>
  <si>
    <t>Please write Something</t>
  </si>
  <si>
    <t>يرجى كتابة أي شيء</t>
  </si>
  <si>
    <t>Моля, напишете нещо</t>
  </si>
  <si>
    <t>Napište něco, prosím</t>
  </si>
  <si>
    <t>Skriv noget</t>
  </si>
  <si>
    <t>Bitte schreiben Sie etwas</t>
  </si>
  <si>
    <t>Παρακαλούμε γράψτε κάτι</t>
  </si>
  <si>
    <t>Por favor escriba algo</t>
  </si>
  <si>
    <t>Ole hyvä ja kirjoita jotain</t>
  </si>
  <si>
    <t>Veuillez écrire ici</t>
  </si>
  <si>
    <t>कृपया कुछ लिखें</t>
  </si>
  <si>
    <t>Kérjük írjon valamit</t>
  </si>
  <si>
    <t>Tolong tuliskan sesuatu</t>
  </si>
  <si>
    <t>Per favore, scrivi qualcosa</t>
  </si>
  <si>
    <t>אנא כתוב משהו</t>
  </si>
  <si>
    <t>何かお書きください</t>
  </si>
  <si>
    <t>내용을 작성해주세요</t>
  </si>
  <si>
    <t>Sila tulis sesuatu</t>
  </si>
  <si>
    <t>Hier kunt U wat schrijven</t>
  </si>
  <si>
    <t>Skriv noe</t>
  </si>
  <si>
    <t>(Prosimy) napisz coś</t>
  </si>
  <si>
    <t>Escreva alguma coisa</t>
  </si>
  <si>
    <t>Te rugăm scrie Ceva</t>
  </si>
  <si>
    <t>Пожалуйста, напишите что-нибудь</t>
  </si>
  <si>
    <t>Napíšte niečo</t>
  </si>
  <si>
    <t>Prosim, napišite nekaj</t>
  </si>
  <si>
    <t>Napišite nešto.</t>
  </si>
  <si>
    <t>Skriv något</t>
  </si>
  <si>
    <t>โปรดใส่ข้อความ</t>
  </si>
  <si>
    <t>Lütfen bir şeyler yazın</t>
  </si>
  <si>
    <t>Hãy để lại bình luận</t>
  </si>
  <si>
    <t>请您写些东西吧</t>
  </si>
  <si>
    <t>chat_block_user</t>
  </si>
  <si>
    <t>Block user</t>
  </si>
  <si>
    <t>Benutzer blockieren</t>
  </si>
  <si>
    <t>Bloquear usuario</t>
  </si>
  <si>
    <t>Bloquer utilisateur</t>
  </si>
  <si>
    <t>Felhasználó blokkolása</t>
  </si>
  <si>
    <t>Заблокировать пользователя</t>
  </si>
  <si>
    <t>Blokiraj korisnika</t>
  </si>
  <si>
    <t>reply</t>
  </si>
  <si>
    <t>Reply</t>
  </si>
  <si>
    <t>الرد</t>
  </si>
  <si>
    <t>Отговаряне</t>
  </si>
  <si>
    <t>Respon</t>
  </si>
  <si>
    <t>Antworten</t>
  </si>
  <si>
    <t>Responder</t>
  </si>
  <si>
    <t>Répondre</t>
  </si>
  <si>
    <t>Respostar</t>
  </si>
  <si>
    <t>Válasz</t>
  </si>
  <si>
    <t>Rispondi</t>
  </si>
  <si>
    <t>返信する</t>
  </si>
  <si>
    <t>Beantwoorden</t>
  </si>
  <si>
    <t>Odpowiedz</t>
  </si>
  <si>
    <t>Ответить</t>
  </si>
  <si>
    <t>Одговори</t>
  </si>
  <si>
    <t>tt_fundprofile_country_positions</t>
  </si>
  <si>
    <t>Countries</t>
  </si>
  <si>
    <t>البلدان</t>
  </si>
  <si>
    <t>Държави</t>
  </si>
  <si>
    <t>Země</t>
  </si>
  <si>
    <t>Lande</t>
  </si>
  <si>
    <t>Länder</t>
  </si>
  <si>
    <t>Χώρες</t>
  </si>
  <si>
    <t>Paises</t>
  </si>
  <si>
    <t>Maat</t>
  </si>
  <si>
    <t>Pays</t>
  </si>
  <si>
    <t>देश</t>
  </si>
  <si>
    <t>Országok</t>
  </si>
  <si>
    <t>Negara</t>
  </si>
  <si>
    <t>Paesi</t>
  </si>
  <si>
    <t>מדינות</t>
  </si>
  <si>
    <t>国</t>
  </si>
  <si>
    <t>국가</t>
  </si>
  <si>
    <t>Landen</t>
  </si>
  <si>
    <t>Land</t>
  </si>
  <si>
    <t>Kraje</t>
  </si>
  <si>
    <t>Países</t>
  </si>
  <si>
    <t>Țări</t>
  </si>
  <si>
    <t>Страны</t>
  </si>
  <si>
    <t>Krajiny</t>
  </si>
  <si>
    <t>Države</t>
  </si>
  <si>
    <t>ประเทศ</t>
  </si>
  <si>
    <t>Ülkeler</t>
  </si>
  <si>
    <t>Quốc gia</t>
  </si>
  <si>
    <t>国家</t>
  </si>
  <si>
    <t>tt_percent</t>
  </si>
  <si>
    <t>Percent</t>
  </si>
  <si>
    <t>النسبة المئوية</t>
  </si>
  <si>
    <t>Процент</t>
  </si>
  <si>
    <t>Procenta</t>
  </si>
  <si>
    <t>Procent</t>
  </si>
  <si>
    <t>Prozent</t>
  </si>
  <si>
    <t>Τοις εκατό</t>
  </si>
  <si>
    <t>Porcentaje</t>
  </si>
  <si>
    <t>Prosentti</t>
  </si>
  <si>
    <t>Pourcentage</t>
  </si>
  <si>
    <t>प्रतिशत</t>
  </si>
  <si>
    <t>Százalék</t>
  </si>
  <si>
    <t>Persen</t>
  </si>
  <si>
    <t>Percento</t>
  </si>
  <si>
    <t>אחוז</t>
  </si>
  <si>
    <t>パーセント</t>
  </si>
  <si>
    <t>퍼센트</t>
  </si>
  <si>
    <t>Peratus</t>
  </si>
  <si>
    <t>Percentage</t>
  </si>
  <si>
    <t>Prosent</t>
  </si>
  <si>
    <t>Por cento</t>
  </si>
  <si>
    <t>Percentá</t>
  </si>
  <si>
    <t>Odstotek</t>
  </si>
  <si>
    <t>Procenat</t>
  </si>
  <si>
    <t>เปอร์เซ็นต์</t>
  </si>
  <si>
    <t>Yüzde</t>
  </si>
  <si>
    <t>Phần trăm</t>
  </si>
  <si>
    <t>百分比</t>
  </si>
  <si>
    <t>&gt;百分比</t>
  </si>
  <si>
    <t>tt_edgar_total_assets</t>
  </si>
  <si>
    <t>Total Assets</t>
  </si>
  <si>
    <t>إجمالي الأصول</t>
  </si>
  <si>
    <t>Общата сума на активите</t>
  </si>
  <si>
    <t>Aktiva celkem</t>
  </si>
  <si>
    <t>Samlede aktiver</t>
  </si>
  <si>
    <t>Aktiva, gesamt</t>
  </si>
  <si>
    <t>Σύνολο Ενεργητικού</t>
  </si>
  <si>
    <t>Activos totales</t>
  </si>
  <si>
    <t>Varat yhteensä</t>
  </si>
  <si>
    <t>Total des actifs</t>
  </si>
  <si>
    <t>कुल परिसंपत्तियाँ</t>
  </si>
  <si>
    <t>Jumlah Aset</t>
  </si>
  <si>
    <t>Attività totali</t>
  </si>
  <si>
    <t>סך נכסים</t>
  </si>
  <si>
    <t>資産合計</t>
  </si>
  <si>
    <t>자산총액</t>
  </si>
  <si>
    <t>Totale bezittingen</t>
  </si>
  <si>
    <t>Totale aktiva</t>
  </si>
  <si>
    <t>Aktywa ogółem</t>
  </si>
  <si>
    <t>Ativos totais</t>
  </si>
  <si>
    <t>Total Active</t>
  </si>
  <si>
    <t>Общая сумма активов</t>
  </si>
  <si>
    <t>Celkové aktíva</t>
  </si>
  <si>
    <t>Bilančna vsota</t>
  </si>
  <si>
    <t>Ukupna aktiva</t>
  </si>
  <si>
    <t>Totala tillgångar</t>
  </si>
  <si>
    <t>รวมทรัพย์สินทั้งหมด</t>
  </si>
  <si>
    <t>Aktifler Toplamı</t>
  </si>
  <si>
    <t>Tổng tài sản</t>
  </si>
  <si>
    <t>资产总额</t>
  </si>
  <si>
    <t>your_full_jid_will_be</t>
  </si>
  <si>
    <t>Your full Jabber ID will be: %s</t>
  </si>
  <si>
    <t>سوف تكون هويتك الكاملة على جابر كالتالي : %s</t>
  </si>
  <si>
    <t>Вашият пълен Jabber идентификатор ще бъде: %s</t>
  </si>
  <si>
    <t>La vostra Jabber ID completa serà: %s</t>
  </si>
  <si>
    <t>Deine vollständige Jabber ID lautet: %s</t>
  </si>
  <si>
    <t>Tu identificador Jabber será: %s</t>
  </si>
  <si>
    <t>Votre Jabber ID complet sera : %s</t>
  </si>
  <si>
    <t>O seu ID Jabber será: %s</t>
  </si>
  <si>
    <t>A teljes Jabber azonosítód ez lesz: %s</t>
  </si>
  <si>
    <t>Jabber ID anda akan seperti: %s</t>
  </si>
  <si>
    <t>Il tuo ID Jabber completo sarà: %s</t>
  </si>
  <si>
    <t>あなたの完全な Jabber ID は: %s</t>
  </si>
  <si>
    <t>나의 전체 Jabber ID: %s</t>
  </si>
  <si>
    <t>Je volledige Jabber-ID zal %s zijn</t>
  </si>
  <si>
    <t>Twój pełen Jabber ID będzie następujący: %s</t>
  </si>
  <si>
    <t>O seu ID Jabber completo será: %s</t>
  </si>
  <si>
    <t>Ваш полный Jabber ID: %s</t>
  </si>
  <si>
    <t>Ваш пуни Џабер ИД ће бити: %s</t>
  </si>
  <si>
    <t>Ditt jabber ID blir: %s</t>
  </si>
  <si>
    <t>Tam Jabber ID\'niz olacak: %s</t>
  </si>
  <si>
    <t>Ваш повний Jabber ID буде: %s</t>
  </si>
  <si>
    <t>您完整的 Jabble ID 是：%s</t>
  </si>
  <si>
    <t>tt_save</t>
  </si>
  <si>
    <t>Hotovo</t>
  </si>
  <si>
    <t>Færdig</t>
  </si>
  <si>
    <t>Ολοκληρώθηκε</t>
  </si>
  <si>
    <t>Valmis</t>
  </si>
  <si>
    <t>पूर्ण/समाप्त</t>
  </si>
  <si>
    <t>בוצע</t>
  </si>
  <si>
    <t>Ferdig</t>
  </si>
  <si>
    <t>Wykonano</t>
  </si>
  <si>
    <t>Terminat</t>
  </si>
  <si>
    <t>Končano</t>
  </si>
  <si>
    <t>Gjort</t>
  </si>
  <si>
    <t>เสร็จสิ้น</t>
  </si>
  <si>
    <t>Tamam</t>
  </si>
  <si>
    <t>&gt;完成</t>
  </si>
  <si>
    <t>send_now</t>
  </si>
  <si>
    <t>Send now</t>
  </si>
  <si>
    <t>ارسال الآن</t>
  </si>
  <si>
    <t>Изпращане сега</t>
  </si>
  <si>
    <t>Envia ara</t>
  </si>
  <si>
    <t>Jetzt abschicken</t>
  </si>
  <si>
    <t>Enviar ahora</t>
  </si>
  <si>
    <t>Enviar agora</t>
  </si>
  <si>
    <t>Elküldi most</t>
  </si>
  <si>
    <t>Kirim sekarang</t>
  </si>
  <si>
    <t>Invia adesso</t>
  </si>
  <si>
    <t>今すぐ送信</t>
  </si>
  <si>
    <t>지금 보내기</t>
  </si>
  <si>
    <t>Nu versturen</t>
  </si>
  <si>
    <t>Wyślij teraz</t>
  </si>
  <si>
    <t>Отправить сейчас</t>
  </si>
  <si>
    <t>Poslať teraz</t>
  </si>
  <si>
    <t>Пошаљи одмах</t>
  </si>
  <si>
    <t>Skicka nu</t>
  </si>
  <si>
    <t>Надіслати зараз</t>
  </si>
  <si>
    <t>Gửi ngay</t>
  </si>
  <si>
    <t>現在發送</t>
  </si>
  <si>
    <t>tt_onlywifi</t>
  </si>
  <si>
    <t>Only Wi-Fi</t>
  </si>
  <si>
    <t>شبكة Wi-Fi فقط</t>
  </si>
  <si>
    <t>Само Wi-Fi</t>
  </si>
  <si>
    <t>Pouze Wi-Fi</t>
  </si>
  <si>
    <t>Kun Wi-Fi</t>
  </si>
  <si>
    <t>Nur via Wi-Fi</t>
  </si>
  <si>
    <t>Μόνο Wi-Fi</t>
  </si>
  <si>
    <t>Solamente via Wi-Fi</t>
  </si>
  <si>
    <t>Vain Wi-Fi</t>
  </si>
  <si>
    <t>Wifi uniquement</t>
  </si>
  <si>
    <t>केवल वाई-फाई</t>
  </si>
  <si>
    <t>Csak Wi-Fi-n keresztül</t>
  </si>
  <si>
    <t>Wi-Fi Saja</t>
  </si>
  <si>
    <t>Solo Wi-Fi</t>
  </si>
  <si>
    <t>רק Wi-Fi</t>
  </si>
  <si>
    <t>Wi-Fiのみ可</t>
  </si>
  <si>
    <t>Wi-Fi 만</t>
  </si>
  <si>
    <t>Wi-Fi Sahaja</t>
  </si>
  <si>
    <t>Alleen Wi-Fi</t>
  </si>
  <si>
    <t>Bare Wi-Fi</t>
  </si>
  <si>
    <t>Tylko Wi-Fi</t>
  </si>
  <si>
    <t>Apenas Wi-Fi</t>
  </si>
  <si>
    <t>Doar Wi-Fi</t>
  </si>
  <si>
    <t>Только Wi-Fi</t>
  </si>
  <si>
    <t>Iba Wi-Fi</t>
  </si>
  <si>
    <t>Samo Wi-Fi</t>
  </si>
  <si>
    <t>Endast Wi-Fi</t>
  </si>
  <si>
    <t>Wi-Fi เท่านั้น</t>
  </si>
  <si>
    <t>Sadece Wi-Fi</t>
  </si>
  <si>
    <t>Chỉ với Wi-Fi</t>
  </si>
  <si>
    <t>&gt;僅供Wi-Fi無線連接</t>
  </si>
  <si>
    <t>micronesia</t>
  </si>
  <si>
    <t>Micronesia, Federated States of</t>
  </si>
  <si>
    <t>Mikronesien</t>
  </si>
  <si>
    <t>Estados Federados de Micronesia</t>
  </si>
  <si>
    <t>Micronésie, États fédérés de</t>
  </si>
  <si>
    <t>Микронезия</t>
  </si>
  <si>
    <t>Micronezija</t>
  </si>
  <si>
    <t>unable_to_start_recording</t>
  </si>
  <si>
    <t>Unable to start recording</t>
  </si>
  <si>
    <t>Записът не може да започне</t>
  </si>
  <si>
    <t>No es pot iniciar l\'enregistrament</t>
  </si>
  <si>
    <t>Aufnahme kann nicht gestartet werden</t>
  </si>
  <si>
    <t>No se ha podido empezar la grabación</t>
  </si>
  <si>
    <t>Impossible de démarrer l\'enregistrement</t>
  </si>
  <si>
    <t>Non se puido iniciar a gravación</t>
  </si>
  <si>
    <t>Nem sikerült elkezdeni a felvételt</t>
  </si>
  <si>
    <t>Impossibile avviare la registrazione</t>
  </si>
  <si>
    <t>Kan opname niet starten</t>
  </si>
  <si>
    <t>Nie można rozpocząć nagrywania</t>
  </si>
  <si>
    <t>add</t>
  </si>
  <si>
    <t>Add</t>
  </si>
  <si>
    <t>اضافة</t>
  </si>
  <si>
    <t>Добавяне</t>
  </si>
  <si>
    <t>Afegeix</t>
  </si>
  <si>
    <t>Hinzufügen</t>
  </si>
  <si>
    <t>Añadir</t>
  </si>
  <si>
    <t>Ajouter</t>
  </si>
  <si>
    <t>Engadir</t>
  </si>
  <si>
    <t>Hozzáad</t>
  </si>
  <si>
    <t>Tambah</t>
  </si>
  <si>
    <t>Aggiungi</t>
  </si>
  <si>
    <t>追加</t>
  </si>
  <si>
    <t>추가</t>
  </si>
  <si>
    <t>Toevoegen</t>
  </si>
  <si>
    <t>Dodaj</t>
  </si>
  <si>
    <t>Adicionar</t>
  </si>
  <si>
    <t>Добавить</t>
  </si>
  <si>
    <t>Pridať</t>
  </si>
  <si>
    <t>Додај</t>
  </si>
  <si>
    <t>Lägg till</t>
  </si>
  <si>
    <t>Додати</t>
  </si>
  <si>
    <t>Thêm</t>
  </si>
  <si>
    <t>添加</t>
  </si>
  <si>
    <t>action_unblock_domain</t>
  </si>
  <si>
    <t>Unblock domain</t>
  </si>
  <si>
    <t>إنهاء حجب دومين</t>
  </si>
  <si>
    <t>Деблокиране на домейна</t>
  </si>
  <si>
    <t>Desbloqueja el domini</t>
  </si>
  <si>
    <t>Domain entsperren</t>
  </si>
  <si>
    <t>Desbloquear dominio</t>
  </si>
  <si>
    <t>Débloquer le domaine</t>
  </si>
  <si>
    <t>Tartomány feloldása</t>
  </si>
  <si>
    <t>Batal blokir domain</t>
  </si>
  <si>
    <t>Sblocca dominio</t>
  </si>
  <si>
    <t>ドメインのブロックを解除</t>
  </si>
  <si>
    <t>도메인 차단 해제</t>
  </si>
  <si>
    <t>Domein deblokkeren</t>
  </si>
  <si>
    <t>Odblokuj domenę</t>
  </si>
  <si>
    <t>Desbloquear domínio</t>
  </si>
  <si>
    <t>Разблокировать домен</t>
  </si>
  <si>
    <t>Odblokovať doménu</t>
  </si>
  <si>
    <t>Одблокирај домен</t>
  </si>
  <si>
    <t>Avblockera domän</t>
  </si>
  <si>
    <t>Розблокувати домен</t>
  </si>
  <si>
    <t>Bỏ chặn miền</t>
  </si>
  <si>
    <t>解除封鎖網域</t>
  </si>
  <si>
    <t>pref_more_notification_settings</t>
  </si>
  <si>
    <t>Notification Settings</t>
  </si>
  <si>
    <t>Настройки за известията</t>
  </si>
  <si>
    <t>Benachrichtigungseinstellungen</t>
  </si>
  <si>
    <t>Ajustes de Notificación</t>
  </si>
  <si>
    <t>Options de notification</t>
  </si>
  <si>
    <t>Axustes das notificacións</t>
  </si>
  <si>
    <t>Értesítés beállítások</t>
  </si>
  <si>
    <t>Impostazioni di notifica</t>
  </si>
  <si>
    <t>Meldingsinstellingen</t>
  </si>
  <si>
    <t>Ustawienia powiadomień</t>
  </si>
  <si>
    <t>Поставке обавештавања</t>
  </si>
  <si>
    <t>want_more_features</t>
  </si>
  <si>
    <t>Want more features?</t>
  </si>
  <si>
    <t>أتريد المزيد من الميزات؟</t>
  </si>
  <si>
    <t>Искате повече функции?</t>
  </si>
  <si>
    <t>Chcete více funkcí?</t>
  </si>
  <si>
    <t>Vil du have flere funktioner?</t>
  </si>
  <si>
    <t>Möchten Sie mehr Features?</t>
  </si>
  <si>
    <t>Θέλετε περισσότερες δυνατότητες;</t>
  </si>
  <si>
    <t>¿Quiere más herramientas?</t>
  </si>
  <si>
    <t>Haluatko lisää ominaisuuksia?</t>
  </si>
  <si>
    <t>D\'autres fonctions?</t>
  </si>
  <si>
    <t>अधिक विशेषताएँ चाहते हैं?</t>
  </si>
  <si>
    <t>További funkciók beállítása?</t>
  </si>
  <si>
    <t>Ingin lebih banyak fitur?</t>
  </si>
  <si>
    <t>Vuoi più funzionalità?</t>
  </si>
  <si>
    <t>רוצה תכונות נוספות?</t>
  </si>
  <si>
    <t>さらに多くに機能が必要ですか？</t>
  </si>
  <si>
    <t>더 많은 기능을 원하시나요?</t>
  </si>
  <si>
    <t>Mahu lebih banyak ciri?</t>
  </si>
  <si>
    <t>Wilt u meer toepassingen?</t>
  </si>
  <si>
    <t>Vil du ha flere funksjoner?</t>
  </si>
  <si>
    <t>Chcesz więcej funkcji?</t>
  </si>
  <si>
    <t>Quer mais funcionalidades?</t>
  </si>
  <si>
    <t>Vrei mai multe funcțiuni?</t>
  </si>
  <si>
    <t>Хотите больше функций?</t>
  </si>
  <si>
    <t>Chcete viac funkcií?</t>
  </si>
  <si>
    <t>Želite več funkcij?</t>
  </si>
  <si>
    <t>Želite još funkconalnosti?</t>
  </si>
  <si>
    <t>Vill du ha fler funktioner?</t>
  </si>
  <si>
    <t>ต้องการคุณสมบัติเพิ่มเติมไหม?</t>
  </si>
  <si>
    <t>Daha fazla özellik ister misiniz?</t>
  </si>
  <si>
    <t>Bạn muốn có nhiều tính năng hơn?</t>
  </si>
  <si>
    <t>添加功能</t>
  </si>
  <si>
    <t>tt_asksize</t>
  </si>
  <si>
    <t>Ask Size</t>
  </si>
  <si>
    <t>طلب الحجم</t>
  </si>
  <si>
    <t>Размер на продажбата</t>
  </si>
  <si>
    <t>Objem poptávky</t>
  </si>
  <si>
    <t>Spørg størrelse</t>
  </si>
  <si>
    <t>Brief Stk.</t>
  </si>
  <si>
    <t>Μέγεθος Ζήτησης</t>
  </si>
  <si>
    <t>Tamaño de Ask</t>
  </si>
  <si>
    <t>Kysy kokoa</t>
  </si>
  <si>
    <t>Quantité offerte</t>
  </si>
  <si>
    <t>साइज के बारे में पूछें</t>
  </si>
  <si>
    <t>Eladás (db)</t>
  </si>
  <si>
    <t>Tanya ukuran</t>
  </si>
  <si>
    <t>Quantità Ask</t>
  </si>
  <si>
    <t>גודל מכירה</t>
  </si>
  <si>
    <t>買数量</t>
  </si>
  <si>
    <t>매도가격 크기</t>
  </si>
  <si>
    <t>Tanya Saiz</t>
  </si>
  <si>
    <t>Vraag hoeveelheid</t>
  </si>
  <si>
    <t>Etterspørselsstørrelse</t>
  </si>
  <si>
    <t>Wolumen sprzedaży</t>
  </si>
  <si>
    <t>Perguntar tamanho</t>
  </si>
  <si>
    <t>Cere Dimensiunea</t>
  </si>
  <si>
    <t>Размер запроса</t>
  </si>
  <si>
    <t>Spýtajte sa na veľkosť</t>
  </si>
  <si>
    <t>Vprašaj velikost</t>
  </si>
  <si>
    <t>Frågans storlek</t>
  </si>
  <si>
    <t>ปริมาณราคาเสนอขาย</t>
  </si>
  <si>
    <t>Soru Boyutu</t>
  </si>
  <si>
    <t>Kích cỡ bán</t>
  </si>
  <si>
    <t>卖出规模</t>
  </si>
  <si>
    <t>&gt;賣出規模</t>
  </si>
  <si>
    <t>contact_blocked</t>
  </si>
  <si>
    <t>Contact blocked</t>
  </si>
  <si>
    <t>جهة الاتصال محجوبه</t>
  </si>
  <si>
    <t>Контактът е блокиран</t>
  </si>
  <si>
    <t>Contacte bloquejat</t>
  </si>
  <si>
    <t>Kontakt gesperrt</t>
  </si>
  <si>
    <t>Contacto bloqueado</t>
  </si>
  <si>
    <t>Contact bloqué</t>
  </si>
  <si>
    <t>Ismerős letiltva</t>
  </si>
  <si>
    <t>Kontak terblokir</t>
  </si>
  <si>
    <t>Contatto bloccato</t>
  </si>
  <si>
    <t>連絡先をブロックしました</t>
  </si>
  <si>
    <t>연락처 차단됨</t>
  </si>
  <si>
    <t>Contact geblokkeerd</t>
  </si>
  <si>
    <t>Kontakt zablokowany</t>
  </si>
  <si>
    <t>Контакт заблокирован</t>
  </si>
  <si>
    <t>Kontakt zablokovaný</t>
  </si>
  <si>
    <t>Контакт блокиран</t>
  </si>
  <si>
    <t>Kontakt blockerad</t>
  </si>
  <si>
    <t>Контакт заблоковано</t>
  </si>
  <si>
    <t>Đã chặn liên hệ</t>
  </si>
  <si>
    <t>連絡人已封鎖</t>
  </si>
  <si>
    <t>mtm_cert_details</t>
  </si>
  <si>
    <t>Certificate details:</t>
  </si>
  <si>
    <t>تفاصيل الشهادة :</t>
  </si>
  <si>
    <t>Подробности за сертификата:</t>
  </si>
  <si>
    <t>Detalls del certificat:</t>
  </si>
  <si>
    <t>Zertifikatdetails:</t>
  </si>
  <si>
    <t>Detalles del Certificado:</t>
  </si>
  <si>
    <t>Détails du certificat :</t>
  </si>
  <si>
    <t>Detalles do certificado:</t>
  </si>
  <si>
    <t>Tanúsítvány részletek:</t>
  </si>
  <si>
    <t>Dettagli certificato:</t>
  </si>
  <si>
    <t>証明書の詳細:</t>
  </si>
  <si>
    <t>Certificaatgegevens:</t>
  </si>
  <si>
    <t>Szczegóły certyfikatu:</t>
  </si>
  <si>
    <t>tt_daterange_2years</t>
  </si>
  <si>
    <t>2 Yıl</t>
  </si>
  <si>
    <t>problem_connecting_to_accounts</t>
  </si>
  <si>
    <t>Unable to connect to multiple accounts</t>
  </si>
  <si>
    <t>لا يمكن تسجيل الدخول بحساباتك</t>
  </si>
  <si>
    <t>Неуспешно свързване с няколко профила</t>
  </si>
  <si>
    <t>No s\'ha pogut connectar a múltiples comptes</t>
  </si>
  <si>
    <t>Es gibt Probleme beim Verbindungsaufbau mit mehreren Konten</t>
  </si>
  <si>
    <t>No se ha podido conectar a múltiples cuentas</t>
  </si>
  <si>
    <t>Impossible de se connecter aux comptes.</t>
  </si>
  <si>
    <t>Erro na conexión a múltiples contas</t>
  </si>
  <si>
    <t>Nem sikerül fiókokhoz csatlakozni</t>
  </si>
  <si>
    <t>Tidak bisa terhubung ke banyak akun</t>
  </si>
  <si>
    <t>Impossibile collegarsi tramite più utenti</t>
  </si>
  <si>
    <t>複数のアカウントに接続できません</t>
  </si>
  <si>
    <t>다중 계정에 접속할 수 없습니다</t>
  </si>
  <si>
    <t>Verbinden met meerdere accounts mislukt</t>
  </si>
  <si>
    <t>Nie można połączyć się z wieloma kontami</t>
  </si>
  <si>
    <t>Não foi possível ligar-se a múltiplas contas</t>
  </si>
  <si>
    <t>Не удалось подключиться к аккаунтам</t>
  </si>
  <si>
    <t>Pripojenie k viacerým účtom zlyhalo</t>
  </si>
  <si>
    <t>Не могу да се повежем са више налога</t>
  </si>
  <si>
    <t>Kan inte ansluta till flera konton</t>
  </si>
  <si>
    <t>Не можу з\'єднатися з кількома обліковими записами</t>
  </si>
  <si>
    <t>Không thể kết nối đến nhiều tài khoản</t>
  </si>
  <si>
    <t>無法連接至多個帳戶</t>
  </si>
  <si>
    <t>dialog_title_create_conference</t>
  </si>
  <si>
    <t>Create Group Chat</t>
  </si>
  <si>
    <t>إنشاء مجموعة محادثة</t>
  </si>
  <si>
    <t>Създаване на групов разговор</t>
  </si>
  <si>
    <t>Crea un Xat en Grup</t>
  </si>
  <si>
    <t>Gruppenchat erstellen</t>
  </si>
  <si>
    <t>Crear Conversación en Grupo</t>
  </si>
  <si>
    <t>Créer un groupe de discussion</t>
  </si>
  <si>
    <t>Crear Conversa en Grupo</t>
  </si>
  <si>
    <t>Konferencia Létrehozása</t>
  </si>
  <si>
    <t>Crea una chat di gruppo</t>
  </si>
  <si>
    <t>談話室を作成</t>
  </si>
  <si>
    <t>Groepsgesprek aanmaken</t>
  </si>
  <si>
    <t>Utwórz konferencję</t>
  </si>
  <si>
    <t>Criar Conversa em Grupo</t>
  </si>
  <si>
    <t>Создать конференцию</t>
  </si>
  <si>
    <t>Направи групно ћаскање</t>
  </si>
  <si>
    <t>scan_qr_code</t>
  </si>
  <si>
    <t>Scan 2D Barcode</t>
  </si>
  <si>
    <t>إمسح شفرة التّعرّف 2D</t>
  </si>
  <si>
    <t>Сканиране на 2-измерен баркод</t>
  </si>
  <si>
    <t>Escaneja el codi de barres 2D</t>
  </si>
  <si>
    <t>Barcode scannen</t>
  </si>
  <si>
    <t>Escanear código QR</t>
  </si>
  <si>
    <t>Scanner le code-barres 2D</t>
  </si>
  <si>
    <t>Escanear código de barras 2D</t>
  </si>
  <si>
    <t>2D vonalkód olvasás</t>
  </si>
  <si>
    <t>Scansiona codice a barre 2D</t>
  </si>
  <si>
    <t>2D バーコードをスキャン</t>
  </si>
  <si>
    <t>2D 바코드를 스캔하세요</t>
  </si>
  <si>
    <t>2D-streepjescode scannen</t>
  </si>
  <si>
    <t>Zeskanuj kod</t>
  </si>
  <si>
    <t>Ler código de barras 2D</t>
  </si>
  <si>
    <t>Сканировать 2D штрихкод</t>
  </si>
  <si>
    <t>Очитај 2Д бар-кôд</t>
  </si>
  <si>
    <t>Scanna 2D-streckkod</t>
  </si>
  <si>
    <t>Розпізнати QR-код</t>
  </si>
  <si>
    <t>掃描二維條碼</t>
  </si>
  <si>
    <t>nepal</t>
  </si>
  <si>
    <t>Nepal</t>
  </si>
  <si>
    <t>Népal</t>
  </si>
  <si>
    <t>Непал</t>
  </si>
  <si>
    <t>contact_blocked_past_tense</t>
  </si>
  <si>
    <t>Contact blocked.</t>
  </si>
  <si>
    <t>جهة الاتصال محجوبة.</t>
  </si>
  <si>
    <t>Контактът е блокиран.</t>
  </si>
  <si>
    <t>Contacte bloquejat.</t>
  </si>
  <si>
    <t>Kontakt gesperrt.</t>
  </si>
  <si>
    <t>Contacto bloqueado.</t>
  </si>
  <si>
    <t>Contact bloqué.</t>
  </si>
  <si>
    <t>Ismerős blokkolva.</t>
  </si>
  <si>
    <t>Contatto bloccato.</t>
  </si>
  <si>
    <t>Contact geblokkeerd.</t>
  </si>
  <si>
    <t>Контакт блокиран.</t>
  </si>
  <si>
    <t>Kontakt blockerad.</t>
  </si>
  <si>
    <t>Контакт заблоковано.</t>
  </si>
  <si>
    <t>已經封鎖聯絡人了。</t>
  </si>
  <si>
    <t>add_back</t>
  </si>
  <si>
    <t>Add back</t>
  </si>
  <si>
    <t>أضف من جهتك أيضا</t>
  </si>
  <si>
    <t>Добавяне обратно</t>
  </si>
  <si>
    <t>Afegeix de nou</t>
  </si>
  <si>
    <t>Auch hinzufügen</t>
  </si>
  <si>
    <t>Ajouter en retour</t>
  </si>
  <si>
    <t>Voltar a engadir</t>
  </si>
  <si>
    <t>Én is hozzáadom</t>
  </si>
  <si>
    <t>Tambah kembali</t>
  </si>
  <si>
    <t>Aggiungi anche tu</t>
  </si>
  <si>
    <t>戻りを追加</t>
  </si>
  <si>
    <t>Ook toevoegen</t>
  </si>
  <si>
    <t>Również dodaj</t>
  </si>
  <si>
    <t>Adicionar novamente</t>
  </si>
  <si>
    <t>Добавить в ответ</t>
  </si>
  <si>
    <t>Znova pridať</t>
  </si>
  <si>
    <t>Додај га</t>
  </si>
  <si>
    <t>Addera tillbaka</t>
  </si>
  <si>
    <t>Також додати</t>
  </si>
  <si>
    <t>Thêm họ vào</t>
  </si>
  <si>
    <t>反向添加</t>
  </si>
  <si>
    <t>france</t>
  </si>
  <si>
    <t>France</t>
  </si>
  <si>
    <t>Frankreich</t>
  </si>
  <si>
    <t>Francia</t>
  </si>
  <si>
    <t>Франция</t>
  </si>
  <si>
    <t>Francuska</t>
  </si>
  <si>
    <t>tt_edgar_return_on_assets</t>
  </si>
  <si>
    <t>Return on Assets</t>
  </si>
  <si>
    <t>العائد على الأصول</t>
  </si>
  <si>
    <t>Възвръщаемост на активите</t>
  </si>
  <si>
    <t>Návratnost aktiv</t>
  </si>
  <si>
    <t>Afkastningsgrad</t>
  </si>
  <si>
    <t>Anlagenrendite</t>
  </si>
  <si>
    <t>Απόδοση Ενεργητικού</t>
  </si>
  <si>
    <t>Retorno sobre activo</t>
  </si>
  <si>
    <t>Koko pääoman tuottoaste</t>
  </si>
  <si>
    <t>Rentabilité des actifs</t>
  </si>
  <si>
    <t>परिसंपत्ति पर रिटर्न</t>
  </si>
  <si>
    <t>Pengembalian Aset</t>
  </si>
  <si>
    <t>Rendimento delle attività</t>
  </si>
  <si>
    <t>תשואה על נכסים</t>
  </si>
  <si>
    <t>資産収益率</t>
  </si>
  <si>
    <t>총자산순이익률</t>
  </si>
  <si>
    <t>Pulangan atas Aset</t>
  </si>
  <si>
    <t>Winst op bezittingen</t>
  </si>
  <si>
    <t>Avkastning på aktiva</t>
  </si>
  <si>
    <t>Zwrot z aktywów</t>
  </si>
  <si>
    <t>Retorno sobre ativos</t>
  </si>
  <si>
    <t>Rentabilitatea Activelor</t>
  </si>
  <si>
    <t>Доходность активов</t>
  </si>
  <si>
    <t>Návratnosť aktív</t>
  </si>
  <si>
    <t>Donosnost sredstev</t>
  </si>
  <si>
    <t>Stopa povrata na aktivu</t>
  </si>
  <si>
    <t>Avkastning på tillgångarna</t>
  </si>
  <si>
    <t>ผลตอบแทนจากทรัพย์สิน</t>
  </si>
  <si>
    <t>Aktif Karlılık</t>
  </si>
  <si>
    <t>Lợi nhuận trên tài sản</t>
  </si>
  <si>
    <t>资产收益率</t>
  </si>
  <si>
    <t>account_already_exists</t>
  </si>
  <si>
    <t>This account already exists</t>
  </si>
  <si>
    <t>الحساب موجود من قبل</t>
  </si>
  <si>
    <t>Този профил вече съществува</t>
  </si>
  <si>
    <t>Aquest compte ja existeix</t>
  </si>
  <si>
    <t>Das Konto existiert bereits</t>
  </si>
  <si>
    <t>Esta cuenta ya existe</t>
  </si>
  <si>
    <t>Ce compte existe déjà</t>
  </si>
  <si>
    <t>Esta conta xa existe</t>
  </si>
  <si>
    <t>A fiók már létezik</t>
  </si>
  <si>
    <t>Akun ini sudah ada</t>
  </si>
  <si>
    <t>Questo utente esiste già</t>
  </si>
  <si>
    <t>このアカウントはすでに存在します</t>
  </si>
  <si>
    <t>계정이 이미 존재합니다</t>
  </si>
  <si>
    <t>Deze account bestaat al</t>
  </si>
  <si>
    <t>Konto już istnieje</t>
  </si>
  <si>
    <t>Esta conta já existe</t>
  </si>
  <si>
    <t>Аккаунт уже существует</t>
  </si>
  <si>
    <t>Tento účet už existuje</t>
  </si>
  <si>
    <t>Овај налог већ постоји</t>
  </si>
  <si>
    <t>Detta konto finns redan</t>
  </si>
  <si>
    <t>Цей обліковий запис уже існує</t>
  </si>
  <si>
    <t>Đã có tài khoản này rồi</t>
  </si>
  <si>
    <t>該帳號已存在</t>
  </si>
  <si>
    <t>advanced_mode</t>
  </si>
  <si>
    <t>Advanced mode</t>
  </si>
  <si>
    <t>الوضع المتقدم</t>
  </si>
  <si>
    <t>Разширен режим</t>
  </si>
  <si>
    <t>Mode avançat</t>
  </si>
  <si>
    <t>Erweiterter Modus</t>
  </si>
  <si>
    <t>Modo avanzado</t>
  </si>
  <si>
    <t>Mode expert</t>
  </si>
  <si>
    <t>Haladó mód</t>
  </si>
  <si>
    <t>Mode lanjut</t>
  </si>
  <si>
    <t>Modalità avanzata</t>
  </si>
  <si>
    <t>詳細モード</t>
  </si>
  <si>
    <t>고급 모드</t>
  </si>
  <si>
    <t>Geavanceerde modus</t>
  </si>
  <si>
    <t>Tryb zaawansowany</t>
  </si>
  <si>
    <t>Modo avançado</t>
  </si>
  <si>
    <t>Расширенный режим</t>
  </si>
  <si>
    <t>Rozšírený režim</t>
  </si>
  <si>
    <t>Напредни режим</t>
  </si>
  <si>
    <t>Avancerat läge</t>
  </si>
  <si>
    <t>Розширений режим</t>
  </si>
  <si>
    <t>Chế độ nâng cao</t>
  </si>
  <si>
    <t>高級模式</t>
  </si>
  <si>
    <t>tt_volatility_1month</t>
  </si>
  <si>
    <t>Volatility 1 month</t>
  </si>
  <si>
    <t>تقلّب الأسعار لشهر واحد</t>
  </si>
  <si>
    <t>Волатилност 1 месец</t>
  </si>
  <si>
    <t>Volatilita 1 měsíc</t>
  </si>
  <si>
    <t>Volatilitet 1 måned</t>
  </si>
  <si>
    <t>Volatilität 1 Monat</t>
  </si>
  <si>
    <t>Μεταβλητότητα 1 μήνα</t>
  </si>
  <si>
    <t>Volatilidad 1 mes</t>
  </si>
  <si>
    <t>Volatiliteetti 1 kuukausi</t>
  </si>
  <si>
    <t>Volatilité 1 mois</t>
  </si>
  <si>
    <t>परिवर्तनशीलता 1 महीने</t>
  </si>
  <si>
    <t>1 havi volatilitás</t>
  </si>
  <si>
    <t>Volatilitas 1 bulan</t>
  </si>
  <si>
    <t>Volatilità 1 mese</t>
  </si>
  <si>
    <t>תנודתיות 1 חודש</t>
  </si>
  <si>
    <t>1ヶ月ボラリティ</t>
  </si>
  <si>
    <t>변동성 1개월</t>
  </si>
  <si>
    <t>Volatiliti 1 bulan</t>
  </si>
  <si>
    <t>Volatiliteit 1 maand</t>
  </si>
  <si>
    <t>Flyktighet 1 måned</t>
  </si>
  <si>
    <t>Zmienność 1 miesięczna</t>
  </si>
  <si>
    <t>Volatilidade um mês</t>
  </si>
  <si>
    <t>Volatilitate 1 Lună</t>
  </si>
  <si>
    <t>Волатильность 1 месяц</t>
  </si>
  <si>
    <t>Nestálosť 1 mesiac</t>
  </si>
  <si>
    <t>Volatilnost 1 mesec</t>
  </si>
  <si>
    <t>Volatilitet 1 månad</t>
  </si>
  <si>
    <t>ความผันผวน 1 เดือน</t>
  </si>
  <si>
    <t>Volatilite 1 ay</t>
  </si>
  <si>
    <t>Biến động 1 tháng</t>
  </si>
  <si>
    <t>1个月波动</t>
  </si>
  <si>
    <t>clear_other_devices</t>
  </si>
  <si>
    <t>Clear devices</t>
  </si>
  <si>
    <t>حذف أجهزة</t>
  </si>
  <si>
    <t>Премахване на устройствата</t>
  </si>
  <si>
    <t>Esborra els dispositius</t>
  </si>
  <si>
    <t>Geräte entfernen</t>
  </si>
  <si>
    <t>Limpiar dispositivos</t>
  </si>
  <si>
    <t>Supprimer les appareils</t>
  </si>
  <si>
    <t>Limplar dispositivos</t>
  </si>
  <si>
    <t>Eszközök tisztítása</t>
  </si>
  <si>
    <t>Bersihkan perangkat</t>
  </si>
  <si>
    <t>Pulisci dispositivi</t>
  </si>
  <si>
    <t>デバイスをクリア</t>
  </si>
  <si>
    <t>기기 제거</t>
  </si>
  <si>
    <t>Apparaten wissen</t>
  </si>
  <si>
    <t>Wyczyść urządzenia</t>
  </si>
  <si>
    <t>Apagar dispositivos</t>
  </si>
  <si>
    <t>Очистить устройства</t>
  </si>
  <si>
    <t>Очисти уређаје</t>
  </si>
  <si>
    <t>Rensa enheter</t>
  </si>
  <si>
    <t>Стерти пристрої</t>
  </si>
  <si>
    <t>Xoá các thiết bị</t>
  </si>
  <si>
    <t>清除設備</t>
  </si>
  <si>
    <t>tt_aktien</t>
  </si>
  <si>
    <t>Stocks</t>
  </si>
  <si>
    <t>أسهم</t>
  </si>
  <si>
    <t>Aktien</t>
  </si>
  <si>
    <t>Μετοχές</t>
  </si>
  <si>
    <t>स्टॉक्स</t>
  </si>
  <si>
    <t>Stocuri</t>
  </si>
  <si>
    <t>Cenné papiere</t>
  </si>
  <si>
    <t>Zaloge</t>
  </si>
  <si>
    <t>Hisse senetleri</t>
  </si>
  <si>
    <t>股票</t>
  </si>
  <si>
    <t>&gt;股票</t>
  </si>
  <si>
    <t>download_chat_image_problem</t>
  </si>
  <si>
    <t>Download image problem.</t>
  </si>
  <si>
    <t>Problem beim Download des Bildes.</t>
  </si>
  <si>
    <t>Problema descargando imagen.</t>
  </si>
  <si>
    <t>Problème avec le téléchargement d\'image.</t>
  </si>
  <si>
    <t>Probléma a kép letöltésével.</t>
  </si>
  <si>
    <t>Scarica il problema dell\'immagine.</t>
  </si>
  <si>
    <t>Проблема со скачиванием изображения.</t>
  </si>
  <si>
    <t>Problem u toku skidanja slike.</t>
  </si>
  <si>
    <t>sync_with_contacts_quicksy</t>
  </si>
  <si>
    <t>tt_daterange_1month</t>
  </si>
  <si>
    <t>1 μήνα</t>
  </si>
  <si>
    <t>dont_have_account</t>
  </si>
  <si>
    <t>Don\'t have an account yet?</t>
  </si>
  <si>
    <t>لا تملك حساب بعد؟</t>
  </si>
  <si>
    <t>Все още нямате акаунт?</t>
  </si>
  <si>
    <t>Ještě nemáte účet?</t>
  </si>
  <si>
    <t>Har du ikke en konto endnu?</t>
  </si>
  <si>
    <t>Haben Sie noch keinen Benutzerzugang?</t>
  </si>
  <si>
    <t>Δεν έχετε ακόμα λογαριασμό;</t>
  </si>
  <si>
    <t>¿No tiene cuenta todavía?</t>
  </si>
  <si>
    <t>Eikö sinulla ole vielä tiliä?</t>
  </si>
  <si>
    <t>Pas encore de compte?</t>
  </si>
  <si>
    <t>आपके पास अभी तक कोई खाता नहीं है?</t>
  </si>
  <si>
    <t>Nincs még fiókja?</t>
  </si>
  <si>
    <t>Belum ada akun?</t>
  </si>
  <si>
    <t>Non hai un account?</t>
  </si>
  <si>
    <t>אין לך חשבון עדיין?</t>
  </si>
  <si>
    <t>アカウントをまだお持ちでない場合</t>
  </si>
  <si>
    <t>아직 계정이 없으신가요?</t>
  </si>
  <si>
    <t>Belum ada akaun?</t>
  </si>
  <si>
    <t>Nog geen account?</t>
  </si>
  <si>
    <t>Har du ikke en konto ennå?</t>
  </si>
  <si>
    <t>Nie masz jeszcze konta?</t>
  </si>
  <si>
    <t>Ainda não tem conta?</t>
  </si>
  <si>
    <t>Nu|\ai încă un cont?</t>
  </si>
  <si>
    <t>У вас еще нет аккаунта?</t>
  </si>
  <si>
    <t>Ešte nemáte účet?</t>
  </si>
  <si>
    <t>Še nimate računa?</t>
  </si>
  <si>
    <t>Nemate nalog?</t>
  </si>
  <si>
    <t>Har du inte något konto ännu?</t>
  </si>
  <si>
    <t>ยังไม่มีบัญชีใช่ไหม?</t>
  </si>
  <si>
    <t>Hesabınız yok mu?</t>
  </si>
  <si>
    <t>Bạn chưa có tài khoản?</t>
  </si>
  <si>
    <t>还没有帐户</t>
  </si>
  <si>
    <t>action_muc_details</t>
  </si>
  <si>
    <t>Group chat details</t>
  </si>
  <si>
    <t>تفاصيل مجموعة المحادثة</t>
  </si>
  <si>
    <t>Подробности за груповия разговор</t>
  </si>
  <si>
    <t>Detalls del xat de grup</t>
  </si>
  <si>
    <t>Gruppenchatdetails</t>
  </si>
  <si>
    <t>Detalles de conversación</t>
  </si>
  <si>
    <t>Détails de la conversation de groupe</t>
  </si>
  <si>
    <t>Detalles da conversa de grupo</t>
  </si>
  <si>
    <t>Konferencia részletei</t>
  </si>
  <si>
    <t>Dettagli chat di gruppo</t>
  </si>
  <si>
    <t>談話室の詳細</t>
  </si>
  <si>
    <t>Gespreksgegevens</t>
  </si>
  <si>
    <t>Szczegóły konferencji</t>
  </si>
  <si>
    <t>Подробности конференции</t>
  </si>
  <si>
    <t>Детаљи групног ћаскања</t>
  </si>
  <si>
    <t>tt_info_imprint_headline</t>
  </si>
  <si>
    <t>Imprint</t>
  </si>
  <si>
    <t>بصمة</t>
  </si>
  <si>
    <t>Импринт</t>
  </si>
  <si>
    <t>Otisk</t>
  </si>
  <si>
    <t>Aftryk</t>
  </si>
  <si>
    <t>Impressum</t>
  </si>
  <si>
    <t>Αποτύπωμα</t>
  </si>
  <si>
    <t>Impresión</t>
  </si>
  <si>
    <t>Leima</t>
  </si>
  <si>
    <t>अंकित करें</t>
  </si>
  <si>
    <t>Impresszum</t>
  </si>
  <si>
    <t>Efek</t>
  </si>
  <si>
    <t>Impronta</t>
  </si>
  <si>
    <t>חותם</t>
  </si>
  <si>
    <t>お問い合わせ</t>
  </si>
  <si>
    <t>인쇄</t>
  </si>
  <si>
    <t>Kesan</t>
  </si>
  <si>
    <t>Avtrykk</t>
  </si>
  <si>
    <t>Wydawca</t>
  </si>
  <si>
    <t>Imprimir</t>
  </si>
  <si>
    <t>Imprimă</t>
  </si>
  <si>
    <t>Информация о разработчике</t>
  </si>
  <si>
    <t>Odtlačok</t>
  </si>
  <si>
    <t>Odtis</t>
  </si>
  <si>
    <t>Avtryck</t>
  </si>
  <si>
    <t>ประทับตรา</t>
  </si>
  <si>
    <t>Damga</t>
  </si>
  <si>
    <t>In dấu</t>
  </si>
  <si>
    <t>版本说明</t>
  </si>
  <si>
    <t>&gt;版本說明</t>
  </si>
  <si>
    <t>vanuatu</t>
  </si>
  <si>
    <t>Vanuatu</t>
  </si>
  <si>
    <t>Vanuatú</t>
  </si>
  <si>
    <t>Вануату</t>
  </si>
  <si>
    <t>tt_cont_contract_unadjusted</t>
  </si>
  <si>
    <t>CC unadj.</t>
  </si>
  <si>
    <t>CC neuprav.</t>
  </si>
  <si>
    <t>सीसी unadj.</t>
  </si>
  <si>
    <t>CC nonagg.</t>
  </si>
  <si>
    <t>חוזה עתידי לא מותאם</t>
  </si>
  <si>
    <t>CC未調整</t>
  </si>
  <si>
    <t>CC 비조정</t>
  </si>
  <si>
    <t>KK niesko.</t>
  </si>
  <si>
    <t>CC não ajustado</t>
  </si>
  <si>
    <t>CC neaj.</t>
  </si>
  <si>
    <t>CC ej just.</t>
  </si>
  <si>
    <t>DS ayarlanmamış</t>
  </si>
  <si>
    <t>HĐ vô thời hạn không điều chỉnh</t>
  </si>
  <si>
    <t>展期契约未调整</t>
  </si>
  <si>
    <t>&gt;展期契約未調整</t>
  </si>
  <si>
    <t>el_salvador</t>
  </si>
  <si>
    <t>El Salvador</t>
  </si>
  <si>
    <t>Le Salvador</t>
  </si>
  <si>
    <t>Сальвадор</t>
  </si>
  <si>
    <t>tt_renew_realtime</t>
  </si>
  <si>
    <t>Request real-time quotes</t>
  </si>
  <si>
    <t>طلب عروض أسعار في الوقت الفعلي</t>
  </si>
  <si>
    <t>Поискайте оферти в реално време</t>
  </si>
  <si>
    <t>Vyžádejte si nabídky v reálném čase</t>
  </si>
  <si>
    <t>Anmod om tilbud i realtid</t>
  </si>
  <si>
    <t>Echtzeitkurse anfordern</t>
  </si>
  <si>
    <t>Ζητήστε προσφορές σε πραγματικό χρόνο</t>
  </si>
  <si>
    <t>Solicitar cotizaciones en tiempo real</t>
  </si>
  <si>
    <t>Pyydä reaaliaikaisia tarjouksia</t>
  </si>
  <si>
    <t>Demander une cotation en temps réel</t>
  </si>
  <si>
    <t>रियल-टाइम क्वोट हेतु अनुरोध करें</t>
  </si>
  <si>
    <t>Real-time adatok igénylése</t>
  </si>
  <si>
    <t>Minta penawaran waktu nyata</t>
  </si>
  <si>
    <t>Richiedi prezzi in tempo reale</t>
  </si>
  <si>
    <t>בקש הצעות מחיר בזמן אמת</t>
  </si>
  <si>
    <t>リアルタイム配信を更新する</t>
  </si>
  <si>
    <t>실시간 시세 요청</t>
  </si>
  <si>
    <t>Minta sebut harga masa nyata</t>
  </si>
  <si>
    <t>Vraag real-time quotes aan</t>
  </si>
  <si>
    <t>Be om kurser i sanntid</t>
  </si>
  <si>
    <t>Żądanie notowań w czasie rzeczywistym</t>
  </si>
  <si>
    <t>Solicitar cotações em tempo real</t>
  </si>
  <si>
    <t>Solicită oferte în timp real</t>
  </si>
  <si>
    <t>Запросить котировки в реальном времени</t>
  </si>
  <si>
    <t>Vyžiadajte ponuky v reálnom čase</t>
  </si>
  <si>
    <t>Zahtevajte ponudbe v realnem času</t>
  </si>
  <si>
    <t>Zatražite podatke u realnom vremenu</t>
  </si>
  <si>
    <t>Begär noteringar i realtid</t>
  </si>
  <si>
    <t>ขอการเสนอราคา ณ ปัจจุบัน</t>
  </si>
  <si>
    <t>Gerçek zamanlı teklif iste</t>
  </si>
  <si>
    <t>Yêu cầu báo giá thời gian thực</t>
  </si>
  <si>
    <t>索取即时报价</t>
  </si>
  <si>
    <t>&gt;索取即時報價</t>
  </si>
  <si>
    <t>encryption_choice_omemo</t>
  </si>
  <si>
    <t>OMEMO</t>
  </si>
  <si>
    <t>أوميمو OMEMO</t>
  </si>
  <si>
    <t>ОМЕМО</t>
  </si>
  <si>
    <t>tt_leverage</t>
  </si>
  <si>
    <t>Leverage</t>
  </si>
  <si>
    <t>تأثير إيجابي</t>
  </si>
  <si>
    <t>Ливъридж</t>
  </si>
  <si>
    <t>Posílení (páka)</t>
  </si>
  <si>
    <t>Μόχλευση</t>
  </si>
  <si>
    <t>Lainarahoitus</t>
  </si>
  <si>
    <t>Levier financier</t>
  </si>
  <si>
    <t>लाभ उठाएँ</t>
  </si>
  <si>
    <t>Tőkeáttétel</t>
  </si>
  <si>
    <t>Pengaruh</t>
  </si>
  <si>
    <t>Leva Finanziaria</t>
  </si>
  <si>
    <t>מינוף</t>
  </si>
  <si>
    <t>レバレッジ</t>
  </si>
  <si>
    <t>레버리지</t>
  </si>
  <si>
    <t>Leveraj</t>
  </si>
  <si>
    <t>Hefboomwerking</t>
  </si>
  <si>
    <t>Dźwignia</t>
  </si>
  <si>
    <t>Alavancagem</t>
  </si>
  <si>
    <t>Efect de Levier</t>
  </si>
  <si>
    <t>Левередж</t>
  </si>
  <si>
    <t>Investovanie finančných prostriedkov</t>
  </si>
  <si>
    <t>Finančni vzvod</t>
  </si>
  <si>
    <t>Hävstång</t>
  </si>
  <si>
    <t>เลเวอเรจ</t>
  </si>
  <si>
    <t>Kaldıraç</t>
  </si>
  <si>
    <t>Đòn bẩy</t>
  </si>
  <si>
    <t>杠杆作用</t>
  </si>
  <si>
    <t>tt_mail_android_subject</t>
  </si>
  <si>
    <t>baha Android App</t>
  </si>
  <si>
    <t>تطبيق TeleTrader Android</t>
  </si>
  <si>
    <t>TeleTrader Android App</t>
  </si>
  <si>
    <t>Aplikace TeleTrader pro Android</t>
  </si>
  <si>
    <t>TeleTrader Android-app</t>
  </si>
  <si>
    <t>Εφαρμογή TeleTrader για Android</t>
  </si>
  <si>
    <t>TeleTrader Android -sovellus</t>
  </si>
  <si>
    <t>टेलीट्रेडर एंड्रॉइड ऐप</t>
  </si>
  <si>
    <t>Aplikasi Android TeleTrader</t>
  </si>
  <si>
    <t>אפליקציית TeleTrader באנדרואיד</t>
  </si>
  <si>
    <t>Aplicația Android TeleTrader</t>
  </si>
  <si>
    <t>Приложение baha для Android</t>
  </si>
  <si>
    <t>Aplikácia TeleTrader pre Android</t>
  </si>
  <si>
    <t>แอป TeleTrader สำหรับแอนดรอยด์</t>
  </si>
  <si>
    <t>Teletrader Android Uygulaması</t>
  </si>
  <si>
    <t>Ứng dụng TeleTrader trên Android</t>
  </si>
  <si>
    <t>TeleTrader Android 应用程式</t>
  </si>
  <si>
    <t>&gt;TeleTrader Android 應用程式</t>
  </si>
  <si>
    <t>tt_bid_ask_short</t>
  </si>
  <si>
    <t>Bid/Ask</t>
  </si>
  <si>
    <t>Купува/продава</t>
  </si>
  <si>
    <t>Nabídka/poptávka</t>
  </si>
  <si>
    <t>Bud/Spørg</t>
  </si>
  <si>
    <t>Προσφορά/Ζήτηση</t>
  </si>
  <si>
    <t>बोली/पूछें</t>
  </si>
  <si>
    <t>Vétel/eladás</t>
  </si>
  <si>
    <t>Tawaran/Permintaan</t>
  </si>
  <si>
    <t>הצעה/ בקשה</t>
  </si>
  <si>
    <t>売り／買い</t>
  </si>
  <si>
    <t>매수가격/매도가격</t>
  </si>
  <si>
    <t>Bod/offer</t>
  </si>
  <si>
    <t>Bud/etterspørsel</t>
  </si>
  <si>
    <t>Oferă/Cere</t>
  </si>
  <si>
    <t>Цена прод/Цена пок</t>
  </si>
  <si>
    <t>Zadať ponuku/spýtať sa</t>
  </si>
  <si>
    <t>Ponudba/Vprašaj</t>
  </si>
  <si>
    <t>Bjud/Fråga</t>
  </si>
  <si>
    <t>ประมูล/เสนอขาย</t>
  </si>
  <si>
    <t>Teklif ver/Sor</t>
  </si>
  <si>
    <t>pref_display_enter_key</t>
  </si>
  <si>
    <t>Show enter key</t>
  </si>
  <si>
    <t>عرض مفتاح الادخال</t>
  </si>
  <si>
    <t>Показване на клавиша Enter</t>
  </si>
  <si>
    <t>Mostra el botó enter</t>
  </si>
  <si>
    <t>Zeige Eingabe-Taste (Enter)</t>
  </si>
  <si>
    <t>Mostrar tecla Intro</t>
  </si>
  <si>
    <t>Afficher la touche Entrée</t>
  </si>
  <si>
    <t>Mostrar a tecla Enter</t>
  </si>
  <si>
    <t>Enter gombot mutassa</t>
  </si>
  <si>
    <t>Tampilkan masukan kunci</t>
  </si>
  <si>
    <t>Mostra il tasto invio</t>
  </si>
  <si>
    <t>Enter キーを表示</t>
  </si>
  <si>
    <t>엔터 키 표시</t>
  </si>
  <si>
    <t>Toon enter-toets</t>
  </si>
  <si>
    <t>Pokaż klawisz Enter</t>
  </si>
  <si>
    <t>Exibir tecla enter</t>
  </si>
  <si>
    <t>Показывать клавишу ввода</t>
  </si>
  <si>
    <t>Zobraziť klávesu enter</t>
  </si>
  <si>
    <t>Прикажи Ентер тастер</t>
  </si>
  <si>
    <t>Visa enter-knappen</t>
  </si>
  <si>
    <t>Відобразити клавішу enter</t>
  </si>
  <si>
    <t>Hiện nút Enter</t>
  </si>
  <si>
    <t>顯示回車鍵</t>
  </si>
  <si>
    <t>aggregate</t>
  </si>
  <si>
    <t>Grouping</t>
  </si>
  <si>
    <t>تجميع</t>
  </si>
  <si>
    <t>Групиране</t>
  </si>
  <si>
    <t>Seskupení</t>
  </si>
  <si>
    <t>Gruppering</t>
  </si>
  <si>
    <t>Gruppierung</t>
  </si>
  <si>
    <t>Ομαδοποίηση</t>
  </si>
  <si>
    <t>Agrupación</t>
  </si>
  <si>
    <t>Ryhmittely</t>
  </si>
  <si>
    <t>Regroupement</t>
  </si>
  <si>
    <t>समूहीकरण</t>
  </si>
  <si>
    <t>Csoportosítás</t>
  </si>
  <si>
    <t>Kumpulan</t>
  </si>
  <si>
    <t>Raggruppamento</t>
  </si>
  <si>
    <t>קיבוץ</t>
  </si>
  <si>
    <t>分類する</t>
  </si>
  <si>
    <t>그룹화</t>
  </si>
  <si>
    <t>groeperen</t>
  </si>
  <si>
    <t>Grupowanie</t>
  </si>
  <si>
    <t>Agrupamento</t>
  </si>
  <si>
    <t>Grupare</t>
  </si>
  <si>
    <t>Группирование</t>
  </si>
  <si>
    <t>Zoskupenia</t>
  </si>
  <si>
    <t>Razvrščanje v skupine</t>
  </si>
  <si>
    <t>Grupisanje</t>
  </si>
  <si>
    <t>จัดกลุ่ม</t>
  </si>
  <si>
    <t>Grup</t>
  </si>
  <si>
    <t>Phân nhóm</t>
  </si>
  <si>
    <t>分组</t>
  </si>
  <si>
    <t>tt_addtolimits</t>
  </si>
  <si>
    <t>Add Alert</t>
  </si>
  <si>
    <t>إضافة تنبيه</t>
  </si>
  <si>
    <t>Добави сигнал</t>
  </si>
  <si>
    <t>Přidat upozornění</t>
  </si>
  <si>
    <t>Tilføj alarm</t>
  </si>
  <si>
    <t>Limit hinzufügen</t>
  </si>
  <si>
    <t>Προσθήκη ειδοποίησης</t>
  </si>
  <si>
    <t>Añadir límite</t>
  </si>
  <si>
    <t>Lisää hälytys</t>
  </si>
  <si>
    <t>Ajouter une alerte</t>
  </si>
  <si>
    <t>अलर्ट जोड़ें</t>
  </si>
  <si>
    <t>Riasztás hozzáadása</t>
  </si>
  <si>
    <t>Tambahkan Keterangan</t>
  </si>
  <si>
    <t>Aggiungi Avviso</t>
  </si>
  <si>
    <t>הוסף התראה</t>
  </si>
  <si>
    <t>アラートを追加</t>
  </si>
  <si>
    <t>알람 추가</t>
  </si>
  <si>
    <t>Tambah Makluman</t>
  </si>
  <si>
    <t>Voeg alert toe</t>
  </si>
  <si>
    <t>Legg til varsel</t>
  </si>
  <si>
    <t>Dodaj limit</t>
  </si>
  <si>
    <t>Adicionar Alerta</t>
  </si>
  <si>
    <t>Adaugă Alerta</t>
  </si>
  <si>
    <t>Установить предельную стоимость</t>
  </si>
  <si>
    <t>Pridať upozornenie</t>
  </si>
  <si>
    <t>Dodaj opozorilo</t>
  </si>
  <si>
    <t>Dodaj Alarm</t>
  </si>
  <si>
    <t>Lägg till varning</t>
  </si>
  <si>
    <t>เพิ่มการแจ้งเตือน</t>
  </si>
  <si>
    <t>Uyarı Ekle</t>
  </si>
  <si>
    <t>Thêm cảnh báo</t>
  </si>
  <si>
    <t>加入警示</t>
  </si>
  <si>
    <t>&gt;加入警示</t>
  </si>
  <si>
    <t>touch_to_choose_picture</t>
  </si>
  <si>
    <t>Touch avatar to select picture from gallery</t>
  </si>
  <si>
    <t>إضغط على الصورة الرمزية لانتقاء صورة من الأستوديو</t>
  </si>
  <si>
    <t>Докоснете аватара, за да изберете изображение от галерията</t>
  </si>
  <si>
    <t>Toqueu l\'avatar per triar una imatge de la galeria</t>
  </si>
  <si>
    <t>Avatar antippen, um Bild aus Galerie auszuwählen</t>
  </si>
  <si>
    <t>Pulsa para seleccionar una imagen de la galería</t>
  </si>
  <si>
    <t>Toucher l\'avatar pour choisir une image depuis la galerie.</t>
  </si>
  <si>
    <t>Toque no avatar para escoller imaxe desde a galería</t>
  </si>
  <si>
    <t>Érintsd meg a piktogramot kép kiválasztásához</t>
  </si>
  <si>
    <t>Sentuh Avatar untuk memilih gambar dari gallery</t>
  </si>
  <si>
    <t>Tocca l’avatar per selezionare l’immagine dalla galleria</t>
  </si>
  <si>
    <t>アバターをタッチしてギャラリーから画像を選択します</t>
  </si>
  <si>
    <t>갤러리에서 사진을 선택하기 위해 아바타를 터치하세요</t>
  </si>
  <si>
    <t>Tik op avatar om een foto uit de galerij te kiezen</t>
  </si>
  <si>
    <t>Naciśnij awatar, żeby wybrać obraz z galerii</t>
  </si>
  <si>
    <t>Toque no avatar para escolher uma imagem da galeria</t>
  </si>
  <si>
    <t>Нажмите на аватар, чтобы выбрать новую фотографию из галереи</t>
  </si>
  <si>
    <t>Kliknúť na avatar a vybrať obrázok z galérie</t>
  </si>
  <si>
    <t>Тапните аватар да изаберете слику из галерије</t>
  </si>
  <si>
    <t>Tryck på avatarbild för att välja en bild från bildgalleriet</t>
  </si>
  <si>
    <t>Galeriden Resim\'i seçmek için Avatar\'a dokunun</t>
  </si>
  <si>
    <t>Торкніться аватару, щоб вибрати зображення з галереї</t>
  </si>
  <si>
    <t>Chạm ảnh đại diện để chọn hình từ bộ sưu tập</t>
  </si>
  <si>
    <t>點擊頭像可從相冊中選擇頭像</t>
  </si>
  <si>
    <t>confirm</t>
  </si>
  <si>
    <t>Потвърждаване</t>
  </si>
  <si>
    <t>Jóváhagy</t>
  </si>
  <si>
    <t>Conferma</t>
  </si>
  <si>
    <t>確認</t>
  </si>
  <si>
    <t>Bevestigen</t>
  </si>
  <si>
    <t>Потврди</t>
  </si>
  <si>
    <t>Підтвердити</t>
  </si>
  <si>
    <t>pref_omemo_setting_summary_always</t>
  </si>
  <si>
    <t>OMEMO will always be used for one-on-one and private group chats.</t>
  </si>
  <si>
    <t>OMEMO ще се използва винаги за частни групови разговори и такива с един събеседник.</t>
  </si>
  <si>
    <t>OMEMO sempre s\'utilitzarà per a xerrades individuals i privades en grup.</t>
  </si>
  <si>
    <t>OMEMO wird immer für persönliche Unterhaltungen und private Gruppenchats verwendet.</t>
  </si>
  <si>
    <t>OMEMO siempre será usado para conversaciones uno a uno y en conversaciones en grupo privadas.</t>
  </si>
  <si>
    <t>OMEMO sera toujours utilisé pour des discussions à deux ou de groupes privés.</t>
  </si>
  <si>
    <t>OMEMO sempre se utilizará para charlas individuais e privadas en grupo.</t>
  </si>
  <si>
    <t>OMEMO lesz mindig használva az egy-egy és egyéni csoportos beszélgetésekhez.</t>
  </si>
  <si>
    <t>OMEMO verrà sempre usato per chat singole e di gruppi privati.</t>
  </si>
  <si>
    <t>OMEMO は1対1の会話とグループチャットで常に使用されます。</t>
  </si>
  <si>
    <t>OMEMO zal altijd gebruikt worden voor één-op-één- privégroepsgesprekken.</t>
  </si>
  <si>
    <t>OMEMO będzie zawsze używane w rozmowach 1:1 oraz prywatnych rozmowach grupowych.</t>
  </si>
  <si>
    <t>ОМЕМО ће увек бити у употреби за један-на-један и приватна групна ћаскања.</t>
  </si>
  <si>
    <t>一對一以及私人群組的聊天一定會用 OMEMO</t>
  </si>
  <si>
    <t>preemptively_grant</t>
  </si>
  <si>
    <t>Preemptively grant subscription request</t>
  </si>
  <si>
    <t>Предварително позволяване на абониране при заявка</t>
  </si>
  <si>
    <t>Accepta les peticions de subscripció preventivament</t>
  </si>
  <si>
    <t>Statusanfragen vorab erlauben</t>
  </si>
  <si>
    <t>De forma automática conceder suscripción de presencia</t>
  </si>
  <si>
    <t>Accepter par avance les demandes de publication.</t>
  </si>
  <si>
    <t>Por defecto otorgar peticiones de suscripción</t>
  </si>
  <si>
    <t>Megadja a feliratkozás kérelmekre az engedélyt</t>
  </si>
  <si>
    <t>Ijinkan permintaan berlangganan</t>
  </si>
  <si>
    <t>Concedi aggiornamenti della presenza preventivamente</t>
  </si>
  <si>
    <t>事前にサブスクリプション要求を許可する</t>
  </si>
  <si>
    <t>구독 요청을 선제적으로 허가</t>
  </si>
  <si>
    <t>Op voorhand toestemming verlenen voor abonneren</t>
  </si>
  <si>
    <t>Automatyczne powiadomienia obecności</t>
  </si>
  <si>
    <t>Conceder pedido de subscrição antecipadamente</t>
  </si>
  <si>
    <t>Удовлетворять запросы на подписки</t>
  </si>
  <si>
    <t>Aktívne povoliť vyžiadanie zmeny stavu</t>
  </si>
  <si>
    <t>Унапред дозволи захтев за претплатом</t>
  </si>
  <si>
    <t>Tillåt abonnemangsbegäran i förväg</t>
  </si>
  <si>
    <t>Попередньо давати запит на підпису</t>
  </si>
  <si>
    <t>Ưu tiên trao quyền yêu cầu đăng ký</t>
  </si>
  <si>
    <t>預先同意訂閱請求</t>
  </si>
  <si>
    <t>skip_tutorial</t>
  </si>
  <si>
    <t>Skip tutorial</t>
  </si>
  <si>
    <t>تخطي البرنامج التعليمي</t>
  </si>
  <si>
    <t>Пропусни урока</t>
  </si>
  <si>
    <t>Přeskočit kurz</t>
  </si>
  <si>
    <t>Spring tutorial over</t>
  </si>
  <si>
    <t>Tutorial überspringen</t>
  </si>
  <si>
    <t>Παράλειψη εκπαίδευσης</t>
  </si>
  <si>
    <t>Saltear tutorial</t>
  </si>
  <si>
    <t>Ohita opastus</t>
  </si>
  <si>
    <t>Ignorer tutoriel</t>
  </si>
  <si>
    <t>ट्यूटोरियल को छोड़ दें</t>
  </si>
  <si>
    <t>Kihagy oktatói</t>
  </si>
  <si>
    <t>Lewati Bimbingan</t>
  </si>
  <si>
    <t>Ometti i lezioni</t>
  </si>
  <si>
    <t>דלג על הדרכה</t>
  </si>
  <si>
    <t>チュートリアルをスキップする</t>
  </si>
  <si>
    <t>튜토리얼 넘기기</t>
  </si>
  <si>
    <t>Langkaui Bimbingan</t>
  </si>
  <si>
    <t>Handleiding overslaan</t>
  </si>
  <si>
    <t>Hopp over opplæring</t>
  </si>
  <si>
    <t>Pomiń tutorial</t>
  </si>
  <si>
    <t>Saltar tutorial</t>
  </si>
  <si>
    <t>Treci la tutorial</t>
  </si>
  <si>
    <t>Пропустить инструкцию</t>
  </si>
  <si>
    <t>Preskočiť inštruktážny program</t>
  </si>
  <si>
    <t>Preskoči vadnico</t>
  </si>
  <si>
    <t>Preskoči uputstva</t>
  </si>
  <si>
    <t>Hoppa över handledningen</t>
  </si>
  <si>
    <t>ข้ามการสาธิต</t>
  </si>
  <si>
    <t>Öğreticiyi atle</t>
  </si>
  <si>
    <t>Bỏ qua hướng dẫn</t>
  </si>
  <si>
    <t>跳过教程</t>
  </si>
  <si>
    <t>tt_indicator_settings_deviation2</t>
  </si>
  <si>
    <t>Deviation2</t>
  </si>
  <si>
    <t>الانحراف 2</t>
  </si>
  <si>
    <t>Отклонение2</t>
  </si>
  <si>
    <t>Odchylka2</t>
  </si>
  <si>
    <t>Afvigelse2</t>
  </si>
  <si>
    <t>Απόκλιση2</t>
  </si>
  <si>
    <t>Poikkeama2</t>
  </si>
  <si>
    <t>विचलन2</t>
  </si>
  <si>
    <t>Penyimpangan2</t>
  </si>
  <si>
    <t>סטייה 2</t>
  </si>
  <si>
    <t>偏差値２</t>
  </si>
  <si>
    <t>편차2</t>
  </si>
  <si>
    <t>Sisihan2</t>
  </si>
  <si>
    <t>Afwijking2</t>
  </si>
  <si>
    <t>Avvik2</t>
  </si>
  <si>
    <t>Desvio 2</t>
  </si>
  <si>
    <t>Abatere2</t>
  </si>
  <si>
    <t>Колебание2</t>
  </si>
  <si>
    <t>Odchýlka2</t>
  </si>
  <si>
    <t>Odklon2</t>
  </si>
  <si>
    <t>ส่วนเบี่ยงเบน 2</t>
  </si>
  <si>
    <t>Deviasyon2</t>
  </si>
  <si>
    <t>Sai lệch2</t>
  </si>
  <si>
    <t>偏差2</t>
  </si>
  <si>
    <t>&gt;偏差2</t>
  </si>
  <si>
    <t>tt_internet_communication_error</t>
  </si>
  <si>
    <t>Internet communication error!</t>
  </si>
  <si>
    <t>خطأ في الاتصال بالإنترنت!</t>
  </si>
  <si>
    <t>Грешка в нтернет комуникацията!</t>
  </si>
  <si>
    <t>Chyba internetové komunikace!</t>
  </si>
  <si>
    <t>Internet kommunikationsfejl!</t>
  </si>
  <si>
    <t>Verbindungsfehler!</t>
  </si>
  <si>
    <t>Σφάλμα επικοινωνίας στο Διαδίκτυο!</t>
  </si>
  <si>
    <t>¡Error de comunicación de Internet!</t>
  </si>
  <si>
    <t>Internet-viestintävirhe!</t>
  </si>
  <si>
    <t>Erreur de communication Internet</t>
  </si>
  <si>
    <t>इंटरनेट संचार में त्रुटि!</t>
  </si>
  <si>
    <t>Internet kommunikációs hiba!</t>
  </si>
  <si>
    <t>Masalah komunikasi internet!</t>
  </si>
  <si>
    <t>Errore di connessione Internet!</t>
  </si>
  <si>
    <t>שגיאת תקשורת באינטרנט!</t>
  </si>
  <si>
    <t>インターネットコミュニケーションエラー発生</t>
  </si>
  <si>
    <t>인터넷 통신 오류입니다!</t>
  </si>
  <si>
    <t>Internet communicatiefout!</t>
  </si>
  <si>
    <t>Internett-kommunikasjonsfeil!</t>
  </si>
  <si>
    <t>Błąd połączenia z Internetem!</t>
  </si>
  <si>
    <t>Erro de comunicação de internet!</t>
  </si>
  <si>
    <t>Eroare de comunicare pe Internet!</t>
  </si>
  <si>
    <t>Ошибка подключения к интернету</t>
  </si>
  <si>
    <t>Chyba internetovej komunikácie!</t>
  </si>
  <si>
    <t>Napaka v internetni komunikaciji!</t>
  </si>
  <si>
    <t>Greška u internet komunikaciji</t>
  </si>
  <si>
    <t>Internetkommunikationsfel!</t>
  </si>
  <si>
    <t>การเชื่อมต่อมีความขัดข้อง!</t>
  </si>
  <si>
    <t>İnternet iletişim hatası!</t>
  </si>
  <si>
    <t>Lỗi giao tiếp Internet!</t>
  </si>
  <si>
    <t>互联网通信错误！</t>
  </si>
  <si>
    <t>&gt;互聯網通信錯誤!</t>
  </si>
  <si>
    <t>last_seen_days</t>
  </si>
  <si>
    <t>last seen %d days ago</t>
  </si>
  <si>
    <t>آخر ظهور منذ %d يوم</t>
  </si>
  <si>
    <t>последно видян преди %d дни</t>
  </si>
  <si>
    <t>darrera connexió: fa %d dies</t>
  </si>
  <si>
    <t>vor %d Tagen gesehen</t>
  </si>
  <si>
    <t>Visto última vez hace %d días</t>
  </si>
  <si>
    <t>en ligne il y a %d jours</t>
  </si>
  <si>
    <t>última conexión hai 1%d días</t>
  </si>
  <si>
    <t>%d napja volt aktív</t>
  </si>
  <si>
    <t>terlihat %d hari lalu</t>
  </si>
  <si>
    <t>visto %d giorni fa</t>
  </si>
  <si>
    <t>%d 日前に会いました</t>
  </si>
  <si>
    <t>%d 일 전까지 접속했었음</t>
  </si>
  <si>
    <t>%d dagen geleden voor het laatst gezien</t>
  </si>
  <si>
    <t>widziany %d dni temu</t>
  </si>
  <si>
    <t>visto %d dias atrás</t>
  </si>
  <si>
    <t>Присутствие: %d дн. назад</t>
  </si>
  <si>
    <t>naposledy prihlásený pred %d dňami</t>
  </si>
  <si>
    <t>виђен/а пре %d дана</t>
  </si>
  <si>
    <t>senast sedd %d dagar sedan</t>
  </si>
  <si>
    <t>востаннє бачили %d днів тому</t>
  </si>
  <si>
    <t>thấy lần cuối %d ngày trước</t>
  </si>
  <si>
    <t>%d 天前查看過</t>
  </si>
  <si>
    <t>tt_indicator_settings_deviation1</t>
  </si>
  <si>
    <t>Deviation1</t>
  </si>
  <si>
    <t>الانحراف 1</t>
  </si>
  <si>
    <t>Отклонение1</t>
  </si>
  <si>
    <t>Odchylka1</t>
  </si>
  <si>
    <t>Afvigelse1</t>
  </si>
  <si>
    <t>Απόκλιση1</t>
  </si>
  <si>
    <t>Poikkeama1</t>
  </si>
  <si>
    <t>विचलन1</t>
  </si>
  <si>
    <t>Penyimpangan1</t>
  </si>
  <si>
    <t>סטייה 1</t>
  </si>
  <si>
    <t>偏差値１</t>
  </si>
  <si>
    <t>편차1</t>
  </si>
  <si>
    <t>Sisihan1</t>
  </si>
  <si>
    <t>Afwijking1</t>
  </si>
  <si>
    <t>Avvik1</t>
  </si>
  <si>
    <t>Desvio 1</t>
  </si>
  <si>
    <t>Abatere1</t>
  </si>
  <si>
    <t>Колебание1</t>
  </si>
  <si>
    <t>Odchýlka1</t>
  </si>
  <si>
    <t>Odklon1</t>
  </si>
  <si>
    <t>ส่วนเบี่ยงเบน 1</t>
  </si>
  <si>
    <t>Deviasyon1</t>
  </si>
  <si>
    <t>Sai lệch1</t>
  </si>
  <si>
    <t>偏差1</t>
  </si>
  <si>
    <t>&gt;偏差1</t>
  </si>
  <si>
    <t>moldova</t>
  </si>
  <si>
    <t>Moldova</t>
  </si>
  <si>
    <t>Moldawien</t>
  </si>
  <si>
    <t>Moldavia</t>
  </si>
  <si>
    <t>Moldavie</t>
  </si>
  <si>
    <t>Молдавия</t>
  </si>
  <si>
    <t>Moldavija</t>
  </si>
  <si>
    <t>tt_etfs</t>
  </si>
  <si>
    <t>ETFs</t>
  </si>
  <si>
    <t>صناديق المؤشرات المتداولة</t>
  </si>
  <si>
    <t>ETF</t>
  </si>
  <si>
    <t>ETF\'er</t>
  </si>
  <si>
    <t>ETF:t</t>
  </si>
  <si>
    <t>ईटीएफ</t>
  </si>
  <si>
    <t>קרנות סל</t>
  </si>
  <si>
    <t>ETF-uri</t>
  </si>
  <si>
    <t>ETF-ji</t>
  </si>
  <si>
    <t>ETF:er</t>
  </si>
  <si>
    <t>BYF</t>
  </si>
  <si>
    <t>交易所交易基金（ETF）</t>
  </si>
  <si>
    <t>&gt;ETFs</t>
  </si>
  <si>
    <t>taiwan</t>
  </si>
  <si>
    <t>Taiwan, Republic of China</t>
  </si>
  <si>
    <t>Taiwan</t>
  </si>
  <si>
    <t>Taïwan, République de Chine</t>
  </si>
  <si>
    <t>Тайвань (Китайская Республика)</t>
  </si>
  <si>
    <t>Taijvan</t>
  </si>
  <si>
    <t>pref_delete_omemo_identities</t>
  </si>
  <si>
    <t>Delete OMEMO identities</t>
  </si>
  <si>
    <t>إحذف تعريفات أو مي مو OMEMO</t>
  </si>
  <si>
    <t>Изтриване на идентификаторите OMEMO</t>
  </si>
  <si>
    <t>Elimineu les identitats OMEMO</t>
  </si>
  <si>
    <t>OMEMO-Identitäten zurücksetzen</t>
  </si>
  <si>
    <t>Eliminar identidades OMEMO</t>
  </si>
  <si>
    <t>Effacer les identités OMEMO</t>
  </si>
  <si>
    <t>Borrar identidades OMEMO</t>
  </si>
  <si>
    <t>OMEMO identitások törlése</t>
  </si>
  <si>
    <t>Elimina identità OMEMO</t>
  </si>
  <si>
    <t>OMEMO ID を削除</t>
  </si>
  <si>
    <t>OMEMO ID를 삭제</t>
  </si>
  <si>
    <t>OMEMO-identiteiten verwijderen</t>
  </si>
  <si>
    <t>Usuń tożsamości OMEMO</t>
  </si>
  <si>
    <t>Apagar identidades OMEMO</t>
  </si>
  <si>
    <t>Удалить OMEMO ключи</t>
  </si>
  <si>
    <t>Обриши ОМЕМО идентитете</t>
  </si>
  <si>
    <t>Ta bort OMEMO identiteter</t>
  </si>
  <si>
    <t>Видалити ідентифікаційні дані OMEMO</t>
  </si>
  <si>
    <t>刪除 OMEMO 身份</t>
  </si>
  <si>
    <t>no_application_found_to_display_location</t>
  </si>
  <si>
    <t>No application found to display location</t>
  </si>
  <si>
    <t>لم يتم العثور على أي تطبيق يسمح بعرض الموقع الجغرافي</t>
  </si>
  <si>
    <t>Няма намерено приложение за показване на местоположението</t>
  </si>
  <si>
    <t>No s\'ha trobat cap aplicació per mostrar la localització</t>
  </si>
  <si>
    <t>Keine Anwendung für die Standortanzeige gefunden</t>
  </si>
  <si>
    <t>No se ha encontrado ninguna aplicación para mostrar la ubicación</t>
  </si>
  <si>
    <t>Aucune application trouvée pour afficher la position</t>
  </si>
  <si>
    <t>Non se atopou un aplicativo para mostrar a localización</t>
  </si>
  <si>
    <t>Nincs alkalmazás a helyzetének megjelenítéséhez</t>
  </si>
  <si>
    <t>Tidak ada aplikasi ditemukan untuk menampilkan lokasi</t>
  </si>
  <si>
    <t>Non è stata trovata alcuna applicazione per mostrare la posizione</t>
  </si>
  <si>
    <t>位置を表示するアプリケーションが見つかりません</t>
  </si>
  <si>
    <t>위치를 표시할 수 있는 앱이 발견되지 않았습니다</t>
  </si>
  <si>
    <t>Geen applicatie om locatie weer te geven</t>
  </si>
  <si>
    <t>Nie odnaleziono aplikacji do wyświetlenia lokalizacji</t>
  </si>
  <si>
    <t>Não foi encontrada nenhuma aplicação para mostrar a localização</t>
  </si>
  <si>
    <t>Не найдено приложений для отображения местоположения</t>
  </si>
  <si>
    <t>Nenašla sa aplikácia na zobrazenie polohy</t>
  </si>
  <si>
    <t>Нема апликације за приказ локације</t>
  </si>
  <si>
    <t>Kunde inte hitta applikation för att visa position</t>
  </si>
  <si>
    <t>Не знайдено програми, щоб показати місцезнаходження</t>
  </si>
  <si>
    <t>Không thấy ứng dụng nào có thể hiện vị trí</t>
  </si>
  <si>
    <t>無法找到顯示位置的應用</t>
  </si>
  <si>
    <t>error_publish_avatar_no_server_support</t>
  </si>
  <si>
    <t>Your server does not support the publication of avatars</t>
  </si>
  <si>
    <t>خادمك لا يتوفر على ميزة نشر الصور الرمزية</t>
  </si>
  <si>
    <t>Сървърът Ви не поддържа публикуване на аватари</t>
  </si>
  <si>
    <t>El vostre servidor no admet la publicació d\'avatars</t>
  </si>
  <si>
    <t>Dein Server unterstützt die Veröffentlichung von Avataren nicht.</t>
  </si>
  <si>
    <t>Tu servidor no soporta la publicación de imágenes de perfil</t>
  </si>
  <si>
    <t>Votre serveur n\'autorise pas la publication d\'avatars</t>
  </si>
  <si>
    <t>O seu servidor non admite a publicación de avatares</t>
  </si>
  <si>
    <t>A szerver nem támogatja a profilkép közzétételét</t>
  </si>
  <si>
    <t>Server Anda tidak mendukung publikasi Avatar</t>
  </si>
  <si>
    <t>Il tuo server non supporta la pubblicazione degli avatar</t>
  </si>
  <si>
    <t>ご利用のサーバーは、アバターの公開をサポートしていません</t>
  </si>
  <si>
    <t>서버가 아바타 발표를 지원하지 않습니다</t>
  </si>
  <si>
    <t>Je server ondersteunt de publicatie van avatars niet</t>
  </si>
  <si>
    <t>Serwer nie udostępnia możliwości publikacji awatarów</t>
  </si>
  <si>
    <t>O seu servidor não suporta a publicação de avatares</t>
  </si>
  <si>
    <t>Ваш сервер не поддерживает публикацию аватаров</t>
  </si>
  <si>
    <t>Váš server nepodporuje zverejňovanie avatarov</t>
  </si>
  <si>
    <t>Ваш сервер не подржава објаву аватара</t>
  </si>
  <si>
    <t>Din server stödjer inte publicering av avatarbilder</t>
  </si>
  <si>
    <t>Ваш сервер не підтримує публкацію аватарів</t>
  </si>
  <si>
    <t>Máy chủ của bạn không hỗ trợ việc đăng tải ảnh đại diện</t>
  </si>
  <si>
    <t>您的伺服器不支援發佈頭像</t>
  </si>
  <si>
    <t>tt_portfolio_type</t>
  </si>
  <si>
    <t>&gt;類型</t>
  </si>
  <si>
    <t>tt_distance_to_safety_level</t>
  </si>
  <si>
    <t>Distance to safety level</t>
  </si>
  <si>
    <t>المسافة إلى مستوى السلامة</t>
  </si>
  <si>
    <t>Разстояние до ниво на безопасност</t>
  </si>
  <si>
    <t>Vzdálenost k bezpečnostní úrovni</t>
  </si>
  <si>
    <t>Afstand til sikkerhedsniveau</t>
  </si>
  <si>
    <t>Abstand zur Barriere</t>
  </si>
  <si>
    <t>Απόσταση έως το επίπεδο ασφάλειας</t>
  </si>
  <si>
    <t>Distancia al nivel de seguridad</t>
  </si>
  <si>
    <t>Etäisyys turvallisuustasoon</t>
  </si>
  <si>
    <t>Distance jusqu\'au niveau de sécurité</t>
  </si>
  <si>
    <t>सुरक्षा स्तर से दूरी</t>
  </si>
  <si>
    <t>Távolság a biztonsági szintig</t>
  </si>
  <si>
    <t>Jarak ke tahap keselamatan</t>
  </si>
  <si>
    <t>Distanza a livello di sicurezza</t>
  </si>
  <si>
    <t>מרחק לרמת הבטיחות</t>
  </si>
  <si>
    <t>ディスタンスセイフティレベル</t>
  </si>
  <si>
    <t>안전 수준까지 거리</t>
  </si>
  <si>
    <t>Afstand tot veiligheidsniveau</t>
  </si>
  <si>
    <t>Avstand til sikkerhetsnivå</t>
  </si>
  <si>
    <t>Odległość od poziomu bezpieczeństwa</t>
  </si>
  <si>
    <t>Distância para o nível de segurança</t>
  </si>
  <si>
    <t>Distanța până la nivelul de siguranță</t>
  </si>
  <si>
    <t>Расстояние до уровня безопасности</t>
  </si>
  <si>
    <t>Vzdialenosť od bezpečnostnej úrovne</t>
  </si>
  <si>
    <t>Oddaljenost do stopnje varnosti</t>
  </si>
  <si>
    <t>Razlika do nivoa sigurnosti</t>
  </si>
  <si>
    <t>Avstånd till säkerhetsnivå</t>
  </si>
  <si>
    <t>ระยะห่างจากระดับความปลอดภัย</t>
  </si>
  <si>
    <t>Güvenli seviyeye kalan uzaklık</t>
  </si>
  <si>
    <t>Khoảng cách đến mức an toàn</t>
  </si>
  <si>
    <t>到安全水平的距离</t>
  </si>
  <si>
    <t>download_failed_server_not_found</t>
  </si>
  <si>
    <t>Download failed: Server not found</t>
  </si>
  <si>
    <t>فشل التنزيل : لم يتم العثور على السيرفر</t>
  </si>
  <si>
    <t>Неуспешно сваляне: Сървърът не е открит</t>
  </si>
  <si>
    <t>S\'ha produït un error de baixada: el servidor no s\'ha trobat</t>
  </si>
  <si>
    <t>Download fehlgeschlagen: Server nicht gefunden</t>
  </si>
  <si>
    <t>Error al descargar: Servidor no encontrado</t>
  </si>
  <si>
    <t>Échec du téléchargement : impossible de trouver le serveur</t>
  </si>
  <si>
    <t>Fallou a descarga: non se atopou o servidor</t>
  </si>
  <si>
    <t>Letöltés sikertelen: A kiszolgáló nem található</t>
  </si>
  <si>
    <t>Unduhan gagal: Server tidak ditemukan</t>
  </si>
  <si>
    <t>Scaricamento fallito: server non trovato</t>
  </si>
  <si>
    <t>ダウンロードに失敗しました: サーバーが見つかりません</t>
  </si>
  <si>
    <t>다운로드 실패: 서버가 발견되지 않음</t>
  </si>
  <si>
    <t>Downloaden mislukt: server niet gevonden</t>
  </si>
  <si>
    <t>Pobieranie nieudane: Nie odnaleziono serwera</t>
  </si>
  <si>
    <t>Transferência falhou: Servidor não encontrado</t>
  </si>
  <si>
    <t>Загрузка не удалась: сервер не найден</t>
  </si>
  <si>
    <t>Преузимање није успело: сервер није нађен</t>
  </si>
  <si>
    <t>Nerladdning gick fel: Server hittades inte</t>
  </si>
  <si>
    <t>Завантаження не вдалося: Сервер не знайдено</t>
  </si>
  <si>
    <t>Tải xuống thất bại: Không thấy máy chủ</t>
  </si>
  <si>
    <t>下載失敗：未找到伺服器</t>
  </si>
  <si>
    <t>tt_imprint_description</t>
  </si>
  <si>
    <t>Responsible for the App: baha GmbH</t>
  </si>
  <si>
    <t>المسؤول عن التطبيق: TeleTrader GmbH</t>
  </si>
  <si>
    <t>Отговорни за приложението: TeleTrader GmbH</t>
  </si>
  <si>
    <t>Za aplikaci zodpovídá: TeleTrader GmbH</t>
  </si>
  <si>
    <t>Ansvarlig for appen: TeleTrader GmbH</t>
  </si>
  <si>
    <t>Verantwortlich für diese App ist: baha GmbH</t>
  </si>
  <si>
    <t>Υπεύθυνος για την εφαρμογή: TeleTrader GmbH</t>
  </si>
  <si>
    <t>El responsable de esta App es: baha GmbH</t>
  </si>
  <si>
    <t>Vastuu sovelluksesta: TeleTrader GmbH</t>
  </si>
  <si>
    <t>Cette application est sous la responsabilité de TeleTrader GmbH</t>
  </si>
  <si>
    <t>ऐप के लिए उत्तरदायी: टेलीट्रेडर जीएमबीएच</t>
  </si>
  <si>
    <t>A kiadó neve, a dátummal, a címmel és a kiadás évével</t>
  </si>
  <si>
    <t>Bertanggungjawab untuk Aplikasi: TeleTrader GmbH</t>
  </si>
  <si>
    <t>Responsabile per il App: TeleTrader GmbH</t>
  </si>
  <si>
    <t>האחראי על האפליקציה: TeleTrader GmbH</t>
  </si>
  <si>
    <t>このアプリケーションはTele Trader GmbHが責任を負います</t>
  </si>
  <si>
    <t>앱 책임자: TeleTrader GmbH</t>
  </si>
  <si>
    <t>Verantwoordelijk voor deze App: Teletrader GmbH</t>
  </si>
  <si>
    <t>Odpowiedzialny za aplikację jest: TeleTrader GmbH</t>
  </si>
  <si>
    <t>Responsável pela App: TeleTrader GmbH</t>
  </si>
  <si>
    <t>Responsabil pentru aplicație: TeleTrader GmbH</t>
  </si>
  <si>
    <t>Ответственный за приложение: baha GmbH</t>
  </si>
  <si>
    <t>Zodpovedný za aplikáciu: TeleTrader GmbH</t>
  </si>
  <si>
    <t>Odgovoren za aplikacijo: TeleTrader GmbH</t>
  </si>
  <si>
    <t>Vlasnik ove aplikacije je: TeleTrader GmbH</t>
  </si>
  <si>
    <t>Ansvarig för appen: TeleTrader GmbH</t>
  </si>
  <si>
    <t>ใช้กับแอป TeleTrader GmbH</t>
  </si>
  <si>
    <t>Uygulama Sorumlusu: Teletrader GmbH</t>
  </si>
  <si>
    <t>Chịu trách nhiệm về ứng dụng: TeleTrader GmbH</t>
  </si>
  <si>
    <t>TeleTrader GmbH负责此应用程式</t>
  </si>
  <si>
    <t>&gt;TeleTrader GmbH負責此應用程式</t>
  </si>
  <si>
    <t>tt_newpassword</t>
  </si>
  <si>
    <t>Nyt kodeord</t>
  </si>
  <si>
    <t>Νέος Κωδικός</t>
  </si>
  <si>
    <t>Uusi salasana</t>
  </si>
  <si>
    <t>नया पासवर्ड</t>
  </si>
  <si>
    <t>Kata sandi baru</t>
  </si>
  <si>
    <t>Nuovo password</t>
  </si>
  <si>
    <t>סיסמה חדשה</t>
  </si>
  <si>
    <t>新規パスワード</t>
  </si>
  <si>
    <t>새 비밀번호</t>
  </si>
  <si>
    <t>Kata laluan baru</t>
  </si>
  <si>
    <t>Nieuw password</t>
  </si>
  <si>
    <t>Nytt passord</t>
  </si>
  <si>
    <t>Nova senha</t>
  </si>
  <si>
    <t>Parolă nouă</t>
  </si>
  <si>
    <t>Novo geslo</t>
  </si>
  <si>
    <t>Nova lozinka</t>
  </si>
  <si>
    <t>รหัสผ่านใหม่</t>
  </si>
  <si>
    <t>Yeni şifre</t>
  </si>
  <si>
    <t>新密码</t>
  </si>
  <si>
    <t>&gt;新密碼</t>
  </si>
  <si>
    <t>send_chat_image_problem</t>
  </si>
  <si>
    <t>Problem sending image.</t>
  </si>
  <si>
    <t>Problem beim Senden des Bildes.</t>
  </si>
  <si>
    <t>Problema enviando imagen.</t>
  </si>
  <si>
    <t>Problème avec l\'envoi de l\'image.</t>
  </si>
  <si>
    <t>Probléma a kép küldésével.</t>
  </si>
  <si>
    <t>Problema di invio dell\'immagine.</t>
  </si>
  <si>
    <t>Проблема с отправкой изображения.</t>
  </si>
  <si>
    <t>Problem u toku slanja slike.</t>
  </si>
  <si>
    <t>tt_portfolio_outpayment</t>
  </si>
  <si>
    <t>Redemption</t>
  </si>
  <si>
    <t>استرداد</t>
  </si>
  <si>
    <t>Изкупуване</t>
  </si>
  <si>
    <t>Vykoupení</t>
  </si>
  <si>
    <t>Indløsning</t>
  </si>
  <si>
    <t>Auszahlung</t>
  </si>
  <si>
    <t>Εξαγορά</t>
  </si>
  <si>
    <t>Reembolso</t>
  </si>
  <si>
    <t>Lunastus</t>
  </si>
  <si>
    <t>Remboursement</t>
  </si>
  <si>
    <t>मोचन</t>
  </si>
  <si>
    <t>Kifizetés</t>
  </si>
  <si>
    <t>Penebusan</t>
  </si>
  <si>
    <t>Rimborso</t>
  </si>
  <si>
    <t>פדיון</t>
  </si>
  <si>
    <t>売却</t>
  </si>
  <si>
    <t>상환</t>
  </si>
  <si>
    <t>Innløsning</t>
  </si>
  <si>
    <t>Odkupienie</t>
  </si>
  <si>
    <t>Resgate</t>
  </si>
  <si>
    <t>Răscumpărare</t>
  </si>
  <si>
    <t>Выплата</t>
  </si>
  <si>
    <t>Amortizácia</t>
  </si>
  <si>
    <t>Odkup</t>
  </si>
  <si>
    <t>Isplata sredstava</t>
  </si>
  <si>
    <t>Lösen</t>
  </si>
  <si>
    <t>การไถ่ถอน</t>
  </si>
  <si>
    <t>Amortisman</t>
  </si>
  <si>
    <t>Mua lại</t>
  </si>
  <si>
    <t>赎回</t>
  </si>
  <si>
    <t>&gt;贖回</t>
  </si>
  <si>
    <t>unable_to_save_recording</t>
  </si>
  <si>
    <t>Unable to save recording</t>
  </si>
  <si>
    <t>Записът не може да бъде запазен</t>
  </si>
  <si>
    <t>Aufnahme kann nicht gespeichert werden</t>
  </si>
  <si>
    <t>No se ha podido grabar la grabación</t>
  </si>
  <si>
    <t>Impossible de sauvegarder l\'enregistrement</t>
  </si>
  <si>
    <t>Non se puido gardar a gravación</t>
  </si>
  <si>
    <t>Nem sikerült rögzíteni a felvételt</t>
  </si>
  <si>
    <t>Impossibile salvare la registrazione</t>
  </si>
  <si>
    <t>Kan opname niet opslaan</t>
  </si>
  <si>
    <t>Nie można zapisać nagrania</t>
  </si>
  <si>
    <t>tt_daterange_6months</t>
  </si>
  <si>
    <t>6 Ay</t>
  </si>
  <si>
    <t>is_this_your_phone_number</t>
  </si>
  <si>
    <t>Is this your phone number?</t>
  </si>
  <si>
    <t>lesotho</t>
  </si>
  <si>
    <t>Lesotho</t>
  </si>
  <si>
    <t>Lesoto</t>
  </si>
  <si>
    <t>Лесото</t>
  </si>
  <si>
    <t>tt_vertical_axis</t>
  </si>
  <si>
    <t>Y-axis Type</t>
  </si>
  <si>
    <t>نوع محور صادي</t>
  </si>
  <si>
    <t>Тип Y-ос</t>
  </si>
  <si>
    <t>Typ osy Y</t>
  </si>
  <si>
    <t>Y-akse Type</t>
  </si>
  <si>
    <t>Y-axis Typ</t>
  </si>
  <si>
    <t>Τύπος άξονα Υ</t>
  </si>
  <si>
    <t>Tipo de escala</t>
  </si>
  <si>
    <t>Y-akselin tyyppi</t>
  </si>
  <si>
    <t>Type d\'axe en Y</t>
  </si>
  <si>
    <t>वाई- अक्ष प्रकार</t>
  </si>
  <si>
    <t>Y-tengely százalékban</t>
  </si>
  <si>
    <t>Jenis sumbu Y</t>
  </si>
  <si>
    <t>Tipo di Y-asse</t>
  </si>
  <si>
    <t>סוג ציר Y</t>
  </si>
  <si>
    <t>縦軸</t>
  </si>
  <si>
    <t>Jenis paksi Y</t>
  </si>
  <si>
    <t>Y-akse type</t>
  </si>
  <si>
    <t>Typ osi Y</t>
  </si>
  <si>
    <t>Tipo de eixo Y</t>
  </si>
  <si>
    <t>Tip Axa-A</t>
  </si>
  <si>
    <t>Ось кординат</t>
  </si>
  <si>
    <t>Vrsta osi Y</t>
  </si>
  <si>
    <t>Tip Y ose</t>
  </si>
  <si>
    <t>Y-axeltyp</t>
  </si>
  <si>
    <t>ประเภทแกน Y</t>
  </si>
  <si>
    <t>Y ekseni Tipi</t>
  </si>
  <si>
    <t>Kiểu trục Y</t>
  </si>
  <si>
    <t>Y轴类别</t>
  </si>
  <si>
    <t>&gt;Y軸類別</t>
  </si>
  <si>
    <t>tt_keydata_sectorname</t>
  </si>
  <si>
    <t>Sector</t>
  </si>
  <si>
    <t>القطاع</t>
  </si>
  <si>
    <t>Сектор</t>
  </si>
  <si>
    <t>Sektor</t>
  </si>
  <si>
    <t>Τομέας</t>
  </si>
  <si>
    <t>Sektori</t>
  </si>
  <si>
    <t>Secteur</t>
  </si>
  <si>
    <t>सेक्टर</t>
  </si>
  <si>
    <t>Settore</t>
  </si>
  <si>
    <t>גזרה</t>
  </si>
  <si>
    <t>セクター</t>
  </si>
  <si>
    <t>섹터</t>
  </si>
  <si>
    <t>Setor</t>
  </si>
  <si>
    <t>ภาคส่วน</t>
  </si>
  <si>
    <t>Sektör</t>
  </si>
  <si>
    <t>Khu vực</t>
  </si>
  <si>
    <t>类别</t>
  </si>
  <si>
    <t>&gt;類別</t>
  </si>
  <si>
    <t>belarus</t>
  </si>
  <si>
    <t>Belarus</t>
  </si>
  <si>
    <t>Weißrussland</t>
  </si>
  <si>
    <t>Bielorrusia</t>
  </si>
  <si>
    <t>Biélorussie</t>
  </si>
  <si>
    <t>Белоруссия</t>
  </si>
  <si>
    <t>Belorusija</t>
  </si>
  <si>
    <t>tt_knock_out</t>
  </si>
  <si>
    <t>Knock-Out</t>
  </si>
  <si>
    <t>خروج</t>
  </si>
  <si>
    <t>Нокаут</t>
  </si>
  <si>
    <t>Knokaut</t>
  </si>
  <si>
    <t>Désactivation</t>
  </si>
  <si>
    <t>नॉक-आउट</t>
  </si>
  <si>
    <t>Ketuk Keluar</t>
  </si>
  <si>
    <t>אופציית חוסם יציאה</t>
  </si>
  <si>
    <t>ノックアウト</t>
  </si>
  <si>
    <t>조기종료</t>
  </si>
  <si>
    <t>Knock out</t>
  </si>
  <si>
    <t>Knockout</t>
  </si>
  <si>
    <t>Bariera</t>
  </si>
  <si>
    <t>Vyradiť</t>
  </si>
  <si>
    <t>Çok Düşük</t>
  </si>
  <si>
    <t>敲出期权</t>
  </si>
  <si>
    <t>conference_unknown_error</t>
  </si>
  <si>
    <t>You are no longer in this group chat</t>
  </si>
  <si>
    <t>لم تعد متواجدا داخل مجموعة المحادثة هذه</t>
  </si>
  <si>
    <t>Вече не участвате в този групов разговор</t>
  </si>
  <si>
    <t>Ja no ets en aquest xat de grup</t>
  </si>
  <si>
    <t>Du bist nicht länger in diesem Gruppenchat</t>
  </si>
  <si>
    <t>Ya no estás dentro de esta conversación en grupo</t>
  </si>
  <si>
    <t>Vous n\'appartenez plus à ce groupe de discussion</t>
  </si>
  <si>
    <t>Xa non estás nesta conversa en grupo</t>
  </si>
  <si>
    <t>Ön már nincs benne ebben a konferenciában</t>
  </si>
  <si>
    <t>Non sei più in questa chat di gruppo</t>
  </si>
  <si>
    <t>既にこの談話室に参加していません</t>
  </si>
  <si>
    <t>Je neemt niet langer deel aan dit groepsgesprek</t>
  </si>
  <si>
    <t>Nie uczestniczysz już w tej konferencji</t>
  </si>
  <si>
    <t>Вы больше не состоите в этой конференции</t>
  </si>
  <si>
    <t>Више нисте у овом групном ћаскању</t>
  </si>
  <si>
    <t>colombia</t>
  </si>
  <si>
    <t>Colombia</t>
  </si>
  <si>
    <t>Kolumbien</t>
  </si>
  <si>
    <t>Colombie</t>
  </si>
  <si>
    <t>Колумбия</t>
  </si>
  <si>
    <t>Kolumbija</t>
  </si>
  <si>
    <t>tt_mail_info_report_problem_body</t>
  </si>
  <si>
    <t>tt_quiet_notification</t>
  </si>
  <si>
    <t>Quiet notifications</t>
  </si>
  <si>
    <t>إشعارات صامتة</t>
  </si>
  <si>
    <t>Тихи известия</t>
  </si>
  <si>
    <t>Tichá oznámení</t>
  </si>
  <si>
    <t>Stille meddelelser</t>
  </si>
  <si>
    <t>Leise Benachrichtigungen</t>
  </si>
  <si>
    <t>Σιωπηρές ειδοποιήσεις</t>
  </si>
  <si>
    <t>Silenciar notificaciones</t>
  </si>
  <si>
    <t>Hiljaiset ilmoitukset</t>
  </si>
  <si>
    <t>Notifications silencieuses</t>
  </si>
  <si>
    <t>शांत नोटिफिकेशन</t>
  </si>
  <si>
    <t>Csendes értesítések</t>
  </si>
  <si>
    <t>Pemberitahuan diam</t>
  </si>
  <si>
    <t>Notifiche zitte</t>
  </si>
  <si>
    <t>התראות שקטות</t>
  </si>
  <si>
    <t>サイレント通知</t>
  </si>
  <si>
    <t>조용한 알림</t>
  </si>
  <si>
    <t>Pemberitahuan senyap</t>
  </si>
  <si>
    <t>Stille meldingen</t>
  </si>
  <si>
    <t>Stille varslinger</t>
  </si>
  <si>
    <t>Ciche powiadomienia</t>
  </si>
  <si>
    <t>Notificações silenciosas</t>
  </si>
  <si>
    <t>Notificări liniștite</t>
  </si>
  <si>
    <t>Беззвучные уведомления</t>
  </si>
  <si>
    <t>Tiché oznámenia</t>
  </si>
  <si>
    <t>Tiha obvestila</t>
  </si>
  <si>
    <t>Tihe notifikacije</t>
  </si>
  <si>
    <t>Tysta aviseringar</t>
  </si>
  <si>
    <t>ปิดเสียงการแจ้งเตือน</t>
  </si>
  <si>
    <t>Bildirimleri sessize al</t>
  </si>
  <si>
    <t>Thông báo yên lặng</t>
  </si>
  <si>
    <t>防通知打扰</t>
  </si>
  <si>
    <t>account_settings_jabber_id</t>
  </si>
  <si>
    <t>Your baha chat ID will be:</t>
  </si>
  <si>
    <t>حساب جابر</t>
  </si>
  <si>
    <t>Jabber идентификатор</t>
  </si>
  <si>
    <t>Identificació de Jabber</t>
  </si>
  <si>
    <t>Jabber-ID</t>
  </si>
  <si>
    <t>Identificador Jabber</t>
  </si>
  <si>
    <t>ID Jabber</t>
  </si>
  <si>
    <t>Jabber azonosító</t>
  </si>
  <si>
    <t>Jabber ID</t>
  </si>
  <si>
    <t>Jabber-ID:</t>
  </si>
  <si>
    <t>Џабер ИД</t>
  </si>
  <si>
    <t>unpublish_pgp</t>
  </si>
  <si>
    <t>Remove OpenPGP public key</t>
  </si>
  <si>
    <t>حذف مفتاح OpenPGP العمومي</t>
  </si>
  <si>
    <t>Премахване на публичния OpenPGP ключ</t>
  </si>
  <si>
    <t>Elimina la clau pública d\'OpenPGP</t>
  </si>
  <si>
    <t>Öffentlichen OpenPGP-Schlüssel verwerfen</t>
  </si>
  <si>
    <t>Eliminar la clave pública OpenPGP</t>
  </si>
  <si>
    <t>Supprimer la clef publique OpenPGP</t>
  </si>
  <si>
    <t>Eliminar a chave pública OpenPGP</t>
  </si>
  <si>
    <t>OpenPGP nyilvános kulcs eltávolítása</t>
  </si>
  <si>
    <t>Rimuovi chiave pubblica OpenPGP</t>
  </si>
  <si>
    <t>OpenPGP 公開鍵を削除</t>
  </si>
  <si>
    <t>OpenPGP-publieke sleutel verwijderen</t>
  </si>
  <si>
    <t>Usuń klucz publiczny OpenPGP</t>
  </si>
  <si>
    <t>Remover chave pública OpenPGP</t>
  </si>
  <si>
    <t>Удалить открытый OpenPGP ключ</t>
  </si>
  <si>
    <t>Уклони ОпенПГП кључ</t>
  </si>
  <si>
    <t>Ta bort OpenPGP publik nyckel</t>
  </si>
  <si>
    <t>Видалити публічний ключ OpenPGP</t>
  </si>
  <si>
    <t>移除 OpenPGP 公開金鑰</t>
  </si>
  <si>
    <t>tt_not_available</t>
  </si>
  <si>
    <t>not available</t>
  </si>
  <si>
    <t>Не е налично</t>
  </si>
  <si>
    <t>není dostupný</t>
  </si>
  <si>
    <t>ikke tilgængelig</t>
  </si>
  <si>
    <t>nicht verfügbar</t>
  </si>
  <si>
    <t>μη διαθέσιμο</t>
  </si>
  <si>
    <t>no disponible</t>
  </si>
  <si>
    <t>ei saatavilla</t>
  </si>
  <si>
    <t>Indisponible</t>
  </si>
  <si>
    <t>उपलब्ध नहीं है</t>
  </si>
  <si>
    <t>לא זמין</t>
  </si>
  <si>
    <t>使用できません</t>
  </si>
  <si>
    <t>ikke tilgjengelig</t>
  </si>
  <si>
    <t>nie dostępne</t>
  </si>
  <si>
    <t>nedisponibil</t>
  </si>
  <si>
    <t>ni na voljo</t>
  </si>
  <si>
    <t>nije dostupno</t>
  </si>
  <si>
    <t>inte tillgänglig</t>
  </si>
  <si>
    <t>ใช้งานไม่ได้</t>
  </si>
  <si>
    <t>uygun değil</t>
  </si>
  <si>
    <t>không khả dụng</t>
  </si>
  <si>
    <t>无法使用</t>
  </si>
  <si>
    <t>&gt;無法使用</t>
  </si>
  <si>
    <t>position</t>
  </si>
  <si>
    <t>الموضع</t>
  </si>
  <si>
    <t>la position</t>
  </si>
  <si>
    <t>פוזיציה</t>
  </si>
  <si>
    <t>Jawatan</t>
  </si>
  <si>
    <t>connecting_to_chat</t>
  </si>
  <si>
    <t>Connecting to Chat.</t>
  </si>
  <si>
    <t>Verbinden zum Chat.</t>
  </si>
  <si>
    <t>Conectando a Chat.</t>
  </si>
  <si>
    <t>Connexion au Chat.</t>
  </si>
  <si>
    <t>Csethez kapcsolódás.</t>
  </si>
  <si>
    <t>Подключение к чату.</t>
  </si>
  <si>
    <t>Konektovanje na čet.</t>
  </si>
  <si>
    <t>sync_with_contacts_long</t>
  </si>
  <si>
    <t>Conversations wants to match your server side contact list with your local address book to show your contacts’ full names and avatars.\n\nConversations will only read your contacts and match them locally without uploading them to your server.\n\nYou will now be asked to grant permission to access your contacts.</t>
  </si>
  <si>
    <t>Conversations иска да съчетае сървърния Ви списък с контактите с адресния указател на устройството Ви, за да показва пълните имена и снимките на контактите Ви.\n\nConversations единствено ще чете контактите Ви и ще ги използва вътрешно, без да ги качва на сървъра Ви.\n\nЩе бъдете помолен/а за позволение за достъп до контактите Ви.</t>
  </si>
  <si>
    <t>Conversations vol fer coincidir la seva llista de contactes del costat del servidor amb la seva llibreta d\'adreces local per mostrar els noms complets dels seus contactes i avatars.\n\nConversations només llegirà els seus contactes i intentarà coincidir a nivell local sense pujar-los al seu servidor.\n\nSe li demanarà que concedeixi permís per accedir als seus contactes.</t>
  </si>
  <si>
    <t>Samtaler vil matche din server side kontaktliste med din lokale adressebog for at vise dine kontakter \'fulde navne og avatarer. \n\nConversations vil kun læse dine kontakter og matche dem lokalt uden at uploade dem til din server. \n\n you vil nu blive bedt om at give tilladelse til at få adgang til dine kontakter.</t>
  </si>
  <si>
    <t>Conversations möchte deine serverseitige Kontaktliste mit deinem lokalen Adressbuch abgleichen, um die vollständigen Namen und Avatare deiner Kontakte anzuzeigen.\n\nConversations wird deine Kontakte nur lokal lesen, abgleichen und überträgt diese nicht auf den Server.\n\nDu wirst nun gefragt, ob du den Zugriff auf deine Kontakte erlauben möchtest.</t>
  </si>
  <si>
    <t>Conversations quiere cruzar tu lista de contactos del servidor con tus contactos del móvil para mostrar sus nombres completos y sus fotos de perfil.\n\nConversations solo leerá tus contactos y los cruzará localmente sin subirlos a tu servidor.\n\nEl sistema te preguntará ahora para conceder los permisos de acceso a tus contactos del móvil.</t>
  </si>
  <si>
    <t>Les conversations souhaitent correspondre à la liste de contacts côté serveur avec votre carnet d\'adresses local pour afficher les noms complets et les avatars de vos contacts.\n\nConversations ne lira que vos contacts et les correspondons localement sans les télécharger sur votre serveur.\n\nVa maintenant être invité à accorder la permission d\'accéder à vos contacts.</t>
  </si>
  <si>
    <t>Conversations quere confrontar a súa lista de contactos no servidor coa súa libreta de enderezos local para mostrarlle os nomes completos e avatares.\n\nConversations só lerá os seus contactos de xeito local e sen subilos ao servidor.\n\nA continuación pediráselle permiso para acceder aos contactos.</t>
  </si>
  <si>
    <t>A Conversations szeretné megfeleltetni a szerver oldali partnerlistát a helyi címjegyzékkel, hogy megmutassa az ismerősök teljes nevét és arcképet.\n\nA Conversations csak olvassa a névjegyeit és helyileg felelteti meg őket anélkül, hogy feltöltené azokat a szerverre.\n\nMost meg lesz kérdezve, hogy engedélyezi-e a névjegyekhez való hozzáférést.</t>
  </si>
  <si>
    <t>Conversations vuole confrontare il tuo elenco di contatti lato server con la tua rubrica locale per mostrare i nomi ed avatar dei contatti.\n\nConversations leggerà solamente i contatti e li confronterà localmente senza caricarli sul server.\n\nTi verrà ora chiesta l\'autorizzazione di accedere ai tuoi contatti.</t>
  </si>
  <si>
    <t>Samtaler ønsker å matche din server side kontaktliste med din lokale adressebok for å vise dine kontakter \'fulle navn og avatarer.\n\nConversations vil bare lese kontaktene dine og matche dem lokalt uten å laste dem opp til serveren din. \n\nvil nå bli bedt om å gi tillatelse til å få tilgang til kontaktene dine.</t>
  </si>
  <si>
    <t>Conversations chce dopasować Twoje kontakty XMPP z listą kontaktów w telefonie, by uzupełnić ich pełne imiona oraz awatary.\nConversations jedynie przeczyta Twoje kontakty i dopasuje je lokalnie, bez wysyłania na Twój serwer.\n\nZostaniesz teraz poproszony o przydzielenie pozwolenia na odczyt Twoich kontaktów.</t>
  </si>
  <si>
    <t>open_website</t>
  </si>
  <si>
    <t>Open website</t>
  </si>
  <si>
    <t>فتح موقع الإنترنت</t>
  </si>
  <si>
    <t>Отваряне на уеб сайта</t>
  </si>
  <si>
    <t>Obre la pàgina web</t>
  </si>
  <si>
    <t>Website öffnen</t>
  </si>
  <si>
    <t>Abrir página web</t>
  </si>
  <si>
    <t>Ouvrir le site web</t>
  </si>
  <si>
    <t>Abrir sitio web</t>
  </si>
  <si>
    <t>Weboldal megnyitása</t>
  </si>
  <si>
    <t>Apri sito</t>
  </si>
  <si>
    <t>Webサイトを開く</t>
  </si>
  <si>
    <t>Website openen</t>
  </si>
  <si>
    <t>Otwórz stronę</t>
  </si>
  <si>
    <t>Открыть сайт</t>
  </si>
  <si>
    <t>Отвори сајт</t>
  </si>
  <si>
    <t>Відкрити сайт</t>
  </si>
  <si>
    <t>market_overview_popup_title</t>
  </si>
  <si>
    <t>WELCOME</t>
  </si>
  <si>
    <t>مرحبًا</t>
  </si>
  <si>
    <t>ДОБРЕ ДОШЛИ</t>
  </si>
  <si>
    <t>VÍTEJTE</t>
  </si>
  <si>
    <t>VELKOMMEN</t>
  </si>
  <si>
    <t>WILLKOMMEN</t>
  </si>
  <si>
    <t>ΚΑΛΩΣΗΛΘΑΤΕ</t>
  </si>
  <si>
    <t>BIENVENIDO</t>
  </si>
  <si>
    <t>TERVETULOA</t>
  </si>
  <si>
    <t>BIENVENUE</t>
  </si>
  <si>
    <t>स्वागत है</t>
  </si>
  <si>
    <t>Üdvözöljük</t>
  </si>
  <si>
    <t>SELAMAT DATANG</t>
  </si>
  <si>
    <t>BENVENUTO</t>
  </si>
  <si>
    <t>ברוך הבא</t>
  </si>
  <si>
    <t>환영합니다</t>
  </si>
  <si>
    <t>WELKOM</t>
  </si>
  <si>
    <t>BEM-VINDO</t>
  </si>
  <si>
    <t>BINE AȚI VENIT</t>
  </si>
  <si>
    <t>ДОБРО ПОЖАЛОВАТЬ</t>
  </si>
  <si>
    <t>VITAJTE</t>
  </si>
  <si>
    <t>DOBRODOŠLI</t>
  </si>
  <si>
    <t>VÄLKOMMEN</t>
  </si>
  <si>
    <t>ยินดีต้อนรับ</t>
  </si>
  <si>
    <t>HOŞ GELDİNİZ</t>
  </si>
  <si>
    <t>CHÀO MỪNG</t>
  </si>
  <si>
    <t>欢迎</t>
  </si>
  <si>
    <t>tt_ranking_help</t>
  </si>
  <si>
    <t>Drag and drop item to choose which columns are displayed.</t>
  </si>
  <si>
    <t>اسحب عنصر ثم إفلات لاختيار الأعمدة التي يتم عرضها.</t>
  </si>
  <si>
    <t>Плъзнете и пуснете елемент, за да изберете кои колони да се показват.</t>
  </si>
  <si>
    <t>Přetažením položky vyberte, které sloupce se zobrazí.</t>
  </si>
  <si>
    <t>Træk og slip element for at vælge hvilke kolonner der skal vises.</t>
  </si>
  <si>
    <t>Wählen sie Ihre Kritieren mit Drag and Drop.</t>
  </si>
  <si>
    <t>Σύρετε και αποθέστε το στοιχείο για να επιλέξετε ποιες στήλες θα εμφανίζονται.</t>
  </si>
  <si>
    <t>Arrastrar y soltar el item para elegir que columnas se muestran</t>
  </si>
  <si>
    <t>Vedä ja pudota kohde valitaksesi näytettävät sarakkeet.</t>
  </si>
  <si>
    <t>Insérez les colonnes que vous souhaitez par simple glisser-déposer</t>
  </si>
  <si>
    <t>यह चुनने के लिए कि कौन से कॉलम प्रदर्शित किए गए हैं, आइटम को खींचें और छोड़ें</t>
  </si>
  <si>
    <t>Húzza az elemet (Drag &amp;amp; drop) a kívánt oszlopok megjelenítéséhez</t>
  </si>
  <si>
    <t>Geser dan letakkan item untuk memilih kolom yang muncul.</t>
  </si>
  <si>
    <t>Trascina e rilascia per scegliere le colonne visualizzate.</t>
  </si>
  <si>
    <t>גרור ושחרר פריט כדי לבחור אילו עמודות יוצגו.</t>
  </si>
  <si>
    <t>表示されている欄をドラッグ・アンド・ドロップで選択してください</t>
  </si>
  <si>
    <t>표시할 열을 선택하려면 항목을 끌어서 놓으세요.</t>
  </si>
  <si>
    <t>Leret dan lepaskan barangan untuk pilih lajur yang dipaparkan.</t>
  </si>
  <si>
    <t>Swipe item en laat vallen om te kiezen welke colom wordt weergegeven.</t>
  </si>
  <si>
    <t>Dra og slipp element for å velge hvilke kolonner som skal vises.</t>
  </si>
  <si>
    <t>Przeciągnij element aby wybrać kolumny do wyświetlenia.</t>
  </si>
  <si>
    <t>Arrastar e soltar item para escolher quais colunas serão exibidas</t>
  </si>
  <si>
    <t>Trage și fixează elementul pentru a alege ce coloane sunt afișate.</t>
  </si>
  <si>
    <t>Выберите необходимые столбцы и растяните на экран</t>
  </si>
  <si>
    <t>Potiahnutím a pustením položky vyberte stĺpce, ktoré chcete zobraziť.</t>
  </si>
  <si>
    <t>Če želite izbrati, kateri stolpci so prikazani, povlecite in spustite.</t>
  </si>
  <si>
    <t>Prevucite stavku za izbor kolona</t>
  </si>
  <si>
    <t>Dra och släpp objekt för att välja vilka kolumner som ska visas.</t>
  </si>
  <si>
    <t>ลากและปล่อยเพื่อเลือกไอเท็มที่ต้องการให้แสดงในคอลัมน์</t>
  </si>
  <si>
    <t>Hangi sütunların görüntüleneceğini seçmek için ögeyi sürükleyip bırakın.</t>
  </si>
  <si>
    <t>Kéo và thả mục để chọn cột được hiển thị.</t>
  </si>
  <si>
    <t>拖放项目选择要显示的列</t>
  </si>
  <si>
    <t>&gt;拖放項目選擇要顯示的列</t>
  </si>
  <si>
    <t>tt_zertifikate</t>
  </si>
  <si>
    <t>Certificates</t>
  </si>
  <si>
    <t>شهادات</t>
  </si>
  <si>
    <t>Сертификати</t>
  </si>
  <si>
    <t>Certifikáty</t>
  </si>
  <si>
    <t>Certifikater</t>
  </si>
  <si>
    <t>Zertifikate</t>
  </si>
  <si>
    <t>Πιστοποιητικά</t>
  </si>
  <si>
    <t>Certificados</t>
  </si>
  <si>
    <t>Sertifikaatit</t>
  </si>
  <si>
    <t>Certificats</t>
  </si>
  <si>
    <t>Certifikátok</t>
  </si>
  <si>
    <t>Certificati</t>
  </si>
  <si>
    <t>תעודות</t>
  </si>
  <si>
    <t>Certificaten</t>
  </si>
  <si>
    <t>Sertifikater</t>
  </si>
  <si>
    <t>Certyfikaty</t>
  </si>
  <si>
    <t>Сертификаты</t>
  </si>
  <si>
    <t>Potrdila</t>
  </si>
  <si>
    <t>Sertifikati</t>
  </si>
  <si>
    <t>Belgeler</t>
  </si>
  <si>
    <t>Giấy chứng nhận</t>
  </si>
  <si>
    <t>not_trusted</t>
  </si>
  <si>
    <t>Untrusted</t>
  </si>
  <si>
    <t>غير موثوق بها</t>
  </si>
  <si>
    <t>Неприети</t>
  </si>
  <si>
    <t>No confiable</t>
  </si>
  <si>
    <t>Nicht vertraut</t>
  </si>
  <si>
    <t>No confiables</t>
  </si>
  <si>
    <t>Non approuvée</t>
  </si>
  <si>
    <t>Non confiables</t>
  </si>
  <si>
    <t>Nem megbízható</t>
  </si>
  <si>
    <t>Non fidato</t>
  </si>
  <si>
    <t>信頼されていない</t>
  </si>
  <si>
    <t>신뢰되지 않음</t>
  </si>
  <si>
    <t>Onvertrouwd</t>
  </si>
  <si>
    <t>Niezaufane</t>
  </si>
  <si>
    <t>Недоверенный</t>
  </si>
  <si>
    <t>Непоуздан</t>
  </si>
  <si>
    <t>Ej betrodd</t>
  </si>
  <si>
    <t>Недовірений</t>
  </si>
  <si>
    <t>不可信任</t>
  </si>
  <si>
    <t>video_360p</t>
  </si>
  <si>
    <t>Medium (360p)</t>
  </si>
  <si>
    <t>Средно (360p)</t>
  </si>
  <si>
    <t>Mittel (360p)</t>
  </si>
  <si>
    <t>Medio (360p)</t>
  </si>
  <si>
    <t>Moyenne (360p)</t>
  </si>
  <si>
    <t>Media (360p)</t>
  </si>
  <si>
    <t>Közepes (360p)</t>
  </si>
  <si>
    <t>Gemiddeld (360p)</t>
  </si>
  <si>
    <t>Średnia (360p)</t>
  </si>
  <si>
    <t>create_dialog_group_chat_name</t>
  </si>
  <si>
    <t>Group chat name</t>
  </si>
  <si>
    <t>Име на груповия разговор</t>
  </si>
  <si>
    <t>Nom del xat en grup</t>
  </si>
  <si>
    <t>Gruppenchatname</t>
  </si>
  <si>
    <t>Nombre de la Conversación en grupo</t>
  </si>
  <si>
    <t>Nom de la conversation de groupe</t>
  </si>
  <si>
    <t>Nome da conversa de grupo</t>
  </si>
  <si>
    <t>Konferencia neve</t>
  </si>
  <si>
    <t>Nome chat di gruppo</t>
  </si>
  <si>
    <t>Gespreksnaam</t>
  </si>
  <si>
    <t>Nazwa konferencji</t>
  </si>
  <si>
    <t>Назив групног ћаскања</t>
  </si>
  <si>
    <t>mark_as_read</t>
  </si>
  <si>
    <t>Mark as read</t>
  </si>
  <si>
    <t>إعتباره كمقروء</t>
  </si>
  <si>
    <t>Отбелязване като прочетено</t>
  </si>
  <si>
    <t>Marcar com llegit</t>
  </si>
  <si>
    <t>Als gelesen markieren</t>
  </si>
  <si>
    <t>Marcar como leído</t>
  </si>
  <si>
    <t>Marqué comme lu</t>
  </si>
  <si>
    <t>Marcar como lido</t>
  </si>
  <si>
    <t>Elolvasva</t>
  </si>
  <si>
    <t>Segna come già letto</t>
  </si>
  <si>
    <t>既読にする</t>
  </si>
  <si>
    <t>Markeren als gelezen</t>
  </si>
  <si>
    <t>Oznacz jako przeczytane</t>
  </si>
  <si>
    <t>Marcar como lida</t>
  </si>
  <si>
    <t>Означи прочитаним</t>
  </si>
  <si>
    <t>share_news</t>
  </si>
  <si>
    <t>News</t>
  </si>
  <si>
    <t>Noticias</t>
  </si>
  <si>
    <t>Nouvelles</t>
  </si>
  <si>
    <t>Hírek</t>
  </si>
  <si>
    <t>Новости</t>
  </si>
  <si>
    <t>Novosti</t>
  </si>
  <si>
    <t>register</t>
  </si>
  <si>
    <t>REGISTER</t>
  </si>
  <si>
    <t>تسجيل</t>
  </si>
  <si>
    <t>РЕГИСТРИРАНЕ</t>
  </si>
  <si>
    <t>REGISTROVAT</t>
  </si>
  <si>
    <t>TILMELD</t>
  </si>
  <si>
    <t>ΕΓΓΡΑΦΗ</t>
  </si>
  <si>
    <t>REGISTRARSE</t>
  </si>
  <si>
    <t>REKISTERÖITYMINEN</t>
  </si>
  <si>
    <t>INSCRIPTION</t>
  </si>
  <si>
    <t>पंजीकरण करें</t>
  </si>
  <si>
    <t>Regisztráció</t>
  </si>
  <si>
    <t>DAFTAR</t>
  </si>
  <si>
    <t>REGISTRATI</t>
  </si>
  <si>
    <t>登録</t>
  </si>
  <si>
    <t>등록</t>
  </si>
  <si>
    <t>Registreren</t>
  </si>
  <si>
    <t>REGISTRERING</t>
  </si>
  <si>
    <t>REGISTE-SE</t>
  </si>
  <si>
    <t>ÎNREGISTREAZĂ-TE</t>
  </si>
  <si>
    <t>REGISTROVAŤ</t>
  </si>
  <si>
    <t>PRIJAVITE SE</t>
  </si>
  <si>
    <t>REGISTRACIJA</t>
  </si>
  <si>
    <t>REGISTRERA</t>
  </si>
  <si>
    <t>ลงทะเบียน</t>
  </si>
  <si>
    <t>KAYDOL</t>
  </si>
  <si>
    <t>ĐĂNG KÝ</t>
  </si>
  <si>
    <t>bhutan</t>
  </si>
  <si>
    <t>Bhutan</t>
  </si>
  <si>
    <t>Bután</t>
  </si>
  <si>
    <t>Bhoutan</t>
  </si>
  <si>
    <t>Бутан</t>
  </si>
  <si>
    <t>Butan</t>
  </si>
  <si>
    <t>chat_mute_user_notifications</t>
  </si>
  <si>
    <t>Mute user notifications</t>
  </si>
  <si>
    <t>Nutzerbenachrichtigungen stumm schalten</t>
  </si>
  <si>
    <t>Silenciar notificaciones de usuario</t>
  </si>
  <si>
    <t>Ignorer les notifications</t>
  </si>
  <si>
    <t>Felhasználói értesítések némítása</t>
  </si>
  <si>
    <t>Notifiche dell\'utente mute</t>
  </si>
  <si>
    <t>Отключить уведомления пользователя</t>
  </si>
  <si>
    <t>Blokiraj notifikacije ovog korisnika</t>
  </si>
  <si>
    <t>rate_with_5_stars</t>
  </si>
  <si>
    <t>RATE WITH 5 STARS</t>
  </si>
  <si>
    <t>قم بتقييم التطبيق 5 نجوم</t>
  </si>
  <si>
    <t>ОЦЕНИ С 5 ЗВЕЗДИ</t>
  </si>
  <si>
    <t>OHODNOTIT PĚTI HVĚZDIČKAMI</t>
  </si>
  <si>
    <t>GIV 5 STJERNER</t>
  </si>
  <si>
    <t>Mit 5 Sternen bewerten</t>
  </si>
  <si>
    <t>ΒΑΘΜΟΛΟΓΗΣΤΕ ΜΕ 5 ΑΣΤΕΡΙΑ</t>
  </si>
  <si>
    <t>Califica con 5 estrellas</t>
  </si>
  <si>
    <t>ANNA 5 TÄHTEÄ</t>
  </si>
  <si>
    <t>DONNEZ UN 5 ÉTOILES</t>
  </si>
  <si>
    <t>5 स्टार के साथ रेट करें</t>
  </si>
  <si>
    <t>Kérjük értékelje 5 csillaggal</t>
  </si>
  <si>
    <t>NILAI DENGAN 5 BINTANG</t>
  </si>
  <si>
    <t>TARIFFA CON 5 STELLE</t>
  </si>
  <si>
    <t>תן דירוג של 5 כוכבים</t>
  </si>
  <si>
    <t>5つの星で評価</t>
  </si>
  <si>
    <t>별점 5점 주기</t>
  </si>
  <si>
    <t>Beoordel het met 5 sterren</t>
  </si>
  <si>
    <t>RANGER MED 5 STJERNER</t>
  </si>
  <si>
    <t>Oceń w skali 5 gwiazdek</t>
  </si>
  <si>
    <t>AVALIAR COM 5 ESTRELAS</t>
  </si>
  <si>
    <t>EVALUEAZĂ CU 5 STELE</t>
  </si>
  <si>
    <t>ОЦЕНИТЬ НА 5 ЗВЕЗД</t>
  </si>
  <si>
    <t>OHODNOTIŤ 5 HVIEZDIČKAMI</t>
  </si>
  <si>
    <t>STOPNJA S 5 zvezdicami</t>
  </si>
  <si>
    <t>OCENI SA 5 ZVEZDICA</t>
  </si>
  <si>
    <t>BETYGSÄTT MED 5 STJärnor</t>
  </si>
  <si>
    <t>ให้คะแนน 5 ดาว</t>
  </si>
  <si>
    <t>5 YILDIZ VER</t>
  </si>
  <si>
    <t>ĐÁNH GIÁ 5 SAO</t>
  </si>
  <si>
    <t>给五颗星</t>
  </si>
  <si>
    <t>trending_show_more</t>
  </si>
  <si>
    <t>SHOW MORE</t>
  </si>
  <si>
    <t>اظهار المزيد</t>
  </si>
  <si>
    <t>ПОКАЖИ ПОВЕЧЕ</t>
  </si>
  <si>
    <t>ZOBRAZIT VÍCE</t>
  </si>
  <si>
    <t>VIS MERE</t>
  </si>
  <si>
    <t>Mehr anzeigen</t>
  </si>
  <si>
    <t>ΠΡΟΒΟΛΗ ΠΕΡΙΣΣΟΤΕΡΩΝ</t>
  </si>
  <si>
    <t>Mostrar más</t>
  </si>
  <si>
    <t>NÄYTÄ LISÄÄ</t>
  </si>
  <si>
    <t>AFFICHER PLUS</t>
  </si>
  <si>
    <t>और दिखाएँ</t>
  </si>
  <si>
    <t>Mutasson többet</t>
  </si>
  <si>
    <t>TAMPILKAN LEBIH BANYAK</t>
  </si>
  <si>
    <t>MOSTRA DI PIÙ</t>
  </si>
  <si>
    <t>הצג עוד</t>
  </si>
  <si>
    <t>詳細を表示</t>
  </si>
  <si>
    <t>TUNJUKKAN LEBIH LAGI</t>
  </si>
  <si>
    <t>Meer weergeven</t>
  </si>
  <si>
    <t>VIS MER</t>
  </si>
  <si>
    <t>Pokaż więcej</t>
  </si>
  <si>
    <t>MOSTRAR MAIS</t>
  </si>
  <si>
    <t>AFIȘEAZĂ MAI MULTE</t>
  </si>
  <si>
    <t>ПОКАЗАТЬ БОЛЬШЕ</t>
  </si>
  <si>
    <t>ZOBRAZIŤ VIAC</t>
  </si>
  <si>
    <t>POKAŽI VEČ</t>
  </si>
  <si>
    <t>PRIKAŽI VIŠE</t>
  </si>
  <si>
    <t>VISA MER</t>
  </si>
  <si>
    <t>แสดงเพิ่ม</t>
  </si>
  <si>
    <t>DAHA FAZLA GÖSTER</t>
  </si>
  <si>
    <t>HIỆN NHIỀU HƠN</t>
  </si>
  <si>
    <t>tt_invalid_number</t>
  </si>
  <si>
    <t>Please enter a valid number!</t>
  </si>
  <si>
    <t>يُرجى إدخال رقمًا صالحًا!</t>
  </si>
  <si>
    <t>Моля, въведете валиден номер!</t>
  </si>
  <si>
    <t>Zadejte prosím platné číslo!</t>
  </si>
  <si>
    <t>Indtast et gyldigt nummer!</t>
  </si>
  <si>
    <t>Bitte geben Sie eine gültige Zahl ein!</t>
  </si>
  <si>
    <t>Εισαγάγετε έναν έγκυρο αριθμό!</t>
  </si>
  <si>
    <t>¡Por favor, introduzca un número valido!</t>
  </si>
  <si>
    <t>Anna kelvollinen numero!</t>
  </si>
  <si>
    <t>Veuillez entrer un chiffre valide!</t>
  </si>
  <si>
    <t>कृपया एक सही संख्या दर्ज करें!</t>
  </si>
  <si>
    <t>Kérjük, adjon meg érvényes értéket!</t>
  </si>
  <si>
    <t>Silahkan masukkan nomor yang valid!</t>
  </si>
  <si>
    <t>Per favore inserisci un numero valido.</t>
  </si>
  <si>
    <t>נא הזן מספר תקף!</t>
  </si>
  <si>
    <t>有効な数字を入力してください</t>
  </si>
  <si>
    <t>유효한 숫자를 입력하세요!</t>
  </si>
  <si>
    <t>Sila masukkan nombor yang sah!</t>
  </si>
  <si>
    <t>Vul een geldig aantal in aub!!</t>
  </si>
  <si>
    <t>Oppgi et gyldig nummer!</t>
  </si>
  <si>
    <t>Proszę podać poprawny numer!</t>
  </si>
  <si>
    <t>Por favor insira um número válido!</t>
  </si>
  <si>
    <t>Introdu un număr valid!</t>
  </si>
  <si>
    <t>Номер указан неверно!</t>
  </si>
  <si>
    <t>Zadajte platné číslo!</t>
  </si>
  <si>
    <t>Vnesite veljavno številko!</t>
  </si>
  <si>
    <t>Molimo unesite važeći broj!</t>
  </si>
  <si>
    <t>Ange ett giltigt nummer!</t>
  </si>
  <si>
    <t>โปรดป้อนตัวเลขที่ถูกต้อง</t>
  </si>
  <si>
    <t>Geçerli bir sayı giriniz!</t>
  </si>
  <si>
    <t>Vui lòng nhập số hợp lệ!</t>
  </si>
  <si>
    <t>请输入一个有效的数字！</t>
  </si>
  <si>
    <t>&gt;請輸入一個有效的數字!</t>
  </si>
  <si>
    <t>algeria</t>
  </si>
  <si>
    <t>Algeria</t>
  </si>
  <si>
    <t>Algerien</t>
  </si>
  <si>
    <t>Algérie</t>
  </si>
  <si>
    <t>Алжир</t>
  </si>
  <si>
    <t>Alžir</t>
  </si>
  <si>
    <t>tt_pf_storno_position</t>
  </si>
  <si>
    <t>Cancel Position</t>
  </si>
  <si>
    <t>إلغاء المركز المالي</t>
  </si>
  <si>
    <t>Отмяна позиция</t>
  </si>
  <si>
    <t>Zrušit pozici</t>
  </si>
  <si>
    <t>Annuller position</t>
  </si>
  <si>
    <t>Position stornieren</t>
  </si>
  <si>
    <t>Ακύρωση θέσης</t>
  </si>
  <si>
    <t>Cancelar Posición</t>
  </si>
  <si>
    <t>Peruuta positio</t>
  </si>
  <si>
    <t>Annuler la position</t>
  </si>
  <si>
    <t>अवस्थिति को रद्द करें</t>
  </si>
  <si>
    <t>Pozíció törlése</t>
  </si>
  <si>
    <t>Batalkan Posisi</t>
  </si>
  <si>
    <t>Elimina il Posizione</t>
  </si>
  <si>
    <t>בטל פוזיציה</t>
  </si>
  <si>
    <t>포지션 취소</t>
  </si>
  <si>
    <t>Annuleer positie</t>
  </si>
  <si>
    <t>Avbryt posisjon</t>
  </si>
  <si>
    <t>Anuluj pozycje</t>
  </si>
  <si>
    <t>Cancelar posição</t>
  </si>
  <si>
    <t>Anulează Poziția</t>
  </si>
  <si>
    <t>Удалить позицию</t>
  </si>
  <si>
    <t>Zrušiť pozíciu</t>
  </si>
  <si>
    <t>Prekliči položaj</t>
  </si>
  <si>
    <t>Otkaži poticiju</t>
  </si>
  <si>
    <t>Avbryt position</t>
  </si>
  <si>
    <t>ยกเลิกตำแหน่ง</t>
  </si>
  <si>
    <t>Pozisyonu İptal Et</t>
  </si>
  <si>
    <t>Hủy vị trí</t>
  </si>
  <si>
    <t>取消持仓</t>
  </si>
  <si>
    <t>&gt;取消位置</t>
  </si>
  <si>
    <t>tt_ind_moving_average___simple_short</t>
  </si>
  <si>
    <t>Moving Average - Simple</t>
  </si>
  <si>
    <t>المتوسط ​​المتحرك - بسيط</t>
  </si>
  <si>
    <t>Пълзяща средна стойност - проста</t>
  </si>
  <si>
    <t>Klouzavý průměr - jednoduchý</t>
  </si>
  <si>
    <t>Bevægende gennemsnit - Enkelt</t>
  </si>
  <si>
    <t>Κινούμενος μέσος - Απλός</t>
  </si>
  <si>
    <t>Liukuva keskiarvo - yksinkertainen</t>
  </si>
  <si>
    <t>Moyenne mobile - Simple</t>
  </si>
  <si>
    <t>मूविंग औसत - सरल</t>
  </si>
  <si>
    <t>Moving Average - Simple (Egyszerű)</t>
  </si>
  <si>
    <t>rata-rata Bergerak - Ringkas</t>
  </si>
  <si>
    <t>ממוצע נע - פשוט</t>
  </si>
  <si>
    <t>이동평균선 - 단순</t>
  </si>
  <si>
    <t>Purata Bergerak - Ringkas</t>
  </si>
  <si>
    <t>Glidende gjennomsnitt – enkelt</t>
  </si>
  <si>
    <t>Średnia ruchoma - prosta</t>
  </si>
  <si>
    <t>Média móvel - simples</t>
  </si>
  <si>
    <t>Media în Mișcare - Simplă</t>
  </si>
  <si>
    <t>Kĺzavý priemer - jednoduchý</t>
  </si>
  <si>
    <t>Drseče povprečje - preprosto</t>
  </si>
  <si>
    <t>Rörligt medelvärde - Enkelt</t>
  </si>
  <si>
    <t>ค่าเฉลี่ยเคลื่อนที่ - อย่างง่าย</t>
  </si>
  <si>
    <t>Hareketli Ortalamalar - Basit</t>
  </si>
  <si>
    <t>Đường trung bình động - Đơn giản</t>
  </si>
  <si>
    <t>saint_pierre</t>
  </si>
  <si>
    <t>Saint Pierre and Miquelon</t>
  </si>
  <si>
    <t>St. Pierre und Miquelon</t>
  </si>
  <si>
    <t>San Pedro y Miquelón</t>
  </si>
  <si>
    <t>Saint Pierre et Miquelon</t>
  </si>
  <si>
    <t>Сен-Пьер и Микелон</t>
  </si>
  <si>
    <t>Sveti Pier i Mikelon</t>
  </si>
  <si>
    <t>download_cryptoMarkets_app</t>
  </si>
  <si>
    <t>Download the leading financial app for\nCrypto currencies\nCryptoMarkets app</t>
  </si>
  <si>
    <t>نزل التطبيق المالي الرائد للعملات المشفرة\nتطبيق TeleTrader CryptoMarkets</t>
  </si>
  <si>
    <t>Изтеглете водещото финансово приложение за\nКрипто валути\nTeleTrader CryptoMarkets</t>
  </si>
  <si>
    <t>Stáhněte si přední finanční aplikaci pro \nKryptoměny \nKryptoměnovou aplikaci TeleTrader</t>
  </si>
  <si>
    <t>Download den førende finansielle app til\nKrypto-valutaer\nTeleTrader KryptoMarkeds-app</t>
  </si>
  <si>
    <t>Hol dir die CryptoMarkets App,\n die beste App für Krypto Währungen</t>
  </si>
  <si>
    <t>Κατεβάστε την κορυφαία χρηματοοικονομική εφαρμογή για \nΚρυπτονομίσματα \nΤην εφαρμογή TeleTrader CryptoMarkets</t>
  </si>
  <si>
    <t>Descarga la aplicación financiera líder de\ncriptomonedas:\nTeleTrader CryptoMarkets</t>
  </si>
  <si>
    <t>Lataa johtava taloussovellus for\nCrypto currencies\nTeleTrader CryptoMarkets -sovellus</t>
  </si>
  <si>
    <t>Télécharger l\'appli TeleTrader CryptoMarkets</t>
  </si>
  <si>
    <t>\nक्रिप्टो मुद्राओं\n के लिए प्रमुख वित्तीय ऐप को डाउनलोड करें टेलीट्रेडर क्रिप्टोमार्केट्स ऐप</t>
  </si>
  <si>
    <t>Töltse le a TeleTrader CryptoMarkets applikációt</t>
  </si>
  <si>
    <t>Unduh aplikasi keuangan utama untuk\nmata uang Crypto\nAplikasi Pasaran Crypto TeleTrader</t>
  </si>
  <si>
    <t>הורד את האפליקציה הפיננסית המובילה עבור \ n מטבעות קריפטו \ n TeleTrader CryptoMarkets</t>
  </si>
  <si>
    <t>TeleTrader CryptoMarketsアプリをダウンロード</t>
  </si>
  <si>
    <t>가상화폐를 위한 선도적인 금융 앱, TeleTrader CryptoMarkets 앱을 다운로드하세요</t>
  </si>
  <si>
    <t>Muat turun aplikasi kewangan utama untuk\nmata wang Crypto\nAplikasi Pasaran Crypto TeleTrader</t>
  </si>
  <si>
    <t>Download de TeleTrader CryptoMarkets app</t>
  </si>
  <si>
    <t>Last ned den ledende økonomiske appen for\nkrypto-valutaer\nTeleTrader CryptoMarkets-appen</t>
  </si>
  <si>
    <t>Pobierz aplikację Teletrader Rynek Kryptowalut</t>
  </si>
  <si>
    <t>Faça o download do aplicativo financeiro líder para \ nFluxos de criptografia \ nTeleTrader CryptoMarkets app</t>
  </si>
  <si>
    <t>Descacă aplicația financiară principală pentru\nCryptovalute\naplicația TeleTrader CryptoPiețe</t>
  </si>
  <si>
    <t>Загрузите ведущее финансовое приложение для \nКрипто валюты \nприложение TeleTrader CryptoMarkets</t>
  </si>
  <si>
    <t>Stiahnite si najlepšiu finančnú aplikáciu pre\nkryptomeny\nTeleTrader CryptoMarkets</t>
  </si>
  <si>
    <t>Prenesite vodilno finančno aplikacijo za \ nKripto valute \ nTeleTrader CryptoMarkets aplikacija</t>
  </si>
  <si>
    <t>Instaliraj vodeću aplikaciju za \nCrypto valute\nTeleTrader CryptoMarkets app</t>
  </si>
  <si>
    <t>Ladda ner den ledande finansappen för \ nKryptovalutor\nTeleTrader CryptoMarkets</t>
  </si>
  <si>
    <t>ดาวน์โหลดแอปการเงินระดับแนวหน้าในเรื่องสกุลเงินคริปโต TeleTrader CryptoMarkets</t>
  </si>
  <si>
    <t>Kripto kurlar\niçin önde gelen finans uygulaması indirin\nTeleTrader KriptoPiyasa uyguluması</t>
  </si>
  <si>
    <t>Hãy tải xuống ứng dụng tài chính hàng đầu cho\ntiền mã hóa\nỨng dụng TeleTrader Thị trường Tiền mã hóa</t>
  </si>
  <si>
    <t>下载主导财政的应用程序\n加密货币有关的应用程序\nTeleTrader CryptoMarkets（密码货币市场）</t>
  </si>
  <si>
    <t>tt_portfolio_previous_change_pct</t>
  </si>
  <si>
    <t>Previous Chg. (%)</t>
  </si>
  <si>
    <t>التغيير السابق (٪)</t>
  </si>
  <si>
    <t>Предишна Промяна (%)</t>
  </si>
  <si>
    <t>Předchozí změna (%)</t>
  </si>
  <si>
    <t>Forrige Byt (%)</t>
  </si>
  <si>
    <t>Diff. Vortag (%)</t>
  </si>
  <si>
    <t>Var.previa(%)</t>
  </si>
  <si>
    <t>Edellinen muut. (%)</t>
  </si>
  <si>
    <t>Var. précédente (%)</t>
  </si>
  <si>
    <t>पिछला परिवर्तन (%)</t>
  </si>
  <si>
    <t>Korábbi változás. (%)</t>
  </si>
  <si>
    <t>Pertukaran sebelumnya (%)</t>
  </si>
  <si>
    <t>Precedente Cmb. (%)</t>
  </si>
  <si>
    <t>שינוי (%) קודם</t>
  </si>
  <si>
    <t>過去の推移</t>
  </si>
  <si>
    <t>이전 변동(%)</t>
  </si>
  <si>
    <t>Vorige verandering (%)</t>
  </si>
  <si>
    <t>Forrige endr. (%)</t>
  </si>
  <si>
    <t>Poprzedni zm. (%)</t>
  </si>
  <si>
    <t>Alteração anterior (%)</t>
  </si>
  <si>
    <t>Schimb Precedent. (%)</t>
  </si>
  <si>
    <t>Предыдущие изм.%</t>
  </si>
  <si>
    <t>Predchádzajúca zmena (%)</t>
  </si>
  <si>
    <t>Prejšnji Chg (%)</t>
  </si>
  <si>
    <t>Föregående Chg. (%)</t>
  </si>
  <si>
    <t>เปลี่ยนก่อนหน้า (%)</t>
  </si>
  <si>
    <t>Önceki Değ. (%)</t>
  </si>
  <si>
    <t>Chênh lệch cũ (%)</t>
  </si>
  <si>
    <t>以往的变化%</t>
  </si>
  <si>
    <t>&gt;以往的變化%</t>
  </si>
  <si>
    <t>unblock</t>
  </si>
  <si>
    <t>Unblock</t>
  </si>
  <si>
    <t>الغاء حجب</t>
  </si>
  <si>
    <t>Деблокиране</t>
  </si>
  <si>
    <t>Desbloqueja</t>
  </si>
  <si>
    <t>Entsperren</t>
  </si>
  <si>
    <t>Desbloquear</t>
  </si>
  <si>
    <t>Débloquer</t>
  </si>
  <si>
    <t>Tiltás vége</t>
  </si>
  <si>
    <t>Batalkan blokir</t>
  </si>
  <si>
    <t>Sblocca</t>
  </si>
  <si>
    <t>ブロックを解除</t>
  </si>
  <si>
    <t>차단 해제</t>
  </si>
  <si>
    <t>Deblokkeren</t>
  </si>
  <si>
    <t>Odblokuj</t>
  </si>
  <si>
    <t>Разблокировать</t>
  </si>
  <si>
    <t>Odblokovať</t>
  </si>
  <si>
    <t>Одблокирај</t>
  </si>
  <si>
    <t>Avblockera</t>
  </si>
  <si>
    <t>Розблокувати</t>
  </si>
  <si>
    <t>Bỏ chặn</t>
  </si>
  <si>
    <t>解除封鎖</t>
  </si>
  <si>
    <t>action_renew_certificate</t>
  </si>
  <si>
    <t>Renew certificate</t>
  </si>
  <si>
    <t>تجديد الشهادة</t>
  </si>
  <si>
    <t>Подновяване на сертификата</t>
  </si>
  <si>
    <t>Renova el certificat</t>
  </si>
  <si>
    <t>Zertifikat erneuern</t>
  </si>
  <si>
    <t>Renovar certificado</t>
  </si>
  <si>
    <t>Renouveler le certificat</t>
  </si>
  <si>
    <t>Anvoar certificado</t>
  </si>
  <si>
    <t>Tanúsítvány megújítása</t>
  </si>
  <si>
    <t>Rinnova certificato</t>
  </si>
  <si>
    <t>証明書を更新</t>
  </si>
  <si>
    <t>인증서 갱신</t>
  </si>
  <si>
    <t>Certificaat vernieuwen</t>
  </si>
  <si>
    <t>Odnów certyfikat</t>
  </si>
  <si>
    <t>Обновить сертификат</t>
  </si>
  <si>
    <t>Obnoviť certifikát</t>
  </si>
  <si>
    <t>Обнови сертификат</t>
  </si>
  <si>
    <t>Förnya certifikat</t>
  </si>
  <si>
    <t>Оновити сертифікат</t>
  </si>
  <si>
    <t>Gia hạn chứng nhận</t>
  </si>
  <si>
    <t>更新證書</t>
  </si>
  <si>
    <t>tt_eulaagree</t>
  </si>
  <si>
    <t>Acepto las condiciones de uso</t>
  </si>
  <si>
    <t>Saya terima ketentuan Penggunaan</t>
  </si>
  <si>
    <t>תנאי השימוש מקובלים עליי</t>
  </si>
  <si>
    <t>Saya terima Terma Penggunaan</t>
  </si>
  <si>
    <t>Kullanım şartlarını kabul ediyorum</t>
  </si>
  <si>
    <t>tt_indices</t>
  </si>
  <si>
    <t>tt_addtowatchlist</t>
  </si>
  <si>
    <t>Add to watchlist</t>
  </si>
  <si>
    <t>إضافة إلى قائمة المتابعة</t>
  </si>
  <si>
    <t>Добавяне към уочлист</t>
  </si>
  <si>
    <t>Přidat do seznamu sledovaných</t>
  </si>
  <si>
    <t>Tilføj til overvågningsliste</t>
  </si>
  <si>
    <t>Zur Kursliste hinzufügen</t>
  </si>
  <si>
    <t>Προσθήκη στην λίστα παρακολούθησης</t>
  </si>
  <si>
    <t>Añadir a lista de seguimiento</t>
  </si>
  <si>
    <t>Lisää tarkkailulistaan</t>
  </si>
  <si>
    <t>Ajouter dans la liste personnelle</t>
  </si>
  <si>
    <t>वॉचलिस्ट में जोड़ें</t>
  </si>
  <si>
    <t>Hozzáadás a figyelőlistához</t>
  </si>
  <si>
    <t>Tambahkan ke daftar pantauan</t>
  </si>
  <si>
    <t>Aggiungi alla watchlist</t>
  </si>
  <si>
    <t>הוסף לרשימת מעקב</t>
  </si>
  <si>
    <t>お気に入りに追加</t>
  </si>
  <si>
    <t>보기목록에 추가</t>
  </si>
  <si>
    <t>Tambah kepada senarai pantau</t>
  </si>
  <si>
    <t>Voeg toe aan favorietenlijst</t>
  </si>
  <si>
    <t>Legg til i overvåkningslisten</t>
  </si>
  <si>
    <t>Dodaj do obserwowanych</t>
  </si>
  <si>
    <t>Adicionar à lista de observação</t>
  </si>
  <si>
    <t>Adaugă la lista de vizualizat</t>
  </si>
  <si>
    <t>Добавить в список наблюдения</t>
  </si>
  <si>
    <t>Pridať do sledovaného zoznamu</t>
  </si>
  <si>
    <t>Dodaj na seznam ogledov</t>
  </si>
  <si>
    <t>Dodaj u Watch listu</t>
  </si>
  <si>
    <t>Lägg till i bevakningslistan</t>
  </si>
  <si>
    <t>เพิ่มในรายการหุ้นที่ติดตาม</t>
  </si>
  <si>
    <t>İzleme listesine ekle</t>
  </si>
  <si>
    <t>Thêm vào danh mục theo dõi</t>
  </si>
  <si>
    <t>加入收藏夹</t>
  </si>
  <si>
    <t>&gt;加入收藏夾</t>
  </si>
  <si>
    <t>tt_basicsymboldata</t>
  </si>
  <si>
    <t>Master data</t>
  </si>
  <si>
    <t>البيانات الرئيسية</t>
  </si>
  <si>
    <t>Hlavní data</t>
  </si>
  <si>
    <t>Stamdata</t>
  </si>
  <si>
    <t>Stammdaten</t>
  </si>
  <si>
    <t>Κύρια δεδομένα</t>
  </si>
  <si>
    <t>Datos maestros</t>
  </si>
  <si>
    <t>Données de base</t>
  </si>
  <si>
    <t>मास्टर डेटा</t>
  </si>
  <si>
    <t>Törzsadatok</t>
  </si>
  <si>
    <t>Data induk</t>
  </si>
  <si>
    <t>Dati Master</t>
  </si>
  <si>
    <t>נתוני אב</t>
  </si>
  <si>
    <t>마스터 데이터</t>
  </si>
  <si>
    <t>Hoveddata</t>
  </si>
  <si>
    <t>Dane podstawowe</t>
  </si>
  <si>
    <t>Dados mestre</t>
  </si>
  <si>
    <t>Date etalon</t>
  </si>
  <si>
    <t>Основные данные</t>
  </si>
  <si>
    <t>Hlavné údaje</t>
  </si>
  <si>
    <t>Glavni podatki</t>
  </si>
  <si>
    <t>Basdata</t>
  </si>
  <si>
    <t>ข้อมูลโดยละเอียด</t>
  </si>
  <si>
    <t>Ana veriler</t>
  </si>
  <si>
    <t>Dữ liệu chủ</t>
  </si>
  <si>
    <t>主要资讯</t>
  </si>
  <si>
    <t>&gt;主要資訊</t>
  </si>
  <si>
    <t>pref_privacy</t>
  </si>
  <si>
    <t>Privacy</t>
  </si>
  <si>
    <t>الخصوصية</t>
  </si>
  <si>
    <t>Поверителност</t>
  </si>
  <si>
    <t>Privadesa</t>
  </si>
  <si>
    <t>Privatsphäre</t>
  </si>
  <si>
    <t>Privacidad</t>
  </si>
  <si>
    <t>Confidentialité</t>
  </si>
  <si>
    <t>Intimidade</t>
  </si>
  <si>
    <t>Személyes</t>
  </si>
  <si>
    <t>プライバシー</t>
  </si>
  <si>
    <t>프라이버시</t>
  </si>
  <si>
    <t>Prywatność</t>
  </si>
  <si>
    <t>Privacidade</t>
  </si>
  <si>
    <t>Приватность</t>
  </si>
  <si>
    <t>Приватност</t>
  </si>
  <si>
    <t>Privatliv</t>
  </si>
  <si>
    <t>Приватність</t>
  </si>
  <si>
    <t>隱私</t>
  </si>
  <si>
    <t>pref_vibrate</t>
  </si>
  <si>
    <t>Vibrate</t>
  </si>
  <si>
    <t>إعداد الإهتزاز</t>
  </si>
  <si>
    <t>Вибрация</t>
  </si>
  <si>
    <t>Vibra</t>
  </si>
  <si>
    <t>Vibrieren</t>
  </si>
  <si>
    <t>Vibrar</t>
  </si>
  <si>
    <t>Vibration</t>
  </si>
  <si>
    <t>Rezgés</t>
  </si>
  <si>
    <t>Getar</t>
  </si>
  <si>
    <t>振動</t>
  </si>
  <si>
    <t>진동</t>
  </si>
  <si>
    <t>Trillen</t>
  </si>
  <si>
    <t>Wibracje</t>
  </si>
  <si>
    <t>Vibrovať</t>
  </si>
  <si>
    <t>Вибрирај</t>
  </si>
  <si>
    <t>Vibrera</t>
  </si>
  <si>
    <t>Вібрувати</t>
  </si>
  <si>
    <t>Rung</t>
  </si>
  <si>
    <t>震動</t>
  </si>
  <si>
    <t>show_qr_code</t>
  </si>
  <si>
    <t>Show 2D Barcode</t>
  </si>
  <si>
    <t>أظهر شفرة التّعرّف 2D</t>
  </si>
  <si>
    <t>Показване на 2-измерен баркод</t>
  </si>
  <si>
    <t>Mostra el codi de barres 2D</t>
  </si>
  <si>
    <t>Barcode anzeigen</t>
  </si>
  <si>
    <t>Mostrar código QR</t>
  </si>
  <si>
    <t>Montrer le code-barres 2D</t>
  </si>
  <si>
    <t>Mostar código de barras 2D</t>
  </si>
  <si>
    <t>2D vonalkód mutatása</t>
  </si>
  <si>
    <t>Mostra codice a barre 2D</t>
  </si>
  <si>
    <t>2D バーコードを表示</t>
  </si>
  <si>
    <t>2D 바코드를 보여주세요</t>
  </si>
  <si>
    <t>2D-streepjescode tonen</t>
  </si>
  <si>
    <t>Pokaż kod QR</t>
  </si>
  <si>
    <t>Mostrar código de barras 2D</t>
  </si>
  <si>
    <t>Показать 2D штрихкод</t>
  </si>
  <si>
    <t>Прикажи 2Д бар-кôд</t>
  </si>
  <si>
    <t>Visa 2D-streckkod</t>
  </si>
  <si>
    <t>Показати QR-код</t>
  </si>
  <si>
    <t>顯示二維條碼</t>
  </si>
  <si>
    <t>georgia</t>
  </si>
  <si>
    <t>Georgia</t>
  </si>
  <si>
    <t>Georgien</t>
  </si>
  <si>
    <t>Géorgie</t>
  </si>
  <si>
    <t>Грузия</t>
  </si>
  <si>
    <t>Gruzija</t>
  </si>
  <si>
    <t>tt_pf_select_google_portfolio</t>
  </si>
  <si>
    <t>Select Google portfolio to import</t>
  </si>
  <si>
    <t>حدد محفظة Google للاستيراد</t>
  </si>
  <si>
    <t>Изберете портфолио на Google, което да импортирате</t>
  </si>
  <si>
    <t>Vyberte portfolio Google, které chcete importovat</t>
  </si>
  <si>
    <t>Vælg Google-portefølje, der skal importeres</t>
  </si>
  <si>
    <t>Wählen Sie das Google-Depot</t>
  </si>
  <si>
    <t>Επιλέξτε χαρτοφυλάκιο Google για εισαγωγή</t>
  </si>
  <si>
    <t>Seleccionar cartera de Google para importar</t>
  </si>
  <si>
    <t>Valitse tuotava Google-salkku</t>
  </si>
  <si>
    <t>Sélectionner le portefeuille Google à importer</t>
  </si>
  <si>
    <t>इम्पोर्ट करने के लिए गूगल पोर्टफोलियो का चयन करें</t>
  </si>
  <si>
    <t>Válassza ki Google portfólióját importáláshoz</t>
  </si>
  <si>
    <t>Pilih portfolio Google untuk diimport</t>
  </si>
  <si>
    <t>Seleziona il portafoglio Google da importare</t>
  </si>
  <si>
    <t>בחר בתיק השקעות של גוגל לייבוא</t>
  </si>
  <si>
    <t>インポートするにはGoogle ポートフォリオを選択して下さい</t>
  </si>
  <si>
    <t>가져올 구글 포트폴리오 선택</t>
  </si>
  <si>
    <t>Selecteer Google portefeuille om te importeren</t>
  </si>
  <si>
    <t>Velg Google-portefølje du vil importere</t>
  </si>
  <si>
    <t>Wybierz portfel Google do zaimportowania</t>
  </si>
  <si>
    <t>Selecione portfólio Google para importar</t>
  </si>
  <si>
    <t>Selectează portofoliul Google de importat</t>
  </si>
  <si>
    <t>Выбрать Google портфель для импорта</t>
  </si>
  <si>
    <t>Vyberte Google portfólio, ktoré chcete importovať</t>
  </si>
  <si>
    <t>Izberite Googlov portfelj za uvoz</t>
  </si>
  <si>
    <t>Izaberi Google portfolio za import</t>
  </si>
  <si>
    <t>Välj Google-portfölj att importera</t>
  </si>
  <si>
    <t>เลือกนำเข้าพอร์ตจาก Google</t>
  </si>
  <si>
    <t>Aktarmak için Google portföyünü seçiniz</t>
  </si>
  <si>
    <t>Chọn danh mục đầu tư của Google để nhập</t>
  </si>
  <si>
    <t>选择要输出的Google投资组合</t>
  </si>
  <si>
    <t>&gt;選擇要輸出的Google投資組合</t>
  </si>
  <si>
    <t>swaziland</t>
  </si>
  <si>
    <t>Swaziland</t>
  </si>
  <si>
    <t>Swasiland</t>
  </si>
  <si>
    <t>Suazilandia</t>
  </si>
  <si>
    <t>Свазиленд</t>
  </si>
  <si>
    <t>Svazilend</t>
  </si>
  <si>
    <t>pref_use_tor_summary</t>
  </si>
  <si>
    <t>Tunnel all connections through the Tor network. Requires Orbot</t>
  </si>
  <si>
    <t>تمرير كافة الاتصالات عبر شبكة تور. يتطلب أوربوت Orbot</t>
  </si>
  <si>
    <t>Всички връзки да минават през мрежата на Тор. Изисква Орбот</t>
  </si>
  <si>
    <t>Tunelar totes les connexions a través de la xarxa Tor. Requereix Orbot</t>
  </si>
  <si>
    <t>Alle Verbindungen über das Tor-Netzwerk tunneln. Benötigt Orbot</t>
  </si>
  <si>
    <t>Todas las conexiones se realizan a través de la red TOR. Requiere Orbot</t>
  </si>
  <si>
    <t>Rediriger toutes les connexions via le réseau Tor. Nécessite Orbot.</t>
  </si>
  <si>
    <t>Facer pasar todas as conexións a través da rede Tor. Require Orbot</t>
  </si>
  <si>
    <t>Minden kapcsolat átvezetése a Tor hálózatán. Szükséges hozzá az Orbot</t>
  </si>
  <si>
    <t>Indirizza tutte le connessioni attraverso la rete Tor. Richiede Orbot</t>
  </si>
  <si>
    <t>Tor ネットワークを介してすべての接続をトンネルします。 Orbot が必要です</t>
  </si>
  <si>
    <t>모든 연결을 Tor 네트워크를 통하도록 유도함. Orbot이 필요합니다</t>
  </si>
  <si>
    <t>Tunnel alle verbindingen door het Tor-netwerk. Vereist Orbot</t>
  </si>
  <si>
    <t>Tuneluj wszystkie połączenia przez sieć TOR. Wymaga zainstalowania aplikacji \"Orbot\"</t>
  </si>
  <si>
    <t>Usar a rede Tor para todas as conexões. Requer a aplicação Orbot</t>
  </si>
  <si>
    <t>Направить все соединения через сеть Tor. Требуется Orbot</t>
  </si>
  <si>
    <t>Тунеловање свих веза кроз Тор мрежу. Захтева Орбот</t>
  </si>
  <si>
    <t>Tunnla alla anslutningar genom Tor-nätverket. Kräver Orbot</t>
  </si>
  <si>
    <t>Тунелювати всі з\'єднання через мережу Tor. Потребує Orbot</t>
  </si>
  <si>
    <t>Chuyển toàn bộ kết nối thông qua mạng Tor. Cần có Orbot</t>
  </si>
  <si>
    <t>所有連接使用 Tor 網路傳輸，需要 Orbot</t>
  </si>
  <si>
    <t>pref_chat_states_summary</t>
  </si>
  <si>
    <t>Let your contacts know when you are writing messages to them</t>
  </si>
  <si>
    <t>إعلم جهات الاتصال الخاصة بك عندما تكتب رسائل لهم.</t>
  </si>
  <si>
    <t>Така контактите Ви ще разбират, когато им пишете съобщения</t>
  </si>
  <si>
    <t>Feu saber als vostres contactes quan els escriviu missatges</t>
  </si>
  <si>
    <t>Informiere deine Kontakte, wenn du eine Nachricht schreibst</t>
  </si>
  <si>
    <t>Permitir a tus contactos saber cuando estás escribiendo un mensaje</t>
  </si>
  <si>
    <t>Informer vos contacts quand vous leur écrivez des messages</t>
  </si>
  <si>
    <t>Permita aos seus contactos que saiban cando lles está a escribir</t>
  </si>
  <si>
    <t>Jelzed az ismerőseidnek, hogy mikor írsz nekik</t>
  </si>
  <si>
    <t>Fai sapere ai tuoi contatti quando stai scrivendo loro un messaggio</t>
  </si>
  <si>
    <t>あなたがメッセージを書いているときに、連絡先に知らせます</t>
  </si>
  <si>
    <t>메세지를 쓸 때 친구들이 알게 합니다</t>
  </si>
  <si>
    <t>Laat je contacten weten wanneer je ze een nieuw bericht schrijft</t>
  </si>
  <si>
    <t>Powiadamiaj rozmówcę, kiedy rozpoczynasz nową wiadomość</t>
  </si>
  <si>
    <t>Permitir que um contacto saiba quando está a escrever uma nova mensagem</t>
  </si>
  <si>
    <t>Позволяет вашим контактам видеть когда вы пишете им новое сообщение</t>
  </si>
  <si>
    <t>Обзнаните контактима када им куцате поруке</t>
  </si>
  <si>
    <t>Låt dina kontakter veta när du skriver meddelande till dem</t>
  </si>
  <si>
    <t>Дайте вашим контактам знати, коли ви набираєте їм повідомлення</t>
  </si>
  <si>
    <t>讓聯絡人知道你正在寫訊息送給它們</t>
  </si>
  <si>
    <t>tt_already_have_account</t>
  </si>
  <si>
    <t>You already have a baha.com financial portal account?</t>
  </si>
  <si>
    <t>هل لديك حساب بوابة مالي في TeleTrader.com بالفعل؟</t>
  </si>
  <si>
    <t>Вече имате акаунт във финансов портал на TeleTrader.com?</t>
  </si>
  <si>
    <t>Už máte účet na finančním portálu TeleTrader.com?</t>
  </si>
  <si>
    <t>Du har allerede en finansportal konto hos TeleTrader.com?</t>
  </si>
  <si>
    <t>Haben Sie bereits einen baha.com Benutzer?</t>
  </si>
  <si>
    <t>Έχετε ήδη λογαριασμό στην χρηματοοικονομική πύλη TeleTrader.com;</t>
  </si>
  <si>
    <t>¿Tiene una cuenta en nuestro portal financiero baha.com?</t>
  </si>
  <si>
    <t>Sinulla on jo TeleTrader.com-finanssiportaalitili?</t>
  </si>
  <si>
    <t>Vous possédez déjà un compte sur notre portail financier teletrader.com ?</t>
  </si>
  <si>
    <t>आपके पास पहले से एक TeleTrader.com वित्तीय पोर्टल खाता मौजूद है?</t>
  </si>
  <si>
    <t>Már rendelkezik TeleTrader.com pénzügyi portál hozzáféréssel?</t>
  </si>
  <si>
    <t>Anda sudah mempunyai akun portal keuangan TeleTrader.com?</t>
  </si>
  <si>
    <t>Hai già TeleTrader account?</t>
  </si>
  <si>
    <t>יש לך כבר חשבון פורטל פיננסי של TeleTrader.com?</t>
  </si>
  <si>
    <t>既にTeleTraderに口座をお持ちですか</t>
  </si>
  <si>
    <t>이미 TeleTrader.com 금융 포털 계정을 가지고 계십니까?</t>
  </si>
  <si>
    <t>Anda sudah mempunyai akaun portal kewangan TeleTrader.com?</t>
  </si>
  <si>
    <t>Heeft u al een Teletrader.com financiële Portal account?</t>
  </si>
  <si>
    <t>Har du allerede en TeleTrader.com finansportalkonto?</t>
  </si>
  <si>
    <t>Czy masz już konto na portalu finansowym TeleTrader.com?</t>
  </si>
  <si>
    <t>Você já tem uma conta no portal financeiro TeleTrader.com?</t>
  </si>
  <si>
    <t>Ai deja un cont de portal financiar TeleTrader.com?</t>
  </si>
  <si>
    <t>Вы уже зарегистрированны на финансовом портале baha.com?</t>
  </si>
  <si>
    <t>Máte už účet na finančnom portáli TeleTrader.com?</t>
  </si>
  <si>
    <t>Ali imate že račun finančnega portala TeleTrader.com?</t>
  </si>
  <si>
    <t>Da li već imate nalog na TeleTrader.com finansijskom portalu?</t>
  </si>
  <si>
    <t>Har du redan ett finansportalkonto för TeleTrader.com?</t>
  </si>
  <si>
    <t>คุณมีบัญชีพอร์ทัลใน TeleTrader.com อยู่แล้วใช่ไหม?</t>
  </si>
  <si>
    <t>Zaten bir TeleTrader.com finansal portal hesabınız var mı?,</t>
  </si>
  <si>
    <t>Bạn đã có tài khoản cổng thông tin tài chính TeleTrader.com?</t>
  </si>
  <si>
    <t>你已经有TeleTrader.com的帐户？</t>
  </si>
  <si>
    <t>&gt;你已經有TeleTrader.com的帳戶？</t>
  </si>
  <si>
    <t>afghanistan</t>
  </si>
  <si>
    <t>Afghanistan</t>
  </si>
  <si>
    <t>Афганистан</t>
  </si>
  <si>
    <t>Afganistan</t>
  </si>
  <si>
    <t>select</t>
  </si>
  <si>
    <t>Select</t>
  </si>
  <si>
    <t>إختر</t>
  </si>
  <si>
    <t>Избиране</t>
  </si>
  <si>
    <t>Seleccioneu</t>
  </si>
  <si>
    <t>Auswählen</t>
  </si>
  <si>
    <t>Seleccionar</t>
  </si>
  <si>
    <t>Sélectionner</t>
  </si>
  <si>
    <t>Selecionar</t>
  </si>
  <si>
    <t>Kiválaszt</t>
  </si>
  <si>
    <t>Pilih</t>
  </si>
  <si>
    <t>Seleziona</t>
  </si>
  <si>
    <t>選択</t>
  </si>
  <si>
    <t>선택</t>
  </si>
  <si>
    <t>Selecteren</t>
  </si>
  <si>
    <t>Wybierz</t>
  </si>
  <si>
    <t>Выбрать</t>
  </si>
  <si>
    <t>Изабери</t>
  </si>
  <si>
    <t>Välj</t>
  </si>
  <si>
    <t>Вибрати</t>
  </si>
  <si>
    <t>Chọn</t>
  </si>
  <si>
    <t>選擇</t>
  </si>
  <si>
    <t>invite_contact</t>
  </si>
  <si>
    <t>Invite contact</t>
  </si>
  <si>
    <t>دعوة جهة إتصال</t>
  </si>
  <si>
    <t>Поканете контакт</t>
  </si>
  <si>
    <t>Convida un contacte</t>
  </si>
  <si>
    <t>Kontakt einladen</t>
  </si>
  <si>
    <t>Invitar a contacto</t>
  </si>
  <si>
    <t>Inviter un contact</t>
  </si>
  <si>
    <t>Invitar contacto</t>
  </si>
  <si>
    <t>Ismerős meghívása</t>
  </si>
  <si>
    <t>Invita contatto</t>
  </si>
  <si>
    <t>連絡先を招待</t>
  </si>
  <si>
    <t>Contact uitnodigen</t>
  </si>
  <si>
    <t>Zaproś kontakt</t>
  </si>
  <si>
    <t>Convidar contacto</t>
  </si>
  <si>
    <t>Пригласить собеседника</t>
  </si>
  <si>
    <t>Позови контакт</t>
  </si>
  <si>
    <t>tt_chartmode</t>
  </si>
  <si>
    <t>Chart View</t>
  </si>
  <si>
    <t>عرض المخطط</t>
  </si>
  <si>
    <t>Графика изглед</t>
  </si>
  <si>
    <t>Zobrazení grafu</t>
  </si>
  <si>
    <t>Diagramvisning</t>
  </si>
  <si>
    <t>Chartansicht</t>
  </si>
  <si>
    <t>Προβολή γραφήματος</t>
  </si>
  <si>
    <t>Vista de gráfico</t>
  </si>
  <si>
    <t>Kaavionäkymä</t>
  </si>
  <si>
    <t>Afficher sous forme de graphique</t>
  </si>
  <si>
    <t>चार्ट व्यू</t>
  </si>
  <si>
    <t>Grafikon nézet</t>
  </si>
  <si>
    <t>Pandangan Grafik</t>
  </si>
  <si>
    <t>Visualizzazione del grafico</t>
  </si>
  <si>
    <t>תצוגת גרף</t>
  </si>
  <si>
    <t>チャートビュー</t>
  </si>
  <si>
    <t>차트 보기</t>
  </si>
  <si>
    <t>Pandangan Carta</t>
  </si>
  <si>
    <t>Zobacz wykres</t>
  </si>
  <si>
    <t>Exibição de gráfico</t>
  </si>
  <si>
    <t>Vizualizare Grafic</t>
  </si>
  <si>
    <t>Просмотр в виде графика</t>
  </si>
  <si>
    <t>Zobrazenie grafu</t>
  </si>
  <si>
    <t>Pogled grafikona</t>
  </si>
  <si>
    <t>Diagramvy</t>
  </si>
  <si>
    <t>ดูแผนภูมิ</t>
  </si>
  <si>
    <t>Grafik Görünümü</t>
  </si>
  <si>
    <t>Chế độ xem biểu đồ</t>
  </si>
  <si>
    <t>检视图表</t>
  </si>
  <si>
    <t>&gt;檢視圖表</t>
  </si>
  <si>
    <t>tt_edit_watchlist</t>
  </si>
  <si>
    <t>Edit watchlist</t>
  </si>
  <si>
    <t>تحرير قائمة المتابعة</t>
  </si>
  <si>
    <t>Редактиране на уочлист</t>
  </si>
  <si>
    <t>Upravit seznam sledovaných</t>
  </si>
  <si>
    <t>Rediger overvågningsliste</t>
  </si>
  <si>
    <t>Kursliste bearbeiten</t>
  </si>
  <si>
    <t>Επεξεργασία λίστας παρακολούθησης</t>
  </si>
  <si>
    <t>Editar lista de seguimiento</t>
  </si>
  <si>
    <t>Muokkaa tarkkailulistaa</t>
  </si>
  <si>
    <t>Editer la liste personnelle</t>
  </si>
  <si>
    <t>वॉचलिस्ट को एडिट करें</t>
  </si>
  <si>
    <t>Figyelőlista szerkesztése</t>
  </si>
  <si>
    <t>Edit daftar pantauan</t>
  </si>
  <si>
    <t>ערוך רשימת מעקב</t>
  </si>
  <si>
    <t>お気に入りを編集</t>
  </si>
  <si>
    <t>Sunting senarai pantau</t>
  </si>
  <si>
    <t>Wijzig favorietenlijst</t>
  </si>
  <si>
    <t>Rediger overvåkningslisten</t>
  </si>
  <si>
    <t>Edytuj listę obserwowanych</t>
  </si>
  <si>
    <t>Editar lista de observações</t>
  </si>
  <si>
    <t>Editează lista de urmărire</t>
  </si>
  <si>
    <t>Редактировать список наблюдения</t>
  </si>
  <si>
    <t>Upraviť sledovaný zoznam</t>
  </si>
  <si>
    <t>Urejanje seznama ogledov</t>
  </si>
  <si>
    <t>Uredi Watch listu</t>
  </si>
  <si>
    <t>Redigera bevakningslistan</t>
  </si>
  <si>
    <t>İzleme listesini düzenle</t>
  </si>
  <si>
    <t>last_seen_min</t>
  </si>
  <si>
    <t>last seen 1 minute ago</t>
  </si>
  <si>
    <t>آخر ظهور منذ 1 دقيقة</t>
  </si>
  <si>
    <t>последно видян преди 1 минута</t>
  </si>
  <si>
    <t>darrera connexió: fa 1 minut</t>
  </si>
  <si>
    <t>vor einer Minute gesehen</t>
  </si>
  <si>
    <t>Visto última vez hace 1 minuto</t>
  </si>
  <si>
    <t>en ligne il y a 1 minute</t>
  </si>
  <si>
    <t>visto hai 1 minuto</t>
  </si>
  <si>
    <t>1 perce volt aktív</t>
  </si>
  <si>
    <t>terakhir terlihat 1 menit lalu</t>
  </si>
  <si>
    <t>visto 1 minuto fa</t>
  </si>
  <si>
    <t>1 分前に会いました</t>
  </si>
  <si>
    <t>1분 전까지 접속했었음</t>
  </si>
  <si>
    <t>1 minuut geleden voor het laatst gezien</t>
  </si>
  <si>
    <t>widziany minutę temu</t>
  </si>
  <si>
    <t>visto há 1 minuto atrás</t>
  </si>
  <si>
    <t>Присутствие: 1 минуту назад</t>
  </si>
  <si>
    <t>naposledy prihlásený pred 1 minútou</t>
  </si>
  <si>
    <t>виђен/а пре минут</t>
  </si>
  <si>
    <t>senast sedd 1 minut sedan</t>
  </si>
  <si>
    <t>востаннє бачили 1 хвилину тому</t>
  </si>
  <si>
    <t>thấy lần cuối 1 phút trước</t>
  </si>
  <si>
    <t>1 分鐘前查看過</t>
  </si>
  <si>
    <t>tt_indicator_settings_mov3</t>
  </si>
  <si>
    <t>Mov3</t>
  </si>
  <si>
    <t>الحركة 3</t>
  </si>
  <si>
    <t>Klouz3</t>
  </si>
  <si>
    <t>मूव3</t>
  </si>
  <si>
    <t>이동3</t>
  </si>
  <si>
    <t>Beveg3</t>
  </si>
  <si>
    <t>Mov 3 (mișcarea3)</t>
  </si>
  <si>
    <t>Ma3</t>
  </si>
  <si>
    <t>Har3</t>
  </si>
  <si>
    <t>3移动平均数</t>
  </si>
  <si>
    <t>&gt;Mov3</t>
  </si>
  <si>
    <t>choose_quick_action</t>
  </si>
  <si>
    <t>Choose quick action</t>
  </si>
  <si>
    <t>إختر حركة سريعة</t>
  </si>
  <si>
    <t>Изберете бързо действие</t>
  </si>
  <si>
    <t>Trieu una acció ràpida</t>
  </si>
  <si>
    <t>Wähle Schnell-Taste</t>
  </si>
  <si>
    <t>Elegir acción rápida</t>
  </si>
  <si>
    <t>Sélectionner l\'action rapide</t>
  </si>
  <si>
    <t>Escolla a acción rápida</t>
  </si>
  <si>
    <t>Gyors gomb funkciója</t>
  </si>
  <si>
    <t>Pilih aksi cepat</t>
  </si>
  <si>
    <t>Scegli azione rapida</t>
  </si>
  <si>
    <t>クイックアクションの選択</t>
  </si>
  <si>
    <t>빠른 동작 선택</t>
  </si>
  <si>
    <t>Snelle actie kiezen</t>
  </si>
  <si>
    <t>Wybierz szybką akcję</t>
  </si>
  <si>
    <t>Escolher ação rápida</t>
  </si>
  <si>
    <t>Выбрать быстрое действие</t>
  </si>
  <si>
    <t>Vybrať rýchlu voľbu</t>
  </si>
  <si>
    <t>Изаберите брзу радњу</t>
  </si>
  <si>
    <t>Välj snabbfunktion</t>
  </si>
  <si>
    <t>Вибрати швидку дію</t>
  </si>
  <si>
    <t>Chọn thao tác nhanh</t>
  </si>
  <si>
    <t>選擇快速動作</t>
  </si>
  <si>
    <t>tt_indicator_settings_mov2</t>
  </si>
  <si>
    <t>Mov2</t>
  </si>
  <si>
    <t>الحركة 2</t>
  </si>
  <si>
    <t>Klouz2</t>
  </si>
  <si>
    <t>मूव2</t>
  </si>
  <si>
    <t>이동2</t>
  </si>
  <si>
    <t>Beveg2</t>
  </si>
  <si>
    <t>Mov2 (mișcarea2)</t>
  </si>
  <si>
    <t>Ma2</t>
  </si>
  <si>
    <t>Har2</t>
  </si>
  <si>
    <t>2移动平均数</t>
  </si>
  <si>
    <t>&gt;Mov2</t>
  </si>
  <si>
    <t>turn_me</t>
  </si>
  <si>
    <t>Turn me</t>
  </si>
  <si>
    <t>Vend mig</t>
  </si>
  <si>
    <t>Convertirme</t>
  </si>
  <si>
    <t>Käännä minua</t>
  </si>
  <si>
    <t>Retournez-moi</t>
  </si>
  <si>
    <t>Fordítson el</t>
  </si>
  <si>
    <t>Putar saya</t>
  </si>
  <si>
    <t>Accendimi</t>
  </si>
  <si>
    <t>私を変えて</t>
  </si>
  <si>
    <t>Hiburkan saya</t>
  </si>
  <si>
    <t>Draai me</t>
  </si>
  <si>
    <t>Snu meg</t>
  </si>
  <si>
    <t>Włącz mnie</t>
  </si>
  <si>
    <t>Поверни меня</t>
  </si>
  <si>
    <t>Vänd mig</t>
  </si>
  <si>
    <t>Beni döndür</t>
  </si>
  <si>
    <t>转动</t>
  </si>
  <si>
    <t>tt_indicator_settings_mov1</t>
  </si>
  <si>
    <t>Mov1</t>
  </si>
  <si>
    <t>الحركة 1</t>
  </si>
  <si>
    <t>Klouz1</t>
  </si>
  <si>
    <t>मूव1</t>
  </si>
  <si>
    <t>이동1</t>
  </si>
  <si>
    <t>Beveg1</t>
  </si>
  <si>
    <t>Mov1 (mișcarea1)</t>
  </si>
  <si>
    <t>Ma1</t>
  </si>
  <si>
    <t>Har1</t>
  </si>
  <si>
    <t>1移动平均数</t>
  </si>
  <si>
    <t>&gt;Mov1</t>
  </si>
  <si>
    <t>could_not_change_password</t>
  </si>
  <si>
    <t>Could not change password</t>
  </si>
  <si>
    <t>لايمكن تغيير كلمة السر</t>
  </si>
  <si>
    <t>Неуспешна промяна на паролата</t>
  </si>
  <si>
    <t>No s\'ha pogut canviar la contrasenya</t>
  </si>
  <si>
    <t>Passwort kann nicht geändert werden.</t>
  </si>
  <si>
    <t>No se puede cambiar la contraseña</t>
  </si>
  <si>
    <t>Impossible de changer le mot de passe</t>
  </si>
  <si>
    <t>Non puido mudar o contrasinal</t>
  </si>
  <si>
    <t>Nem lehet a jelszót megváltoztatni</t>
  </si>
  <si>
    <t>Tidak dapat mengubah password</t>
  </si>
  <si>
    <t>Impossibile cambiare la password</t>
  </si>
  <si>
    <t>パスワードを変更できません</t>
  </si>
  <si>
    <t>암호를 변경할 수 없습니다</t>
  </si>
  <si>
    <t>Kon wachtwoord niet wijzigen</t>
  </si>
  <si>
    <t>Nie udało się zmienić hasła</t>
  </si>
  <si>
    <t>Não foi possível alterar a palavra-passe</t>
  </si>
  <si>
    <t>Не удалось изменить пароль</t>
  </si>
  <si>
    <t>Nepodarilo sa zmeniť heslo</t>
  </si>
  <si>
    <t>Не могох да променим лозинку</t>
  </si>
  <si>
    <t>Kunde inte byta lösenord</t>
  </si>
  <si>
    <t>Не зміг змінити пароль</t>
  </si>
  <si>
    <t>Không thể đổi mật khẩu</t>
  </si>
  <si>
    <t>不能修改密碼</t>
  </si>
  <si>
    <t>tt_available_data</t>
  </si>
  <si>
    <t>More values</t>
  </si>
  <si>
    <t>المزيد من القيم</t>
  </si>
  <si>
    <t>Повече стойности</t>
  </si>
  <si>
    <t>Více hodnot</t>
  </si>
  <si>
    <t>Flere værdier</t>
  </si>
  <si>
    <t>Weitere Werte</t>
  </si>
  <si>
    <t>Περισσότερες τιμές</t>
  </si>
  <si>
    <t>Más valores</t>
  </si>
  <si>
    <t>Lisää arvoja</t>
  </si>
  <si>
    <t>Plus de valeurs</t>
  </si>
  <si>
    <t>अधिक मूल्य</t>
  </si>
  <si>
    <t>További értékek</t>
  </si>
  <si>
    <t>Nilai Lebih</t>
  </si>
  <si>
    <t>Più valori</t>
  </si>
  <si>
    <t>ערכים נוספים</t>
  </si>
  <si>
    <t>値</t>
  </si>
  <si>
    <t>더 많은 가치</t>
  </si>
  <si>
    <t>Lagi nilai</t>
  </si>
  <si>
    <t>Meer waarden</t>
  </si>
  <si>
    <t>Flere verdier</t>
  </si>
  <si>
    <t>Więcej wartości</t>
  </si>
  <si>
    <t>Mais valores</t>
  </si>
  <si>
    <t>Mai multe valori</t>
  </si>
  <si>
    <t>Показать стоимость</t>
  </si>
  <si>
    <t>Ďalšie hodnoty</t>
  </si>
  <si>
    <t>Več vrednosti</t>
  </si>
  <si>
    <t>Fler värden</t>
  </si>
  <si>
    <t>ค่าเพิ่มเติม</t>
  </si>
  <si>
    <t>Diğer değerler</t>
  </si>
  <si>
    <t>Thêm giá trị</t>
  </si>
  <si>
    <t>更多的数值</t>
  </si>
  <si>
    <t>&gt;更多的數值</t>
  </si>
  <si>
    <t>p1_s3_filetransfer</t>
  </si>
  <si>
    <t>HTTP File Sharing for S3</t>
  </si>
  <si>
    <t>Споделяне на файлове през HTTP за S3</t>
  </si>
  <si>
    <t>Ús compartit d\'arxius HTTP per a S3</t>
  </si>
  <si>
    <t>HTTP-Dateifreigabe für S3</t>
  </si>
  <si>
    <t>Compartición de Archivos mediante S3</t>
  </si>
  <si>
    <t>Partage de fichier HTTP pour S3</t>
  </si>
  <si>
    <t>Compartición de ficheiro HTTP para S3</t>
  </si>
  <si>
    <t>HTTP fájlmegosztás S3-nak</t>
  </si>
  <si>
    <t>Condivisione file in HTTP per S3</t>
  </si>
  <si>
    <t>Bestanden delen via HTTP voor S3</t>
  </si>
  <si>
    <t>Udostępnianie plików przez HTTP S3</t>
  </si>
  <si>
    <t>no_accounts</t>
  </si>
  <si>
    <t>(No activated accounts)</t>
  </si>
  <si>
    <t>)ليس هناك أي حساب مفعل(</t>
  </si>
  <si>
    <t>(Няма активирани профили)</t>
  </si>
  <si>
    <t>(Sense comptes activats)</t>
  </si>
  <si>
    <t>(Keine aktivierten Konten)</t>
  </si>
  <si>
    <t>(No hay cuentas activas)</t>
  </si>
  <si>
    <t>(Aucun compte activé)</t>
  </si>
  <si>
    <t>(Contas non activadas)</t>
  </si>
  <si>
    <t>(Nincs aktivált fiók)</t>
  </si>
  <si>
    <t>(Tidak ada akun aktif)</t>
  </si>
  <si>
    <t>(Nessun account attivo)</t>
  </si>
  <si>
    <t>(アクティベートしたアカウントはありません)</t>
  </si>
  <si>
    <t>(활성화 된 계정이 없습니다)</t>
  </si>
  <si>
    <t>(Geen actieve accounts)</t>
  </si>
  <si>
    <t>(Brak aktywynych kont)</t>
  </si>
  <si>
    <t>(Nenhuma conta ativada)</t>
  </si>
  <si>
    <t>(Нет активных аккаунтов)</t>
  </si>
  <si>
    <t>(Нема активираних налога)</t>
  </si>
  <si>
    <t>(Inget konto aktiverat)</t>
  </si>
  <si>
    <t>(Немає активних облікових засобів)</t>
  </si>
  <si>
    <t>(沒有啟動的帳戶)</t>
  </si>
  <si>
    <t>pref_clean_private_storage_summary</t>
  </si>
  <si>
    <t>Clean private storage where files are kept (They can be re-downloaded from the server)</t>
  </si>
  <si>
    <t>Изчистване на мястото, където се съхраняват личните файлове. (Те могат да бъдат повторно изтеглени от сървъра.)</t>
  </si>
  <si>
    <t>Netejar emmagatzematge privat on es mantenen els fitxers (es poden tornar a descarregar del servidor)</t>
  </si>
  <si>
    <t>Lösche privaten Speicher, in dem die Dateien gespeichert werden (sie können erneut vom Server heruntergeladen werden)</t>
  </si>
  <si>
    <t>Limpiar datos privados de ficheros descargados (Pueden volver a descargarse desde el servidor)</t>
  </si>
  <si>
    <t>Vide le stockage privé, où les fichiers sont conservés (ils peuvent être re-téléchargés depuis le serveur)</t>
  </si>
  <si>
    <t>Limpar o almacenamento privado onde se gardan os ficheiros (poderán voltar a descargarse desde o servidor)</t>
  </si>
  <si>
    <t>Személyes tárhelyét törli, ahol fájljai vannak (Ezeket újra lehet tölteni a kiszolgálóról)</t>
  </si>
  <si>
    <t>Svuota l\'archivio privato nella quale sono memorizzati i file (possono essere riscaricati dal server)</t>
  </si>
  <si>
    <t>ファイルが保存されているプライベートストレージをクリアします (サーバーから再ダウンロードできます)</t>
  </si>
  <si>
    <t>파일이 저장되어있는 개인 스토리지를 정리합니다 (서버에서 다시 다운로드 할 수 있습니다)</t>
  </si>
  <si>
    <t>Privéopslag waar bestanden worden bijgehouden wissen (de bestanden kunnen opnieuw gedownload worden van de server)</t>
  </si>
  <si>
    <t>Wyczyść prywatny magazyn gdzie trzymane są pliki (mogą zostać pobrane ponownie z serwera)</t>
  </si>
  <si>
    <t>Очистить закрытое хранилище, где хранятся файлы (Файлы можно заново скачать с сервера)</t>
  </si>
  <si>
    <t>Rensa privat lagring där filer lagras (De kan om-laddas från servern)</t>
  </si>
  <si>
    <t>Очистити приватне сховище, де зберігаються файли (Вони можуть бути завантажені повторно з сервера)</t>
  </si>
  <si>
    <t>清理儲存檔案的私人空間(檔案還可以從伺服器重新下載)</t>
  </si>
  <si>
    <t>conference_options</t>
  </si>
  <si>
    <t>Group chat options</t>
  </si>
  <si>
    <t>خيارات مجموعة المحادثة</t>
  </si>
  <si>
    <t>Настройки на груповия разговор</t>
  </si>
  <si>
    <t>Opcions de xat en grup</t>
  </si>
  <si>
    <t>Gruppenchatoptionen</t>
  </si>
  <si>
    <t>Opciones de conversación</t>
  </si>
  <si>
    <t>Options du groupe de discussion</t>
  </si>
  <si>
    <t>Opcións da conversa en grupo</t>
  </si>
  <si>
    <t>Konferencia beállítások</t>
  </si>
  <si>
    <t>Opzioni chat di gruppo</t>
  </si>
  <si>
    <t>談話室のオプション</t>
  </si>
  <si>
    <t>Gespreksopties</t>
  </si>
  <si>
    <t>Opcje konferencji</t>
  </si>
  <si>
    <t>Opções de conversa em grupo</t>
  </si>
  <si>
    <t>Настройки конференции</t>
  </si>
  <si>
    <t>Опције групног ћаскања</t>
  </si>
  <si>
    <t>tt_distance_to_bonus_level</t>
  </si>
  <si>
    <t>Distance to bonus level</t>
  </si>
  <si>
    <t>المسافة إلى مستوى المكافأة</t>
  </si>
  <si>
    <t>Разстояние до бонус ниво</t>
  </si>
  <si>
    <t>Vzdálenost k bonusové úrovni</t>
  </si>
  <si>
    <t>Afstand til bonusniveau</t>
  </si>
  <si>
    <t>Abstand zum Bonus Level</t>
  </si>
  <si>
    <t>Απόσταση έως το επίπεδο μπόνους</t>
  </si>
  <si>
    <t>Distancia al nivel de bonificación</t>
  </si>
  <si>
    <t>Etäisyys bonustasoon</t>
  </si>
  <si>
    <t>Distance jusqu\'au niveau bonus</t>
  </si>
  <si>
    <t>बोनस स्तर की दूरी</t>
  </si>
  <si>
    <t>Távolság a bónusz szintig</t>
  </si>
  <si>
    <t>Jarak ke tingkat bonus</t>
  </si>
  <si>
    <t>Distanza a bonus livello</t>
  </si>
  <si>
    <t>מרחק לרמת בונוס</t>
  </si>
  <si>
    <t>ディスタンスボーナスレベル</t>
  </si>
  <si>
    <t>보너스 수준까지 거리</t>
  </si>
  <si>
    <t>Jarak ke peringkat bonus</t>
  </si>
  <si>
    <t>Afstand tot bonusniveau</t>
  </si>
  <si>
    <t>Avstand til bonusnivå</t>
  </si>
  <si>
    <t>Odległość od poziomu premii</t>
  </si>
  <si>
    <t>Distância para o nível de bónus</t>
  </si>
  <si>
    <t>Distanța până la nivelul bonusului</t>
  </si>
  <si>
    <t>Расстояние до уровня бонуса</t>
  </si>
  <si>
    <t>Vzdialenosť k bonusovej úrovni</t>
  </si>
  <si>
    <t>Razdalja do stopnje bonusa</t>
  </si>
  <si>
    <t>Razlika to bonus nivoa</t>
  </si>
  <si>
    <t>Tid till bonusnivå</t>
  </si>
  <si>
    <t>ระยะห่างจากระดับโบนัส</t>
  </si>
  <si>
    <t>Bonus seviyeye kalan uzaklık</t>
  </si>
  <si>
    <t>Khoảng cách đến mức thưởng</t>
  </si>
  <si>
    <t>到红利水平的距离</t>
  </si>
  <si>
    <t>tt_hours</t>
  </si>
  <si>
    <t>hours</t>
  </si>
  <si>
    <t>ساعات</t>
  </si>
  <si>
    <t>часа</t>
  </si>
  <si>
    <t>hodiny</t>
  </si>
  <si>
    <t>timer</t>
  </si>
  <si>
    <t>Stunden</t>
  </si>
  <si>
    <t>ώρες</t>
  </si>
  <si>
    <t>horas</t>
  </si>
  <si>
    <t>tuntia</t>
  </si>
  <si>
    <t>heures</t>
  </si>
  <si>
    <t>घंटे</t>
  </si>
  <si>
    <t>órával</t>
  </si>
  <si>
    <t>jam</t>
  </si>
  <si>
    <t>ore</t>
  </si>
  <si>
    <t>שעות</t>
  </si>
  <si>
    <t>시간</t>
  </si>
  <si>
    <t>uren</t>
  </si>
  <si>
    <t>godziny</t>
  </si>
  <si>
    <t>часы</t>
  </si>
  <si>
    <t>ure</t>
  </si>
  <si>
    <t>sati</t>
  </si>
  <si>
    <t>timmar</t>
  </si>
  <si>
    <t>ชั่วโมง</t>
  </si>
  <si>
    <t>Saatler</t>
  </si>
  <si>
    <t>giờ</t>
  </si>
  <si>
    <t>小时</t>
  </si>
  <si>
    <t>&gt;小時</t>
  </si>
  <si>
    <t>hide_inactive_devices</t>
  </si>
  <si>
    <t>Hide inactive</t>
  </si>
  <si>
    <t>إخفاء المستخدمين غير الناشطين</t>
  </si>
  <si>
    <t>Скриване на неактивните</t>
  </si>
  <si>
    <t>Amaga inactiu</t>
  </si>
  <si>
    <t>Inaktive ausblenden</t>
  </si>
  <si>
    <t>Ocultar inactivos</t>
  </si>
  <si>
    <t>Cacher les comptes inactifs</t>
  </si>
  <si>
    <t>Amagar inactivos</t>
  </si>
  <si>
    <t>Inaktívak elrejtése</t>
  </si>
  <si>
    <t>Nascondi inattivi</t>
  </si>
  <si>
    <t>Niet-actieve verbergen</t>
  </si>
  <si>
    <t>Ukryj nieaktywne</t>
  </si>
  <si>
    <t>Скрыть неактивные</t>
  </si>
  <si>
    <t>Сакриј неактивне</t>
  </si>
  <si>
    <t>tt_change_password</t>
  </si>
  <si>
    <t>Change Password</t>
  </si>
  <si>
    <t>تغيير كلمة المرور</t>
  </si>
  <si>
    <t>Промяна на паролата</t>
  </si>
  <si>
    <t>Změnit heslo</t>
  </si>
  <si>
    <t>Skift kodeord</t>
  </si>
  <si>
    <t>Passwort ändern</t>
  </si>
  <si>
    <t>Αλλαγή κωδικού</t>
  </si>
  <si>
    <t>Cambiar contraseña</t>
  </si>
  <si>
    <t>Vaihda salasana</t>
  </si>
  <si>
    <t>Modifier votre mot de passe</t>
  </si>
  <si>
    <t>पासवर्ड बदलें</t>
  </si>
  <si>
    <t>Jelszó megváltoztatása</t>
  </si>
  <si>
    <t>Ubah kata sandi</t>
  </si>
  <si>
    <t>Cambia password</t>
  </si>
  <si>
    <t>שנה סיסמא</t>
  </si>
  <si>
    <t>ﾊﾟｽﾜｰﾄﾞ変更</t>
  </si>
  <si>
    <t>비밀번호 변경</t>
  </si>
  <si>
    <t>Tukar Kata Laluan</t>
  </si>
  <si>
    <t>Verander password</t>
  </si>
  <si>
    <t>Bytt passord</t>
  </si>
  <si>
    <t>Zmień hasło</t>
  </si>
  <si>
    <t>Mudar a senha</t>
  </si>
  <si>
    <t>Schimbă Parola</t>
  </si>
  <si>
    <t>Изменить пароль</t>
  </si>
  <si>
    <t>Zmeniť heslo</t>
  </si>
  <si>
    <t>Spremeni geslo</t>
  </si>
  <si>
    <t>Promeni lozinku</t>
  </si>
  <si>
    <t>Ändra lösenord</t>
  </si>
  <si>
    <t>เปลี่ยนรหัสผ่าน</t>
  </si>
  <si>
    <t>Parolayı Değiştir</t>
  </si>
  <si>
    <t>Đổi mật khẩu</t>
  </si>
  <si>
    <t>更改密码</t>
  </si>
  <si>
    <t>&gt;更改密碼</t>
  </si>
  <si>
    <t>pref_start_search</t>
  </si>
  <si>
    <t>Direct Search</t>
  </si>
  <si>
    <t>Директно търсене</t>
  </si>
  <si>
    <t>Recerca directa</t>
  </si>
  <si>
    <t>Direkte Suche</t>
  </si>
  <si>
    <t>Búsqueda directa</t>
  </si>
  <si>
    <t>Recherche directe</t>
  </si>
  <si>
    <t>Busca directa</t>
  </si>
  <si>
    <t>Közvetlen keresés</t>
  </si>
  <si>
    <t>Ricerca diretta</t>
  </si>
  <si>
    <t>Rechtstreeks zoeken</t>
  </si>
  <si>
    <t>Wyszukiwanie bezpośrednie</t>
  </si>
  <si>
    <t>background_transparent_txt</t>
  </si>
  <si>
    <t>Transparent</t>
  </si>
  <si>
    <t>شفاف</t>
  </si>
  <si>
    <t>Прозрачен</t>
  </si>
  <si>
    <t>Průhledný</t>
  </si>
  <si>
    <t>Gennemsigtig</t>
  </si>
  <si>
    <t>Διαφανές</t>
  </si>
  <si>
    <t>Transparente</t>
  </si>
  <si>
    <t>Läpinäkyvä</t>
  </si>
  <si>
    <t>transperant</t>
  </si>
  <si>
    <t>पारदर्शक</t>
  </si>
  <si>
    <t>átlátszó</t>
  </si>
  <si>
    <t>Transparan</t>
  </si>
  <si>
    <t>Trasparente</t>
  </si>
  <si>
    <t>שקוף</t>
  </si>
  <si>
    <t>透明</t>
  </si>
  <si>
    <t>투명</t>
  </si>
  <si>
    <t>Lutsinar</t>
  </si>
  <si>
    <t>transparant</t>
  </si>
  <si>
    <t>Gjennomsiktig</t>
  </si>
  <si>
    <t>Przezroczysty</t>
  </si>
  <si>
    <t>Прозрачный</t>
  </si>
  <si>
    <t>Priehľadný</t>
  </si>
  <si>
    <t>Pregleden</t>
  </si>
  <si>
    <t>Transparentno</t>
  </si>
  <si>
    <t>โปร่งแสง</t>
  </si>
  <si>
    <t>Şeffaf</t>
  </si>
  <si>
    <t>Trong suốt</t>
  </si>
  <si>
    <t>透明的</t>
  </si>
  <si>
    <t>tt_onboarding_settings_watchlist_2</t>
  </si>
  <si>
    <t>Add a few of your favorite stocks now and help us optimize your experience!\nNever miss another important event!</t>
  </si>
  <si>
    <t>أضف بعض الأسهم المفضلة لديك الآن وساعدنا في تحسين تجربتك!\nلا تفوت أي حدث آخر مهم!</t>
  </si>
  <si>
    <t>Добавете няколко от любимите си акции сега и ни помогнете да оптимизираме вашето преживяване!\nНикога не пропускайте важно събитие!</t>
  </si>
  <si>
    <t>Teď přidejte několik svých oblíbených akcií a pomozte nám optimalizovat Váš prožitek!\nUž nikdy nepropásněte žádnou důležitou událost!</t>
  </si>
  <si>
    <t>Tilføj et par af dine yndlingsaktier nu, og hjælp os med at optimere din oplevelse!\NGå aldrig glip af en anden vigtig begivenhed!</t>
  </si>
  <si>
    <t>Fügen Sie nun einige Ihrer Lieblingsaktien hinzu und helfen Sie uns, Ihre App-Ansichten zu verbessern!\nVersäumen Sie nie mehr ein wichtiges Ereignis!</t>
  </si>
  <si>
    <t>Προσθέστε μερικές από τις αγαπημένες σας μετοχές τώρα και βοηθήστε μας να βελτιστοποιήσουμε την εμπειρία σας! \nΜην χάσετε ποτέ άλλο σημαντικό γεγονός!</t>
  </si>
  <si>
    <t>¡Añada algunas de sus acciones favoritas y ayudenos a optimizar su experiencia! ¡No se pierda otro evento importante!</t>
  </si>
  <si>
    <t>Lisää muutama suosikkiosake nyt ja auta meitä optimoimaan kokemuksesi! \nÄlä koskaan enää unohda tärkeää tapahtumaa!</t>
  </si>
  <si>
    <t>Ajouter quelques de vos actions préférées maintenant pour nous aider à optimiser votre expérience ! \ Ne manquer jamais un autre événement important !</t>
  </si>
  <si>
    <t>अभी अपने कुछ पसंदीदा स्टॉक को जोड़ें और अपने अनुभव को इष्टतम बनाने में हमारी सहायता करें!\n किसी अन्य महत्वपूर्ण घटना से कभी न चूकें!</t>
  </si>
  <si>
    <t>Adja hozzá néhány kedvenc részvényét és segítsen nekünk, hogy még teljesebb ügyfélélményt biztosítsunk. Soha ne hagyja ki a fontos eseményeket.</t>
  </si>
  <si>
    <t>Tambah beberapa saham kegemaran anda sekarang dan bantu kami mengoptimalkan pengalaman anda!\nJangan melewatkan acara penting lainnya!</t>
  </si>
  <si>
    <t>Aggiungi i tuoi titoli favoriti ed aiutaci di ottimizzare la tua esperienza! Non perdere di vista altro evento importante!</t>
  </si>
  <si>
    <t>הוסף כמה מהמניות המועדפות עכשיו ועזור לנו למטב את החוויה שלך! \ N לעולם אל תחמיץ אירוע חשוב נוסף!</t>
  </si>
  <si>
    <t>お気に入りの株式をいくつか追加すると、あなた仕様に最適化できます。他の重要なイベントもお見逃し無く!</t>
  </si>
  <si>
    <t>지금 좋아하는 주식을 추가하시고 사용자 경험을 최적화할 수 있도록 도와주세요!\n중요한 사건을 절대 놓치지 마세요!</t>
  </si>
  <si>
    <t>Tambah beberapa saham kegemaran anda sekarang dan bantu kami mengoptimumkan pengalaman anda!\nJangan terlepas satu lagi acara penting!</t>
  </si>
  <si>
    <t>Voeg nu een paar van uw favoriete aandelen toe en help ons uw ervaring te optimaliseren! Nooit een ander belangrijk evenement missen!</t>
  </si>
  <si>
    <t>Legg til noen av favorittaksjene dine nå, og hjelp oss å optimalisere opplevelsen! \nGå aldri glipp av en viktig begivenhet!</t>
  </si>
  <si>
    <t>Dodaj teraz kilka ulubionych spółek i nie przegap nigdy najważniejszych wydarzeń.</t>
  </si>
  <si>
    <t>Adicione algumas das suas ações favoritas agora e nos ajude a otimizar a sua experiência!\nNunca perca um outro evento importante!</t>
  </si>
  <si>
    <t>Adăugă acum câteva dintre stocurile tale preferate și ajută-ne să îți optimizăm experiența!\nNiciodată nu vei mai pierde un alt eveniment important!</t>
  </si>
  <si>
    <t>Добавьте несколько Ваших любимых акций сейчас и помогите нам оптимизировать Ваш опыт! Никогда не пропустите ни одно важное событие!</t>
  </si>
  <si>
    <t>Pridajte si teraz niekoľko svojich obľúbených cenných papierov a pomôžte nám optimalizovať vaše zážitky!\nNikdy vám neunikne žiadna dôležitá udalosť!</t>
  </si>
  <si>
    <t>Zdaj dodajte nekaj svojih najljubših zalog in nam pomagajte optimizirati vaše izkušnje! \ nNikoli ne zamudite drugega pomembnega dogodka!</t>
  </si>
  <si>
    <t>Dodaj nekoliko favorizovanih akcija sada i dozvoli da optimizujemo iskustva!\nNe propusti sledeći važan događaj!</t>
  </si>
  <si>
    <t>Lägg till några av dina favoritaktier nu och hjälp oss att optimera din upplevelse!\nMissa aldrig en viktig händelse!</t>
  </si>
  <si>
    <t>เพิ่มหุ้นตัวโปรดของคุณลงในรายการตั้งแต่ตอนนี้แล้วร่วมปรับปรุงประสบการณ์การใช้ไปพร้อมกัน! ห้ามพลาดเหตุการณ์สำคัญเป็นอันขาด!</t>
  </si>
  <si>
    <t>En sevdiğiniz hisse senetlerinizden birkaçını hemen ekleyin ve deneyiminizi optimize etmemize yardımcı olun!\nBaşka önemli etkinlikleri kaçırmayın!</t>
  </si>
  <si>
    <t>Thêm ngay một vài cổ phiếu yêu thích của bạn và giúp chúng tôi tối ưu hóa trải nghiệm của bạn!\nĐừng bao giờ bỏ lỡ một sự kiện quan trọng nào!</t>
  </si>
  <si>
    <t>现在加入您最喜欢的股票，同时也帮我们优化您的体验！\n从未错过重要的事件！</t>
  </si>
  <si>
    <t>tt_portfolio_yield</t>
  </si>
  <si>
    <t>Yield</t>
  </si>
  <si>
    <t>عائد</t>
  </si>
  <si>
    <t>Добив</t>
  </si>
  <si>
    <t>Výtěžek</t>
  </si>
  <si>
    <t>Ertrag</t>
  </si>
  <si>
    <t>Tuotto</t>
  </si>
  <si>
    <t>लाभ</t>
  </si>
  <si>
    <t>Hozam</t>
  </si>
  <si>
    <t>Hasil</t>
  </si>
  <si>
    <t>תשואה</t>
  </si>
  <si>
    <t>수익성</t>
  </si>
  <si>
    <t>Opbrengst</t>
  </si>
  <si>
    <t>Avkastning</t>
  </si>
  <si>
    <t>Rentowność</t>
  </si>
  <si>
    <t>Randament</t>
  </si>
  <si>
    <t>Прибыль</t>
  </si>
  <si>
    <t>Výnos</t>
  </si>
  <si>
    <t>Dobitek</t>
  </si>
  <si>
    <t>Getiri</t>
  </si>
  <si>
    <t>Lợi tức</t>
  </si>
  <si>
    <t>收益率</t>
  </si>
  <si>
    <t>&gt;收益率</t>
  </si>
  <si>
    <t>tt_onboarding_settings_watchlist_1</t>
  </si>
  <si>
    <t>Create your watchlist</t>
  </si>
  <si>
    <t>أنشئ قائمة متابعة خاصة بك</t>
  </si>
  <si>
    <t>Създайте своя уочлист</t>
  </si>
  <si>
    <t>Vytvořte si svůj seznam sledovaných</t>
  </si>
  <si>
    <t>Opret din overvågningsliste</t>
  </si>
  <si>
    <t>Erstellen Sie Ihre Watchlist</t>
  </si>
  <si>
    <t>Δημιουργήστε τη δική σας λίστα παρακολούθησής</t>
  </si>
  <si>
    <t>Crea tu lista de seguimiento</t>
  </si>
  <si>
    <t>Luo tarkkailulista</t>
  </si>
  <si>
    <t>Créer votre watchliste!</t>
  </si>
  <si>
    <t>अपनी वॉचलिस्ट बनाएँ</t>
  </si>
  <si>
    <t>Állítsa össze figyelőlistáját</t>
  </si>
  <si>
    <t>Buat daftar pantauan anda</t>
  </si>
  <si>
    <t>Crea un watchlist</t>
  </si>
  <si>
    <t>צור את רשימת המעקב שלך</t>
  </si>
  <si>
    <t>ウォッチリストを作成する</t>
  </si>
  <si>
    <t>내 보기목록 생성</t>
  </si>
  <si>
    <t>Wujudkan senarai pantau anda</t>
  </si>
  <si>
    <t>Maak je volglijst</t>
  </si>
  <si>
    <t>Lag din overvåkningsliste</t>
  </si>
  <si>
    <t>Stwórz listę obserwowanych</t>
  </si>
  <si>
    <t>Crie a sua lista de visualização</t>
  </si>
  <si>
    <t>Crează-ți lista de urmărire</t>
  </si>
  <si>
    <t>Создать свой список</t>
  </si>
  <si>
    <t>Vytvorte sledovaný zoznam</t>
  </si>
  <si>
    <t>Ustvari svoj seznam ogledov</t>
  </si>
  <si>
    <t>Kreiraj watch listu</t>
  </si>
  <si>
    <t>Skapa din bevakningslista</t>
  </si>
  <si>
    <t>สร้างรายการหุ้นที่ติดตาม</t>
  </si>
  <si>
    <t>İzleme listenizi oluşturun</t>
  </si>
  <si>
    <t>Tạo danh mục theo dõi của bạn</t>
  </si>
  <si>
    <t>建立你的收藏夹</t>
  </si>
  <si>
    <t>tt_portfolio_otherrevenuesexpenditures</t>
  </si>
  <si>
    <t>Other income / cost</t>
  </si>
  <si>
    <t>دخل/تكلفة أخرى</t>
  </si>
  <si>
    <t>Други приходи / разходи</t>
  </si>
  <si>
    <t>Ostatní příjmy / výdaje</t>
  </si>
  <si>
    <t>Andre indtægter / omkostninger</t>
  </si>
  <si>
    <t>Sonstige Erträge / Kosten</t>
  </si>
  <si>
    <t>Άλλα έσοδα / κόστη</t>
  </si>
  <si>
    <t>Otros ingresos / gastos</t>
  </si>
  <si>
    <t>Muut tulot/kustannukset</t>
  </si>
  <si>
    <t>Autre revenu/coût</t>
  </si>
  <si>
    <t>अन्य आय / लागत</t>
  </si>
  <si>
    <t>Egyéb jövedelmek / költségek</t>
  </si>
  <si>
    <t>Pendapatan/kos lain</t>
  </si>
  <si>
    <t>Altro utile / costo</t>
  </si>
  <si>
    <t>הכנסה / עלות אחרת</t>
  </si>
  <si>
    <t>他の収益／コスト</t>
  </si>
  <si>
    <t>기타 수익/비용</t>
  </si>
  <si>
    <t>Andere inkomsten / kosten</t>
  </si>
  <si>
    <t>Andre inntekter / kostnader</t>
  </si>
  <si>
    <t>Pozostałe przychody / koszty</t>
  </si>
  <si>
    <t>Otros rendimento/ gastos</t>
  </si>
  <si>
    <t>Alt venit / cost</t>
  </si>
  <si>
    <t>Другие Доходы/Расходы</t>
  </si>
  <si>
    <t>Iné príjmy / náklady</t>
  </si>
  <si>
    <t>Drugi prihodki / stroški</t>
  </si>
  <si>
    <t>Ostali prihodi / rashodi</t>
  </si>
  <si>
    <t>Övriga inkomster / kostnader</t>
  </si>
  <si>
    <t>รายได้ / ต้นทุนอื่นๆ</t>
  </si>
  <si>
    <t>Diğer gelirler / maliyet</t>
  </si>
  <si>
    <t>Thu nhập/chi phí khác</t>
  </si>
  <si>
    <t>其他收入/成本</t>
  </si>
  <si>
    <t>&gt;其他收入/成本</t>
  </si>
  <si>
    <t>tt_analysis_buy_hold_sell</t>
  </si>
  <si>
    <t>Buy/Hold/Sell</t>
  </si>
  <si>
    <t>شراء/احتفاظ/بيع</t>
  </si>
  <si>
    <t>Купува/Изчаква/Продава</t>
  </si>
  <si>
    <t>Koupit/držet/prodat</t>
  </si>
  <si>
    <t>Køb/Hold/Sælg</t>
  </si>
  <si>
    <t>Kaufen/Halten/Verkaufen</t>
  </si>
  <si>
    <t>Αγορά/Κράτηση/Πώληση</t>
  </si>
  <si>
    <t>Comprar/Mantener/Vender</t>
  </si>
  <si>
    <t>Osta/pidä/myy</t>
  </si>
  <si>
    <t>Acheter/Conserver/Vendre</t>
  </si>
  <si>
    <t>खरीदें/धारण करें/बेचें</t>
  </si>
  <si>
    <t>Vétel/Tartás/Eladás</t>
  </si>
  <si>
    <t>Beli/Pegang/Jual</t>
  </si>
  <si>
    <t>Comprare/Tenere/Vendere</t>
  </si>
  <si>
    <t>קנה/החזק/מכור</t>
  </si>
  <si>
    <t>購入する/保有/売り</t>
  </si>
  <si>
    <t>매입/보유/매도</t>
  </si>
  <si>
    <t>Koop/Houd/Verkoop</t>
  </si>
  <si>
    <t>Kjøp/hold/selg</t>
  </si>
  <si>
    <t>Kup/Trzymaj/Sprzedaj</t>
  </si>
  <si>
    <t>Comprar/Segurar/Vender</t>
  </si>
  <si>
    <t>Cumpără/Ține/Vinde</t>
  </si>
  <si>
    <t>Купить/Удерживать/Продать</t>
  </si>
  <si>
    <t>Kúpiť/podržať/predať</t>
  </si>
  <si>
    <t>Kupi/zadrži/prodaj</t>
  </si>
  <si>
    <t>Kupi/Zadrži/Prodaj</t>
  </si>
  <si>
    <t>Köp/Spar/Sälj</t>
  </si>
  <si>
    <t>ซื้อ/ถือ/ขาย</t>
  </si>
  <si>
    <t>Satın al/Beklet/Sat</t>
  </si>
  <si>
    <t>Mua/Giữ/Bán</t>
  </si>
  <si>
    <t>买入/持有/卖出</t>
  </si>
  <si>
    <t>send_feedback</t>
  </si>
  <si>
    <t>SEND FEEDBACK</t>
  </si>
  <si>
    <t>ارسل تعليقا</t>
  </si>
  <si>
    <t>ИЗПРАТИ ОТЗИВИ</t>
  </si>
  <si>
    <t>POSLAT ZPĚTNOU VAZBU</t>
  </si>
  <si>
    <t>ΣΤΕΙΛΤΕ ΤΑ ΣΧΟΛΙΑ ΣΑΣ</t>
  </si>
  <si>
    <t>Enviar sugerencias</t>
  </si>
  <si>
    <t>LÄHETÄ PALAUTETTA</t>
  </si>
  <si>
    <t>ENVOYER UN AVIS</t>
  </si>
  <si>
    <t>Visszajelzés küldése</t>
  </si>
  <si>
    <t>KIRIM UMPAN BALIK</t>
  </si>
  <si>
    <t>INVIA FEEDBACK</t>
  </si>
  <si>
    <t>フィードバックを送信</t>
  </si>
  <si>
    <t>피드백 전송</t>
  </si>
  <si>
    <t>HANTAR MAKLUM BALAS</t>
  </si>
  <si>
    <t>SEND TILBAKEMELDING</t>
  </si>
  <si>
    <t>Prześlij opinię</t>
  </si>
  <si>
    <t>ENVIAR COMENTÁRIOS</t>
  </si>
  <si>
    <t>TRIMITE COMENTARIU</t>
  </si>
  <si>
    <t>ОТПРАВИТЬ ОТЗЫВ</t>
  </si>
  <si>
    <t>POSLAŤ SPÄTNÚ VÄZBU</t>
  </si>
  <si>
    <t>POŠLJI POVRATNO INFORMACIJO</t>
  </si>
  <si>
    <t>POŠALJI POVRATNU INFORMACIJU</t>
  </si>
  <si>
    <t>SKICKA SYNPUNKTER</t>
  </si>
  <si>
    <t>GERİ BİLDİRİM VER</t>
  </si>
  <si>
    <t>GỬI PHẢN HỒI</t>
  </si>
  <si>
    <t>请您给我们发送反馈</t>
  </si>
  <si>
    <t>chat_login_or_register</t>
  </si>
  <si>
    <t>Please log-in or register to use the chat feature.</t>
  </si>
  <si>
    <t>Bitte loggen Sie sich ein oder registrieren Sie sich um den Chat nutzen zu können.</t>
  </si>
  <si>
    <t>Por favor inicia sesión or regístrate para usar la función de chat.</t>
  </si>
  <si>
    <t>Connectez-vous ou inscrivez-vous pour utiliser la fonctionnalité de chat.</t>
  </si>
  <si>
    <t>Kérjük lépjen be vagy regiszráljon a csevegő funkciók eléréséhez.</t>
  </si>
  <si>
    <t>Пожалуйста, войдите или зарегистрируйтесь, чтобы использовать функцию чата.</t>
  </si>
  <si>
    <t>Molimo vas ulogujte se ili se registrujte da bi ste koristili uslugu četa.</t>
  </si>
  <si>
    <t>viet_nam</t>
  </si>
  <si>
    <t>Viet Nam</t>
  </si>
  <si>
    <t>Vietnam</t>
  </si>
  <si>
    <t>Viêt-Nam</t>
  </si>
  <si>
    <t>Вьетнам</t>
  </si>
  <si>
    <t>block_contact</t>
  </si>
  <si>
    <t>Block contact</t>
  </si>
  <si>
    <t>حجب جهة اتصال</t>
  </si>
  <si>
    <t>Блокиране на контакт</t>
  </si>
  <si>
    <t>Bloqueja el contacte</t>
  </si>
  <si>
    <t>Kontakt sperren</t>
  </si>
  <si>
    <t>Bloquear contacto</t>
  </si>
  <si>
    <t>Bloquer le contact</t>
  </si>
  <si>
    <t>Ismerős tiltása</t>
  </si>
  <si>
    <t>Blokir kontak</t>
  </si>
  <si>
    <t>Blocca contatto</t>
  </si>
  <si>
    <t>連絡先をブロック</t>
  </si>
  <si>
    <t>연락처 차단</t>
  </si>
  <si>
    <t>Contact blokkeren</t>
  </si>
  <si>
    <t>Zablokuj kontakt</t>
  </si>
  <si>
    <t>Заблокировать контакт</t>
  </si>
  <si>
    <t>Zablokovať kontakt</t>
  </si>
  <si>
    <t>Блокирај контакт</t>
  </si>
  <si>
    <t>Blockera kontakt</t>
  </si>
  <si>
    <t>Заблокувати контакт</t>
  </si>
  <si>
    <t>Chặn liên hệ</t>
  </si>
  <si>
    <t>封鎖連絡人</t>
  </si>
  <si>
    <t>pin_expired</t>
  </si>
  <si>
    <t>The pin we have sent you has expired.</t>
  </si>
  <si>
    <t>Кодът, който Ви изпратихме, е с изтекла давност.</t>
  </si>
  <si>
    <t>Die von uns zugesandte PIN ist abgelaufen.</t>
  </si>
  <si>
    <t>El código que te hemos enviado ha expirado.</t>
  </si>
  <si>
    <t>O pin que lle enviamos caducou.</t>
  </si>
  <si>
    <t>A PIN amit küldtünk lejárt.</t>
  </si>
  <si>
    <t>Il pin che ti abbiamo inviato è scaduto.</t>
  </si>
  <si>
    <t>De toegestuurde code is verlopen.</t>
  </si>
  <si>
    <t>PIN który wysłaliśmy stracił ważność.</t>
  </si>
  <si>
    <t>tt_comparison</t>
  </si>
  <si>
    <t>Comparison</t>
  </si>
  <si>
    <t>مقارنة</t>
  </si>
  <si>
    <t>Сравнение</t>
  </si>
  <si>
    <t>Srovnání</t>
  </si>
  <si>
    <t>Sammenligning</t>
  </si>
  <si>
    <t>Vergleich</t>
  </si>
  <si>
    <t>Σύγκριση</t>
  </si>
  <si>
    <t>Comparación</t>
  </si>
  <si>
    <t>Vertailu</t>
  </si>
  <si>
    <t>Comparaison</t>
  </si>
  <si>
    <t>तुलना</t>
  </si>
  <si>
    <t>Összehasonlítás</t>
  </si>
  <si>
    <t>Perbandingan</t>
  </si>
  <si>
    <t>Comparazione</t>
  </si>
  <si>
    <t>השוואה</t>
  </si>
  <si>
    <t>比較</t>
  </si>
  <si>
    <t>비교</t>
  </si>
  <si>
    <t>Vergelijking</t>
  </si>
  <si>
    <t>Porównanie</t>
  </si>
  <si>
    <t>Comparação</t>
  </si>
  <si>
    <t>Comparaţie</t>
  </si>
  <si>
    <t>Porovnanie</t>
  </si>
  <si>
    <t>Primerjava</t>
  </si>
  <si>
    <t>Poređenje</t>
  </si>
  <si>
    <t>Jämförelse</t>
  </si>
  <si>
    <t>การเปรียบเทียบ</t>
  </si>
  <si>
    <t>karşılaştırma</t>
  </si>
  <si>
    <t>So sánh</t>
  </si>
  <si>
    <t>比较</t>
  </si>
  <si>
    <t>&gt;比較</t>
  </si>
  <si>
    <t>pref_start_search_summary</t>
  </si>
  <si>
    <t>At ‘Start Conversation’ screen open keyboard and place cursor in search field</t>
  </si>
  <si>
    <t>На екрана за „Започване на разговор“ да се отваря клавиатурата и да се поставя курсорът в полето за търсене</t>
  </si>
  <si>
    <t>En la pantalla \'Iniciar conversa\' obri el teclat i col·loqui el cursor en el camp de recerca</t>
  </si>
  <si>
    <t>På \'Start Conversation\' skærm åbent tastatur og placere markøren i søgefeltet</t>
  </si>
  <si>
    <t>Beim Dialog \'Unterhaltung beginnen\' Tastatur öffnen und den Cursor im Suchfeld platzieren</t>
  </si>
  <si>
    <t>En la pantalla de \'Nueva Conversación\' abrir el teclado y poner el cursor en el campo de búsqueda</t>
  </si>
  <si>
    <t>Käynnistä keskustelussa \'Screen Aukea näppäimistö ja aseta kohdistin hakukenttään</t>
  </si>
  <si>
    <t>Sur l\'écran de démarrage de Conversation, afficher le clavier et placer le curseur sur le champ recherche</t>
  </si>
  <si>
    <t>Na pantalla \'Iniciar Conversa\' abrir teclado e por o cursor no campo de busca</t>
  </si>
  <si>
    <t>A \"Beszélgessünk\" képernyőn nyissa meg a billentyűzetet, és helyezze a kurzort a keresőmezőbe</t>
  </si>
  <si>
    <t>Di layar \'Mulai Percakapan\' Buka Keyboard dan Tempatkan kursor di bidang pencarian</t>
  </si>
  <si>
    <t>Nella schermata \'Inizia conversazione\' apri la tastiera e posiziona il cursore nella casella di ricerca</t>
  </si>
  <si>
    <t>\'시작 대화\'화면에서 키보드를 열고 검색 필드에 커서를 배치하십시오.</t>
  </si>
  <si>
    <t>Pada \'Mula Perbualan\' skrin membuka papan kekunci dan letakkan kursor dalam medan carian</t>
  </si>
  <si>
    <t>Open het toetsenbord op het scherm ‘Gesprek starten’ en plaats de cursor in het zoekveld</t>
  </si>
  <si>
    <t>På \'Start samtale\' Skjerm Åpne tastaturet og plasser markøren i søkefeltet</t>
  </si>
  <si>
    <t>Na ekranie \'Rozpocznij konwersację\' otwórz klawiaturę i umieść kursor w polu wyszukiwania</t>
  </si>
  <si>
    <t>Na tela \'Start CONVERSA\' Abra o teclado e coloque o cursor no campo de pesquisa</t>
  </si>
  <si>
    <t>\'Konuşmaya Başla\' ekranında klavyeyi açın ve imleci arama alanına yerleştirin.</t>
  </si>
  <si>
    <t>在\'开始对话\'屏幕上打开键盘并将光标放在搜索字段中</t>
  </si>
  <si>
    <t>pref_chat_states</t>
  </si>
  <si>
    <t>Typing notifications</t>
  </si>
  <si>
    <t>إشعارات الكتابة</t>
  </si>
  <si>
    <t>Известия за писането</t>
  </si>
  <si>
    <t>Notificacions d\'escriptura</t>
  </si>
  <si>
    <t>Tipp-Benachrichtigung</t>
  </si>
  <si>
    <t>Notificación de escritura</t>
  </si>
  <si>
    <t>Notifications d\'écriture</t>
  </si>
  <si>
    <t>Notificacións de escritura</t>
  </si>
  <si>
    <t>Gépeléssel kapcsolatos üzenetek</t>
  </si>
  <si>
    <t>Notifikasi ketik pesan</t>
  </si>
  <si>
    <t>Notifiche di composizione</t>
  </si>
  <si>
    <t>入力中通知</t>
  </si>
  <si>
    <t>입력 알림</t>
  </si>
  <si>
    <t>Aan-het-typen-meldingen</t>
  </si>
  <si>
    <t>Powiadomienia pisania</t>
  </si>
  <si>
    <t>Notificações de escrita</t>
  </si>
  <si>
    <t>Оповещения о наборе</t>
  </si>
  <si>
    <t>Upozornenia pri písaní</t>
  </si>
  <si>
    <t>Обавештења о куцању</t>
  </si>
  <si>
    <t>Skriv-notifieringar</t>
  </si>
  <si>
    <t>Сповіщення про набір</t>
  </si>
  <si>
    <t>Thông báo đang gõ</t>
  </si>
  <si>
    <t>鍵盤輸入通知</t>
  </si>
  <si>
    <t>tt_ind_ichimoku_kinko_hyo_short</t>
  </si>
  <si>
    <t>איצ'ימוקו קינקו היו</t>
  </si>
  <si>
    <t>&gt; 一目均衡表(IKH)</t>
  </si>
  <si>
    <t>nauru</t>
  </si>
  <si>
    <t>Nauru</t>
  </si>
  <si>
    <t>Науру</t>
  </si>
  <si>
    <t>choose_a_country</t>
  </si>
  <si>
    <t>Choose a country</t>
  </si>
  <si>
    <t>Изберете държава</t>
  </si>
  <si>
    <t>Land auswählen</t>
  </si>
  <si>
    <t>Elige un país</t>
  </si>
  <si>
    <t>Choisissez un pays</t>
  </si>
  <si>
    <t>Escolla un país</t>
  </si>
  <si>
    <t>Válassz egy országot</t>
  </si>
  <si>
    <t>Scegli una nazione</t>
  </si>
  <si>
    <t>Kies een land</t>
  </si>
  <si>
    <t>Wybierz kraj</t>
  </si>
  <si>
    <t>recently_used</t>
  </si>
  <si>
    <t>Most recently used</t>
  </si>
  <si>
    <t>التي تم استعمالها كثيرا مؤخرا</t>
  </si>
  <si>
    <t>Използвани наскоро</t>
  </si>
  <si>
    <t>Ús més recent</t>
  </si>
  <si>
    <t>Zuletzt verwendet</t>
  </si>
  <si>
    <t>Usada más recientemente</t>
  </si>
  <si>
    <t>Dernière utilisée</t>
  </si>
  <si>
    <t>Utilizadas recentemente</t>
  </si>
  <si>
    <t>Legutóbb használt</t>
  </si>
  <si>
    <t>Maling sering digunakan</t>
  </si>
  <si>
    <t>Usati recentemente</t>
  </si>
  <si>
    <t>最近使用した</t>
  </si>
  <si>
    <t>최근 사용된 항목</t>
  </si>
  <si>
    <t>Recent gebruikt</t>
  </si>
  <si>
    <t>Ostatnio używana</t>
  </si>
  <si>
    <t>Usados mais recentemente</t>
  </si>
  <si>
    <t>Последнее выбранное</t>
  </si>
  <si>
    <t>Naposledy použitý</t>
  </si>
  <si>
    <t>Недавно коришћена</t>
  </si>
  <si>
    <t>Senast använd</t>
  </si>
  <si>
    <t>Остання, що використана</t>
  </si>
  <si>
    <t>Dùng gần đây nhất</t>
  </si>
  <si>
    <t>最近使用過的</t>
  </si>
  <si>
    <t>tt_edgar_net_income</t>
  </si>
  <si>
    <t>Konzernjahresüberschuss</t>
  </si>
  <si>
    <t>Ingresos netos</t>
  </si>
  <si>
    <t>Netto winst</t>
  </si>
  <si>
    <t>Resultado líquido</t>
  </si>
  <si>
    <t>Neto dobit</t>
  </si>
  <si>
    <t>Net gelir</t>
  </si>
  <si>
    <t>净收入</t>
  </si>
  <si>
    <t>market_overview_surrogate_popup_text</t>
  </si>
  <si>
    <t>تبديل طرق العرض والتخطيطات هنا.</t>
  </si>
  <si>
    <t>여기에서 보기와 레이아웃을 전환합니다.</t>
  </si>
  <si>
    <t>tt_pf_buy</t>
  </si>
  <si>
    <t>Compra</t>
  </si>
  <si>
    <t>買い</t>
  </si>
  <si>
    <t>Kupuj</t>
  </si>
  <si>
    <t>Kupovina</t>
  </si>
  <si>
    <t>Satın al</t>
  </si>
  <si>
    <t>tt_pleasewait</t>
  </si>
  <si>
    <t>Please wait...</t>
  </si>
  <si>
    <t>يُرجى الانتظار...</t>
  </si>
  <si>
    <t>Моля, изчакайте...</t>
  </si>
  <si>
    <t>Počkejte, prosím...</t>
  </si>
  <si>
    <t>Vent venligst...</t>
  </si>
  <si>
    <t>Bitte warten…</t>
  </si>
  <si>
    <t>Παρακαλούμε περιμένετε...</t>
  </si>
  <si>
    <t>Por favor, espere...</t>
  </si>
  <si>
    <t>Odota...</t>
  </si>
  <si>
    <t>Veuillez patienter…</t>
  </si>
  <si>
    <t>कृपया प्रतीक्षा करें...</t>
  </si>
  <si>
    <t>Kérjük, várjon…</t>
  </si>
  <si>
    <t>Silahkan tunggu...</t>
  </si>
  <si>
    <t>Per favore aspetta…</t>
  </si>
  <si>
    <t>המתן בבקשה...</t>
  </si>
  <si>
    <t>お待ちください･･･</t>
  </si>
  <si>
    <t>잠시만 기다려주십시오...</t>
  </si>
  <si>
    <t>Sila tunggu...</t>
  </si>
  <si>
    <t>Even geduld aub...</t>
  </si>
  <si>
    <t>Vennligst vent ...</t>
  </si>
  <si>
    <t>Proszę czekać ...</t>
  </si>
  <si>
    <t>Por favor esperar</t>
  </si>
  <si>
    <t>Te rog asteaptă...</t>
  </si>
  <si>
    <t>Пожалуйста, подождите</t>
  </si>
  <si>
    <t>Čakajte...</t>
  </si>
  <si>
    <t>Prosim počakaj...</t>
  </si>
  <si>
    <t>Molimo sačekajte...</t>
  </si>
  <si>
    <t>Vänta...</t>
  </si>
  <si>
    <t>โปรดรอสักครู่...</t>
  </si>
  <si>
    <t>Lütfen bekleyiniz.</t>
  </si>
  <si>
    <t>Vui lòng chờ...</t>
  </si>
  <si>
    <t>请稍候</t>
  </si>
  <si>
    <t>&gt;請稍候</t>
  </si>
  <si>
    <t>action_block_contact</t>
  </si>
  <si>
    <t>حجب جهة إتصال</t>
  </si>
  <si>
    <t>Блокиране на контакта</t>
  </si>
  <si>
    <t>got_it</t>
  </si>
  <si>
    <t>Got it!</t>
  </si>
  <si>
    <t>فهمت الأمر!</t>
  </si>
  <si>
    <t>Схванах го!</t>
  </si>
  <si>
    <t>Mám to!</t>
  </si>
  <si>
    <t>Forstået!</t>
  </si>
  <si>
    <t>Το έπιασα!</t>
  </si>
  <si>
    <t>¡OK!</t>
  </si>
  <si>
    <t>Selvä!</t>
  </si>
  <si>
    <t>Ok!</t>
  </si>
  <si>
    <t>समझ गया!</t>
  </si>
  <si>
    <t>Megvan!</t>
  </si>
  <si>
    <t>Faham!</t>
  </si>
  <si>
    <t>Capito!</t>
  </si>
  <si>
    <t>הבנתי!</t>
  </si>
  <si>
    <t>알겠습니다!</t>
  </si>
  <si>
    <t>begrepen!</t>
  </si>
  <si>
    <t>Den er grei!</t>
  </si>
  <si>
    <t>Rozumiem!</t>
  </si>
  <si>
    <t>Percebi.</t>
  </si>
  <si>
    <t>Am înțeles!</t>
  </si>
  <si>
    <t>Понятно!</t>
  </si>
  <si>
    <t>Razumem!</t>
  </si>
  <si>
    <t>U redu!</t>
  </si>
  <si>
    <t>Jag förstår!</t>
  </si>
  <si>
    <t>ได้แล้ว!</t>
  </si>
  <si>
    <t>Anladım!</t>
  </si>
  <si>
    <t>Đã hiểu!</t>
  </si>
  <si>
    <t>好的</t>
  </si>
  <si>
    <t>tt_text_missingportolio</t>
  </si>
  <si>
    <t>Zatím jste nevytvořili virtuální portfolio.</t>
  </si>
  <si>
    <t>U heeft nog geen virtuele portefeuille gecreërd.</t>
  </si>
  <si>
    <t>você ainda não criou uma carteira virtual</t>
  </si>
  <si>
    <t>您尚未建立虚拟投资组合</t>
  </si>
  <si>
    <t>&gt;您尚未建立虛擬投資組合</t>
  </si>
  <si>
    <t>crash_report_title</t>
  </si>
  <si>
    <t>Conversations has crashed</t>
  </si>
  <si>
    <t>توقف تطبيق المحادثات Conversations عن العمل</t>
  </si>
  <si>
    <t>Conversations се срина</t>
  </si>
  <si>
    <t>El Conversations s\'ha aturat</t>
  </si>
  <si>
    <t>Conversations ist abgestürzt</t>
  </si>
  <si>
    <t>Conversations se ha detenido.</t>
  </si>
  <si>
    <t>Conversations a planté</t>
  </si>
  <si>
    <t>Conversations deteuse.</t>
  </si>
  <si>
    <t>A Conversations összeomlott</t>
  </si>
  <si>
    <t>Percakapan terhenti</t>
  </si>
  <si>
    <t>Errore di Conversations</t>
  </si>
  <si>
    <t>Conversations がクラッシュしました</t>
  </si>
  <si>
    <t>Conversations가 작동 중지되었습니다</t>
  </si>
  <si>
    <t>Conversations is gecrasht</t>
  </si>
  <si>
    <t>Conversations uległo awarii</t>
  </si>
  <si>
    <t>Conversations teve um problema e deixou de funcionar</t>
  </si>
  <si>
    <t>Conversations был неожиданно остановлен</t>
  </si>
  <si>
    <t>Aplikácia Conversations prestala reagovať</t>
  </si>
  <si>
    <t>Конверзација се срушила</t>
  </si>
  <si>
    <t>Conversations har kraschat</t>
  </si>
  <si>
    <t>Програма дала збій</t>
  </si>
  <si>
    <t>Conversations đã đột ngột dừng</t>
  </si>
  <si>
    <t>Conversations 崩潰</t>
  </si>
  <si>
    <t>block</t>
  </si>
  <si>
    <t>Block</t>
  </si>
  <si>
    <t>حجب</t>
  </si>
  <si>
    <t>Блокиране</t>
  </si>
  <si>
    <t>Bloqueja</t>
  </si>
  <si>
    <t>Sperren</t>
  </si>
  <si>
    <t>Bloquear</t>
  </si>
  <si>
    <t>Bloquer</t>
  </si>
  <si>
    <t>Tilt</t>
  </si>
  <si>
    <t>Blokir</t>
  </si>
  <si>
    <t>Blocca</t>
  </si>
  <si>
    <t>ブロック</t>
  </si>
  <si>
    <t>차단</t>
  </si>
  <si>
    <t>Blokkeren</t>
  </si>
  <si>
    <t>Zablokuj</t>
  </si>
  <si>
    <t>Zablokovať</t>
  </si>
  <si>
    <t>Блокирај</t>
  </si>
  <si>
    <t>Blockera</t>
  </si>
  <si>
    <t>Заблокувати</t>
  </si>
  <si>
    <t>Chặn</t>
  </si>
  <si>
    <t>封鎖</t>
  </si>
  <si>
    <t>registration_password_too_weak</t>
  </si>
  <si>
    <t>Registration failed: Password too weak</t>
  </si>
  <si>
    <t>فشل تسجيل الحساب : كلمة السر ضعيفة جداً</t>
  </si>
  <si>
    <t>Неуспешна регистрация: паролата е твърде слаба</t>
  </si>
  <si>
    <t>Ha fallat la inscripció: la contrasenya és massa feble</t>
  </si>
  <si>
    <t>Registrierung fehlgeschlagen: Passwort zu schwach</t>
  </si>
  <si>
    <t>Error en el registro: La contraseña es demasiado débil</t>
  </si>
  <si>
    <t>Échec de l\'enregistrement : le mot de passe n\'est pas assez fort</t>
  </si>
  <si>
    <t>Fallo no rexistro: contrasinal moi feble</t>
  </si>
  <si>
    <t>Regisztráció nem sikerült: Jelszó túl gyenge</t>
  </si>
  <si>
    <t>Registrazione fallita: password troppo debole</t>
  </si>
  <si>
    <t>登録に失敗しました: パスワードが弱すぎます</t>
  </si>
  <si>
    <t>등록에 실패했습니다 : 암호가 너무 약합니다</t>
  </si>
  <si>
    <t>Registratie mislukt: wachtwoord te zwak</t>
  </si>
  <si>
    <t>Rejestracja nie powiodła się: hasło zbyt słabe</t>
  </si>
  <si>
    <t>Registo falhou: Palavra-passe demasiado fraca</t>
  </si>
  <si>
    <t>Регистрация не удалась: слишком слабый пароль</t>
  </si>
  <si>
    <t>Регистрација није успела: лозинка преслаба</t>
  </si>
  <si>
    <t>Registreringsfel: Lösenordet är för svagt</t>
  </si>
  <si>
    <t>Реєстрація не відбулася: пароль занадто слабкий.</t>
  </si>
  <si>
    <t>註冊失敗：密碼太弱</t>
  </si>
  <si>
    <t>tt_change</t>
  </si>
  <si>
    <t>Change</t>
  </si>
  <si>
    <t>تغيير</t>
  </si>
  <si>
    <t>Промени</t>
  </si>
  <si>
    <t>Změna</t>
  </si>
  <si>
    <t>Ændre</t>
  </si>
  <si>
    <t>Differenz</t>
  </si>
  <si>
    <t>Αλλαγή</t>
  </si>
  <si>
    <t>Cambiar</t>
  </si>
  <si>
    <t>Muuta</t>
  </si>
  <si>
    <t>Variation</t>
  </si>
  <si>
    <t>परिवर्तन</t>
  </si>
  <si>
    <t>Változás</t>
  </si>
  <si>
    <t>Cambiamento</t>
  </si>
  <si>
    <t>שינוי</t>
  </si>
  <si>
    <t>変動</t>
  </si>
  <si>
    <t>변동</t>
  </si>
  <si>
    <t>Aanpassen</t>
  </si>
  <si>
    <t>Endre</t>
  </si>
  <si>
    <t>Zmiana</t>
  </si>
  <si>
    <t>Mudar</t>
  </si>
  <si>
    <t>Schimbă</t>
  </si>
  <si>
    <t>Изменения</t>
  </si>
  <si>
    <t>Zmena</t>
  </si>
  <si>
    <t>Spremeni se</t>
  </si>
  <si>
    <t>Promena</t>
  </si>
  <si>
    <t>Ändra</t>
  </si>
  <si>
    <t>เปลี่ยนแปลง</t>
  </si>
  <si>
    <t>Değiştir</t>
  </si>
  <si>
    <t>Thay đổi</t>
  </si>
  <si>
    <t>更改</t>
  </si>
  <si>
    <t>&gt;更改</t>
  </si>
  <si>
    <t>gif</t>
  </si>
  <si>
    <t>GIF</t>
  </si>
  <si>
    <t>could_not_change_affiliation</t>
  </si>
  <si>
    <t>Could not change affiliation of %s</t>
  </si>
  <si>
    <t>لا يمكن تغيير انتساب %s</t>
  </si>
  <si>
    <t>Неуспешна промяна на принадлежността на %s</t>
  </si>
  <si>
    <t>No s\'ha pogut canviar l\'afiliació del %s</t>
  </si>
  <si>
    <t>Zugehörigkeit von %s konnte nicht verändert werden</t>
  </si>
  <si>
    <t>No se puede cambiar la afiliación de %s</t>
  </si>
  <si>
    <t>Impossible de changer l\'affiliation de %s</t>
  </si>
  <si>
    <t>Non se puido mudar a afiliación de %s</t>
  </si>
  <si>
    <t>%s hovatartozását nem lehetett megváltoztatni</t>
  </si>
  <si>
    <t>Tidak bisa mengubah afiliasi %s</t>
  </si>
  <si>
    <t>Impossibile cambiare l’affiliazione di %s</t>
  </si>
  <si>
    <t>%s の所属を変更できません</t>
  </si>
  <si>
    <t>%s 의 관련 여부를 변경할 수 없습니다</t>
  </si>
  <si>
    <t>Kon aansluiting niet wijzigen</t>
  </si>
  <si>
    <t>Nie udało się zmienić stanowiska dla %s</t>
  </si>
  <si>
    <t>Não foi possível alterar a afiliação de %s</t>
  </si>
  <si>
    <t>Не удалось изменить принадлежность %s</t>
  </si>
  <si>
    <t>Nepodarilo sa zmeniť pripojenie užívateľa %s</t>
  </si>
  <si>
    <t>Не могох да изменим припадност за %s</t>
  </si>
  <si>
    <t>Kunde inte ändra tillhörigheten för %s</t>
  </si>
  <si>
    <t>%s \'nin üyeliğini değiştiremedi</t>
  </si>
  <si>
    <t>Не можу змінити пов\'язаність з %s</t>
  </si>
  <si>
    <t>Không thể đổi mối quan hệ của %s</t>
  </si>
  <si>
    <t>不能修改 %s 的從屬關係</t>
  </si>
  <si>
    <t>user_status_one_hour_offline</t>
  </si>
  <si>
    <t>1 hour offline</t>
  </si>
  <si>
    <t>1 stunde offline</t>
  </si>
  <si>
    <t>1 hora offline</t>
  </si>
  <si>
    <t>1 heure hors ligne</t>
  </si>
  <si>
    <t>1 órája offline</t>
  </si>
  <si>
    <t>1 час оффлайн</t>
  </si>
  <si>
    <t>1 sat oflajn</t>
  </si>
  <si>
    <t>reject_request</t>
  </si>
  <si>
    <t>Reject request</t>
  </si>
  <si>
    <t>Отхвърляне на заявката</t>
  </si>
  <si>
    <t>Anfrage ablehnen</t>
  </si>
  <si>
    <t>Rexeitar solicitude</t>
  </si>
  <si>
    <t>Kérés elutasítása</t>
  </si>
  <si>
    <t>Rifiuta la richiesta</t>
  </si>
  <si>
    <t>要求を拒否</t>
  </si>
  <si>
    <t>Verzoek afwijzen</t>
  </si>
  <si>
    <t>Odrzuć żądanie</t>
  </si>
  <si>
    <t>everyone_has_read_up_to_this_point</t>
  </si>
  <si>
    <t>Everyone has read up to this point</t>
  </si>
  <si>
    <t>Всички са прочели до тук</t>
  </si>
  <si>
    <t>Tothom ha llegit fins a aquí</t>
  </si>
  <si>
    <t>Alle haben bis zu diesem Punkt gelesen</t>
  </si>
  <si>
    <t>Todos han leído hasta aquí</t>
  </si>
  <si>
    <t>Tout le monde a lu jusqu\'ici</t>
  </si>
  <si>
    <t>Todas leron ate este punto</t>
  </si>
  <si>
    <t>Mindenki elolvasta eddig</t>
  </si>
  <si>
    <t>Tutti hanno letto fino a questo punto</t>
  </si>
  <si>
    <t>Iedereen heeft tot hier gelezen</t>
  </si>
  <si>
    <t>Wszyscy przeczytali do tego miejsca</t>
  </si>
  <si>
    <t>Todos leram até este ponto</t>
  </si>
  <si>
    <t>Все прочитали сообщения до этого момента</t>
  </si>
  <si>
    <t>Сви су прочитали довде</t>
  </si>
  <si>
    <t>phone_number</t>
  </si>
  <si>
    <t>phone number</t>
  </si>
  <si>
    <t>тел. номер</t>
  </si>
  <si>
    <t>Telefonnummer</t>
  </si>
  <si>
    <t>número de teléfono</t>
  </si>
  <si>
    <t>Numéro de téléphone</t>
  </si>
  <si>
    <t>telefonszám</t>
  </si>
  <si>
    <t>numero di telefono</t>
  </si>
  <si>
    <t>telefoonnummer</t>
  </si>
  <si>
    <t>numer telefonu</t>
  </si>
  <si>
    <t>pref_confirm_messages_summary</t>
  </si>
  <si>
    <t>Let your contacts know when you have received and read their messages</t>
  </si>
  <si>
    <t>دع مراسيلك يعرفون متى قد تلقيت و هل قرئت رسائلهم</t>
  </si>
  <si>
    <t>Така контактите Ви ще разбират, че сте получили и прочели съобщенията им</t>
  </si>
  <si>
    <t>Feu saber als vostres contactes quan heu rebut i llegit els seus missatges</t>
  </si>
  <si>
    <t>Informiere deine Kontakte, wenn du eine Nachricht empfangen und gelesen hast</t>
  </si>
  <si>
    <t>Permitir a tus contactos saber cuando has recibido y leído sus mensajes</t>
  </si>
  <si>
    <t>Informer vos contacts quand vous avez reçu et lu leurs messages</t>
  </si>
  <si>
    <t>Permitir aos seus contactos saber si recibiu e leu as súas mensaxes</t>
  </si>
  <si>
    <t>Jelzed az ismerőseidnek, hogy megkaptad és elolvastad az üzeneteiket</t>
  </si>
  <si>
    <t>Fai sapere ai tuoi contatti quando hai ricevuto e letto i loro messaggi</t>
  </si>
  <si>
    <t>あなたがメッセージを受信して読んだときに、連絡先に知らせます</t>
  </si>
  <si>
    <t>당신이 메시지를 수신하고 읽을 때 친구에게 그 사실을 알려줍니다</t>
  </si>
  <si>
    <t>Laat je contacten weten wanneer je hun berichten ontvangen en gelezen hebt</t>
  </si>
  <si>
    <t>Zezwól na wysyłanie do osób z twojej listy kontaktów informacji o tym, kiedy otrzymałeś i przeczytałeś wiadomość od nich</t>
  </si>
  <si>
    <t>Позволяет вашим контактам видеть когда вы получили и прочитали их сообщения</t>
  </si>
  <si>
    <t>Обзнаните контактима када примите и прочитате њихове поруке</t>
  </si>
  <si>
    <t>Låt dina kontakter veta när du har mottagit och läst deras meddelanden</t>
  </si>
  <si>
    <t>Дайте знати вашим контактам, коли ви отримали й прочитали повідомлення</t>
  </si>
  <si>
    <t>Báo cho liên hệ của bạn biết khi bạn đã nhận và đọc tin nhắn</t>
  </si>
  <si>
    <t>讓聯絡人知道它們的訊息已經收到以及讀取</t>
  </si>
  <si>
    <t>verified_omemo_key_with_certificate</t>
  </si>
  <si>
    <t>Verified OMEMO key with certificate!</t>
  </si>
  <si>
    <t>Ключът за OMEMO беше потвърден със сертификат!</t>
  </si>
  <si>
    <t>Clau OMEMO verificada amb certificat!</t>
  </si>
  <si>
    <t>OMEMO-Schlüssel mit Zertifikat bestätigt!</t>
  </si>
  <si>
    <t>¡Clave OMEMO con certificado verificada!</t>
  </si>
  <si>
    <t>Clef OMEMO vérifiée avec un certificat !</t>
  </si>
  <si>
    <t>Comprobouse a chave OMEMO co certificado!</t>
  </si>
  <si>
    <t>Igazolt OMEMO kulcs tanúsítvánnyal!</t>
  </si>
  <si>
    <t>Chiave OMEMO verificata con certificato!</t>
  </si>
  <si>
    <t>OMEMO 키와 인증서 검증됨</t>
  </si>
  <si>
    <t>OMEMO-sleutel geverifieerd met certificaat!</t>
  </si>
  <si>
    <t>Zweryfikowano klucz OMEMO z certyfikatem</t>
  </si>
  <si>
    <t>A chave OMEMO foi verificada com o certificado!</t>
  </si>
  <si>
    <t>Проверен OMEMO ключ с сертификатом!</t>
  </si>
  <si>
    <t>Оверен ОМЕМО кључ помоћу сертификата!</t>
  </si>
  <si>
    <t>Verifierade OMEMO-nyckel med certifikat!</t>
  </si>
  <si>
    <t>Ключ OMEMO звірено з сертифікатом!</t>
  </si>
  <si>
    <t>Khoá OMEMO đã xác minh với chứng nhận!</t>
  </si>
  <si>
    <t>請用證書驗證 OMEMO 金鑰！</t>
  </si>
  <si>
    <t>tt_eps_pe_ratio_full</t>
  </si>
  <si>
    <t>Price-Earnings Ratio</t>
  </si>
  <si>
    <t>Съотношение цена-печалба</t>
  </si>
  <si>
    <t>Poměr cena-výdělek</t>
  </si>
  <si>
    <t>Pris-indtjeningsforhold</t>
  </si>
  <si>
    <t>Preis-Gewinn-Verhältnis</t>
  </si>
  <si>
    <t>Αναλογία τιμής-κερδών</t>
  </si>
  <si>
    <t>Relación Precio/Beneficio</t>
  </si>
  <si>
    <t>मूल्य-आय अनुपात</t>
  </si>
  <si>
    <t>P/E mutató</t>
  </si>
  <si>
    <t>Rasio Harga-Pendapatan</t>
  </si>
  <si>
    <t>יחס מחיר-הכנסות</t>
  </si>
  <si>
    <t>PER（株価収益率）</t>
  </si>
  <si>
    <t>Nisbah Harga-Pendapatan</t>
  </si>
  <si>
    <t>Kostprijs-omzet ratio</t>
  </si>
  <si>
    <t>Pris-inntjeningsforhold</t>
  </si>
  <si>
    <t>Wkaźnik cena-zysk</t>
  </si>
  <si>
    <t>Relação de preço/ benefício</t>
  </si>
  <si>
    <t>Raport Prețuri-Câștiguri</t>
  </si>
  <si>
    <t>Pomer ceny k výnosom</t>
  </si>
  <si>
    <t>P/E Racio</t>
  </si>
  <si>
    <t>Pris-vinstförhållande</t>
  </si>
  <si>
    <t>Fiyat-Kazanç Oranı</t>
  </si>
  <si>
    <t>Hệ số Giá-Thu nhập</t>
  </si>
  <si>
    <t>&gt;市盈率</t>
  </si>
  <si>
    <t>tt_volume</t>
  </si>
  <si>
    <t>Volume</t>
  </si>
  <si>
    <t>الحجم</t>
  </si>
  <si>
    <t>Сила на звука</t>
  </si>
  <si>
    <t>Objem</t>
  </si>
  <si>
    <t>Mængde</t>
  </si>
  <si>
    <t>Volumen</t>
  </si>
  <si>
    <t>Όγκος</t>
  </si>
  <si>
    <t>Volyymi</t>
  </si>
  <si>
    <t>मात्रा</t>
  </si>
  <si>
    <t>Forgalom (db)</t>
  </si>
  <si>
    <t>Jumlah</t>
  </si>
  <si>
    <t>היקף מחזור של מסחר במניה</t>
  </si>
  <si>
    <t>出来高</t>
  </si>
  <si>
    <t>볼륨</t>
  </si>
  <si>
    <t>Volum</t>
  </si>
  <si>
    <t>Wolumen</t>
  </si>
  <si>
    <t>Объём сделки</t>
  </si>
  <si>
    <t>Prostornina</t>
  </si>
  <si>
    <t>Volym</t>
  </si>
  <si>
    <t>ปริมาณ</t>
  </si>
  <si>
    <t>Hacim</t>
  </si>
  <si>
    <t>Khối lượng</t>
  </si>
  <si>
    <t>容量</t>
  </si>
  <si>
    <t>&gt;容量</t>
  </si>
  <si>
    <t>welcome</t>
  </si>
  <si>
    <t>Welcome</t>
  </si>
  <si>
    <t>Добре дошли</t>
  </si>
  <si>
    <t>Vítejte</t>
  </si>
  <si>
    <t>Velkommen</t>
  </si>
  <si>
    <t>Willkommen</t>
  </si>
  <si>
    <t>Καλωσήλθατε</t>
  </si>
  <si>
    <t>Bienvenido</t>
  </si>
  <si>
    <t>Tervetuloa</t>
  </si>
  <si>
    <t>Bienvenue</t>
  </si>
  <si>
    <t>Selamat Datang</t>
  </si>
  <si>
    <t>Benvenuto</t>
  </si>
  <si>
    <t>ようこそ</t>
  </si>
  <si>
    <t>Welkom</t>
  </si>
  <si>
    <t>Witamy</t>
  </si>
  <si>
    <t>Bem-vindo</t>
  </si>
  <si>
    <t>Bine ai venit</t>
  </si>
  <si>
    <t>Добро пожаловать</t>
  </si>
  <si>
    <t>Vitajte</t>
  </si>
  <si>
    <t>Dobrodošli</t>
  </si>
  <si>
    <t>Välkommen</t>
  </si>
  <si>
    <t>Hoş geldiniz</t>
  </si>
  <si>
    <t>Chào mừng bạn</t>
  </si>
  <si>
    <t>tt_wrong_name</t>
  </si>
  <si>
    <t>Wrong name</t>
  </si>
  <si>
    <t>اسم خاطئ</t>
  </si>
  <si>
    <t>Грешно име</t>
  </si>
  <si>
    <t>Nesprávné jméno</t>
  </si>
  <si>
    <t>Forkert navn</t>
  </si>
  <si>
    <t>Falscher Name</t>
  </si>
  <si>
    <t>Λάθος όνομα</t>
  </si>
  <si>
    <t>Nombre incorrecto</t>
  </si>
  <si>
    <t>Väärä nimi</t>
  </si>
  <si>
    <t>Erreur dans le nom</t>
  </si>
  <si>
    <t>गलत नाम</t>
  </si>
  <si>
    <t>Rossz név</t>
  </si>
  <si>
    <t>Nama salah</t>
  </si>
  <si>
    <t>Nome sbagliato</t>
  </si>
  <si>
    <t>שם שגוי</t>
  </si>
  <si>
    <t>名前が正しくありません</t>
  </si>
  <si>
    <t>잘못된 이름</t>
  </si>
  <si>
    <t>Verkeerde naam</t>
  </si>
  <si>
    <t>Feil navn</t>
  </si>
  <si>
    <t>Nome errado</t>
  </si>
  <si>
    <t>Nume greșit</t>
  </si>
  <si>
    <t>Неверное имя</t>
  </si>
  <si>
    <t>Nesprávne meno</t>
  </si>
  <si>
    <t>Napačno ime</t>
  </si>
  <si>
    <t>Pogrešno ime</t>
  </si>
  <si>
    <t>Fel namn</t>
  </si>
  <si>
    <t>ชื่อไม่ถูกต้อง</t>
  </si>
  <si>
    <t>Yanlış ad</t>
  </si>
  <si>
    <t>Sai tên</t>
  </si>
  <si>
    <t>名称错误</t>
  </si>
  <si>
    <t>&gt;名稱錯誤</t>
  </si>
  <si>
    <t>add_contact_problem</t>
  </si>
  <si>
    <t>Problem adding contact!</t>
  </si>
  <si>
    <t>Problem beim Hinzufügen des Kontakts!</t>
  </si>
  <si>
    <t>¡Problema añadiendo contacto!</t>
  </si>
  <si>
    <t>Problème d\'ajout de contact!</t>
  </si>
  <si>
    <t>Probéma a Partner hozzáadásával!</t>
  </si>
  <si>
    <t>Проблема с добавлением контакта!</t>
  </si>
  <si>
    <t>Problem kod dodavanja kontakta!</t>
  </si>
  <si>
    <t>tt_youmustenterpassword</t>
  </si>
  <si>
    <t>Εισαγάγετε τον κωδικό σας.</t>
  </si>
  <si>
    <t>Saisissez votre mot de passe</t>
  </si>
  <si>
    <t>אנא הזן את סיסמתך.</t>
  </si>
  <si>
    <t>Vul uw password in aub.</t>
  </si>
  <si>
    <t>Por favor, insira sua senha</t>
  </si>
  <si>
    <t>请输入密码</t>
  </si>
  <si>
    <t>&gt;請輸入密碼</t>
  </si>
  <si>
    <t>default_on</t>
  </si>
  <si>
    <t>On by default</t>
  </si>
  <si>
    <t>ВКЛ по подразбиране</t>
  </si>
  <si>
    <t>Activat per defecte</t>
  </si>
  <si>
    <t>Standardmäßig eingeschaltet</t>
  </si>
  <si>
    <t>Activo por defecto</t>
  </si>
  <si>
    <t>Activé par défaut</t>
  </si>
  <si>
    <t>Activado por defecto</t>
  </si>
  <si>
    <t>Bekapcsolva alapból</t>
  </si>
  <si>
    <t>On in modo predefinito</t>
  </si>
  <si>
    <t>デフォルトでオン</t>
  </si>
  <si>
    <t>Standaard aan</t>
  </si>
  <si>
    <t>Włączone domyślnie</t>
  </si>
  <si>
    <t>Подразумевано укључено</t>
  </si>
  <si>
    <t>預設開啟</t>
  </si>
  <si>
    <t>login_validation_email_format</t>
  </si>
  <si>
    <t>Email format is not valid.</t>
  </si>
  <si>
    <t>Форматът на имейла не е валиден.</t>
  </si>
  <si>
    <t>Formát e-mailu není platný.</t>
  </si>
  <si>
    <t>E-mail-format er ikke gyldigt.</t>
  </si>
  <si>
    <t>Η μορφή email δεν είναι έγκυρη.</t>
  </si>
  <si>
    <t>El formato del e-mail es incorrecto.</t>
  </si>
  <si>
    <t>Sähköpostin muoto ei kelpaa.</t>
  </si>
  <si>
    <t>Le format du courriel n\'est pas valide.</t>
  </si>
  <si>
    <t>ईमेल प्रारूप मान्य नहीं है।</t>
  </si>
  <si>
    <t>Az e-mail formátuma érvénytelen.</t>
  </si>
  <si>
    <t>Format email tidak benar.</t>
  </si>
  <si>
    <t>Il formato dell\'email non è valido.</t>
  </si>
  <si>
    <t>פורמט הדוא"ל אינו חוקי.</t>
  </si>
  <si>
    <t>メールアドレスのフォーマットが有効ではありません。</t>
  </si>
  <si>
    <t>이메일 형식이 유효하지 않습니다.</t>
  </si>
  <si>
    <t>Format e-mel tidak sah.</t>
  </si>
  <si>
    <t>De indeling van het e-mailadres is niet geldig.</t>
  </si>
  <si>
    <t>E-postformatet er ikke gyldig.</t>
  </si>
  <si>
    <t>Nieprawidłowy format adresu e-mail.</t>
  </si>
  <si>
    <t>O formato do e-mail não é válido.</t>
  </si>
  <si>
    <t>Formatul emailului nu este valid.</t>
  </si>
  <si>
    <t>Формат электронной почты недопустим.</t>
  </si>
  <si>
    <t>Formát e-mailu nie je platný.</t>
  </si>
  <si>
    <t>Format e-pošte ni veljaven.</t>
  </si>
  <si>
    <t>E-postformatet är inte giltigt.</t>
  </si>
  <si>
    <t>รูปแบบอีเมลไม่ถูกต้อง</t>
  </si>
  <si>
    <t>Geçersiz e-posta formatı.</t>
  </si>
  <si>
    <t>Định dạng email không hợp lệ.</t>
  </si>
  <si>
    <t>电子邮箱格式无效。</t>
  </si>
  <si>
    <t>private_messages_are_disabled</t>
  </si>
  <si>
    <t>Private messages are disabled</t>
  </si>
  <si>
    <t>الرسائل الخاصة معطلة</t>
  </si>
  <si>
    <t>Личните съобщения са изключени</t>
  </si>
  <si>
    <t>Els missatges privats estan desactivats</t>
  </si>
  <si>
    <t>Private Nachrichten sind deaktiviert</t>
  </si>
  <si>
    <t>Los mensajes privados están deshabilitados</t>
  </si>
  <si>
    <t>Les messages privés sont désactivés</t>
  </si>
  <si>
    <t>As mensaxes privadas están desactivadas</t>
  </si>
  <si>
    <t>A privát üzenetek le vannak tiltva</t>
  </si>
  <si>
    <t>I messaggi privati sono disattivati</t>
  </si>
  <si>
    <t>Privéberichten zijn uitgeschakeld</t>
  </si>
  <si>
    <t>Prywatne wiadomości są wyłączone</t>
  </si>
  <si>
    <t>austria</t>
  </si>
  <si>
    <t>Austria</t>
  </si>
  <si>
    <t>Österreich</t>
  </si>
  <si>
    <t>Autriche</t>
  </si>
  <si>
    <t>Австрия</t>
  </si>
  <si>
    <t>Austrija</t>
  </si>
  <si>
    <t>action_share_location</t>
  </si>
  <si>
    <t>Share Location</t>
  </si>
  <si>
    <t>Споделяне на местоположението</t>
  </si>
  <si>
    <t>Compartir ubicació</t>
  </si>
  <si>
    <t>Standort teilen</t>
  </si>
  <si>
    <t>Compatir Ubicación</t>
  </si>
  <si>
    <t>Partager la position</t>
  </si>
  <si>
    <t>Compartir Localización</t>
  </si>
  <si>
    <t>Hely Megosztása</t>
  </si>
  <si>
    <t>Condividi la posizione</t>
  </si>
  <si>
    <t>Locatie delen</t>
  </si>
  <si>
    <t>Udostępnij lokalizację</t>
  </si>
  <si>
    <t>Поделиться местоположением</t>
  </si>
  <si>
    <t>Подели локацију</t>
  </si>
  <si>
    <t>background_color</t>
  </si>
  <si>
    <t>Background Color</t>
  </si>
  <si>
    <t>لون الخلفية</t>
  </si>
  <si>
    <t>Цвят на фона</t>
  </si>
  <si>
    <t>Barva pozadí</t>
  </si>
  <si>
    <t>Baggrundsfarve</t>
  </si>
  <si>
    <t>Hintergrundfarbe</t>
  </si>
  <si>
    <t>Χρώμα φόντου</t>
  </si>
  <si>
    <t>Color de fondo</t>
  </si>
  <si>
    <t>Taustaväri</t>
  </si>
  <si>
    <t>la couleur de fond</t>
  </si>
  <si>
    <t>बैकग्राउंड का रंग</t>
  </si>
  <si>
    <t>háttérszín</t>
  </si>
  <si>
    <t>Warna Latar Belakang</t>
  </si>
  <si>
    <t>Colore di Sfondo</t>
  </si>
  <si>
    <t>צבע רקע</t>
  </si>
  <si>
    <t>背景色</t>
  </si>
  <si>
    <t>배경 색상</t>
  </si>
  <si>
    <t>achtergrondkleur</t>
  </si>
  <si>
    <t>Bakgrunnsfarge</t>
  </si>
  <si>
    <t>Kolor tła</t>
  </si>
  <si>
    <t>Cor de fundo</t>
  </si>
  <si>
    <t>Culoare de Fundal</t>
  </si>
  <si>
    <t>Цвет фона</t>
  </si>
  <si>
    <t>Farba pozadia</t>
  </si>
  <si>
    <t>Barva ozadja</t>
  </si>
  <si>
    <t>Boja pozadine</t>
  </si>
  <si>
    <t>Bakgrundsfärg</t>
  </si>
  <si>
    <t>สีพื้นหลัง</t>
  </si>
  <si>
    <t>Arka Plan Rengi</t>
  </si>
  <si>
    <t>Màu nền</t>
  </si>
  <si>
    <t>distrust_omemo_key</t>
  </si>
  <si>
    <t>Distrust device</t>
  </si>
  <si>
    <t>إبطال الثقة مع هذا الجهاز</t>
  </si>
  <si>
    <t>Сваляне на доверието</t>
  </si>
  <si>
    <t>Dispositiu no confiable</t>
  </si>
  <si>
    <t>Gerät nicht mehr vertrauen</t>
  </si>
  <si>
    <t>Desconfiar de este dispositivo</t>
  </si>
  <si>
    <t>Ne plus faire confiance à cet appareil</t>
  </si>
  <si>
    <t>Retirar confianza a dispositivo</t>
  </si>
  <si>
    <t>Ne bízzon az eszközben</t>
  </si>
  <si>
    <t>Diffida il dispositvo</t>
  </si>
  <si>
    <t>信頼できないデバイス</t>
  </si>
  <si>
    <t>Apparaat niet meer vertrouwen</t>
  </si>
  <si>
    <t>Przestań ufać urządzeniu</t>
  </si>
  <si>
    <t>Не доверенное устройство.</t>
  </si>
  <si>
    <t>Lita ej på enhet</t>
  </si>
  <si>
    <t>Недовіряти пристрою</t>
  </si>
  <si>
    <t>停止信任設備</t>
  </si>
  <si>
    <t>connection</t>
  </si>
  <si>
    <t>التوصيل</t>
  </si>
  <si>
    <t>Spojení</t>
  </si>
  <si>
    <t>Forbindelse</t>
  </si>
  <si>
    <t>Yhteys</t>
  </si>
  <si>
    <t>le lien</t>
  </si>
  <si>
    <t>कनेक्शन</t>
  </si>
  <si>
    <t>kapcsolat</t>
  </si>
  <si>
    <t>Sambungan</t>
  </si>
  <si>
    <t>חיבור</t>
  </si>
  <si>
    <t>connectie</t>
  </si>
  <si>
    <t>Tilkobling</t>
  </si>
  <si>
    <t>Ligação</t>
  </si>
  <si>
    <t>Conexiune</t>
  </si>
  <si>
    <t>Связь</t>
  </si>
  <si>
    <t>Pripojenie</t>
  </si>
  <si>
    <t>Povezava</t>
  </si>
  <si>
    <t>Konekcija</t>
  </si>
  <si>
    <t>การเชื่อมต่อ</t>
  </si>
  <si>
    <t>Bağlantı</t>
  </si>
  <si>
    <t>连接</t>
  </si>
  <si>
    <t>tt_news_category_9</t>
  </si>
  <si>
    <t>Stock in Focus</t>
  </si>
  <si>
    <t>الأسهم تحت المجهر</t>
  </si>
  <si>
    <t>Акции на фокус</t>
  </si>
  <si>
    <t>Akcie v centru pozornosti</t>
  </si>
  <si>
    <t>Aktier i fokus</t>
  </si>
  <si>
    <t>Aktie im Fokus</t>
  </si>
  <si>
    <t>Εστίαση στη Μετοχή</t>
  </si>
  <si>
    <t>Acciones en foco</t>
  </si>
  <si>
    <t>Painopisteosake</t>
  </si>
  <si>
    <t>Actions en focus</t>
  </si>
  <si>
    <t>चर्चा में स्टॉक</t>
  </si>
  <si>
    <t>Részvényfókuszú</t>
  </si>
  <si>
    <t>Berbagi fokus</t>
  </si>
  <si>
    <t>Titoli in focus</t>
  </si>
  <si>
    <t>מניות במוקד</t>
  </si>
  <si>
    <t>注目銘柄</t>
  </si>
  <si>
    <t>주목해야 할 주식</t>
  </si>
  <si>
    <t>Saham dalam Tumpuan</t>
  </si>
  <si>
    <t>Focus op een aandeel</t>
  </si>
  <si>
    <t>Fokusaksjer</t>
  </si>
  <si>
    <t>Obserwowane akcje</t>
  </si>
  <si>
    <t>Ação focalizada</t>
  </si>
  <si>
    <t>Focalizare pe Acțiuni</t>
  </si>
  <si>
    <t>Обзор биржи</t>
  </si>
  <si>
    <t>Cenné papiere v centre pozornosti</t>
  </si>
  <si>
    <t>Zaloga v fokusu</t>
  </si>
  <si>
    <t>Aktuelne akcije</t>
  </si>
  <si>
    <t>Aktie i fokus</t>
  </si>
  <si>
    <t>หุ้นที่ติดตาม</t>
  </si>
  <si>
    <t>Odak Noktası Hisse Senedi</t>
  </si>
  <si>
    <t>Tâm điểm chứng khoán</t>
  </si>
  <si>
    <t>重点股票</t>
  </si>
  <si>
    <t>&gt;重點股票</t>
  </si>
  <si>
    <t>tt_security_type_9</t>
  </si>
  <si>
    <t>Fondos de inversión</t>
  </si>
  <si>
    <t>Fundos mútuos</t>
  </si>
  <si>
    <t>tt_news_category_8</t>
  </si>
  <si>
    <t>Sports</t>
  </si>
  <si>
    <t>الرياضة</t>
  </si>
  <si>
    <t>Спорт</t>
  </si>
  <si>
    <t>Sporty</t>
  </si>
  <si>
    <t>Sport</t>
  </si>
  <si>
    <t>Αθλητισμός</t>
  </si>
  <si>
    <t>Deporte</t>
  </si>
  <si>
    <t>Urheilu</t>
  </si>
  <si>
    <t>खेल</t>
  </si>
  <si>
    <t>Sportok</t>
  </si>
  <si>
    <t>Olahraga</t>
  </si>
  <si>
    <t>ספורט</t>
  </si>
  <si>
    <t>スポーツ</t>
  </si>
  <si>
    <t>스포츠</t>
  </si>
  <si>
    <t>Sukan</t>
  </si>
  <si>
    <t>Sporten</t>
  </si>
  <si>
    <t>Idrett</t>
  </si>
  <si>
    <t>Esportes</t>
  </si>
  <si>
    <t>Спорты</t>
  </si>
  <si>
    <t>Šport</t>
  </si>
  <si>
    <t>กีฬา</t>
  </si>
  <si>
    <t>Spor</t>
  </si>
  <si>
    <t>Thể thao</t>
  </si>
  <si>
    <t>体育</t>
  </si>
  <si>
    <t>&gt;體育</t>
  </si>
  <si>
    <t>tt_security_type_8</t>
  </si>
  <si>
    <t>Currency</t>
  </si>
  <si>
    <t>عملة</t>
  </si>
  <si>
    <t>Валута</t>
  </si>
  <si>
    <t>Měna</t>
  </si>
  <si>
    <t>Valuta</t>
  </si>
  <si>
    <t>Währung</t>
  </si>
  <si>
    <t>Νόμισμα</t>
  </si>
  <si>
    <t>Divisa</t>
  </si>
  <si>
    <t>Valuutta</t>
  </si>
  <si>
    <t>Devise</t>
  </si>
  <si>
    <t>मुद्रा</t>
  </si>
  <si>
    <t>מטבע</t>
  </si>
  <si>
    <t>Waluta</t>
  </si>
  <si>
    <t>Moeda</t>
  </si>
  <si>
    <t>Valută</t>
  </si>
  <si>
    <t>Валюта</t>
  </si>
  <si>
    <t>Mena</t>
  </si>
  <si>
    <t>Para birimi</t>
  </si>
  <si>
    <t>&gt;貨幣</t>
  </si>
  <si>
    <t>tt_news_category_7</t>
  </si>
  <si>
    <t>Analysis and Comments</t>
  </si>
  <si>
    <t>التحليل والتعليقات</t>
  </si>
  <si>
    <t>Анализ и коментари</t>
  </si>
  <si>
    <t>Analýzy a komentáře</t>
  </si>
  <si>
    <t>Analyse og kommentarer</t>
  </si>
  <si>
    <t>Analysen und Kommentare</t>
  </si>
  <si>
    <t>Ανάλυση και σχόλια</t>
  </si>
  <si>
    <t>Analisis y comentarios</t>
  </si>
  <si>
    <t>Analyysi ja kommentit</t>
  </si>
  <si>
    <t>Analyses et commentaires</t>
  </si>
  <si>
    <t>विश्लेषण और टिप्पणियाँ</t>
  </si>
  <si>
    <t>Elemzés és kommentárok</t>
  </si>
  <si>
    <t>Analisa dan Komen</t>
  </si>
  <si>
    <t>Analisi e Commenti</t>
  </si>
  <si>
    <t>ניתוח והערות</t>
  </si>
  <si>
    <t>アナリストコメント</t>
  </si>
  <si>
    <t>분석 및 코멘트</t>
  </si>
  <si>
    <t>Analyses en commentaren</t>
  </si>
  <si>
    <t>Analizy i komentarze</t>
  </si>
  <si>
    <t>Análise e observações</t>
  </si>
  <si>
    <t>Analiză și Comentarii</t>
  </si>
  <si>
    <t>Аналитика и комментарии</t>
  </si>
  <si>
    <t>Analýza a komentáre</t>
  </si>
  <si>
    <t>Analiza in komentarji</t>
  </si>
  <si>
    <t>Analize i komentari</t>
  </si>
  <si>
    <t>Analys och kommentarer</t>
  </si>
  <si>
    <t>การวิเคราะห์และความคิดเห็น</t>
  </si>
  <si>
    <t>Analiz ve Yorumlar</t>
  </si>
  <si>
    <t>Phân tích và Bình luận</t>
  </si>
  <si>
    <t>分析和评论</t>
  </si>
  <si>
    <t>&gt;分析和評論</t>
  </si>
  <si>
    <t>tt_security_type_7</t>
  </si>
  <si>
    <t>Bond</t>
  </si>
  <si>
    <t>سند</t>
  </si>
  <si>
    <t>Крива</t>
  </si>
  <si>
    <t>Pouto</t>
  </si>
  <si>
    <t>Bånd</t>
  </si>
  <si>
    <t>Anleihe</t>
  </si>
  <si>
    <t>Ομόλογο</t>
  </si>
  <si>
    <t>Bono</t>
  </si>
  <si>
    <t>Obligaatio</t>
  </si>
  <si>
    <t>Obligation</t>
  </si>
  <si>
    <t>बॉन्ड</t>
  </si>
  <si>
    <t>Kötvény</t>
  </si>
  <si>
    <t>Bon</t>
  </si>
  <si>
    <t>Obbligazione</t>
  </si>
  <si>
    <t>איגרת חוב</t>
  </si>
  <si>
    <t>채권</t>
  </si>
  <si>
    <t>Obligatie</t>
  </si>
  <si>
    <t>Obligasjon</t>
  </si>
  <si>
    <t>Obligacja</t>
  </si>
  <si>
    <t>Bônus</t>
  </si>
  <si>
    <t>Obligațiune</t>
  </si>
  <si>
    <t>Обязательство</t>
  </si>
  <si>
    <t>Dlhopis</t>
  </si>
  <si>
    <t>Obveznica</t>
  </si>
  <si>
    <t>พันธบัตร</t>
  </si>
  <si>
    <t>Senet</t>
  </si>
  <si>
    <t>Trái phiếu</t>
  </si>
  <si>
    <t>债券</t>
  </si>
  <si>
    <t>&gt;債券</t>
  </si>
  <si>
    <t>tt_news_category_6</t>
  </si>
  <si>
    <t>Interviews</t>
  </si>
  <si>
    <t>المقابلات</t>
  </si>
  <si>
    <t>Интервюта</t>
  </si>
  <si>
    <t>Rozhovory</t>
  </si>
  <si>
    <t>Συνεντεύξεις</t>
  </si>
  <si>
    <t>Entrevistas</t>
  </si>
  <si>
    <t>Haastattelut</t>
  </si>
  <si>
    <t>साक्षात्कार</t>
  </si>
  <si>
    <t>Interjúk</t>
  </si>
  <si>
    <t>Wawancara</t>
  </si>
  <si>
    <t>Interviste</t>
  </si>
  <si>
    <t>ראיונות</t>
  </si>
  <si>
    <t>インタビュー</t>
  </si>
  <si>
    <t>인터뷰</t>
  </si>
  <si>
    <t>Temu Bual</t>
  </si>
  <si>
    <t>Intervjuer</t>
  </si>
  <si>
    <t>Wywiady</t>
  </si>
  <si>
    <t>Interviuri</t>
  </si>
  <si>
    <t>Интервью</t>
  </si>
  <si>
    <t>Intervjuji</t>
  </si>
  <si>
    <t>Intervjui</t>
  </si>
  <si>
    <t>สัมภาษณ์</t>
  </si>
  <si>
    <t>Görüşmeler</t>
  </si>
  <si>
    <t>Phỏng vấn</t>
  </si>
  <si>
    <t>访问</t>
  </si>
  <si>
    <t>&gt;訪問</t>
  </si>
  <si>
    <t>tt_security_type_6</t>
  </si>
  <si>
    <t>خيار البيع الآجل</t>
  </si>
  <si>
    <t>Επιλογή Put</t>
  </si>
  <si>
    <t>Opción de venta</t>
  </si>
  <si>
    <t>Put Opzione</t>
  </si>
  <si>
    <t>שים אופציה</t>
  </si>
  <si>
    <t>Seçene Koy</t>
  </si>
  <si>
    <t>tt_news_category_5</t>
  </si>
  <si>
    <t>Market Reports</t>
  </si>
  <si>
    <t>تقارير السوق</t>
  </si>
  <si>
    <t>Пазарни отчети</t>
  </si>
  <si>
    <t>Zprávy o trhu</t>
  </si>
  <si>
    <t>Markedsrapporter</t>
  </si>
  <si>
    <t>Marktberichte</t>
  </si>
  <si>
    <t>Εκθέσεις αγοράς</t>
  </si>
  <si>
    <t>Informes del Mercado</t>
  </si>
  <si>
    <t>Markkinaraportit</t>
  </si>
  <si>
    <t>Rapports sur les marchés</t>
  </si>
  <si>
    <t>बाजार रिपोर्टें</t>
  </si>
  <si>
    <t>Piaci információk</t>
  </si>
  <si>
    <t>Laporan Pasar</t>
  </si>
  <si>
    <t>Rapporti di Mercato</t>
  </si>
  <si>
    <t>דוחות שוק</t>
  </si>
  <si>
    <t>マーケットレポート</t>
  </si>
  <si>
    <t>시장 보고서</t>
  </si>
  <si>
    <t>Laporan Pasaran</t>
  </si>
  <si>
    <t>Marktrapporten</t>
  </si>
  <si>
    <t>Raporty rynkowe</t>
  </si>
  <si>
    <t>Relatórios do mercado</t>
  </si>
  <si>
    <t>Rapoarte de Piață</t>
  </si>
  <si>
    <t>Správy o trhu</t>
  </si>
  <si>
    <t>Tržna poročila</t>
  </si>
  <si>
    <t>Tržišni izveštaj</t>
  </si>
  <si>
    <t>Marknadsrapporter</t>
  </si>
  <si>
    <t>รายงานตลาดหุ้น</t>
  </si>
  <si>
    <t>Piyasa Raporları</t>
  </si>
  <si>
    <t>Báo cáo thị trường</t>
  </si>
  <si>
    <t>市场报告</t>
  </si>
  <si>
    <t>&gt;市場報告</t>
  </si>
  <si>
    <t>tt_security_type_5</t>
  </si>
  <si>
    <t>Call Option</t>
  </si>
  <si>
    <t>خيار الشراء</t>
  </si>
  <si>
    <t>Опция за обаждане</t>
  </si>
  <si>
    <t>Vyvolat opci</t>
  </si>
  <si>
    <t>Opkaldsmulighed</t>
  </si>
  <si>
    <t>Επιλογή κλήσης</t>
  </si>
  <si>
    <t xml:space="preserve">Opción de compra </t>
  </si>
  <si>
    <t>Osto-optio</t>
  </si>
  <si>
    <t>कॉल के विकल्प</t>
  </si>
  <si>
    <t>Call opció</t>
  </si>
  <si>
    <t>Pilihan Panggilan</t>
  </si>
  <si>
    <t>Call Opzione</t>
  </si>
  <si>
    <t>אופציית רכש</t>
  </si>
  <si>
    <t>コールオプション</t>
  </si>
  <si>
    <t>콜 옵션</t>
  </si>
  <si>
    <t>Call optie</t>
  </si>
  <si>
    <t>Call-alternativ</t>
  </si>
  <si>
    <t>Opcja call</t>
  </si>
  <si>
    <t>Opção de compra</t>
  </si>
  <si>
    <t>Opțiune de Cumpărare</t>
  </si>
  <si>
    <t>Опцион «колл»</t>
  </si>
  <si>
    <t>Kúpna opcia</t>
  </si>
  <si>
    <t>Možnost klica</t>
  </si>
  <si>
    <t>Call opcije</t>
  </si>
  <si>
    <t>Köpoption</t>
  </si>
  <si>
    <t>คอลออปชัน</t>
  </si>
  <si>
    <t>Satın Alma Opsiyonu</t>
  </si>
  <si>
    <t>Quyền chọn mua</t>
  </si>
  <si>
    <t>买权</t>
  </si>
  <si>
    <t>&gt;買權</t>
  </si>
  <si>
    <t>tt_news_category_4</t>
  </si>
  <si>
    <t>IPO-News</t>
  </si>
  <si>
    <t>أخبار الاكتتاب العام</t>
  </si>
  <si>
    <t>IPO-новини</t>
  </si>
  <si>
    <t>IPO-nyheder</t>
  </si>
  <si>
    <t>IPO-Nachrichten</t>
  </si>
  <si>
    <t>IPO-Νέα</t>
  </si>
  <si>
    <t>IPO-uutiset</t>
  </si>
  <si>
    <t>Actualité des introductions en bourse (IPO)</t>
  </si>
  <si>
    <t>आईपीओ-समाचार</t>
  </si>
  <si>
    <t>IPO-Hírek</t>
  </si>
  <si>
    <t>Berita-IPO</t>
  </si>
  <si>
    <t>Notizie-IPO</t>
  </si>
  <si>
    <t>חדשות על הנפקות ראשונות לציבור (IPO)</t>
  </si>
  <si>
    <t>IPOニュース</t>
  </si>
  <si>
    <t>상장 뉴스</t>
  </si>
  <si>
    <t>IPO-nieuws</t>
  </si>
  <si>
    <t>IPO-nyheter</t>
  </si>
  <si>
    <t>Notícias IPO</t>
  </si>
  <si>
    <t>Știri- IPO</t>
  </si>
  <si>
    <t>IPO-Новости</t>
  </si>
  <si>
    <t>IPO-správy</t>
  </si>
  <si>
    <t>IPO-novice</t>
  </si>
  <si>
    <t>ข่าว IPO</t>
  </si>
  <si>
    <t>IPO-Haberleri</t>
  </si>
  <si>
    <t>Tin tức IPO</t>
  </si>
  <si>
    <t>上市资讯</t>
  </si>
  <si>
    <t>&gt;上市資訊</t>
  </si>
  <si>
    <t>tt_security_type_4</t>
  </si>
  <si>
    <t>Option on Future</t>
  </si>
  <si>
    <t>خيار العقود الآجلة</t>
  </si>
  <si>
    <t>Фючърс опция</t>
  </si>
  <si>
    <t>Opce na future</t>
  </si>
  <si>
    <t>Mulighed i fremtiden</t>
  </si>
  <si>
    <t>Option auf Future</t>
  </si>
  <si>
    <t>Επιλογή μελλοντικών αποδόσεων</t>
  </si>
  <si>
    <t>Opciones sobre futuros</t>
  </si>
  <si>
    <t>Futuurioptio</t>
  </si>
  <si>
    <t>Option sur contrats à terme</t>
  </si>
  <si>
    <t>वायदा पर विकल्प</t>
  </si>
  <si>
    <t>Határidős opciók</t>
  </si>
  <si>
    <t>Pilihan pada Masa Depan</t>
  </si>
  <si>
    <t>Opzione su Contratto Future</t>
  </si>
  <si>
    <t>אופציה על חוזה עתידי</t>
  </si>
  <si>
    <t>先物オプション</t>
  </si>
  <si>
    <t>선물 옵션</t>
  </si>
  <si>
    <t>Pilihan pada Masa Hadaan</t>
  </si>
  <si>
    <t>Optie op een Future</t>
  </si>
  <si>
    <t>Future-opsjon</t>
  </si>
  <si>
    <t>Opcja na kontrakt terminowy</t>
  </si>
  <si>
    <t>Opção sobre futuros</t>
  </si>
  <si>
    <t>Opțiune asupra Contractelor Future</t>
  </si>
  <si>
    <t>Опцион на фьючерский контракт</t>
  </si>
  <si>
    <t>Opcia do budúcnosti</t>
  </si>
  <si>
    <t>Opcija na prihodnost</t>
  </si>
  <si>
    <t>Opcija na fjučers</t>
  </si>
  <si>
    <t>Terminsoption</t>
  </si>
  <si>
    <t>ออปชันในฟิวเจอร์ส</t>
  </si>
  <si>
    <t>Vadeli Opsiyon</t>
  </si>
  <si>
    <t>Quyền chọn tương lai</t>
  </si>
  <si>
    <t>期货选择权</t>
  </si>
  <si>
    <t>&gt;期貨選擇權</t>
  </si>
  <si>
    <t>no_application_found_to_open_link</t>
  </si>
  <si>
    <t>No application found to open link</t>
  </si>
  <si>
    <t>تعذر العثور على تطبيق يمكنه فتح الرابط</t>
  </si>
  <si>
    <t>Няма намерено приложение за отваряне на връзката</t>
  </si>
  <si>
    <t>No s\'ha trobat cap aplicació per obrir el vincle</t>
  </si>
  <si>
    <t>Keine Anwendung zum Öffnen des Links gefunden</t>
  </si>
  <si>
    <t>No se ha encontrado aplicación para abrir el link</t>
  </si>
  <si>
    <t>Aucune application trouvée pour ouvrir le lien</t>
  </si>
  <si>
    <t>Non se atopou ningunha aplicación para abrir a ligazón</t>
  </si>
  <si>
    <t>Nincs alkalmazás a link megnyitására</t>
  </si>
  <si>
    <t>Nessuna applicazione trovata per aprire il link</t>
  </si>
  <si>
    <t>Geen applicatie om verwijzing te openen</t>
  </si>
  <si>
    <t>Brak aplikacji do otwarcia linka</t>
  </si>
  <si>
    <t>Não foi encontrada nenhuma aplicação para abrir a ligação</t>
  </si>
  <si>
    <t>Не найдено приложения, способного открыть эту ссылку</t>
  </si>
  <si>
    <t>Нема апликације за отварање везе</t>
  </si>
  <si>
    <t>tt_exercise_ratio_denom</t>
  </si>
  <si>
    <t>Ratio</t>
  </si>
  <si>
    <t>نسبة</t>
  </si>
  <si>
    <t>Съотношение</t>
  </si>
  <si>
    <t>Poměr</t>
  </si>
  <si>
    <t>Forhold</t>
  </si>
  <si>
    <t>Bezugsverhältnis</t>
  </si>
  <si>
    <t>Αναλογία</t>
  </si>
  <si>
    <t>Proporción</t>
  </si>
  <si>
    <t>Suhde</t>
  </si>
  <si>
    <t>Rapport</t>
  </si>
  <si>
    <t>अनुपात</t>
  </si>
  <si>
    <t>Arány</t>
  </si>
  <si>
    <t>Rasio</t>
  </si>
  <si>
    <t>Rapporto</t>
  </si>
  <si>
    <t>יחס</t>
  </si>
  <si>
    <t>比率</t>
  </si>
  <si>
    <t>비율</t>
  </si>
  <si>
    <t>Nisbah</t>
  </si>
  <si>
    <t>Verhouding</t>
  </si>
  <si>
    <t>Wskaźnik</t>
  </si>
  <si>
    <t>Rácio</t>
  </si>
  <si>
    <t>Raport</t>
  </si>
  <si>
    <t>Соотношение</t>
  </si>
  <si>
    <t>Pomer</t>
  </si>
  <si>
    <t>Razmerje</t>
  </si>
  <si>
    <t>Razmera</t>
  </si>
  <si>
    <t>Förhållande</t>
  </si>
  <si>
    <t>อัตราส่วน</t>
  </si>
  <si>
    <t>Oran</t>
  </si>
  <si>
    <t>Hệ số</t>
  </si>
  <si>
    <t>tt_news_category_3</t>
  </si>
  <si>
    <t>Company News</t>
  </si>
  <si>
    <t>أخبار الشركة</t>
  </si>
  <si>
    <t>Фирмени новини</t>
  </si>
  <si>
    <t>Zprávy o společnosti</t>
  </si>
  <si>
    <t>Virksomhedsnyheder</t>
  </si>
  <si>
    <t>Unternehmensnachrichten</t>
  </si>
  <si>
    <t>Εταιρικά Νέα</t>
  </si>
  <si>
    <t>Noticias de compañía</t>
  </si>
  <si>
    <t>Yritysuutiset</t>
  </si>
  <si>
    <t>Actualité des entreprises</t>
  </si>
  <si>
    <t>कंपनी समाचार</t>
  </si>
  <si>
    <t>Céges hírek</t>
  </si>
  <si>
    <t>Berita Perusahaan</t>
  </si>
  <si>
    <t>Notizie Aziendali</t>
  </si>
  <si>
    <t>חדשות חברה</t>
  </si>
  <si>
    <t>企業情報</t>
  </si>
  <si>
    <t>기업 뉴스</t>
  </si>
  <si>
    <t>Berita Syarikat</t>
  </si>
  <si>
    <t>Bedrijfsnieuws</t>
  </si>
  <si>
    <t>Selskapsnyheter</t>
  </si>
  <si>
    <t>Wiadomości o firmie</t>
  </si>
  <si>
    <t>Notícias da empresa</t>
  </si>
  <si>
    <t>Știri despre Societate</t>
  </si>
  <si>
    <t>Новости компании</t>
  </si>
  <si>
    <t>Správy o spoločnosti</t>
  </si>
  <si>
    <t>Novice o podjetju</t>
  </si>
  <si>
    <t>Kompanijske vesti</t>
  </si>
  <si>
    <t>Företagsnyheter</t>
  </si>
  <si>
    <t>ข่าวเกี่ยวกับบริษัท</t>
  </si>
  <si>
    <t>Şirket Haberleri</t>
  </si>
  <si>
    <t>Tin tức công ty</t>
  </si>
  <si>
    <t>公司最新资讯</t>
  </si>
  <si>
    <t>&gt;公司最新資訊</t>
  </si>
  <si>
    <t>tt_security_type_3</t>
  </si>
  <si>
    <t>Opce</t>
  </si>
  <si>
    <t>אופציה</t>
  </si>
  <si>
    <t>Možnost</t>
  </si>
  <si>
    <t>ออปชัน</t>
  </si>
  <si>
    <t>选择权</t>
  </si>
  <si>
    <t>&gt;選擇權</t>
  </si>
  <si>
    <t>tt_news_category_2</t>
  </si>
  <si>
    <t>Press Releases</t>
  </si>
  <si>
    <t>بيانات صحفية</t>
  </si>
  <si>
    <t>Прессъобщения</t>
  </si>
  <si>
    <t>Tiskové zprávy</t>
  </si>
  <si>
    <t>Pressemeddelelser</t>
  </si>
  <si>
    <t>Pressemitteilungen</t>
  </si>
  <si>
    <t>Δελτία Τύπου</t>
  </si>
  <si>
    <t>Comunicados de prensa</t>
  </si>
  <si>
    <t>Lehdistötiedotteet</t>
  </si>
  <si>
    <t>Communiqués de presse</t>
  </si>
  <si>
    <t>प्रेस विज्ञप्तियाँ</t>
  </si>
  <si>
    <t>Sajtóközlemények</t>
  </si>
  <si>
    <t>Siaran Pers</t>
  </si>
  <si>
    <t>Comunicati stampa</t>
  </si>
  <si>
    <t>הודעות לעיתונות</t>
  </si>
  <si>
    <t>プレスリリース</t>
  </si>
  <si>
    <t>보도 자료</t>
  </si>
  <si>
    <t>Siaran Akhbar</t>
  </si>
  <si>
    <t>Persberichten</t>
  </si>
  <si>
    <t>Pressemeldinger</t>
  </si>
  <si>
    <t>Doniesienia prasowe</t>
  </si>
  <si>
    <t>Comunicados de imprensa/ oficiais</t>
  </si>
  <si>
    <t>Comunicate de presă</t>
  </si>
  <si>
    <t>Пресс-релиз</t>
  </si>
  <si>
    <t>Tlačové správy</t>
  </si>
  <si>
    <t>Sporočila za javnost</t>
  </si>
  <si>
    <t>Saopštenje za javnost</t>
  </si>
  <si>
    <t>Pressmeddelanden</t>
  </si>
  <si>
    <t>แจ้งข่าว</t>
  </si>
  <si>
    <t>Basın Yayınları</t>
  </si>
  <si>
    <t>Thông cáo báo chí</t>
  </si>
  <si>
    <t>新闻发布</t>
  </si>
  <si>
    <t>&gt;新聞發布</t>
  </si>
  <si>
    <t>tt_security_type_2</t>
  </si>
  <si>
    <t>Future</t>
  </si>
  <si>
    <t>عقد آجل</t>
  </si>
  <si>
    <t>Бъдеще</t>
  </si>
  <si>
    <t>Fremtid</t>
  </si>
  <si>
    <t>Μελλοντικά</t>
  </si>
  <si>
    <t>Futuro</t>
  </si>
  <si>
    <t>Futuuri</t>
  </si>
  <si>
    <t>वायदा</t>
  </si>
  <si>
    <t>Határidős Instrumentum</t>
  </si>
  <si>
    <t>Masa Depan</t>
  </si>
  <si>
    <t>Contratto Future</t>
  </si>
  <si>
    <t>חוזה עתידי</t>
  </si>
  <si>
    <t>先物</t>
  </si>
  <si>
    <t>선물</t>
  </si>
  <si>
    <t>Masa Hadapan</t>
  </si>
  <si>
    <t>Futures</t>
  </si>
  <si>
    <t>Przyszłość</t>
  </si>
  <si>
    <t>Фьючерский контракт</t>
  </si>
  <si>
    <t>Prognózy</t>
  </si>
  <si>
    <t>Prihodnost</t>
  </si>
  <si>
    <t>Fjučers</t>
  </si>
  <si>
    <t>Termin</t>
  </si>
  <si>
    <t>ฟิวเจอร์ส</t>
  </si>
  <si>
    <t>Vade</t>
  </si>
  <si>
    <t>Tương lai</t>
  </si>
  <si>
    <t>期货</t>
  </si>
  <si>
    <t>&gt;期貨</t>
  </si>
  <si>
    <t>tt_news_category_1</t>
  </si>
  <si>
    <t>Ad Hoc</t>
  </si>
  <si>
    <t>مخصص</t>
  </si>
  <si>
    <t>तदर्थ</t>
  </si>
  <si>
    <t>AdHoc</t>
  </si>
  <si>
    <t>Sementara</t>
  </si>
  <si>
    <t>אד הוק</t>
  </si>
  <si>
    <t>임의</t>
  </si>
  <si>
    <t>Ad hoc</t>
  </si>
  <si>
    <t>Pre tento účel</t>
  </si>
  <si>
    <t>Geçici</t>
  </si>
  <si>
    <t>Tạm thời</t>
  </si>
  <si>
    <t>特设的</t>
  </si>
  <si>
    <t>&gt;特設的</t>
  </si>
  <si>
    <t>tt_security_type_1</t>
  </si>
  <si>
    <t>Stock</t>
  </si>
  <si>
    <t>السهم</t>
  </si>
  <si>
    <t>Aktie</t>
  </si>
  <si>
    <t>Μετοχή</t>
  </si>
  <si>
    <t>Acción</t>
  </si>
  <si>
    <t>Osake</t>
  </si>
  <si>
    <t>Action</t>
  </si>
  <si>
    <t>स्टॉक</t>
  </si>
  <si>
    <t>Részvény</t>
  </si>
  <si>
    <t>Azione</t>
  </si>
  <si>
    <t>מניה</t>
  </si>
  <si>
    <t>Aandeel</t>
  </si>
  <si>
    <t>Aksje</t>
  </si>
  <si>
    <t>Ação</t>
  </si>
  <si>
    <t>Valori</t>
  </si>
  <si>
    <t>Акция</t>
  </si>
  <si>
    <t xml:space="preserve">Cenné papiere </t>
  </si>
  <si>
    <t>Zaloga</t>
  </si>
  <si>
    <t>Akcija</t>
  </si>
  <si>
    <t>Hisse senedi</t>
  </si>
  <si>
    <t>tt_security_type_0</t>
  </si>
  <si>
    <t>Kazalo</t>
  </si>
  <si>
    <t>tt_ind_commodity_channel_index_short</t>
  </si>
  <si>
    <t>Commodity channel</t>
  </si>
  <si>
    <t>índice de commodity channel</t>
  </si>
  <si>
    <t>Indicele Canalului de Mărfuri</t>
  </si>
  <si>
    <t>顺势指标（CCI）</t>
  </si>
  <si>
    <t>&gt;顺勢指標(CCI)</t>
  </si>
  <si>
    <t>jamaica</t>
  </si>
  <si>
    <t>Jamaica</t>
  </si>
  <si>
    <t>Jamaïque</t>
  </si>
  <si>
    <t>Ямайка</t>
  </si>
  <si>
    <t>Jamajka</t>
  </si>
  <si>
    <t>never</t>
  </si>
  <si>
    <t>أبداً</t>
  </si>
  <si>
    <t>Никога</t>
  </si>
  <si>
    <t>안함</t>
  </si>
  <si>
    <t>Nikdy</t>
  </si>
  <si>
    <t>никад</t>
  </si>
  <si>
    <t>Ніколи</t>
  </si>
  <si>
    <t>Chưa từng</t>
  </si>
  <si>
    <t>從不</t>
  </si>
  <si>
    <t>corresponding_conversations_closed</t>
  </si>
  <si>
    <t>Corresponding conversations closed.</t>
  </si>
  <si>
    <t>Съответстващите разговори са затворени.</t>
  </si>
  <si>
    <t>S\'han tancat les converses corresponents.</t>
  </si>
  <si>
    <t>Zugehörige Unterhaltung beendet.</t>
  </si>
  <si>
    <t>Conversación correspondiente cerrada.</t>
  </si>
  <si>
    <t>Conversations correspondantes fermées.</t>
  </si>
  <si>
    <t>Conversas correpondentes pechadas.</t>
  </si>
  <si>
    <t>Hasonló beszélgetések be lettek zárva.</t>
  </si>
  <si>
    <t>Chiuse le relative conversazioni.</t>
  </si>
  <si>
    <t>対応する会話が閉じられました。</t>
  </si>
  <si>
    <t>Bijbehorende gesprekken gesloten.</t>
  </si>
  <si>
    <t>Odpowiadające rozmowy zostały zamknięte.</t>
  </si>
  <si>
    <t>Соответствующие беседы закрыты.</t>
  </si>
  <si>
    <t>Одговарајуће преписке затворене.</t>
  </si>
  <si>
    <t>Motsvarande konversationer är stängda.</t>
  </si>
  <si>
    <t>Відповідні розмови закрито.</t>
  </si>
  <si>
    <t>關閉相關的對話了。</t>
  </si>
  <si>
    <t>market_overview_popup_body</t>
  </si>
  <si>
    <t>This is your homepage. Find market information for the hottest stocks and additional data when you select a ticker.</t>
  </si>
  <si>
    <t>هذه هي صفحتك الرئيسية. ابحث عن معلومات السوق لأهم الأسهم والبيانات الإضافية عند تحديد شريط تداول.</t>
  </si>
  <si>
    <t>Това е вашата начална страница. Намерете пазарна информация за най-горещите акции и допълнителни данни, когато изберете тикер.</t>
  </si>
  <si>
    <t>Toto je vaše domovská stránka. Vyhledejte tržní informace o nejžhavějších akciích a další údaje, když vyberete ticker.</t>
  </si>
  <si>
    <t>Dette er din startside. Find markedsinformation om de bedste aktier og yderligere data, når du vælger et ticker.</t>
  </si>
  <si>
    <t>Das ist Ihre Startseite. Nachdem Sie einen Ticker ausgewählt haben, finden Sie hier die Marktinformationen zu den gefragtesten Aktien und zusätzliche Daten.</t>
  </si>
  <si>
    <t>Αυτή είναι η αρχική σας σελίδα. Βρείτε πληροφορίες αγοράς για τις πιο καυτές μετοχές και πρόσθετα δεδομένα όταν επιλέγετε ticker.</t>
  </si>
  <si>
    <t>Esta es su página principal. Encuentre información del mercado sobre las acciones del día y datos adicionales al seleccionar un ticker.</t>
  </si>
  <si>
    <t>Tämä on kotisivusi. Löydät markkinatietoja kuumimista osakkeista ja lisätietoja, kun valitset tikkerin.</t>
  </si>
  <si>
    <t>Ceci est votre page d\'accueil . Trouver les informations boursières pour les actions les plus populaires, et des données supplémentaires lorsque vous sélectionnez une action.</t>
  </si>
  <si>
    <t>यह आपका होमपेज है। जब आप टिकर का चयन करते हैं तो सबसे लोकप्रिय स्टॉकों और अतिरिक्त डेटा के लिए बाज़ार की जानकारी प्राप्त करें।</t>
  </si>
  <si>
    <t>Ez az Ön honlapja. Keresse meg a piaci információkat, részvényeket és további adatokat.</t>
  </si>
  <si>
    <t>Ini adalah halaman utama anda. Cari informasi pasar untuk saham terlaris dan data tambahan apabila anda memilih teller.</t>
  </si>
  <si>
    <t>Questa è la vostra homepage. Trovate le informazioni sul mercato dei titoli più importanti e i dati adizionali quando selezionate il simbolo.</t>
  </si>
  <si>
    <t>זהו דף הבית שלך. מצא מידע על המניות החמות ביותר בשוק ונתונים נוספים על ידי בחירת טיקר (הצגה נעה של נתוני הבורסה).</t>
  </si>
  <si>
    <t>あなたのメインページです。ティッカーを選択すると、話題の株や追加データ、マーケット情報を得ることができます。</t>
  </si>
  <si>
    <t>티커를 선택하면 가장 인기있는 주식 및 추가 데이터에 대한 시장 정보를 찾습니다.</t>
  </si>
  <si>
    <t>Ini adalah halaman utama anda. Cari maklumat pasaran untuk saham terlaris dan data tambahan apabila anda memilih pengira.</t>
  </si>
  <si>
    <t>Dit is uw startpagina. Vind marktinformatie voor de populairste aandelen en extra gegevens wanneer u een ticker selecteert.</t>
  </si>
  <si>
    <t>Dette er hjemmesiden din. Finn markedsinformasjon for de heteste aksjene og tilleggsdata når du velger en ticker.</t>
  </si>
  <si>
    <t>To jest twoja strona domowa. Znajdź informacje rynkowe dla najlepszych spółek i dodatkowe dane po wybraniu instrumentu.</t>
  </si>
  <si>
    <t>Esta é a sua página inicial. Encontre informações de mercado para as ações mais populares e dados adicionais quando seleciona um ticker.</t>
  </si>
  <si>
    <t>Aceasta este pagina ta de pornire. Găsești informații de piață pentru cele mai fierbinți valori și date suplimentare când selectezi un telegraf.</t>
  </si>
  <si>
    <t>Это Ваша домашняя страница. Здесь Вы можете найти рыночную информацию о горячих акциях и дополнительную информацию, нажав на тикер.</t>
  </si>
  <si>
    <t>Toto je vaša domovská stránka. Ak si zvolíte ticker, dostanete sa k informáciám o trhu týkajúcich sa najhorúcejších cenných papierov a ďalších údajov.</t>
  </si>
  <si>
    <t>To je vaša domača stran. Poiščite podatke o trgu za najbolj vroče zaloge in dodatne podatke, ko izberete oznako.</t>
  </si>
  <si>
    <t>Ovo je osnovna stranica. Nađi tržišne informacije za akcije i dodatne podatke selekcijom tikera.</t>
  </si>
  <si>
    <t>Det här är din startsida. Hitta marknadsinformation för de hetaste aktierna och ytterligare data när du väljer en ticker.</t>
  </si>
  <si>
    <t>นี่คือหน้าโฮมเพจของคุณ ค้นหาข้อมูลหุ้นตัวฮิตในตลาดและดูข้อมูลเพิ่มเติมในตอนที่เลือก Ticker</t>
  </si>
  <si>
    <t>Bu ana sayfanız. Takip ekranı seçtiğinizde en yeni hisse senetleri ve ek veriler için piyasa bilgilerini bulun.</t>
  </si>
  <si>
    <t>Đây là trang chính của bạn. Hãy tìm thông tin thị trường cho các cổ phiếu nóng nhất và dữ liệu bổ sung khi bạn chọn một ticker.</t>
  </si>
  <si>
    <t>这是您的主页。选自动收报机纸条后看看热门股票的信息与数据。</t>
  </si>
  <si>
    <t>tt_new_template_name</t>
  </si>
  <si>
    <t>New template name</t>
  </si>
  <si>
    <t>اسم القالب الجديد</t>
  </si>
  <si>
    <t>Ново име на шаблон</t>
  </si>
  <si>
    <t>Nový název šablony</t>
  </si>
  <si>
    <t>Nyt skabelonnavn</t>
  </si>
  <si>
    <t>Neuer Vorlagenname</t>
  </si>
  <si>
    <t>Νέο όνομα προτύπου</t>
  </si>
  <si>
    <t>Nombre de la plantilla nueva</t>
  </si>
  <si>
    <t>Uuden mallin nimi</t>
  </si>
  <si>
    <t>Nouveau nom de modèle</t>
  </si>
  <si>
    <t>टेम्पलेट का नया नाम</t>
  </si>
  <si>
    <t>Új sablon neve</t>
  </si>
  <si>
    <t>Nama template baru</t>
  </si>
  <si>
    <t>Il nome del nuovo modello</t>
  </si>
  <si>
    <t>שם תבנית חדש</t>
  </si>
  <si>
    <t>新規テンプレート名</t>
  </si>
  <si>
    <t>새 템플릿 이름</t>
  </si>
  <si>
    <t>Nama templat baharu</t>
  </si>
  <si>
    <t>Naam nieuw sjabloon</t>
  </si>
  <si>
    <t>Nytt malnavn</t>
  </si>
  <si>
    <t>Nowa nazwa szablonu</t>
  </si>
  <si>
    <t>Nome do novo modelo</t>
  </si>
  <si>
    <t>Numele unui șablon nou</t>
  </si>
  <si>
    <t>Новое имя шаблона</t>
  </si>
  <si>
    <t>Názov novej šablóny</t>
  </si>
  <si>
    <t>Novo ime predloge</t>
  </si>
  <si>
    <t>Naziv novog predloška</t>
  </si>
  <si>
    <t>Nytt mallnamn</t>
  </si>
  <si>
    <t>ชื่อเท็มเพล็ตใหม่</t>
  </si>
  <si>
    <t>Yeni şablon adı</t>
  </si>
  <si>
    <t>Tên mẫu mới</t>
  </si>
  <si>
    <t>新模板名称</t>
  </si>
  <si>
    <t>tt_please_rate</t>
  </si>
  <si>
    <t>If you enjoy using our App, would you mind taking a moment to rate it?\nYour support will make a difference and help us to provide our users with further updates!</t>
  </si>
  <si>
    <t>إذا كنت تستمتع باستخدام تطبيقنا، فهل تمانع في تخصيص عدة دقائق لتقييمه؟\nسيؤثر الدعم الذي تقدمه وسيساعدنا في تزويد مستخدمينا بمزيد من التحديثات!</t>
  </si>
  <si>
    <t>Ако харесвате нашето приложение, бихте ли отделили малко време, за да го оцените?\nВашата подкрепа е от значение и ще ни помогне да осигурим на нашите потребители допълнителни актуализации!</t>
  </si>
  <si>
    <t>Pokud se Vám naše aplikace líbí, udělali byste si prosím chvíli na to, abyste ji ohodnotili?\nVaše podpora se projeví a pomůže nám poskytovat našim uživatelům další aktualizace!</t>
  </si>
  <si>
    <t>Hvis du nyder at bruge vores app, har du et øjeblik til at bedømme den?\NDin support vil gøre en forskel og hjælpe os med at give vores brugere yderligere opdateringer!</t>
  </si>
  <si>
    <t>Wenn Ihnen unsere App gefällt, bitte nehmen Sie sich kurz Zeit für ein Rating!\nMit Ihrer Bewertung unterstützen Sie die Weiterentwicklung unserer App.\nHerzlichen Dank!</t>
  </si>
  <si>
    <t>Αν σας αρέσει η Εφαρμογή μας, θα μπορούσατε να αφιερώσετε λίγο χρόνο για να την αξιολογήσετε; \nΗ υποστήριξή σας θα κάνει τη διαφορά και θα μας βοηθήσει να παρέχουμε στους χρήστες μας περαιτέρω ενημερώσεις!</t>
  </si>
  <si>
    <t>estra aplicación? \nPor favor, denos su opinión y clasifíquenos.</t>
  </si>
  <si>
    <t>Jos pidät sovelluksemme käytöstä, voisitko käyttää hetken sen arviointiin? \nTukesi merkitsee ja auttaa meitä tarjoamaan käyttäjillemme uusia päivityksiä!</t>
  </si>
  <si>
    <t>Si vous aimez utiliser notre appli, pourriez-vous prendre un moment pour la noter ?\nVotre soutien fera une différence et nous aidera à fournir à nos utilisateurs de nouvelles mises à jour !</t>
  </si>
  <si>
    <t>यदि आपको हमारे ऐप का उपयोग करने में आनंद आया तो क्या आप इसे रेट करने के लिए थोड़ा समय देंगे?\n आपके समर्थन बहुत महत्वपूर्ण है औ रहमारे प्रयोक्ताओं को अधिक अपडेट प्रदान करने में हमारी सहायता करें!</t>
  </si>
  <si>
    <t>Hogy tetszett az applikáció?\nKérjük küldje el visszajelzést és értékelje az applikációt.</t>
  </si>
  <si>
    <t>Jika anda menikmati Aplikasi kami, dapatkah anda meluangkan waktu untuk menilai itu?\nDukungan anda akan menjadi perbedaan dan membantu kami untuk menyediakan pengguna kami dengan pembaruan lebih lanjut!</t>
  </si>
  <si>
    <t>Se ti piace utilizzare la nostra applicazione, ti dipiacerebbe prendere un momento per valutarla? Tuo sopporto fara\' la differenza e ci aiutera\' di fornire i nostri utilizzatori con i futuri aggiornamenti.</t>
  </si>
  <si>
    <t>אם אתה נהנה משימוש באפליקציה שלנו, אולי תקדיש רגע אחד כדי לדרג אותה? \ N התמיכה שלך תעשה את ההבדל ותעזור לנו לתת למשתמשים שלנו עדכונים נוספים!</t>
  </si>
  <si>
    <t>よろしければ、このアプリの評価をお願いいたします。</t>
  </si>
  <si>
    <t>앱이 마음에 드셨다면 잠깐 시간을 내어 평가해주시겠습니까?\n여러분의 도움을 통해 사용자에게 추가 업데이트를 제공할 수 있습니다!</t>
  </si>
  <si>
    <t>Sekiranya anda menikmati Aplikasi kami, bolehkah anda mengambil masa untuk menilainya?\nSokongan anda akan menjadi perbezaan dan membantu kami untuk menyediakan pengguna kami dengan kemas kini yang lebih lanjut!</t>
  </si>
  <si>
    <t>Als u geniet van onze App, zou u dan een moment hebben om deze te waarderen? Uw bijdrage zal een verschil maken en ons helpen om onze gebruikers te voorzien van meer updates en verbeteringen!</t>
  </si>
  <si>
    <t>Hvis du liker å bruke appen vår, kan du bruke et øyeblikk på å vurdere den? \n Din støtte vil utgjøre en forskjell og hjelpe oss med å gi brukerne våre ytterligere oppdateringer.</t>
  </si>
  <si>
    <t>Czy podoba Ci się nasza aplikacja? \nProszę, prześlij nam swoją opinię i oceń naszą aplikację.</t>
  </si>
  <si>
    <t>Você gostou de nosso aplicativo ? Por favor, nos dê um feedback e classifique o nosso aplicativo .</t>
  </si>
  <si>
    <t>Dacă vă place să folosiți aplicația noastră, v-ar deranja să luați un moment pentru a o evalua? \ NSuportul dvs. va face diferența și ne va ajuta să oferim utilizatorilor noștri actualizări suplimentare!</t>
  </si>
  <si>
    <t>Вам нравится наше приложение?\nПожалуйста, дайте нам обратную связь и оцените наше приложение.</t>
  </si>
  <si>
    <t>Ak sa vám naša aplikácia páči, nájdite si chvíľku a ohodnoťte ju.\nVaša podpora je dôležitá a pomôže nám pri poskytovaní ďalších aktualizácií našim používateľom!</t>
  </si>
  <si>
    <t>Če uživate v uporabi naše aplikacije, ali bi imeli nekaj časa, da jo ocenite? \ N Vaša podpora nam bo spremenila pogoje in nam pomagala, da svojim uporabnikom zagotovimo nadaljnje posodobitve!</t>
  </si>
  <si>
    <t>Da li Vam se sviđa naša apikacija?\nMolimo, ocenite našu aplikaciju.</t>
  </si>
  <si>
    <t>Om du gillar att använda appen, kan du vara snäll och betygsätta den?\nDitt stöd kommer att göra en skillnad och hjälpa oss att tillhandahålla våra användare med ytterligare uppdateringar!</t>
  </si>
  <si>
    <t>หากคุณรู้สึกเพลิดเพลินกับการใช้แอปนี้ โปรดสละเวลาในการให้คะแนนเราสักเล็กน้อย ทราบไหมว่า การสนับสนุนจากผู้ใช้เช่นคุณจะสร้างความเปลี่ยนแปลงและมีประโยชน์ต่อการจัดหาข้อมูลดีๆเพื่อมอบให้ผู้ใช้ของเราต่อไป</t>
  </si>
  <si>
    <t>Uygulamamızı beğendiyeseniz, değerlendirmek için bir dakikanızı ayırır mısınız?\nDesteğiniz bir fark yaratacak ve kullanıcılarımıza daha fazla güncelleme sunmamıza yardımcı olacak!</t>
  </si>
  <si>
    <t>Nếu bạn thích sử dụng Ứng dụng của chúng tôi, bạn có phiền nếu dành chút thời gian để đánh giá không?\nSự ủng hộ của bạn sẽ làm nên sự khác biệt và giúp chúng tôi cung cấp cho người dùng những bản cập nhật mới hơn!</t>
  </si>
  <si>
    <t>你喜欢我们的应用程序吗？\n请为我们的应用程式评价。您的支持将帮助我们提供更好的更新服务予使用者</t>
  </si>
  <si>
    <t>&gt;你喜歡我們的應用程序嗎？\n請為我們的應用程式評價。您的支持將幫助我們提供更好的更新服務予使用者</t>
  </si>
  <si>
    <t>receive_presence_updates</t>
  </si>
  <si>
    <t>Receive presence updates</t>
  </si>
  <si>
    <t>تحصل على تحديثات حالة الحضور</t>
  </si>
  <si>
    <t>Получаване на актуализации за присъствието</t>
  </si>
  <si>
    <t>Rep actualitzacions de presència</t>
  </si>
  <si>
    <t>Online-Status empfangen</t>
  </si>
  <si>
    <t>Recibir actualizaciones de presencia</t>
  </si>
  <si>
    <t>Recevoir ses màj de disponibilité</t>
  </si>
  <si>
    <t>Recibir actualizacións de presencia</t>
  </si>
  <si>
    <t>Állapot frissítések fogadása</t>
  </si>
  <si>
    <t>Terima pembaruan kehadiran</t>
  </si>
  <si>
    <t>Ricevi aggiornamenti della presenza</t>
  </si>
  <si>
    <t>参加アップデートを受信</t>
  </si>
  <si>
    <t>프레즌스 업데이트 받기</t>
  </si>
  <si>
    <t>Ontvang aanwezigheidsupdates</t>
  </si>
  <si>
    <t>Otrzymuj powiadomienia obecności</t>
  </si>
  <si>
    <t>Receber atualizações de presença</t>
  </si>
  <si>
    <t>Получать присутствие</t>
  </si>
  <si>
    <t>Prijímať zmeny stavu</t>
  </si>
  <si>
    <t>Примај ажурирања присутности</t>
  </si>
  <si>
    <t>Ta emot tillgänglighetsuppdateringar</t>
  </si>
  <si>
    <t>Отримувати оновлення про присутність</t>
  </si>
  <si>
    <t>Nhận cập nhật hiện diện</t>
  </si>
  <si>
    <t>接收線上連絡人列表更新</t>
  </si>
  <si>
    <t>french_guiana</t>
  </si>
  <si>
    <t>French Guiana</t>
  </si>
  <si>
    <t>Französisch-Guayana</t>
  </si>
  <si>
    <t>Guayana Francesa</t>
  </si>
  <si>
    <t>Guinée Française</t>
  </si>
  <si>
    <t>Французская Гвиана</t>
  </si>
  <si>
    <t>Francuska Gvajana</t>
  </si>
  <si>
    <t>status_message</t>
  </si>
  <si>
    <t>Status message</t>
  </si>
  <si>
    <t>نص حالة الحضور</t>
  </si>
  <si>
    <t>Съобщение за състоянието</t>
  </si>
  <si>
    <t>Missatge d\'estat</t>
  </si>
  <si>
    <t>Statusnachricht</t>
  </si>
  <si>
    <t>Mensaje de estado</t>
  </si>
  <si>
    <t>Message de statut</t>
  </si>
  <si>
    <t>Mensaxe de estado</t>
  </si>
  <si>
    <t>Állapotüzenet</t>
  </si>
  <si>
    <t>Messaggio di stato</t>
  </si>
  <si>
    <t>ステータスメッセージ</t>
  </si>
  <si>
    <t>상태 메세지</t>
  </si>
  <si>
    <t>Statusbericht</t>
  </si>
  <si>
    <t>Mensagem de estado</t>
  </si>
  <si>
    <t>Статусное собщение</t>
  </si>
  <si>
    <t>Порука стања</t>
  </si>
  <si>
    <t>Statusmeddelande</t>
  </si>
  <si>
    <t>Повідомлення статусу</t>
  </si>
  <si>
    <t>狀態訊息</t>
  </si>
  <si>
    <t>snooze</t>
  </si>
  <si>
    <t>Snooze</t>
  </si>
  <si>
    <t>إغفاء</t>
  </si>
  <si>
    <t>Отлагане</t>
  </si>
  <si>
    <t>Posposa</t>
  </si>
  <si>
    <t>Schlummern</t>
  </si>
  <si>
    <t>Silenciar</t>
  </si>
  <si>
    <t>Répéter les notifications</t>
  </si>
  <si>
    <t>Pospor</t>
  </si>
  <si>
    <t>Szundi</t>
  </si>
  <si>
    <t>Ritarda</t>
  </si>
  <si>
    <t>Sluimeren</t>
  </si>
  <si>
    <t>Odłóż</t>
  </si>
  <si>
    <t>Одложи</t>
  </si>
  <si>
    <t>tt_eps_pe_ratio</t>
  </si>
  <si>
    <t>P/E Ratio</t>
  </si>
  <si>
    <t>P/E коефициент</t>
  </si>
  <si>
    <t>Poměr P/E</t>
  </si>
  <si>
    <t>P/E-forhold</t>
  </si>
  <si>
    <t>Αναλογία P/E</t>
  </si>
  <si>
    <t>P/E-suhde</t>
  </si>
  <si>
    <t>Price Earnings ratio (PER)</t>
  </si>
  <si>
    <t>पी/ई अनुपात</t>
  </si>
  <si>
    <t>P/E Ráta</t>
  </si>
  <si>
    <t>Rasio P/E</t>
  </si>
  <si>
    <t>יחס מכפיל רווח (P/E)</t>
  </si>
  <si>
    <t>P/E レシオ</t>
  </si>
  <si>
    <t>P/E 비율</t>
  </si>
  <si>
    <t>Nisbah P/E</t>
  </si>
  <si>
    <t>Wskaźnik P/E</t>
  </si>
  <si>
    <t>Raport P/E</t>
  </si>
  <si>
    <t>Коэффициент Цена/Доход</t>
  </si>
  <si>
    <t>Pomer P/E</t>
  </si>
  <si>
    <t>P/E razmerje</t>
  </si>
  <si>
    <t>P/E</t>
  </si>
  <si>
    <t>P/E-förhållande</t>
  </si>
  <si>
    <t>อัตราส่วน P/E</t>
  </si>
  <si>
    <t>F/K oranı</t>
  </si>
  <si>
    <t>Hệ số P/E</t>
  </si>
  <si>
    <t>本益比</t>
  </si>
  <si>
    <t>&gt;本益比</t>
  </si>
  <si>
    <t>agree_and_continue</t>
  </si>
  <si>
    <t>Agree &amp;amp; continue</t>
  </si>
  <si>
    <t>Съгласяване и продължаване</t>
  </si>
  <si>
    <t>Souhlasíte &amp;amp; pokračovat</t>
  </si>
  <si>
    <t>Enig &amp;amp; Blive ved</t>
  </si>
  <si>
    <t>Zustimmen &amp;amp; fortfahren</t>
  </si>
  <si>
    <t>Aceptar &amp;amp; continuar</t>
  </si>
  <si>
    <t>Hyväksy &amp;amp; jatkaa</t>
  </si>
  <si>
    <t>D\'accord &amp;amp; Continuez</t>
  </si>
  <si>
    <t>Egyetért &amp;amp; folytatás</t>
  </si>
  <si>
    <t>Setuju &amp;amp; terus</t>
  </si>
  <si>
    <t>Accetta e continua</t>
  </si>
  <si>
    <t>同意&amp;amp;＃038;継続する</t>
  </si>
  <si>
    <t>Akkoord gaan &amp;amp; doorgaan</t>
  </si>
  <si>
    <t>Enig &amp;amp; Fortsette</t>
  </si>
  <si>
    <t>Zgoda i kontynuuj</t>
  </si>
  <si>
    <t>Concordo &amp;amp; Prosseguir</t>
  </si>
  <si>
    <t>De acord &amp;amp; continua</t>
  </si>
  <si>
    <t>choose_presence</t>
  </si>
  <si>
    <t>Choose device</t>
  </si>
  <si>
    <t>إختر جهازاً</t>
  </si>
  <si>
    <t>Изберете устройство</t>
  </si>
  <si>
    <t>Tria el dispositiu</t>
  </si>
  <si>
    <t>Gerät auswählen</t>
  </si>
  <si>
    <t>Seleccionar dispositivo</t>
  </si>
  <si>
    <t>Choisir l\'appareil</t>
  </si>
  <si>
    <t>Escoller dispositivo</t>
  </si>
  <si>
    <t>Eszköz kiválasztása</t>
  </si>
  <si>
    <t>Scegli un dispositivo</t>
  </si>
  <si>
    <t>デバイスを選択</t>
  </si>
  <si>
    <t>기기 선택</t>
  </si>
  <si>
    <t>Apparaat kiezen</t>
  </si>
  <si>
    <t>Wybierz urządzenie</t>
  </si>
  <si>
    <t>Escolher dispositivo</t>
  </si>
  <si>
    <t>Выберите устройство</t>
  </si>
  <si>
    <t>Изаберите уређај</t>
  </si>
  <si>
    <t>Välj enhet</t>
  </si>
  <si>
    <t>Вибрати пристрій</t>
  </si>
  <si>
    <t>Chọn thiết bị</t>
  </si>
  <si>
    <t>選擇設備</t>
  </si>
  <si>
    <t>tt_choose_wallpaper</t>
  </si>
  <si>
    <t>Elegir un fondo de pantalla</t>
  </si>
  <si>
    <t>Scegli il sfondo</t>
  </si>
  <si>
    <t>Escolha wallpaper</t>
  </si>
  <si>
    <t>Izaberite tapetu</t>
  </si>
  <si>
    <t>pref_show_dynamic_tags</t>
  </si>
  <si>
    <t>Dynamic Tags</t>
  </si>
  <si>
    <t>Динамични етикети</t>
  </si>
  <si>
    <t>Etiquetes dinàmiques</t>
  </si>
  <si>
    <t>Dynamische Tags</t>
  </si>
  <si>
    <t>Etiquetas dinámicas</t>
  </si>
  <si>
    <t>Tags dynamiques</t>
  </si>
  <si>
    <t>Dinamikus címkék</t>
  </si>
  <si>
    <t>Tag dinamici</t>
  </si>
  <si>
    <t>Dynamische tags</t>
  </si>
  <si>
    <t>Dynamiczne tagi</t>
  </si>
  <si>
    <t>Динамические тэги</t>
  </si>
  <si>
    <t>Динамичке ознаке</t>
  </si>
  <si>
    <t>tt_extend</t>
  </si>
  <si>
    <t>extend</t>
  </si>
  <si>
    <t>تمديد</t>
  </si>
  <si>
    <t>разшири</t>
  </si>
  <si>
    <t>rozšířit</t>
  </si>
  <si>
    <t>forlænge</t>
  </si>
  <si>
    <t>erweitere</t>
  </si>
  <si>
    <t>επέκταση</t>
  </si>
  <si>
    <t>extender</t>
  </si>
  <si>
    <t>pidennä</t>
  </si>
  <si>
    <t>Élargir</t>
  </si>
  <si>
    <t>विस्तृत करें</t>
  </si>
  <si>
    <t>Extend</t>
  </si>
  <si>
    <t>panjangkan</t>
  </si>
  <si>
    <t>estendere</t>
  </si>
  <si>
    <t>הרחב</t>
  </si>
  <si>
    <t>伸ばす</t>
  </si>
  <si>
    <t>연장</t>
  </si>
  <si>
    <t>verleng</t>
  </si>
  <si>
    <t>forlenge</t>
  </si>
  <si>
    <t>Przedłuż</t>
  </si>
  <si>
    <t>extinde</t>
  </si>
  <si>
    <t>расширить</t>
  </si>
  <si>
    <t>predĺžiť</t>
  </si>
  <si>
    <t>podaljšati</t>
  </si>
  <si>
    <t>Proširi</t>
  </si>
  <si>
    <t>förläng</t>
  </si>
  <si>
    <t>ต่ออายุ</t>
  </si>
  <si>
    <t>Uzat</t>
  </si>
  <si>
    <t>mở rộng</t>
  </si>
  <si>
    <t>扩展</t>
  </si>
  <si>
    <t>&gt;擴展</t>
  </si>
  <si>
    <t>report_jid_as_spammer</t>
  </si>
  <si>
    <t>Report this JID as sending unwanted messages.</t>
  </si>
  <si>
    <t>Докладване на този JID за изпращане на нежелани съобщения.</t>
  </si>
  <si>
    <t>Informar d\'aquest JID com l\'enviament de missatges no desitjats.</t>
  </si>
  <si>
    <t>Melde die JID als Sender unerwünschter Nachrichten.</t>
  </si>
  <si>
    <t>Reportar a este Id Jabber por enviar mensajes no deseados</t>
  </si>
  <si>
    <t>Signaler ce JID comme envoyant des messages non sollicités.</t>
  </si>
  <si>
    <t>Informe de este JID como emisor de mensaxes non desexadas.</t>
  </si>
  <si>
    <t>Jelentse ezt a JID-et, mint nemkívánatos üzenetek küldőjét.</t>
  </si>
  <si>
    <t>Questo JID invia messaggi non richiesti.</t>
  </si>
  <si>
    <t>この JID を不要なメッセージ送信として報告します。</t>
  </si>
  <si>
    <t>이 JID를 원치 않는 메시지 전송으로 보고합니다.</t>
  </si>
  <si>
    <t>Rapporteer deze JID voor het sturen van ongewenste berichten</t>
  </si>
  <si>
    <t>Raportuj ten JID jako rozsyłający spam</t>
  </si>
  <si>
    <t>Отправить жалобу на нежелательные сообщения.</t>
  </si>
  <si>
    <t>Пријави да овај ЈИД шаље нежељене поруке.</t>
  </si>
  <si>
    <t>Rapportera detta JID för skickande av oönskade meddelanden.</t>
  </si>
  <si>
    <t>Bu JID\'yi istenmeyen mesajlar gönderirken bildirin.</t>
  </si>
  <si>
    <t>Відзвітувати, що цей Jabber ID розсилає спам.</t>
  </si>
  <si>
    <t>檢舉這個 JID 發送不想要的訊息。</t>
  </si>
  <si>
    <t>tt_pf_createdemo</t>
  </si>
  <si>
    <t>Create Demo portfolio</t>
  </si>
  <si>
    <t>إنشاء محفظة تجريبية</t>
  </si>
  <si>
    <t>Създай демо портфолио</t>
  </si>
  <si>
    <t>Vytvořit ukázkové portfolio</t>
  </si>
  <si>
    <t>Opret demoportefølje</t>
  </si>
  <si>
    <t>Demo Portfolio erstellen</t>
  </si>
  <si>
    <t>Δημιουργία χαρτοφυλακίου demo</t>
  </si>
  <si>
    <t>Crear un Portafolio de prueba</t>
  </si>
  <si>
    <t>Luo esittelysalkku</t>
  </si>
  <si>
    <t>Créez un portefeuille démo</t>
  </si>
  <si>
    <t>डेमो पोर्टफोलियो बनाएँ</t>
  </si>
  <si>
    <t>Demo portfólió létrehozása</t>
  </si>
  <si>
    <t>Buat portfolio Demo</t>
  </si>
  <si>
    <t>Crea Demo portafoglio</t>
  </si>
  <si>
    <t>צור תיק השקעות</t>
  </si>
  <si>
    <t>デモ用のポートフォリオを作成する</t>
  </si>
  <si>
    <t>데모 포트폴리오 생성</t>
  </si>
  <si>
    <t>Wujudkan portfolio Demo</t>
  </si>
  <si>
    <t>Creër voorbeeldportefeuille</t>
  </si>
  <si>
    <t>Lag demoportefølje</t>
  </si>
  <si>
    <t>Stwórz przykładowy portfel</t>
  </si>
  <si>
    <t>Criar carteira de demonstração</t>
  </si>
  <si>
    <t>Crează portofoliul Demo</t>
  </si>
  <si>
    <t>Создать Демо-портфель</t>
  </si>
  <si>
    <t>Vytvoriť ukážkové portfólio</t>
  </si>
  <si>
    <t>Ustvari predstavitveni portfelja</t>
  </si>
  <si>
    <t>Kreiraj Demo Portfolijo</t>
  </si>
  <si>
    <t>Skapa demo-portfölj</t>
  </si>
  <si>
    <t>สร้างพอร์ตตัวอย่าง</t>
  </si>
  <si>
    <t>Demo portföy oluşturun</t>
  </si>
  <si>
    <t>Tạo danh mục đầu tư thử nghiệm</t>
  </si>
  <si>
    <t>建立演示组合</t>
  </si>
  <si>
    <t>&gt;建立演示組合</t>
  </si>
  <si>
    <t>outcast</t>
  </si>
  <si>
    <t>Outcast</t>
  </si>
  <si>
    <t>مفصول</t>
  </si>
  <si>
    <t>Отхвърлен</t>
  </si>
  <si>
    <t>Ausgeschlossen</t>
  </si>
  <si>
    <t>Rechazado</t>
  </si>
  <si>
    <t>Banni</t>
  </si>
  <si>
    <t>Kiközösített</t>
  </si>
  <si>
    <t>Orang buangan</t>
  </si>
  <si>
    <t>Emarginato</t>
  </si>
  <si>
    <t>追放</t>
  </si>
  <si>
    <t>추방됨</t>
  </si>
  <si>
    <t>Verstoteling</t>
  </si>
  <si>
    <t>Wykluczony</t>
  </si>
  <si>
    <t>Banido</t>
  </si>
  <si>
    <t>Заблокирован</t>
  </si>
  <si>
    <t>Vylúčený</t>
  </si>
  <si>
    <t>Изгнаник</t>
  </si>
  <si>
    <t>Utstött</t>
  </si>
  <si>
    <t>Вигнанець</t>
  </si>
  <si>
    <t>Kẻ bị ruồng bỏ</t>
  </si>
  <si>
    <t>拋棄</t>
  </si>
  <si>
    <t>on_boarding_message_2_6</t>
  </si>
  <si>
    <t>Stay informed via our news team which covers the most pertinent market events and information daily!</t>
  </si>
  <si>
    <t>ابق على اطلاع من خلال فريق الأخبار لدينا الذي يغطي الأحداث والمعلومات الأكثر أهميةً في السوق يوميًا!</t>
  </si>
  <si>
    <t>Бъдете информирани чрез нашия екип за новини, който ежедневно обхваща най-важните пазарни събития и информация!</t>
  </si>
  <si>
    <t>Zůstaňte informováni prostřednictvím našeho zpravodajského týmu, který denně pokrývá nejdůležitější tržní události a informace!</t>
  </si>
  <si>
    <t>Hold dig informeret via vores nyhedsteam, der dækker de mest relevante markedsbegivenheder og informationer dagligt!</t>
  </si>
  <si>
    <t>Bleiben Sie informiert durch unser News-Team, welches täglich die relevantesten Marktereignisse und Informationen ermittelt!</t>
  </si>
  <si>
    <t>Μείνετε ενημερωμένοι μέσω της ειδησεογραφικής μας ομάδας που καλύπτει καθημερινά τα πιο ενδιαφέροντα θέματα και πληροφορίες της αγοράς!</t>
  </si>
  <si>
    <t>¡Manténgase informado por nuestro equipo de noticias, el cual cubre la actualidad informativa y los eventos más importantes!</t>
  </si>
  <si>
    <t>Pysy ajan tasalla uutisryhmämme kautta, joka kattaa tärkeimmät markkinoiden tapahtumat ja tiedot päivittäin!</t>
  </si>
  <si>
    <t>Restez informé avec notre équipe de journalistes qui couvre les plus pertinentes événements et informations boursiers de l´actualité!</t>
  </si>
  <si>
    <t>हमारी समाचार टीम के माध्यम से नवीनतम जानकारी से अवगत रहें जो प्रतिदिन बाजार की सबसे अधिक प्रासंगिक घटनाओं और सूचनाओं को कवर करती है!</t>
  </si>
  <si>
    <t>Legyen naponta informálva a legaktuálisabb piaci eseményekről!</t>
  </si>
  <si>
    <t>Tetap terinformasi melalui buletin kami yang mencakup peristiwa dan informasi pasar paling penting setiap hari!</t>
  </si>
  <si>
    <t>State aggiornati attraverso la nostra squadra delle notizie che copre gli eventi più pertinenti di mercato e le informazioni diarie.</t>
  </si>
  <si>
    <t>התעדכן באמצעות צוות החדשות שלנו המקר את אירועי השוק והמידע הרלוונטיים ביותר מדי יום!</t>
  </si>
  <si>
    <t>関連するマーケットイベントと情報を毎日カバーしているニュースチームを通じて情報を入手してください！</t>
  </si>
  <si>
    <t>뉴스 팀에서 매일 알려드리는 가장 관련된 시장 사건 및 정보를 통해 지속적으로 정보를 얻으세요!</t>
  </si>
  <si>
    <t>Kekal dimaklumkan melalui pasukan berita kami yang merangkumi peristiwa dan maklumat pasaran yang paling penting setiap hari!</t>
  </si>
  <si>
    <t>Blijf op de hoogte via ons nieuwsteam dat de meest relevante marktgebeurtenissen en -informatie dagelijks volgt!</t>
  </si>
  <si>
    <t>Hold deg informert via vårt nyhetsteam som dekker de mest relevante markedsbegivenheter og informasjon daglig!</t>
  </si>
  <si>
    <t>Bądź na bieżąco dzięki naszemu zespołowi informacji, który codziennie dostarcza najświeższe informacje rynkowe</t>
  </si>
  <si>
    <t>Mantenha-se informado através da nossa equipa de notícias que cobre os eventos de mercado mais pertinentes e informações diariamente!</t>
  </si>
  <si>
    <t>Fii la curent prin echipa noastră de știri care acoperă zilnic cele mai pertinente evenimente și informații din piață!</t>
  </si>
  <si>
    <t>Будьте в курсе событий благодаря нашей команде новостей, которая охватывает наиболее актуальные события рынка и ежедневную информацию!</t>
  </si>
  <si>
    <t>Buďte informovaný prostredníctvom nášho spravodajského tímu, ktorý denne pokrýva tie najdôležitejšie udalosti a informácie trhu!</t>
  </si>
  <si>
    <t>Bodite obveščeni prek naših novic, ki dnevno pokriva najpomembnejše tržne dogodke in informacije!</t>
  </si>
  <si>
    <t>Budi informisan! Naš tim za vesti pokriva sve berzanske digađaje i dnevne informacije!</t>
  </si>
  <si>
    <t>Håll dig informerad med vårt nyhetsteam som dagligen täcker de mest relevanta marknadshändelserna och uppgifterna!</t>
  </si>
  <si>
    <t>ทันข่าวสารไปกับทีมข่าวที่นำเสนอกิจกรรมการตลาดและข้อมูลรายวันอย่างครอบคลุม!</t>
  </si>
  <si>
    <t>En uygun piyasa etkinliklerini ve bilgilerini günlük olarak kapsayan haber ekibimizle bilgi alın!</t>
  </si>
  <si>
    <t>Cập nhật thông tin thông qua nhóm tin tức của chúng tôi, bao gồm các sự kiện và thông tin thị trường thích hợp nhất hàng ngày!</t>
  </si>
  <si>
    <t>让你随时保持更新！我们的新闻小组每天报道重要的市场事件与信息！</t>
  </si>
  <si>
    <t>on_boarding_message_2_5</t>
  </si>
  <si>
    <t>Find your next investments by researching and valuing companies using their most recent financials!</t>
  </si>
  <si>
    <t>اعثر على استثماراتك المقبلة من خلال البحث عن الشركات وتقييمها باستخدام أحدث بياناتها المالية!</t>
  </si>
  <si>
    <t>Намерете следващите си инвестиции, като проучите и оцените компаниите, като използвате техните най-нови финансови средства!</t>
  </si>
  <si>
    <t>Hledejt nové investiční příležitosti zkoumáním a vyhodnocováním společností, s užitím jejich nejaktuálnějších finančních údajů!</t>
  </si>
  <si>
    <t>Find dine næste investeringer ved at undersøge og værdsætte virksomheder ved hjælp af deres seneste økonomioplysning!</t>
  </si>
  <si>
    <t>Finden Sie Ihr nächstes Investment durch Recherche und Bewertung von Unternehmen anhand der neuesten Kennzahlen!</t>
  </si>
  <si>
    <t>Βρείτε τις επόμενες επενδύσεις σας με έρευνα και αποτίμηση εταιρειών χρησιμοποιώντας τα πιο πρόσφατα οικονομικά τους στοιχεία!</t>
  </si>
  <si>
    <t>¡Encuentre sus próximas inversiones investigando y valorando empresas según sus datos financieros más recientes!</t>
  </si>
  <si>
    <t>Löydä seuraava sijoituksesi tutkimalla ja arvioimalla yrityksiä käyttämällä viimeisimpiä taloustietoja!</t>
  </si>
  <si>
    <t>Trouver vos prochains investissements par la recherche et l\'évaluation des entreprises en utilisant leurs états financiers les plus récents !</t>
  </si>
  <si>
    <t>उनके नवीनतम वित्तीय का उपयोग करके कंपनियों पर अनुसंधान और मूल्यांकन करके अपने अगले निवेश की जानकारी प्राप्त करें!</t>
  </si>
  <si>
    <t>Találja meg a következő befektetését alapos vizsgálattal és értékeléssel a legfrissebb pénzügyi mutatók segítségével.</t>
  </si>
  <si>
    <t>Cari lebih banyak investasi dengan meneliti dan mengevaluasi perusahaan menggunakan keuangan terbaru mereka!</t>
  </si>
  <si>
    <t>Trovate il vostro prossimo investimento attraverso la ricerca e valutazione delle aziende usando loro dati finanziari più aggiornati.</t>
  </si>
  <si>
    <t>מצא את ההשקעות הבאות שלך על ידי בדיקה והערכה של חברות תוך שימוש בנתוניהן הפיננסיים האחרונים!</t>
  </si>
  <si>
    <t>最新の財務情報を利用して企業を調査・評価することで、次の投資対象を見つけてください。</t>
  </si>
  <si>
    <t>기업의 최신 재무를 사용하여 기업을 조사하고 가치를 평가하여 다음 투자처를 찾으세요!</t>
  </si>
  <si>
    <t>Cari pelaburan seterusnya dengan meneliti dan menilai syarikat dengan menggunakan kewangan mereka yang terkini!</t>
  </si>
  <si>
    <t>Vind uw volgende investeringen door bedrijven te onderzoeken en te waarderen via hun meest recente financiële gegevens!</t>
  </si>
  <si>
    <t>Finn dine neste investeringer ved å undersøke og verdisette selskaper som bruker de nyeste økonomiene!</t>
  </si>
  <si>
    <t>Znajdź swoje kolejne inwestycje analizując i wyceniając spółki z użyciem aktualnych sprawozdań finansowych</t>
  </si>
  <si>
    <t>Encontre seus próximos investimentos de pesquisa e avaliação de empresas que utilizam as suas finanças mais recentes!</t>
  </si>
  <si>
    <t>Găsește-ți următoarele investiții cercetând și evaluând societățile folosind cele mai recente informații financiare ale lor!</t>
  </si>
  <si>
    <t>Найдите Ваши следующие инвестиции исследуя и оценивая компании, пользуясь их последними финансовыми данными!</t>
  </si>
  <si>
    <t>Nájdite svoje ďalšie investície prostredníctvom prieskumu a hodnotenia spoločností pomocou ich najnovších finančných prostriedkov!</t>
  </si>
  <si>
    <t>Poiščite svoje naslednje naložbe z raziskavami in vrednotenjem podjetij z uporabo njihovih najnovejših finančnih sredstev!</t>
  </si>
  <si>
    <t>Potraži sledeću investiciju istraživanjem i valuacijom kompanija koristeći najnovije fianansijske podatke!</t>
  </si>
  <si>
    <t>Hitta dina nästa investeringar genom att undersöka och värdera företag med de senaste finansiella uppgifterna!</t>
  </si>
  <si>
    <t>ค้นหาการลงทุนครั้งต่อไปของตัวเองด้วยการหาข้อมูลและประเมินมูลค่าบริษัทต่างๆจากสถานการณ์การเงินล่าสุด!</t>
  </si>
  <si>
    <t>Şirketlerin en son mali özelliklerini kullanarak şirketleri araştırarak ve değer biçerek gelecek yatırımlarınızı bulun!</t>
  </si>
  <si>
    <t>Tìm kiếm cơ hội đầu tư tiếp theo của bạn bằng cách nghiên cứu và định giá các công ty dựa trên thông tin tài chính gần đây nhất của họ!</t>
  </si>
  <si>
    <t>看一看公司最近的财政数据，还公司的价值为了找到您下一个投资机会！</t>
  </si>
  <si>
    <t>on_boarding_message_2_4</t>
  </si>
  <si>
    <t>Find the right company for your investing needs using detailed search parameters!</t>
  </si>
  <si>
    <t>ابحث عن الشركة المناسبة لاحتياجاتك الاستثمارية باستخدام معلمات بحث مفصلة!</t>
  </si>
  <si>
    <t>Намерете компания, която най-добре отговаря на вашите инвестиционни нужди, като използвате подробни параметри за търсене!</t>
  </si>
  <si>
    <t>Najděte správnou společnost pro své investiční potřeby pomocí podrobného vyhledávání podle parametrů!</t>
  </si>
  <si>
    <t>Find det rigtige firma til dine investeringsbehov ved hjælp af detaljerede søgeparametre!</t>
  </si>
  <si>
    <t>Finden Sie das richtige Unternehmen zu Ihren Investmentanforderungen mittels detaillierter Suchparameter!</t>
  </si>
  <si>
    <t>Βρείτε τη σωστή εταιρεία για τις επενδυτικές σας ανάγκες χρησιμοποιώντας λεπτομερείς παραμέτρους αναζήτησης!</t>
  </si>
  <si>
    <t>¡Encuentre la compañia correcta para sus necesidades de inversión con filtros de búsqueda!</t>
  </si>
  <si>
    <t>Löydä sijoitustarpeisiisi sopiva yritys yksityiskohtaisten hakuparametrien avulla!</t>
  </si>
  <si>
    <t>Trouver la société parfaite pour vos besoins d\'investissement en utilisant des paramètres de recherche détaillés !</t>
  </si>
  <si>
    <t>विस्तृत खोज मापदंडों का उपयोग करके अपनी निवेश आवश्यकताओं के लिए सही कंपनी की जानकारी प्राप्त करें!</t>
  </si>
  <si>
    <t>Keresse meg a kívánt céget a részletes kereső segítségével.</t>
  </si>
  <si>
    <t>Cari perusahaan yang tepat untuk kebutuhan investasi anda dengan menggunakn parameter pencarian terperinci!</t>
  </si>
  <si>
    <t>Trovate la giusta azienda per i vostri bisogni di investimento usando i parametri dettagliati per la ricerca!</t>
  </si>
  <si>
    <t>מצא את החברה המתאימה לצרכי ההשקעה שלך באמצעות פרמטרי חיפוש מפורטים!</t>
  </si>
  <si>
    <t>検索パラメーターを使用して、あなたの投資ニーズに適した企業を見つけてください。</t>
  </si>
  <si>
    <t>상세한 검색 매개 변수를 사용하여 투자하기에 적합한 기업을 찾으세요!</t>
  </si>
  <si>
    <t>Cari syarikat yang tepat untuk keperluan pelaburan anda dengan menggunakan parameter carian terperinci!</t>
  </si>
  <si>
    <t>Vind het juiste bedrijf voor uw investeringsbehoeften met behulp van gedetailleerde zoekparameters!</t>
  </si>
  <si>
    <t>Finn riktig selskap for dine investeringsbehov ved å bruke detaljerte søkeparametere!</t>
  </si>
  <si>
    <t>Znajdź odpowiednią firmę dla swoich potrzeb inwestycyjnych, korzystając ze szczegółowych parametrów wyszukiwania!</t>
  </si>
  <si>
    <t>Encontre a empresa certa para as suas necessidades de investimento, utilizando parâmetros de pesquisa detalhados!</t>
  </si>
  <si>
    <t>Găsește societatea potrivită pentru nevoile tale de investiții, folosind parametrii detaliați de căutare!</t>
  </si>
  <si>
    <t>Найдите подходящую компанию, которая отвечает Вашим инвестиционным требованиям, используя параметры детального поиска!</t>
  </si>
  <si>
    <t>Nájdite tú správnu spoločnosť, ktorá splní vaše investičné potreby, pomocou podrobných parametrov vyhľadávania!</t>
  </si>
  <si>
    <t>Poiščite pravo podjetje za vaše naložbene potrebe s pomočjo podrobnih parametrov iskanja!</t>
  </si>
  <si>
    <t>Skeniraj berzanske podatke!</t>
  </si>
  <si>
    <t>Hitta rätt företag för dina investeringsbehov med detaljerade sökparametrar!</t>
  </si>
  <si>
    <t>ตามหาบริษัทที่เกิดมาเพื่อตอบสนองการลงทุนของคุณด้วยการใช้พารามิเตอร์ค้นหาอย่างละเอียด!</t>
  </si>
  <si>
    <t>Detaylı arama parametrelerini kullanarak yatırım ihtiyaçlarınız için doğru şirketi bulun!</t>
  </si>
  <si>
    <t>Tìm đúng công ty phù hợp với nhu cầu đầu tư của bạn bằng cách sử dụng các thông số tìm kiếm chi tiết!</t>
  </si>
  <si>
    <t>利用我们的详细参数搜索为了找到你投资需要的公司！</t>
  </si>
  <si>
    <t>on_boarding_message_2_3</t>
  </si>
  <si>
    <t>Interactive charts allow you to edit and compare several tickers and indicators at once!</t>
  </si>
  <si>
    <t>تتيح لك المخططات التفاعلية تحرير ومقارنة عدة شرائط تداول ومؤشرات في وقت واحد!</t>
  </si>
  <si>
    <t>Интерактивните графики ви позволяват да редактирате и сравнявате няколко тикери и индикатори наведнъж!</t>
  </si>
  <si>
    <t>Interaktivní grafy umožňují editovat a porovnávat několik tickerů a indikátorů najednou!</t>
  </si>
  <si>
    <t>Interaktive diagrammer giver dig mulighed for at redigere og sammenligne flere tickers og indikatorer på én gang!</t>
  </si>
  <si>
    <t>Mit den interaktiven Charts können Sie mehrere Ticker und Indikatoren gleichzeitig bearbeiten und vergleichen!</t>
  </si>
  <si>
    <t>Τα διαδραστικά γραφήματα σάς επιτρέπουν να επεξεργαστείτε και να συγκρίνετε πολλά tickers και δείκτες ταυτόχρονα!</t>
  </si>
  <si>
    <t>¡Gráficos interactivos que le permiten editar y comparar varios Tickers e indicadores al mismo tiempo!</t>
  </si>
  <si>
    <t>Interaktiivisten kaavioiden avulla voit muokata ja vertailla useita tikkereitä ja indikaattoreita kerralla!</t>
  </si>
  <si>
    <t>Les graphiques interactifs vous permettent d\'éditer et de comparer plusieurs symboles et indicateurs en même temps!</t>
  </si>
  <si>
    <t>इंटरएक्टिव चार्ट, आपको एक साथ कई टिकरों और संकेतकों को एडिट करने और तुलना करने की सुविधा प्रदान करते हैं!</t>
  </si>
  <si>
    <t>Az interaktív grafikonrajzoló segítségével egyszerre tud szerkeszteni és összehasonlítani tickerseket és indikátorokat.</t>
  </si>
  <si>
    <t>Grafik interaktif memungkinkan anda untuk mengedit dan membandingkan beberapa penanda dan penunjuk sekaligus!</t>
  </si>
  <si>
    <t>I chart interattivi vi permettono di modificare e comprare molti simboli ed indicatori alla volta!</t>
  </si>
  <si>
    <t>גרפים אינטראקטיביים מאפשרים לערוך ולהשוות מספר טיקרים ומחוונים בו-זמנית!</t>
  </si>
  <si>
    <t>インタラクティブチャートを使用すると、複数のティッカーとインジケータを一度に編集して比較することができます！</t>
  </si>
  <si>
    <t>대화형 차트를 사용하면 여러 개의 티커 및 지표를 동시에 편집하고 비교할 수 있습니다!</t>
  </si>
  <si>
    <t>Carta interaktif membolehkan anda menyunting dan membandingkan beberapa penanda dan penunjuk sekaligus!</t>
  </si>
  <si>
    <t>Met interactieve grafieken kunt u verschillende tickers en indicatoren in één keer bewerken en vergelijken!</t>
  </si>
  <si>
    <t>Interaktive diagrammer lar deg redigere og sammenligne flere tickere og indikatorer samtidig!</t>
  </si>
  <si>
    <t>Wykresy interaktywne pozwalają Ci edytowac i porównywać kilka instrumentów i wskażników jednocześnie.</t>
  </si>
  <si>
    <t>Gráficos interativos permitem que edite e compare várias cotações e indicadores de uma vez!</t>
  </si>
  <si>
    <t>Graficele interactive îți permit să editezi și să compari mai multe linii telegraf și indicatori simultan!</t>
  </si>
  <si>
    <t>Интерактивные графики позволяют Вам редактировать и сравнивать несколько тикеров и показателей сразу!</t>
  </si>
  <si>
    <t>Pomocou interaktívnych grafom môžete upravovať a porovnávať niekoľko tickerov a indikátorov naraz!</t>
  </si>
  <si>
    <t>Interaktivni grafikoni omogočajo urejanje in primerjavo več označevalcev in indikatorjev hkrati!</t>
  </si>
  <si>
    <t>Interaktivni grafikoni omogućavaju poređenje više indeksa i indikatora odjednom!</t>
  </si>
  <si>
    <t>Interaktiva diagram låter dig redigera och jämföra flera tickers och indikatorer samtidigt!</t>
  </si>
  <si>
    <t>แผนภูมิเชิงโต้ตอบที่จะช่วยให้คุณได้แก้ไขและเปรียบเทียบ Ticker และตัวชี้วัดหลากหลายแบบในคราวเดียว!</t>
  </si>
  <si>
    <t>Etkileşimli grafikler birden fazla takip ekranı ve göstergeyi tek seferde düzenlemenize ve karşılaştırmanıza olanak tanır!</t>
  </si>
  <si>
    <t>Biểu đồ tương tác cho phép bạn chỉnh sửa và so sánh một số ticker và chỉ báo cùng một lúc!</t>
  </si>
  <si>
    <t>交互的图表允许您同时编辑，比较交易代码和指示</t>
  </si>
  <si>
    <t>on_boarding_message_2_2</t>
  </si>
  <si>
    <t>Create your own portfolio and track performance for stocks in several different layouts!</t>
  </si>
  <si>
    <t>أنشئ محفظة خاصة بك وتتبع الأداء للأسهم في تخطيطات مختلفة!</t>
  </si>
  <si>
    <t>Създайте свое собствено портфолио и проследявайте ефективността на акциите с няколко различни оформления!</t>
  </si>
  <si>
    <t>Vytvořte si vlastní portfolio a sledujte výkonnost akcií v několika různých rozloženích!</t>
  </si>
  <si>
    <t>Opret din egen portefølje og følg aktiers ydeevne i flere forskellige layouts!</t>
  </si>
  <si>
    <t>Erstellen Sie Ihr eigenes Musterdepot und verfolgen Sie die Entwicklung Ihrer Aktien in mehreren verschiedenen Layouts!</t>
  </si>
  <si>
    <t>Δημιουργήστε το δικό σας χαρτοφυλάκιο και παρακολουθήστε την απόδοση μετοχών σε πολλές διαφορετικές διατάξεις!</t>
  </si>
  <si>
    <t>¡Cree su propia cartera y sigua la evolución de sus acciones en diferentes formatos!</t>
  </si>
  <si>
    <t>Luo oma salkku ja seuraa osakkeiden tuottavuutta useilla eri asetteluilla!</t>
  </si>
  <si>
    <t>Créer votre propre portefeuille et suivre la performance d\'actions, dans plusieurs configurations différentes !</t>
  </si>
  <si>
    <t>कई विभिन्न लेआउटों में स्टॉक के लिए अपना स्वयं का पोर्टफोलियो और ट्रैक प्रदर्शन सृजित करें!</t>
  </si>
  <si>
    <t>Készítse el saját portfolióját és kövesse részvényeinek teljesítményét több különböző elrendezésben.</t>
  </si>
  <si>
    <t>Buat portfolio dan kinerja trek anda sendiri untuk stok dalam beberapa tata letak yang berbeda!</t>
  </si>
  <si>
    <t>Create il vostro proprio portafoglio e seguite le prestazioni per i titoli in molti differenti schemi!</t>
  </si>
  <si>
    <t>צור תיק השקעות משלך ועקוב אחר ביצועים של מניות בכמה פריסות שונות!</t>
  </si>
  <si>
    <t>あなたのポートフォリオを作成し、いろいろなレイアウトで株式のパフォーマンスを把握してください。</t>
  </si>
  <si>
    <t>나만의 포트폴리오를 만들고 다양한 레이아웃으로 구성된 주식의 실적을 추적하세요!</t>
  </si>
  <si>
    <t>Wujudkan portfolio dan prestasi trek anda yang sendiri untuk stok dalam beberapa susun atur yang berbeza!</t>
  </si>
  <si>
    <t>Maak je eigen portefeuille en volg de prestaties voor aandelen in verschillende lay-outs!</t>
  </si>
  <si>
    <t>Lag din egen portefølje og følg ytelsen for aksjer i flere forskjellige oppsett!</t>
  </si>
  <si>
    <t>Stwórz własny portfel i śledź jego wynik!</t>
  </si>
  <si>
    <t>Crie a sua própria carteira e controle o seu desempenho de ações com disposições diferentes!</t>
  </si>
  <si>
    <t>Crează-ți propriul portofoliu și urmărește performanța valorilor din mai multe machete diferite!</t>
  </si>
  <si>
    <t>Создайте свой собственный портфель и следите за результатами акций в нескольких различных компоновках!</t>
  </si>
  <si>
    <t>Vytvorte si vlastné portfólio a sledujte výkon akcií v niekoľkých rôznych schémach!</t>
  </si>
  <si>
    <t>Ustvarite svoj portfelj in sledite uspešnosti zalog v več različnih postavitvah!</t>
  </si>
  <si>
    <t>Kreiraj svoj portfolio i prati performanse akcija u nekoliko različitih pogleda!</t>
  </si>
  <si>
    <t>Skapa din egen portfölj och spåra prestanda för aktier i flera olika layouter!</t>
  </si>
  <si>
    <t>สร้างพอร์ตของตัวเองและติดตามประสิทธิภาพการแสดงผลในหลากหลายรูปแบบ</t>
  </si>
  <si>
    <t>Kendi portföyünüzü oluşturun ve hisse senedi performansını çeşitli düzenlerde izleyin!</t>
  </si>
  <si>
    <t>Tạo danh mục đầu tư của riêng bạn và theo dõi hiệu suất của các mã cổ phiếu theo các bố cục khác nhau!</t>
  </si>
  <si>
    <t>建立自己的投资组合，追踪股价表现还用几种不同的布局!</t>
  </si>
  <si>
    <t>tt_info</t>
  </si>
  <si>
    <t>Information</t>
  </si>
  <si>
    <t>المعلومات</t>
  </si>
  <si>
    <t>Информация</t>
  </si>
  <si>
    <t>Informace</t>
  </si>
  <si>
    <t>Πληροφορίες</t>
  </si>
  <si>
    <t>Información</t>
  </si>
  <si>
    <t>Tietoa</t>
  </si>
  <si>
    <t>जानकारी</t>
  </si>
  <si>
    <t>Információ</t>
  </si>
  <si>
    <t>Informasi</t>
  </si>
  <si>
    <t>Informazione</t>
  </si>
  <si>
    <t>מידע</t>
  </si>
  <si>
    <t>インフォメーション</t>
  </si>
  <si>
    <t>정보</t>
  </si>
  <si>
    <t>Maklumat</t>
  </si>
  <si>
    <t>Informatie</t>
  </si>
  <si>
    <t>Informasjon</t>
  </si>
  <si>
    <t>Informacja</t>
  </si>
  <si>
    <t>Informação</t>
  </si>
  <si>
    <t>Informații</t>
  </si>
  <si>
    <t>Informácie</t>
  </si>
  <si>
    <t>Informacije</t>
  </si>
  <si>
    <t>Bilgi</t>
  </si>
  <si>
    <t>Thông tin</t>
  </si>
  <si>
    <t>资讯</t>
  </si>
  <si>
    <t>&gt;資訊</t>
  </si>
  <si>
    <t>on_boarding_message_2_1</t>
  </si>
  <si>
    <t>Monitor your favorite indices, stocks, currencies, commodities, and more through the use of watchlists!</t>
  </si>
  <si>
    <t>راقب المؤشرات والأسهم والعملات والسلع المفضلة لديك، والمزيد من خلال استخدام قوائم المتابعة!</t>
  </si>
  <si>
    <t>Наблюдавайте любимите си индекси, акции, валути, стоки и други чрез използване на уочлисти!</t>
  </si>
  <si>
    <t>Monitorujte své oblíbené indexy, akcie, měny, komodity a další pomocí seznamů sledovaných!</t>
  </si>
  <si>
    <t>Overvåg dine yndlingsindeks, aktier, valutaer, råvarer og mere ved hjælp af overvågningslister!</t>
  </si>
  <si>
    <t>Beobachten Sie die für Sie wichtigen Indizes, Aktien, Währungen, Rohstoffe und mehr mittels der Watchlisten!</t>
  </si>
  <si>
    <t>Παρακολουθήστε τους αγαπημένους σας δείκτες, μετοχές, νομίσματα, εμπορεύματα και πολλά άλλα μέσω της χρήσης λιστών παρακολούθησης!</t>
  </si>
  <si>
    <t>¡Monitorice sus índices, acciones, divisas, derivados favoritos y más con el uso de listas</t>
  </si>
  <si>
    <t>Seuraa suosikki-indeksejäsi, osakkeitasi, valuuttoja, hyödykkeitä ja muuta tarkkailulistojen avulla!</t>
  </si>
  <si>
    <t>Surveiller vos indices, actions, matières-premières, et devises préférés, et encore plus en utilisant les Watchlists !</t>
  </si>
  <si>
    <t>वॉचलिस्टों का उपयोग करके अपने पसंदीदा सूचकांकों, स्टॉक, मुद्राओं, कमोडिटीज इत्यादि पर नज़र रखें!</t>
  </si>
  <si>
    <t>Figyelje kedvenc indexeit, részvényeit, devizáit, árupiaci termékeit Figyelőlistája segítségével.</t>
  </si>
  <si>
    <t>Pantau indeks favorit anda, saham, mata uang, komoditas, dan lainnya melalui penggunaan daftar pantauan!</t>
  </si>
  <si>
    <t>Monitorare i vostri indici favoriti, i titoli, le valute, e materie prime, e molto altro attraverso la vostra watchlist!</t>
  </si>
  <si>
    <t>עקוב אחר המדדים המועדפים עליך, מניות, מטבעות, סחורות ועוד באמצעות רשימות מעקב!</t>
  </si>
  <si>
    <t>ウォッチリストを使用して、お気に入りのインデックス、株式、通貨、コモディティ等をモニターしてください。</t>
  </si>
  <si>
    <t>보기목록을 사용하여 좋아하는 지표, 주식, 통화, 상품 등을 모니터링하세요!</t>
  </si>
  <si>
    <t>Pantau indeks kegemaran anda, saham, mata wang, komoditi, dan banyak lagi melalui penggunaan senarai pantau!</t>
  </si>
  <si>
    <t>Volg uw favoriete indices, aandelen, valuta\'s, grondstoffen en meer door het gebruik van watchlists!</t>
  </si>
  <si>
    <t>Overvåk dine favorittindekser, aksjer, valutaer, råvarer og mer gjennom bruk av overvåkningslister!</t>
  </si>
  <si>
    <t>Obserwuj swoje ulubione indeksy, akcje, waluty, surowce i inne poprzez listę obserwowanych.</t>
  </si>
  <si>
    <t>Monitore seus índices, ações, moedas, commodities favoritos, e mais através do uso de listas de visualização!</t>
  </si>
  <si>
    <t>Monitorizează indici, valori, valute, mărfuri și multe altele, prin utilizarea de liste de urmărire!</t>
  </si>
  <si>
    <t>Следите за своими любимыми индексами, акциями, валютами, сырьевыми товарами и другим, используя наши списки!</t>
  </si>
  <si>
    <t>Sledujte svoje obľúbené indexy, cenné papiere, meny, komodity atď. pomocou sledovaných zoznamov!</t>
  </si>
  <si>
    <t>Spremljajte svoje najljubše indekse, zaloge, valute, blago in drugo z uporabo seznamov ogledov!</t>
  </si>
  <si>
    <t>Nadgledaj indekse, berze, valute, robu i još mnogo toga korišćenjem Watch lista!</t>
  </si>
  <si>
    <t>Övervaka dina favoritindex, aktier, valutor, råvaror och mer genom att använda bevakningslistor!</t>
  </si>
  <si>
    <t>ตามติดดัชนี หุ้น สกุลเงิน สินค้าโภคภัณฑ์รายการโปรดและอื่นๆอีกมากมายผ่านการใช้ระบบรายการหุ้นที่ติดตาม</t>
  </si>
  <si>
    <t>İzleme listelerini kullanarak en sevdiğiniz endeksleri, hisse senetlerini, para birimlerini, emtiaları ve daha fazlasını izleyin!</t>
  </si>
  <si>
    <t>Theo dõi các chỉ số, cổ phiếu, tiền tệ, hàng hóa yêu thích của bạn và hơn thế nữa bằng cách sử dụng danh mục theo dõi!</t>
  </si>
  <si>
    <t>用收藏夹为了监测您最爱的指数、股票、货币、商品等等！</t>
  </si>
  <si>
    <t>tt_account_settings</t>
  </si>
  <si>
    <t>Account settings</t>
  </si>
  <si>
    <t>إعدادت الحساب</t>
  </si>
  <si>
    <t>Настройки на акаунта</t>
  </si>
  <si>
    <t>Nastavení účtu</t>
  </si>
  <si>
    <t>Brugerindstillinger</t>
  </si>
  <si>
    <t>Ρυθμίσεις λογαριασμού</t>
  </si>
  <si>
    <t>Configuración de la cuenta</t>
  </si>
  <si>
    <t>Tilin asetukset</t>
  </si>
  <si>
    <t>Paramètres de votre compte</t>
  </si>
  <si>
    <t>खाते की सेटिंग</t>
  </si>
  <si>
    <t>Pengaturan akun</t>
  </si>
  <si>
    <t>Impostazioni dell conto</t>
  </si>
  <si>
    <t>הגדרות חשבון</t>
  </si>
  <si>
    <t>アカウントの設定</t>
  </si>
  <si>
    <t>계정 설정</t>
  </si>
  <si>
    <t>Tetapan akaun</t>
  </si>
  <si>
    <t>Account instellingen</t>
  </si>
  <si>
    <t>Kontoinnstillinger</t>
  </si>
  <si>
    <t>Ustawienia konta</t>
  </si>
  <si>
    <t>Configurações da conta</t>
  </si>
  <si>
    <t>Setările contului</t>
  </si>
  <si>
    <t>Настройки учетной записи</t>
  </si>
  <si>
    <t>Nastavenia účtu</t>
  </si>
  <si>
    <t>Nastavitve računa</t>
  </si>
  <si>
    <t>Setovanje naloga</t>
  </si>
  <si>
    <t>การตั้งค่าบัญชี</t>
  </si>
  <si>
    <t>Hesap ayarları</t>
  </si>
  <si>
    <t>Cài đặt tài khoản</t>
  </si>
  <si>
    <t>帐户设置</t>
  </si>
  <si>
    <t>&gt;帳戶設置</t>
  </si>
  <si>
    <t>liechtenstein</t>
  </si>
  <si>
    <t>Liechtenstein</t>
  </si>
  <si>
    <t>Лихтенштейн</t>
  </si>
  <si>
    <t>Lihtenštajn</t>
  </si>
  <si>
    <t>on_boarding_message_2_0</t>
  </si>
  <si>
    <t>Discover all our optimized features including real-time prices, currency calculator, and much more ...</t>
  </si>
  <si>
    <t>اكتشف جميع الميزات المحسنة لدينا بما في ذلك الأسعار في الوقت الفعلي، وحاسبة العملات، وغيرها الكثير...</t>
  </si>
  <si>
    <t>Открийте всички наши оптимизирани функции, включително цени в реално време, валутен калкулатор и много други ...</t>
  </si>
  <si>
    <t>Objevte všechny naše optimalizované funkce včetně cen v reálném čase, kalkulačky měn a mnoha dalšího...</t>
  </si>
  <si>
    <t>Oplev alle vores optimerede funktioner inklusive priser i realtid, valutaomregner og meget mere ...</t>
  </si>
  <si>
    <t>Entdecken Sie all unsere optimierten Features, inklusive Echtzeitkursen, Währungsrechner und vielem mehr…</t>
  </si>
  <si>
    <t>Ανακαλύψτε όλες τις βελτιστοποιημένες δυνατότητές μας, όπως τιμές σε πραγματικό χρόνο, υπολογιστής συναλλάγματος και πολλά άλλα ...</t>
  </si>
  <si>
    <t>Descubra todas nuestras funciones optimizadas, incluyendo precios en tiempo real, conversor de divisas y mucho más…</t>
  </si>
  <si>
    <t>Tutustu kaikkiin optimoituihin ominaisuuksiin, mukaan lukien reaaliaikaiset hinnat, valuuttalaskin ja paljon muuta ...</t>
  </si>
  <si>
    <t>Découvrir toutes les fonctionnalités optimisées y compris les prix en temps réel, convertisseur de devises, et bien plus...</t>
  </si>
  <si>
    <t>रियल-टाइम कीमतों, मुद्रा कैलकुलेटर इत्यादि सहित हमारे सभी इष्टतम विशेषताओं का पता लगाएँ...</t>
  </si>
  <si>
    <t>Fedezze fel az összes új funkciót, valós idejű árfolyamokat, deviza kalkulátort, és sok minden mást...</t>
  </si>
  <si>
    <t>Temukan semua fitur kami yang dioptimalkan termasuk harga real-time, kalkulator mata uang, dan banyak lagi ...</t>
  </si>
  <si>
    <t>Scoprite tutte le caratteristiche ottimizzate includendo i prezzi nel tempo reale, convertitore delle valute, e molto altro...</t>
  </si>
  <si>
    <t>גלה את כל התכונות הממוטבות שלנו, כולל מחירים בזמן אמת, מחשבון מטבע ועוד ועוד ...</t>
  </si>
  <si>
    <t>リアルタイムプライス、通貨コンバーター等、最適化された機能をすべてご覧ください。</t>
  </si>
  <si>
    <t>실시간 가격, 통화 계산기 등 수많은 최적화된 기능을 모두 찾아보세요.</t>
  </si>
  <si>
    <t>Ketahui semua ciri kami yang dioptimumkan termasuk harga masa nyata, kalkulator mata wang, dan banyak lagi ...</t>
  </si>
  <si>
    <t>Ontdek al onze geoptimaliseerde functies, inclusief realtime prijzen, valutarekenmachine en nog veel meer ...</t>
  </si>
  <si>
    <t>Oppdag alle våre optimaliserte funksjoner inkludert sanntidspriser, valutakalkulator og mye mer ...</t>
  </si>
  <si>
    <t>Odkryj wszystkie poprawione funkcje m.in ceny w czasie rzeczywistym, kalkulator walut i wiele innych</t>
  </si>
  <si>
    <t>Descubra todos os nossos recursos otimizados incluindo os preços em tempo real, calculadora da moeda corrente, e muito mais ...</t>
  </si>
  <si>
    <t>Descoperă toate funcțiunile noastre optimizate, inclusiv prețurile în timp real, calculatorul valutar și multe altele ...</t>
  </si>
  <si>
    <t>Откройте для себя все наши оптимизированные функции, в том числе цены в реальном времени, валютный калькулятор и многое другое...</t>
  </si>
  <si>
    <t>Objavte všetky naše optimalizované funkcie, ktoré zahŕňajú ceny v reálnom čase, menovú kalkulačku a ešte oveľa viac ...</t>
  </si>
  <si>
    <t>Odkrijte vse naše optimizirane funkcije, vključno s cenami v realnem času, kalkulatorjem valut in še veliko več ...</t>
  </si>
  <si>
    <t>Istraži sve naše optimizovane procedure, uključujući real-time cene, kalkulator valuta, i još mnogo toga ...</t>
  </si>
  <si>
    <t>Utforska alla våra optimerade funktioner inklusive priser i realtid, valutakalkylator och mycket mer ...</t>
  </si>
  <si>
    <t>พบกับคุณสมบัติทั้งหมดที่สร้างมาอย่างเหมาะสม รวมทั้ง ราคาแบบเรียลไทม์ สกุลเงิน เครื่องคิดเลขและอื่นๆอีกมากมายนับไม่ถ้วย ...</t>
  </si>
  <si>
    <t>Gerçek zamanlı fiyatlar, para birimi hesaplayıcı ve çok daha fazlası dahil olmak üzere tüm optimize edilmiş özelliklerimizi keşfedin ....</t>
  </si>
  <si>
    <t>Khám phá tất cả các tính năng tối ưu của chúng tôi như giá thời gian thực, máy tính tiền tệ, v.v.</t>
  </si>
  <si>
    <t>发现我们所有的优化功能、包括即时报价、货币计算器等等</t>
  </si>
  <si>
    <t>tt_mail_android_body</t>
  </si>
  <si>
    <t>Sent by baha Android App</t>
  </si>
  <si>
    <t>تم الإرسال بواسطة تطبيق TeleTrader Android</t>
  </si>
  <si>
    <t>Изпратено от TeleTrader Android App</t>
  </si>
  <si>
    <t>Odesláno z aplikace TeleTrader pro Android</t>
  </si>
  <si>
    <t>Sendt af TeleTrader Android-app</t>
  </si>
  <si>
    <t>Gesendet von der baha Android App</t>
  </si>
  <si>
    <t>Εστάλη από την εφαρμογή TeleTrader για Android</t>
  </si>
  <si>
    <t>Enviado por TeleTrader Android App</t>
  </si>
  <si>
    <t>Lähettäjä TeleTrader Android -sovellus</t>
  </si>
  <si>
    <t>Envoyé par TeleTrader Android App</t>
  </si>
  <si>
    <t>टेलीट्रेडर एंड्रॉइड ऐप द्वारा भेजा गया</t>
  </si>
  <si>
    <t>TeleTrader Android App-ről küldve</t>
  </si>
  <si>
    <t>Diposting oleh Aplikasi Android TeleTrader</t>
  </si>
  <si>
    <t>Inviato da TeleTrader Android App</t>
  </si>
  <si>
    <t>נשלח על ידי אפליקציית אנדרואיד TeleTrader</t>
  </si>
  <si>
    <t>TeleTrader Android Appにより送信</t>
  </si>
  <si>
    <t>TeleTrader 안드로이드 앱에서 전송</t>
  </si>
  <si>
    <t>Dihantar oleh Aplikasi Android TeleTrader</t>
  </si>
  <si>
    <t>Gestuurd door Teletrader Android App</t>
  </si>
  <si>
    <t>Sendt av TeleTrader Android-app</t>
  </si>
  <si>
    <t>Wysłane przez TeleTrader Android App</t>
  </si>
  <si>
    <t>Trimis de Aplicația TeleTrader Android</t>
  </si>
  <si>
    <t>Отправлено приложением baha для Android</t>
  </si>
  <si>
    <t>Poslané aplikáciou TeleTrader pre Android</t>
  </si>
  <si>
    <t>Poslala aplikacija TeleTrader Android</t>
  </si>
  <si>
    <t>Poslato sa TeleTrader StockMarkets Aplikacije</t>
  </si>
  <si>
    <t>Skickat med TeleTrader Android-app</t>
  </si>
  <si>
    <t>ส่งโดยแอป TeleTrader สำหรับแอนดรอยด์</t>
  </si>
  <si>
    <t>TeleTrader Android Uygulaması ile gönderildi</t>
  </si>
  <si>
    <t>Gửi bởi ứng dụng TeleTrader trên Android</t>
  </si>
  <si>
    <t>由TeleTrader Android 应用程式发送</t>
  </si>
  <si>
    <t>&gt;由TeleTrader Android 應用程式發送</t>
  </si>
  <si>
    <t>share_event</t>
  </si>
  <si>
    <t>Event</t>
  </si>
  <si>
    <t>Evento</t>
  </si>
  <si>
    <t>événement</t>
  </si>
  <si>
    <t>Események</t>
  </si>
  <si>
    <t>Событие</t>
  </si>
  <si>
    <t>tt_period_intraday5</t>
  </si>
  <si>
    <t>5 Minutes</t>
  </si>
  <si>
    <t>5 минути</t>
  </si>
  <si>
    <t>5 minut</t>
  </si>
  <si>
    <t>5 minutter</t>
  </si>
  <si>
    <t>5 Minuten</t>
  </si>
  <si>
    <t>5 λεπτά</t>
  </si>
  <si>
    <t>5 minuuttia</t>
  </si>
  <si>
    <t>5 मिनट</t>
  </si>
  <si>
    <t>5 menit</t>
  </si>
  <si>
    <t>5 Minuti</t>
  </si>
  <si>
    <t>5 דקות</t>
  </si>
  <si>
    <t>5 minit</t>
  </si>
  <si>
    <t>5 minuten</t>
  </si>
  <si>
    <t>5-minutters</t>
  </si>
  <si>
    <t>5 minuty</t>
  </si>
  <si>
    <t>5 Minutos</t>
  </si>
  <si>
    <t>5 Minute</t>
  </si>
  <si>
    <t>5 минут</t>
  </si>
  <si>
    <t>5 minút</t>
  </si>
  <si>
    <t>5 minuter</t>
  </si>
  <si>
    <t>5 Dakika</t>
  </si>
  <si>
    <t>install</t>
  </si>
  <si>
    <t>Install</t>
  </si>
  <si>
    <t>تثبيت</t>
  </si>
  <si>
    <t>Инсталиране</t>
  </si>
  <si>
    <t>Instal·la</t>
  </si>
  <si>
    <t>Installieren</t>
  </si>
  <si>
    <t>Instalar</t>
  </si>
  <si>
    <t>Installer</t>
  </si>
  <si>
    <t>Telepít</t>
  </si>
  <si>
    <t>Pasang</t>
  </si>
  <si>
    <t>Installa</t>
  </si>
  <si>
    <t>インストール</t>
  </si>
  <si>
    <t>설치</t>
  </si>
  <si>
    <t>Installeren</t>
  </si>
  <si>
    <t>Zainstaluj</t>
  </si>
  <si>
    <t>Установка</t>
  </si>
  <si>
    <t>Inštalovať</t>
  </si>
  <si>
    <t>Инсталирај</t>
  </si>
  <si>
    <t>Installera</t>
  </si>
  <si>
    <t>Встановити</t>
  </si>
  <si>
    <t>安裝</t>
  </si>
  <si>
    <t>tt_ind_momentum_short</t>
  </si>
  <si>
    <t>Impulso</t>
  </si>
  <si>
    <t>foreground_service_channel_description</t>
  </si>
  <si>
    <t>This notification category is used to display a permanent notification indicating that Conversations is running.</t>
  </si>
  <si>
    <t>Тази категория известия се използва за показване на постоянно известие, което показва, че Conversations работи.</t>
  </si>
  <si>
    <t>Diese Benachrichtigungsart wird verwendet, um eine permanente Benachrichtigung anzuzeigen, die anzeigt, dass Conversations gerade ausgeführt wird.</t>
  </si>
  <si>
    <t>Esta categoría de notificación se usa para mostrar una notificación permantente indicando que Conversations está ejecutándose.</t>
  </si>
  <si>
    <t>Cette catégorie de notification est utilisée pour afficher une notification permanente indiquant que Conversations est en cours.</t>
  </si>
  <si>
    <t>Esta categoría de notificacións utilízase para mostrar unha notificación permanente indicando que Conversations está a funcionar.</t>
  </si>
  <si>
    <t>Ez az értesítési kategória állandó értesítést jelenít meg arról, hogy a Conversation fut.</t>
  </si>
  <si>
    <t>Questa categoria di notifiche è usata per mostrare una notifica permanente per indicare che Conversations è in esecuzione.</t>
  </si>
  <si>
    <t>Deze meldingscategorie wordt gebruikt om een permanente melding weer te geven dat Conversations wordt uitgevoerd.</t>
  </si>
  <si>
    <t>Ta kategoria powiadomień jest używana aby wyświetlać stałe powiadomienie oznaczające, że Conversations działa</t>
  </si>
  <si>
    <t>tt_crosshair</t>
  </si>
  <si>
    <t>Show Crosshair</t>
  </si>
  <si>
    <t>عرض التقاطع</t>
  </si>
  <si>
    <t>Покажи мерник</t>
  </si>
  <si>
    <t>Zobrazit nitkový kříž</t>
  </si>
  <si>
    <t>Vis Crosshair</t>
  </si>
  <si>
    <t>Fadenkreuz anzeigen</t>
  </si>
  <si>
    <t>Εμφάνιση Crosshair</t>
  </si>
  <si>
    <t>Mostrar un punto de mira</t>
  </si>
  <si>
    <t>Näytä ristikko</t>
  </si>
  <si>
    <t>Afficher réticule</t>
  </si>
  <si>
    <t>क्रॉसहेयर को प्रदर्शित करें</t>
  </si>
  <si>
    <t>Célkereszt mutatása</t>
  </si>
  <si>
    <t>Tunjukkan Garis Lintang</t>
  </si>
  <si>
    <t>Presenta Crosshair</t>
  </si>
  <si>
    <t>הצג קרוסאייר</t>
  </si>
  <si>
    <t>十字線</t>
  </si>
  <si>
    <t>십자선 표시</t>
  </si>
  <si>
    <t>Laat Crosshair zien</t>
  </si>
  <si>
    <t>Vis trådkors</t>
  </si>
  <si>
    <t>Wskaźnik Crosshair</t>
  </si>
  <si>
    <t>Mostrar crosshair</t>
  </si>
  <si>
    <t>Afișează Crosshair (Cruce)</t>
  </si>
  <si>
    <t>Показать в виде перекрестия</t>
  </si>
  <si>
    <t>Zobraziť crosshair</t>
  </si>
  <si>
    <t>Pokaži križno dlako</t>
  </si>
  <si>
    <t>Prikaži nišan</t>
  </si>
  <si>
    <t>Visa kors</t>
  </si>
  <si>
    <t>แสดงกราฟครอสแฮร์</t>
  </si>
  <si>
    <t>İmleci göster</t>
  </si>
  <si>
    <t>Hiển thị tiêu điểm</t>
  </si>
  <si>
    <t>显示十字准线</t>
  </si>
  <si>
    <t>&gt;顯示十字准線</t>
  </si>
  <si>
    <t>tt_error</t>
  </si>
  <si>
    <t>خطأ</t>
  </si>
  <si>
    <t>Chyba</t>
  </si>
  <si>
    <t>Fejl</t>
  </si>
  <si>
    <t>Σφάλμα</t>
  </si>
  <si>
    <t>Virhe</t>
  </si>
  <si>
    <t>त्रुटि</t>
  </si>
  <si>
    <t>Masalah</t>
  </si>
  <si>
    <t>שגיאה</t>
  </si>
  <si>
    <t>エラー</t>
  </si>
  <si>
    <t>오류</t>
  </si>
  <si>
    <t>Feil</t>
  </si>
  <si>
    <t>Eroare</t>
  </si>
  <si>
    <t>Napaka</t>
  </si>
  <si>
    <t>Greška</t>
  </si>
  <si>
    <t>Fel</t>
  </si>
  <si>
    <t>ความขัดข้อง</t>
  </si>
  <si>
    <t>Hata</t>
  </si>
  <si>
    <t>Lỗi</t>
  </si>
  <si>
    <t>错误</t>
  </si>
  <si>
    <t>&gt;錯誤</t>
  </si>
  <si>
    <t>tt_period_intraday1</t>
  </si>
  <si>
    <t>1 Minute</t>
  </si>
  <si>
    <t>1 minuta</t>
  </si>
  <si>
    <t>1 minut</t>
  </si>
  <si>
    <t>1 Minuto</t>
  </si>
  <si>
    <t>1 minuut</t>
  </si>
  <si>
    <t>1 minutt</t>
  </si>
  <si>
    <t>1 Minut</t>
  </si>
  <si>
    <t>1 Dakika</t>
  </si>
  <si>
    <t>tt_social_networks_no_google_account_found</t>
  </si>
  <si>
    <t>There is no Google account.</t>
  </si>
  <si>
    <t>لا يوجد حساب Google.</t>
  </si>
  <si>
    <t>Няма профил в Google.</t>
  </si>
  <si>
    <t>Není žádný účet Google.</t>
  </si>
  <si>
    <t>Der er ingen Google-konto.</t>
  </si>
  <si>
    <t>Kein Google Benutzerkonto vorhanden!</t>
  </si>
  <si>
    <t>Δεν υπάρχει λογαριασμός Google.</t>
  </si>
  <si>
    <t>No hay una cuenta de Google</t>
  </si>
  <si>
    <t>Google-tiliä ei ole.</t>
  </si>
  <si>
    <t>Nous n\'avons pas trouvé le compte Google correspondant</t>
  </si>
  <si>
    <t>कोई गूगल खाता नहीं मौजूद है।</t>
  </si>
  <si>
    <t>Tidak ada akun Google.</t>
  </si>
  <si>
    <t>Non c\'è Google conto</t>
  </si>
  <si>
    <t>אין חשבון גוגל</t>
  </si>
  <si>
    <t>Googleアカウントがありません</t>
  </si>
  <si>
    <t>구글 계정이 없습니다.</t>
  </si>
  <si>
    <t>Tiada akaun Google.</t>
  </si>
  <si>
    <t>Er is geen Google account.</t>
  </si>
  <si>
    <t>Det er ingen Google-konto.</t>
  </si>
  <si>
    <t>Nie ma konta Google.</t>
  </si>
  <si>
    <t>Não há nenhuma conta google</t>
  </si>
  <si>
    <t>Nu există niciun cont Google.</t>
  </si>
  <si>
    <t>Учетная запись Google отсутствует</t>
  </si>
  <si>
    <t>Neexistuje žiadny Google účet.</t>
  </si>
  <si>
    <t>Ni Google računa.</t>
  </si>
  <si>
    <t>Google nalog ne postoji</t>
  </si>
  <si>
    <t>Det finns inget Google-konto.</t>
  </si>
  <si>
    <t>ไม่พบบัญชี Google</t>
  </si>
  <si>
    <t>Google hesabı yok.</t>
  </si>
  <si>
    <t>Không có tài khoản Google.</t>
  </si>
  <si>
    <t>无Google帐户存在</t>
  </si>
  <si>
    <t>&gt;無google帳戶存在</t>
  </si>
  <si>
    <t>title_pref_quiet_hours_end_time</t>
  </si>
  <si>
    <t>End time</t>
  </si>
  <si>
    <t>وقت النهاية</t>
  </si>
  <si>
    <t>Край</t>
  </si>
  <si>
    <t>Hora de finalització</t>
  </si>
  <si>
    <t>Ende</t>
  </si>
  <si>
    <t>Hora de fin</t>
  </si>
  <si>
    <t>Heure de fin</t>
  </si>
  <si>
    <t>Hora de finalización</t>
  </si>
  <si>
    <t>Befejezése</t>
  </si>
  <si>
    <t>Waktu selesai</t>
  </si>
  <si>
    <t>Orario fine</t>
  </si>
  <si>
    <t>終了時間</t>
  </si>
  <si>
    <t>마감 시간</t>
  </si>
  <si>
    <t>Eindtijd</t>
  </si>
  <si>
    <t>Koniec</t>
  </si>
  <si>
    <t>Hora de fim</t>
  </si>
  <si>
    <t>Окончание</t>
  </si>
  <si>
    <t>Čas konca</t>
  </si>
  <si>
    <t>Време завршетка</t>
  </si>
  <si>
    <t>Sluttid</t>
  </si>
  <si>
    <t>Час завершення</t>
  </si>
  <si>
    <t>Thời gian kết thúc</t>
  </si>
  <si>
    <t>結束時間</t>
  </si>
  <si>
    <t>not_connected_try_again</t>
  </si>
  <si>
    <t>You are not connected. Try again later</t>
  </si>
  <si>
    <t>انقطع الإتصال .. حاول مرة أخرى</t>
  </si>
  <si>
    <t>Не сте свързани. Опитайте отново по-късно</t>
  </si>
  <si>
    <t>No estàs connectat. Intenta-ho més tard</t>
  </si>
  <si>
    <t>Nicht verbunden, bitte später versuchen</t>
  </si>
  <si>
    <t>No estás conectado. Inténtalo más tarde</t>
  </si>
  <si>
    <t>Vous n\'êtes pas connecté. Essayez plus tard.</t>
  </si>
  <si>
    <t>Non está conectada. Inténteo máis tarde</t>
  </si>
  <si>
    <t>Nem kapcsolódik. Próbálja újra később</t>
  </si>
  <si>
    <t>Anda tidak terhubung. Coba lagi nanti</t>
  </si>
  <si>
    <t>Non sei connesso. Riprova più tardi</t>
  </si>
  <si>
    <t>接続されていません。後でもう一度お試しください</t>
  </si>
  <si>
    <t>접속중이 아닙니다. 다시 시도하세요.</t>
  </si>
  <si>
    <t>Je bent niet verbonden. Probeer later opnieuw</t>
  </si>
  <si>
    <t>Brak połączenia. Spróbuj ponownie później</t>
  </si>
  <si>
    <t>Não está ligado. Tente novamente mais tarde</t>
  </si>
  <si>
    <t>Вы неподключены. Попробуйте позже</t>
  </si>
  <si>
    <t>Nie ste pripojený. Skúste to neskôr</t>
  </si>
  <si>
    <t>Нисте повезани. Покушајте поново касније</t>
  </si>
  <si>
    <t>Du är inte ansluten. Försök igen senare</t>
  </si>
  <si>
    <t>Ви не з\'єднані. Спробуйте ще пізніше.</t>
  </si>
  <si>
    <t>Bạn chưa kết nối mạng. Xin thử lại sau</t>
  </si>
  <si>
    <t>你沒有連接。請稍後重試</t>
  </si>
  <si>
    <t>tt_back</t>
  </si>
  <si>
    <t>Back</t>
  </si>
  <si>
    <t>رجوع</t>
  </si>
  <si>
    <t>Назад</t>
  </si>
  <si>
    <t>Zadní</t>
  </si>
  <si>
    <t>Tilbage</t>
  </si>
  <si>
    <t>Zurück</t>
  </si>
  <si>
    <t>Πίσω</t>
  </si>
  <si>
    <t>Atrás</t>
  </si>
  <si>
    <t>Takaisin</t>
  </si>
  <si>
    <t>Retour</t>
  </si>
  <si>
    <t>वापस जाएँ</t>
  </si>
  <si>
    <t>Kembali</t>
  </si>
  <si>
    <t>Indietro</t>
  </si>
  <si>
    <t>חזור</t>
  </si>
  <si>
    <t>뒤로</t>
  </si>
  <si>
    <t>Terug</t>
  </si>
  <si>
    <t>Tilbake</t>
  </si>
  <si>
    <t>Wróć</t>
  </si>
  <si>
    <t>Voltar</t>
  </si>
  <si>
    <t>Înapoi</t>
  </si>
  <si>
    <t>Späť</t>
  </si>
  <si>
    <t>Nazaj</t>
  </si>
  <si>
    <t>Nazad</t>
  </si>
  <si>
    <t>Tillbaka</t>
  </si>
  <si>
    <t>Geri</t>
  </si>
  <si>
    <t>Trở lại</t>
  </si>
  <si>
    <t>返回</t>
  </si>
  <si>
    <t>&gt;返回</t>
  </si>
  <si>
    <t>attach_choose_picture</t>
  </si>
  <si>
    <t>Choose picture</t>
  </si>
  <si>
    <t>اختيار صورة</t>
  </si>
  <si>
    <t>Изберете снимка</t>
  </si>
  <si>
    <t>Tria una imatge</t>
  </si>
  <si>
    <t>Bild auswählen</t>
  </si>
  <si>
    <t>Seleccionar imagen</t>
  </si>
  <si>
    <t>Choisir une image</t>
  </si>
  <si>
    <t>Seleccionar imaxe</t>
  </si>
  <si>
    <t>Kép kiválasztása</t>
  </si>
  <si>
    <t>Pilih gambar</t>
  </si>
  <si>
    <t>Scegli un’immagine</t>
  </si>
  <si>
    <t>写真の選択</t>
  </si>
  <si>
    <t>사진 선택</t>
  </si>
  <si>
    <t>Afbeelding kiezen</t>
  </si>
  <si>
    <t>Wybierz obraz</t>
  </si>
  <si>
    <t>Escolher imagem</t>
  </si>
  <si>
    <t>Выбрать изображение</t>
  </si>
  <si>
    <t>Vybrať obrázok</t>
  </si>
  <si>
    <t>Изабери слику</t>
  </si>
  <si>
    <t>Välj bild</t>
  </si>
  <si>
    <t>Вибрати зображення</t>
  </si>
  <si>
    <t>Chọn hình</t>
  </si>
  <si>
    <t>選擇圖片</t>
  </si>
  <si>
    <t>tt_show_news_ticker</t>
  </si>
  <si>
    <t>Show News Ticker</t>
  </si>
  <si>
    <t>عرض شريط أخبار التداول</t>
  </si>
  <si>
    <t>Покажи тикер за новини</t>
  </si>
  <si>
    <t>Zobrazit ticker zpráv</t>
  </si>
  <si>
    <t>Vis nyheds Ticker</t>
  </si>
  <si>
    <t>News Ticker anzeigen</t>
  </si>
  <si>
    <t>Εμφάνιση Ticker ειδήσεων</t>
  </si>
  <si>
    <t>Mostrar noticias de Ticker</t>
  </si>
  <si>
    <t>Näytä uutisnauha</t>
  </si>
  <si>
    <t>Afficher le lecteur de nouvelles</t>
  </si>
  <si>
    <t>न्यूज टिकर को प्रदर्शित करें</t>
  </si>
  <si>
    <t>News Ticker mutatása</t>
  </si>
  <si>
    <t>Tampilkan tampilan Berita</t>
  </si>
  <si>
    <t>Mostra scorrevole di notizie</t>
  </si>
  <si>
    <t>הצג טיקר חדשות</t>
  </si>
  <si>
    <t>ニュースティッカーを表示する</t>
  </si>
  <si>
    <t>뉴스 티커 표시</t>
  </si>
  <si>
    <t>Tunjukkan Paparan Berita</t>
  </si>
  <si>
    <t>Laat News Ticker zien</t>
  </si>
  <si>
    <t>Vis nyhetsticker</t>
  </si>
  <si>
    <t>Pokaż aktualności</t>
  </si>
  <si>
    <t>Mostrar News Ticker</t>
  </si>
  <si>
    <t>Afișează Știrile Telegraf</t>
  </si>
  <si>
    <t>Показать новостной тикер</t>
  </si>
  <si>
    <t>Zobraziť ticker správ</t>
  </si>
  <si>
    <t>Pokaži novice</t>
  </si>
  <si>
    <t>Prikaži tiker vesti</t>
  </si>
  <si>
    <t>Visa nyhetsticker</t>
  </si>
  <si>
    <t>แสดงข่าว Ticker</t>
  </si>
  <si>
    <t>Haber Takip Ekranını Göster</t>
  </si>
  <si>
    <t>Hiển thị ticker tin tức</t>
  </si>
  <si>
    <t>显示新闻自动收报机纸条</t>
  </si>
  <si>
    <t>type_pc</t>
  </si>
  <si>
    <t>Computer</t>
  </si>
  <si>
    <t>كمبيوتر</t>
  </si>
  <si>
    <t>Компютър</t>
  </si>
  <si>
    <t>Ordinador</t>
  </si>
  <si>
    <t>Ordenador</t>
  </si>
  <si>
    <t>Ordinateur</t>
  </si>
  <si>
    <t>Computadora</t>
  </si>
  <si>
    <t>Számítógép</t>
  </si>
  <si>
    <t>コンピューター</t>
  </si>
  <si>
    <t>컴퓨터</t>
  </si>
  <si>
    <t>Komputer</t>
  </si>
  <si>
    <t>Computador</t>
  </si>
  <si>
    <t>Компьютер</t>
  </si>
  <si>
    <t>Рачунар</t>
  </si>
  <si>
    <t>Dator</t>
  </si>
  <si>
    <t>Комп\'ютер</t>
  </si>
  <si>
    <t>電腦</t>
  </si>
  <si>
    <t>pdf_document</t>
  </si>
  <si>
    <t>PDF document</t>
  </si>
  <si>
    <t>مستند PDF</t>
  </si>
  <si>
    <t>PDF документ</t>
  </si>
  <si>
    <t>Document PDF</t>
  </si>
  <si>
    <t>PDF-Dokument</t>
  </si>
  <si>
    <t>documento PDF</t>
  </si>
  <si>
    <t>document PDF</t>
  </si>
  <si>
    <t>PDF dokumentum</t>
  </si>
  <si>
    <t>Berkas PDF</t>
  </si>
  <si>
    <t>Documento PDF</t>
  </si>
  <si>
    <t>PDF 文書</t>
  </si>
  <si>
    <t>PDF 문서</t>
  </si>
  <si>
    <t>PDF-document</t>
  </si>
  <si>
    <t>Dokument PDF</t>
  </si>
  <si>
    <t>PDF-документ</t>
  </si>
  <si>
    <t>dokument PDF</t>
  </si>
  <si>
    <t>ПДФ документ</t>
  </si>
  <si>
    <t>PDF-dokument</t>
  </si>
  <si>
    <t>tài liệu PDF</t>
  </si>
  <si>
    <t>PDF 文檔</t>
  </si>
  <si>
    <t>automatically</t>
  </si>
  <si>
    <t>Automatically</t>
  </si>
  <si>
    <t>آليا</t>
  </si>
  <si>
    <t>Автоматично</t>
  </si>
  <si>
    <t>Automàticament</t>
  </si>
  <si>
    <t>Automatisch</t>
  </si>
  <si>
    <t>Automáticamente</t>
  </si>
  <si>
    <t>Automatiquement</t>
  </si>
  <si>
    <t>Automatikusan</t>
  </si>
  <si>
    <t>Secara otomatis</t>
  </si>
  <si>
    <t>Automaticamente</t>
  </si>
  <si>
    <t>自動</t>
  </si>
  <si>
    <t>자동</t>
  </si>
  <si>
    <t>Automatycznie</t>
  </si>
  <si>
    <t>Автоматически</t>
  </si>
  <si>
    <t>аутоматски</t>
  </si>
  <si>
    <t>Automatiskt</t>
  </si>
  <si>
    <t>Tự động</t>
  </si>
  <si>
    <t>tt_choose_symbols</t>
  </si>
  <si>
    <t>Choose symbols</t>
  </si>
  <si>
    <t>اختر الرموز</t>
  </si>
  <si>
    <t>Избери символи</t>
  </si>
  <si>
    <t>Vyberte symboly</t>
  </si>
  <si>
    <t>Vælg symboler</t>
  </si>
  <si>
    <t>Wertpapiers wählen</t>
  </si>
  <si>
    <t>Επιλέξτε σύμβολα</t>
  </si>
  <si>
    <t>Elegir símbolos</t>
  </si>
  <si>
    <t>Valitse symbolit</t>
  </si>
  <si>
    <t>Sélectionner symboles</t>
  </si>
  <si>
    <t>प्रतीकों का चयन करें</t>
  </si>
  <si>
    <t>Szimbólumok kiválasztása</t>
  </si>
  <si>
    <t>Pilih simbol</t>
  </si>
  <si>
    <t>Scegli i simboli</t>
  </si>
  <si>
    <t>בחר סמלים</t>
  </si>
  <si>
    <t>記号選択</t>
  </si>
  <si>
    <t>기호 선택</t>
  </si>
  <si>
    <t>Kies symbolen</t>
  </si>
  <si>
    <t>Velg symboler</t>
  </si>
  <si>
    <t>Wybierz symbole</t>
  </si>
  <si>
    <t>Escolher símbolos</t>
  </si>
  <si>
    <t>Alege simboluri</t>
  </si>
  <si>
    <t>Выбрать элементы</t>
  </si>
  <si>
    <t>Izberite simbole</t>
  </si>
  <si>
    <t>Izaberite simbole</t>
  </si>
  <si>
    <t>Välj symboler</t>
  </si>
  <si>
    <t>เลือกชื่อย่อหลักทรัพย์</t>
  </si>
  <si>
    <t>Sembol seç</t>
  </si>
  <si>
    <t>Chọn công cụ</t>
  </si>
  <si>
    <t>拣选指示</t>
  </si>
  <si>
    <t>&gt;揀選指示</t>
  </si>
  <si>
    <t>norway</t>
  </si>
  <si>
    <t>Norway</t>
  </si>
  <si>
    <t>Norwegen</t>
  </si>
  <si>
    <t>Noruega</t>
  </si>
  <si>
    <t>Norvège</t>
  </si>
  <si>
    <t>Норвегия</t>
  </si>
  <si>
    <t>Norveška</t>
  </si>
  <si>
    <t>tt_candle</t>
  </si>
  <si>
    <t>Candlestick</t>
  </si>
  <si>
    <t>شمعدان</t>
  </si>
  <si>
    <t>Свещ</t>
  </si>
  <si>
    <t>Svíčkový</t>
  </si>
  <si>
    <t>Κηροπήγιο</t>
  </si>
  <si>
    <t>Kynttilänjalka</t>
  </si>
  <si>
    <t>Chandelier</t>
  </si>
  <si>
    <t>कैंडलस्टिक</t>
  </si>
  <si>
    <t>Japán gyertya</t>
  </si>
  <si>
    <t>Batang Lilin</t>
  </si>
  <si>
    <t>Candele Giaponesi</t>
  </si>
  <si>
    <t>נרות יפניים</t>
  </si>
  <si>
    <t>ロウソク</t>
  </si>
  <si>
    <t>캔들</t>
  </si>
  <si>
    <t>Lysestake</t>
  </si>
  <si>
    <t>Świece</t>
  </si>
  <si>
    <t>Gráfico candlestick</t>
  </si>
  <si>
    <t>Lumânare</t>
  </si>
  <si>
    <t>Японские свечи</t>
  </si>
  <si>
    <t>Sviečka</t>
  </si>
  <si>
    <t>Svečnik</t>
  </si>
  <si>
    <t>Japanska sveća</t>
  </si>
  <si>
    <t>Ljusstake</t>
  </si>
  <si>
    <t>กราฟแท่งเทียน</t>
  </si>
  <si>
    <t>Şamdan</t>
  </si>
  <si>
    <t>Chân nến</t>
  </si>
  <si>
    <t>烛台图表</t>
  </si>
  <si>
    <t>&gt;燭台圖表</t>
  </si>
  <si>
    <t>tt_chart_settings</t>
  </si>
  <si>
    <t>Chart Settings</t>
  </si>
  <si>
    <t>إعدادات المخطط</t>
  </si>
  <si>
    <t>Настройки на графиката</t>
  </si>
  <si>
    <t>Nastavení grafu</t>
  </si>
  <si>
    <t>Kortindstillinger</t>
  </si>
  <si>
    <t>Chart Einstellungen</t>
  </si>
  <si>
    <t>Ρυθμίσεις γραφήματος</t>
  </si>
  <si>
    <t>Ajustes de gráficos</t>
  </si>
  <si>
    <t>Kaavioasetukset</t>
  </si>
  <si>
    <t>Paramètres du graphique</t>
  </si>
  <si>
    <t>चार्ट सेटिंग्स</t>
  </si>
  <si>
    <t>Grafikon beállítások</t>
  </si>
  <si>
    <t>Pengaturan Grafik</t>
  </si>
  <si>
    <t>Impostazioni del grafico</t>
  </si>
  <si>
    <t>הגדרות גרף</t>
  </si>
  <si>
    <t>チャート設定</t>
  </si>
  <si>
    <t>차트 설정</t>
  </si>
  <si>
    <t>Tetapan Carta</t>
  </si>
  <si>
    <t>Grafiek instellingen</t>
  </si>
  <si>
    <t>Diagraminnstillinger</t>
  </si>
  <si>
    <t>Ustawienia wykresu</t>
  </si>
  <si>
    <t>Configurações de gráfico</t>
  </si>
  <si>
    <t>Setări Grafic</t>
  </si>
  <si>
    <t>Настройки графика</t>
  </si>
  <si>
    <t>Nastavenia grafu</t>
  </si>
  <si>
    <t>Nastavitve grafikona</t>
  </si>
  <si>
    <t>Podešavanja grafikona</t>
  </si>
  <si>
    <t>Diagraminställningar</t>
  </si>
  <si>
    <t>การตั้งค่าแผนภูมิ</t>
  </si>
  <si>
    <t>Grafik Ayarları</t>
  </si>
  <si>
    <t>Cài đặt biểu đồ</t>
  </si>
  <si>
    <t>图表设定</t>
  </si>
  <si>
    <t>&gt;圖表設定</t>
  </si>
  <si>
    <t>tt_phone</t>
  </si>
  <si>
    <t>Phone</t>
  </si>
  <si>
    <t>هاتف</t>
  </si>
  <si>
    <t>Telefon</t>
  </si>
  <si>
    <t>Τηλέφωνο</t>
  </si>
  <si>
    <t>Teléfono</t>
  </si>
  <si>
    <t>Puhelin</t>
  </si>
  <si>
    <t>Téléphone</t>
  </si>
  <si>
    <t>फ़ोन</t>
  </si>
  <si>
    <t>Telephono</t>
  </si>
  <si>
    <t>טלפון</t>
  </si>
  <si>
    <t>電話</t>
  </si>
  <si>
    <t>전화</t>
  </si>
  <si>
    <t>Telefoon</t>
  </si>
  <si>
    <t>Telefone</t>
  </si>
  <si>
    <t>Номер телефона</t>
  </si>
  <si>
    <t>Telefón</t>
  </si>
  <si>
    <t>โทรศัพท์</t>
  </si>
  <si>
    <t>Điện thoại</t>
  </si>
  <si>
    <t>电话</t>
  </si>
  <si>
    <t>&gt;電話</t>
  </si>
  <si>
    <t>install_openkeychain</t>
  </si>
  <si>
    <t>Encrypted message. Please install OpenKeychain to decrypt.</t>
  </si>
  <si>
    <t>هذه الرسالة مشفرة. قم بتثبيت OpenKeychain لفك الشيفرة.</t>
  </si>
  <si>
    <t>Шифровано съобщение. Моля, инсталирайте OpenKeychain, за да го дешифровате.</t>
  </si>
  <si>
    <t>Missatge xifrat. Si us plau instal.leu l\'OpenKeychain per desxifrar-lo.</t>
  </si>
  <si>
    <t>Verschlüsselte Nachricht. Bitte installiere OpenKeychain zur Entschlüsselung.</t>
  </si>
  <si>
    <t>Mensaje cifrado. Por favor instala OpenKeychain para descifrar.</t>
  </si>
  <si>
    <t>Message chiffré. Veuillez installer OpenKeychain pour le déchiffrer.</t>
  </si>
  <si>
    <t>Mensaxe cifrada. Por favor instale OpenKeychain para descifrala.</t>
  </si>
  <si>
    <t>Titkosított üzenet. Kérlek telepítsd az OpenKeychain-t a dekódoláshoz.</t>
  </si>
  <si>
    <t>Pesan terenskripsi. Pasang OpenKeychain untuk menerjemahkan</t>
  </si>
  <si>
    <t>Messaggio cifrato. Installa OpenKeychain per decifrare.</t>
  </si>
  <si>
    <t>暗号化されたメッセージ。復号化するには OpenKeychain をインストールしてください。</t>
  </si>
  <si>
    <t>암호화된 메세지. 복호화하기 위해 OpenKeychain을 설치하세요.</t>
  </si>
  <si>
    <t>Versleuteld bericht. Installeer OpenKeychain om te ontsleutelen.</t>
  </si>
  <si>
    <t>Wiadomość zaszyfrowana. Zainstaluj OpenKeychain, żeby odszyfrować.</t>
  </si>
  <si>
    <t>Mensagem criptografada. Por favor instale o OpenKeychain para desencriptar</t>
  </si>
  <si>
    <t>Зашифрованное сообщение. Пожалуйста, установите OpenKeychain для расшифрования.</t>
  </si>
  <si>
    <t>Šifrovaná správa. Nainštalujte, prosím, OpenKeychain pre dešifrovanie.</t>
  </si>
  <si>
    <t>Шифрована порука. Инсталирајте Отворени кључарник да бисте је дешифровали.</t>
  </si>
  <si>
    <t>Krypterat meddelande. Installera OpenKeychain för att avkryptera.</t>
  </si>
  <si>
    <t>Şifreli mesaj. Lütfen şifresini çözmek için OpenKeychain\'i yükleyin.</t>
  </si>
  <si>
    <t>Зашифроване повідомлення. Будь ласка, встановіть OpenKeychain, щоб розшифрувати.</t>
  </si>
  <si>
    <t>Tin nhắn được mã hoá. Xin cài đặt OpenKeychain để giải mã.</t>
  </si>
  <si>
    <t>訊息已加密。請安裝 OpenKeychain 以解密。</t>
  </si>
  <si>
    <t>user_has_left_conference</t>
  </si>
  <si>
    <t>%1$s has left the group chat!</t>
  </si>
  <si>
    <t>لقد غادَر %1$s فريق المحادثة !</t>
  </si>
  <si>
    <t>%1$s напусна груповия разговор!</t>
  </si>
  <si>
    <t>%1$s ha deixat el xat del grup!</t>
  </si>
  <si>
    <t>%1$s hat den Gruppenchat verlassen!</t>
  </si>
  <si>
    <t>%1$s ha dejado la conversación!</t>
  </si>
  <si>
    <t>%1$s a quitté le groupe de discussion !</t>
  </si>
  <si>
    <t>%1$s abandonou a sala!</t>
  </si>
  <si>
    <t>%1$s elhagyta a konferenciát!</t>
  </si>
  <si>
    <t>%1$s ha abbandonato la chat di gruppo!</t>
  </si>
  <si>
    <t>%1$s は談話室を退出しました</t>
  </si>
  <si>
    <t>%1$s heeft het groepsgesprek verlaten!</t>
  </si>
  <si>
    <t>%1$s opuścił konferencję!</t>
  </si>
  <si>
    <t>%1$s saiu da conversa em grupo!</t>
  </si>
  <si>
    <t>%1$s покинул конференцию!</t>
  </si>
  <si>
    <t>%1$s напусти групно ћаскање!</t>
  </si>
  <si>
    <t>action_add_account</t>
  </si>
  <si>
    <t>Add account</t>
  </si>
  <si>
    <t>إضافة حساب</t>
  </si>
  <si>
    <t>Добавяне на профил</t>
  </si>
  <si>
    <t>Afegeix un compte</t>
  </si>
  <si>
    <t>Konto hinzufügen</t>
  </si>
  <si>
    <t>Añadir cuenta</t>
  </si>
  <si>
    <t>Ajouter un compte</t>
  </si>
  <si>
    <t>Engadir conta</t>
  </si>
  <si>
    <t>Fiók hozzáadása</t>
  </si>
  <si>
    <t>Tambah Akun</t>
  </si>
  <si>
    <t>Aggiungi account</t>
  </si>
  <si>
    <t>アカウントを追加</t>
  </si>
  <si>
    <t>계정 추가</t>
  </si>
  <si>
    <t>Account toevoegen</t>
  </si>
  <si>
    <t>Dodaj konto</t>
  </si>
  <si>
    <t>Adicionar conta</t>
  </si>
  <si>
    <t>Добавить аккаунт</t>
  </si>
  <si>
    <t>Pridať účet</t>
  </si>
  <si>
    <t>Додај налог</t>
  </si>
  <si>
    <t>Lägg till konto</t>
  </si>
  <si>
    <t>Додати обліковий запис</t>
  </si>
  <si>
    <t>Thêm tài khoản</t>
  </si>
  <si>
    <t>新增帳戶</t>
  </si>
  <si>
    <t>pref_use_green_background_summary</t>
  </si>
  <si>
    <t>Use green background for received messages</t>
  </si>
  <si>
    <t>إستخدم خلفية خضراء للرسائل المُستَلَمة</t>
  </si>
  <si>
    <t>Получените съобщения ще бъдат на зелен фон</t>
  </si>
  <si>
    <t>Utilitzeu fons verd per als missatges rebuts</t>
  </si>
  <si>
    <t>Für empfangene Nachrichten grünen Hintergrund verwenden</t>
  </si>
  <si>
    <t>Usar fondo verde para mensajes recibidos</t>
  </si>
  <si>
    <t>Utiliser un fond vert pour les messages reçus</t>
  </si>
  <si>
    <t>Utilizar fondo verde para mensaxes recibidas</t>
  </si>
  <si>
    <t>Használjon zöld hátteret a kapott üzenetek kiemelésére</t>
  </si>
  <si>
    <t>Gunakan latar hijau untuk pesan masuk</t>
  </si>
  <si>
    <t>Usa sfondo verde per messaggi ricevuti</t>
  </si>
  <si>
    <t>受信したメッセージに緑の背景を使用します</t>
  </si>
  <si>
    <t>받은 메시지에 녹색 배경을 사용합니다</t>
  </si>
  <si>
    <t>Gebruik groene achtergrond voor ontvangen berichten</t>
  </si>
  <si>
    <t>Używaj zielonego tła dla otrzymanych wiadomości</t>
  </si>
  <si>
    <t>Usar fundo verde para mensagens recebidas</t>
  </si>
  <si>
    <t>Использовать зелёный фон для полученных сообщений</t>
  </si>
  <si>
    <t>Зелена позадина за примљене поруке</t>
  </si>
  <si>
    <t>Använd grön bakgrund för mottagna meddelanden</t>
  </si>
  <si>
    <t>Використовувати зелене тло для отриманих повідомлень</t>
  </si>
  <si>
    <t>接收到的訊息使用綠色背景</t>
  </si>
  <si>
    <t>tt_sideways_yield_perc</t>
  </si>
  <si>
    <t>Sideways yield</t>
  </si>
  <si>
    <t>العائد الجانبي</t>
  </si>
  <si>
    <t>Страничен добив</t>
  </si>
  <si>
    <t>Boční výnos</t>
  </si>
  <si>
    <t>Sidelæns afkast</t>
  </si>
  <si>
    <t>Seitwärtsrendite</t>
  </si>
  <si>
    <t>Πλευρική απόδοση</t>
  </si>
  <si>
    <t>Rendimiento lateral</t>
  </si>
  <si>
    <t>Tuotto sivuttain</t>
  </si>
  <si>
    <t>Rendement latéral</t>
  </si>
  <si>
    <t>एकतरफा लाभ</t>
  </si>
  <si>
    <t>Hasil Sampingan</t>
  </si>
  <si>
    <t>Redimento laterale</t>
  </si>
  <si>
    <t>תשואה צדדית</t>
  </si>
  <si>
    <t>サイドウェイイールド</t>
  </si>
  <si>
    <t>사이드웨이 수익성</t>
  </si>
  <si>
    <t>Zijwaarts rendement</t>
  </si>
  <si>
    <t>Sidelengs avkastning</t>
  </si>
  <si>
    <t>Rentowność w trendzie bocznym</t>
  </si>
  <si>
    <t>Rendimento lateralmente</t>
  </si>
  <si>
    <t>Randamentul mișcărilor laterale</t>
  </si>
  <si>
    <t>Боковая доходность</t>
  </si>
  <si>
    <t>Bočný výnos</t>
  </si>
  <si>
    <t>Stranski donos</t>
  </si>
  <si>
    <t>Sidoriktad avkastning</t>
  </si>
  <si>
    <t>ผลตอบแทนช่วงตลาดแกว่ง</t>
  </si>
  <si>
    <t>Yan getiri</t>
  </si>
  <si>
    <t>Lợi nhuận trên thị trường đi ngang</t>
  </si>
  <si>
    <t>额外的收益率</t>
  </si>
  <si>
    <t>tt_choose_chart_template</t>
  </si>
  <si>
    <t>Choose Chart Template</t>
  </si>
  <si>
    <t>اختر قالب المخطط</t>
  </si>
  <si>
    <t>Изберете шаблон на графиката</t>
  </si>
  <si>
    <t>Vyberte šablonu grafu</t>
  </si>
  <si>
    <t>Vælg diagramskabelon</t>
  </si>
  <si>
    <t>Chart Template wählen</t>
  </si>
  <si>
    <t>Επιλέξτε πρότυπο γραφήματος</t>
  </si>
  <si>
    <t>Elegir plantilla de gráfico</t>
  </si>
  <si>
    <t>Valitse kaavion malli</t>
  </si>
  <si>
    <t>Choisir un modèle de graphique</t>
  </si>
  <si>
    <t>चार्ट टेम्पलेट का चयन करें</t>
  </si>
  <si>
    <t>Grafikon sablon kiválasztása</t>
  </si>
  <si>
    <t>Pilih Template Grafik</t>
  </si>
  <si>
    <t>Scegli il modello del grafico</t>
  </si>
  <si>
    <t>בחר תבנית גרף</t>
  </si>
  <si>
    <t>図表テンプレート選択</t>
  </si>
  <si>
    <t>차트 템플릿 선택</t>
  </si>
  <si>
    <t>Pilih Templat Carta</t>
  </si>
  <si>
    <t>Kies Grafiek Sjabloon</t>
  </si>
  <si>
    <t>Velg diagrammal</t>
  </si>
  <si>
    <t>Wybierz szablon wykresu</t>
  </si>
  <si>
    <t>Escolher modelo de gráfico</t>
  </si>
  <si>
    <t>Alege Șablonul Graficului</t>
  </si>
  <si>
    <t>Выбрать графический шаблон</t>
  </si>
  <si>
    <t>Vyberte šablónu grafu</t>
  </si>
  <si>
    <t>Izberite obrazec grafikona</t>
  </si>
  <si>
    <t>Izaberite templejt</t>
  </si>
  <si>
    <t>Välj diagrammall</t>
  </si>
  <si>
    <t>เลือกเท็มเพล็ตแผนภูมิ</t>
  </si>
  <si>
    <t>Grafik Şablonu Seç</t>
  </si>
  <si>
    <t>Chọn mẫu biểu đồ</t>
  </si>
  <si>
    <t>选择图表模板</t>
  </si>
  <si>
    <t>&gt;選擇圖表模板</t>
  </si>
  <si>
    <t>gabon</t>
  </si>
  <si>
    <t>Gabon</t>
  </si>
  <si>
    <t>Gabun</t>
  </si>
  <si>
    <t>Gabón</t>
  </si>
  <si>
    <t>Габон</t>
  </si>
  <si>
    <t>download_currency_converter_app</t>
  </si>
  <si>
    <t>Download the leading app for\nCurrency Converting\nCurrency Converter app</t>
  </si>
  <si>
    <t>Download den førende app til \ nValutaomregning \ nCurrency Converter app</t>
  </si>
  <si>
    <t>Holen Sie sich unsere App für Währungsumrechnungen: Currency Converter</t>
  </si>
  <si>
    <t>Descargue la aplicación líder en el mercado de conversión de divisas: Currency Converter app</t>
  </si>
  <si>
    <t>Lataa johtava valuuttamuunninsovellus</t>
  </si>
  <si>
    <t>Téléchargez la meilleure application de conversion des devises: Currency Converter app</t>
  </si>
  <si>
    <t>Vezető valutaváltási alkalmazás letöltése: Currency Converter app</t>
  </si>
  <si>
    <t>Unduh aplikasi ternama untuk konversi mata uang: Currency Converter app</t>
  </si>
  <si>
    <t>Scarica l’app leader per la conversione delle valute: Currency Converter</t>
  </si>
  <si>
    <t>最新の通貨換算アプリをダウンロード</t>
  </si>
  <si>
    <t>환전을 위한 최고의 앱을 다운로드하세요: Currency Converter app</t>
  </si>
  <si>
    <t>Muat turun apl terkemuka untuk pertukaran mata wang: Currency Converter app</t>
  </si>
  <si>
    <t>Download de toonaangevende app voor het converteren van valuta: Currency Converter app</t>
  </si>
  <si>
    <t>Last ned den ledende appen for \nvalutaveksling\nCurrency Converter app</t>
  </si>
  <si>
    <t>Pobierz wiodącą aplikację do przeliczania walut: Currency Converter app</t>
  </si>
  <si>
    <t>Instale a app líder em conversão de moedas: Currency Converter app</t>
  </si>
  <si>
    <t>Загрузите ведущее приложение для конвертации валют: Currency Converter app</t>
  </si>
  <si>
    <t>Preuzmite vodeću aplikaciju za \nkonverziju valuta\nCurrency Converter app</t>
  </si>
  <si>
    <t>Ladda ner den marknadsledande appen inom valutaomvandling: Currency Converter app</t>
  </si>
  <si>
    <t>Para birimi dönüştürmede bu önde uygulamayı hemen indirin: Currency Converter app</t>
  </si>
  <si>
    <t>下载领先的货币兑换应用程序</t>
  </si>
  <si>
    <t>tt_ago</t>
  </si>
  <si>
    <t>ago</t>
  </si>
  <si>
    <t>منذ</t>
  </si>
  <si>
    <t>преди</t>
  </si>
  <si>
    <t>před</t>
  </si>
  <si>
    <t>siden</t>
  </si>
  <si>
    <t>vor</t>
  </si>
  <si>
    <t>πριν</t>
  </si>
  <si>
    <t>Hace</t>
  </si>
  <si>
    <t>sitten</t>
  </si>
  <si>
    <t>il y a</t>
  </si>
  <si>
    <t>पहले</t>
  </si>
  <si>
    <t>ezelőtt</t>
  </si>
  <si>
    <t>dulu</t>
  </si>
  <si>
    <t>fa</t>
  </si>
  <si>
    <t>לפני</t>
  </si>
  <si>
    <t>前</t>
  </si>
  <si>
    <t>전</t>
  </si>
  <si>
    <t>geleden</t>
  </si>
  <si>
    <t>temu</t>
  </si>
  <si>
    <t>atrás</t>
  </si>
  <si>
    <t>de demult</t>
  </si>
  <si>
    <t>назад</t>
  </si>
  <si>
    <t>pred</t>
  </si>
  <si>
    <t>nazaj</t>
  </si>
  <si>
    <t>pre</t>
  </si>
  <si>
    <t>sedan</t>
  </si>
  <si>
    <t>ที่แล้ว</t>
  </si>
  <si>
    <t>önce</t>
  </si>
  <si>
    <t>trước</t>
  </si>
  <si>
    <t>&gt;前</t>
  </si>
  <si>
    <t>tt_newsletter_signup</t>
  </si>
  <si>
    <t>I accept to receive newsletter by baha in the future (can be unsubscribed at any time in the newsletter)</t>
  </si>
  <si>
    <t>أقبل استلام الرسائل الإخبارية من قبل Teletrader في المستقبل (يمكن إلغاء الاشتراك في أي وقت من النشرة الإخبارية)</t>
  </si>
  <si>
    <t>Приемам да получавам бюлетин от Teletrader в бъдеще (може да се отпишете по всяко време в бюлетина)</t>
  </si>
  <si>
    <t>Souhlasím s tím, že budu v budoucnu dostávat informační buletin společnosti Teletrader (lze jej kdykoli odhlásit)</t>
  </si>
  <si>
    <t>Jeg accepterer at modtage nyhedsbrev fra Teletrader i fremtiden (kan afmeldes når som helst i nyhedsbrevet)</t>
  </si>
  <si>
    <t>Ich akzeptieren den baha Newsletter zu erhalten.</t>
  </si>
  <si>
    <t>Αποδέχομαι να λαμβάνω ενημερωτικό δελτίο από την Teletrader στο μέλλον (μπορεί να διαγραφεί ανά πάσα στιγμή στο ενημερωτικό δελτίο)</t>
  </si>
  <si>
    <t>Acepto recibir el boletín de TeleTrader en el futuro (puede darse de baja en cualquier momento)</t>
  </si>
  <si>
    <t>Haluan vastaanottaa tulevaisuudessa Teletraderin uutiskirjeen (voit peruuttaa tilauksen milloin tahansa uutiskirjeessä)</t>
  </si>
  <si>
    <t>J\'accepte de recevoir les newsletters de TeleTrader (Vous pouvez vous désabonner à tout instant)</t>
  </si>
  <si>
    <t>मैं भविष्य में टेलीट्रेडर द्वारा न्यूज़लेटर प्राप्त करना स्वीकार करता हूँ (न्यूज़लेटर में किसी भी समय सदस्यता समाप्त की जा सकती है)</t>
  </si>
  <si>
    <t>Engedélyezem, hogy a Teletrader hírleveleket küldjön nekem a jövőben (a hírlevélről bármikor leiratkozhatok)</t>
  </si>
  <si>
    <t>Saya setuju untuk menerima buletin oleh Teletrader di masa mendatang (langganan dapat dihentikan setiap saat di newsletter</t>
  </si>
  <si>
    <t>Accetto di ricevere la newsletter della Teletrader in futuro (è possibile cancellare l\'iscrizione in ogni momento)</t>
  </si>
  <si>
    <t>אני מסכים ניוזלטר מ-Teletrader בעתיד (ניתן לבטל את המנוי לניוזלטר בכל עת)</t>
  </si>
  <si>
    <t>Teletraderからのニュースﾚﾀｰを受取ります</t>
  </si>
  <si>
    <t>앞으로 Teletrader에서 뉴스레터를 받는 것에 동의합니다.(언제든지 뉴스레터에서 탈퇴 가능)</t>
  </si>
  <si>
    <t>Saya bersetuju untuk menerima surat berita oleh Teletrader pada masa hadapan (langganan boleh ditamatkan pada bila-bila masa dalam surat berita)</t>
  </si>
  <si>
    <t>Ik accepteer het krijgen van nieuwsbrieven van Teletrader in de toekomst (kan direct stopgezet worden via de nieuwsbrief)</t>
  </si>
  <si>
    <t>Jeg godtar å motta nyhetsbrev fra Teletrader i fremtiden (kan avmelde når som helst fra nyhetsbrevet)</t>
  </si>
  <si>
    <t>Zgadzam się na otrzymywanie biuletynu Teletrader w przyszłości (w dowolnym czasie jest możliwość rezygnacji z otrzymywania biuletynu)</t>
  </si>
  <si>
    <t>Aceito receber o boletim informativo da Teletrader no futuro ( pode ser cancelada a inscrição a qualquer momento)</t>
  </si>
  <si>
    <t>Accept să primesc în viitor buletinul informativ al Teletrader (te poți dezabona oricând din buletin informativ)</t>
  </si>
  <si>
    <t>Я хочу получать рассылку новостей от baha (рассылка может быть отключена в любое время)</t>
  </si>
  <si>
    <t>Súhlasím, že budem v budúcnosti dostávať informačný bulletin od aplikácie Teletrader (ich odber je možné kedykoľvek zrušiť v informačnom bulletine)</t>
  </si>
  <si>
    <t>Sprejemam, da bom v prihodnosti prejemal e-novice s strani Teletrader-ja (odjaviti ga lahko kadar koli na glasilo)</t>
  </si>
  <si>
    <t>Prihvatam da primam novosti od Teletrader-a u budućnosti (mogu ukinuti pretplatu kasnije)</t>
  </si>
  <si>
    <t>Jag accepterar att ta emot nyhetsbrev av Teletrader i framtiden (kan avregistrera när som helst i nyhetsbrevet)</t>
  </si>
  <si>
    <t>ฉันยินยอมที่จะรับจดหมายแจ้งข่าวจาก TeleTrader ในอนาคต (สามารถยกเลิกได้ตลอดเวลาในจดหมายแจ้งข่าว)</t>
  </si>
  <si>
    <t>Teletrader tarafından gelecekte haber bülteni almayı kabul ediyorum (herhangi bir zamanda bülten üyeliğinden ayrılabilirsiniz)</t>
  </si>
  <si>
    <t>Tôi đồng ý nhận bản tin của Teletrader trong tương lai (có thể hủy đăng ký bất cứ lúc nào trong bản tin)</t>
  </si>
  <si>
    <t>我接受Teletrader发送的资讯（可以随时取消订阅）</t>
  </si>
  <si>
    <t>&gt;我接受Teletrader發送的資訊（可以隨時取消訂閱）</t>
  </si>
  <si>
    <t>pref_use_tor</t>
  </si>
  <si>
    <t>Connect via Tor</t>
  </si>
  <si>
    <t>الإتصال عبر شبكة طور Tor</t>
  </si>
  <si>
    <t>Свързване през Тор</t>
  </si>
  <si>
    <t>Connectar mitjançant Tor</t>
  </si>
  <si>
    <t>Über Tor verbinden</t>
  </si>
  <si>
    <t>Conectar via Tor</t>
  </si>
  <si>
    <t>Connexion via Tor</t>
  </si>
  <si>
    <t>Conectar vía Tor</t>
  </si>
  <si>
    <t>Kapcsolódás a Tor hálózatán keresztül</t>
  </si>
  <si>
    <t>Hubungkan via Tor</t>
  </si>
  <si>
    <t>Connettiti via Tor</t>
  </si>
  <si>
    <t>Tor 経由で接続</t>
  </si>
  <si>
    <t>Tor를 통해 접속</t>
  </si>
  <si>
    <t>Verbinden via Tor</t>
  </si>
  <si>
    <t>Połącz przez sieć TOR</t>
  </si>
  <si>
    <t>Conectar via TOR</t>
  </si>
  <si>
    <t>Соединение через Tor</t>
  </si>
  <si>
    <t>Повежи се преко Тора</t>
  </si>
  <si>
    <t>Ansluten via Tor</t>
  </si>
  <si>
    <t>З\'єднання через Tor</t>
  </si>
  <si>
    <t>Kết nối đến Tor</t>
  </si>
  <si>
    <t>通過 Tor 連接</t>
  </si>
  <si>
    <t>dialog_manage_certs_title</t>
  </si>
  <si>
    <t>Remove certificates</t>
  </si>
  <si>
    <t>إحذف الشهادات</t>
  </si>
  <si>
    <t>Премахване на сертификатите</t>
  </si>
  <si>
    <t>Esborrar certificats</t>
  </si>
  <si>
    <t>Zertifikate löschen</t>
  </si>
  <si>
    <t>Eliminar certificados</t>
  </si>
  <si>
    <t>Retirer les certificats</t>
  </si>
  <si>
    <t>Tanúsítványok eltávolítása</t>
  </si>
  <si>
    <t>Hapus sertifikat</t>
  </si>
  <si>
    <t>Elimina i certificati</t>
  </si>
  <si>
    <t>証明書を削除</t>
  </si>
  <si>
    <t>인증서 삭제</t>
  </si>
  <si>
    <t>Certificaten verwijderen</t>
  </si>
  <si>
    <t>Usuń certyfikaty</t>
  </si>
  <si>
    <t>Remover certificados</t>
  </si>
  <si>
    <t>Удалить сертификаты</t>
  </si>
  <si>
    <t>Odstrániť certifikáty</t>
  </si>
  <si>
    <t>Уклањање сертификата</t>
  </si>
  <si>
    <t>Ta bort certifikat</t>
  </si>
  <si>
    <t>Видалити сертифікати</t>
  </si>
  <si>
    <t>Xoá các chứng nhận</t>
  </si>
  <si>
    <t>移除證書</t>
  </si>
  <si>
    <t>error_unable_to_create_temporary_file</t>
  </si>
  <si>
    <t>Unable to create temporary file</t>
  </si>
  <si>
    <t>فشلت عملية إنشاء ملف مؤقت</t>
  </si>
  <si>
    <t>Неуспешно създаване на временен файл</t>
  </si>
  <si>
    <t>No es pot crear un fitxer temporal</t>
  </si>
  <si>
    <t>Temporäre Datei kann nicht erstellt werden</t>
  </si>
  <si>
    <t>No se ha podido crear el fichero temporal</t>
  </si>
  <si>
    <t>Impossible de créer un fichier temporaire</t>
  </si>
  <si>
    <t>Non se puido crear o ficheiro temporal</t>
  </si>
  <si>
    <t>Nem sikerült létrehozni egy ideiglenes fájlt</t>
  </si>
  <si>
    <t>Impossibile creare file temporaneo</t>
  </si>
  <si>
    <t>一時ファイルを作成できません</t>
  </si>
  <si>
    <t>Kan tijdelijk bestand niet aanmaken</t>
  </si>
  <si>
    <t>Niemożna utworzyć pliku tymczasowego</t>
  </si>
  <si>
    <t>Не удалось создать временный файл</t>
  </si>
  <si>
    <t>Не могу да направим привремени фајл</t>
  </si>
  <si>
    <t>Kunde inte skapa tillfällig fil</t>
  </si>
  <si>
    <t>Неможливо створити тимчасовий файл</t>
  </si>
  <si>
    <t>無法新增暫存檔</t>
  </si>
  <si>
    <t>tt_open_interest</t>
  </si>
  <si>
    <t>Open Interest</t>
  </si>
  <si>
    <t>عقد خيارات مفتوحة</t>
  </si>
  <si>
    <t>Отвори лихва</t>
  </si>
  <si>
    <t>Otevřený zájem</t>
  </si>
  <si>
    <t>Åben Rente</t>
  </si>
  <si>
    <t>Ανοιχτό ενδιαφέρον</t>
  </si>
  <si>
    <t>Interés abierto</t>
  </si>
  <si>
    <t>Avoin korko</t>
  </si>
  <si>
    <t>Position ouverte</t>
  </si>
  <si>
    <t>ओपन इंटरेस्ट</t>
  </si>
  <si>
    <t>Kepentingan Terbuka</t>
  </si>
  <si>
    <t>חוזה פתוח</t>
  </si>
  <si>
    <t>オープンインタレスト</t>
  </si>
  <si>
    <t>미결제약정</t>
  </si>
  <si>
    <t>Åpen interesse</t>
  </si>
  <si>
    <t>Liczba otwartych kontraktów</t>
  </si>
  <si>
    <t>Interesse aberto</t>
  </si>
  <si>
    <t>Dobândă Deschisă</t>
  </si>
  <si>
    <t>Открытая позиция</t>
  </si>
  <si>
    <t>Otvorený záujem</t>
  </si>
  <si>
    <t>Odprto zanimanje</t>
  </si>
  <si>
    <t>Öppet intresse</t>
  </si>
  <si>
    <t>สัญญาคงค้างในตลาด</t>
  </si>
  <si>
    <t>Açık İlgi</t>
  </si>
  <si>
    <t>Lãi suất mở</t>
  </si>
  <si>
    <t>未平仓合约</t>
  </si>
  <si>
    <t>just_now</t>
  </si>
  <si>
    <t>just now</t>
  </si>
  <si>
    <t>الآن</t>
  </si>
  <si>
    <t>току-що</t>
  </si>
  <si>
    <t>Ara</t>
  </si>
  <si>
    <t>gerade</t>
  </si>
  <si>
    <t>ahora</t>
  </si>
  <si>
    <t>À l\'instant</t>
  </si>
  <si>
    <t>agora</t>
  </si>
  <si>
    <t>Éppen most</t>
  </si>
  <si>
    <t>sekarang</t>
  </si>
  <si>
    <t>adesso</t>
  </si>
  <si>
    <t>ちょうど今</t>
  </si>
  <si>
    <t>방금</t>
  </si>
  <si>
    <t>zojuist</t>
  </si>
  <si>
    <t>przed chwilą</t>
  </si>
  <si>
    <t>agora há pouco</t>
  </si>
  <si>
    <t>только что</t>
  </si>
  <si>
    <t>práve teraz</t>
  </si>
  <si>
    <t>управо сад</t>
  </si>
  <si>
    <t>just nu</t>
  </si>
  <si>
    <t>щойно</t>
  </si>
  <si>
    <t>mới đây</t>
  </si>
  <si>
    <t>剛剛</t>
  </si>
  <si>
    <t>mgmt_account_delete</t>
  </si>
  <si>
    <t>Delete account</t>
  </si>
  <si>
    <t>إحذف الحساب</t>
  </si>
  <si>
    <t>Изтриване на профила</t>
  </si>
  <si>
    <t>Elimina el compte</t>
  </si>
  <si>
    <t>Eliminar cuenta</t>
  </si>
  <si>
    <t>Eliminar conta</t>
  </si>
  <si>
    <t>Fiók törlése</t>
  </si>
  <si>
    <t>Hapus akun</t>
  </si>
  <si>
    <t>Elimina utente</t>
  </si>
  <si>
    <t>アカウントを削除</t>
  </si>
  <si>
    <t>계정 삭제</t>
  </si>
  <si>
    <t>Account verwijderen</t>
  </si>
  <si>
    <t>Usuń konto</t>
  </si>
  <si>
    <t>Remover conta</t>
  </si>
  <si>
    <t>Удалить аккаунт</t>
  </si>
  <si>
    <t>Vymazať účet</t>
  </si>
  <si>
    <t>Обриши налог</t>
  </si>
  <si>
    <t>Ta bort konto</t>
  </si>
  <si>
    <t>Видалити обліковий запис</t>
  </si>
  <si>
    <t>Xoá tài khoản</t>
  </si>
  <si>
    <t>刪除帳號</t>
  </si>
  <si>
    <t>commodities_popup_text</t>
  </si>
  <si>
    <t>Select a stock to view its symbol page.</t>
  </si>
  <si>
    <t>حدد سهمًا لعرض صفحة الرمز الخاصة به.</t>
  </si>
  <si>
    <t>Изберете акция, за да видите нейната страница със символи.</t>
  </si>
  <si>
    <t>Výběrem akcií zobrazíte její stránku se symbolem.</t>
  </si>
  <si>
    <t>Vælg en aktie for at se dens symbolside.</t>
  </si>
  <si>
    <t>Wählen Sie eine Aktie um ihre Detailseite anzusehen.</t>
  </si>
  <si>
    <t>Επιλέξτε μια μετοχή για να δείτε τη σελίδα συμβόλων.</t>
  </si>
  <si>
    <t>Seleccione una acción para ver su página de símbolo.</t>
  </si>
  <si>
    <t>Valitse osake nähdäksesi sen symbolisivun.</t>
  </si>
  <si>
    <t>Sélectionnez une action pour afficher sa page de symbole.</t>
  </si>
  <si>
    <t>स्टॉक के प्रतीक पृष्ठ को देखने के लिए एक स्टॉक का चयन करें।</t>
  </si>
  <si>
    <t>Válasszon egy részvényt hogy megjelenjen a szimbólum oldala.</t>
  </si>
  <si>
    <t>Pilih stok untuk melihat halaman simbol.</t>
  </si>
  <si>
    <t>Seleziona il simbolo per vedere la pagina associata.</t>
  </si>
  <si>
    <t>בחר מניה כדי להציג את עמוד הסמל שלה.</t>
  </si>
  <si>
    <t>株式を選択してシンボルページを表示する</t>
  </si>
  <si>
    <t>주식 기호 페이지를 확인하려는 주식을 선택하세요.</t>
  </si>
  <si>
    <t>Pilih stok untuk melihat halaman simbolnya.</t>
  </si>
  <si>
    <t>Selecteer een aandeel om de symboolpagina ervan te bekijken.</t>
  </si>
  <si>
    <t>Velg en aksje for å se symbolsiden.</t>
  </si>
  <si>
    <t>Wybierz instrument aby przejrzeć jego profil.</t>
  </si>
  <si>
    <t>Selecione as ações para visualizar a sua página de símbolo.</t>
  </si>
  <si>
    <t>Selectează o valoare mobiliară pentru a vizualiza pagina cu simboluri.</t>
  </si>
  <si>
    <t>Выберите акцию для просмотра страницы символа.</t>
  </si>
  <si>
    <t>Ak chcete zobraziť stránku akcie so symbolmi, zvoľte akciu.</t>
  </si>
  <si>
    <t>Izberite zalogo, če si želite ogledati stran s simboli.</t>
  </si>
  <si>
    <t>Izaberi akciju da vidiš detalje.</t>
  </si>
  <si>
    <t>Välj ett skikt för att se symbolsidan.</t>
  </si>
  <si>
    <t>เลือกหุ้นเพื่อดูหน้าชื่อย่อหลักทรัพย์</t>
  </si>
  <si>
    <t>Sembol sayfasını görüntülemek için bir hisse senedi seçin.</t>
  </si>
  <si>
    <t>Chọn một mã cổ phiếu để xem trang công cụ.</t>
  </si>
  <si>
    <t>选择股票以看到它的页。</t>
  </si>
  <si>
    <t>read_more</t>
  </si>
  <si>
    <t>Read more</t>
  </si>
  <si>
    <t>قراءة المزيد</t>
  </si>
  <si>
    <t>Прочети още</t>
  </si>
  <si>
    <t>Přečtěte si více</t>
  </si>
  <si>
    <t>Læs mere</t>
  </si>
  <si>
    <t>Lesen Sie mehr</t>
  </si>
  <si>
    <t>Διαβάστε περισσότερα</t>
  </si>
  <si>
    <t>Leer más</t>
  </si>
  <si>
    <t>Lue lisää</t>
  </si>
  <si>
    <t>Lire la suite</t>
  </si>
  <si>
    <t>अधिक पढ़ें</t>
  </si>
  <si>
    <t>Több infó</t>
  </si>
  <si>
    <t>Baca lebih lanjut</t>
  </si>
  <si>
    <t>Leggi di più</t>
  </si>
  <si>
    <t>קרא עוד</t>
  </si>
  <si>
    <t>もっと読む</t>
  </si>
  <si>
    <t>더 알아보기</t>
  </si>
  <si>
    <t>Lees verder</t>
  </si>
  <si>
    <t>Les mer</t>
  </si>
  <si>
    <t>Przeczytaj więcej</t>
  </si>
  <si>
    <t>Ler mais</t>
  </si>
  <si>
    <t>Citeste mai multe</t>
  </si>
  <si>
    <t>Подробнее</t>
  </si>
  <si>
    <t>Čítať viac</t>
  </si>
  <si>
    <t>Preberite več</t>
  </si>
  <si>
    <t>Opširnije</t>
  </si>
  <si>
    <t>Läs mer</t>
  </si>
  <si>
    <t>อ่านต่อ</t>
  </si>
  <si>
    <t>Daha fazla oku</t>
  </si>
  <si>
    <t>Đọc thêm</t>
  </si>
  <si>
    <t>更多的信息</t>
  </si>
  <si>
    <t>write_a_message</t>
  </si>
  <si>
    <t>Please write a message</t>
  </si>
  <si>
    <t>Bitte schreiben Sie eine Nachricht</t>
  </si>
  <si>
    <t>Por favor escribe un mensaje</t>
  </si>
  <si>
    <t>Veuillez écrire un message</t>
  </si>
  <si>
    <t>Kérjük írjon üzenetet</t>
  </si>
  <si>
    <t>Пожалуйста, напишите сообщение</t>
  </si>
  <si>
    <t>Molimo vas napišite poruku</t>
  </si>
  <si>
    <t>tt_onboarding_settings_sign_in_google</t>
  </si>
  <si>
    <t>Sign in with Google Plus</t>
  </si>
  <si>
    <t>سجل الدخول باستخدام حساب Google Plus</t>
  </si>
  <si>
    <t>Влизане с Google Plus</t>
  </si>
  <si>
    <t>Přihlaste se pomocí Google Plus</t>
  </si>
  <si>
    <t>Log ind med Google Plus</t>
  </si>
  <si>
    <t>Über Google Plus anmelden</t>
  </si>
  <si>
    <t>Συνδεθείτε με το Google Plus</t>
  </si>
  <si>
    <t>Registrarse con Google</t>
  </si>
  <si>
    <t>Kirjaudu sisään Google Plus -palvelun avulla</t>
  </si>
  <si>
    <t>Inscription avec Google Plus</t>
  </si>
  <si>
    <t>गूगल प्लस के साथ साइन-इन करें</t>
  </si>
  <si>
    <t>Belépés Google Plussal</t>
  </si>
  <si>
    <t>Daftar masuk dengan Google Plus</t>
  </si>
  <si>
    <t>Accedi con Google Plus</t>
  </si>
  <si>
    <t>היכנס באמצעות Google Plus</t>
  </si>
  <si>
    <t>Google Plusでサインインする</t>
  </si>
  <si>
    <t>Google Plus로 로그인</t>
  </si>
  <si>
    <t>Log in met Google Plus</t>
  </si>
  <si>
    <t>Logg inn med Google Plus</t>
  </si>
  <si>
    <t>Zaloguj się przez Google Plus</t>
  </si>
  <si>
    <t>Faça login no Google Plus</t>
  </si>
  <si>
    <t>Conectează-te cu Google Plus</t>
  </si>
  <si>
    <t>Войти с Google Plus</t>
  </si>
  <si>
    <t>Prihláste sa cez Google Plus</t>
  </si>
  <si>
    <t>Prijavite se prek Google Plus</t>
  </si>
  <si>
    <t>Registruj se uz Google Plus</t>
  </si>
  <si>
    <t>Logga in med Google Plus</t>
  </si>
  <si>
    <t>ลงชื่อเข้าใช้ด้วย Google Plus</t>
  </si>
  <si>
    <t>Google Plus ile giriş yap</t>
  </si>
  <si>
    <t>Đăng nhập bằng Google Plus</t>
  </si>
  <si>
    <t>用Google Plus登录</t>
  </si>
  <si>
    <t>tt_screener_pe_ratio</t>
  </si>
  <si>
    <t>TTM P/E Ratio (US)</t>
  </si>
  <si>
    <t>نسبة السعر/الأرباح لأثني عشر شهرًا متتاليًا (الولايات المتحدة)</t>
  </si>
  <si>
    <t>TTM коефициент P/E (САЩ)</t>
  </si>
  <si>
    <t>Poměr TTM P/E (USA)</t>
  </si>
  <si>
    <t>TTM P/E-forhold (USA)</t>
  </si>
  <si>
    <t>TTM Kurs-Gewinn-Verhältnis (US)</t>
  </si>
  <si>
    <t>Αναλογία TTM P/E (ΗΠΑ)</t>
  </si>
  <si>
    <t>PER de los últimos 12 meses (USA)</t>
  </si>
  <si>
    <t>TTM P/E -suhde (Yhdysvallat)</t>
  </si>
  <si>
    <t>Ratio C/B TTM (US)</t>
  </si>
  <si>
    <t>टीटीएम पी/ई अनुपात (यूएस)</t>
  </si>
  <si>
    <t>Rasio TTM P/E (AS)</t>
  </si>
  <si>
    <t>TTM P/E (US)</t>
  </si>
  <si>
    <t>יחס מכפיל רווח (P/E) (ארה"ב) (12 חודשים אחרונים)</t>
  </si>
  <si>
    <t>TTM株価収益率</t>
  </si>
  <si>
    <t>TTM P/E 비율(US)</t>
  </si>
  <si>
    <t>Nisbah TTM P/E (AS)</t>
  </si>
  <si>
    <t>TTM P / E-verhouding (VS)</t>
  </si>
  <si>
    <t>TTM P/E forhold (USA)</t>
  </si>
  <si>
    <t>Rácio TTM P/E (US)</t>
  </si>
  <si>
    <t>Raport P/E TTM (SUA)</t>
  </si>
  <si>
    <t>Коэффициент цена/доход (за последние 12 месяцев, США)</t>
  </si>
  <si>
    <t>Pomer TTM P/E (USA)</t>
  </si>
  <si>
    <t>TTM razmerje P/E (ZDA)</t>
  </si>
  <si>
    <t>PE Racio (TTM)</t>
  </si>
  <si>
    <t>TTM P/E förhållande (USA)</t>
  </si>
  <si>
    <t>อัตราส่วน TTM P/E (US)</t>
  </si>
  <si>
    <t>TTM P/E Oranı (ABD)</t>
  </si>
  <si>
    <t>Hệ số P/E TTM (Mỹ)</t>
  </si>
  <si>
    <t>TTM 市盈率（美元）</t>
  </si>
  <si>
    <t>pref_delete_omemo_identities_summary</t>
  </si>
  <si>
    <t>Regenerate your OMEMO keys. All your contacts will have to verify you again. Use this only as a last resort.</t>
  </si>
  <si>
    <t>Пресъздайте своите ключове OMEMO. Всички Ваши контакти ще трябва да Ви потвърдят отново. Използвайте това само в краен случай.</t>
  </si>
  <si>
    <t>Regenereu les vostres claus OMEMO. Tots els contactes hauran de tornar-vos a verificar. Utilitzeu això només com a últim recurs.</t>
  </si>
  <si>
    <t>Regeneriere deine OMEMO-Schlüssel. Alle deine Kontakte müssen dich neu verifizieren. Nutze dies als letzten Ausweg.</t>
  </si>
  <si>
    <t>Regenerar tus clave OMEMO. Todos tus contactos tendrán que verificarte de nuevo. Usa esta opción como último recurso.</t>
  </si>
  <si>
    <t>Régénérer vos clefs OMEMO. Tous vos contacts devront vous vérifier à nouveau. À n\'utiliser qu\'en dernier recours.</t>
  </si>
  <si>
    <t>Rexenerar as súas chaves OMEMO. Todos os seus contactos deberán verificalo de novo. Utilice esto como último recurso.</t>
  </si>
  <si>
    <t>Regenerálja a OMEMO kulcsokat. Minden ismerősödnek engedélyezni kell majd az új kulcsodat. Ezt csak a legvégső esetben érdemes használni.</t>
  </si>
  <si>
    <t>Rigenera le tue chiavi OMEMO. I tuoi contatti dovranno verificare un\'altra volta la tua identità. Solo come ultima possibilità.</t>
  </si>
  <si>
    <t>OMEMO 鍵を再生成します。すべての連絡先を再度確認する必要があります。最後の手段としてのみ使用してください。</t>
  </si>
  <si>
    <t>OMEMO 키를 다시 생성합니다. 모든 연락처를 다시 확인해야합니다. 최후의 수단으로만 사용하십시오.</t>
  </si>
  <si>
    <t>Maak je OMEMO-sleutels opnieuw aan. Al je contacten zullen je opnieuw moeten verifiëren. Gebruik dit enkel als een laatste reddingsmiddel.</t>
  </si>
  <si>
    <t>Wygeneruj jeszcze raz klucze OMEMO. Wszystkie Twoje kontakty będą musiały zweryfikować Twoje nowe klucze. Użyj tego tylko w ostateczności.</t>
  </si>
  <si>
    <t>Создать заново OMEMO ключи. Необходимо повторное подтверждение. Используйте только в крайнем случае.</t>
  </si>
  <si>
    <t>Поновно генерисање ОМЕМО кључева. Сви ваши контакти ће морати поново да вас овере. Користите ово само у крајњем случају.</t>
  </si>
  <si>
    <t>Regenerera din OMEMO-nyckel. Alla dina kontakter kommer att behöva verifiera dig igen. Använd detta endast som en sista utväg.</t>
  </si>
  <si>
    <t>Стоврити наново ваші ключі OMEMO. Усі ваші контакти будуть змушені підтвердити вас знову. Використовуйте це, лише якщо немає іншого вибору.</t>
  </si>
  <si>
    <t>重新生成你的 OMEMO 金鑰。你的所有連絡人不得不對你進行再認證。請將此作為最後的辦法。</t>
  </si>
  <si>
    <t>contacts_have_no_pgp_keys</t>
  </si>
  <si>
    <t>Conversations is unable to encrypt your messages because your contacts are not announcing their public key.\n\n</t>
  </si>
  <si>
    <t>Conversations не може да шифрова съобщенията Ви, тъй като Вашите контакти не обявяват публичните си ключове.\n\n</t>
  </si>
  <si>
    <t>El Coversations no pot xifrar els missatges perquè els vostres contactes no anuncien les seves claus públiques.\n\n</t>
  </si>
  <si>
    <t>Conversations ist nicht in der Lage, deine Nachrichten zu verschlüsseln, weil deine Kontakte ihren öffentlichen Schlüssel nicht preisgeben.\n\n</t>
  </si>
  <si>
    <t>Conversations no ha podido cifrar tus mensajes porque tus contactos no están anunciando su clave publica.\n\n</t>
  </si>
  <si>
    <t>Conversations ne peut pas chiffrer votre message car vos contacts ne communiquent pas leur clef publique.\n\n</t>
  </si>
  <si>
    <t>Conversations non pode cifrar a súa mensaxe porque os seus contactos no publicaron a súa chave pública.\n\n</t>
  </si>
  <si>
    <t>A Conversations nem képes titkosítani az üzeneteket, mert az ismerősei nem jelentik be a nyilvános kulcsaikat.\n\n</t>
  </si>
  <si>
    <t>Percakapan tidak dapat mengenkripsi pesan Anda karena kontak tidak mengumumkan kunci publik mereka.\n\n</t>
  </si>
  <si>
    <t>Conversations non è in grado di cifrare i tuoi messaggi perché i contatti non stanno annunciando la propria chiave pubblica.\n\n</t>
  </si>
  <si>
    <t>Conversations kan je berichten niet versleutelen omdat je contacten geen publieke sleutel hebben ingesteld.\n\n</t>
  </si>
  <si>
    <t>Conversations nie może zaszyfrować wiadomości, ponieważ kontakty nie udostępniają kluczy publicznych.\n\n</t>
  </si>
  <si>
    <t>Conversations não é capaz de cifrar as suas mensagens porque os seus contactos não estão a anunciar as suas chaves públicas.\n\n</t>
  </si>
  <si>
    <t>Conversations не может зашифровать сообщения, потому что удалённые пользователи не анонсируют свои открытые ключи.\n\n</t>
  </si>
  <si>
    <t>Nie je možné zašifrovať správy v aplikácii Conversations, pretože kontakty neoznamujú svoj verejný kľúč.\n\n</t>
  </si>
  <si>
    <t>Конверзација није могла да шифрује ваше поруке јер ваши контакти не објављују свој јавни кључ.\n\n</t>
  </si>
  <si>
    <t>Conversations không thể mã hoá tin nhắn vì các liên hệ của bạn không thông báo khoá công cộng của họ.\n\n</t>
  </si>
  <si>
    <t>因您的連絡人未公佈公開金鑰，Conversations未能成功加密您的訊息。\n\n&lt;small請通知連絡人設置OpenPGP。&lt;/small</t>
  </si>
  <si>
    <t>chart_popup_body</t>
  </si>
  <si>
    <t>This chart is interactive! Tap anywhere to access options, features, editing, settings, timeline, etc.</t>
  </si>
  <si>
    <t>هذا مخطط تفاعلي! انقر في أي مكان للوصول إلى الخيارات والميزات والتحرير والإعدادات والجدول الزمني، وغيرها.</t>
  </si>
  <si>
    <t>Тази графика е интерактивна! Докоснете навсякъде, за да получите достъп до опции, функции, редактиране, настройки, хронология и т.н.</t>
  </si>
  <si>
    <t>Tento graf je interaktivní! Klepnutím kamkoli získáte přístup k možnostem, funkcím, úpravám, nastavení, časové ose atd.</t>
  </si>
  <si>
    <t>Dette diagram er interaktivt! Tryk hvor som helst for at få adgang til funktioner, redigering, indstillinger, tidslinje osv.</t>
  </si>
  <si>
    <t>Dieser Chart ist interaktiv! Berühren Sie den Bildschirm für weitere Optionen, Features, Einstellungen, Zeitreihe etc.</t>
  </si>
  <si>
    <t>Αυτό το γράφημα είναι διαδραστικό! Πατήστε οπουδήποτε για πρόσβαση σε επιλογές, δυνατότητες, επεξεργασία, ρυθμίσεις, χρονοδιάγραμμα κλπ.</t>
  </si>
  <si>
    <t>¡Este gráfico es interactivo! Toque en cualquier lugar para acceder a opciones, funciones, edición, ajustes, línea temporal, etc</t>
  </si>
  <si>
    <t>Tämä kaavio on interaktiivinen! Napauta mitä tahansa, jos haluat käyttää vaihtoehtoja, ominaisuuksia, muokkausta, asetuksia, aikajanaa jne.</t>
  </si>
  <si>
    <t>Ce graphique est interactif! Tapez n\'importe où pour accéder aux options , aux réglages, aux paramètres, aux incréments de temps, etc.</t>
  </si>
  <si>
    <t>यह चार्ट इंटरैक्टिव है! विकल्प, विषेशताएँ, संपादन, सेटिंग्स, टाइमलाइन आदि तक एक्सेस करने के लिए कहीं भी टैप करें।</t>
  </si>
  <si>
    <t>Ez a grafikon interaktív! Koppintson bárhová, hogy tudjon módosítani, új beállításokat elvégezni.</t>
  </si>
  <si>
    <t>Grafik ini bersifat interaktif! Ketik dimana saja untuk mengakses pilihan, ciri, pengeditan, pengaturan, garis waktu, dan sebagainya.</t>
  </si>
  <si>
    <t>Questo grafico è interattivo! Toccare ovunque per accedere a opzioni, features, modifiche, impostazioni, cronologia, ecc.</t>
  </si>
  <si>
    <t>תרשים זה אינטראקטיבי! הקש במקום כלשהו כדי לגשת לאפשרויות, תכונות, עריכה, הגדרות, ציר זמן וכו '.</t>
  </si>
  <si>
    <t>このチャートはインタラクティブです！オプション、機能、編集、設定、タイムラインなどにアクセスするにはタップして下さい。</t>
  </si>
  <si>
    <t>해당 도표는 대화형 차트입니다! 옵션, 기능, 편집, 설정, 타임 라인 등에 액세스하려면 아무 곳이나 누르세요.</t>
  </si>
  <si>
    <t>Carta ini bersifat interaktif! Ketik mana-mana sahaja untuk mengakses pilihan, ciri, penyuntingan, tetapan, garis masa, dan sebagainya.</t>
  </si>
  <si>
    <t>Deze grafiek is interactief! Tik ergens om toegang te krijgen tot opties, functies, bewerken, instellingen, tijdlijn, etc.</t>
  </si>
  <si>
    <t>Dette diagrammet er interaktivt! Trykk hvor som helst for å få tilgang til alternativer, funksjoner, redigering, innstillinger, tidslinje, osv.</t>
  </si>
  <si>
    <t>Wykres jest interaktywny. Dotknij, aby zobaczyć opcje i funkcje.</t>
  </si>
  <si>
    <t>Este gráfico é interativo! Toque em qualquer lugar e aceder às opções, características, edição, ajustes, cronograma, etc.</t>
  </si>
  <si>
    <t>Acest grafic este interactiv! Atinge oriunde pentru a accesa opțiuni, funcțiuni, editare, setări, cronologie etc.</t>
  </si>
  <si>
    <t>Это интерактивный график! Нажмите в любом месте для перехода к функциям, возможностям, редактированию, настройкам, хронологии и тд.</t>
  </si>
  <si>
    <t>Tento graf je interaktívny! Klepnutím na akékoľvek miesto získate prístup k možnostiam, funkciám, úpravám, nastaveniam, časovému prehľadu atď.</t>
  </si>
  <si>
    <t>Ta grafikon je interaktiven! Tapnite kjer koli za dostop do možnosti, funkcij, urejanja, nastavitev, časovnice itd.</t>
  </si>
  <si>
    <t>Ovaj grafikon je interaktivan! Klikni bilo gde da dobiješ opcije, prikaze, setovanja, trend linije i slično.</t>
  </si>
  <si>
    <t>Detta diagram är interaktivt! Tryck var som helst för att komma åt alternativ, funktioner, redigering, inställningar, tidslinje osv.</t>
  </si>
  <si>
    <t>แผนภูมินี้เป็นเชิงโต้ตอบ! แตะที่ใดก็ได้เพื่อเข้าไปสู่ ตัวเลือก คุณสมบัติ การแก้ไข การตั้งค่า ไทม์ไลน์และอื่นๆ</t>
  </si>
  <si>
    <t>Bu grafik etkileşimli!dir Seçeneklere, özelliklere, düzenlemeye, ayarlara, zaman çizelgesine vb. özelliklere erişmek için herhangi bir yere dokunun.</t>
  </si>
  <si>
    <t>Biểu đồ này có thể tương tác! Hãy nhấn vào bất cứ đâu để truy cập các tùy chọn, tính năng, chỉnh sửa, cài đặt, dòng thời gian, v.v.</t>
  </si>
  <si>
    <t>这是交互式图表！点触屏幕上的任意位置为了用选项、特殊功能、编辑、设定、时间线等等</t>
  </si>
  <si>
    <t>tt_daterange_small_2years</t>
  </si>
  <si>
    <t>2Y</t>
  </si>
  <si>
    <t>2R</t>
  </si>
  <si>
    <t>2J</t>
  </si>
  <si>
    <t>2Υ</t>
  </si>
  <si>
    <t>2A</t>
  </si>
  <si>
    <t>2V</t>
  </si>
  <si>
    <t>2वर्ष</t>
  </si>
  <si>
    <t>2É</t>
  </si>
  <si>
    <t>2T</t>
  </si>
  <si>
    <t>2Å</t>
  </si>
  <si>
    <t>2L</t>
  </si>
  <si>
    <t>2Г</t>
  </si>
  <si>
    <t>2G</t>
  </si>
  <si>
    <t>2N</t>
  </si>
  <si>
    <t>participant</t>
  </si>
  <si>
    <t>Participant</t>
  </si>
  <si>
    <t>مشترك</t>
  </si>
  <si>
    <t>Teilnehmer</t>
  </si>
  <si>
    <t>Participante</t>
  </si>
  <si>
    <t>Résztvevő</t>
  </si>
  <si>
    <t>Peserta</t>
  </si>
  <si>
    <t>Partecipante</t>
  </si>
  <si>
    <t>参加者</t>
  </si>
  <si>
    <t>참가자</t>
  </si>
  <si>
    <t>Deelnemer</t>
  </si>
  <si>
    <t>Uczestnik</t>
  </si>
  <si>
    <t>Účastník</t>
  </si>
  <si>
    <t>Учесник</t>
  </si>
  <si>
    <t>Deltagare</t>
  </si>
  <si>
    <t>參與者</t>
  </si>
  <si>
    <t>paraguay</t>
  </si>
  <si>
    <t>Paraguay</t>
  </si>
  <si>
    <t>Парагвай</t>
  </si>
  <si>
    <t>Paragvaj</t>
  </si>
  <si>
    <t>define_ticker_font_size</t>
  </si>
  <si>
    <t>Define Ticker font size</t>
  </si>
  <si>
    <t>تحديد حجم خط شريط التداول</t>
  </si>
  <si>
    <t>Определи размера на шрифта на Тикер</t>
  </si>
  <si>
    <t>Definovat velikost písma pro ticker</t>
  </si>
  <si>
    <t>Definer Ticker-skriftstørrelse</t>
  </si>
  <si>
    <t>Schriftgröße des Tickers festlegen</t>
  </si>
  <si>
    <t>Ορίστε το μέγεθος γραμματοσειράς Ticker</t>
  </si>
  <si>
    <t>Definir tamaño de fuente del Ticker</t>
  </si>
  <si>
    <t>Määritä tikkerin fonttikoko</t>
  </si>
  <si>
    <t>Définir la taille de police d\'écriture pour le symbole</t>
  </si>
  <si>
    <t>टिकर के फ़ॉन्ट आकार को निश्चित करें</t>
  </si>
  <si>
    <t>Válasszon Ticker betű méretet</t>
  </si>
  <si>
    <t>Tentukan ukuran huruf Teller</t>
  </si>
  <si>
    <t>Definisci la grandezza di font per i dati scorrevoli.</t>
  </si>
  <si>
    <t>הגדר גודל גופן של טיקר</t>
  </si>
  <si>
    <t>ティッカーフォントサイズを決定する</t>
  </si>
  <si>
    <t>티커 글자 크기 설정</t>
  </si>
  <si>
    <t>Tentukan saiz fon Pengira</t>
  </si>
  <si>
    <t>Definieer Ticker lettergrootte</t>
  </si>
  <si>
    <t>Definer ticker skriftstørrelse</t>
  </si>
  <si>
    <t>Ustal rozmiar czcionki tickera</t>
  </si>
  <si>
    <t>Defina o tamanho da fonte Ticker</t>
  </si>
  <si>
    <t>Definește dimensiunea fontului Telegrafului</t>
  </si>
  <si>
    <t>Задать размер шрифта тикера</t>
  </si>
  <si>
    <t>Určite veľkosť písma tickera</t>
  </si>
  <si>
    <t>Določite velikost fonta Ticker-ja</t>
  </si>
  <si>
    <t>Veličina fonta Tikera</t>
  </si>
  <si>
    <t>Definiera teckenstorlek för Tickern</t>
  </si>
  <si>
    <t>กำหนดขนาดอักษรใน Ticker</t>
  </si>
  <si>
    <t>Takip Ekranının yazı tipi boyutunu tanımla</t>
  </si>
  <si>
    <t>Xác định kích thước phông chữ yicker</t>
  </si>
  <si>
    <t>选择自动收报机纸条的字体大小</t>
  </si>
  <si>
    <t>tt_ind_ultimate_oscillator_short</t>
  </si>
  <si>
    <t>مذبذب نهائي</t>
  </si>
  <si>
    <t>Oscillator akhir</t>
  </si>
  <si>
    <t>Nihai osilatör</t>
  </si>
  <si>
    <t>终极指标（UOS）</t>
  </si>
  <si>
    <t>&gt;終極指標(UOS)</t>
  </si>
  <si>
    <t>tt_report_wrong_value</t>
  </si>
  <si>
    <t>Report wrong value</t>
  </si>
  <si>
    <t>الإبلاغ عن قيمة خاطئة</t>
  </si>
  <si>
    <t>Докладвай грешна стойност</t>
  </si>
  <si>
    <t>Nahlásit nesprávnou hodnotu</t>
  </si>
  <si>
    <t>Rapporter forkert værdi</t>
  </si>
  <si>
    <t>Falschen Wert melden</t>
  </si>
  <si>
    <t>Αναφορά λανθασμένης τιμής</t>
  </si>
  <si>
    <t>Reportar valor erróneo</t>
  </si>
  <si>
    <t>Ilmoita virheellinen arvo</t>
  </si>
  <si>
    <t>Signaler une erreur dans la valeur</t>
  </si>
  <si>
    <t>गलत मान की रिपोर्ट करें</t>
  </si>
  <si>
    <t>Helytelen érték jelentése</t>
  </si>
  <si>
    <t>Laporkan nilai yang salah</t>
  </si>
  <si>
    <t>Fornisci valore errato</t>
  </si>
  <si>
    <t>דווח על ערך שגוי</t>
  </si>
  <si>
    <t>間違った価格を報告する</t>
  </si>
  <si>
    <t>잘못된 값 신고</t>
  </si>
  <si>
    <t>Rapporteer verkeerde waarde</t>
  </si>
  <si>
    <t>Rapporter feil verdi</t>
  </si>
  <si>
    <t>Zgłoś błędną wartość</t>
  </si>
  <si>
    <t>Reportar valor errado</t>
  </si>
  <si>
    <t>Сообщить о неверном значении</t>
  </si>
  <si>
    <t>Nahlásiť nesprávnu hodnotu</t>
  </si>
  <si>
    <t>Prijavite napačno vrednost</t>
  </si>
  <si>
    <t>Prijavi pogrešnu vrednost</t>
  </si>
  <si>
    <t>Rapportera felaktigt värde</t>
  </si>
  <si>
    <t>รายงานค่าที่ไม่ถูกต้อง</t>
  </si>
  <si>
    <t>Yanlış değer bildir</t>
  </si>
  <si>
    <t>Báo cáo giá trị sai</t>
  </si>
  <si>
    <t>回报错误值</t>
  </si>
  <si>
    <t>peru</t>
  </si>
  <si>
    <t>Peru</t>
  </si>
  <si>
    <t>Perú</t>
  </si>
  <si>
    <t>Pérou</t>
  </si>
  <si>
    <t>Перу</t>
  </si>
  <si>
    <t>tt_mail_tell_a_friend_subject</t>
  </si>
  <si>
    <t>Info</t>
  </si>
  <si>
    <t>Informações</t>
  </si>
  <si>
    <t>讯息</t>
  </si>
  <si>
    <t>&gt;訊息</t>
  </si>
  <si>
    <t>tt_pf_initial_cash</t>
  </si>
  <si>
    <t>tt_indicator_settings_k_period</t>
  </si>
  <si>
    <t>K_Period</t>
  </si>
  <si>
    <t>الفترة k</t>
  </si>
  <si>
    <t>K_Periode</t>
  </si>
  <si>
    <t>K_periodi</t>
  </si>
  <si>
    <t>के_अवधि</t>
  </si>
  <si>
    <t>Tempoh_K</t>
  </si>
  <si>
    <t>K_기간</t>
  </si>
  <si>
    <t>K_periode</t>
  </si>
  <si>
    <t>K_Período</t>
  </si>
  <si>
    <t>Период %K</t>
  </si>
  <si>
    <t>K-perióda</t>
  </si>
  <si>
    <t>ระยะเวลา % K</t>
  </si>
  <si>
    <t>K_Dönemi</t>
  </si>
  <si>
    <t>K区间</t>
  </si>
  <si>
    <t>&gt;K區間</t>
  </si>
  <si>
    <t>no_keys_just_confirm</t>
  </si>
  <si>
    <t>You already trust this contact. By selecting \'done\' you are just confirming that %s is part of this group chat.</t>
  </si>
  <si>
    <t>Вие вече имате доверие на този контакт. Избирайки „готово“, Вие просто потвърждавате, че %s е част от този групов разговор.</t>
  </si>
  <si>
    <t>Ja confieu en aquest contacte. Si seleccioneu \"fet\", només confirma que forma %s part d\'aquest xat en grup.</t>
  </si>
  <si>
    <t>Du vertraust diesem Kontakt bereits. Durch Auswählen von \"Fertig\" bestätigst du, dass %s Teil dieses Gruppenchats ist.</t>
  </si>
  <si>
    <t>Ya confías en este contacto. Seleccionando \'hecho\', estás confirmando que %s es parte de esta conversación.</t>
  </si>
  <si>
    <t>Vous faites déjà confiance à ce contact. En sélectionnant \"terminé\", vous confirmez simplement que %s fait partie de ce groupe de discussion.</t>
  </si>
  <si>
    <t>Xa confia neste contacto. Ao seleccionar \'feito\' só está confirmando que %s é parte deste chat grupal.</t>
  </si>
  <si>
    <t>Már megbízik ebben a kapcsolatban. A \"kész\" beállítás kiválasztásával csak megerősíti, hogy %s része a konferenciának.</t>
  </si>
  <si>
    <t>Ti fidi già di questo contatto. Selezionando \'fatto\' stai solo confermando che %s fa parte di questa chat di gruppo.</t>
  </si>
  <si>
    <t>この連絡先を既に信用しています。\'done\'を選択すれば %s をグループチャットに加えることを承認します。</t>
  </si>
  <si>
    <t>Je vertrouwt dit contact al. Door \'klaar\' te kiezen bevestig je enkel dat %s deel uitmaakt van dit groepsgesprek.</t>
  </si>
  <si>
    <t>Już zaufałeś temu kontaktowi. Wybierając \'zrobione\' potwierdzasz, że %s jest członkiem konferencji.</t>
  </si>
  <si>
    <t>Já confia neste contacto. Ao selecionar \'Concluído\' apenas está a confirmar que %s faz parte desta conversa de grupo.</t>
  </si>
  <si>
    <t>Aveți deja încredere în acest contact. Prin selectarea \"Efectuată\" doar confirmați că% s face parte din acest grup de chat.</t>
  </si>
  <si>
    <t>Вы уже доверяете этому контакту. Выбрав «готово», вы только подтвердите, что %s является участником конференции.</t>
  </si>
  <si>
    <t>Zaten bu kişiye güveniyorsun. \'Tamamen\' seçerek, sadece %s\'nin bu grup sohbetinin bir parçası olduğunu onaylıyorsunuz.</t>
  </si>
  <si>
    <t>chat_image_title</t>
  </si>
  <si>
    <t>tt_ebitda</t>
  </si>
  <si>
    <t>EBITDA</t>
  </si>
  <si>
    <t>الأرباح قبل الفوائد والضرائب والاستهلاك وإهلاك الدين</t>
  </si>
  <si>
    <t>ईबीआईटीडीए</t>
  </si>
  <si>
    <t>Прибыль до уплаты налогов, процентов, износа и амортизации</t>
  </si>
  <si>
    <t>กำไรจากการดำเนินงาน</t>
  </si>
  <si>
    <t>FAVÖK</t>
  </si>
  <si>
    <t>税息折旧及摊销前获利（EBITDA）</t>
  </si>
  <si>
    <t>&gt;稅息折舊及攤銷前獲利(EBITDA)</t>
  </si>
  <si>
    <t>tt_edgar_return_on_equity</t>
  </si>
  <si>
    <t>Return on Equity</t>
  </si>
  <si>
    <t>العائد على حقوق المساهمين</t>
  </si>
  <si>
    <t>Възвръщаемост на капитала</t>
  </si>
  <si>
    <t>Návratnost vlastního kapitálu</t>
  </si>
  <si>
    <t>Afkast på egenkapital</t>
  </si>
  <si>
    <t>Eigenkapitalrendite</t>
  </si>
  <si>
    <t>Επιστροφή στα ίδια κεφάλαια</t>
  </si>
  <si>
    <t>Rendimiento del capital propio</t>
  </si>
  <si>
    <t>Oman pääoman tuottoaste</t>
  </si>
  <si>
    <t>Rendement des capitaux propres</t>
  </si>
  <si>
    <t>इक्विटी पर लाभ</t>
  </si>
  <si>
    <t>Pengembalian Ekuitas</t>
  </si>
  <si>
    <t>Rendimento del cap. proprio</t>
  </si>
  <si>
    <t>תשואה על הון</t>
  </si>
  <si>
    <t>株主資本利益率</t>
  </si>
  <si>
    <t>자기자본이익률</t>
  </si>
  <si>
    <t>Pulangan atas Ekuiti</t>
  </si>
  <si>
    <t>Winst op aandelen</t>
  </si>
  <si>
    <t>Avkastning på egenkapitalen</t>
  </si>
  <si>
    <t>Zwrot z kapitału własnego</t>
  </si>
  <si>
    <t>Retorno sobre o Património</t>
  </si>
  <si>
    <t>Прибыль на собственный капитал</t>
  </si>
  <si>
    <t>Rentabilita vlastného kapitálu</t>
  </si>
  <si>
    <t>Donosnost kapitala</t>
  </si>
  <si>
    <t>Stopa povrata na akc.kapital</t>
  </si>
  <si>
    <t>Avkastning på eget kapital</t>
  </si>
  <si>
    <t>อัตรผลตอบแทนผู้ถือหุ้น</t>
  </si>
  <si>
    <t>Özkaynak Karlılığı</t>
  </si>
  <si>
    <t>Lợi nhuận trên vốn chủ sở hữu</t>
  </si>
  <si>
    <t>股权收益率</t>
  </si>
  <si>
    <t>tt_shares</t>
  </si>
  <si>
    <t>Anteile</t>
  </si>
  <si>
    <t>Azioni</t>
  </si>
  <si>
    <t>Udziay</t>
  </si>
  <si>
    <t>Udeli</t>
  </si>
  <si>
    <t>Paylar</t>
  </si>
  <si>
    <t>disable_landscape_mode</t>
  </si>
  <si>
    <t>تعطيل الوضع الأفقي</t>
  </si>
  <si>
    <t>pref_more_notification_settings_summary</t>
  </si>
  <si>
    <t>Importance, Sound, Vibrate</t>
  </si>
  <si>
    <t>Важност, звук, вибрация</t>
  </si>
  <si>
    <t>Wichtigkeit, Klang, Vibrationen</t>
  </si>
  <si>
    <t>Importancia, Sonido, Vibración</t>
  </si>
  <si>
    <t>Importance, son, vibration</t>
  </si>
  <si>
    <t>Importancia, Son, Vibrar</t>
  </si>
  <si>
    <t>Fontosság, Hang, Vibrálás</t>
  </si>
  <si>
    <t>Importanza, suono, vibrazione</t>
  </si>
  <si>
    <t>Belang, geluid, trillen</t>
  </si>
  <si>
    <t>Ważność, Dźwięk, Wibracja</t>
  </si>
  <si>
    <t>tt_iosbridge_invalidpassword</t>
  </si>
  <si>
    <t>Wrong password.</t>
  </si>
  <si>
    <t>كلمة مرور خاطئة.</t>
  </si>
  <si>
    <t>Грешна парола.</t>
  </si>
  <si>
    <t>Špatné heslo.</t>
  </si>
  <si>
    <t>Forkert kodeord.</t>
  </si>
  <si>
    <t>Falsches Passwort.</t>
  </si>
  <si>
    <t>Λάθος κωδικός.</t>
  </si>
  <si>
    <t>Contraseña incorrecta.</t>
  </si>
  <si>
    <t>Väärä salasana.</t>
  </si>
  <si>
    <t>Mot de passe incorrect</t>
  </si>
  <si>
    <t>गलत पासवर्ड।</t>
  </si>
  <si>
    <t>Téves jelszó</t>
  </si>
  <si>
    <t>Kata sandi salah</t>
  </si>
  <si>
    <t>Password sbagliato.</t>
  </si>
  <si>
    <t>סיסמה שגויה.</t>
  </si>
  <si>
    <t>パスワード相違</t>
  </si>
  <si>
    <t>비밀번호가 틀렸습니다.</t>
  </si>
  <si>
    <t>Kata laluan salah</t>
  </si>
  <si>
    <t>Ongeldig password.</t>
  </si>
  <si>
    <t>Feil passord.</t>
  </si>
  <si>
    <t>Błędne hasło.</t>
  </si>
  <si>
    <t>Senha incorreta</t>
  </si>
  <si>
    <t>Неверный пароль</t>
  </si>
  <si>
    <t>Nesprávne heslo.</t>
  </si>
  <si>
    <t>Napačno geslo.</t>
  </si>
  <si>
    <t>Pogrešna lozinka.</t>
  </si>
  <si>
    <t>Fel lösenord.</t>
  </si>
  <si>
    <t>รหัสผ่านไม่ถูกต้อง</t>
  </si>
  <si>
    <t>Yanlış şifre.</t>
  </si>
  <si>
    <t>Sai mật khẩu.</t>
  </si>
  <si>
    <t>密码不符</t>
  </si>
  <si>
    <t>&gt;密碼不符</t>
  </si>
  <si>
    <t>tt_pf_create</t>
  </si>
  <si>
    <t>Create new portfolio</t>
  </si>
  <si>
    <t>إنشاء محفظة جديدة</t>
  </si>
  <si>
    <t>Създай ново портфолио</t>
  </si>
  <si>
    <t>Vytvořit nové portfolio</t>
  </si>
  <si>
    <t>Opret ny portefølje</t>
  </si>
  <si>
    <t>Neues Depot anlegen</t>
  </si>
  <si>
    <t>Δημιουργία νέου χαρτοφυλακίου</t>
  </si>
  <si>
    <t>Crear una nueva cartera.</t>
  </si>
  <si>
    <t>Luo uusi salkku</t>
  </si>
  <si>
    <t>Créer un nouveau portefeuille</t>
  </si>
  <si>
    <t>नया पोर्टफोलियो बनाएँ</t>
  </si>
  <si>
    <t>Új portfólió létrehozása</t>
  </si>
  <si>
    <t>Buat portofolio baru</t>
  </si>
  <si>
    <t>Crea nuovo portafoglio</t>
  </si>
  <si>
    <t>צור תיק השקעות חדש</t>
  </si>
  <si>
    <t>新しいポートフォリオを作成</t>
  </si>
  <si>
    <t>새 포트폴리오 생성</t>
  </si>
  <si>
    <t>Wujudkan portfolio baru</t>
  </si>
  <si>
    <t>Creër nieuwe portfeuille</t>
  </si>
  <si>
    <t>Lag ny portefølje</t>
  </si>
  <si>
    <t>Utwórz nowy portfel</t>
  </si>
  <si>
    <t>Criar uma nova carteira</t>
  </si>
  <si>
    <t>Создать портфель</t>
  </si>
  <si>
    <t>Vytvoriť nové portfólio</t>
  </si>
  <si>
    <t>Ustvari nov portfelj</t>
  </si>
  <si>
    <t>Kreiraj novi portfolio</t>
  </si>
  <si>
    <t>Skapa ny portfölj</t>
  </si>
  <si>
    <t>สร้างพอร์ตใหม่</t>
  </si>
  <si>
    <t>Yeni portföy oluşturun</t>
  </si>
  <si>
    <t>Tạo danh mục đầu tư mới</t>
  </si>
  <si>
    <t>建立新投资组合</t>
  </si>
  <si>
    <t>&gt;建立新投資組合</t>
  </si>
  <si>
    <t>tt_daterange_small_1month</t>
  </si>
  <si>
    <t>1M</t>
  </si>
  <si>
    <t>1K</t>
  </si>
  <si>
    <t>1महीना</t>
  </si>
  <si>
    <t>1Hó</t>
  </si>
  <si>
    <t>1B</t>
  </si>
  <si>
    <t>1М</t>
  </si>
  <si>
    <t>1Th</t>
  </si>
  <si>
    <t>tt_missing_username</t>
  </si>
  <si>
    <t>Please enter your username.</t>
  </si>
  <si>
    <t>يُرجى إدخال اسم المستخدم.</t>
  </si>
  <si>
    <t>Моля, въведете вашето потребителско име.</t>
  </si>
  <si>
    <t>Zadejte své uživatelské jméno.</t>
  </si>
  <si>
    <t>Indtast dit brugernavn.</t>
  </si>
  <si>
    <t>Geben Sie ihren Benutzernamen ein.</t>
  </si>
  <si>
    <t>Εισαγάγετε το όνομα χρήστη σας.</t>
  </si>
  <si>
    <t>Por favor, introduzca su nombre de usuario.</t>
  </si>
  <si>
    <t>Anna käyttäjänimesi.</t>
  </si>
  <si>
    <t>Entrez votre identifiant</t>
  </si>
  <si>
    <t>अपना यूजरनेम दर्ज करें।</t>
  </si>
  <si>
    <t>Kérjük, adja meg felhasználónevét</t>
  </si>
  <si>
    <t>Sila masukkan nama pengguna anda.</t>
  </si>
  <si>
    <t>אנא הזן שם משתמש.</t>
  </si>
  <si>
    <t>ユーザー名を入力してください</t>
  </si>
  <si>
    <t>사용자 이름을 입력하세요.</t>
  </si>
  <si>
    <t>Vul uw gebruikersnaam in.</t>
  </si>
  <si>
    <t>Oppgi brukernavnet ditt.</t>
  </si>
  <si>
    <t>Wpisz nazwę użytkownika.</t>
  </si>
  <si>
    <t>Por favor inserir o nome do usuário</t>
  </si>
  <si>
    <t>Пожалуйста,введите имя пользователя</t>
  </si>
  <si>
    <t>Zadajte svoje používateľské meno.</t>
  </si>
  <si>
    <t>Vnesite svoje uporabniško ime.</t>
  </si>
  <si>
    <t>unesite Vaše korisničko ime</t>
  </si>
  <si>
    <t>Ange ditt användarnamn.</t>
  </si>
  <si>
    <t>โปรดป้อนชื่อผู้ใช้</t>
  </si>
  <si>
    <t>Lütfen kullanıcı adınızı girin.</t>
  </si>
  <si>
    <t>Vui lòng điền tên đăng nhập.</t>
  </si>
  <si>
    <t>请输入您的用户名称</t>
  </si>
  <si>
    <t>&gt;請輸入您的用戶名稱</t>
  </si>
  <si>
    <t>tt_info_reviewinappstore</t>
  </si>
  <si>
    <t>Rate in the App Store</t>
  </si>
  <si>
    <t>تقييم في متجر App Store</t>
  </si>
  <si>
    <t>Оценете в App Store</t>
  </si>
  <si>
    <t>Ohodnoťte v App Store</t>
  </si>
  <si>
    <t>Bedøm i App Store</t>
  </si>
  <si>
    <t>Bewertung im App Store</t>
  </si>
  <si>
    <t>Βαθμολογήστε στο App Store</t>
  </si>
  <si>
    <t>Clasifíquenos en App Store</t>
  </si>
  <si>
    <t>Arvostele App Storessa</t>
  </si>
  <si>
    <t>Notez-nous dans l\'App Store</t>
  </si>
  <si>
    <t>ऐप स्टोर में रेट करें</t>
  </si>
  <si>
    <t>Értékelés az App Store-ban</t>
  </si>
  <si>
    <t>Ulasan di App Store</t>
  </si>
  <si>
    <t>Giudica in App Store</t>
  </si>
  <si>
    <t>דרג בחנות האפליקציות</t>
  </si>
  <si>
    <t>このアプリを評価</t>
  </si>
  <si>
    <t>앱스토어에서 평가하기</t>
  </si>
  <si>
    <t>Nilaikan di App Store</t>
  </si>
  <si>
    <t>Geef uw waardering in de App store</t>
  </si>
  <si>
    <t>Vurder i App Store</t>
  </si>
  <si>
    <t>Ocena w App Store</t>
  </si>
  <si>
    <t>Avaliar no App Store</t>
  </si>
  <si>
    <t>Оценить в App Store</t>
  </si>
  <si>
    <t>Ocenite v App Store</t>
  </si>
  <si>
    <t>Oceni u App Stoore-u</t>
  </si>
  <si>
    <t>Betygsätt i App Store</t>
  </si>
  <si>
    <t>ให้คะแนนใน App Store</t>
  </si>
  <si>
    <t>App Store\'da Değerlendirme Yap</t>
  </si>
  <si>
    <t>Đánh giá trên App Store</t>
  </si>
  <si>
    <t>在App Store的评级</t>
  </si>
  <si>
    <t>&gt;在App Store的評級</t>
  </si>
  <si>
    <t>pref_video_compression</t>
  </si>
  <si>
    <t>Video Quality</t>
  </si>
  <si>
    <t>Качество на видеото</t>
  </si>
  <si>
    <t>Videoqualität</t>
  </si>
  <si>
    <t>Calidad del video</t>
  </si>
  <si>
    <t>Qualité de la vidéo</t>
  </si>
  <si>
    <t>Calidade de vídeo</t>
  </si>
  <si>
    <t>Videó minőség</t>
  </si>
  <si>
    <t>Qualità video</t>
  </si>
  <si>
    <t>Videokwaliteit</t>
  </si>
  <si>
    <t>Jakość wideo</t>
  </si>
  <si>
    <t>vertical_axis</t>
  </si>
  <si>
    <t>Vertical axis</t>
  </si>
  <si>
    <t>محور رأسي</t>
  </si>
  <si>
    <t>Вертикална ос</t>
  </si>
  <si>
    <t>Svislá osa</t>
  </si>
  <si>
    <t>Lodret akse</t>
  </si>
  <si>
    <t>Vertikale Axe</t>
  </si>
  <si>
    <t>Κάθετος άξονας</t>
  </si>
  <si>
    <t>Eje vertical</t>
  </si>
  <si>
    <t>Pystyakseli</t>
  </si>
  <si>
    <t>Axe vertical</t>
  </si>
  <si>
    <t>ऊर्ध्वाधर अक्ष</t>
  </si>
  <si>
    <t>Függőleges tengely</t>
  </si>
  <si>
    <t>Sumbu vertikal</t>
  </si>
  <si>
    <t>Asse verticale</t>
  </si>
  <si>
    <t>ציר אנכי</t>
  </si>
  <si>
    <t>垂直軸</t>
  </si>
  <si>
    <t>수직 축</t>
  </si>
  <si>
    <t>Paksi menegak</t>
  </si>
  <si>
    <t>Verticale as</t>
  </si>
  <si>
    <t>Vertikal akse</t>
  </si>
  <si>
    <t>Oś pionowa</t>
  </si>
  <si>
    <t>Eixo vertical</t>
  </si>
  <si>
    <t>Вертикальная ось</t>
  </si>
  <si>
    <t>Vertikálna os</t>
  </si>
  <si>
    <t>Navpična os</t>
  </si>
  <si>
    <t>Vertikalna osa</t>
  </si>
  <si>
    <t>Vertikal axel</t>
  </si>
  <si>
    <t>แกนตั้ง</t>
  </si>
  <si>
    <t>Dikey eksen</t>
  </si>
  <si>
    <t>Trục tung</t>
  </si>
  <si>
    <t>垂直轴</t>
  </si>
  <si>
    <t>pick_your_username</t>
  </si>
  <si>
    <t>Pick your username</t>
  </si>
  <si>
    <t>إختر إسم المستخدم</t>
  </si>
  <si>
    <t>Изберете потребителското си име</t>
  </si>
  <si>
    <t>Tria el teu nom d\'usuari</t>
  </si>
  <si>
    <t>Wähle deinen Benutzernamen</t>
  </si>
  <si>
    <t>Elige tu nombre de usuario</t>
  </si>
  <si>
    <t>Choisissez votre nom d\'utilisateur</t>
  </si>
  <si>
    <t>Escolla un identificador</t>
  </si>
  <si>
    <t>Válassz felhasználónevet</t>
  </si>
  <si>
    <t>Pilih username anda</t>
  </si>
  <si>
    <t>Scegli il tuo nome utente</t>
  </si>
  <si>
    <t>ユーザー名を選択</t>
  </si>
  <si>
    <t>유저네임을 고르세요</t>
  </si>
  <si>
    <t>Kies je gebruikersnaam</t>
  </si>
  <si>
    <t>Wybierz nazwę użytkownika</t>
  </si>
  <si>
    <t>Escolha o seu nome de utilizador</t>
  </si>
  <si>
    <t>Выберите имя пользователя</t>
  </si>
  <si>
    <t>Одредите ваше корисничко име</t>
  </si>
  <si>
    <t>Välj användarnamn</t>
  </si>
  <si>
    <t>Оберіть Ваше ім\'я користувача</t>
  </si>
  <si>
    <t>輸入您的用戶名</t>
  </si>
  <si>
    <t>tt_fundprofile_biggest_positions</t>
  </si>
  <si>
    <t>Posiciones más grandes</t>
  </si>
  <si>
    <t>Principales positions</t>
  </si>
  <si>
    <t>Legnagyobb pozíció</t>
  </si>
  <si>
    <t>最大ポジション数</t>
  </si>
  <si>
    <t>Posições maiores</t>
  </si>
  <si>
    <t>Крупнейшие позиции</t>
  </si>
  <si>
    <t>pref_broadcast_last_activity</t>
  </si>
  <si>
    <t>Broadcast Last User Interaction</t>
  </si>
  <si>
    <t>Известяване за последното действие на потребителя</t>
  </si>
  <si>
    <t>Difusió de la interacció de l\'usuari anterior</t>
  </si>
  <si>
    <t>Letzte Benutzeraktivität veröffentlichen</t>
  </si>
  <si>
    <t>Informar de tu última interacción</t>
  </si>
  <si>
    <t>Diffuser la dernière action utilisateur</t>
  </si>
  <si>
    <t>Emitir a última interacción coa usuaria</t>
  </si>
  <si>
    <t>Legutolsó használat megadása</t>
  </si>
  <si>
    <t>Trasmetti ultima interazione utente</t>
  </si>
  <si>
    <t>最後のユーザー対話をブロードキャスト</t>
  </si>
  <si>
    <t>마지막 사용자 대화를 방송</t>
  </si>
  <si>
    <t>Laatste gebruikersinteractie uitzenden</t>
  </si>
  <si>
    <t>Dziel się ostatnią interakcją</t>
  </si>
  <si>
    <t>Оповещать о взаимодействии</t>
  </si>
  <si>
    <t>Објављуј последњу активност</t>
  </si>
  <si>
    <t>Meddela din senaste aktivit</t>
  </si>
  <si>
    <t>Транслювати останню активність користувача</t>
  </si>
  <si>
    <t>廣播最後打開該應用的時間</t>
  </si>
  <si>
    <t>use_camera_icon_to_scan_barcode</t>
  </si>
  <si>
    <t>Use the camera to scan a contact’s barcode</t>
  </si>
  <si>
    <t>إستخدم آلة التصوير لمسح شفرة التعرف على مراسلك</t>
  </si>
  <si>
    <t>Използвайте камерата, за да сканирате баркода на контакт</t>
  </si>
  <si>
    <t>Utilitzeu la càmera per escanejar el codi de barres d\'un contacte</t>
  </si>
  <si>
    <t>Nutze Kamera, um Barcodes deiner Kontakte zu scannen</t>
  </si>
  <si>
    <t>Usa la cámara para escanear el código QR del contacto</t>
  </si>
  <si>
    <t>Utilisez l\'appareil photo pour scanner le code-barres d\'un contact</t>
  </si>
  <si>
    <t>Utilice a cámara para escanear o código de barras do contacto</t>
  </si>
  <si>
    <t>Használja a kamerát, hogy beolvassa az ismerős vonalkódját</t>
  </si>
  <si>
    <t>Usa la fotocamera per scansionare il codice a barre di un contatto</t>
  </si>
  <si>
    <t>カメラを使用して連絡先のバーコードをスキャンします</t>
  </si>
  <si>
    <t>Gebruik de camera om de streepjescode van een contact te scannen</t>
  </si>
  <si>
    <t>Użyj aparatu, aby zeskanować kod kreskowy kontaktu.</t>
  </si>
  <si>
    <t>Используйте камеру для сканирования штрихкода контакта</t>
  </si>
  <si>
    <t>Користи камеру за очитавање контактова бар-кôда</t>
  </si>
  <si>
    <t>Använd kameran för att scanna en kontakts streckkod</t>
  </si>
  <si>
    <t>Використайте камеру для сканування QR-коду контакту</t>
  </si>
  <si>
    <t>使用相機來掃描聯絡人的條碼</t>
  </si>
  <si>
    <t>tt_gold</t>
  </si>
  <si>
    <t>verifying</t>
  </si>
  <si>
    <t>Verifying…</t>
  </si>
  <si>
    <t>Потвърждаване…</t>
  </si>
  <si>
    <t>Überprüfen...</t>
  </si>
  <si>
    <t>Verificando...</t>
  </si>
  <si>
    <t>Validando...</t>
  </si>
  <si>
    <t>Ellenőrzés...</t>
  </si>
  <si>
    <t>Verifica…</t>
  </si>
  <si>
    <t>検証しています…</t>
  </si>
  <si>
    <t>Bezig met verifiëren...</t>
  </si>
  <si>
    <t>Weryfikowanie...</t>
  </si>
  <si>
    <t>iraq</t>
  </si>
  <si>
    <t>Iraq</t>
  </si>
  <si>
    <t>Irak</t>
  </si>
  <si>
    <t>Ирак</t>
  </si>
  <si>
    <t>ignore</t>
  </si>
  <si>
    <t>Ignore</t>
  </si>
  <si>
    <t>تجاهل</t>
  </si>
  <si>
    <t>Пренебрегване</t>
  </si>
  <si>
    <t>Ignora</t>
  </si>
  <si>
    <t>Ignorieren</t>
  </si>
  <si>
    <t>Ignorar</t>
  </si>
  <si>
    <t>Ignorer</t>
  </si>
  <si>
    <t>Mellőz</t>
  </si>
  <si>
    <t>Abaikan</t>
  </si>
  <si>
    <t>無視</t>
  </si>
  <si>
    <t>무시</t>
  </si>
  <si>
    <t>Negeren</t>
  </si>
  <si>
    <t>Ignoruj</t>
  </si>
  <si>
    <t>Игнорировать</t>
  </si>
  <si>
    <t>Ignorovať</t>
  </si>
  <si>
    <t>Занемари</t>
  </si>
  <si>
    <t>Ignorera</t>
  </si>
  <si>
    <t>Ігнорувати</t>
  </si>
  <si>
    <t>忽略</t>
  </si>
  <si>
    <t>tt_pf_sell</t>
  </si>
  <si>
    <t>Verkaufen</t>
  </si>
  <si>
    <t>Sprzedaj</t>
  </si>
  <si>
    <t>iran</t>
  </si>
  <si>
    <t>Iran, Islamic Republic of</t>
  </si>
  <si>
    <t>Iran</t>
  </si>
  <si>
    <t>Irán</t>
  </si>
  <si>
    <t>Iran (République islamique de)</t>
  </si>
  <si>
    <t>Исламская Республика Иран</t>
  </si>
  <si>
    <t>presence_dnd</t>
  </si>
  <si>
    <t>Busy</t>
  </si>
  <si>
    <t>Зает</t>
  </si>
  <si>
    <t>Ocupat</t>
  </si>
  <si>
    <t>Beschäftigt</t>
  </si>
  <si>
    <t>Ocupado</t>
  </si>
  <si>
    <t>Occupé</t>
  </si>
  <si>
    <t>Ocupada</t>
  </si>
  <si>
    <t>Elfoglalt</t>
  </si>
  <si>
    <t>Sibuk</t>
  </si>
  <si>
    <t>Occupato</t>
  </si>
  <si>
    <t>取込中</t>
  </si>
  <si>
    <t>바쁨</t>
  </si>
  <si>
    <t>Bezig</t>
  </si>
  <si>
    <t>Zajęty</t>
  </si>
  <si>
    <t>Занят</t>
  </si>
  <si>
    <t>Заузет</t>
  </si>
  <si>
    <t>Upptagen</t>
  </si>
  <si>
    <t>Зайняти</t>
  </si>
  <si>
    <t>忙碌</t>
  </si>
  <si>
    <t>without_mutual_presence_updates</t>
  </si>
  <si>
    <t>경고: 상호간의 프레즌스 업데이트 없이 이것을 보내면 예기치 못한 문제를 발생시킬 수 있습니다. 당신의 프레즌스 구독을 검증하기 위해 연락처 상세 정보로 가세요.</t>
  </si>
  <si>
    <t>&lt;b警告:&lt;/b在沒有相互更新線上連絡人的情況下發送將會出現未知問題。\n\n&lt;small前往連絡人詳情以驗證您訂閱的線上連絡人。&lt;/small</t>
  </si>
  <si>
    <t>video</t>
  </si>
  <si>
    <t>فيديو</t>
  </si>
  <si>
    <t>видео</t>
  </si>
  <si>
    <t>Video</t>
  </si>
  <si>
    <t>vídeo</t>
  </si>
  <si>
    <t>vidéo</t>
  </si>
  <si>
    <t>videó</t>
  </si>
  <si>
    <t>ビデオ</t>
  </si>
  <si>
    <t>비디오</t>
  </si>
  <si>
    <t>plik wideo</t>
  </si>
  <si>
    <t>відео</t>
  </si>
  <si>
    <t>影片</t>
  </si>
  <si>
    <t>metals_txt</t>
  </si>
  <si>
    <t>Edelmetalle</t>
  </si>
  <si>
    <t>les métaux</t>
  </si>
  <si>
    <t>send_message_to_x</t>
  </si>
  <si>
    <t>Send message to %s</t>
  </si>
  <si>
    <t>إبعث رسالة إلى %s</t>
  </si>
  <si>
    <t>Изпращане на съобщение до %s</t>
  </si>
  <si>
    <t>Envia un missatge a %s</t>
  </si>
  <si>
    <t>Sende Nachricht an %s</t>
  </si>
  <si>
    <t>Enviar mensaje a %s</t>
  </si>
  <si>
    <t>Envoyer un message à %s</t>
  </si>
  <si>
    <t>Enviar mensaxe a 1%s</t>
  </si>
  <si>
    <t>Üzenet elküldése %s számára</t>
  </si>
  <si>
    <t>Invia messaggio a %s</t>
  </si>
  <si>
    <t>メッセージを %s に送信</t>
  </si>
  <si>
    <t>%s 에게 매세지 보내기</t>
  </si>
  <si>
    <t>Bericht sturen naar %s</t>
  </si>
  <si>
    <t>Wyślij wiadomość do %s</t>
  </si>
  <si>
    <t>Enviar mensagem para %s</t>
  </si>
  <si>
    <t>Сообщение для %s</t>
  </si>
  <si>
    <t>Пошаљи поруку за %s</t>
  </si>
  <si>
    <t>Skicka meddelande till %s</t>
  </si>
  <si>
    <t>%s \'ye mesaj gönder</t>
  </si>
  <si>
    <t>Відправити повідомлення до %s</t>
  </si>
  <si>
    <t>Gửi tin nhắn đến %s</t>
  </si>
  <si>
    <t>送訊息給 %s</t>
  </si>
  <si>
    <t>members_only</t>
  </si>
  <si>
    <t>Private, members only</t>
  </si>
  <si>
    <t>سرِّي ، للأعضاء فقط</t>
  </si>
  <si>
    <t>Частно, само за членове</t>
  </si>
  <si>
    <t>Privat, només membres</t>
  </si>
  <si>
    <t>Privat, nur Mitglieder</t>
  </si>
  <si>
    <t>Privada, solo miembros</t>
  </si>
  <si>
    <t>Privé, membres uniquement</t>
  </si>
  <si>
    <t>Privada, só para membros</t>
  </si>
  <si>
    <t>Privát, csak tagoknak</t>
  </si>
  <si>
    <t>Privato, solo membri</t>
  </si>
  <si>
    <t>プライベート、メンバーのみ</t>
  </si>
  <si>
    <t>멤버 전용 (사설)</t>
  </si>
  <si>
    <t>Privé, enkel leden</t>
  </si>
  <si>
    <t>Prywatne, tylko dla członków.</t>
  </si>
  <si>
    <t>Privado, apenas membros</t>
  </si>
  <si>
    <t>Приватная</t>
  </si>
  <si>
    <t>Лична, само чланови</t>
  </si>
  <si>
    <t>Privat, medlemsskap krävs</t>
  </si>
  <si>
    <t>Приватно, лише для членів</t>
  </si>
  <si>
    <t>Riêng, chỉ dành cho thành viên</t>
  </si>
  <si>
    <t>私密，只有成員可以加入</t>
  </si>
  <si>
    <t>tt_edgar_cash_flow_statement</t>
  </si>
  <si>
    <t>Cash Flow Statement</t>
  </si>
  <si>
    <t>بيان التدفقات النقدية</t>
  </si>
  <si>
    <t>Отчет за паричните потоци</t>
  </si>
  <si>
    <t>Výkaz peněžních toků</t>
  </si>
  <si>
    <t>Pengestrømsopgørelse</t>
  </si>
  <si>
    <t>Cash Flow Rechnung</t>
  </si>
  <si>
    <t>Κατάσταση Ταμειακών Ροών</t>
  </si>
  <si>
    <t>Estado de flujo de efectivo</t>
  </si>
  <si>
    <t>Kassavirtalaskelma</t>
  </si>
  <si>
    <t>Tableau de flux de trésorerie</t>
  </si>
  <si>
    <t>नकदी प्रवाह का विवरण</t>
  </si>
  <si>
    <t>Laporan arus kas</t>
  </si>
  <si>
    <t>Flusso di cassa</t>
  </si>
  <si>
    <t>דוח תזרים מזומנים</t>
  </si>
  <si>
    <t>キャッシュフロー計算書</t>
  </si>
  <si>
    <t>현금흐름 상태</t>
  </si>
  <si>
    <t>Penyata Aliran Tunai</t>
  </si>
  <si>
    <t>Kontantstrømoppstilling</t>
  </si>
  <si>
    <t>Sprawozdanie z przepływów pieniężnych</t>
  </si>
  <si>
    <t>Demonstração dos Fluxos de Caixa</t>
  </si>
  <si>
    <t>Отчёт о денежных потоках</t>
  </si>
  <si>
    <t>Výkaz o peňažných tokoch</t>
  </si>
  <si>
    <t>Izkaz denarnih tokov</t>
  </si>
  <si>
    <t>Izveštaj o tokovima gotovine</t>
  </si>
  <si>
    <t>Kassaflödesanalys</t>
  </si>
  <si>
    <t>งบกระแสเงินสด</t>
  </si>
  <si>
    <t>Nakit Akıt Tablosu</t>
  </si>
  <si>
    <t>Báo cáo lưu chuyển tiền tệ</t>
  </si>
  <si>
    <t>现金流动表</t>
  </si>
  <si>
    <t>tt_iosbridge_createnewuser_mail_body</t>
  </si>
  <si>
    <t>Many thanks for registering a user account on the baha iPhone App! The user access you have created is valid both on your iPhone and on the baha.com financial portal at http://www.baha.com/. It can also be used with baha Mobile (http://m.baha.com) in the web browser on any Smartphone. &amp;lt;br/&amp;gt;&amp;lt;br/&amp;gt;Apart from stocks, commodities like metals (gold, silver, platinum, palladium) and energy, agricultural or livestock products, also bonds and funds are covered. We have included real-time data from Tradegate and Lang &amp;amp; Schwarz as well as the most important currencies. The entire application features live push prices, which means as long as an Internet connection is available, no manual reloading of the data will be necessary.&amp;lt;br/&amp;gt;&amp;lt;br/&amp;gt;Personal watch lists, virtual portfolios and alerts can be set and used jointly on all platforms. In addition, you can upload baha Professional workspaces onto the iPhone App and baha Mobile and browse through them on your mobile phone. With the alert service, limits can be defined and alarms will be sent automatically by Apple Push, e-mail, and text message and daily recurring lists of securities can be sent automatically by e-mail.&amp;lt;br/&amp;gt;&amp;lt;br/&amp;gt;Your user name: [userName]&amp;lt;br/&amp;gt;&amp;lt;br/&amp;gt;Sincerely,&amp;lt;br/&amp;gt;the baha Financial Portal Team &amp;lt;br/&amp;gt;</t>
  </si>
  <si>
    <t>شكرًا جزيلاً لتسجيل حساب مستخدم في تطبيق TeleTrader على هاتف آيفون! يُعد وصول المستخدم الذي قمت بإنشائه صالحًا على جهازك المحمول وعلى بوابة TeleTrader.com المالية على http://www.teletrader.com/. كما يمكن استخدامه مع تطبيق TeleTrader للهاتف الجوال (http://m.teletrader.com) في متصفح الويب على أي هاتف ذكي. &amp;lt;br/&amp;gt;&amp;lt;br/&amp;gt; بصرف النظر عن الأسهم والسلع مثل المعادن (الذهب والفضة والبلاتين والبلاديوم) والطاقة والمنتجات الزراعية والحيوانية، يتم تغطية السندات والأموال أيضًا. لقد قمنا بتضمين بيانات في الوقت الفعلي من Tradegate و Lang &amp;amp; Schwarz بالإضافة إلى أهم العملات. يتميز التطبيق بأكمله بإعلامات الأسعار المباشرة، وهو ما يعني أنه طالما يتوفر اتصال بالإنترنت، فلن يكون من الضروري إعادة تحميل البيانات يدويًا.&amp;lt;br/&amp;gt;&amp;lt;br/&amp;gt;يمكن ضبط قوائم المتابعة الشخصية والمحافظ الافتراضية والتنبيهات واستخدامها بشكل مشترك على جميع المنصات. بالإضافة إلى ذلك، يمكنك تحميل مساحات عمل TeleTrader Professional على iPhone App و TeleTrader Mobile وتصفحها من خلال هاتفك المحمول. مع خدمة التنبيه، يمكن تحديد الحدود وسيتم إرسال التنبيهات تلقائيًا عن طريق خدمة الإعلام من Apple والبريد الإلكتروني والرسائل النصية، كما يمكن إرسال القوائم المتكررة للأوراق المالية تلقائيًا عن طريق البريد الإلكتروني.&amp;lt;br/&amp;gt;&amp;lt;br/&amp;gt;اسم المستخدم: [اسم المستخدم]&amp;lt;br/&amp;gt;&amp;lt;br/&amp;gt;مع خالص التقدير،&amp;lt;br/&amp;gt;فريق TeleTrader Financial Portal Team &amp;lt;br/&amp;gt;</t>
  </si>
  <si>
    <t>Благодарим ви за регистрацията на потребителски акаунт в приложението TeleTrader iPhone! Потребителският достъп, който сте създали, е валиден както на вашия iPhone, така и на финансовия портал на TeleTrader.com на адрес http://www.teletrader.com/. Може да се използва и с TeleTrader Mobile (http://m.teletrader.com) в уеб браузъра на всеки смартфон. &amp;amp;lt,br/&amp;amp;gt,&amp;amp;lt,br/&gt;gt Освен акции се покриват стоки като метали (злато, сребро, платина, паладий) и енергия, селскостопански или животински продукти, също облигации и фондове. Включихме данни в реално време от Tradegate и Lang &amp;amp;, Schwarz, както и най-важните валути. Цялото приложение разполага с push цени на живо, което означава, че докато е налична интернет връзка, няма да е необходимо ръчно презареждане на данните.&amp;amp;lt,br/&amp;amp;gt,&amp;amp;lt,br/&amp;amp;gt Персонални уочлисти виртуални портфолиа и сигнали могат да бъдат задавани и използвани едновременно на всички платформи. В допълнение можете да качвате TeleTrader Professional работни пространства в приложението за iPhone и TeleTrader Mobile и да ги разглеждате на мобилния си телефон. С услугата за известяване могат да бъдат определени лимити и известията ще бъдат изпращани автоматично от Apple Push, имейл и текстово съобщение и ежедневно повтарящи се списъци с ценни книжа могат да бъдат изпращани автоматично по имейл.&amp;amp;lt,br/&amp;amp;gt,&amp;amp;lt,br/&amp;amp;gt,Вашето потребителско име: [userName]&amp;amp;lt,br/&amp;amp;gt,&amp;amp;lt,br/&amp;amp;gt,С уважение,&amp;amp;lt,br/&amp;amp;gt,Екипът на Финансовия портал на TeleTrader &amp;amp;lt,br/&amp;amp;gt,</t>
  </si>
  <si>
    <t>Děkujeme za registraci uživatelského účtu v aplikaci TeleTrader pro iPhone! Uživatelský přístup, který jste vytvořili, je platný jak na Vašen iPhone, tak i na finančním portálu TeleTrader.com na adrese http://www.teletrader.com/. Lze jej také používat s TeleTrader Mobile (http://m.teletrader.com) ve webovém prohlížeči na jakémkoli smartphonu. &amp;lt,br/&amp;gt,&amp;lt,br/&amp;gt,Kromě akcií jsou pokryty i komodity jako kovy (zlato, stříbro, platina, palladium) a energie, zemědělské a dobytkářské produkty, ale i dluhopisy a fondy. Zahrnuli jsme údaje v reálném čase od Tradegate a Lang &amp;amp, Schwarz jakož i nejdůležitější měny. Celá aplikace obsahuje živé push ceny, což znamená, že pokud je k dispozici připojení k internetu, není nutné manuální opětovné načítání dat.&amp;lt,br/&amp;gt,&amp;lt,br/&amp;gt,Lze nastavit osobní seznamy, virtuální portfolia a výstrahy a používat je společně na všech platformách. Kromě toho můžete do aplikací pro iPhone a TeleTrader Mobile nahrát pracovní prostory TeleTrader Professional a procházet je na svém mobilním telefonu. Se službou výstrah lze definovat meze a výstrahy budou automaticky zasílány prostřednictvím Apple Push, e-mailem, a textové zprávy a denní opakující se seznamy cenných papírů lze zasílat automaticky e-mailem.&amp;lt,br/&amp;gt,&amp;lt,br/&amp;gt,Vaše uživatelské jméno: [userName]&amp;lt,br/&amp;gt,&amp;lt,br/&amp;gt,S pozdravem&amp;lt,br/&amp;gt,Tým finančního portálu TeleTrader &amp;lt,br/&amp;gt,</t>
  </si>
  <si>
    <t>Mange tak for at registrere en brugerkonto på TeleTrader iPhone-appen! Den brugeradgang, du har oprettet, er gyldig både på din iPhone og på TeleTrader.coms økonomiske portal på http://www.teletrader.com/. Den kan også bruges med TeleTrader Mobile (http://m.teletrader.com) i webbrowseren på enhver Smartphone. &amp;lt,br/&amp;gt,&amp;lt,br/&amp;gt,Bortset fra aktier, er råvarer som metaller (guld, sølv, platin, palladium) og energi, landbrugsprodukter eller husdyrprodukter, obligationer og fonde også dækket. Vi har inkluderet data i realtid fra Tradegate og Lang &amp; amp, Schwarz samt de vigtigste valutaer. Hele applikationen har live-push-priser, hvilket betyder, at så længe en internetforbindelse er tilgængelig, er ingen manuel genindlæsning af dataene nødvendig.&amp;lt,br/&amp;gt,&amp;lt,br/&amp;gt,personlige overvågningslister, virtuelle porteføljer og alarmer kan indstilles og bruges sammen på alle platforme. Derudover kan du uploade TeleTrader Professionel-arbejdsområder til iPhone-appen og TeleTrader Mobile og gennemse dem på din mobiltelefon. Med alarmtjenesten kan grænser defineres, og alarmer sendes automatisk af Apple Push, e-mail og sms, og daglige tilbagevendende lister over værdipapirer kan sendes automatisk med e-mail.&amp;lt,br/&amp;gt,&amp;lt,br/&amp;gt,Dit brugernavn: [brugernavn]&amp;lt,br/&amp;gt,&amp;lt,br/&amp;gt,Med venlig hilsen,&amp;lt,br/&amp;gt,TeleTrader Financial Portal Team &amp;lt,br/&amp;gt,</t>
  </si>
  <si>
    <t>Vielen Dank für Ihre Registrierung in der baha iPhone App! Der von Ihnen erstellte Benutzerzugang ist sowohl am iPhone als auch am baha Finanzportal unter http://www.baha.com/ gültig. Genauso kann dieser mit baha Mobile (http://m.baha.com) auf allen Smartphones im Webbrowser verwendet werden. &amp;lt;br/&amp;gt;&amp;lt;br/&amp;gt;Neben weltweiten Aktientiteln sind insbesondere Rohstoffe wie Edelmetalle (Gold, Silber, Platin, Palladium) oder Energie, Landwirtschats- od. Tierprodukte aber auch Anleihen und Fonds abgedeckt. Weiters haben wir Echtzeitdaten von Tradegate und Lang &amp;amp; Schwarz sowie von den wichtigsten Währungen inkludiert. Die gesamte Applikation ist mit Push Kursen hinterlegt, d.h. solange eine Internetverbindung besteht ist kein manuelles neu Laden der Daten notwendig.&amp;lt;br/&amp;gt;&amp;lt;br/&amp;gt;Persönliche Kurslisten, virtuelle Depots und Limits können auf allen Plattformen gemeinsam genutzt werden. Zusätzlich können Sie &amp;lt;a href=\"http://professional.baha.com\"&amp;gt;baha Professional&amp;lt;/a&amp;gt; Arbeitsbereiche in die iPhone App und auf Mobile hochladen. Mit dem Limit-Service können Kursalarme per Apple Push, E-Mail und SMS und täglich wiederkehrend Wertpapierlisten per E-Mail automatisch verschickt werden.&amp;lt;br/&amp;gt;&amp;lt;br/&amp;gt;Ihr Benutzername: [userName]&amp;lt;br/&amp;gt;&amp;lt;br/&amp;gt;Mit besten Grüßen&amp;lt;br/&amp;gt;Ihr baha Finanzportal Team &amp;lt;br/&amp;gt;</t>
  </si>
  <si>
    <t>Ευχαριστούμε πολύ για την εγγραφή λογαριασμού χρήστη στην εφαρμογή TeleTrader για iPhone! Η πρόσβαση χρήστη που έχετε δημιουργήσει είναι έγκυρη τόσο στο iPhone σας όσο και στη χρηματοοικονομική πύλη TeleTrader.com στη διεύθυνση http://www.teletrader.com/. Μπορεί επίσης να χρησιμοποιηθεί με το TeleTrader Mobile (http://m.teletrader.com) σε πρόγραμμα περιήγησης σε οποιοδήποτε Smartphone. &amp; lt,br/&amp; gt,&amp; lt,br/&amp; gt,Εκτός από τις μετοχές, καλύπτονται προϊόντα όπως μέταλλα (χρυσός, ασήμι, πλατίνα, παλλάδιο) και προϊόντα ενέργειας, γεωργίας ή κτηνοτροφικά, καθώς και ομόλογα και κεφάλαια. Έχουμε συμπεριλάβει δεδομένα σε πραγματικό χρόνο από το Tradegate και το Lang &amp; amp, Schwarz, καθώς και τα πιο σημαντικά νομίσματα. Ολόκληρη η εφαρμογή διαθέτει τιμές push σε πραγματικό χρόνο, που σημαίνει ότι όσο υπάρχει διαθέσιμη σύνδεση στο Διαδίκτυο, δεν θα απαιτείται χειροκίνητη επαναφόρτωση των δεδομένων.&amp; Lt,br/&amp; gt,&amp; lt,br/&amp; gt,Προσωπικές λίστες παρακολούθησης, εικονικά χαρτοφυλάκια και ειδοποιήσεις μπορούν να ρυθμιστούν και να χρησιμοποιηθούν από κοινού σε όλες τις πλατφόρμες. Επιπλέον, μπορείτε να ανεβάσετε τους χώρους εργασίας TeleTrader Professional στην εφαρμογή για iPhone και στο TeleTrader Mobile και να περιηγηθείτε σε αυτές μέσω κινητού. Με την υπηρεσία ειδοποίησης, μπορούν να καθοριστούν όρια και να αποστέλλονται ειδοποιήσεις αυτόματα από το Apple Push, e-mail και να αποστέλλονται γραπτά μηνύματα και καθημερινές επαναλαμβανόμενες λίστες με τίτλους αυτόματα μέσω e-mail.&amp; Lt, br/&amp; gt,&amp; lt, br/&amp; gt, Το όνομα χρήστη σας: [userName]&amp; lt, br/&amp; gt,&amp; lt, br/&amp; gt, Με εκτίμηση,&amp; lt, br/&amp; gt, η Ομάδα χρηματοοικονομικής πύλης TeleTrader &amp; lt, br/&amp; gt,</t>
  </si>
  <si>
    <t xml:space="preserve">¡Muchas gracias por registrar su cuenta en baha iPhone App! El acceso de usuario que acaba de crear es válido tanto en su iPhone como en el Portal Financiero baha.com en la dirección http://www.baha.com/. De igual modo, se puede usar </t>
  </si>
  <si>
    <t>Kiitos käyttäjätilin rekisteröimisestä TeleTrader iPhone App -sovellukseen! Luomasi käyttäjän käyttöoikeudet ovat voimassa sekä iPhonessa että TeleTrader.com-rahoitusportaalissa osoitteessa http://www.teletrader.com/. Sitä voidaan käyttää myös TeleTrader Mobilen (http://m.teletrader.com) kanssa millä tahansa älypuhelimen selaimella. &amp; lt,br/&amp; gt,&amp; lt,br/&amp; gt,Osakkeiden lisäksi katamme hyödykkeitä, kuten metalleja (kulta, hopea, platina, palladium) ja energiaa, maatalous- tai karjatuotteita, sekä joukkovelkakirjalainoja ja rahastoja. Olemme sisällyttäneet reaaliaikaiset tiedot Tradegatesta, Lang &amp; amp, Schwarzista sekä tärkeimmät valuutat. Koko sovellus sisältää reaaliaikaiset push-hinnat, mikä tarkoittaa, että niin kauan kuin Internet-yhteys on käytettävissä, tietojen manuaalinen uudelleenlataus ei ole tarpeen.&amp; Lt, br/&amp; gt,&amp; lt, br/&amp; gt, Henkilökohtaiset tarkkailulistatt, virtuaaliset salkut ja hälytykset ovat asetettavissa ja käytettävissä yhdessä kaikilla alustoilla. Lisäksi voit lähettää TeleTrader Professional -työtiloja iPhone App- ja TeleTrader Mobile -sovelluksiin ja selata niitä matkapuhelimellasi. Hälytyspalvelun avulla voidaan määritellä rajat, ja hälytykset lähetetään automaattisesti Apple Push -sovelluksella, sähköpostilla, ja päivittäin toistuvat arvopaperiluettelot voidaan lähettää automaattisesti sähköpostitse.&amp; Lt, br/&amp; gt,&amp; lt, br/&amp; gt, Käyttäjätunnuksesi: [käyttäjänimi]&amp; lt, br/&amp; gt,&amp; lt, br/&amp; gt, Ystävällisin terveisin,&amp; lt, br/&amp; gt, TeleTrader Financial Portal Team -tiimi &amp; lt, br/&amp; gt,</t>
  </si>
  <si>
    <t>Nous vous remercions de la création de votre compte sur notre Appli Android! Votre identifiant est valide à la fois sur votre mobile ou tablette et sur notre portail web http://www.teletrader.com/ Vous pouvez également l\'utiliser pour vous connecter sur TeleTrader Mobile (http://m.teletrader.com) à partir de votre Smartphone. En plus des actions, matières premières comme les métaux (or, argent, platine, palladium) ou l‘énergie et les produits agricoles, vous pouvez également trouver des informations sur les obligations et fonds. Nous avons également inclus des données de Tradegate et Lang &amp;amp; Schwarz ainsi que les principales devises. L\'application comporte des prix en temps réel, ce qui signifie que tant que vous êtes connecté à Internet, vous n\'avez pas besoin d\'actualiser la page manuellement.Vous pouvez créer des listes personnelles de valeurs, des alertes, des portefeuilles virtuels, auquels vous pourrez ensuite accéder sur toutes les plates-formes. De plus, vous pouvez télécharger le poste de travail TeleTrader Professional dans l\'appli Android et sur TeleTrader Mobile et naviguer à partir de votre portable.Grace aux alertes, vous pouvez définir des limites sur les différents cours, et recevoir des notifications push, email et SMS ainsi qu\'une liste de symboles récurrents envoyée automatiquement par e-mail chaque jour. L\'équipe TeleTrader Financial Portal</t>
  </si>
  <si>
    <t>टेलीट्रेडर आईफोन ऐप पर प्रयोक्ता खाता पंजीकृत करने के लिए बहुत-बहुत धन्यवाद! आपके द्वारा बनाया गया प्रयोक्ता एक्सेस, आपके आईफोन और http://www.teletrader.com/ पर वित्तीय पोर्टल TeleTrader.com दोनों के लिए मान्य है। इसे किसी भी स्मार्टफ़ोन पर वेब ब्राउज़र में टेलीट्रेडर मोबाईल (http://m.teletrader.com) के साथ भी उपयोग किया जा सकता है। &amp;lt,br/&amp;gt,&amp;lt,br/&amp;gt, स्टॉक के अलावा, धातु (सोना, चांदी, प्लैटिनम, पैलेडियम) और ऊर्जा, कृषि-संबंधी या पशुधन उत्पादों जैसी कमोडिटीज, बॉन्ड और निधियों को भी कवर किया जाता है। हमने ट्रेडगेट और Lang &amp; amp; Schwarz के साथ-साथ सबसे महत्वपूर्ण मुद्राओं से रियल-टाइम डेटा को शामिल किया है। संपूर्ण एप्लिकेशन में लाइव पुश कीमतें को प्रदर्शित करता है, जिसका अर्थ है कि जब तक इंटरनेट कनेक्शन उपलब्ध है, तब तक डेटा की किसी भी मैनुअल लोडिंग आवश्यकता नहीं होगी। &amp;lt,br/&amp;gt,&amp;lt,br/&amp;g, व्यक्तिगत वॉचलिस्ट, वर्चुअल पोर्टफोलियो और अलर्ट सभी प्लेटफार्मों पर सेट और संयुक्त रूप से उपयोग किए जा सकते हैं।</t>
  </si>
  <si>
    <t>Köszönjük, hogy regisztrálta magát a TeleTrader iPhone App felhasználói közé! Felhasználói hozzáférése mind az iPhone-jára, mind a TeleTrader.com pénzügyi portálra érvényes. /http://www.teletrader.com/ Továbbá használhatja okostelefonja keresojében a TeleTrader Mobile-al is. (http://m.teletrader.com) &amp;lt;br/&amp;gt;&amp;lt;br/&amp;gt; A szolgáltatás nem csak részvényekre, hanem árupiaci adatokra, azaz nemesfémekre (arany, ezüst, platina, palladium), energia árfolyamokra, mezogazdasági terményekre, éloállatokra, továbbá kötvényekre és befektetési alapokra is kiterjed. Tartalmazza továbbá a valós ideju adatokat és a legfontosabb árfolyamokat a Tradegate-tol és a Lang &amp;amp; Schwarz-tól. Az applikáció élo adatokkal dolgozik, ami azt jelenti, hogy elérheto internet kapcsolat esetén az adatok kézi újratöltése nem szükséges. &amp;lt;br/&amp;gt;&amp;lt;br/&amp;gt; Személyre szabott figyelo listák, virtuális portfóliók és figyelmeztetések is beállíthatóak és egyszerre használhatóak mindegyik felületen. Emellett feltöltheti TeleTrader Professional munkaterületeit az iPhone Appre és a TeleTrader Mobile-ra, és böngészheti oket mobilján. A riasztó szolgáltatással, határértékek meghatározhatóak és riasztások küldhetoek automatikusan az Apple Push, e-mail, és sms segítségével, továbbá napi rendszerességgel részvények árfolyamlistáit kaphatja meg e-mailen. &amp;lt;br/&amp;gt;&amp;lt;br/&amp;gt; Az Ön felhasználói neve: [userName]&amp;lt;br/&amp;gt;&amp;lt;br/&amp;gt; Szívélyes üdvözlettel, &amp;lt;br/&amp;gt; TeleTrader Pénzügyi Portál Csapat &amp;lt;br/&amp;gt;</t>
  </si>
  <si>
    <t>Kami sangat berterima kasih karena anda mendaftar akun pengguna di Tele Trader iPhone App! Akses pengguna yang telah anda buat berlaku pada kedua-dua iphone anda dan diportal keuangan TeleTrader.com di http://www.teletrader.com/. Ini juga dapat digunakan dengan TeleTrader Mobile (http://m.teletrader.com) di browser web pada smartphone apapun. &amp;lt;br/&amp;gt; &amp;lt;br/&amp;gt;Selain saham, komoditas seperti logam (emas, perak, platinum, palladium) dan energi, produk pertanian atau peternakan, serta obligasi dan dana dilindungi. Kami telah memasukkan data real-time dari Tradegate dan Lang &amp;amp; Schwarz serta mata uang yang paling penting. Keseluruhan aplikasi mempunyai harga push langsung, yang berarti selagi koneksi Internet tersedia, upload data secara manual tidak perlu. &amp;lt;br/&amp;gt;&amp;lt;br/&amp;gt;daftar pantauan peribadi, portfolio virtual dan peringatan dapat diatur dan digunakan di semua platform. Selain itu, Anda dapat mengunggah ruang kerja TeleTrader Professional ke Aplikasi iPhone dan TeleTrader Mobile dan layarnya di ponsel Anda. Dengan layanan peringatan, pembatasan dapat ditentukan dan peringatan akan dikirim secara otomatis oleh Apple Push, email, dan pesan teks dan daftar keamanan harian yang berulang dapat dikirim secara otomatis melalui email. &amp;lt;br/&amp;gt;&amp;lt;br/&amp;gt;Nama pengguna anda: [NamaPengguna]&amp;lt;br/&amp;gt;&amp;lt;br/&amp;gt;Yang ikhlas,&amp;lt;br/&amp;gt;Pasukan Portal Kewangan TeleTrader&amp;lt;br/&amp;gt;</t>
  </si>
  <si>
    <t>Molte grazie per averti registrato al TeleTrader Android App! L\'accesso utente che hai creato è\' valido sia per il tuo iPhone che al TeleTrader.com portale finanziario at http://www.teletrader.com/. Puo pure essere usato con TeleTrader Mobile (http://m.teletrader.com) in ogni web browser su ogni smartphone. &amp;lt;br/&amp;gt;&amp;lt;br/&amp;gt; Apparte i titoli, materie prime come i metalli (oro, argento, platino, palladio) ed energia, prodotti agriculturali livestock prodotti, pure obbligazioni e fondi sono coperti. Abbiamo incluso data in tempo reale dal Tradegate and Lang &amp;amp; Schwarz come pure le piu imoprtanti valute. Tutta l\'applicazione è caratterizzata che vuoldire che tutto il tempo che la connessione internet internet è presente non è necessario fare l\'aggiornamento dei dati manuale.&amp;lt;br/&amp;gt;&amp;lt;br/&amp;gt; Le watchlist personali ed avvisi possono essere impostate ed usate inseme in tutte le nostre piattaforme. Col servizio dell\'allerta, i limiti possono essere definiti ed allarmi saranno mandati automaticamente attraverso Apple Push , email ed i messaggi di testo, e le liste di escursioni giornaliere dei simboli possono essere mandate automaticamente via e-mail. Tuo usernamee: [userName]&amp;lt;br/&amp;gt;&amp;lt;br/&amp;gt;Sincerely,&amp;lt;br/&amp;gt;the TeleTrader Financial Portal Team &amp;lt;br/&amp;gt;</t>
  </si>
  <si>
    <t>תודה רבה פתיחת חשבון משתמש באפליקציית ה- iPhone של TeleTrader! גישת המשתמש שיצרת מתאפשרת הן באייפון והן בפורטל הכספי TeleTrader.com בכתובת http://www.teletrader.com/. ניתן להשתמש בה גם באמצעות TeleTrader Mobile ) http://m.teletrader.com) בדפדפן האינטרנט בכל סמארטפון. &amp; lt,br/&amp; gt,&amp; lt,br/&amp; gt,פרט למניות, סחורות כמו מתכות (זהב, כסף, פלטינה, פלדיום) ואנרגיה, מוצרים חקלאיים או בעלי חיים, מסוקרות גם אג"ח וקרנות. כללנו נתונים בזמן אמת מ- Tradegate ו- Lang &amp; amp, Schwarz, כמו גם את המטבעות החשובים ביותר. האפליקציה כולה כוללת מחירי דחיפה בזמן אמת. כלומר, כל זמן שיש חיבור לאינטרנט, אין צורך בטעינה ידנית של הנתונים.&amp; Lt,br/&amp; gt,&amp; lt,br/&amp; gt. ניתן להגדיר במשותף רשימות מעקב, תיקי השקעות וירטואליים והתראות אישיים בכל הפלטפורמות. בנוסף, ניתן להעלות סביבות עבודה של TeleTrader Professional לאפליקציית iPhone ו- TeleTrader Mobile ולעיין בהן בטלפון הנייד שלך. שירות ההתראות מאפשר להגדיר גבולות ולשלוח אוטומטית אזעקות באמצעות Apple Push, דוא"ל ומסרונים, ורשימות חוזרות יומיות של ניירות ערך יכולות להישלח אוטומטית בדוא"ל&amp; Lt, br/&amp; gt,&amp; lt, br/&amp; gt, שם המשתמש שלך: [userName]&amp; lt, br/&amp; gt,&amp; lt, br/&amp; gt, בכנות,&amp; lt, br/&amp; gt, צוות הפורטל הפיננסי של TeleTrader &amp; lt, br/&amp; gt,</t>
  </si>
  <si>
    <t>TeleTraderに登録いただきありがとうございます。ユーザーIDはモバイル端末、TeleTraderデスクトップ版ウェブサイト（http://www.teletrader.com/）、モバイルサイト（http://m.teletrader.com/）でご利用いただけます。TeleTraderは株式だけではなく金属などの商品（金、銀、プラチナ、パラジウム）やエネルギー、農産物、畜産物、債券などのさまざまな金融情報を提供しています。TeleTraderは主要通貨およびTradegate、Lang Schwarzからのリアルタイムデータを使用しています。手動による更新の必要はありません。インターネットに接続した環境であればプッシュ通知による価格情報を受信します。パーソナルウォッチリストとアラートはすべてのプラットフォームでサポートされます。値幅制限を設定できアラート通知はApple Push、メール、ショートメッセージにより自動配信されます。また、登録銘柄のデイリーリストは自動的にメール配信されます。あなたのユーザーIDはこちらです。：[userName]TeleTrader 金融ポータルチーム</t>
  </si>
  <si>
    <t>TeleTrader 아이폰 앱의 사용자 계정으로 가입해주셔서 감사합니다! 사용자가 생성한 액세스 권한은 아이폰과 http://www.teletrader.com/의 TeleTrader.com 금융 포털에서 모두 유효합니다. 모든 스마트폰에서TeleTrader Mobile(http://m.teletrader.com) 웹 브라우저에서도 함께 사용할 수 있습니다. &amp;lt;br/&amp;gt;&amp;lt;br/&amp;gt;주식 외에도 금속(금,은, 백금, 팔라듐), 에너지, 농산물 또는 축산물 등의 원자재와 채권 및 기금도 포함됩니다. 트레이드게이트(Tradegate) 및 랑 앤 슈바르츠(Lang &amp;amp; Schwarz)의 실시간 데이터와 가장 중요한 통화도 포함됩니다. 전체 애플리케이션에는 인터넷이 연결되는 동안 사용할 수 있는 실시간 푸시 가격이 적용되어 수동으로 데이터를 다시 불러올 필요가 없습니다.&amp;lt;br/&amp;gt;&amp;lt;br/&amp;gt;개인 보기목록, 가상 포트폴리오 및 알람는 모든 플랫폼에서 통합적으로 설정하고 사용할 수 있습니다. 또한 아이폰 앱 및 TeleTrader Mobile에 TeleTrader Professional 작업 공간을 업로드하고 해당 작업을 휴대폰에서 확인할 수 있습니다.\n알람 서비스를 사용하면 제한 사항을 정의하고 알람을 애플 푸시, 이메일 및 문자 메시지로 자동으로 전송하며 매일 등록되는 유가증권 목록을 이메일로 자동으로 전송할 수 있습니다.&amp;lt;br/&amp;gt;&amp;lt;br/&amp;gt;사용자 이름: [userName]&amp;lt;br/&amp;gt;&amp;lt;br/&amp;gt;감사합니다. &amp;lt;br/&amp;gt;TeleTrader Financial Portal 팀&amp;lt;br/&amp;gt;</t>
  </si>
  <si>
    <t>Kami amat berterima kasih kerana anda mendaftar akaun pengguna di Aplikasi iPhone TeleTrader! Akses pengguna yang telah anda wujudkan adalah sah pada kedua-dua iPhone anda dan di portal kewangan TeleTrader.com di http://www.teletrader.com/. Ia juga boleh digunakan dengan TeleTrader Mobile (http://m.teletrader.com) dalam pelayar web pada mana-mana Telefon Pintar. &amp;lt;br/&amp;gt; &amp;lt;br/&amp;gt;Selain daripada saham, komoditi seperti logam (emas, perak, platinum, paladium) dan tenaga, produk pertanian atau ternakan, serta bon dan dana dilindungi. Kami telah memasukkan data masa nyata dari Tradegate dan Lang &amp;amp; Schwarz serta mata wang yang paling penting. Keseluruhan aplikasi mempunyai harga tolakan langsung, yang bermaksud selagi sambungan Internet tersedia, muat naik semula data secara manual tidak perlu. &amp;lt;br/&amp;gt;&amp;lt;br/&amp;gt;Senarai pantau peribadi, portfolio maya dan makluman boleh ditetapkan dan digunakan bersama pada semua platform. Di samping itu, anda boleh memuat naik ruang kerja TeleTrader Professional ke Aplikasi iPhone dan TeleTrader Mobile dan layarinya pada telefon bimbit anda. Dengan perkhidmatan makluman, had boleh ditakrifkan dan makluman akan dihantar secara automatik oleh Apple Push, e-mel, dan pesanan teks serta senarai berulang sekuriti harian boleh dihantar secara automatik melalui e-mel. &amp;lt;br/&amp;gt;&amp;lt;br/&amp;gt;Nama pengguna anda: [NamaPengguna]&amp;lt;br/&amp;gt;&amp;lt;br/&amp;gt;Yang ikhlas,&amp;lt;br/&amp;gt;Pasukan Portal Kewangan TeleTrader&amp;lt;br/&amp;gt;</t>
  </si>
  <si>
    <t>Hartelijk dank voor uw aanmelding voor een gebrukersaccount op de Teletrader Android App. De gebruikerstoegang die u aangemaakt heeft, is zowel geldig op uw mobiele apparaat als op de Teletrader website, via http://www.teletrader.com/. Het kan ook gebruikt worden met Teletrader Mobiel (http://m.teletrader.com) via de internetbrowser op elke smartphone. Naast aandelen, grondstoffen zoals metalen (goud, zilver, platinum en palladium) en energie, landbouwmarkten of levend vlees, worden ook obligaties en fondsen gevolgd. Wij hebben zowel real-time koersen toegevoegd van Tradegate and Lang &amp;amp; Schwarz als ook de meest belangrijke valuta’s. De gehele applicatie bevat live publicatie van koersen, wat dus betekent dat zolang ere en internetconnectie is, u niet handmatig de data hoeft te verversen. Persoonlijke favorieten en notificaties kunnen ingesteld en gebruikt worden op alle platformen. Met de notificatie service, kunnen limiten ingesteld worden en alarmberichten zullen automatisch verzonden worden via Apple Push, E-mail en tekstberichten en dagelijks terugkerende lijsten van waardepapieren kunnen automatisch verzonden worden via e-mail.</t>
  </si>
  <si>
    <t>Takk for at du registrerte en brukerkonto i TeleTrader iPhone-appen! Brukertilgangen du har opprettet, er gyldig både på din iPhone og på den økonomiske portalen til TeleTrader.com på http://www.teletrader.com/. Den kan også brukes med TeleTrader Mobile (http://m.teletrader.com) i nettleseren, med alle smarttelefoner. &amp; lt,br/&amp; gt,&amp; lt,br/&amp; gt,Bortsett fra aksjer, dekkes varer som metall (gull, sølv, platina, palladium), energi, landbruks- eller husdyrprodukter, samt obligasjoner og fond. Vi har inkludert sanntidsdata fra Tradegate og Lang &amp; amp, Schwarz, samt de viktigste valutaene. Hele applikasjonen har live-push-priser, noe som betyr at så lenge en internettforbindelse er tilgjengelig, er det ikke nødvendig med manuell omlasting av data.&amp; Lt,br/&amp; gt,&amp; lt,br/&amp; gt,Personlige overvåkningslister, virtuelle porteføljer og varsler kan settes og brukes felles for  alle plattformer. I tillegg kan du laste opp TeleTrader Professional-arbeidsområder til iPhone-appen og TeleTrader Mobile, og bla gjennom dem med mobiltelefonen din. Med varslingstjenesten kan grenser defineres og alarmer sendes automatisk med Apple Push, e-post og tekstmelding, mens daglige gjentagende lister med verdipapirer kan sendes automatisk med e-post.&amp; Lt, br/&amp; gt,&amp; lt, br/&amp; gt, Ditt brukernavn: [brukernavn]&amp; lt, br/&amp; gt,&amp; lt, br/&amp; gt, Vennlig hilsen,&amp; lt, br/&amp; gt, TeleTrader Financial Portal Team &amp; lt, br/&amp; gt,</t>
  </si>
  <si>
    <t>Dziękujemy za rejestrację użytkownika w aplikacji TeleTrader! Dane użytkownika, który został utworzony, są ważne zarówno w aplikacji jak i na portalu finansowym TeleTrader.com http://www.teletrader.com/, wersja mobilna: TeleTrader Mobile (http://m.teletrader.com) w przeglądarce internetowej na dowolnym urządzeniu Smartphone.</t>
  </si>
  <si>
    <t>Muito obrigado por registrar uma conta de usuário no TeleTrader Iphone App! O acesso do usuário que você criou é válido tanto no Iphone e no portal financeiro TeleTrader.com em http://www.teletrader.com/. Ele também pode ser usado com TeleTrader Móvel (http://m.teletrader.com) no navegador da web em qualquer smartphone.</t>
  </si>
  <si>
    <t>Большое спасибо за регистрацию учетной записи пользователя в приложении baha iPhone! Созданный вами пользовательский доступ действителен как на вашем iPhone, так и на baha.com финансовый портал по адресу http://www.baha.com/. Он также browser on any Smartphone. &amp;lt;br/&amp;gt;&amp;lt;br/&amp;gt;Apart from stocks, commodities like metals (gold, silver, platinum, palladium) and energy, agricultural or livestock products, also bonds and funds are covered. We have included real-time data from Tradegate and Lang &amp;amp; Schwarz as well as the most important currencies. The entire application features live push prices, which means as long as an Internet connection is available, no manual reloading of the data will be necessary.&amp;lt;br/&amp;gt;&amp;lt;br/&amp;gt;Personal watch lists, virtual portfolios and alerts can be set and used jointly on all platforms. In addition, you can upload TeleTrader Professional workspaces onto the iPhone App and TeleTrader Mobile and browse through them on your mobile phone. With the alert service, limits can be defined and alarms will be sent automatically by Apple Push, e-mail, and text message and daily recurring lists of securities can be sent automatically by e-mail.&amp;lt;br/&amp;gt;&amp;lt;br/&amp;gt;Your user name: [userName]&amp;lt;br/&amp;gt;&amp;lt;br/&amp;gt;Sincerely,&amp;lt;br/&amp;gt;the TeleTrader Financial Portal Team &amp;lt;br/&amp;gt;</t>
  </si>
  <si>
    <t>Ďakujeme vám za registráciu používateľského účtu v aplikácii TeleTrader pre iPhone! Prístup, ktorý ste vytvorili, je platný pre váš iPhone aj pre finančný portál TeleTrader.com na http://www.teletrader.com/. Môžete ho použiť aj s mobilnou aplikáciou TeleTrader Mobile (http://m.teletrader.com) vo webovom prehliadači na ľubovoľnom smartfóne. &amp;lt,br/&amp;gt,&amp;lt,br/&amp;gt,Okrem akcií, komodít, ako sú kovy (zlato, striebro, platina, paládium) a energetika, poľnohospodárske výrobky alebo výrobky živočíšneho pôvodu, sú zahrnuté tiež dlhopisy a fondy. Zahrnuli sme tiež údaje v reálnom čase z portálu Tradegate a Lang &amp; Schwarz, ako aj najdôležitejšie meny. Celá aplikácia obsahuje živé push ceny, čo znamená, že pokiaľ je k dispozícii pripojenie na internet, nebude potrebné manuálne načítavanie údajov.&amp;lt,br/&amp;gt,&amp;lt,br/&amp;gt,Osobné sledované zoznamy, virtuálne portfóliá a upozornenia môžu byť nastavené a používané spoločne na všetkých platformách. Okrem toho môžete do aplikácie pre iPhone a TeleTrader Mobile nahrať pracovné priestory TeleTrader Professional a prehliadať ich na svojom mobilnom telefóne. So službou upozornení je možné zadanie limitov a varovania sa budú odosielať automaticky cez Apple Push, e-mailom a textovými správami a denne sa opakujúce zoznamy cenných papierov sa budú posielať automaticky e-mailom.&amp; Lt, br/&amp; gt,&amp; lt, br/&amp; gt,Vaše užívateľské meno: [userName]&amp;lt,br/&amp;gt,&amp;lt,br/&amp;gt,Sincerely,&amp;lt,br/&amp;gt,tím finančného portálu TeleTrader &amp;lt,br/&amp;gt,</t>
  </si>
  <si>
    <t>Najlepša hvala za registracijo uporabniškega računa v aplikaciji TeleTrader iPhone! Uporabniški dostop, ki ste ga ustvarili, velja tako na vašem iPhoneu kot na finančnem portalu TeleTrader.com na naslovu http://www.teletrader.com/. Uporablja se lahko tudi s programom TeleTrader Mobile (http://m.teletrader.com) v spletnem brskalniku na katerem koli pametnem telefonu. &amp; lt, br/&amp; gt,&amp; lt, br/&gt; gt Poleg zalog so zajete tudi dobrine, kot so kovine (zlato, srebro, platina, paladij) in energija, kmetijski proizvodi ali živinoreja, tudi obveznice in skladi. Vključili smo podatke v realnem času iz Tradegate in Lang &amp; amp, Schwarz kot tudi najpomembnejše valute. Celotna aplikacija vključuje cene v živo, kar pomeni, da dokler je na voljo internetna povezava,ročno ponovno nalaganje podatkov ne bo potrebno.&amp; Lt, br/&amp; gt,&amp; lt,br/&amp; gt; Osebni seznami ur, navidezni portfelji in opozorila lahko biti nastavljeni in uporabljeni skupaj na vseh platformah. Poleg tega lahko na aplikacije iPhone in TeleTrader Mobile naložite delovne prostore TeleTrader Professional in jih brskate po svojem mobilnem telefonu. S storitvijo za opozarjanje je mogoče določiti omejitve in alarme ki jih bo program samodejno pošiljal Apple Push, e-pošto in besedilno sporočilo ter dnevno ponavljajoče se sezname vrednostnih papirjev lahko pošiljate samodejno po e-pošti.&amp; Lt, br/&amp; gt,&amp; lt, br/&amp; gt, vaše uporabniško ime: [userName]&amp; lt, br/&amp; gt,&amp; lt, br/&amp; gt, Iskreno,&amp; lt, br/&amp; gt, skupina za finančni portal TeleTrader &amp; lt, br/&amp; gt,</t>
  </si>
  <si>
    <t>Hvala vam što ste se registrovali za korišcenje TeleTrader iPhone app! Korisnicki nalog koji ste kreirali se može koristiti kako na iPhone uredaju tako i na TeleTrader finansijskom portalu koji možete posetiti na http://www.teletrader.com/. Isti nalog takode možete koristiti i na TeleTrader Mobile (http://m.teletrader.com) u web browser-u na bilo kom Smartphone-u. &amp;lt;br/&amp;gt;&amp;lt;br/&amp;gt;Osim kvota za akcije, obveznice i investicione fondove, dostupne su i kvote za ostalu berzansku robu poput dragocenih metala (zlato, srebro, platina, paladijum), energetske ili poljoprivredne proizvode. Takode su pokriveni i berzanski podaci u realnom vremenu od izvora Tradegate i Lang &amp;amp; Schwarz kao i podaci o kretanju najvažnijih valutnih parova. Kompletna aplikacija funkcioniše po "push" principu, što znaci da dokle god postoji stabilna Internet konekcija, nije potrebno ponovno manualno ucitavanje stranica.&amp;lt;br/&amp;gt;&amp;lt;br/&amp;gt;Moguce je kreirati personalizovane table sa kvotama, virtualne portfelje ili alarme koje možete koristiti i na ostalim TeleTrader platformama. Pored toga, takode možete ucitati radni prostor iz TeleTrader Professional radne stanice u vaš TeleTrader iPhone app ili na TeleTrader Mobile. Zahvaljujuci cenovnim alarmima, obaveštenja o promeni cena mogu se automatski slati preko Apple Push servisa, e-mail-a ili tekstualnih poruka.&amp;lt;br/&amp;gt;&amp;lt;br/&amp;gt;Vaše korisnicko ime: [userName]&amp;lt;br/&amp;gt;&amp;lt;br/&amp;gt;Srdacan pozdrav,&amp;lt;br/&amp;gt;Tim za podršku, TeleTrader Finansijski Portal&amp;lt;br/&amp;gt;</t>
  </si>
  <si>
    <t>Tack för att du registrerat ett användarkonto på TeleTrader iPhone-app! Den användaråtkomst du har skapat är giltig både på din iPhone och på TeleTrader.coms finansportal på http://www.teletrader.com/. Den kan också användas med TeleTrader Mobile (http://m.teletrader.com) i webbläsaren på vilken Smartphone som helst. &amp;lt,br/&amp;gt,&amp;lt,br/&amp;gt,Förutom aktier, råvaror som metall (guld, silver, platina, palladium) och energi, jordbruksprodukter och boskapsprodukter, stöds även obligationer och fonder. Vi har inkluderat realtidsdata från Tradegate och Lang &amp;amp, Schwarz samt de viktigaste valutorna. Hela applikationen har live push-priser, vilket innebär ingen manuell uppdatering av data krävs så länge en internetanslutning är tillgänglig.&amp; Lt,br/&amp; gt,&amp; lt,br/&amp; gt,Personliga bevakningslistor, virtuella portföljer och varningar kan ställas in och användas på alla plattformar. Dessutom kan du ladda upp TeleTrader Professional workspaces till iPhone-appen och TeleTrader Mobile och använda dem på din mobiltelefon. Med varningstjänsten kan gränser definieras och larm skickas automatiskt med Apple Push, e-post och textmeddelande och dagliga återkommande listor över värdepapper kan skickas automatiskt via e-post.&amp; Lt, br/&amp; gt,&amp; lt, br/&amp; gt, Ditt användarnamn: [användarnamn]&amp; lt, br/&amp; gt,&amp; lt, br/&amp; gt, Med vänlig hälsning,&amp; lt, br/&amp; gt, TeleTrader Financial Portal Team &amp; lt, br/&amp; gt,</t>
  </si>
  <si>
    <t>ขอขอบคุณเป็นอย่างยิ่งที่สมัครใช้งานในแอป TeleTrader สำหรับ iPhone ชื่อผู้ใช้ที่คุณได้สร้างขึ้นนี้จะสามารถใช้งานได้ทั้งใน iPhone และที่บัญชีพอร์ทัล TeleTrader.com ที่ http://www.teletrader.com/ แล้วยังสามารถใช้งาน TeleTrader สำหรับบราวเซอร์ในมือถือได้ใน http://m.teletrader.com &amp;lt,br/&amp;gt,&amp;lt,br/&amp;gt,นอกจากหุ้นแล้ว ยังครอบคลุมไปถึงสินค่าโภคภัณฑ์ เช่น โลหะ (ทองคำ เงิน ทองคำขาว พาลาเดียม) และพลังงาน เกษตรกรรมหรือสินค้าปศุสัตว์ รวมทั้งพันธบัตรและกองทุนอีกด้วย ข้อมูลแบบเรียลไทม์ได้ถูกรวบรวมมาจาก Tradegate และ Lang &amp;amp, Schwarz รวมไปถึงสกุลเงินที่สำคัญอีกด้วย แอปพลิเคชันมีคุณสมบัติเด่นคือการแจ้งราคา ณ ปัจจุบันที่ขอแค่เพียงคุณเชื่อมต่ออินเทอร์เน็ต ไม่จำเป็นต้องโหลดข้อมูลซ้ำๆ&amp;lt,br/&amp;gt,&amp;lt,br/&amp;gt, รายชื่อหุ้นที่ติดตามแบบส่วนตัว พอร์ตหุ้นจำลองและการแจ้งเตือนที่ตั้งค่าเองและใช้ได้ในทุกแพลตฟอร์ม นอกจากนี้คุณยังสามารถอัปโหลดTeleTrader Professional workspaces ลงในแอปสำหรับ iPhone และ TeleTrader Mobile จากนั้นเริ่มบราวซ์ผ่านมือถือได้เลยง่ายๆ ด้วยบริการการแจ้งเตือนนี้สามารถกำหนดขีดจำกัดได้และการเตือนยังส่งผ่านทาง Apple Push อีเมลและข้อความอย่างอัตโนมัติ ทั้งรายการหลักทรัพย์ประจำวันยังส่งผ่านทางอีเมลโดยอัติโนมัติเช่นเดียวกัน&amp;lt,br/&amp;gt,&amp;lt,br/&amp;gt,ชื่อผู้ใช้: [userName]&amp;lt,br/&amp;gt,&amp;lt,br/&amp;gt,Sincerely,&amp;lt,br/&amp;gt,ทีม TeleTrader Financial Portal &amp;lt,br/&amp;gt,</t>
  </si>
  <si>
    <t>TeleTrader iPhone Uygulamasında bir kullanıcı hesabı kaydettiğiniz için çok teşekkürler! Oluşturduğunuz kullanıcı erişimi hem iPhone\'unuzda hem de http://www.teletrader.com/ adresindeki TeleTrader.com finansal portalında geçerlidir. Ayrıca herhangi bir Akıllı Telefondaki web tarayıcısında TeleTrader Mobile (http://m.teletrader.com) ile birlikte kullanılabilir. &amp;lt;br/&amp;gt;&amp;lt;br/&amp;gt;Hisse senetleri dışında metaller (altın, gümüş, platin, paladyum) ve enerji, tarım ve hayvancılık ürünleri, ayrıca tahvil ve fonlar gibi emtialar da kapsanmaktadır. Tradegate ve Lang &amp;amp; Schwarz\'un yanı sıra en önemli para birimlerine ilişkin gerçek zamanlı verileri de ekledik. Tüm uygulama, internet bağlantısı mevcut olduğu sürece canlı anlık fiyatlar sunmaktadır dolayısıyla verilerin manüel olarak yeniden yüklenmesi gerekmez.&amp;lt;br/&amp;gt;&amp;lt;br/&amp;gt;Kişisel izleme listeleri ve uyarılar tüm platformlarda ortak olarak ayarlanabilir ve kullanılabilir. Ayrıca, TeleTrader Professional çalışma alanlarını iPhone Uygulaması ve TeleTrader Mobile\'a yükleyebilir ve cep telefonunuzda gezebilirsiniz. Uyarı servisi ile limitler tanımlanabilir ve otomatik olarak Apple Anlık İleti, e-posta ve metin mesajı ile alarmlar gönderilir ve günlük tekrar eden menkul kıymetler e-posta ile otomatik olarak gönderilebilir.&amp;lt;br/&amp;gt;&amp;lt;br/&amp;gt;Kullanıcı adınız: [userName]&amp;lt;br/&amp;gt;&amp;lt;br/&amp;gt;TeleTrader Finansal Portal Ekibi &amp;lt;br/&amp;gt;</t>
  </si>
  <si>
    <t>Chân thành cảm ơn bạn đã đăng ký tài khoản người dùng trên Ứng dụng TeleTrader cho iPhone! Quyền truy cập người dùng mà bạn đã tạo là hợp lệ cả trên iPhone và trên cổng thông tin tài chính TeleTrader.com tại http://www.teletrader.com/. Bạn cũng có thể sử dụng với TeleTrader Mobile (http://m.teletrader.com) trong trình duyệt web trên bất kỳ Điện thoại thông minh nào. &amp;lt,br/&amp;gt,&amp;lt,br/&amp;gt,Ngoài cổ phiếu, hàng hóa như kim loại quý (vàng, bạc, bạch kim, palađi) và các sản phẩm năng lượng, nông nghiệp hoặc chăn nuôi, còn có cả trái phiếu và quỹ. Chúng tôi đã tập hợp dữ liệu thời gian thực từ Tradegate và Lang &amp;amp, Schwarz cũng như các loại tiền tệ quan trọng nhất. Toàn bộ ứng dụng đều có tính năng báo giá trực tiếp bằng thông báo đẩy, nghĩa là chỉ cần có kết nối Internet, không cần tải lại dữ liệu thủ công.&amp;lt,br/&amp;gt,&amp;lt,br/&amp;gt,Bạn có thể thiết lập và sử dụng chung danh mục theo dõi cá nhân, danh mục đầu tư ảo và cảnh báo trên tất cả các nền tảng. Ngoài ra, bạn có thể tải các không gian làm việc TeleTrader Professional lên Ứng dụng iPhone và TeleTrader Mobile rồi duyệt trên điện thoại di động của bạn. Với dịch vụ cảnh báo, bạn có thể xác định các giới hạn và ứng dụng sẽ tự động gửi cảnh báo qua Apple Push, email và tin nhắn văn bản, còn danh sách chứng khoán định kỳ hàng ngày sẽ được gửi tự động qua email.&amp;lt,br/&amp;gt,&amp;lt,br/&amp;gt,Tên người dùng của bạn: [userName]&amp;lt,br/&amp;gt,&amp;lt,br/&amp;gt,Trân trọng,&amp;lt,br/&amp;gt,Nhóm Cổng thông tin tài chính TeleTrader &amp;lt,br/&amp;gt,</t>
  </si>
  <si>
    <t>感谢你在TeleTrader Android应用程序注册帐户！你的帐户可以在移动装置和TeleTrader.com上使用（登入http://www.teletrader.com/）。你可以在智能手机浏览TeleTrader Mobile（http://m.teletrader.com）</t>
  </si>
  <si>
    <t>&gt;感謝你在TeleTrader Android應用程序註冊帳戶!你的帳戶可以在移動裝置和TeleTrader.com上使用(登入http://www.teletrader.com/)。你可以在智能手機瀏覽TeleTrader Mobile (http://m.teletrader.com) br/&gt;br/&gt; 除了股票，原物料如金屬(黃金，白銀，鉑，鈀)、能源、農業和畜牧產品，同時債券和基金都包括在內。這裡已包括來自TRADEGATE與Lang &amp;amp; Schwarz以及大部分重要的貨幣實時數據。整個應用程式設有即時報價，只要數據連接即可自動更新報價。個人收藏夾和警示可以設置在所有平台上共同使用。警示服務可以設置限制並由Apple 推播、電郵和短訊自動發出。證券的日常經常性列表可以通過電子郵件自動發送。BR/&gt;BR/&gt;用戶名稱：[用戶名稱]BR/&gt;BR/&gt;BR/&gt;TeleTrader金融門戶團隊BR/&gt;</t>
  </si>
  <si>
    <t>ireland</t>
  </si>
  <si>
    <t>Ireland</t>
  </si>
  <si>
    <t>Irland</t>
  </si>
  <si>
    <t>Irlanda</t>
  </si>
  <si>
    <t>Irlande</t>
  </si>
  <si>
    <t>Ирландия</t>
  </si>
  <si>
    <t>Irska</t>
  </si>
  <si>
    <t>tt_pf_type</t>
  </si>
  <si>
    <t>Order type</t>
  </si>
  <si>
    <t>نوع الأمر</t>
  </si>
  <si>
    <t>Тип поръчка</t>
  </si>
  <si>
    <t>Typ objednávky</t>
  </si>
  <si>
    <t>Ordretype</t>
  </si>
  <si>
    <t>Orderart</t>
  </si>
  <si>
    <t>Τύπος παραγγελίας</t>
  </si>
  <si>
    <t>Tipo de orden</t>
  </si>
  <si>
    <t>Tilaustyyppi</t>
  </si>
  <si>
    <t>Type d\'ordre</t>
  </si>
  <si>
    <t>आदेश का प्रकार</t>
  </si>
  <si>
    <t>Megrendelés típusa</t>
  </si>
  <si>
    <t>Jenis pesanan</t>
  </si>
  <si>
    <t>Tipo di ordine</t>
  </si>
  <si>
    <t>סוג הזמנה</t>
  </si>
  <si>
    <t>他のタイプ</t>
  </si>
  <si>
    <t>주문 유형</t>
  </si>
  <si>
    <t>Ordertype</t>
  </si>
  <si>
    <t>Rodzaj zlecenia</t>
  </si>
  <si>
    <t>Tipo de ordem</t>
  </si>
  <si>
    <t>Tipul comenzii</t>
  </si>
  <si>
    <t>Тип заказа</t>
  </si>
  <si>
    <t>Vrsta naročila</t>
  </si>
  <si>
    <t>Vrsta naloga</t>
  </si>
  <si>
    <t>Ordertyp</t>
  </si>
  <si>
    <t>ประเภทการซื้อ</t>
  </si>
  <si>
    <t>Sipariş türü</t>
  </si>
  <si>
    <t>Kiểu lệnh</t>
  </si>
  <si>
    <t>交易类型</t>
  </si>
  <si>
    <t>&gt;交易類型</t>
  </si>
  <si>
    <t>server_info_http_upload</t>
  </si>
  <si>
    <t>XEP-0363: HTTP File Upload</t>
  </si>
  <si>
    <t>XEP-0363: رفع الملفات عبر أيش تي تي بي</t>
  </si>
  <si>
    <t>XEP-0363: Качване на файл през HTTP</t>
  </si>
  <si>
    <t>XEP-0363: Pujada de fitxers per HTTP</t>
  </si>
  <si>
    <t>XEP-0363 : Envoi de fichiers via HTTP</t>
  </si>
  <si>
    <t>XEP-0363: HTTP ファイルアップロード</t>
  </si>
  <si>
    <t>XEP-0363: HTTP 파일 업로드</t>
  </si>
  <si>
    <t>XEP-0363: Przesyłanie plików przez HTTP</t>
  </si>
  <si>
    <t>XEP-0363: Загрузка по HTTP</t>
  </si>
  <si>
    <t>XEP-0363: ХТТП отпремање фајлова</t>
  </si>
  <si>
    <t>XEP-0363: Ladda upp via HTTP</t>
  </si>
  <si>
    <t>XEP-0363: обмін файлами по HTTP</t>
  </si>
  <si>
    <t>XEP-0363: HTTP 檔案上傳</t>
  </si>
  <si>
    <t>bahrain</t>
  </si>
  <si>
    <t>Bahrain</t>
  </si>
  <si>
    <t>Bahrein</t>
  </si>
  <si>
    <t>Bahreïn</t>
  </si>
  <si>
    <t>Бахрейн</t>
  </si>
  <si>
    <t>tt_discount_perc</t>
  </si>
  <si>
    <t>Discount in %</t>
  </si>
  <si>
    <t>خصم بنسبة ٪</t>
  </si>
  <si>
    <t>Отстъпка в %</t>
  </si>
  <si>
    <t>Sleva v %</t>
  </si>
  <si>
    <t>Rabat i %</t>
  </si>
  <si>
    <t>Έκπτωση σε %</t>
  </si>
  <si>
    <t>Descuento en %</t>
  </si>
  <si>
    <t>Alennus %</t>
  </si>
  <si>
    <t>Remise en %</t>
  </si>
  <si>
    <t>% में छूट</t>
  </si>
  <si>
    <t>Diszkont %</t>
  </si>
  <si>
    <t>Diskon dalam %</t>
  </si>
  <si>
    <t>Sconto in %</t>
  </si>
  <si>
    <t>הנחה ב-%</t>
  </si>
  <si>
    <t>ディスカウント %</t>
  </si>
  <si>
    <t>%에서 디스카운트</t>
  </si>
  <si>
    <t>Diskaun dalam %</t>
  </si>
  <si>
    <t>Korting in%</t>
  </si>
  <si>
    <t>Rabatt i %</t>
  </si>
  <si>
    <t>Dyskonto w %</t>
  </si>
  <si>
    <t>Desconto em %</t>
  </si>
  <si>
    <t>Reducere în %</t>
  </si>
  <si>
    <t>Скидка в %</t>
  </si>
  <si>
    <t>Zľava v %</t>
  </si>
  <si>
    <t>Popust v %</t>
  </si>
  <si>
    <t>Diskout u %</t>
  </si>
  <si>
    <t>ส่วนลดเป็น %</t>
  </si>
  <si>
    <t>% olarak İndirim</t>
  </si>
  <si>
    <t>Giảm giá theo %</t>
  </si>
  <si>
    <t>折扣（%）</t>
  </si>
  <si>
    <t>pref_notification_grace_period_summary</t>
  </si>
  <si>
    <t>The length of time Conversations keeps quiet after seeing activity on another device</t>
  </si>
  <si>
    <t>Времето, през което Conversations няма да прави нищо, след като забележи дейност на друго устройство</t>
  </si>
  <si>
    <t>El temps que el Conversations guarda silenci després de veure activitat en un altre dispositiu</t>
  </si>
  <si>
    <t>Deaktiviere Benachrichtigungen für eine kurze Zeit nach Erhalt einer Nachricht, die von einem anderen deiner Clients kommt</t>
  </si>
  <si>
    <t>Periodo de tiempo en el que Conversations deshabilita las notificaciones tras ver que tienes actividad en otro de tus dispositivos</t>
  </si>
  <si>
    <t>Durée d\'inactivité de Conversations après avoir repéré un changement sur un autre appareil</t>
  </si>
  <si>
    <t>O tempo que Conversations permanece silente despois de ver actividade en outro dispositivo</t>
  </si>
  <si>
    <t>A szoftver csendben marad ennyi ideig, miután aktivitást észlelt másik eszközön</t>
  </si>
  <si>
    <t>Il periodo di tempo in cui Conversations resta silenzioso quando vede attività su un altro dispositivo</t>
  </si>
  <si>
    <t>別のデバイスで活動を見た後、Conversations を静かにする時間の長さ</t>
  </si>
  <si>
    <t>Hoe lang Conversations stil blijft na activiteit op een ander apparaat waar te nemen</t>
  </si>
  <si>
    <t>Czas od ostatniej aktywności na innym urządzeniu, przez który Conversations nie odzywa się</t>
  </si>
  <si>
    <t>Промежуток времени, в течение которого Conversations хранит молчание при обнаружении активности на другом устройстве</t>
  </si>
  <si>
    <t>Период тишине након што Конверзација запази активност на другом уређају</t>
  </si>
  <si>
    <t>Hur lång tid Conversations är tyst efter aktivitet på en annan enhet</t>
  </si>
  <si>
    <t>Період часу, протягом якого програма не сповіщає, після діяльності на іншому пристрої</t>
  </si>
  <si>
    <t>Khoảng thời gian Conversations giữ yên lặng sau khi xem hoạt động trên một thiết bị khác</t>
  </si>
  <si>
    <t>發現在其它設備上的活動後，Conversations保持安靜的時間</t>
  </si>
  <si>
    <t>title_activity_share_location</t>
  </si>
  <si>
    <t>Share location</t>
  </si>
  <si>
    <t>Compartir ubicación</t>
  </si>
  <si>
    <t>Compartir localización</t>
  </si>
  <si>
    <t>Hely megosztása</t>
  </si>
  <si>
    <t>tt_you_have_been_logged_out</t>
  </si>
  <si>
    <t>Your real-time quotes session was stopped.</t>
  </si>
  <si>
    <t>تم إيقاف جلسة عرض الأسعار في الوقت الفعلي.</t>
  </si>
  <si>
    <t>Сесията ви с котировки в реално време беше спряна.</t>
  </si>
  <si>
    <t>Vaše relace nabídek v reálném čase byla zastavena.</t>
  </si>
  <si>
    <t>Din citat session i realtid blev stoppet.</t>
  </si>
  <si>
    <t>Ihre Verbindung für Echtzeitkurse wurde beendet.</t>
  </si>
  <si>
    <t>Η συνεδρία προσφορών σε πραγματικό χρόνο διακόπηκε.</t>
  </si>
  <si>
    <t>Su sesión de cotizaciones en tiempo real se ha frenado.</t>
  </si>
  <si>
    <t>Reaaliaikainen tarjousistunto keskeytettiin.</t>
  </si>
  <si>
    <t>Votre session de cotation en temps réel a été interrompue</t>
  </si>
  <si>
    <t>आपके रियल-टाइम क्वोट सत्र को रोक दिया गया था।</t>
  </si>
  <si>
    <t>A real-time adatok továbbítása leállt</t>
  </si>
  <si>
    <t>Kutipan real-time anda telah dihentikan.</t>
  </si>
  <si>
    <t>Tua sessione di prezzi in tempo reale è stata fermata.</t>
  </si>
  <si>
    <t>סשן הצעות המחיר שלך בזמן אמת הופסק.</t>
  </si>
  <si>
    <t>リアルタイム配信は停止しました</t>
  </si>
  <si>
    <t>실시간 시세 세션이 멈췄습니다.</t>
  </si>
  <si>
    <t>Sebut harga masa nyata anda telah dihentikan.</t>
  </si>
  <si>
    <t>Uw real-time quotes sessie is gestopt.</t>
  </si>
  <si>
    <t>Kursøkten din i sanntid ble stoppet.</t>
  </si>
  <si>
    <t>Twoja sesja notowań w czasie rzeczywistym została zatrzymana.</t>
  </si>
  <si>
    <t>A sua sessão de cotações em tempo real foi parada</t>
  </si>
  <si>
    <t>Sesiunea ta de cotații în timp real a fost oprită.</t>
  </si>
  <si>
    <t>Показ котировок в реальном времени остановлен</t>
  </si>
  <si>
    <t>Vaša relácia ponúk v reálnom čase bola zastavená.</t>
  </si>
  <si>
    <t>Vaša seja kotacij v realnem času je bila ustavljena.</t>
  </si>
  <si>
    <t>Sesija sa realnim podacima je prekinuta.</t>
  </si>
  <si>
    <t>Din realtidsession stoppades.</t>
  </si>
  <si>
    <t>เซสชั่นการเสนอราคา ณ ปัจจุบันของคุณได้หยุดทำงาน</t>
  </si>
  <si>
    <t>Gerçek zamanlı teklif oturumunuz durduruldu.</t>
  </si>
  <si>
    <t>Phiên báo giá thời gian thực của bạn đã dừng lại.</t>
  </si>
  <si>
    <t>即时报价时限已结束</t>
  </si>
  <si>
    <t>&gt;即時報價時限已結束</t>
  </si>
  <si>
    <t>pref_scroll_to_bottom_summary</t>
  </si>
  <si>
    <t>Scroll down after sending a message</t>
  </si>
  <si>
    <t>Превъртане надолу след изпращане на съобщение</t>
  </si>
  <si>
    <t>Desplaceu-vos cap avall després d\'enviar un missatge</t>
  </si>
  <si>
    <t>Nach dem Senden einer Nachricht nach unten scrollen</t>
  </si>
  <si>
    <t>Desplazarse hasta abajo después de mandar un mensaje</t>
  </si>
  <si>
    <t>Faire défiler l\'écran jusqu\'en bas après avoir envoyé un message</t>
  </si>
  <si>
    <t>Desprazarse cara abaixo logo de enviar unha mensaxe</t>
  </si>
  <si>
    <t>Görgessen le egy üzenet elküldése után</t>
  </si>
  <si>
    <t>Scorri in basso dopo l\'invio di un messaggio</t>
  </si>
  <si>
    <t>Scroll naar beneden na versturen van bericht</t>
  </si>
  <si>
    <t>Przesuń na dół po wysłaniu wiadomości</t>
  </si>
  <si>
    <t>error_trustkey_bundle</t>
  </si>
  <si>
    <t>Unable to fetch device bundles</t>
  </si>
  <si>
    <t>Неуспешно получаване на пакетите с устройства</t>
  </si>
  <si>
    <t>No es poden obtenir paquets de dispositius</t>
  </si>
  <si>
    <t>Gerätebündel konnten nicht abgerufen werden</t>
  </si>
  <si>
    <t>No se ha podido conseguir las claves del dispositivo</t>
  </si>
  <si>
    <t>Impossible de récupérer les trousseaux de clés de l\'appareil</t>
  </si>
  <si>
    <t>Non se poden recuperar os paquetes de dispositivos</t>
  </si>
  <si>
    <t>Nem sikerült lekérni az eszközcsomagokat</t>
  </si>
  <si>
    <t>Ricezione gruppi dispositivi fallita</t>
  </si>
  <si>
    <t>Kon apparaatbundels niet ophalen</t>
  </si>
  <si>
    <t>Nie powiodło się pobranie pakietów urządzeń</t>
  </si>
  <si>
    <t>private_message_to</t>
  </si>
  <si>
    <t>to %s</t>
  </si>
  <si>
    <t>الى %s</t>
  </si>
  <si>
    <t>на %s</t>
  </si>
  <si>
    <t>a %s</t>
  </si>
  <si>
    <t>privat an %s:</t>
  </si>
  <si>
    <t>en privado para %s</t>
  </si>
  <si>
    <t>pour %s</t>
  </si>
  <si>
    <t>%s részére</t>
  </si>
  <si>
    <t>kepada %s</t>
  </si>
  <si>
    <t>%s へ</t>
  </si>
  <si>
    <t>%s 에게</t>
  </si>
  <si>
    <t>naar %s</t>
  </si>
  <si>
    <t>do %s</t>
  </si>
  <si>
    <t>para %s</t>
  </si>
  <si>
    <t>отправить %s</t>
  </si>
  <si>
    <t>pre %s</t>
  </si>
  <si>
    <t>за %s</t>
  </si>
  <si>
    <t>till %s</t>
  </si>
  <si>
    <t>%s</t>
  </si>
  <si>
    <t>đến %s</t>
  </si>
  <si>
    <t>至 %s</t>
  </si>
  <si>
    <t>tt_notification_enabled</t>
  </si>
  <si>
    <t>Nachrichtenalarme aktiviert</t>
  </si>
  <si>
    <t>Notificaciones de noticias activadas</t>
  </si>
  <si>
    <t>Alertes "Actualités" activées</t>
  </si>
  <si>
    <t>Hír értesítések bekapcsolva</t>
  </si>
  <si>
    <t>Nieuwsberichten ingeschakeld</t>
  </si>
  <si>
    <t>Powiadomienia o wiadomościach aktywne</t>
  </si>
  <si>
    <t>Notificări de știri</t>
  </si>
  <si>
    <t>Уведомления о новостях разрешены</t>
  </si>
  <si>
    <t>Notifikacije za vesti uključene</t>
  </si>
  <si>
    <t>tt_template_name</t>
  </si>
  <si>
    <t>Template name</t>
  </si>
  <si>
    <t>اسم القالب</t>
  </si>
  <si>
    <t>Име на шаблона</t>
  </si>
  <si>
    <t>Název šablony</t>
  </si>
  <si>
    <t>Skabelonnavn</t>
  </si>
  <si>
    <t>Όνομα προτύπου</t>
  </si>
  <si>
    <t>Nombre de Plantilla</t>
  </si>
  <si>
    <t>Mallin nimi</t>
  </si>
  <si>
    <t>Nom du modèle</t>
  </si>
  <si>
    <t>टेम्पलेट का नाम</t>
  </si>
  <si>
    <t>Sablon neve</t>
  </si>
  <si>
    <t>Nama template</t>
  </si>
  <si>
    <t>Nome del modello</t>
  </si>
  <si>
    <t>שם התבנית</t>
  </si>
  <si>
    <t>テンプレート名</t>
  </si>
  <si>
    <t>템플릿 이름</t>
  </si>
  <si>
    <t>Nama templat</t>
  </si>
  <si>
    <t>Malnavn</t>
  </si>
  <si>
    <t>Nazwa szablonu</t>
  </si>
  <si>
    <t>Nome do Modelo</t>
  </si>
  <si>
    <t>Numele șablon</t>
  </si>
  <si>
    <t>Имя графического шаблона</t>
  </si>
  <si>
    <t>Názov šablóny</t>
  </si>
  <si>
    <t>Ime predloge</t>
  </si>
  <si>
    <t>Ime obrasca</t>
  </si>
  <si>
    <t>Mallnamn</t>
  </si>
  <si>
    <t>ชื่อเท็มเพล็ต</t>
  </si>
  <si>
    <t>Şablon adı</t>
  </si>
  <si>
    <t>Tên mẫu</t>
  </si>
  <si>
    <t>模板名称</t>
  </si>
  <si>
    <t>&gt;模板名稱</t>
  </si>
  <si>
    <t>checking_x</t>
  </si>
  <si>
    <t>Checking %s on HTTP host</t>
  </si>
  <si>
    <t>Проверяване на %s на HTTP сървъра</t>
  </si>
  <si>
    <t>S\'està verificant %s al host HTTP</t>
  </si>
  <si>
    <t>%s auf HTTP-Host wird überprüft</t>
  </si>
  <si>
    <t>Comprobando %s en servidor HTTP</t>
  </si>
  <si>
    <t>Vérification de %s sur l\'hôte HTTP</t>
  </si>
  <si>
    <t>Comprobando %s no servidor HTTP</t>
  </si>
  <si>
    <t>Ellenőrzés alatt %s a HTTP gazdán</t>
  </si>
  <si>
    <t>Controllo %s su host HTTP</t>
  </si>
  <si>
    <t>HTTP ホストの %s を確認中</t>
  </si>
  <si>
    <t>HTTP 호스트에서 %s 확인 중</t>
  </si>
  <si>
    <t>%s op HTTP-host nakijken</t>
  </si>
  <si>
    <t>Sprawdzanie %s na hoście HTTP</t>
  </si>
  <si>
    <t>Verificando %s no anfitrião HTTP</t>
  </si>
  <si>
    <t>Проверка %s на сервере HTTP</t>
  </si>
  <si>
    <t>Overiť %s na HTTP host</t>
  </si>
  <si>
    <t>Проверавам %s на ХТТП домаћину</t>
  </si>
  <si>
    <t>Kontrollerar %s på webbserver</t>
  </si>
  <si>
    <t>Перевіряю %s на хості HTTP</t>
  </si>
  <si>
    <t>Đang kiểm tra %s trên máy chủ HTTTP</t>
  </si>
  <si>
    <t>正在 HTTP 伺服器中檢查 %s</t>
  </si>
  <si>
    <t>private_conference</t>
  </si>
  <si>
    <t>Private, members only group chat</t>
  </si>
  <si>
    <t>خاص، فريق محادثة مفتوح للأعضاء المنتمين إليه فقط</t>
  </si>
  <si>
    <t>Частен групов разговор, само за членове</t>
  </si>
  <si>
    <t>Xat en grup privat, només membres</t>
  </si>
  <si>
    <t>Privater Gruppenchat, nur für Mitglieder</t>
  </si>
  <si>
    <t>Conversación privada, solo para miembros</t>
  </si>
  <si>
    <t>Conversations de groupe privées, réservée aux membres</t>
  </si>
  <si>
    <t>Conversa en grupo privada, só para membros</t>
  </si>
  <si>
    <t>Privát, csak tagoknak konferencia</t>
  </si>
  <si>
    <t>Chat di gruppo privata, solo per membri</t>
  </si>
  <si>
    <t>Privé groepsgesprek, enkel toegankelijk voor leden</t>
  </si>
  <si>
    <t>Prywatne konferencje</t>
  </si>
  <si>
    <t>Conversa em grupo privada, apenas para membros</t>
  </si>
  <si>
    <t>Приватная конференция</t>
  </si>
  <si>
    <t>Лично групно ћаскање, само за чланове</t>
  </si>
  <si>
    <t>finland</t>
  </si>
  <si>
    <t>Finland</t>
  </si>
  <si>
    <t>Finnland</t>
  </si>
  <si>
    <t>Finlandia</t>
  </si>
  <si>
    <t>Finlande</t>
  </si>
  <si>
    <t>Финляндия</t>
  </si>
  <si>
    <t>Finska</t>
  </si>
  <si>
    <t>agree_and_confirm</t>
  </si>
  <si>
    <t>AGREE AND CONFIRM</t>
  </si>
  <si>
    <t>موافقة وتأكيد</t>
  </si>
  <si>
    <t>СЪГЛАСЯВАМ СЕ И ПОТВЪРЖДАВАМ</t>
  </si>
  <si>
    <t>SOUHLASÍM A POTVRZUJI</t>
  </si>
  <si>
    <t>ENIG OG BEKRÆFTER</t>
  </si>
  <si>
    <t>Zustimmen und bestätigen</t>
  </si>
  <si>
    <t>ΣΥΜΦΩΝΩ ΚΑΙ ΕΠΙΒΕΒΑΙΩΝΩ</t>
  </si>
  <si>
    <t>ACEPTAR Y CONFIRMAR</t>
  </si>
  <si>
    <t>HYVÄKSY JA VAHVISTA</t>
  </si>
  <si>
    <t>ACCEPTER ET CONFIRMER</t>
  </si>
  <si>
    <t>सहमत और पुष्टि करें</t>
  </si>
  <si>
    <t>Hozzájárulás és megerösítés</t>
  </si>
  <si>
    <t>SETUJU DAN KONFIRMASI</t>
  </si>
  <si>
    <t>ACCETTO E CONFERMO</t>
  </si>
  <si>
    <t>מסכים ומאשר</t>
  </si>
  <si>
    <t>同意して確認</t>
  </si>
  <si>
    <t>동의하고 확인</t>
  </si>
  <si>
    <t>SETUJU DAN SAHKAN</t>
  </si>
  <si>
    <t>Mee eens en bevestigen</t>
  </si>
  <si>
    <t>GODTA OG BEKREFT</t>
  </si>
  <si>
    <t>Wyrażam zgodę</t>
  </si>
  <si>
    <t>CONCORDO E CONFIRMO</t>
  </si>
  <si>
    <t>FII DE ACORD ȘI CONFIRMĂ</t>
  </si>
  <si>
    <t>СОГЛАСИТЬСЯ И ПОДТВЕРДИТЬ</t>
  </si>
  <si>
    <t>SÚHLASÍM A POTVRDZUJEM</t>
  </si>
  <si>
    <t>DOGOVORITI IN POTRDITI</t>
  </si>
  <si>
    <t>SLAŽEM SE I POTRVĐUJEM</t>
  </si>
  <si>
    <t>GODKÄNN OCH BEKRÄFTA</t>
  </si>
  <si>
    <t>ตกลงและยืนยัน</t>
  </si>
  <si>
    <t>KABUL ET VE ONAYLA</t>
  </si>
  <si>
    <t>ĐỒNG Ý VÀ XÁC NHẬN</t>
  </si>
  <si>
    <t>确认同意</t>
  </si>
  <si>
    <t>egypt</t>
  </si>
  <si>
    <t>Egypt</t>
  </si>
  <si>
    <t>Ägypten</t>
  </si>
  <si>
    <t>Egipto</t>
  </si>
  <si>
    <t>Egypte</t>
  </si>
  <si>
    <t>Египет</t>
  </si>
  <si>
    <t>Egipat</t>
  </si>
  <si>
    <t>send_again</t>
  </si>
  <si>
    <t>Send again</t>
  </si>
  <si>
    <t>أعد الإرسال</t>
  </si>
  <si>
    <t>Повторно изпращане</t>
  </si>
  <si>
    <t>Envia una altra vegada</t>
  </si>
  <si>
    <t>Erneut senden</t>
  </si>
  <si>
    <t>Volver a enviar</t>
  </si>
  <si>
    <t>Envoyer de nouveau</t>
  </si>
  <si>
    <t>Enviar de novo</t>
  </si>
  <si>
    <t>Elküldi újra</t>
  </si>
  <si>
    <t>Kirim lagi</t>
  </si>
  <si>
    <t>Invia di nuovo</t>
  </si>
  <si>
    <t>再送</t>
  </si>
  <si>
    <t>다시 보내기</t>
  </si>
  <si>
    <t>Opnieuw versturen</t>
  </si>
  <si>
    <t>Wyślij ponownie</t>
  </si>
  <si>
    <t>Enviar novamente</t>
  </si>
  <si>
    <t>Отправить ещё раз</t>
  </si>
  <si>
    <t>Poslať znova</t>
  </si>
  <si>
    <t>Пошаљи поново</t>
  </si>
  <si>
    <t>Skicka igen</t>
  </si>
  <si>
    <t>Надіслати знову</t>
  </si>
  <si>
    <t>Gửi lại</t>
  </si>
  <si>
    <t>再次發送</t>
  </si>
  <si>
    <t>unable_to_connect_to_keychain</t>
  </si>
  <si>
    <t>Unable to connect to OpenKeychain</t>
  </si>
  <si>
    <t>تعذر الربط بأوبن كي تشاين</t>
  </si>
  <si>
    <t>Неуспешно свързване с OpenKeychain</t>
  </si>
  <si>
    <t>No es pot connectar a OpenKeychain</t>
  </si>
  <si>
    <t>Verbindung zu OpenKeychain nicht möglich</t>
  </si>
  <si>
    <t>No se ha podido conectar a OpenKeychain</t>
  </si>
  <si>
    <t>Connection à OpenKeychain impossible</t>
  </si>
  <si>
    <t>Non se puido conectar con OpenKeychain</t>
  </si>
  <si>
    <t>Nem sikerült csatlakozni a OpenKeychain-hez</t>
  </si>
  <si>
    <t>Impossibile connettersi a OpenKeychain</t>
  </si>
  <si>
    <t>OpenKeychain に接続できません</t>
  </si>
  <si>
    <t>OpenKeychain 에 연결할 수 없습니다</t>
  </si>
  <si>
    <t>Verbinden met OpenKeychain mislukt</t>
  </si>
  <si>
    <t>Nie można połączyć się z OpenKeychain</t>
  </si>
  <si>
    <t>Não foi possível ligar ao OpenKeychain</t>
  </si>
  <si>
    <t>Не удалось подключиться к OpenKeychain</t>
  </si>
  <si>
    <t>Не могу да се повежем са Отвореним кључарником</t>
  </si>
  <si>
    <t>Kan inte ansluta till OpenKeychain</t>
  </si>
  <si>
    <t>OpenKeyChain\'e bağlanılamıyor</t>
  </si>
  <si>
    <t>Не можу зв\'язатися з OpenKeychain</t>
  </si>
  <si>
    <t>無法連接到 OpenKeychain</t>
  </si>
  <si>
    <t>action_add</t>
  </si>
  <si>
    <t>New conversation</t>
  </si>
  <si>
    <t>محادثة جديدة</t>
  </si>
  <si>
    <t>Нов разговор</t>
  </si>
  <si>
    <t>Nova conversa</t>
  </si>
  <si>
    <t>Neue Unterhaltung</t>
  </si>
  <si>
    <t>Nueva conversación</t>
  </si>
  <si>
    <t>Nouvelle conversation</t>
  </si>
  <si>
    <t>Új beszélgetés</t>
  </si>
  <si>
    <t>Percakapan Baru</t>
  </si>
  <si>
    <t>Nuova conversazione</t>
  </si>
  <si>
    <t>新しい会話</t>
  </si>
  <si>
    <t>새 대화</t>
  </si>
  <si>
    <t>Nieuw gesprek</t>
  </si>
  <si>
    <t>Nowa konwersacja</t>
  </si>
  <si>
    <t>Новая беседа</t>
  </si>
  <si>
    <t>Nová konverzácia</t>
  </si>
  <si>
    <t>Нова преписка</t>
  </si>
  <si>
    <t>Ny konversation</t>
  </si>
  <si>
    <t>Нова розмова</t>
  </si>
  <si>
    <t>Hội thoại mới</t>
  </si>
  <si>
    <t>新對話</t>
  </si>
  <si>
    <t>costa_rica</t>
  </si>
  <si>
    <t>Costa Rica</t>
  </si>
  <si>
    <t>Коста-Рика</t>
  </si>
  <si>
    <t>Kostarika</t>
  </si>
  <si>
    <t>please_select_country</t>
  </si>
  <si>
    <t>Select country</t>
  </si>
  <si>
    <t>Selecciona país</t>
  </si>
  <si>
    <t>Sélectionner le pays</t>
  </si>
  <si>
    <t>Válasszon országot</t>
  </si>
  <si>
    <t>Выберите страну</t>
  </si>
  <si>
    <t>Izaberi zemlju</t>
  </si>
  <si>
    <t>Ülke\'yi seçin</t>
  </si>
  <si>
    <t>pref_treat_vibrate_as_silent</t>
  </si>
  <si>
    <t>Treat vibrate as silent mode</t>
  </si>
  <si>
    <t>Тих режим при режим на вибриране</t>
  </si>
  <si>
    <t>Tracteu de vibrar al modo silenciós</t>
  </si>
  <si>
    <t>Vibration als Lautlos behandeln</t>
  </si>
  <si>
    <t>Modo vibración como modo silencio</t>
  </si>
  <si>
    <t>Indisponible en mode vibreur</t>
  </si>
  <si>
    <t>Trata a vibración como modo silencioso</t>
  </si>
  <si>
    <t>A rezgést kezelje úgy mint csöndes módot</t>
  </si>
  <si>
    <t>Tratta vibrazione come modalità silenziosa</t>
  </si>
  <si>
    <t>バイブレートをサイレントモードとして扱う</t>
  </si>
  <si>
    <t>진동을 자동으로 처리</t>
  </si>
  <si>
    <t>Trillen behandelen als stille modus</t>
  </si>
  <si>
    <t>Traktuj tryb wibracji jak tryb cichy</t>
  </si>
  <si>
    <t>Tratar vibrar como modo silencioso</t>
  </si>
  <si>
    <t>Не доступен в режиме вибрации</t>
  </si>
  <si>
    <t>Вибрација је нечујни режим</t>
  </si>
  <si>
    <t>Hantera vibrationsläge som tyst läge</t>
  </si>
  <si>
    <t>Вважати вібро за безшумний режим</t>
  </si>
  <si>
    <t>靜音模式開啟振動</t>
  </si>
  <si>
    <t>tt_sort_by</t>
  </si>
  <si>
    <t>Sort by</t>
  </si>
  <si>
    <t>فرز حسب</t>
  </si>
  <si>
    <t>Сортирай по</t>
  </si>
  <si>
    <t>Seřadit podle</t>
  </si>
  <si>
    <t>Sorter efter</t>
  </si>
  <si>
    <t>Sortierung nach</t>
  </si>
  <si>
    <t>Ταξινόμηση κατά</t>
  </si>
  <si>
    <t>Ordenar por</t>
  </si>
  <si>
    <t>Lajitteluperuste</t>
  </si>
  <si>
    <t>Filtrer par</t>
  </si>
  <si>
    <t>द्वारा सॉर्ट करें</t>
  </si>
  <si>
    <t>Rendezés</t>
  </si>
  <si>
    <t>Urutkan berdasarkan</t>
  </si>
  <si>
    <t>Ordina per</t>
  </si>
  <si>
    <t>מיין לפי</t>
  </si>
  <si>
    <t>ソート</t>
  </si>
  <si>
    <t>정렬 기준</t>
  </si>
  <si>
    <t>Susun ikut</t>
  </si>
  <si>
    <t>Sorteer via</t>
  </si>
  <si>
    <t>Sorter etter</t>
  </si>
  <si>
    <t>Sortuj według</t>
  </si>
  <si>
    <t>Filtrează după</t>
  </si>
  <si>
    <t>Упорядочить по</t>
  </si>
  <si>
    <t>Triediť podľa</t>
  </si>
  <si>
    <t>Razvrsti po</t>
  </si>
  <si>
    <t>Sortiraj po</t>
  </si>
  <si>
    <t>Sortera efter</t>
  </si>
  <si>
    <t>เรียงตาม</t>
  </si>
  <si>
    <t>Sıralama ölçütü</t>
  </si>
  <si>
    <t>Sắp xếp theo</t>
  </si>
  <si>
    <t>排序方式</t>
  </si>
  <si>
    <t>&gt;排序方式</t>
  </si>
  <si>
    <t>please_enter_your_phone_number</t>
  </si>
  <si>
    <t>Please enter your phone number.</t>
  </si>
  <si>
    <t>Моля, въведете телефонния си номер.</t>
  </si>
  <si>
    <t>Gib bitte deine Telefonnummer ein.</t>
  </si>
  <si>
    <t>Por favor, introduce tu número de teléfono.</t>
  </si>
  <si>
    <t>Veuillez saisir votre numéro de téléphone.</t>
  </si>
  <si>
    <t>Por favor introduza o seu número de teléfono.</t>
  </si>
  <si>
    <t>Kérlek add meg a telefonszámod.</t>
  </si>
  <si>
    <t>Inserisci il tuo numero di telefono:</t>
  </si>
  <si>
    <t>Voer je telefoonnummer in.</t>
  </si>
  <si>
    <t>Proszę wpisać swój numer telefonu.</t>
  </si>
  <si>
    <t>message_deleted</t>
  </si>
  <si>
    <t>Message Deleted!</t>
  </si>
  <si>
    <t>Nachricht gelöscht!</t>
  </si>
  <si>
    <t>¡Mensaje eliminado!</t>
  </si>
  <si>
    <t>Message supprimé!</t>
  </si>
  <si>
    <t>Az üzenet törölve!</t>
  </si>
  <si>
    <t>Сообщение удалено!</t>
  </si>
  <si>
    <t>Poruka je obrisana!</t>
  </si>
  <si>
    <t>vcard</t>
  </si>
  <si>
    <t>تواصل</t>
  </si>
  <si>
    <t>Névjegy</t>
  </si>
  <si>
    <t>Liên hệ</t>
  </si>
  <si>
    <t>pref_enter_is_send</t>
  </si>
  <si>
    <t>Enter is send</t>
  </si>
  <si>
    <t>أدخل للإرسال</t>
  </si>
  <si>
    <t>Enter изпраща</t>
  </si>
  <si>
    <t>Entra per enviar</t>
  </si>
  <si>
    <t>Eingabe-Taste (Enter) sendet Nachricht</t>
  </si>
  <si>
    <t>Intro para enviar</t>
  </si>
  <si>
    <t>Touche Entrée pour envoyer</t>
  </si>
  <si>
    <t>Enter envía</t>
  </si>
  <si>
    <t>Enter gomb küldjön</t>
  </si>
  <si>
    <t>Enter untuk mengirim</t>
  </si>
  <si>
    <t>Invio spedisce</t>
  </si>
  <si>
    <t>Enter は送信</t>
  </si>
  <si>
    <t>엔터 키로 전송</t>
  </si>
  <si>
    <t>Enter is versturen</t>
  </si>
  <si>
    <t>Enter wysyła</t>
  </si>
  <si>
    <t>O enter envia</t>
  </si>
  <si>
    <t>Отправить на \"Enter\"</t>
  </si>
  <si>
    <t>Enter odosiela</t>
  </si>
  <si>
    <t>Ентер шаље</t>
  </si>
  <si>
    <t>Skicka med enter</t>
  </si>
  <si>
    <t>Enter для відправки</t>
  </si>
  <si>
    <t>Bấm Enter để gửi</t>
  </si>
  <si>
    <t>回車是發送</t>
  </si>
  <si>
    <t>mountain_view</t>
  </si>
  <si>
    <t>The [b]Mountain-View Data[/b] (MVD) [b]Crypto Rating[/b] is awarded in [b]mountains[/b]. The currencies with the best development forecasts receive the highest rating of [b]5 mountains[/b], followed by ++ and + grades. Due to a rating program developed by Mountain-View Data, a large number of cryptocurrency data can be observed, analyzed, compared and processed on a monthly basis. [p/] Significant for the calculation of the MVD Crypto Rating are [b]qualitative[/b] and [b]quantitative[/b] data of digital currencies: [ul] [li]Analysis of the White Paper – what is the main goal of the cryptocurrency?[/li] [li]Analysis of current price data and price fluctuations[/li] [li]Blockchain mechanism behind a digital currency[/li] [li]Calculation of performance, volatility, Sharpe ratio[/li] [li]Tradability / acceptance of the currency in the virtual currency market[/li] [li]Public forums and degree of developmental participation in the GitHub community[/li] [li]Trends in the virtual currency market, market distortions, etc.[/li] [/ul]</t>
  </si>
  <si>
    <t>ان بيانات [b] Mountain-View [/ b] (MVD) [b] تصنيف التشفير [/ b] يتم منحها في [b]mountains[/b]. ان تلك ذات أفضل التوقعات تحصل على أعلى تصنيف من قبل [b]mountains[/b] وتليها ++ وثم + درجات. نظرًا لبرنامج التقييم الذي تم تطويره بواسطة Mountain-View Data فأنه يمكن ملاحظة عدد كبير من بيانات العملة المشفرة وتحليلها ومقارنتها ومعالجتها على أساس شهري. [p /] ان من الامور المهمة لحساب تقييم التشفير MVD هي [b] البيانات النوعية [/ b] و [b] الكمية [/ b] من العملات الرقمية: [ul] [li] من اجل تحليل White Paper - ما هو الهدف الرئيسي للعملة المشفرة؟ [/ li] [li] تحليل بيانات الأسعار الحالية وتقلبات الأسعار [/ li] [li] آلية Blockchain والعملة الرقمية [/ li] [li] حساب الأداء والتقلب والنسبة [/ li] [li] قابلية التداول / قبول العملة في سوق العملات الافتراضية [/ li] [li] المنتديات العامة ودرجة المشاركة التنموية في مجتمع GitHub [/ li] [li] الاتجاهات في سوق العملات الافتراضية واختلالات السوق وغيرها. [/ li] [/ ul]</t>
  </si>
  <si>
    <t>[B]Данни в изглед Mountain view[/b] (MVD) [b]Крипто рейтинг[/b] се разпределя в[b]планини[/b]. Валутите с най-добри прогнози за развитие получават най-високата оценка от [b]5 планини [/b], следвана от ++ и + степени. Благодарение на рейтингова програма, разработена от Mountain-View Data, всеки месец могат да се наблюдават, анализират, сравняват и обработват голям брой криптовалутни данни. [p/] Важни за изчисляването на MVD крипто рейтинга са [b]качествени[/b] и [b]количествени[/b] данни за дигитални валути: [ul] [li]Анализ на Бялата книга - каква е основната цел на криптовалутата?[/li] [li]Анализ на текущите данни за цените и колебанията на цените[/li] [li]Блокчейн механизъм на дигиталната валута[/li] [li]Изчисляване на производителност, волатилност, коефициент на Шарп[/li] [li]Търговско / приемане на валутата на пазара за виртуална валута[/li] [li]Публични форуми и степен на участие в общността GitHub[/li] [li]Тенденции на пазара на виртуална валута, пазарни изкривявания и др.[/li] [/ul]</t>
  </si>
  <si>
    <t>b]Hodnocení kryptoměn[/b] od [b]Mountain View Data[/b] (MVD) [se uděluje v [b]horách[/b]. Měny s nejlepšími prognózami vývoje dostávají nejvyšší hodnocení [b]5 hor [/b], po němž následují známky ++ a +. Díky hodnotícímu programu vyvinutému společností Mountain-View Data lze měsíčně pozorovat, analyzovat, porovnávat a zpracovávat velké množství údajů o kryptoměnách. [p/] Významné pro výpočet kryptografického hodnocení MVD jsou [b]kvalitativní[/b] a [b]kvantitativní[/b] data digitálních měn: [ul] [li]Analýza bílé knihy - co je hlavní cíl kryptoměny?[/li] [li]Analýza aktuálních cenových údajů a cenových výkyvů[/li] [li]Mechanismus bločenky za digitální měnou[/li] [li]Výpočet výkonu, volatility, Sharpeho poměru[/li] [li]Obchodovatelnost / přijetí měny na trhu s virtuální měnou[/li] [li]Veřejná fóra a míra účasti na vývoji v komunitě GitHub[/li] [li]Trendy na trhu s virtuální měnou, narušení trhu atd.[/li] [/ul]</t>
  </si>
  <si>
    <t>The [b]Mountain-View Data[/b] (MVD) [b]Crypto Rating[/b] tildeles i [b]mountains[/b]. De valutaer, der har de bedste udviklingsprognoser, får den højeste bedømmelse på [b]5 bjerge[/b], efterfulgt af ++ og + karakterer. På grund af et vurderingsprogram, der er udviklet af Mountain-View Data, kan et stort antal kryptovaluta-data observeres, analyseres, sammenlignes og behandles på månedlig basis. [p/] Vigtigt for beregningen af MVD Crypto Rating er [b]kvalitative [/b] og [b]kvantitative [/b] data om digitale valutaer: [ul] [li]Analyse af hvidbogen - hvad er det vigtigste mål for kryptovaluta? [/li] [li]Analyse af aktuelle prisdata og prisudsving [/li] [li]Blockchain-mekanisme bag en digital valuta [/li] [li]Beregning af ydelse, volatilitet, Sharpe-forhold [/li] [li]Kvotehandel / accept af valutaen på det virtuelle valutamarked [/li] [li]Offentlige fora og deltagelse i udvikling af GitHub-samfundet [/li] [li]Tendenser på det virtuelle valutamarked, markedsforvridning osv.[/li] [/ul]</t>
  </si>
  <si>
    <t>Das [b]Mountain-View Data[/b] (MDV) [b]Krypto Rating[/b] wird in [b]Mountains vergeben[/b]. Jene Währungen, für die anhand der analysierten Daten die besten Entwicklungsprognosen berechnet wurden, erhalten die höchste Bewertung von [b]5 Mountains[/b], gefolgt von ++ und + Abstufungen. Dank eines von Mountain-View Data entwickelten Rating-Programms kann eine Vielzahl an Krypto-Daten auf monatlicher Berechnungsbasis beobachtet, analysiert, miteinander verglichen und verarbeitet werden. [p/] Entscheidend für die Berechnung des Ratings sind [b]qualitative[/b] und [b]quantitative[/b] Daten der digitalen Währungen: [ul] [li]Analyse des White Papers – was ist das Ziel der Kryptowährung?[/li] [li]Analyse aktueller Kursdaten und Preisschwankungen[/li] [li]Blockchain-Mechanismus hinter einer digitalen Währung[/li] [li]Berechnung von Performance, Volatilität, Sharpe Ratio[/li] [li]Handelbarkeit/Akzeptanz der Währung am virtuellen Währungsmarkt[/li] [li]Öffentliche Foren sowie Grad der Entwicklungsbeteiligung in der GitHub-Community[/li] [li]Trends am virtuellen Währungsmarkt, Marktverzerrungen, etc.[/li] [/ul]</t>
  </si>
  <si>
    <t>Η [b]αξιολόγηση Crypto[/b] της [b]Mountain-View Data[/b] (MVD) δίνεται σε [b]mountains[/b]. Τα νομίσματα με τις καλύτερες προβλέψεις ανάπτυξης λαμβάνουν την υψηλότερη βαθμολογία [b]5 mountains[/b], ακολουθούμενη από βαθμολογία ++ και +. Λόγω ενός προγράμματος αξιολόγησης που αναπτύχθηκε από τη Mountain-View Data, ένας μεγάλος αριθμός δεδομένων κρυπτονομίσματος μπορεί να παρατηρηθεί, να αναλυθεί, να συγκριθεί και να υποβληθεί σε επεξεργασία σε μηνιαία βάση. [p/] Σημαντικό για τον υπολογισμό του MVD Crypto Rating είναι [b]ποιοτικά [/b] και [b]ποσοτικά [/b] δεδομένα ψηφιακών νομισμάτων: [ul] [li]Ανάλυση της Λευκής Βίβλου - ποιος είναι ο κύριος στόχος του κρυπτονομίσματος; [/li] [li]Ανάλυση των τρεχόντων δεδομένων τιμών και των διακυμάνσεων των τιμών [/li] [li]Μηχανισμός blockchain πίσω από ένα ψηφιακό νόμισμα [/li] [li]Υπολογισμός απόδοσης, μεταβλητότητας, λόγος Sharpe [/li] [li]Εμπορευσιμότητα / αποδοχή του νομίσματος στην αγορά εικονικού νομίσματος [/li] [li]Δημόσια φόρουμ και βαθμός αναπτυξιακής συμμετοχής στην κοινότητα GitHub [/li] [li]Τάσεις στην αγορά εικονικού νομίσματος, στρεβλώσεις της αγοράς, κλπ. [/li] [/ul]</t>
  </si>
  <si>
    <t xml:space="preserve"> [b]Mountain-View Data [/b] (MVD) [b]Crypto Rating[/b] se valora en [b]mountains[/b]. Las dividas con el mejor pronóstico desarrollado reciben la clasificación más alta de [b]5 mountains[/b], seguido por las calificaciones ++ y +.  Gracias a un programa de clasificación desarrollado por Mountain-View Data, un gran número de datos sobre las criptomonedas pueden ser observados, analizados, comparados y procesados mensualmente. [p/] Lo importante para el cálculo de la MVD Crypto Rating son los datos [b]cualitativos[/b] y [b]cuantitativos[/b] de las divisas digitales: [ul] [li]Análisis del White Paper – ¿cuál es el principal objetivo de las cryptomonedas?[/li] [li]Análisis de los datos actuales de los precios y fluctuaciones de los mismos[/li] [li]El mecanismo Blockchain por detrás de una divisa digital[/li] [li]Cálculos de rendimiento, volatibilidad, índice de Sharpe[/li] [li]Comerciabilidad / aceptación de la divisa en el mercado virtual de divisas.[/li] [li]Foros públicos y grado de participación en el desarrollo de la comunidad GitHub[/li] [li]Tendencias en el mercado virtual de divisas, distorsiones del mercado, etc.[/li] [/ul]</t>
  </si>
  <si>
    <t>[B]Mountain View Datat[/b] (MVD) [b]Kryptoarvio[/b] on palkittu [b]vuoret[/b]. Valuutat, joilla on parhaat kehitysennusteet, saavat korkeimman arvosanan [b]5 vuorta[/b], jota seuraavat ++ ja + arvosanat. Mountain-View Datan kehittämän luokitusohjelman ansiosta suuri määrä kryptovaluuttatietoja voidaan havaita, analysoida, vertailla ja käsitellä kuukausittain. [p/] Tärkeitä MVD-kryptoarvioiden laskemiselle ovat [b]kvalitatiiviset[/b] ja [b]kvantitatiiviset[/b] tiedot digivaluutoista: [ul] [li]White Paperin analyysi - mikä on kryptovaluutan päätavoite? [/li] [li]Nykyisten hintatietojen ja hintavaihtelujen analyysi [/li] [li]Digivaluutan takana oleva lohkoketjumekanismi [/li] [li]Tuottavuuden, volatiliteetin, Sharpen-suhteen laskeminen [/li] [li]Valuutan käytettävyys/hyväksyntä virtuaalivaluuttamarkkinoilla [/li] [li]Julkiset foorumit ja kehityksellisen osallistumisen aste GitHub-yhteisössä [/li] [li]Virtuaalisten valuuttamarkkinoiden suuntaukset, markkinoiden vääristymät jne.[/li] [/ul]</t>
  </si>
  <si>
    <t>La [b]cote de cryptographie[/b] [b]Mountain-View Data[/b] (MVD) est attribuée dans les [b]montagnes[/b]. Les devises avec les meilleures prévisions d\'évolution reçoivent la note la plus élevée de [b]5 montagnes[/b], suivies des notes ++ et +. Grâce à un programme de notation développé par Mountain-View Data, un grand nombre de données de cryptomonnaie peuvent être observées, analysées, comparées et traitées mensuellement. [p/] Les données [b]qualitatives[/b] et [b]quantitatives[/b] des monnaies numériques sont importantes pour le calcul du MVD Crypto Rating : [ul] [li]Analyse du livre blanc - quel est l\'objectif principal de la cryptomonnaie ?[/li] [li]Analyse des données de prix actuelles et des fluctuations de prix[/li] [li]Mécanisme de blockchain derrière une monnaie numérique[/li] [li]Calcul du rendement, de la volatilité, du ratio de Sharpe[/li] [li]Cessibilité / acceptation de la monnaie sur le marché des monnaies virtuelles[/li] [li]Forums publics et degré de participation de développement dans la communauté GitHub[/li] [li]Tendances du marché des monnaies virtuelles, distorsions du marché, etc.[/li] [/ul]</t>
  </si>
  <si>
    <t>The [b]माउंटेन-व्यू डेटा[/b] (एमवीडी) [b]क्रिप्टो रेटिंग को [/b] माउंटेन[b]में तय किया जाता है [/b]. सर्वोत्तम विकास पूर्वानुमान वाली मुद्राएं [b]5 माउंटेन[/b] की उच्चतम रेटिंग प्राप्त करती हैं, इसके बाद ++ और + ग्रेड प्राप्त होते हैं। माउंटेन-व्यू डेटा द्वारा विकसित एक रेटिंग प्रोग्राम के कारण, मासिक आधार पर बड़ी संख्या में क्रिप्टोक्यूरेंसी डेटा का अवलोकन, विश्लेषण, तुलना और प्रसंस्करण किया जा सकता है। [p/] एमवीडी क्रिप्टो रेटिंग की गणना के लिए महत्वपूर्ण, डिजिटल मुद्राओं के [b]गुणात्मक[/b] और [b]मात्रात्मक[/b] डेटा हैं: [ul] [li]श्वेत पत्र का विश्लेषण - क्रिप्टोकरेंसी का मुख्य लक्ष्य क्या है? वर्तमान मूल्य डेटा और मूल्य में उतार-चढ़ाव का विश्लेषण[/li] [li]किसी डिजिटल मुद्रा के पीछे ब्लॉकचेन प्रणाली[/li] [li]प्रदर्शन, अस्थिरता, शार्प अनुपात की गणना[/li] [li] वर्चुअल मुद्रा बाजार में मुद्रा की व्यापार योग्यता/ स्वीकृति[/li] [li]सार्वजनिक मंचों और GitHub समुदाय में विकासात्मक भागीदारी की सीमा[/li] [li] वर्चुअल मुद्रा मार्केट , मार्केट विकृतियों, आदि में रुझान.[/li] [/ul]</t>
  </si>
  <si>
    <t>A [b]Mountain-View Data[/b] (MVD) [b]Crypto Rating (az MVD kriptovaluta értékelése)[/b] hegycsúcsokban [b]történik[/b]. A legjobb növekedési előrejelzéseket kapó valuták kapják a legmagasabb, [b]5 hegycsúcs[/b] értékelést, utána ++ és + fokozatokkal. A Mountain-View Data által kifejlesztett értékelő programnak köszönhetően havi szinten nagy mennyiségű kriptovaluta adat megfigyelhető, elemezhető, összehasonlítható és feldolgozható. [p/] Az MVD Crypto Rating számításánál jelentőséggel bírnak [b]a kriptovaluták minőségi[/b] és [b]mennyiségi[/b] adatai: [ul] [li]A White Paper elemzése – mi a kriptovaluta fő célja?[/li] [li]Az aktuális áradatok és áringadozások[/li] [li]A digitális valuta mögött álló blokklánc mechanizmus[/li] [li]A teljesítmény, volatilitás, Sharpe arány számítása[/li] [li]Forgalmazhatóság / a valuta elfogadása a virtuális valuták piacán[/li] [li]Nyilvános fórumok és a GitHub közösségben játszott fejlesztő részvétel[/li] [li]A virtuális valutapiac trendjei, piaci torzítások, stb.[/li] [/ul]</t>
  </si>
  <si>
    <t>[b]Mountain-View Data[/b] (MVD) [b]Penilaian Crypto[/b] di anugerahkan di [b]pegunungan[/b]. Mata uang dengan prakiraan perkembangan terbaik menerima penilaian tertinggi sebesar [b]5 pegunungan[/b], diikuti oleh ++ dan tingkat +. Disebabkan program penilaianan yang dikembangkan Mountain-View Data, sejumlah besar data mata uang kripto dapat diamati, dianalisa, dibandingkan dan diproses pada setiap bulannya. [p/] Perhitungan signifikansi dari Penilaian Kripto MVD adalah data [b]kualitatif[/b] dan [b]kuantitatif[/b] dari mata uang digital: [ul] [li]Analisis dari laporan resmi – Apa tujuan utama dari mata uang kripto?[/li] [li]Analisis dari data harga terkini dan fluktuasi harga[/li] [li]Mekanisme Blockchain dibalik mata uang digital[/li] [li]Perhitngan kinerja, volatilitas, Rasio ketajaman[/li] [li]Kemudahan perdagangan / penerimaan dari mata uang di pasar mata uang virtual[/li] [li]Forum publik dan tingkat partisipasi pengembangan dalam komunitas GitHub[/li] [li]Tren dalam pasar mata uang virtual, distorsi pasar, dll.[/li] [/ul]</t>
  </si>
  <si>
    <t>La [b]valutazione della moneta Cripto[/b] (MVD) [b]nei dati di Mountain-View[/b] è ricompensata in [b]montagne[/b]. Le valute con le migliori previsioni di sviluppo ricevono la più lata valutazione con [b]5 montagne[/b], seguita dai voti ++ e +. Grazie al programma di valutazione sviluppato dai dati di Mountain-View, gran parte dei dati sulle criptovalute può essere osservata, analizzata confrontata ed elaborata su base mensile. [p/] Per il calcolo della valutazione delle criptovalute MVD sono importanti i dati [b]qualitativi[/b] e [b]quantitativi[/b] delle valute digitali: [ul] [li]Analisi del Libro bianco, qual è l\'obiettivo principale delle cripto-valute?[/li] [li]Analisi dei dati relativi ai prezzi attuali e alle fluttuazioni dei prezzi[/li] [li]Meccanismo di blockchain che si nasconde dietro una valuta digitale[/li] [li]Calcolo delle prestazioni, volatilità, l\'Indice di Sharpe[/li] [li]La scambiabilità / L\'accettazione della valuta nel mercato delle valute virtuali[/li] [li]Forum pubblici e livello della partecipazione evolutiva alla comunità GitHub[/li] [li]Le tendenze nel mercato delle valute virtuali, le distorsioni del mercato, ecc.[/li] [/ul]</t>
  </si>
  <si>
    <t>נתוני [b]תצוגת הר [/b] (MVD) [b]דירוג מטבעות מבוזרים [/b] ניתנים [b]הרים [/b]. המטבעות עם תחזיות ההתפתחות הטובות ביותר זוכים לדירוג הגבוה ביותר של 5 הרים [/b], ולאחריו הציונים ++ ו- +. הודות לתוכנית דירוג, פרי פיתוחה של Mountain-View Data, ניתן לצפות, לנתח, להשוות ולעבד שפע של נתונים על מטבעות מבוזרים על בסיס חודשי. [p/] הגורמים החשובים בחישוב דירוג מטבעות מבוזרים MVD הם [b]נתונים איכותניים [/b] ו- [b]וכמותניים [/b] של מטבעות דיגיטליים: [ul] [li]ניתוח המסמך הלבן (White Paper) - מהי המטרה העיקרית של מטבעות מבוזרים? [/li] [li] ניתוח נתוני מחירים שוטפים ותנודות מחירים [/li] [li]מנגנון בלוקצ'יין מאחורי מטבע דיגיטלי [/li] [li]חישוב ביצועים, תנודתיות, מדד שארפ [/li] [li] סחירות / קבלת המטבע בשוק המטבעות הווירטואליים [/li] [li]פורומים ציבוריים ומידת השתתפות התפתחותית בקהילת li] [li]GitHub]מגמות בשוק המטבעות הוירטואליים, עיוותי שוק, וכו'.[/li] [/ul]</t>
  </si>
  <si>
    <t>[b]マウンテンビューデータ[/b] (MVD) [b]暗号通貨格付け[/b]は[b]マウンテン[/b]で受賞しました。成長予測が最も良い通貨は[b]5マウンテン[/b]の最高の格付けを受け、それに++等級と+等級が続きます。マウンテンビューデータが開発した格付けプログラムにより、多数の暗号通貨データを毎月観察、分析、比較、処理できます。[p/] MVD暗号通貨格付けの算出に重要なのは、暗号通貨の[b]定性[/b]・[b]定量[/b]データです:[ul] [li]ホワイトペーパーの分析–暗号通貨の主なゴールは何か？[/li] [li]現在の価格データと価格変動の分析[/li] [li]暗号通貨の背後にあるブロックチェーンの分析[/li] [li]パフォーマンス、ボラティリティ、シャープレシオの計算[/li] [li]暗号通貨市場における通貨の市場流動性/引受け[/li] [li]GitHubコミュニティにおける公開フォーラムと開発参加度[/li] [li]暗号通貨の為替相場の動向、市場の歪みなど[/li] [/ul]</t>
  </si>
  <si>
    <t>[b]Mountain-View Data[/b] (MVD) [b]전자화폐 평가 서비스[/b]는 [b]mountains[/b]에서 상을 수상하였습니다. 최고의 발전 전망을 가진 통화로 가장 높은 평가 점수인 [b]5[/b]를 받았습니다.</t>
  </si>
  <si>
    <t>[b]Penilaian Crypto[/b] [b]Mountain-View Data[/b] (MVD) dianugerahkan dalam [b]pergunungan[/b]. Mata wang dengan ramalan pembangunan terbaik mendapat penilaian tertinggi [b]5 pergunungan[/b], diikuti oleh gred ++ dan +. Oleh kerana program penilaian yang dikembangkan oleh Mountain-View Data, sebilangan besar data cryptocurrency dapat diperhatikan, dianalisis, dibandingkan dan diproses setiap bulan. [p/] Penting untuk pengiraan Penilaian Crypto MVD adalah data [b]qualitatif[/b] dan [b]quantitatif[/b] mata wang digital: [ul] [li]Analisis Kertas Putih - apakah matlamat utama mata wang crypto?[/li] [li]Analisis data harga semasa dan turun naik harga[/li] [li]Mekanisme Blockchain di sebalik mata wang digital[/li] [li]Pengiraan prestasi, turun naik, nisbah Sharpe[/li] [li]Kebolehdagangan / penerimaan mata wang di pasaran mata wang maya[/li] [li]Forum awam dan tahap penyertaan pembangunan dalam komuniti GitHub[/li] [li]Aliran pasaran mata wang maya, gangguan pasaran, dll.[/li] [/ul]</t>
  </si>
  <si>
    <t>De [b]Mountain-View Data[/b] (MVD) [b]Crypto Rating[/b] wordt gegeven in [b]bergen[/b]. De valuta\'s met de best voorspellingen qua ontwikkelingen krijgen de hoogste waardering van [b]5 bergen[/b], gevolg door ++ en +. Als gevolg van een door Mountain-View Data ontwikkeld beoordelingsprogramma, is het mogelijk om maandelijks een groot aantal gegevens van cryptovaluta te observeren, analyseren, vergelijken en te verwerken. [p/] Significant voor de berekening van de MVD Crypto Rating zijn de [b]kwalitatieve[/b] en [b]kwantitatieve[/b] gegevens van digitale valuta: [ul][li]analyse van het witboek - wat is het hoofdoel van cryptovaluta?[/li] [li]Analyse van de huidige prijsgegevens en prijsfluctuaties.[/li] [li]Het blockchain-mechanisme achter een digitale valuta.[/li] [li]De berekening van de prestaties, volatiliteit, Sharpe-ratio.[/li] [li]Verhandelbaarheid / acceptatie van de valuta in de markt voor virtuele valuata[/li] [li]Openbare fora en de mate van deelname in ontwikkeling in de GitHUb-gemeenschap[/li] [li]Trends in de virtuele valuatamarkt, verstoringen in de markt, et cetera.[/li][/ul]</t>
  </si>
  <si>
    <t>[B]Mountain-View Data [/b] (MVD) [b]Kryptoforhold [/b] tildeles i [b]mountain [/b]. De valutaene med de beste utviklingsprognosene får den høyeste graderingen av [b]5 mountain [/b], etterfulgt av ++ og + forhold. På grunn av et vurderingsprogram utviklet av Mountain-View Data, kan et stort antall cryptovalutadata observeres, analyseres, sammenlignes og behandles på månedlig basis. [p/] Viktig for beregning av MVD Crypto Rating er [b]kvalitative [/b] og [b]kvantitative [/b] data om digitale valutaer: [ul] [li]Trykt analyse – hva er Hovedmålet med cryptovaluta? [/li] [li]Analyse av gjeldende prisdata og prissvingninger [/li] [li]Blockchain-mekanisme bak en digital valuta [/li] [li]Beregning av ytelse, volatilitet, Sharpe-forhold [/li] [li]Egnethet for trading / aksept av valutaen i det virtuelle valutamarkedet [/li] [li]Offentlige fora og grad av utviklingsdeltakelse i GitHub-samfunnet [/li] [li]Trender i det virtuelle valutamarkedet, markedsforvrengninger osv.[/li] [/ul]</t>
  </si>
  <si>
    <t>Kryptoocena [b]Mountain-View Data[/b] (MVD) [b]jest przyznawana w [b]jednostce „mountain” (góry)[/b]. Waluty z najlepszą prognozą rozwoju otrzymują najwyższą ocenę [b]5 mountains (gór)[/b], a dodatkowo ++ lub +. Dzięki programowi oceny opracowanemu przez Mountain-View Data, duża liczba danych dotyczących kryptowalut może być obserwowana, analizowana, porównywana i przetwarzana co miesiąc. [p/] Ważne z punktu widzenia obliczania kryptooceny MVD są [b]jakościowe[/b] i [b]ilościowe[/b] dane cyfrowych walut: [ul] [li]Analiza oficjalnego dokumentu – jaki jest główny cel kryptowaluty?[/li] [li]Analiza aktualnych danych dotyczących cen i ich wahań[/li] [li]Mechanizm Blockchain stojący za cyfrową walutą[/li] [li]Obliczanie wyników, zmienności, wskaźnika Sharpe\'a[/li] [li]Zbywalność/akceptacja waluty na rynku walut wirtualnych[/li] [li]Fora publiczne i stopień uczestnictwa w rozwoju społeczności GitHub[/li] [li]Trendy na rynku walut wirtualnych, zakłócenia rynku itp.[/li] [/ul]</t>
  </si>
  <si>
    <t>O [b]Mountain-View Data[/b] (MVD) [b]Crypto Rating[/b] é concedido em [b]montanhas[/b]. As moedas com as melhores previsões de crescimento recebem a classificação mais alta de [b]5 montanhas[/b], seguidas das notas ++ e +. Devido a um programa de classificação desenvolvido pela Mountain-View Data, pode ser observado, analisado, comparado e processado mensalmente um grande número de dados de criptomoedas. [p/] Relevantes para o cálculo do MVD Crypto Rating são dados [b]qualitativos[/b] e [b]quantitativos[/b] de moedas digitais: [ul] [li]Análise do White Paper - qual é o objetivo principal da criptomoeda?[/li] [li]Análise de dados de preços atuais e flutuações de preços[/li] [li]Mecanismo blockchain por trás de uma moeda digital[/li] [li]Cálculo de desempenho, volatilidade, índice de Sharpe[/li] [li]Negociabilidade/aceitação da moeda no mercado de moeda virtual[/li] [li]Fóruns públicos e grau de participação de desenvolvimento na comunidade GitHub[/li] [li]Tendências no mercado de moeda virtual, distorções do mercado, etc.[/li] [/ul]</t>
  </si>
  <si>
    <t>[b]Date de Vizualizare tip Munte[/b] (MVD) [b]Evaluarea Cripto[/b] este acordată în [b]munți [/b]. Valutele cu cele mai bune prognoze de dezvoltare primesc cea mai mare evaluare de [b]5 munți[/b], urmate de note ++ și +. Datorită unui program de evaluare dezvoltat de Mountain-View Data, un număr mare de date de criptomonede pot fi observate, analizate, comparate și procesate lunar. [p/] Semnificative pentru calcularea Evaluării Criptografice MVD sunt datele [b]calitative [/b] și [b]cantitative [/b] ale monedelor digitale: [ul] [li]Analiza Cărții Albe - ce este principalul obiectiv al cripto valutei?[/li] [li]Analiza datelor prețului actual și a fluctuațiilor de preț[/li] [li]Mecanismul Blocurilor din spatele unei monede digitale[/li] [li]Calcularea performanței, volatilitatea, raportul Sharpe[/li] [li]Negociabilitatea / acceptarea monedei pe piața valutară virtuală[/li] [li]Forum public și gradul de participare la dezvoltare în comunitatea GitHub[/li] [li]Tendințele pe piața valutară virtuală, denaturarea pieței, etc.[/li] [/ul]</t>
  </si>
  <si>
    <t>[b]Mountain-View Data[/b] (MVD) [b]Crypto Rating[/b] присуждается в [b]горах[/b]. Валюты с лучшими прогнозами развития получают самый высокий рейтинг [b]5 гор[/b], за которым следуют оценки ++ и+. Благодаря рейтинговой программе, разработанной компанией Mountain-View Data, большое количество криптовалютных данных можно наблюдать, анализировать, сравнивать и обрабатывать ежемесячно. [p/] Значимыми для расчета Крипторейтинга МВД являются [b]качественные[/b] и [b]количественные[/b] данные цифровых валют: [ul] [li]Анализ Белой книги – какова главная цель криптовалюты?[/li] [li]Анализ текущих ценовых данных и ценовых колебаний[/li] [li]Блокчейн-механизм за цифровой валютой[/li] [li]Расчет производительности, волатильности, коэффициента Шарпа[/li] [li]Торгуемость / принятие валюты на виртуальном валютном рынке[/li] [li]Публичные форумы и степень участия в развитии сообщества GitHub[/li] [li]Тенденции на рынке виртуальной валюты, рыночные искажения и т.д.[/li] [/ul]</t>
  </si>
  <si>
    <t>[b]Horské zobrazenie údajov[/b] (MVD) [b]Hodnotenie kryptomeny [/b] sa udeľuje vo forme [b]pohoria [/b]. Meny s najlepšími prognózami vývoja dostávajú najvyššie hodnotenie [b]5 hôr[/b], za ktorým nasleduje ++ a + hodnotenie. Vďaka hodnotiacemu programu od horského zobrazenia údajov je možné na mesačnej báze pozorovať, analyzovať, porovnávať a spracovávať veľké množstvo údajov o kryptomenách. [p/] Významné pre výpočet krypto ratingu MVD sú [b]kvalitatívne[/b] a [b]kvantitatívne[/b] údaje o digitálnych menách: [ul] [li]Analýza bielej knihy - aký je hlavný cieľ kryptomeny?[/li] [li]Analýza údajov o súčasných cenách a výkyvoch cien[/li] [li]Mechanizmus blockchainu za digitálnou menou[/li] [li]Výpočet výkonu, nestálosť, Sharpe ratio[/li] [li]Obchodovateľnosť / akceptovanie meny na trhu s virtuálnymi menami[/li] [li]Verejné fóra a stupeň vývojovej účasti v komunite GitHub[/li] [li]Trendy na trhu s virtuálnymi menami, narušenia trhu, atď.[/li] [/ul]</t>
  </si>
  <si>
    <t>Podatki [b]Mountain View [/b] (MVD) [b]Crypto Rating [/b] se podelijo v [b]mountain [/b]. Valute z najboljšimi razvojnimi napovedmi dobijo najvišjo oceno [b]5 gora [/b], sledita ji oceni ++ in +. Zaradi bonitetnega programa, ki ga je razvil Mountain-View Data, je mogoče mesečno opazovati, analizirati, primerjati in obdelovati veliko podatkov o kriptovalutah. [p/] Pomembni za izračun kriptovalut MVD so [b]kvalitativni [/b] in [b]količinski [/b] podatki o digitalnih valutah: [ul] [li]Analiza Bele knjige - kaj je glavni cilj kripto valute? [/li] [li]Analiza trenutnih podatkov o cenah in nihanje cen [/li] [li]Mehanizem blokovnih verig za digitalno valuto [/li] [li]Izračun zmogljivosti, nestanovitnosti, ostre razmerje [/li] [li]trgovanje / sprejetje valute na trgu virtualne valute [/li] [li]javni forumi in stopnja razvojne udeležbe v skupnosti GitHub [/li] [li]trendi na trgu virtualne valute, izkrivljanja trga itd.[/li] [/ul]</t>
  </si>
  <si>
    <t>[b]Mountain-View Data[/b] (MVD) [b]Crypto Rating[/b] tilldelas i [b]berg[/b]. Valutor med de bästa utvecklingsprognoserna får det högsta betyget på [b]5 berg [/b], följt av ++ och + -betyg. På grund av ett betygsprogram som utvecklats av Mountain-View Data kan ett stort antal cryptocurrency-data observeras, analyseras, jämföras och behandlas varje månad. [p/] Viktiga för beräkningen av MVD Crypto Rating är [b]kvalitativa[/b] och [b]kvantitativa[/b] data om digitala valutor: [ul] [li]Analys av vitboken - vad är huvudmålet med kryptovalutan?[/li] [li]Analys av aktuella prisdata och prisfluktuationer[/li] [li]Blockchain-mekanism bakom en digital valuta[/li] [li]Beräkning av prestanda, volatilitet, Sharpe-förhållande[/li] [li]Handelsbarhet / Acceptans av valutan på den virtuella valutamarknaden [/li] [li]Offentliga forum och graden av utvecklingsdeltagande i GitHub-gemenskapen [/li] [li]Trender på den virtuella valutamarknaden, marknadsförvrängningar osv.[/li] [/ul]</t>
  </si>
  <si>
    <t>[b]Mountain-View Data[/b] (MVD) [b]ให้คะแนนเงินคริปโต[/b] ด้วยการให้เป็น [b]Mountains[/b]. สกุลเงินที่มาพร้อมกับพัฒนาการแบบก้าวกระโดดที่คาดการณ์ว่าจะได้รับคะแนนสูงถึง [b]5 mountains[/b] ตามด้วย ++ และเกรด + เนื่องด้วยโปรแกรมการให้คะแนนนั้นพัฒนาโดย Mountain-View Data แหล่งข้อมูลสกุลเงินคริปโตรายใหญ่ที่ตรวจสอบ วิเคราะห์ เปรียบเทียบและประมวลผลเป็นรายเดือน [p/] สิ่งที่ MVD ให้ความสำคัญในการคำนวณคะแนนเงินคริปโตคือ [b]การคำนวณเชิงคุณภาพ[/b] และ [b]การคำนวณเชิงปริมาณ[/b] ข้อมูลสกุลเงินดิจิตอล: [ul] [li]การวิเคราะห์ White Paper - เป้าหมายหลักของสกุลเงินคริปโตคืออะไร?[/li] [li]การวิเคราะห์ข้อมูลราคา ณ ปัจจุบันและความผันผวน[/li] [li]กลไกบล็อกเชนที่อยู่เบื้องหลังสกุลเงินดิจิตอล[/li] [li]การคำนวณประสิทธิภาพ ความผันผวน อัตราการตอบแทนเมื่อเทียบกับความเสี่ยง[/li] [li]ความสามารถในการซื้อขาย / การยอมรับสกุลเงินในตลาดสกุลเงินเสมือน[/li] [li]ฟอรัมสาธารณะและระดับการมีส่วนร่วมเชิงพัฒนาในชุมชน GitHub[/li] [li]เทรนด์ในตลาดสกุลเงินเสมือน ความบิดเบือนทางการตลาดและอื่นๆอีกมากมาย[/li] [/ul]</t>
  </si>
  <si>
    <t>[b]Mountain-View Data[/b] (MVD) [b]Kripto Değerlendirmesi[/b] [b]dağlarla[/b] verilir. En iyi kalkınma tahminlerine sahip para birimleri en yüksek not olan [b]5 dağ[/b] derecelendirmesini, ardından ++ ve + notlarını alır. Mountain-View Data tarafından geliştirilen bir derecelendirme programı sayesinde, aylık olarak çok sayıda kripto para birimi verisi gözlemlenebilir, analiz edilebilir, karşılaştırılabilir ve işlenebilir. [p/] MVD Kripto Derecelendirmesinin hesaplanması için en önemli şeylerden biri, dijital para birimlerinin [b]nitel[/b] ve [b]nicel[/b] verileridir: [ul] [li]Beyaz Kitap Analizi - kripto para biriminin ana amacı nedir?[/li] [li]Mevcut fiyat verilerinin ve fiyat dalgalanmalarının analizi[/li] [li]Dijital para biriminin arkasındaki blockchain mekanizması[/li] [li]Performans, volatilite, Sharpe oranının hesaplanması[/li] [li]Sanal para piyasasında para biriminin ticareti / kabulü[/li] [li]Halka açık forumlar ve GitHub topluluğundaki gelişimsel katılım derecesi[/li] [li]Sanal para piyasasındaki eğilimler, piyasa bozulmaları vb.[/li] [/ul]</t>
  </si>
  <si>
    <t>[B]Mountain-View Data[/b] (MVD - Dữ liệu xem dạng núi) [b]Xếp hạng tiền mã hóa[/b] được cung cấp ở chế độ [b]núi[/b]. Các loại tiền tệ có tiềm năng phát triển tốt nhất sẽ nhận được xếp hạng cao nhất là [b]5 núi[/b], sau đó là các cấp ++ và +. Do một chương trình xếp hạng được phát triển bởi Mountain-View Data, một số lượng lớn dữ liệu tiền mã hóa có thể được quan sát, phân tích, so sánh và xử lý hàng tháng. [p/]Yếu tố quan trọng trong khâu tính toán Xếp hạng tiền mã hóa MVD là dữ liệu [b]định tính[/b] và [b]định lượng[/b] các loại tiền kỹ thuật số: [ul] [li]Phân tích Sách trắng - mục tiêu chính của tiền mã hóa là gì? [/li] [li]Phân tích dữ liệu giá hiện tại và biến động giá[/li] [li]Cơ chế blockchain đằng sau một loại tiền kỹ thuật số[/li] [li]Tính toán hiệu suất, biến động, hệ số Sharpe[/li] [li]Khả năng giao dịch/chấp nhận loại tiền tệ trên thị trường tiền ảo[/li] [li]Diễn đàn cộng đồng và mức độ tham gia phát triển trong cộng đồng GitHub[/li] [li]Xu hướng trên thị trường tiền ảo, biến dạng thị trường, v.v.[/li] [/ul]</t>
  </si>
  <si>
    <t>[b]山景数据[/b]（MVD）[b]加密货币评级[/b]以[b]山峰[/b]表示。发展前景最好的货币获得[b]5个山峰[/b]的最高评级，其次是++级和+级。使用山景数据开发的评级程序，可以按月观察、分析、比较和处理大量加密货币数据。[p/]对山景数据加密货币评级的计算有重要意义的是数字货币的[b]定性[/b]和[b]定量[/b]数据：[ul] [li]白皮书分析 – 加密货币的主要目标是什么？[/li] [li]分析当前价格数据和价格波动。[/li] [li]数字货币背后的区块链机制。[/li] [li]表现、波动率、夏普比率的计算。[/li] [li]虚拟货币市场中货币的可交易性/可接受性。[/li] [li]GitHub社区的公共论坛和发展参与程度。[/li] [li]虚拟货币市场趋势、市场扭曲等。[/li] [/ul]</t>
  </si>
  <si>
    <t>haiti</t>
  </si>
  <si>
    <t>Haiti</t>
  </si>
  <si>
    <t>Haïti</t>
  </si>
  <si>
    <t>Гаити</t>
  </si>
  <si>
    <t>account_settings_hostname</t>
  </si>
  <si>
    <t>Hostname</t>
  </si>
  <si>
    <t>إسم المضيف</t>
  </si>
  <si>
    <t>Име на сървър</t>
  </si>
  <si>
    <t>Nom del \"Host\"</t>
  </si>
  <si>
    <t>Nom d\'hôte</t>
  </si>
  <si>
    <t>Servidor</t>
  </si>
  <si>
    <t>Gazdanév</t>
  </si>
  <si>
    <t>Nome host</t>
  </si>
  <si>
    <t>ホスト名</t>
  </si>
  <si>
    <t>호스트 이름</t>
  </si>
  <si>
    <t>Hostnaam</t>
  </si>
  <si>
    <t>Nazwa hosta</t>
  </si>
  <si>
    <t>Имя сервера</t>
  </si>
  <si>
    <t>Име домаћина</t>
  </si>
  <si>
    <t>Servernamn</t>
  </si>
  <si>
    <t>Назва хосту</t>
  </si>
  <si>
    <t>Tên máy chủ</t>
  </si>
  <si>
    <t>主機名稱</t>
  </si>
  <si>
    <t>tt_screener_dividend_yield</t>
  </si>
  <si>
    <t>TTM Dividend Yield (US)</t>
  </si>
  <si>
    <t>العائد الربحي لأثني عشر شهرًا متتاليًا (الولايات المتحدة)</t>
  </si>
  <si>
    <t>TTM доход от дивидент (САЩ)</t>
  </si>
  <si>
    <t>Výnos z dividend TTM (USA)</t>
  </si>
  <si>
    <t>TTM-udbytte (USA)</t>
  </si>
  <si>
    <t>TTM Dividendenrendite (US)</t>
  </si>
  <si>
    <t>Απόδοση μερισμάτων TTM (ΗΠΑ)</t>
  </si>
  <si>
    <t>Rentabilidad por dividendo de los últimos 12 meses (USA)</t>
  </si>
  <si>
    <t>TTM-osinkotuotot (Yhdysvallat)</t>
  </si>
  <si>
    <t>Rendement du Dividende TTM (US)</t>
  </si>
  <si>
    <t>टीटीएम लाभांश लाभ (यूएस)</t>
  </si>
  <si>
    <t>Hasil Dividen TTM (AS)</t>
  </si>
  <si>
    <t>TTM Rendimento del dividendo (US)</t>
  </si>
  <si>
    <t>תשואת דיבידנד -12 חודשים אחרונים (ארה"ב)</t>
  </si>
  <si>
    <t>TTM配当利回り</t>
  </si>
  <si>
    <t>TTM 배당수익성(US)</t>
  </si>
  <si>
    <t>TTM-utbytteavkastning (US)</t>
  </si>
  <si>
    <t>Rendimento de dividendo TTM (US)</t>
  </si>
  <si>
    <t>Randament de Dividende TTM (SUA)</t>
  </si>
  <si>
    <t>Дивидендный доход (за последние 12 месяцев, США)</t>
  </si>
  <si>
    <t>TTM dividendni donos (ZDA)</t>
  </si>
  <si>
    <t>Dividendni prinos (TTM)</t>
  </si>
  <si>
    <t>TTM-avkastning (USA)</t>
  </si>
  <si>
    <t>อัตราตอบแทนเงินปันผล TTM (US)</t>
  </si>
  <si>
    <t>TTM Temettü Getirisi (ABD)</t>
  </si>
  <si>
    <t>Lợi tức cổ tức TTM (Mỹ)</t>
  </si>
  <si>
    <t>TTM股息率（美元）</t>
  </si>
  <si>
    <t>day_short</t>
  </si>
  <si>
    <t>d</t>
  </si>
  <si>
    <t>T.</t>
  </si>
  <si>
    <t>j</t>
  </si>
  <si>
    <t>ड़ी</t>
  </si>
  <si>
    <t>n</t>
  </si>
  <si>
    <t>D</t>
  </si>
  <si>
    <t>z</t>
  </si>
  <si>
    <t>д</t>
  </si>
  <si>
    <t>g</t>
  </si>
  <si>
    <t>ng</t>
  </si>
  <si>
    <t>user_status_day_offline</t>
  </si>
  <si>
    <t>\u0020day offline</t>
  </si>
  <si>
    <t>tag offline</t>
  </si>
  <si>
    <t>día offline</t>
  </si>
  <si>
    <t>jour hors ligne</t>
  </si>
  <si>
    <t>a napja offline</t>
  </si>
  <si>
    <t>день оффлайн</t>
  </si>
  <si>
    <t>dan oflajn</t>
  </si>
  <si>
    <t>saint_kitts</t>
  </si>
  <si>
    <t>Saint Kitts and Nevis</t>
  </si>
  <si>
    <t>St. Christopher-Inseln und Nevis</t>
  </si>
  <si>
    <t>San Cristóbal y Nieves</t>
  </si>
  <si>
    <t>Saint-Christophe-et-Niévès</t>
  </si>
  <si>
    <t>Сент-Китс и Невис</t>
  </si>
  <si>
    <t>Svete Kits i Nevis</t>
  </si>
  <si>
    <t>payment_required</t>
  </si>
  <si>
    <t>Payment required</t>
  </si>
  <si>
    <t>مطلوب منك الدفع</t>
  </si>
  <si>
    <t>Изисква се плащане</t>
  </si>
  <si>
    <t>Cal fer pagament</t>
  </si>
  <si>
    <t>Bezahlung erforderlich</t>
  </si>
  <si>
    <t>Pago requerido</t>
  </si>
  <si>
    <t>Paiement requis</t>
  </si>
  <si>
    <t>Pagamento requerido</t>
  </si>
  <si>
    <t>Fizetés szükséges</t>
  </si>
  <si>
    <t>Necessario pagamento</t>
  </si>
  <si>
    <t>支払が必要です</t>
  </si>
  <si>
    <t>지불 필요</t>
  </si>
  <si>
    <t>Betaling vereist</t>
  </si>
  <si>
    <t>Płatność wymagana</t>
  </si>
  <si>
    <t>Pagamento necessário</t>
  </si>
  <si>
    <t>Требуется оплата</t>
  </si>
  <si>
    <t>Захтевано је плаћање</t>
  </si>
  <si>
    <t>Betalning krävs</t>
  </si>
  <si>
    <t>Вимагається оплата</t>
  </si>
  <si>
    <t>需要付款</t>
  </si>
  <si>
    <t>tt_news_branch_10</t>
  </si>
  <si>
    <t>Materias Primas</t>
  </si>
  <si>
    <t>Materie Prime</t>
  </si>
  <si>
    <t>Surowce</t>
  </si>
  <si>
    <t>Robe</t>
  </si>
  <si>
    <t>โภคภัณฑ์</t>
  </si>
  <si>
    <t>grant_admin_privileges</t>
  </si>
  <si>
    <t>Grant admin privileges</t>
  </si>
  <si>
    <t>منح امتيازات الإداره</t>
  </si>
  <si>
    <t>Даване на администраторски права</t>
  </si>
  <si>
    <t>Admetre privilegis d\'administrador</t>
  </si>
  <si>
    <t>Administratorrechte gewähren</t>
  </si>
  <si>
    <t>Conceder privilegios de administrador</t>
  </si>
  <si>
    <t>Accorder des privilèges d\'administrateur</t>
  </si>
  <si>
    <t>Dar privilexios de administración</t>
  </si>
  <si>
    <t>Admin jogok megadása</t>
  </si>
  <si>
    <t>Memberikan hak istimewa admin</t>
  </si>
  <si>
    <t>Concedi i privilegi di amministratore</t>
  </si>
  <si>
    <t>管理者権限を付与</t>
  </si>
  <si>
    <t>관리자 특권 허가</t>
  </si>
  <si>
    <t>Beheerdersprivileges verlenen</t>
  </si>
  <si>
    <t>Przyznaj uprawnienia administratora</t>
  </si>
  <si>
    <t>Conceder privilégios de administração</t>
  </si>
  <si>
    <t>Назначить администратором</t>
  </si>
  <si>
    <t>Povoliť administrátorské výsady</t>
  </si>
  <si>
    <t>Bevilja administratörsbehörighet</t>
  </si>
  <si>
    <t>Дати права адміністратора</t>
  </si>
  <si>
    <t>Trao quyền quản trị</t>
  </si>
  <si>
    <t>授予管理員許可權</t>
  </si>
  <si>
    <t>tt_currency</t>
  </si>
  <si>
    <t>العملة</t>
  </si>
  <si>
    <t>tt_indicator_settings_period</t>
  </si>
  <si>
    <t>Period</t>
  </si>
  <si>
    <t>الفترة</t>
  </si>
  <si>
    <t>Период</t>
  </si>
  <si>
    <t>Doba</t>
  </si>
  <si>
    <t>Periode</t>
  </si>
  <si>
    <t>Περίοδος</t>
  </si>
  <si>
    <t>Periodo</t>
  </si>
  <si>
    <t>Jakso</t>
  </si>
  <si>
    <t>Période</t>
  </si>
  <si>
    <t>अवधि</t>
  </si>
  <si>
    <t>Periódus</t>
  </si>
  <si>
    <t>Durasi</t>
  </si>
  <si>
    <t>פרק זמן</t>
  </si>
  <si>
    <t>指標設定期間</t>
  </si>
  <si>
    <t>기간</t>
  </si>
  <si>
    <t>Tempoh</t>
  </si>
  <si>
    <t>Okres</t>
  </si>
  <si>
    <t>Período</t>
  </si>
  <si>
    <t>Perioadă</t>
  </si>
  <si>
    <t>Perióda</t>
  </si>
  <si>
    <t>Obdobje</t>
  </si>
  <si>
    <t>ระยะเวลา</t>
  </si>
  <si>
    <t>Dönem</t>
  </si>
  <si>
    <t>Kỳ</t>
  </si>
  <si>
    <t>期间</t>
  </si>
  <si>
    <t>&gt;期間</t>
  </si>
  <si>
    <t>tt_others</t>
  </si>
  <si>
    <t>Others</t>
  </si>
  <si>
    <t>الآخرين</t>
  </si>
  <si>
    <t>Ostatní</t>
  </si>
  <si>
    <t>Andre</t>
  </si>
  <si>
    <t>Sonstige</t>
  </si>
  <si>
    <t>Υπόλοιπα</t>
  </si>
  <si>
    <t>Toiset</t>
  </si>
  <si>
    <t>अन्य</t>
  </si>
  <si>
    <t>Lain</t>
  </si>
  <si>
    <t>אחרים</t>
  </si>
  <si>
    <t>Altele</t>
  </si>
  <si>
    <t>Iné</t>
  </si>
  <si>
    <t>Drugi</t>
  </si>
  <si>
    <t>Ostali</t>
  </si>
  <si>
    <t>Övriga</t>
  </si>
  <si>
    <t>อื่นๆ</t>
  </si>
  <si>
    <t>Diğer</t>
  </si>
  <si>
    <t>&gt;其他</t>
  </si>
  <si>
    <t>tt_portfolio_totalassets</t>
  </si>
  <si>
    <t>Обща сума на активите</t>
  </si>
  <si>
    <t>Gesamtvermögen</t>
  </si>
  <si>
    <t>Összes eszköz</t>
  </si>
  <si>
    <t>総資産</t>
  </si>
  <si>
    <t>Totale waarde</t>
  </si>
  <si>
    <t>Total de ativos</t>
  </si>
  <si>
    <t>Общая стоимость активов</t>
  </si>
  <si>
    <t>Toplam Varlıklar</t>
  </si>
  <si>
    <t>总资产</t>
  </si>
  <si>
    <t>&gt;總資產</t>
  </si>
  <si>
    <t>tt_daterange_max</t>
  </si>
  <si>
    <t>限度額</t>
  </si>
  <si>
    <t>最高</t>
  </si>
  <si>
    <t>&gt;最高</t>
  </si>
  <si>
    <t>user_status_minutes_offline</t>
  </si>
  <si>
    <t>\u0020minutes offline</t>
  </si>
  <si>
    <t>minuten offline</t>
  </si>
  <si>
    <t>minutos offline</t>
  </si>
  <si>
    <t>minutes hors ligne</t>
  </si>
  <si>
    <t>percek óta offline</t>
  </si>
  <si>
    <t>минут оффлайн</t>
  </si>
  <si>
    <t>minuta oflajn</t>
  </si>
  <si>
    <t>tt_off_line</t>
  </si>
  <si>
    <t>غير متصل بالانترنت</t>
  </si>
  <si>
    <t>Офлайн</t>
  </si>
  <si>
    <t>Εκτός σύνδεσης</t>
  </si>
  <si>
    <t>ऑफलाइन</t>
  </si>
  <si>
    <t>לא מקוון</t>
  </si>
  <si>
    <t>Luar Talian</t>
  </si>
  <si>
    <t>Frakoblet</t>
  </si>
  <si>
    <t>Offlinee</t>
  </si>
  <si>
    <t>Brez povezave</t>
  </si>
  <si>
    <t>Off-line</t>
  </si>
  <si>
    <t>ออฟไลน์</t>
  </si>
  <si>
    <t>Çevrimdışı</t>
  </si>
  <si>
    <t>离线</t>
  </si>
  <si>
    <t>&gt;離線</t>
  </si>
  <si>
    <t>tt_gamma</t>
  </si>
  <si>
    <t>Gamma</t>
  </si>
  <si>
    <t>غاما</t>
  </si>
  <si>
    <t>Гама</t>
  </si>
  <si>
    <t>Γάμμα</t>
  </si>
  <si>
    <t>Gama</t>
  </si>
  <si>
    <t>गामा</t>
  </si>
  <si>
    <t>גאמא</t>
  </si>
  <si>
    <t>ガンマ</t>
  </si>
  <si>
    <t>감마</t>
  </si>
  <si>
    <t>Гамма</t>
  </si>
  <si>
    <t>แกมมา</t>
  </si>
  <si>
    <t>ask_for_presence_updates</t>
  </si>
  <si>
    <t>Ask for presence updates</t>
  </si>
  <si>
    <t>أطلب تحديثات حالة الحضور</t>
  </si>
  <si>
    <t>Питане за актуализации за присъствието</t>
  </si>
  <si>
    <t>Demana actualitzacions de presència</t>
  </si>
  <si>
    <t>Online-Status anfragen</t>
  </si>
  <si>
    <t>Solicitar actualizaciones de presencia</t>
  </si>
  <si>
    <t>Demander les màj de disponibilité</t>
  </si>
  <si>
    <t>Solicitar actualizacións de presencia</t>
  </si>
  <si>
    <t>Állapot frissítések kérése</t>
  </si>
  <si>
    <t>Tanya untuk pembaruan kehadiran</t>
  </si>
  <si>
    <t>Chiedi aggiornamenti della presenza</t>
  </si>
  <si>
    <t>参加アップデートを問合せ</t>
  </si>
  <si>
    <t>프레즌스 업데이트 요청</t>
  </si>
  <si>
    <t>Vraag naar aanwezigheidsupdates</t>
  </si>
  <si>
    <t>Poproś o powiadomienia obecności</t>
  </si>
  <si>
    <t>Pedir atualizações de presença</t>
  </si>
  <si>
    <t>Запрашивать присутствие</t>
  </si>
  <si>
    <t>Požiadať o zmeny stavu</t>
  </si>
  <si>
    <t>Питај за ажурирања присутности</t>
  </si>
  <si>
    <t>Be om tillgänglighetsuppdateringar</t>
  </si>
  <si>
    <t>Надіслати запит на оновлення про присутність</t>
  </si>
  <si>
    <t>Hỏi cập nhật hiện diện</t>
  </si>
  <si>
    <t>請求線上連絡人列表更新</t>
  </si>
  <si>
    <t>eritrea</t>
  </si>
  <si>
    <t>Eritrea</t>
  </si>
  <si>
    <t>Érythrée</t>
  </si>
  <si>
    <t>Эритрея</t>
  </si>
  <si>
    <t>tt_page_rankings</t>
  </si>
  <si>
    <t>Rangsorolások</t>
  </si>
  <si>
    <t>Penyaring</t>
  </si>
  <si>
    <t>Classificações</t>
  </si>
  <si>
    <t>İzleyici</t>
  </si>
  <si>
    <t>筛选</t>
  </si>
  <si>
    <t>&gt;篩選</t>
  </si>
  <si>
    <t>tt_show_data</t>
  </si>
  <si>
    <t>Columns</t>
  </si>
  <si>
    <t>الأعمدة</t>
  </si>
  <si>
    <t>Колони</t>
  </si>
  <si>
    <t>Sloupce</t>
  </si>
  <si>
    <t>Kolonner</t>
  </si>
  <si>
    <t>Spalten</t>
  </si>
  <si>
    <t>Στήλες</t>
  </si>
  <si>
    <t>Columnas</t>
  </si>
  <si>
    <t>Pylväät</t>
  </si>
  <si>
    <t>Colonnes</t>
  </si>
  <si>
    <t>कॉलम</t>
  </si>
  <si>
    <t>Oszlopok</t>
  </si>
  <si>
    <t>Kolom</t>
  </si>
  <si>
    <t>Colonne</t>
  </si>
  <si>
    <t>עמודות</t>
  </si>
  <si>
    <t>欄</t>
  </si>
  <si>
    <t>열</t>
  </si>
  <si>
    <t>Lajur</t>
  </si>
  <si>
    <t>Colommen</t>
  </si>
  <si>
    <t>Kolumny</t>
  </si>
  <si>
    <t>Colunas</t>
  </si>
  <si>
    <t>Coloane</t>
  </si>
  <si>
    <t>Столбцы</t>
  </si>
  <si>
    <t>Stĺpce</t>
  </si>
  <si>
    <t>Stolpci</t>
  </si>
  <si>
    <t>Kolone</t>
  </si>
  <si>
    <t>Kolumner</t>
  </si>
  <si>
    <t>คอลัมน์</t>
  </si>
  <si>
    <t>Sütunlar</t>
  </si>
  <si>
    <t>Cột</t>
  </si>
  <si>
    <t>列</t>
  </si>
  <si>
    <t>&gt;列</t>
  </si>
  <si>
    <t>israel</t>
  </si>
  <si>
    <t>Israel</t>
  </si>
  <si>
    <t>Israël</t>
  </si>
  <si>
    <t>Израиль</t>
  </si>
  <si>
    <t>Izrael</t>
  </si>
  <si>
    <t>enter_country_code_and_phone_number</t>
  </si>
  <si>
    <t>Quicksy will send an SMS message (carrier charges may apply) to verify your phone number. Enter your country code and phone number:</t>
  </si>
  <si>
    <t>Quicksy ще Ви изпрати мобилно съобщение (може да се приложат таксите на мобилния оператор), за да се потвърди телефонния Ви номер. Въведете кода на държавата си и телефонния си номер:</t>
  </si>
  <si>
    <t>Quicksy sendet eine SMS-Nachricht (es können Gebühren anfallen), um deine Telefonnummer zu überprüfen. Gib deine Landesvorwahl und Telefonnummer ein:</t>
  </si>
  <si>
    <t>Quicksy te enviará un mensaje SMS (se podrían aplicar cargos) para verificar tu número de teléfono. Introduce tu código de país y tu número de teléfono:</t>
  </si>
  <si>
    <t>Quicksy va envoyer un message SMS (des frais opérateurs sont possibles) pour vérifier votre numéro de téléphone. Entrez votre code pays et votre No de téléphone.</t>
  </si>
  <si>
    <t>Quicsy enviaralle unha mensaxe SMS (poderíanse aplicar cargos) para validar o seu número de teléfono. Introduza o código de país e número de teléfono.</t>
  </si>
  <si>
    <t>A Quicksy SMS-üzenetet küld (a szolgáltató díjat számolhat fel), hogy ellenőrizze a telefonszámát. Írja be az ország kódját és telefonszámát:</t>
  </si>
  <si>
    <t>Quicksy invierà un SMS (possono essere applicati costi dal gestore) per verificare il tuo numero. Inserisci il tuo codice nazionale e numero di telefono:</t>
  </si>
  <si>
    <t>Quicksy zal een sms sturen om je telefoonnummer te bevestigen. Voer je landcode en telefoonnummer in:</t>
  </si>
  <si>
    <t>Quicksy wyśle SMS (mogą być naliczane koszty) aby zweryfikować numer telefonu. Wpisz kod kraju i numer telefonu.</t>
  </si>
  <si>
    <t>appstore_title</t>
  </si>
  <si>
    <t>StockMarkets - أخبار الاستثمار ، عروض الأسعار ، قوائم المراقبة</t>
  </si>
  <si>
    <t>StockMarkets - investment news, quotes, watchlists</t>
  </si>
  <si>
    <t>StockMarkets - 투자 뉴스, 시세, 관심목록</t>
  </si>
  <si>
    <t>pref_remove_trusted_certificates_title</t>
  </si>
  <si>
    <t>حذف شهادات</t>
  </si>
  <si>
    <t>Eliminar certificats</t>
  </si>
  <si>
    <t>Уклони сертификате</t>
  </si>
  <si>
    <t>thank_you</t>
  </si>
  <si>
    <t>Thank you</t>
  </si>
  <si>
    <t>شكرا لك</t>
  </si>
  <si>
    <t>Благодарим ви</t>
  </si>
  <si>
    <t>Děkuji</t>
  </si>
  <si>
    <t>Mange tak</t>
  </si>
  <si>
    <t>Vielen Dank!</t>
  </si>
  <si>
    <t>Ευχαριστούμε</t>
  </si>
  <si>
    <t>Gracias</t>
  </si>
  <si>
    <t>Kiitos</t>
  </si>
  <si>
    <t>Merci</t>
  </si>
  <si>
    <t>धन्यवाद</t>
  </si>
  <si>
    <t>Köszönjük</t>
  </si>
  <si>
    <t>Terima kasih</t>
  </si>
  <si>
    <t>Grazie.</t>
  </si>
  <si>
    <t>תודה</t>
  </si>
  <si>
    <t>ありがとうございます</t>
  </si>
  <si>
    <t>감사합니다</t>
  </si>
  <si>
    <t>Dank U wel.</t>
  </si>
  <si>
    <t>Mange takk</t>
  </si>
  <si>
    <t>dziękujemy</t>
  </si>
  <si>
    <t>Obrigado</t>
  </si>
  <si>
    <t>Mulțumesc</t>
  </si>
  <si>
    <t>Спасибо</t>
  </si>
  <si>
    <t>Ďakujem</t>
  </si>
  <si>
    <t>Hvala vam</t>
  </si>
  <si>
    <t>Hvala Vam</t>
  </si>
  <si>
    <t>Tack</t>
  </si>
  <si>
    <t>ขอบคุณ</t>
  </si>
  <si>
    <t>Teşekkürler</t>
  </si>
  <si>
    <t>Cảm ơn bạn</t>
  </si>
  <si>
    <t>谢谢</t>
  </si>
  <si>
    <t>server_info_partial</t>
  </si>
  <si>
    <t>partial</t>
  </si>
  <si>
    <t>جُزْئِيًّا</t>
  </si>
  <si>
    <t>частично</t>
  </si>
  <si>
    <t>parcial</t>
  </si>
  <si>
    <t>teilweise</t>
  </si>
  <si>
    <t>Parcial</t>
  </si>
  <si>
    <t>partiel</t>
  </si>
  <si>
    <t>részleges</t>
  </si>
  <si>
    <t>parziale</t>
  </si>
  <si>
    <t>一時的</t>
  </si>
  <si>
    <t>gedeeltelijk</t>
  </si>
  <si>
    <t>częściowo</t>
  </si>
  <si>
    <t>частичный</t>
  </si>
  <si>
    <t>делимично</t>
  </si>
  <si>
    <t>частково</t>
  </si>
  <si>
    <t>once</t>
  </si>
  <si>
    <t>Once</t>
  </si>
  <si>
    <t>مرة واحدة</t>
  </si>
  <si>
    <t>Веднъж</t>
  </si>
  <si>
    <t>Un cop</t>
  </si>
  <si>
    <t>Einmalig</t>
  </si>
  <si>
    <t>Una vez</t>
  </si>
  <si>
    <t>Une fois</t>
  </si>
  <si>
    <t>Unha vez</t>
  </si>
  <si>
    <t>Egyszer</t>
  </si>
  <si>
    <t>Una volta sola</t>
  </si>
  <si>
    <t>Eenmalig</t>
  </si>
  <si>
    <t>Tylko raz</t>
  </si>
  <si>
    <t>disable_all_accounts</t>
  </si>
  <si>
    <t>Disable all accounts</t>
  </si>
  <si>
    <t>تعطيل كل الحسابات</t>
  </si>
  <si>
    <t>Деактивиране на всички профили</t>
  </si>
  <si>
    <t>Deshabilitar tots els comptes</t>
  </si>
  <si>
    <t>Alle Konten abschalten</t>
  </si>
  <si>
    <t>Deshabilitar todas las cuentas</t>
  </si>
  <si>
    <t>Désactiver tous les comptes</t>
  </si>
  <si>
    <t>Desactivar todas as contas</t>
  </si>
  <si>
    <t>Minden fiók letiltása</t>
  </si>
  <si>
    <t>Menonaktifkan semua account</t>
  </si>
  <si>
    <t>Disattiva tutti gli account</t>
  </si>
  <si>
    <t>すべてのアカウントを無効にする</t>
  </si>
  <si>
    <t>모든 계정 해제</t>
  </si>
  <si>
    <t>Alle accounts uitschakelen</t>
  </si>
  <si>
    <t>Wyłącz wszystkie konta</t>
  </si>
  <si>
    <t>Desativar todas as contas</t>
  </si>
  <si>
    <t>Отключить все аккаунты</t>
  </si>
  <si>
    <t>Vypnúť všetky účty</t>
  </si>
  <si>
    <t>Искључи све налоге</t>
  </si>
  <si>
    <t>Deaktivera alla konton</t>
  </si>
  <si>
    <t>Відключити всі облікові записи</t>
  </si>
  <si>
    <t>Tắt toàn bộ tài khoản</t>
  </si>
  <si>
    <t>禁用所有帳戶</t>
  </si>
  <si>
    <t>invalid_country_code</t>
  </si>
  <si>
    <t>Invalid country code</t>
  </si>
  <si>
    <t>Грешен код на държава</t>
  </si>
  <si>
    <t>Ungültige Landesvorwahl</t>
  </si>
  <si>
    <t>Código de país no válido</t>
  </si>
  <si>
    <t>Code pays invalide</t>
  </si>
  <si>
    <t>Código de país non válido</t>
  </si>
  <si>
    <t>Érvénytelen országkód</t>
  </si>
  <si>
    <t>Codice nazionale non valido</t>
  </si>
  <si>
    <t>Ongeldige landcode</t>
  </si>
  <si>
    <t>Nieprawidłowy kod kraju</t>
  </si>
  <si>
    <t>tt_daterange_small_10years</t>
  </si>
  <si>
    <t>10Y</t>
  </si>
  <si>
    <t>10R</t>
  </si>
  <si>
    <t>10J</t>
  </si>
  <si>
    <t>10Υ</t>
  </si>
  <si>
    <t>10A</t>
  </si>
  <si>
    <t>10v</t>
  </si>
  <si>
    <t>10वर्ष</t>
  </si>
  <si>
    <t>10ÉV</t>
  </si>
  <si>
    <t>10T</t>
  </si>
  <si>
    <t>10Å</t>
  </si>
  <si>
    <t>10L</t>
  </si>
  <si>
    <t>10Л</t>
  </si>
  <si>
    <t>10G</t>
  </si>
  <si>
    <t>10 Yıl</t>
  </si>
  <si>
    <t>10N</t>
  </si>
  <si>
    <t>tt_keydata_stockholderstructure</t>
  </si>
  <si>
    <t>Main Shareholders</t>
  </si>
  <si>
    <t>المساهمين الرئيسيين</t>
  </si>
  <si>
    <t>Основни акционери</t>
  </si>
  <si>
    <t>Hovedaktionærer</t>
  </si>
  <si>
    <t>Hauptaktionäre</t>
  </si>
  <si>
    <t>Κύριοι μέτοχοι</t>
  </si>
  <si>
    <t>Pääosakkaat</t>
  </si>
  <si>
    <t>Principaux actionnaires</t>
  </si>
  <si>
    <t>मुख्य शेयरधारक</t>
  </si>
  <si>
    <t>Fő részvényesek</t>
  </si>
  <si>
    <t>Pemegang Saham Utama</t>
  </si>
  <si>
    <t>Maggiori Azinoisti</t>
  </si>
  <si>
    <t>בעלי מניות עיקריים</t>
  </si>
  <si>
    <t>主要株主</t>
  </si>
  <si>
    <t>Belangrijkste aandeelhouders</t>
  </si>
  <si>
    <t>Hovedaksjonærer</t>
  </si>
  <si>
    <t>Akcjonariat</t>
  </si>
  <si>
    <t>Principais acionistas</t>
  </si>
  <si>
    <t>Acționari Principali</t>
  </si>
  <si>
    <t>Hlavní akcionári</t>
  </si>
  <si>
    <t>Glavni delničarji</t>
  </si>
  <si>
    <t>Glavni akcionari</t>
  </si>
  <si>
    <t>Huvudaktieägare</t>
  </si>
  <si>
    <t>Ana Hissedarlar</t>
  </si>
  <si>
    <t>Cổ đông chính</t>
  </si>
  <si>
    <t>主要股东</t>
  </si>
  <si>
    <t>&gt;主要股東</t>
  </si>
  <si>
    <t>english_language</t>
  </si>
  <si>
    <t>Display StockMarkets in English</t>
  </si>
  <si>
    <t>عرض أسواق الأسهم باللغة الإنجليزية</t>
  </si>
  <si>
    <t>Показвай StockMarkets на английски</t>
  </si>
  <si>
    <t>Zobrazit StockMarkets v angličtině</t>
  </si>
  <si>
    <t>Vis StockMarkets på engelsk</t>
  </si>
  <si>
    <t>StockMarkets in Englisch anzeigen</t>
  </si>
  <si>
    <t>Εμφάνιση StockMarkets στα Αγγλικά</t>
  </si>
  <si>
    <t>Mostrar mercados de acciones en inglés</t>
  </si>
  <si>
    <t>Näytä osakemarkkinat englanniksi</t>
  </si>
  <si>
    <t>Afficher les marchés boursiers en anglais</t>
  </si>
  <si>
    <t>स्टॉकमार्केट को अंग्रेजी में प्रदर्शित करें</t>
  </si>
  <si>
    <t>Váltson angol nyelvre</t>
  </si>
  <si>
    <t>Tunjukkan Pasar Saham dalam Bahasa Inggris</t>
  </si>
  <si>
    <t>Mostra StockMarkets in Inglese</t>
  </si>
  <si>
    <t>הצג StockMarkets באנגלית</t>
  </si>
  <si>
    <t>StockMarketsを英語で表示する</t>
  </si>
  <si>
    <t>영어로 주식시장 표시</t>
  </si>
  <si>
    <t>Paparkan PasaranSaham dalam Bahasa Inggeris</t>
  </si>
  <si>
    <t>Aandelenbeurzen weergeven in het Engels</t>
  </si>
  <si>
    <t>Vis aksjemarkeder på engelsk</t>
  </si>
  <si>
    <t>Wyświetl StockMarkets w języku angielskim</t>
  </si>
  <si>
    <t>Mostrar StockMarkets em inglês.</t>
  </si>
  <si>
    <t>Afișează PiețeBursiee în engleză</t>
  </si>
  <si>
    <t>Просмотр StockMarkets на английском языке</t>
  </si>
  <si>
    <t>Zobraziť trhy s cennými papiermi v slovenčine</t>
  </si>
  <si>
    <t>Prikaži Borzne trge v angleščini</t>
  </si>
  <si>
    <t>Prikaži StockMarkets na engleskom</t>
  </si>
  <si>
    <t>Visa StockMarkets på engelska</t>
  </si>
  <si>
    <t>แสดง StockMarkets เป็นภาษาอังกฤษ</t>
  </si>
  <si>
    <t>StockMarkets uygulamasını İngilizce olarak görüntüle</t>
  </si>
  <si>
    <t>Hiển thị ứng dụng TTCK bằng tiếng Anh</t>
  </si>
  <si>
    <t>显示用英语（StockMarkets）</t>
  </si>
  <si>
    <t>invalid_muc_nick</t>
  </si>
  <si>
    <t>Invalid nickname</t>
  </si>
  <si>
    <t>إسم المستخدم غير صالح</t>
  </si>
  <si>
    <t>Неправилен псевдоним</t>
  </si>
  <si>
    <t>El sobrenom és invàlid</t>
  </si>
  <si>
    <t>Ungültiger Nickname</t>
  </si>
  <si>
    <t>Apodo inválido</t>
  </si>
  <si>
    <t>Identifiant non valide</t>
  </si>
  <si>
    <t>Alcume non válido</t>
  </si>
  <si>
    <t>Érvénytelen becenév</t>
  </si>
  <si>
    <t>Nickname non valido</t>
  </si>
  <si>
    <t>正しくないニックネームです</t>
  </si>
  <si>
    <t>Ongeldige bijnaam</t>
  </si>
  <si>
    <t>NIeprawidłowy pseudonim</t>
  </si>
  <si>
    <t>Apelido inválido</t>
  </si>
  <si>
    <t>Некорректный никнейм</t>
  </si>
  <si>
    <t>Неисправан надимак</t>
  </si>
  <si>
    <t>invite_again</t>
  </si>
  <si>
    <t>Invite again</t>
  </si>
  <si>
    <t>أعد إرسال الدعوة</t>
  </si>
  <si>
    <t>Канене отново</t>
  </si>
  <si>
    <t>Torna a convidar</t>
  </si>
  <si>
    <t>Erneut einladen</t>
  </si>
  <si>
    <t>Invitar de nuevo</t>
  </si>
  <si>
    <t>Inviter à nouveau</t>
  </si>
  <si>
    <t>Invitar de novo</t>
  </si>
  <si>
    <t>Meghívja újra</t>
  </si>
  <si>
    <t>Undang lagi</t>
  </si>
  <si>
    <t>Invita di nuovo</t>
  </si>
  <si>
    <t>もう一度招待</t>
  </si>
  <si>
    <t>다시 초대</t>
  </si>
  <si>
    <t>Opnieuw uitnodigen</t>
  </si>
  <si>
    <t>Zaproś ponownie</t>
  </si>
  <si>
    <t>Convidar novamente</t>
  </si>
  <si>
    <t>Пригласить ещё раз</t>
  </si>
  <si>
    <t>Bjud in igen</t>
  </si>
  <si>
    <t>Запросити знову</t>
  </si>
  <si>
    <t>重新邀請</t>
  </si>
  <si>
    <t>select_country</t>
  </si>
  <si>
    <t>Select Country</t>
  </si>
  <si>
    <t>حدد دولةً</t>
  </si>
  <si>
    <t>Избор на държава</t>
  </si>
  <si>
    <t>Vyberte zemi</t>
  </si>
  <si>
    <t>Vælg land</t>
  </si>
  <si>
    <t>Land wählen</t>
  </si>
  <si>
    <t>Επιλέξτε Χώρα</t>
  </si>
  <si>
    <t>Seleccione su país</t>
  </si>
  <si>
    <t>Valitse maa</t>
  </si>
  <si>
    <t>देश का चयन करें</t>
  </si>
  <si>
    <t>Pilih Negara</t>
  </si>
  <si>
    <t>Scegli il paese</t>
  </si>
  <si>
    <t>בחר מדינה</t>
  </si>
  <si>
    <t>国を選ぶ</t>
  </si>
  <si>
    <t>국가 선택</t>
  </si>
  <si>
    <t>Selecteer land</t>
  </si>
  <si>
    <t>Velg land</t>
  </si>
  <si>
    <t>Selecione o pais</t>
  </si>
  <si>
    <t>Selectează Țara</t>
  </si>
  <si>
    <t>Zvoľte krajinu</t>
  </si>
  <si>
    <t>Izberi državo</t>
  </si>
  <si>
    <t>Izaberi državu</t>
  </si>
  <si>
    <t>Välj land</t>
  </si>
  <si>
    <t>เลือกประเทศ</t>
  </si>
  <si>
    <t>Ülke Seçin</t>
  </si>
  <si>
    <t>Chọn quốc gia</t>
  </si>
  <si>
    <t>选择国家</t>
  </si>
  <si>
    <t>providing_a_name_is_optional</t>
  </si>
  <si>
    <t>Providing a name is optional</t>
  </si>
  <si>
    <t>Въвеждането на име не е задължитално</t>
  </si>
  <si>
    <t>Proporcionar un nom és opcional</t>
  </si>
  <si>
    <t>Angabe eines Namens ist optional</t>
  </si>
  <si>
    <t>Añadir un nombre es opcional</t>
  </si>
  <si>
    <t>Fournir un nom est facultatif</t>
  </si>
  <si>
    <t>Proporcionar un nome é optativo</t>
  </si>
  <si>
    <t>A név megadása nem kötelező</t>
  </si>
  <si>
    <t>Il nome è facoltativo</t>
  </si>
  <si>
    <t>Naam is niet vereist</t>
  </si>
  <si>
    <t>Nie trzeba podawać nazwy</t>
  </si>
  <si>
    <t>Име је опционо</t>
  </si>
  <si>
    <t>tt_edgar_ratios</t>
  </si>
  <si>
    <t>Ratios</t>
  </si>
  <si>
    <t>النسب</t>
  </si>
  <si>
    <t>Коефициенти</t>
  </si>
  <si>
    <t>Poměry</t>
  </si>
  <si>
    <t>Nøgletal</t>
  </si>
  <si>
    <t>Αναλογίες</t>
  </si>
  <si>
    <t>Tasas</t>
  </si>
  <si>
    <t>Suhdeluvut</t>
  </si>
  <si>
    <t>Rapporti</t>
  </si>
  <si>
    <t>יחסים</t>
  </si>
  <si>
    <t>Ratio\'s</t>
  </si>
  <si>
    <t>Forholdstall</t>
  </si>
  <si>
    <t>Rácios</t>
  </si>
  <si>
    <t>Rapoarte</t>
  </si>
  <si>
    <t>Коэффициенты</t>
  </si>
  <si>
    <t>Pomery</t>
  </si>
  <si>
    <t>Koeficienti</t>
  </si>
  <si>
    <t>Racija</t>
  </si>
  <si>
    <t>Förhållanden</t>
  </si>
  <si>
    <t>Oranlar</t>
  </si>
  <si>
    <t>tt_iosbridge_android_createnewuser_mail_body</t>
  </si>
  <si>
    <t>Many thanks for registering a user account on the baha Android App! The user access you have created is valid both on your mobile device and on the baha.com financial portal at http://www.baha.com/. It can also be used with baha Mobile (http://m.baha.com) in the web browser on any Smartphone. &amp;lt;br/&amp;gt;&amp;lt;br/&amp;gt;Apart from stocks, commodities like metals (gold, silver, platinum, palladium) and energy, agricultural or livestock products, also bonds and funds are covered. We have included real-time data from Tradegate and Lang &amp;amp; Schwarz as well as the most important currencies. The entire application features live push prices, which means as long as an Internet connection is available, no manual reloading of the data will be necessary.&amp;lt;br/&amp;gt;&amp;lt;br/&amp;gt;Personal watch lists and alerts can be set and used jointly on all platforms. With the alert service, limits can be defined and alarms will be sent automatically by Apple Push, e-mail, and text message and daily recurring lists of securities can be sent automatically by e-mail.&amp;lt;br/&amp;gt;&amp;lt;br/&amp;gt;Your user name: [userName]&amp;lt;br/&amp;gt;&amp;lt;br/&amp;gt;Sincerely,&amp;lt;br/&amp;gt;the baha Financial Portal Team &amp;lt;br/&amp;gt;</t>
  </si>
  <si>
    <t>شكرًا جزيلاً لتسجيل حساب مستخدم في تطبيق TeleTrader لنظام أندرويد! يُعد وصول المستخدم الذي قمت بإنشائه صالحًا على جهازك المحمول وعلى بوابة TeleTrader.com المالية على http://www.teletrader.com/. كما يمكن استخدامه مع تطبيق TeleTrader للهاتف الجوال (http://m.teletrader.com) في متصفح الويب على أي هاتف ذكي. &amp;lt;br/&amp;gt;&amp;lt;br/&amp;gt; بصرف النظر عن الأسهم والسلع مثل المعادن (الذهب والفضة والبلاتين والبلاديوم) والطاقة والمنتجات الزراعية والحيوانية، يتم تغطية السندات والأموال أيضًا. لقد قمنا بتضمين بيانات في الوقت الفعلي من Tradegate و Lang &amp;amp; Schwarz بالإضافة إلى أهم العملات. يتميز التطبيق بأكمله بإعلامات الأسعار المباشرة، وهو ما يعني أنه طالما يتوفر اتصال بالإنترنت، فلن يكون من الضروري إعادة تحميل البيانات يدويًا.&amp;lt;br/&amp;gt;&amp;lt;br/&amp;gt;يمكن ضبط قوائم المتابعة الشخصية والتنبيهات واستخدامها بشكل مشترك على جميع المنصات. مع خدمة التنبيه، يمكن تحديد الحدود وسيتم إرسال التنبيهات تلقائيًا عن طريق خدمة الإعلام من Apple والبريد الإلكتروني والرسائل النصية، كما يمكن إرسال القوائم المتكررة للأوراق المالية تلقائيًا عن طريق البريد الإلكتروني.&amp;lt;br/&amp;gt;&amp;lt;br/&amp;gt;اسم المستخدم: [اسم المستخدم]&amp;lt;br/&amp;gt;&amp;lt;br/&amp;gt;مع خالص التقدير،&amp;lt;br/&amp;gt;فريق TeleTrader Financial Portal Team &amp;lt;br/&amp;gt;</t>
  </si>
  <si>
    <t>Благодарим ви за регистрацията на потребителски акаунт в приложението TeleTrader за Android! Потребителският достъп, който сте създали, е валиден както на вашето мобилно устройство, така и на финансовия портал на TeleTrader.com на http://www.teletrader.com/. Може да се използва и с TeleTrader Mobile (http://m.teletrader.com) в уеб браузъра на всеки смартфон. &amp;lt,br/&amp;gt,&amp;lt,br/&gt;gt Освен акции се покриват стоки като метали (злато, сребро, платина, паладий) и енергия, селскостопански или животински продукти, също облигации и фондове. Включихме данни в реално време от Tradegate и Lang &amp;amp, Schwarz, както и най-важните валути. Цялото приложение разполага с push цени на живо, което означава, че докато е налична интернет връзка, няма да е необходимо ръчно презареждане на данните.&amp;lt,br/&amp;gt,&amp;lt,br/&amp;gt Персонални уочлисти виртуални портфолиа и сигнали могат да бъдат задавани и използвани едновременно на всички платформи. С услугата за известяване могат да бъдат определени лимити и известията ще бъдат изпращани автоматично от Apple Push, имейл и текстово съобщение и ежедневно повтарящи се списъци с ценни книжа могат да бъдат изпращани автоматично по имейл.&amp;lt,br/&amp;gt,&amp;lt,br/&amp;gt,Вашето потребителско име: [userName]&amp;lt,br/&amp;gt,&amp;lt,br/&amp;gt,С уважение,&amp;lt,br/&amp;gt,Екипът на Финансовия портал на TeleTrader &amp;lt,br/&amp;gt,</t>
  </si>
  <si>
    <t>Děkujeme za registraci uživatelského účtu v aplikaci TeleTrader pro Android! Uživatelský přístup, který jste vytvořili, je platný jak na Vašem mobilním zařízení, tak i na finančním portálu TeleTrader.com na adrese http://www.teletrader.com/. Lze jej také používat s TeleTrader Mobile (http://m.teletrader.com) ve webovém prohlížeči na jakémkoli smartphonu. &amp;lt,br/&amp;gt,&amp;lt,br/&amp;gt,Kromě akcií jsou pokryty i komodity jako kovy (zlato, stříbro, platina, palladium) a energie, zemědělské a dobytkářské produkty, ale i dluhopisy a fondy. Zahrnuli jsme údaje v reálném čase od Tradegate a Lang &amp;amp, Schwarz, jakož i nejdůležitější měny. Celá aplikace obsahuje živé push ceny, což znamená, že pokud je k dispozici připojení k internetu, není nutné manuální opětovné načítání dat.&amp;lt,br/&amp;gt,&amp;lt,br/&amp;gt,Lze nastavit osobní seznamy a výstrahy a používat je společně na všech platformách. Se službou výstrah lze definovat meze a výstrahy budou automaticky zasílány prostřednictvím Apple Push, e-mailem, a textové zprávy a denní opakující se seznamy cenných papírů lze zasílat automaticky e-mailem.&amp;lt,br/&amp;gt,&amp;lt,br/&amp;gt,Vaše uživatelské jméno: [userName]&amp;lt,br/&amp;gt,&amp;lt,br/&amp;gt,S pozdravem&amp;lt,br/&amp;gt,Tým finančního portálu TeleTrader &amp;lt,br/&amp;gt,</t>
  </si>
  <si>
    <t>Mange tak for at registrere en brugerkonto på TeleTrader Android App! Den brugeradgang, du har oprettet, er gyldig både på din mobile enhed og på TeleTrader.coms økonomiske portal på http://www.teletrader.com/. Den kan også bruges med TeleTrader Mobile (http://m.teletrader.com) i webbrowseren på enhver Smartphone. &amp;lt,br/&amp;gt,&amp;lt,br/&amp;gt,Bortset fra aktier, er råvarer som metaller (guld, sølv, platin, palladium) og energi, landbrugsprodukter eller husdyrprodukter, obligationer og fonde også dækket. Vi har inkluderet data i realtid fra Tradegate og Lang &amp;amp, Schwarz samt de vigtigste valutaer. Hele applikationen har live-push-priser, hvilket betyder, at så længe en internetforbindelse er tilgængelig, er ingen manuel genindlæsning af dataene nødvendig.,personlige overvågningslister og advarsler kan indstilles og bruges sammen på alle platforme. Med alarmtjenesten kan grænser defineres, og alarmer sendes automatisk af Apple Push, e-mail og sms, og daglige tilbagevendende lister over værdipapirer kan sendes automatisk med e-mail.&amp;lt,br/&amp;gt,&amp;lt,br/&amp;gt,Dit brugernavn: [brugernavn]&amp;lt,br/&amp;gt,&amp;lt,br/&amp;gt,Med venlig hilsen,&amp;lt,br/&amp;gt,TeleTrader Financial Portal Team &amp;lt,br/&amp;gt,</t>
  </si>
  <si>
    <t>Vielen Dank für Ihre Registrierung in der baha Android App! Der von Ihnen erstellte Benutzerzugang ist sowohl am Mobiltelefon als auch am baha Finanzportal unter http://www.baha.com/ gültig. Genauso kann dieser mit baha Mobile (http://m.baha.com) auf allen Smartphones im Webbrowser verwendet werden. &amp;lt;br/&amp;gt;&amp;lt;br/&amp;gt;Neben weltweiten Aktientiteln sind insbesondere Rohstoffe wie Edelmetalle (Gold, Silber, Platin, Palladium) oder Energie, Landwirtschats- od. Tierprodukte aber auch Anleihen und Fonds abgedeckt. Weiters haben wir Echtzeitdaten von Tradegate und Lang &amp;amp; Schwarz sowie von den wichtigsten Währungen inkludiert. Die gesamte Applikation ist mit Push Kursen hinterlegt, d.h. solange eine Internetverbindung besteht ist kein manuelles neu Laden der Daten notwendig.&amp;lt;br/&amp;gt;&amp;lt;br/&amp;gt;Persönliche Kurslisten und Limits können auf allen Plattformen gemeinsam genutzt werden. Mit dem Limit-Service können Kursalarme per Android Push, E-Mail und SMS per E-Mail automatisch verschickt werden.&amp;lt;br/&amp;gt;&amp;lt;br/&amp;gt;Ihr Benutzername: [userName]&amp;lt;br/&amp;gt;&amp;lt;br/&amp;gt;Mit besten Grüßen&amp;lt;br/&amp;gt;Ihr baha Finanzportal Team &amp;lt;br/&amp;gt;</t>
  </si>
  <si>
    <t>Ευχαριστούμε πολύ για την εγγραφή λογαριασμού χρήστη στην εφαρμογή TeleTrader για Android! Η πρόσβαση χρήστη που έχετε δημιουργήσει είναι έγκυρη τόσο στην κινητή συσκευή σας όσο και στη χρηματοοικονομική πύλη TeleTrader.com στη διεύθυνση http://www.teletrader.com/. Μπορεί επίσης να χρησιμοποιηθεί με το TeleTrader Mobile (http://m.teletrader.com) σε πρόγραμμα περιήγησης σε οποιοδήποτε Smartphone. &amp; lt,br/&amp; gt,&amp; lt,br/&amp; gt,Εκτός από τις μετοχές, καλύπτονται προϊόντα όπως μέταλλα (χρυσός, ασήμι, πλατίνα, παλλάδιο) και προϊόντα ενέργειας, γεωργίας ή κτηνοτροφικά, καθώς και ομόλογα και κεφάλαια. Έχουμε συμπεριλάβει δεδομένα σε πραγματικό χρόνο από το Tradegate και το Lang &amp; amp, Schwarz, καθώς και τα πιο σημαντικά νομίσματα. Ολόκληρη η εφαρμογή διαθέτει τιμές push σε πραγματικό χρόνο, που σημαίνει ότι όσο είναι διαθέσιμη μια σύνδεση στο Διαδίκτυο, δεν χρειάζεται μη αυτόματη επαναφόρτωση των δεδομένων.&amp; Lt,br/&amp; gt,&amp; lt,br/&amp; gt,Μπορούν να οριστούν λίστες προσωπικής παρακολούθησης και ειδοποιήσεις και να χρησιμοποιούνται από κοινού σε όλες τις πλατφόρμες. Με την υπηρεσία ειδοποίησης, μπορούν να καθοριστούν όρια και να αποστέλλονται ειδοποιήσεις αυτόματα από το Apple Push, e-mail και να αποστέλλονται γραπτά μηνύματα και καθημερινές επαναλαμβανόμενες λίστες με τίτλους αυτόματα μέσω e-mail.&amp; Lt, br/&amp; gt,&amp; lt, br/&amp; gt, Το όνομα χρήστη σας: [userName]&amp; lt, br/&amp; gt,&amp; lt, br/&amp; gt, Με εκτίμηση,&amp; lt, br/&amp; gt, η Ομάδα χρηματοοικονομικής πύλης TeleTrader &amp; lt, br/&amp; gt,</t>
  </si>
  <si>
    <t xml:space="preserve">¡Muchas gracias por registrar su cuenta en baha Android App! El acceso de usuario que acaba de crear es válido tanto en su Android como en el Portal Financiero baha.com en la dirección http://www.baha.com/. Lo puede usar tambien mediante </t>
  </si>
  <si>
    <t>Kiitos käyttäjätilin rekisteröimisestä TeleTrader Android -sovellukseen! Luomasi käyttäjän käyttöoikeudet ovat voimassa sekä mobiililaitteellasi että TeleTrader.com-finanssiportaalissa osoitteessa http://www.teletrader.com/. Sitä voidaan käyttää myös TeleTrader Mobilen (http://m.teletrader.com) kanssa millä tahansa älypuhelimen selaimella. &amp; lt,br/&amp; gt,&amp; lt,br/&amp; gt,Osakkeiden lisäksi katamme hyödykkeitä, kuten metalleja (kulta, hopea, platina, palladium) ja energiaa, maatalous- tai karjatuotteita, sekä joukkovelkakirjalainoja ja rahastoja. Olemme sisällyttäneet reaaliaikaiset tiedot Tradegatesta, Lang &amp; amp, Schwarzista sekä tärkeimmät valuutat. Koko sovellus sisältää reaaliaikaiset push-hinnat, mikä tarkoittaa, että niin kauan kuin Internet-yhteys on käytettävissä, tietojen manuaalinen uudelleenlataus ei ole tarpeen.&amp; Lt, br/&amp; gt,&amp; lt, br/&amp; gt, Henkilökohtaiset tarkkailulistat ja hälytykset voi asettaa, ja niitä voi käyttää yhdessä kaikilla alustoilla. Hälytyspalvelun avulla voidaan määritellä rajat, ja hälytykset lähetetään automaattisesti Apple Push -sovelluksella, sähköpostilla, ja päivittäin toistuvat arvopaperiluettelot voidaan lähettää automaattisesti sähköpostitse.&amp; Lt, br/&amp; gt,&amp; lt, br/&amp; gt, Käyttäjätunnuksesi: [käyttäjänimi]&amp; lt, br/&amp; gt,&amp; lt, br/&amp; gt, Ystävällisin terveisin,&amp; lt, br/&amp; gt, TeleTrader Financial Portal Team -tiimi &amp; lt, br/&amp; gt,</t>
  </si>
  <si>
    <t>टेलीट्रेडर एंड्रॉइड ऐप पर प्रयोक्ता खाता पंजीकृत करने के लिए बहुत-बहुत धन्यवाद! आपके द्वारा बनाया गया प्रयोक्ता एक्सेस, आपके मोबाईल डिवाइस और http://www.teletrader.com/ पर वित्तीय पोर्टल TeleTrader.com दोनों के लिए मान्य है। इसे किसी भी स्मार्टफ़ोन पर वेब ब्राउज़र में टेलीट्रेडर मोबाईल (http://m.teletrader.com) के साथ भी उपयोग किया जा सकता है। &amp;lt,br/&amp;gt,&amp;lt,br/&amp;gt, स्टॉक के अलावा, धातु (सोना, चांदी, प्लैटिनम, पैलेडियम) और ऊर्जा, कृषि-संबंधी या पशुधन उत्पादों जैसी कमोडिटीज, बॉन्ड और निधियों को भी कवर किया जाता है। हमने ट्रेडगेट और Lang &amp; amp; Schwarz के साथ-साथ सबसे महत्वपूर्ण मुद्राओं से रियल-टाइम डेटा को शामिल किया है। संपूर्ण एप्लिकेशन में लाइव पुश कीमतें को प्रदर्शित करता है, जिसका अर्थ है कि जब तक इंटरनेट कनेक्शन उपलब्ध है, तब तक डेटा की किसी भी मैनुअल लोडिंग आवश्यकता नहीं होगी। &amp;lt,br/&amp;gt,&amp;lt,br/&amp;g, व्यक्तिगत वॉचलिस्ट और अलर्ट सभी प्लेटफार्मों पर सेट और संयुक्त रूप से उपयोग किए जा सकते हैं। अलर्ट सेवा के साथ, सीमाओं को निश्चित किया जा सकता है और अलार्म स्वचालित रूप से ऐप्पल पुश, ई-मेल और टेक्स्ट मैसेज द्वारा भेजे जाएंगे और प्रतिभूतियों की दैनिक आवर्ती सूची ई-माई द्वारा स्वचालित रूप से भेजी जा सकती है।&amp;lt,br/&amp;gt,&amp;lt,br/&amp;gt,आपका यूजरनेम:[userName]&amp;lt,br/&amp;gt,&amp;lt,br/&amp;gt,साभार,&amp;lt,br/&amp;gt, द टेलीट्रेडर वित्तीय पोर्टल टीम&amp;lt,br/&amp;gt,</t>
  </si>
  <si>
    <t>Köszönjük, hogy regisztrálta magát a TeleTrader Android App felhasználói közé! Felhasználói hozzáférése mind az Android-jára, mind a TeleTrader.com pénzügyi portálra érvényes. /http://www.teletrader.com/ Továbbá használhatja okostelefonja keresojében a TeleTrader Mobile-al is. (http://m.teletrader.com) &amp;lt;br/&amp;gt;&amp;lt;br/&amp;gt; A szolgáltatás nem csak részvényekre, hanem árupiaci adatokra, azaz nemesfémekre (arany, ezüst, platina, palladium), energia árfolyamokra, mezogazdasági terményekre, éloállatokra, továbbá kötvényekre és befektetési alapokra is kiterjed. Tartalmazza továbbá a valós ideju adatokat és a legfontosabb árfolyamokat a Tradegate-tol és a Lang &amp;amp; Schwarz-tól. Az applikáció élo adatokkal dolgozik, ami azt jelenti, hogy elérheto internet kapcsolat esetén az adatok kézi újratöltése nem szükséges. &amp;lt;br/&amp;gt;&amp;lt;br/&amp;gt; Személyre szabott figyelo listák, virtuális portfóliók és figyelmeztetések is beállíthatóak és egyszerre használhatóak mindegyik felületen. A riasztó szolgáltatással, határértékek meghatározhatóak és riasztások küldhetoek automatikusan az Android Push, e-mail, és sms segítségével, továbbá napi rendszerességgel részvények árfolyamlistáit kaphatja meg e-mailen. &amp;lt;br/&amp;gt;&amp;lt;br/&amp;gt; Az Ön felhasználói neve: [userName]&amp;lt;br/&amp;gt;&amp;lt;br/&amp;gt; Szívélyes üdvözlettel, &amp;lt;br/&amp;gt; TeleTrader Pénzügyi Portál Csapat &amp;lt;br/&amp;gt;</t>
  </si>
  <si>
    <t>Kami sangat berterima kasih karena anda mendaftar akun pengguna di Aplikasi Android TeleTrader! Akses pengguna yang telah anda buat adalah sah pada kedua perangkat seluler anda dan portal keuangan TeleTrader.com di http://www.teletrader.com/. Ini juga bias digunakan dengan TeleTrader Mobile (http://m.teletrader.com) di browser web di ponsel cerdas apapun. &amp;lt;br/&amp;gt; &amp;lt;br/&amp;gt;Selain dari saham, komoditi seperti logam (emas, perak, platinum, palladium) dan energi, produk pertanian atau peternakan, serta obligasi dan dana dilindungi. Kami telah memasukkan data real-time dari Tradegate dan Lang &amp;amp; Schwarz serta mata uang yang paling penting. Seluruh aplikasi memiliki harga push langsung, yang bahwa selagi koneksi Internet tersedia, pengunggahan data secara manual tidak diperlukan. &amp;lt;br/&amp;gt;&amp;lt;br/&amp;gt;Senarai pantauan dan informasi pribadi bisa ditetapkan dan digunakan bersama di semua platform. Dengan layanan informasi, pembatasan dapat ditentukan dan informasi akan dikirim secara otomatis oleh Apple Push, email, dan pesan teks serta daftar rutin keamanan harian yang berulang dapat dikirim secara otomatis melalui email. &amp;lt;br/&amp;gt;&amp;lt;br/&amp;gt;Nama pengguna anda: [NamaPengguna]&amp;lt;br/&amp;gt;&amp;lt;br/&amp;gt;Yang ikhlas,&amp;lt;br/&amp;gt;Pasukan Portal Kewangan TeleTrader&amp;lt;br/&amp;gt;</t>
  </si>
  <si>
    <t>Molte grazie per averti registrato al TeleTrader Android App! L\'accesso utente che hai creato è\' valido sia per il tuo dispositivo mobile che al TeleTrader.com portale finanziario at http://www.teletrader.com/. Puo pure essere usato con TeleTrader Mobile (http://m.teletrader.com) in ogni web browser su ogni smartphone. Apparte i titoli, materie prime come i metalli (oro, argento, platino, palladio) ed energia, prodotti agriculturali livestock prodotti, pure obbligazioni e fondi sono coperti. Abbiamo incluso data in tempo reale dal Tradegate and Lang &amp;amp; Schwarz come pure le piu imoprtanti valute. Tutta l\'applicazione è caratterizzata che vuoldire che tutto il tempo che la connessione internet internet è presente non è necessario fare l\'aggiornamento dei dati manuale. Le watchlist personali ed avvisi possono essere impostate ed usate inseme in tutte le nostre piattaforme. Col servizio dell\'allerta, i limiti possono essere definiti ed allarmi saranno mandati automaticamente attraverso Apple Push , email ed i messaggi di testo, e le liste di escursioni giornaliere dei simboli possono essere mandate automaticamente via e-mail. Tuo usernamee: [userName]&amp;lt;br/&amp;gt;&amp;lt;br/&amp;gt;Sincerely,&amp;lt;br/&amp;gt;the TeleTrader Financial Portal Team &amp;lt;br/&amp;gt;</t>
  </si>
  <si>
    <t>תודה רבה על יצירת חשבון משתמש באפליקציית TeleTrader של אנדרואיד ! גישת המשתמש שיצרת תקפה הן במכשיר הנייד שלך והן בפורטל הכספי TeleTrader.com בכתובת http://www.teletrader.com/. ניתן להשתמש בזה גם באמצעות TeleTrader Mobile (http://m.teletrader.com) בדפדפן האינטרנט בכל סמארטפון. &amp; lt,br/&amp; gt,&amp; lt,br/&amp; gt, פרט למניות, לסחורות כמו מתכות (זהב, כסף, פלטינה, פלדיום) לאנרגיה, למוצרים חקלאיים או למשק החי, מסוקרות גם אג"ח וקרנות. כללנו נתונים בזמן אמת מ- Tradegate , Lang &amp; amp, Schwarz, כמו גם את המטבעות החשובים ביותר. האפליקציה כולה כוללת מחירי דחיפה בזמן אמת, כלומר כל עוד החיבור לאינטרנט זמין, אין צורך בטעינה ידנית של הנתונים.&amp; Lt,br/&amp; gt,&amp; lt,br/&amp; gt, ניתן להגדיר רשימות מעקב והתראות ולהשתמש במשותף בכל הפלטפורמות. שירות ההתראות מאפשר להגדיר גבולות ולשלוח אוטומטית אזעקות באמצעות Apple Push, דוא"ל ומסרונים, ורשימות חוזרות יומיות של ניירות ערך יכולות להישלח אוטומטית בדוא"ל&amp; Lt, br/&amp; gt,&amp; lt, br/&amp; gt, שם המשתמש שלך: [userName]&amp; lt, br/&amp; gt,&amp; lt, br/&amp; gt, בכנות,&amp; lt, br/&amp; gt, צוות הפורטל הפיננסי של TeleTrader &amp; lt, br/&amp; gt,</t>
  </si>
  <si>
    <t>TeleTraderに登録いただきありがとうございます。ユーザーIDはモバイル端末、TeleTraderデスクトップ版ウェブサイト（http://www.teletrader.com/）、モバイルサイト（http://m.teletrader.com/）でご利用いただけます。 TeleTraderは株式だけではなく金属などの商品（金、銀、プラチナ、パラジウム）やエネルギー、農産物、畜産物、債券などのさまざまな金融情報を提供しています。TeleTraderは主要通貨およびTradegate、Lang Schwarzからのリアルタイムデータを使用しています。手動による更新の必要はありません。インターネットに接続した環境であればプッシュ通知による価格情報を受信します。パーソナルウォッチリストとアラートはすべてのプラットフォームでサポートされます。値幅制限を設定できアラート通知はApple Push、メール、ショートメッセージにより自動配信されます。また、登録銘柄のデイリーリストは自動的にメール配信されます。あなたのユーザーIDはこちらです。：[userName] TeleTrader 金融ポータルチーム</t>
  </si>
  <si>
    <t>TeleTrader 안드로이드 앱의 사용자 계정으로 가입해주셔서 감사합니다! 사용자가 생성한 액세스 권한은 모바일 장치와 http://www.teletrader.com/의 TeleTrader.com 금융 포털에서 모두 유효합니다. 모든 스마트폰에서TeleTrader Mobile(http://m.teletrader.com) 웹 브라우저에서도 함께 사용할 수 있습니다. &amp;lt;br/&amp;gt;&amp;lt;br/&amp;gt;주식 외에도 금속(금,은, 백금, 팔라듐), 에너지, 농산물 또는 축산물 등의 원자재와 채권 및 기금도 포함됩니다. 트레이드게이트(Tradegate) 및 랑 앤 슈바르츠(Lang &amp;amp; Schwarz)의 실시간 데이터와 가장 중요한 통화도 포함됩니다. 전체 애플리케이션에는 인터넷이 연결되는 동안 사용할 수 있는 실시간 푸시 가격이 적용되어 수동으로 데이터를 다시 불러올 필요가 없습니다.&amp;lt;br/&amp;gt;&amp;lt;br/&amp;gt;개인 보기목록 및 알람는 모든 플랫폼에서 통합적으로 설정하고 사용할 수 있습니다. 알람 서비스를 사용하면 제한 사항을 정의하고 알람을 이메일 및 문자 메시지로 자동으로 전송하며 매일 등록되는 유가증권 목록을 이메일로 자동으로 전송할 수 있습니다.&amp;lt;br/&amp;gt;&amp;lt;br/&amp;gt;사용자 이름: [userName]&amp;lt;br/&amp;gt;&amp;lt;br/&amp;gt;감사합니다. &amp;lt;br/&amp;gt;TeleTrader Financial Portal 팀&amp;lt;br/&amp;gt;</t>
  </si>
  <si>
    <t>Kami amat berterima kasih kerana anda mendaftar akaun pengguna di Aplikasi Android TeleTrader! Akses pengguna yang telah anda buat adalah sah pada kedua-dua peranti mudah alih anda dan portal kewangan TeleTrader.com di http://www.teletrader.com/. Ia juga boleh digunakan dengan TeleTrader Mobile (http://m.teletrader.com) dalam pelayar web pada mana-mana Telefon Pintar. &amp;lt;br/&amp;gt; &amp;lt;br/&amp;gt;Selain daripada saham, komoditi seperti logam (emas, perak, platinum, paladium) dan tenaga, produk pertanian atau ternakan, serta bon dan dana dilindungi. Kami telah memasukkan data masa nyata dari Tradegate dan Lang &amp;amp; Schwarz serta mata wang yang paling penting. Keseluruhan aplikasi mempunyai harga tolakan langsung, yang bermaksud selagi sambungan Internet tersedia, muat naik semula data secara manual tidak perlu. &amp;lt;br/&amp;gt;&amp;lt;br/&amp;gt;Senarai pantau dan makluman peribadi boleh ditetapkan dan digunakan bersama pada semua platform. Dengan perkhidmatan makluman, had boleh ditakrifkan dan makluman akan dihantar secara automatik oleh Apple Push, e-mel, dan pesanan teks serta senarai berulang sekuriti harian boleh dihantar secara automatik melalui e-mel. &amp;lt;br/&amp;gt;&amp;lt;br/&amp;gt;Nama pengguna anda: [NamaPengguna]&amp;lt;br/&amp;gt;&amp;lt;br/&amp;gt;Yang ikhlas,&amp;lt;br/&amp;gt;Pasukan Portal Kewangan TeleTrader&amp;lt;br/&amp;gt;</t>
  </si>
  <si>
    <t>Hartelijk dank voor uw aanmelding voor een gebrukersaccount op de Teletrader Android App! De gebruikerstoegang die u aangemaakt heeft, is zowel geldig op uw mobiele apparaat als op de Teletrader website, via http://www.teletrader.com/. Het kan ook gebruikt worden met Teletrader Mobiel (http://m.teletrader.com) via de internetbrowser op elke smartphone.</t>
  </si>
  <si>
    <t>Takk for at du registrerte en brukerkonto på TeleTrader Android-appen! Brukertilgangen du har opprettet, er gyldig både på din mobile enhet og på den økonomiske portalen til TeleTrader.com på http://www.teletrader.com/. Den kan også brukes med TeleTrader Mobile (http://m.teletrader.com) i nettleseren, med alle smarttelefoner. &amp; lt,br/&amp; gt,&amp; lt,br/&amp; gt,Bortsett fra aksjer, dekkes varer som metall (gull, sølv, platina, palladium), energi, landbruks- eller husdyrprodukter, samt obligasjoner og fond. Vi har inkludert sanntidsdata fra Tradegate og Lang &amp; amp, Schwarz, samt de viktigste valutaene. Hele applikasjonen har live push-priser, noe som betyr at så lenge en Internett-tilkobling er tilgjengelig, er det ikke nødvendig med manuell omlasting av data.&amp; Lt,br/&amp; gt,&amp; lt,br/&amp; gt,Personlige overvåkningslister og varsler kan stilles og brukes i fellesskap på alle plattformer. Med varslingstjenesten kan grenser defineres og alarmer sendes automatisk med Apple Push, e-post og tekstmelding, mens daglige gjentagende lister med verdipapirer kan sendes automatisk med e-post.&amp; Lt, br/&amp; gt,&amp; lt, br/&amp; gt, Ditt brukernavn: [brukernavn]&amp; lt, br/&amp; gt,&amp; lt, br/&amp; gt, Vennlig hilsen,&amp; lt, br/&amp; gt, TeleTrader Financial Portal Team &amp; lt, br/&amp; gt,</t>
  </si>
  <si>
    <t>Muito obrigado por registrar uma conta de usuário no TeleTrader Android App! O acesso do usuário que você criou é válido tanto no seu dispositivo móvel e no portal financeiro TeleTrader.com em http://www.teletrader.com/. Ele também pode ser usado com TeleTrader Móvel (http://m.teletrader.com) no navegador da web em qualquer smartphone.</t>
  </si>
  <si>
    <t>Mulțumim pentru înregistrarea unui cont de utilizator pe Aplicația Android TeleTrader! Accesul utilizatorului pe care l-ai creat este valabil atât pe mobilul tău, cât și pe portalul financiar TeleTrader.com la http://www.teletrader.com/. De asemenea, se poate utiliza cu TeleTrader Mobile (http://m.teletrader.com) în browserul web de pe orice Smartphone. &amp;lt,br/&amp;gt,&amp;lt,br/&amp;gt,În afară de valori mobiliare, mărfuri precum metalele (aur, argint, platină, paladiu) și produsele energetice, agricole sau animale, de asemenea, sunt acoperite obligațiunile și fondurile. Am inclus date în timp real de la Tradegate și Lang &amp;amp, Schwarz, precum și cele mai importante valute. Întreaga aplicație prezintă prețuri live, ceea ce înseamnă că atâta timp cât este disponibilă o conexiune la Internet, nu va fi necesară reîncărcarea manuală a datelor.&amp;lt,br/&amp;gt,&amp;lt,br/&amp;gt,Listele de vizualizare personale și alertele pot fi setate și utilizate în comun pe toate platformele. Cu serviciul de alertă, limitele pot fi definite, iar alarmele vor fi transmise automat prinApple Push, e-mail, iar mesajele text, iar listele zilnice recurente de valori mobiliare pot fi trimise automat prin e-mail.&amp;lt,br/&amp;gt,&amp;lt,br/&amp;gt,Numele tău de utilizator: [userName]&amp;lt,br/&amp;gt,&amp;lt,br/&amp;gt,Cu stimă,&amp;lt,br/&amp;gt,Echipa Portalului Financiar TeleTrader &amp;lt,br/&amp;gt,</t>
  </si>
  <si>
    <t>Большое спасибо за регистрацию учетной записи пользователя в приложении baha Android! Созданный вами пользовательский доступ действителен как на вашем мобильном устройстве, так и на baha.com финансовый портал по адресу the web browser on any Smartphone. &amp;lt;br/&amp;gt;&amp;lt;br/&amp;gt;Apart from stocks, commodities like metals (gold, silver, platinum, palladium) and energy, agricultural or livestock products, also bonds and funds are covered. We have included real-time data from Tradegate and Lang &amp;amp; Schwarz as well as the most important currencies. The entire application features live push prices, which means as long as an Internet connection is available, no manual reloading of the data will be necessary.&amp;lt;br/&amp;gt;&amp;lt;br/&amp;gt;Personal watch lists and alerts can be set and used jointly on all platforms. With the alert service, limits can be defined and alarms will be sent automatically by Apple Push, e-mail, and text message and daily recurring lists of securities can be sent automatically by e-mail.&amp;lt;br/&amp;gt;&amp;lt;br/&amp;gt;Your user name: [userName]&amp;lt;br/&amp;gt;&amp;lt;br/&amp;gt;Sincerely,&amp;lt;br/&amp;gt;the TeleTrader Financial Portal Team &amp;lt;br/&amp;gt;</t>
  </si>
  <si>
    <t>Ďakujeme vám za registráciu používateľského účtu v aplikácii TeleTrader pre Android! Prístup, ktorý ste vytvorili, je platný pre vaše mobilné zariadenie aj pre finančný portál TeleTrader.com na http://www.teletrader.com/. Môžete ho použiť aj s mobilnou aplikáciou TeleTrader Mobile (http://m.teletrader.com) vo webovom prehliadači na ľubovoľnom smartfóne. &amp;lt,br/&amp;gt,&amp;lt,br/&amp;gt,Okrem akcií, komodít, ako sú kovy (zlato, striebro, platina, paládium) a energetika, poľnohospodárske výrobky alebo výrobky živočíšneho pôvodu, sú zahrnuté tiež dlhopisy a fondy. Zahrnuli sme tiež údaje v reálnom čase z portálu Tradegate a Lang &amp; Schwarz, ako aj najdôležitejšie meny. Celá aplikácia obsahuje živé push ceny, čo znamená, že pokiaľ je k dispozícii pripojenie na internet, nebude potrebné manuálne načítavanie údajov.&amp;lt,br/&amp;gt,&amp;lt,br/&amp;gt,Osobné sledované zoznamy a upozornenia môžu byť nastavené a používané spoločne na všetkých platformách. So službou upozornení je možné zadanie limitov a varovania sa budú odosielať automaticky cez Apple Push, e-mailom a textovými správami a denne sa opakujúce zoznamy cenných papierov sa budú posielať automaticky e-mailom.&amp; Lt, br/&amp; gt,&amp; lt, br/&amp; gt,Vaše užívateľské meno: [userName]&amp;lt,br/&amp;gt,&amp;lt,br/&amp;gt,Sincerely,&amp;lt,br/&amp;gt,tím finančného portálu TeleTrader &amp;lt,br/&amp;gt,</t>
  </si>
  <si>
    <t>Najlepša hvala za registracijo uporabniškega računa v aplikaciji TeleTrader Android! Uporabniški dostop, ki ste ga ustvarili, velja tako na vaši mobilni napravi kot na finančnem portalu TeleTrader.com na naslovu http://www.teletrader.com/. Uporablja se lahko tudi s programom TeleTrader Mobile (http://m.teletrader.com) v spletnem brskalniku na katerem koli pametnem telefonu. &amp; lt, br/&amp; gt,&amp; lt, br/&gt; gt Poleg zalog so zajete tudi dobrine, kot so kovine (zlato, srebro, platina, paladij) in energija, kmetijski proizvodi ali živinoreja, tudi obveznice in skladi. Vključili smo podatke v realnem času iz Tradegate in Lang &amp; amp, Schwarz kot tudi najpomembnejše valute. Celotna aplikacija vključuje cene v živo, kar pomeni, da dokler je na voljo internetna povezava, ročno ponovno nalaganje podatkov ne bo potrebno.&amp; Lt, br/&amp; gt,&amp; lt, br/&amp; gt, osebne ure seznamov in opozoril lahko nastavite in uporabljajo skupaj na vseh platformah. S storitvijo za opozarjanje je mogoče določiti omejitve in alarme bo samodejno pošiljal Apple Push, e-pošto in besedilno sporočilo ter dnevno ponavljajoče se sezname vrednostnih papirjev lahko pošiljate samodejno po e-pošti.&amp; Lt, br/&amp; gt,&amp; lt, br/&amp; gt, vaše uporabniško ime: [userName]&amp; lt, br/&amp; gt,&amp; lt, br/&amp; gt, Iskreno,&amp; lt, br/&amp; gt, skupina za finančni portal TeleTrader &amp; lt, br/&amp; gt,</t>
  </si>
  <si>
    <t>Hvala vam što ste se registrovali za korišcenje TeleTrader Android app! Korisnicki nalog koji ste kreirali se može koristiti kako na Android uredaju tako i na TeleTrader finansijskom portalu koji možete posetiti na http://www.teletrader.com/. Isti nalog takode možete koristiti i na TeleTrader Mobile (http://m.teletrader.com) u web browser-u na bilo kom Smartphone-u. &amp;lt;br/&amp;gt;&amp;lt;br/&amp;gt;Osim kvota za akcije, obveznice i investicione fondove, dostupne su i kvote za ostalu berzansku robu poput dragocenih metala (zlato, srebro, platina, paladijum), energetske ili poljoprivredne proizvode. Takode su pokriveni i berzanski podaci u realnom vremenu od izvora Tradegate i Lang &amp;amp; Schwarz kao i podaci o kretanju najvažnijih valutnih parova. Kompletna aplikacija funkcioniše po "push" principu, što znaci da dokle god postoji stabilna Internet konekcija, nije potrebno ponovno manualno ucitavanje stranica.&amp;lt;br/&amp;gt;&amp;lt;br/&amp;gt;Moguce je kreirati personalizovane table sa kvotama, virtualne portfelje ili alarme koje možete koristiti i na ostalim TeleTrader platformama. Zahvaljujuci cenovnim alarmima, obaveštenja o promeni cena mogu se automatski slati preko Android Push servisa, e-mail-a ili tekstualnih poruka.&amp;lt;br/&amp;gt;&amp;lt;br/&amp;gt;Vaše korisnicko ime: [userName]&amp;lt;br/&amp;gt;&amp;lt;br/&amp;gt;Srdacan pozdrav,&amp;lt;br/&amp;gt;Tim za podršku, TeleTrader Finansijski Portal&amp;lt;br/&amp;gt;</t>
  </si>
  <si>
    <t>Tack för att du registrerat ett användarkonto i TeleTrader Android-appen! Användarbehörigheter som du har skapat är giltiga både på din mobila enhet och på TeleTrader.coms finansportal på http://www.teletrader.com/. Den kan också användas med TeleTrader Mobile (http://m.teletrader.com) i webbläsaren på vilken Smartphone som helst. &amp;lt,br/&amp;gt,&amp;lt,br/&amp;gt,Förutom aktier, råvaror som metall (guld, silver, platina, palladium) och energi, jordbruksprodukter och boskapsprodukter, stöds även obligationer och fonder. Vi har inkluderat realtidsdata från Tradegate och Lang &amp;amp, Schwarz samt de viktigaste valutorna. Hela applikationen har live push-priser, vilket innebär ingen manuell uppdatering av data krävs så länge en internetanslutning är tillgänglig.&amp; Lt,br/&amp; gt,&amp; lt,br/&amp; gt,Personliga bevakningslistor och varningar kan ställas in och användas på alla plattformar. Med varningstjänsten kan gränser definieras och larm skickas automatiskt med Apple Push, e-post och textmeddelande och dagliga återkommande listor över värdepapper kan skickas automatiskt via e-post.&amp; Lt, br/&amp; gt,&amp; lt, br/&amp; gt, Ditt användarnamn: [användarnamn]&amp; lt, br/&amp; gt,&amp; lt, br/&amp; gt, Med vänlig hälsning,&amp; lt, br/&amp; gt, TeleTrader Financial Portal Team &amp; lt, br/&amp; gt,</t>
  </si>
  <si>
    <t>ขอขอบคุณเป็นอย่างยิ่งที่ทำการลงทะเบียนใช้งานในแอป TeleTrader สำหรับแอนดรอยด์! ชื่อผู้ใช้ที่คุณได้สร้างขึ้นนี้จะสามารถใช้งานได้ทั้งใน iPhone และที่บัญชีพอร์ทัล TeleTrader.com ที่ http://www.teletrader.com/ แล้วยังสามารถใช้งาน TeleTrader สำหรับบราวเซอร์ในมือถือได้ใน http://m.teletrader.com &amp;lt,br/&amp;gt,&amp;lt,br/&amp;gt,นอกจากหุ้นแล้ว ยังครอบคลุมไปถึงสินค่าโภคภัณฑ์ เช่น โลหะ (ทองคำ เงิน ทองคำขาว พาลาเดียม) และพลังงาน เกษตรกรรมหรือสินค้าปศุสัตว์ รวมทั้งพันธบัตรและกองทุนอีกด้วย ข้อมูลแบบเรียลไทม์ได้ถูกรวบรวมมาจาก Tradegate และ Lang &amp;amp, Schwarz รวมไปถึงสกุลเงินที่สำคัญอีกด้วย แอปพลิเคชันมีคุณสมบัติเด่นคือการแจ้งราคา ณ ปัจจุบันที่ขอแค่เพียงคุณเชื่อมต่ออินเทอร์เน็ต ไม่จำเป็นต้องโหลดข้อมูลซ้ำๆ&amp;lt,br/&amp;gt,&amp;lt,br/&amp;gt, รายชื่อหุ้นที่ติดตามแบบส่วนตัว พอร์ตหุ้นจำลองและการแจ้งเตือนที่ตั้งค่าเองและใช้ได้ในทุกแพลตฟอร์ม ด้วยบริการการแจ้งเตือนนี้สามารถกำหนดขีดจำกัดได้และการเตือนยังส่งผ่านทาง Apple Push อีเมลและข้อความอย่างอัตโนมัติ ทั้งรายการหลักทรัพย์ประจำวันยังส่งผ่านทางอีเมลโดยอัติโนมัติเช่นเดียวกัน&amp;lt,br/&amp;gt,&amp;lt,br/&amp;gt,ชื่อผู้ใช้: [userName]&amp;lt,br/&amp;gt,&amp;lt,br/&amp;gt,Sincerely,&amp;lt,br/&amp;gt,ทีม TeleTrader Financial Portal &amp;lt,br/&amp;gt,</t>
  </si>
  <si>
    <t>TeleTrader Android Uygulamasında bir kullanıcı hesabı kaydettiğiniz için çok teşekkürler! Oluşturduğunuz kullanıcı erişimi hem mobil cihazınızda hem de http://www.teletrader.com/ adresindeki TeleTrader.com finansal portalında geçerlidir. Ayrıca herhangi bir Akıllı Telefondaki web tarayıcısında TeleTrader Mobile (http://m.teletrader.com) ile birlikte kullanılabilir. &amp;lt;br/&amp;gt;&amp;lt;br/&amp;gt;Hisse senetleri dışında metaller (altın, gümüş, platin, paladyum) ve enerji, tarım ve hayvancılık ürünleri, ayrıca tahvil ve fonlar gibi emtialar da kapsanmaktadır. Tradegate ve Lang &amp;amp; Schwarz\'un yanı sıra en önemli para birimlerine ilişkin gerçek zamanlı verileri de ekledik. Tüm uygulama, internet bağlantısı mevcut olduğu sürece canlı anlık fiyatlar sunmaktadır dolayısıyla verilerin manüel olarak yeniden yüklenmesi gerekmez.&amp;lt;br/&amp;gt;&amp;lt;br/&amp;gt;Kişisel izleme listeleri ve uyarılar tüm platformlarda ortak olarak ayarlanabilir ve kullanılabilir. Uyarı servisi ile limitler tanımlanabilir ve otomatik olarak Apple Anlık İleti, e-posta ve metin mesajı ile alarmlar gönderilir ve günlük tekrar eden menkul kıymetler e-posta ile otomatik olarak gönderilebilir.&amp;lt;br/&amp;gt;&amp;lt;br/&amp;gt;Kullanıcı adınız: [userName]&amp;lt;br/&amp;gt;&amp;lt;br/&amp;gt;TeleTrader Finansal Portal Ekibi &amp;lt;br/&amp;gt;</t>
  </si>
  <si>
    <t>Chân thành cảm ơn bạn đã đăng ký tài khoản người dùng trên Ứng dụng TeleTrader cho Android! Quyền truy cập người dùng mà bạn đã tạo là hợp lệ cả trên thiết bị di động của bạn và trên cổng thông tin tài chính TeleTrader.com tại http://www.teletrader.com/. Bạn cũng có thể sử dụng với TeleTrader Mobile (http://m.teletrader.com) trong trình duyệt web trên bất kỳ Điện thoại thông minh nào. &amp;lt,br/&amp;gt,&amp;lt,br/&amp;gt,Ngoài cổ phiếu, hàng hóa như kim loại quý (vàng, bạc, bạch kim, palađi) và các sản phẩm năng lượng, nông nghiệp hoặc chăn nuôi, còn có cả trái phiếu và quỹ. Chúng tôi đã tập hợp dữ liệu thời gian thực từ Tradegate và Lang &amp;amp, Schwarz cũng như các loại tiền tệ quan trọng nhất. Toàn bộ ứng dụng đều có tính năng báo giá trực tiếp bằng thông báo đẩy, nghĩa là chỉ cần có kết nối Internet, không cần tải lại dữ liệu thủ công.&amp;lt,br/&amp;gt,&amp;lt,br/&amp;gt,Bạn có thể thiết lập và sử dụng chung danh mục theo dõi cá nhân và cảnh báo trên tất cả các nền tảng. Với dịch vụ cảnh báo, bạn có thể xác định các giới hạn và ứng dụng sẽ tự động gửi cảnh báo qua Apple Push, email và tin nhắn văn bản, còn danh sách chứng khoán định kỳ hàng ngày sẽ được gửi tự động qua email.&amp;lt,br/&amp;gt,&amp;lt,br/&amp;gt,Tên người dùng của bạn: [userName]&amp;lt,br/&amp;gt,&amp;lt,br/&amp;gt,Trân trọng,&amp;lt,br/&amp;gt,Nhóm Cổng thông tin tài chính TeleTrader &amp;lt,br/&amp;gt,</t>
  </si>
  <si>
    <t>server_info_push</t>
  </si>
  <si>
    <t>XEP-0357: Push</t>
  </si>
  <si>
    <t>XEP-0357: الدفع</t>
  </si>
  <si>
    <t>XEP-0357: Изпращане</t>
  </si>
  <si>
    <t>XEP-0357: Notificacions de tramesa automàtica</t>
  </si>
  <si>
    <t>XEP-0357 : Notifications Push</t>
  </si>
  <si>
    <t>XEP-0357: プッシュ</t>
  </si>
  <si>
    <t>XEP-0357: Push-уведомления</t>
  </si>
  <si>
    <t>XEP-0357: „push“</t>
  </si>
  <si>
    <t>XEP-0357: проштовхувані повідомлення</t>
  </si>
  <si>
    <t>saudi_arabia</t>
  </si>
  <si>
    <t>Saudi Arabia</t>
  </si>
  <si>
    <t>Saudi Arabien</t>
  </si>
  <si>
    <t>Arabia Saudí</t>
  </si>
  <si>
    <t>Arabie Saoudite</t>
  </si>
  <si>
    <t>Саудовская Аравия</t>
  </si>
  <si>
    <t>Saudijska Arabija</t>
  </si>
  <si>
    <t>tt_economic_calendar_short</t>
  </si>
  <si>
    <t>Calendar</t>
  </si>
  <si>
    <t>التقويم</t>
  </si>
  <si>
    <t>Kалендар</t>
  </si>
  <si>
    <t>Kalendář</t>
  </si>
  <si>
    <t>Kalender</t>
  </si>
  <si>
    <t>Ημερολόγιο</t>
  </si>
  <si>
    <t>Calendario</t>
  </si>
  <si>
    <t>Kalenteri</t>
  </si>
  <si>
    <t>Calendrier</t>
  </si>
  <si>
    <t>कैलेंडर</t>
  </si>
  <si>
    <t>Naptár</t>
  </si>
  <si>
    <t>לוח שנה</t>
  </si>
  <si>
    <t>カレンダー</t>
  </si>
  <si>
    <t>캘린더</t>
  </si>
  <si>
    <t>Kalendar</t>
  </si>
  <si>
    <t>Kalendarz</t>
  </si>
  <si>
    <t>Calendário</t>
  </si>
  <si>
    <t>Календарь</t>
  </si>
  <si>
    <t>Kalendár</t>
  </si>
  <si>
    <t>Koledar</t>
  </si>
  <si>
    <t>ปฏิทิน</t>
  </si>
  <si>
    <t>Takvim</t>
  </si>
  <si>
    <t>Lịch</t>
  </si>
  <si>
    <t>日历</t>
  </si>
  <si>
    <t>symbol_detail_overview_popup_title</t>
  </si>
  <si>
    <t>SYMBOL PAGE</t>
  </si>
  <si>
    <t>صفحة الرمز</t>
  </si>
  <si>
    <t>СТРАНИЦА СЪС СИМВОЛИ</t>
  </si>
  <si>
    <t>STRÁNKA SYMBOLŮ</t>
  </si>
  <si>
    <t>SYMBOLSIDE</t>
  </si>
  <si>
    <t>SYMBOLSEITE</t>
  </si>
  <si>
    <t>ΣΕΛΙΔΑ ΣΥΜΒΟΛΩΝ</t>
  </si>
  <si>
    <t>PÁGINA DE SÍMBOLO</t>
  </si>
  <si>
    <t>SYMBOLI-SIVU</t>
  </si>
  <si>
    <t>PAGE D\'ACTION</t>
  </si>
  <si>
    <t>प्रतीक पृष्ठ</t>
  </si>
  <si>
    <t>Szimbólum oldal.</t>
  </si>
  <si>
    <t>HALAMAN SIMBOL</t>
  </si>
  <si>
    <t>PAGINA DEL SIMBOLO</t>
  </si>
  <si>
    <t>עמוד הסמל</t>
  </si>
  <si>
    <t>기호 페이지</t>
  </si>
  <si>
    <t>SYMBOOLPAGINA</t>
  </si>
  <si>
    <t>Strona symbolu</t>
  </si>
  <si>
    <t>PÁGINA DE SÍMBOLOS</t>
  </si>
  <si>
    <t>PAGINA CU SIMBOLURI</t>
  </si>
  <si>
    <t>СТРАНИЦА СИМВОЛА</t>
  </si>
  <si>
    <t>STRÁNKA SO SYMBOLOM</t>
  </si>
  <si>
    <t>STRAN SIMBOLA</t>
  </si>
  <si>
    <t>SIMBOL STRANICA</t>
  </si>
  <si>
    <t>SYMBOLSIDA</t>
  </si>
  <si>
    <t>หน้าชื่อย่อหลักทรัพย์</t>
  </si>
  <si>
    <t>SEMBOL SAYFASI</t>
  </si>
  <si>
    <t>TRANG CÔNG CỤ</t>
  </si>
  <si>
    <t>符号页</t>
  </si>
  <si>
    <t>server_info_roster_version</t>
  </si>
  <si>
    <t>XEP-0237: Roster Versioning</t>
  </si>
  <si>
    <t>XEP-0237: قائمة ترقيم الإصدارات</t>
  </si>
  <si>
    <t>XEP-0237: Поддържане на версия на списъка</t>
  </si>
  <si>
    <t>XEP-0237: Versionat de la llista de contactes</t>
  </si>
  <si>
    <t>XEP-0237 : Révision contacts</t>
  </si>
  <si>
    <t>XEP-0237: 名簿バージョニング</t>
  </si>
  <si>
    <t>XEP-0237: Версии списков</t>
  </si>
  <si>
    <t>XEP-0237: верзионисање ростера</t>
  </si>
  <si>
    <t>XEP-0237: зміни списку розмов</t>
  </si>
  <si>
    <t>XEP-0237: Phiên bản hoá danh sách bạn bè</t>
  </si>
  <si>
    <t>XEP-0237: 花名冊版本控制</t>
  </si>
  <si>
    <t>show_location</t>
  </si>
  <si>
    <t>أظهر الموقع</t>
  </si>
  <si>
    <t>Mostrar localització</t>
  </si>
  <si>
    <t>Hely mutatása</t>
  </si>
  <si>
    <t>Tampilkan lokasi</t>
  </si>
  <si>
    <t>位置を表示</t>
  </si>
  <si>
    <t>위치 표시</t>
  </si>
  <si>
    <t>Exibir localização</t>
  </si>
  <si>
    <t>Zobraziť polohu</t>
  </si>
  <si>
    <t>Visa position</t>
  </si>
  <si>
    <t>Показати місцезнаходження</t>
  </si>
  <si>
    <t>Hiện vị trí</t>
  </si>
  <si>
    <t>顯示位置</t>
  </si>
  <si>
    <t>notify_only_when_highlighted</t>
  </si>
  <si>
    <t>Notify only when mentioned</t>
  </si>
  <si>
    <t>قم بإخطاري عندما يقوم أحدهم بذكري</t>
  </si>
  <si>
    <t>Известяване само при споменаване</t>
  </si>
  <si>
    <t>Notifica només quan s\'esmenta</t>
  </si>
  <si>
    <t>Nur benachrichtigen, wenn ich erwähnt werde</t>
  </si>
  <si>
    <t>Notificar solo cuando eres mencionado</t>
  </si>
  <si>
    <t>Notifier seulement en cas de mention</t>
  </si>
  <si>
    <t>Notificar só cando é mencionada</t>
  </si>
  <si>
    <t>Csak akkor értesítsen, ha megemlítenek</t>
  </si>
  <si>
    <t>Notifica solo quando menzionato</t>
  </si>
  <si>
    <t>メンションされたときにのみ通知</t>
  </si>
  <si>
    <t>Melding enkel wanneer aangesproken</t>
  </si>
  <si>
    <t>Powiadamiaj tylko w przypadku wzmianki o mnie</t>
  </si>
  <si>
    <t>Notificar apenas quando mencionado</t>
  </si>
  <si>
    <t>Уведомлять только при упоминании</t>
  </si>
  <si>
    <t>Повідомляти, лише якщо згадують</t>
  </si>
  <si>
    <t>start_new_conversation</t>
  </si>
  <si>
    <t>Start new conversation</t>
  </si>
  <si>
    <t>Neue Konversation beginnen</t>
  </si>
  <si>
    <t>Empezar nueva conversación</t>
  </si>
  <si>
    <t>Commencer une nouvelle conversation</t>
  </si>
  <si>
    <t>Új beszélgetés indítása</t>
  </si>
  <si>
    <t>Начать новую беседу</t>
  </si>
  <si>
    <t>Počnite novu konverzaciju</t>
  </si>
  <si>
    <t>gambia</t>
  </si>
  <si>
    <t>Gambia</t>
  </si>
  <si>
    <t>Gambie</t>
  </si>
  <si>
    <t>Гамбия</t>
  </si>
  <si>
    <t>Gambija</t>
  </si>
  <si>
    <t>tt_distance_to_cap</t>
  </si>
  <si>
    <t>Distance Cap</t>
  </si>
  <si>
    <t>غطاء المسافة</t>
  </si>
  <si>
    <t>Ограничение за разстояние</t>
  </si>
  <si>
    <t>Dálkový kapitál</t>
  </si>
  <si>
    <t>Afstand Cap</t>
  </si>
  <si>
    <t>Abstand Cap</t>
  </si>
  <si>
    <t>Κεφαλαιποίηση Απόστασης</t>
  </si>
  <si>
    <t>Distanciar capitalización</t>
  </si>
  <si>
    <t>Etäisyys kap</t>
  </si>
  <si>
    <t>Distance jusqu\'au plafond</t>
  </si>
  <si>
    <t>डिस्टेंस कैप</t>
  </si>
  <si>
    <t>Távolság a felső szintig</t>
  </si>
  <si>
    <t>Had Jarak</t>
  </si>
  <si>
    <t>Distanza Cap</t>
  </si>
  <si>
    <t>מרחק להיוון</t>
  </si>
  <si>
    <t>ディスタンスキャップ</t>
  </si>
  <si>
    <t>거리 CAP</t>
  </si>
  <si>
    <t>Afstand Max</t>
  </si>
  <si>
    <t>Avstandstak</t>
  </si>
  <si>
    <t>Odległość od górnego ograniczenia</t>
  </si>
  <si>
    <t>Distância ao teto</t>
  </si>
  <si>
    <t>Capital la Distanță</t>
  </si>
  <si>
    <t>Расстояние до капитализации</t>
  </si>
  <si>
    <t>Vzdialenosť k stropu</t>
  </si>
  <si>
    <t>Zaporna razdalja</t>
  </si>
  <si>
    <t>Razlika kap.</t>
  </si>
  <si>
    <t>Avståndsgräns</t>
  </si>
  <si>
    <t>ระยะห่างมูลค่าการลงทุน</t>
  </si>
  <si>
    <t>Mesafe sınırı</t>
  </si>
  <si>
    <t>Khoảng cách vốn hóa</t>
  </si>
  <si>
    <t>到资本化的距离</t>
  </si>
  <si>
    <t>wallis_and_futuna_islands</t>
  </si>
  <si>
    <t>Wallis and Futuna Islands</t>
  </si>
  <si>
    <t>Wallis und Futuna Inseln</t>
  </si>
  <si>
    <t>Wallis y Futuna</t>
  </si>
  <si>
    <t>Wallis et Futuna</t>
  </si>
  <si>
    <t>Уоллис и Футуна</t>
  </si>
  <si>
    <t>Valis i Futunska ostrva</t>
  </si>
  <si>
    <t>tt_add_portfolio</t>
  </si>
  <si>
    <t>Crear nuevo portafolio</t>
  </si>
  <si>
    <t>Buat portfolio baru</t>
  </si>
  <si>
    <t>Criar nova carteira</t>
  </si>
  <si>
    <t>Crează un portofoliu nou</t>
  </si>
  <si>
    <t>Yeni portföy oluştur</t>
  </si>
  <si>
    <t>captcha_hint</t>
  </si>
  <si>
    <t>Enter the text from the image above</t>
  </si>
  <si>
    <t>قم بإدخال الرموز المتواجدة في الصورة</t>
  </si>
  <si>
    <t>Въведете текста от горното изображение</t>
  </si>
  <si>
    <t>Introduïu el text de la imatge de dalt</t>
  </si>
  <si>
    <t>Gib den Text von obigem Bild ein</t>
  </si>
  <si>
    <t>Introduce el texto de la imagen de arriba</t>
  </si>
  <si>
    <t>Entrez le texte de l\'image ci-dessus</t>
  </si>
  <si>
    <t>Introduza o texto da imaxe superior</t>
  </si>
  <si>
    <t>Írja be a fenti képen található szöveget</t>
  </si>
  <si>
    <t>Inserisci il testo dell\'immagine soprastante</t>
  </si>
  <si>
    <t>上の画像からテキストを入力してください</t>
  </si>
  <si>
    <t>위의 이미지에서 텍스트를 입력하십시오</t>
  </si>
  <si>
    <t>Voer de tekst van de afbeelding hierboven in</t>
  </si>
  <si>
    <t>Wprowadź tekst z powyższego obrazka</t>
  </si>
  <si>
    <t>Escreva o texto da imagem acima</t>
  </si>
  <si>
    <t>Введите текст с изображения</t>
  </si>
  <si>
    <t>Унесите текст са слике изнад</t>
  </si>
  <si>
    <t>Skriv i texten från bilden ovan</t>
  </si>
  <si>
    <t>Уведіть текст із зображення вище</t>
  </si>
  <si>
    <t>輸入上圖中的文字</t>
  </si>
  <si>
    <t>pref_use_green_background</t>
  </si>
  <si>
    <t>Green Background</t>
  </si>
  <si>
    <t>خلفية خضراء</t>
  </si>
  <si>
    <t>Зелен фон</t>
  </si>
  <si>
    <t>Fons verd</t>
  </si>
  <si>
    <t>Grüner Hintergrund</t>
  </si>
  <si>
    <t>Fondo verde</t>
  </si>
  <si>
    <t>Fond Vert</t>
  </si>
  <si>
    <t>Zöld háttér</t>
  </si>
  <si>
    <t>Latar Hijau</t>
  </si>
  <si>
    <t>Sfondo verde</t>
  </si>
  <si>
    <t>緑の背景</t>
  </si>
  <si>
    <t>초록색 배경</t>
  </si>
  <si>
    <t>Groene achtergrond</t>
  </si>
  <si>
    <t>Zielone tło</t>
  </si>
  <si>
    <t>Fundo Verde</t>
  </si>
  <si>
    <t>Зелёный фон</t>
  </si>
  <si>
    <t>Зелена позадина</t>
  </si>
  <si>
    <t>Grön bakgrund</t>
  </si>
  <si>
    <t>Зелене тло</t>
  </si>
  <si>
    <t>綠色背景</t>
  </si>
  <si>
    <t>tt_daterange_small_6months</t>
  </si>
  <si>
    <t>6M</t>
  </si>
  <si>
    <t>6Μ</t>
  </si>
  <si>
    <t>6K</t>
  </si>
  <si>
    <t>6महीने</t>
  </si>
  <si>
    <t>6H</t>
  </si>
  <si>
    <t>6B</t>
  </si>
  <si>
    <t>6L</t>
  </si>
  <si>
    <t>6М</t>
  </si>
  <si>
    <t>6Th</t>
  </si>
  <si>
    <t>suriname</t>
  </si>
  <si>
    <t>Suriname</t>
  </si>
  <si>
    <t>Surinam</t>
  </si>
  <si>
    <t>Суринам</t>
  </si>
  <si>
    <t>permission_storage_rationale</t>
  </si>
  <si>
    <t>Storage permissions are needed.</t>
  </si>
  <si>
    <t>Berechtigung für Speicherzugriff wird benötigt.</t>
  </si>
  <si>
    <t>Permiso de guardado es necesario.</t>
  </si>
  <si>
    <t>Les autorisations de stockage sont nécessaires.</t>
  </si>
  <si>
    <t>Tárhely hozzáférés engedélyezése szükséges.</t>
  </si>
  <si>
    <t>Необходимо разрешение доступа к хранилищу.</t>
  </si>
  <si>
    <t>Pristup folderima je neophodan.</t>
  </si>
  <si>
    <t>tt_portfolios</t>
  </si>
  <si>
    <t>Portafolio</t>
  </si>
  <si>
    <t>Portefeuilles</t>
  </si>
  <si>
    <t>Virtuális portfólió</t>
  </si>
  <si>
    <t>Portefeuille</t>
  </si>
  <si>
    <t>Carteira</t>
  </si>
  <si>
    <t>Virt. Portfolio</t>
  </si>
  <si>
    <t>组合</t>
  </si>
  <si>
    <t>&gt;組合</t>
  </si>
  <si>
    <t>active_users</t>
  </si>
  <si>
    <t>Active Users</t>
  </si>
  <si>
    <t>Aktive Benutzer</t>
  </si>
  <si>
    <t>Usuarios activos</t>
  </si>
  <si>
    <t>Utilisateurs actifs</t>
  </si>
  <si>
    <t>Aktív felhasználók</t>
  </si>
  <si>
    <t>Активные пользователи</t>
  </si>
  <si>
    <t>Aktivni korisnici</t>
  </si>
  <si>
    <t>pref_theme_options</t>
  </si>
  <si>
    <t>Theme</t>
  </si>
  <si>
    <t>السمة</t>
  </si>
  <si>
    <t>Tema</t>
  </si>
  <si>
    <t>Design</t>
  </si>
  <si>
    <t>Thème</t>
  </si>
  <si>
    <t>Decorado</t>
  </si>
  <si>
    <t>Kinézet</t>
  </si>
  <si>
    <t>テーマ</t>
  </si>
  <si>
    <t>테마</t>
  </si>
  <si>
    <t>Skórka</t>
  </si>
  <si>
    <t>主題</t>
  </si>
  <si>
    <t>message</t>
  </si>
  <si>
    <t>Message</t>
  </si>
  <si>
    <t>رسالة</t>
  </si>
  <si>
    <t>Съобщение</t>
  </si>
  <si>
    <t>Missatge</t>
  </si>
  <si>
    <t>Nachricht</t>
  </si>
  <si>
    <t>Mensaje</t>
  </si>
  <si>
    <t>Mensaxe</t>
  </si>
  <si>
    <t>Üzenet</t>
  </si>
  <si>
    <t>Messaggio</t>
  </si>
  <si>
    <t>メッセージ</t>
  </si>
  <si>
    <t>Bericht</t>
  </si>
  <si>
    <t>Wiadomość</t>
  </si>
  <si>
    <t>Порука</t>
  </si>
  <si>
    <t>tt_holdings_percent</t>
  </si>
  <si>
    <t>Holdings</t>
  </si>
  <si>
    <t>موجودات</t>
  </si>
  <si>
    <t>Участия</t>
  </si>
  <si>
    <t>Holdingy</t>
  </si>
  <si>
    <t>Besitz</t>
  </si>
  <si>
    <t>Συμμετοχές</t>
  </si>
  <si>
    <t>Posesiones</t>
  </si>
  <si>
    <t>Omistukset</t>
  </si>
  <si>
    <t>होल्डिंग्स</t>
  </si>
  <si>
    <t>Pegangan</t>
  </si>
  <si>
    <t>Portafoglio titoli</t>
  </si>
  <si>
    <t>החזקות</t>
  </si>
  <si>
    <t>ホールディングス</t>
  </si>
  <si>
    <t>보유주식</t>
  </si>
  <si>
    <t>Beholdning</t>
  </si>
  <si>
    <t>Holdinguri</t>
  </si>
  <si>
    <t>Холдинги</t>
  </si>
  <si>
    <t>Podiely</t>
  </si>
  <si>
    <t>Naložbe</t>
  </si>
  <si>
    <t>Učešće</t>
  </si>
  <si>
    <t>โฮลดิ้ง</t>
  </si>
  <si>
    <t>Cổ phần</t>
  </si>
  <si>
    <t>控股公司</t>
  </si>
  <si>
    <t>tt_please_register_for_notifcation</t>
  </si>
  <si>
    <t>Please sign up first to use e-mail and SMS alerts.</t>
  </si>
  <si>
    <t>يرجى تسجيل الاشتراك أولاً لاستخدام التنبيهات عبر البريد الإلكتروني والرسائل النصية القصيرة.</t>
  </si>
  <si>
    <t>Моля, първо се регистрирайте, за да използвате имейл и SMS сигнали.</t>
  </si>
  <si>
    <t>Chcete-li používat upozornění e-mailem a SMS, nejprve se zaregistrujte.</t>
  </si>
  <si>
    <t>Tilmeld dig først for at bruge e-mail- og SMS-advarsler.</t>
  </si>
  <si>
    <t>Bitte registieren Sie sich um E-Mail und SMS Alarme nutzen zu können.</t>
  </si>
  <si>
    <t>Εγγραφείτε πρώτα για να χρησιμοποιήσετε ειδοποιήσεις μέσω e-mail και SMS.</t>
  </si>
  <si>
    <t>Por favor, regístrese primero para poder usar alertas por e-mail o SMS.</t>
  </si>
  <si>
    <t>Ole hyvä ja kirjaudu ensin käyttääksesi sähköposti- ja tekstiviestihälytyksiä.</t>
  </si>
  <si>
    <t>कृपया ई-मेल और एसएमएस अलर्ट का उपयोग करने के लिए पहले साइन-अप करें।</t>
  </si>
  <si>
    <t>Kérjük, jelentkezzen be az e-mail és SMS riasztás használatához</t>
  </si>
  <si>
    <t>Silahkan mendaftar terlebih dahulu untuk menggunakan email dan pemberitahuan SMS.</t>
  </si>
  <si>
    <t>Iscriviti per usare avvisi e-mail e SMS.</t>
  </si>
  <si>
    <t>אנא הירשם תחילה כדי להשתמש בהתראות בדואר אלקטרוני וב- SMS.</t>
  </si>
  <si>
    <t>이메일 및 SMS 알람을 사용하려면 먼저 가입해주세요.</t>
  </si>
  <si>
    <t>Sila mendaftar terlebih dahulu untuk menggunakan e-mel dan makluman SMS.</t>
  </si>
  <si>
    <t>Om e-mail en SMS alerts te krijgen , dient u zich eerst aan te melden aub.</t>
  </si>
  <si>
    <t>Registrer deg først for å bruke e-post- og SMS-varsler.</t>
  </si>
  <si>
    <t>Proszę zarejestrować się aby korzystać z poczty e-mail i powiadomień SMS.</t>
  </si>
  <si>
    <t>Por favor registre-se antes para utilizar alertas de SMS e e-mail</t>
  </si>
  <si>
    <t>Înregistrează-te mai întâi pentru a alertele prin email și SMS.</t>
  </si>
  <si>
    <t>Необходимо зарегистрироваться, чтобы получать оповещения по e-mail и смс</t>
  </si>
  <si>
    <t>Ak chcete používať e-mailové a SMS upozornenia, musíte sa najprv zaregistrovať.</t>
  </si>
  <si>
    <t>Najprej se prijavite, če želite uporabljati opozorila po e-pošti in SMS.</t>
  </si>
  <si>
    <t>Molimo da se prvo registrujete kako biste koristili e-maili i SMS alarme.</t>
  </si>
  <si>
    <t>Registrera dig först för att använda e-post- och SMS-varningar.</t>
  </si>
  <si>
    <t>โปรดลงทะเบียนใช้งานก่อนเริ่มใช้การแจ้งเตือนทางอีเมลและ SMS</t>
  </si>
  <si>
    <t>Lütfen e-posta ve SMS uyarılarını kullanmak için önce üye olunuz.</t>
  </si>
  <si>
    <t>Vui lòng đăng ký trước để sử dụng email và thông báo bằng tin nhắn văn bản.</t>
  </si>
  <si>
    <t>请即登入帐户以使用电邮与短讯提示</t>
  </si>
  <si>
    <t>&gt;請即登入帳戶以使用電郵與短訊提示</t>
  </si>
  <si>
    <t>tt_downloadingdata</t>
  </si>
  <si>
    <t>Downloading data…</t>
  </si>
  <si>
    <t>جارٍ تنزيل البيانات ...</t>
  </si>
  <si>
    <t>Данните се изтеглят...</t>
  </si>
  <si>
    <t>Stahování dat...</t>
  </si>
  <si>
    <t>Henter data...</t>
  </si>
  <si>
    <t>Daten werden geladen…</t>
  </si>
  <si>
    <t>Λήψη δεδομένων...</t>
  </si>
  <si>
    <t>Descargando los datos…</t>
  </si>
  <si>
    <t>Ladataan tietoja...</t>
  </si>
  <si>
    <t>Téléchargement en cours…</t>
  </si>
  <si>
    <t>डेटा डाउनलोड हो रहा है...</t>
  </si>
  <si>
    <t>Adatok letöltése</t>
  </si>
  <si>
    <t>Mengunggah data ...</t>
  </si>
  <si>
    <t>Scaricamento dei dati</t>
  </si>
  <si>
    <t>מוריד נתונים...</t>
  </si>
  <si>
    <t>ダウンロードしています･･･</t>
  </si>
  <si>
    <t>데이터 다운로드 중...</t>
  </si>
  <si>
    <t>Memuat turun data ...</t>
  </si>
  <si>
    <t>Gegevens aan het downloaden…</t>
  </si>
  <si>
    <t>Laster ned data ...</t>
  </si>
  <si>
    <t>Pobieranie danych ...</t>
  </si>
  <si>
    <t>Baixar dados</t>
  </si>
  <si>
    <t>Se descarcă datele...</t>
  </si>
  <si>
    <t>Загрузка данных….</t>
  </si>
  <si>
    <t>Sťahujú sa údaje...</t>
  </si>
  <si>
    <t>Prenos podatkov...</t>
  </si>
  <si>
    <t>Preuzimanje podataka</t>
  </si>
  <si>
    <t>Hämtar data...</t>
  </si>
  <si>
    <t>กำลังดาวน์โหลดข้อมูล</t>
  </si>
  <si>
    <t>Veriler indiriliyor...</t>
  </si>
  <si>
    <t>Đang tải xuống dữ liệu...</t>
  </si>
  <si>
    <t>下载数据</t>
  </si>
  <si>
    <t>&gt;下載數據</t>
  </si>
  <si>
    <t>tt_iosbridge_platinum_gtis</t>
  </si>
  <si>
    <t>Platine</t>
  </si>
  <si>
    <t>background_opaqueblack_txt</t>
  </si>
  <si>
    <t>Opaque-black</t>
  </si>
  <si>
    <t>أسود داكن</t>
  </si>
  <si>
    <t>Тъмно-черен</t>
  </si>
  <si>
    <t>Neprůhledná černá</t>
  </si>
  <si>
    <t>Opak-sort</t>
  </si>
  <si>
    <t>Schwarz</t>
  </si>
  <si>
    <t>Αδιαφανές-μαύρο</t>
  </si>
  <si>
    <t>Negro opaco</t>
  </si>
  <si>
    <t>Läpinäkymätön musta</t>
  </si>
  <si>
    <t>opaque-noire</t>
  </si>
  <si>
    <t>अपारदर्शी-ब्लैक</t>
  </si>
  <si>
    <t>fekete</t>
  </si>
  <si>
    <t>Hitam Lutcahaya</t>
  </si>
  <si>
    <t>Opaco - Nero</t>
  </si>
  <si>
    <t>אטום-שחור</t>
  </si>
  <si>
    <t>半透明の黒色</t>
  </si>
  <si>
    <t>무광 블랙</t>
  </si>
  <si>
    <t>ondoorzichtig zwart</t>
  </si>
  <si>
    <t>Ugjennomsiktig svart</t>
  </si>
  <si>
    <t>Matowy czarny</t>
  </si>
  <si>
    <t>Opaco-preto</t>
  </si>
  <si>
    <t>Opac-negru</t>
  </si>
  <si>
    <t>Непрозрачный-чёрный</t>
  </si>
  <si>
    <t>Nepriehľadné-čierne</t>
  </si>
  <si>
    <t>Neprozorno-črna</t>
  </si>
  <si>
    <t>Crno</t>
  </si>
  <si>
    <t>Täckande svart</t>
  </si>
  <si>
    <t>สีดำทึบ</t>
  </si>
  <si>
    <t>Mat siyah</t>
  </si>
  <si>
    <t>Màu đen đục</t>
  </si>
  <si>
    <t>不透明——黑色的</t>
  </si>
  <si>
    <t>mam_prefs</t>
  </si>
  <si>
    <t>Archiving preferences</t>
  </si>
  <si>
    <t>إعدادت الأرشيف</t>
  </si>
  <si>
    <t>Настройки за архивирането</t>
  </si>
  <si>
    <t>Arxivant preferències</t>
  </si>
  <si>
    <t>Archivierungseinstellungen</t>
  </si>
  <si>
    <t>Preferencias de archivado</t>
  </si>
  <si>
    <t>Paramètres d\'archivage</t>
  </si>
  <si>
    <t>Gardando axustes</t>
  </si>
  <si>
    <t>Archívum beállításai</t>
  </si>
  <si>
    <t>Preferenze di archiviazione</t>
  </si>
  <si>
    <t>アーカイブの設定</t>
  </si>
  <si>
    <t>보관 설정</t>
  </si>
  <si>
    <t>Archiefvoorkeuren</t>
  </si>
  <si>
    <t>Preferencje archiwizacji</t>
  </si>
  <si>
    <t>Preferências de arquivamento</t>
  </si>
  <si>
    <t>Настройки архивирования</t>
  </si>
  <si>
    <t>Поставке архивисања</t>
  </si>
  <si>
    <t>Arkiveringsinställningar</t>
  </si>
  <si>
    <t>Налаштування збереження</t>
  </si>
  <si>
    <t>壓縮設置</t>
  </si>
  <si>
    <t>pakistan</t>
  </si>
  <si>
    <t>Pakistan</t>
  </si>
  <si>
    <t>Paquistán</t>
  </si>
  <si>
    <t>Пакистан</t>
  </si>
  <si>
    <t>hide_offline</t>
  </si>
  <si>
    <t>Hide offline</t>
  </si>
  <si>
    <t>اخفاء غير المتصلين</t>
  </si>
  <si>
    <t>Скриване на тези извън линия</t>
  </si>
  <si>
    <t>Amaga el fora de línia</t>
  </si>
  <si>
    <t>Offline verstecken</t>
  </si>
  <si>
    <t>Ocultar desconectados</t>
  </si>
  <si>
    <t>Cacher contacts hors-ligne</t>
  </si>
  <si>
    <t>Ocultar fora de liña</t>
  </si>
  <si>
    <t>Kilépettek rejtve</t>
  </si>
  <si>
    <t>Sembunyikan Offline</t>
  </si>
  <si>
    <t>Nascondi i contatti offline</t>
  </si>
  <si>
    <t>オフラインを非表示にする</t>
  </si>
  <si>
    <t>오프라인 숨기기</t>
  </si>
  <si>
    <t>Offline contacten verbergen</t>
  </si>
  <si>
    <t>Ukryj niedostępnych</t>
  </si>
  <si>
    <t>Ocultar offline</t>
  </si>
  <si>
    <t>Скрыть пользователей вне сети</t>
  </si>
  <si>
    <t>Skryť neprihlásených</t>
  </si>
  <si>
    <t>Сакриј неповезане</t>
  </si>
  <si>
    <t>Dölj ej anslutna</t>
  </si>
  <si>
    <t>Сховати ті, що не в мережі</t>
  </si>
  <si>
    <t>Ẩn ngoại tuyến</t>
  </si>
  <si>
    <t>隱藏離線連絡人</t>
  </si>
  <si>
    <t>default_off</t>
  </si>
  <si>
    <t>Off by default</t>
  </si>
  <si>
    <t>ИЗКЛ по подразбиране</t>
  </si>
  <si>
    <t>Desactivat per defecte</t>
  </si>
  <si>
    <t>Standardmäßig ausgeschaltet</t>
  </si>
  <si>
    <t>Desactivado por defecto</t>
  </si>
  <si>
    <t>Désactivé par défaut</t>
  </si>
  <si>
    <t>Kikapcsolva alapból</t>
  </si>
  <si>
    <t>Off in modo predefinito</t>
  </si>
  <si>
    <t>デフォルトでオフ</t>
  </si>
  <si>
    <t>Standaard uit</t>
  </si>
  <si>
    <t>Wyłączone domyślnie</t>
  </si>
  <si>
    <t>Подразумевано искључено</t>
  </si>
  <si>
    <t>預設關閉</t>
  </si>
  <si>
    <t>type_console</t>
  </si>
  <si>
    <t>Console</t>
  </si>
  <si>
    <t>الواجهة الطرفية</t>
  </si>
  <si>
    <t>Конзола</t>
  </si>
  <si>
    <t>Consola</t>
  </si>
  <si>
    <t>Kommandozeile</t>
  </si>
  <si>
    <t>Konzol</t>
  </si>
  <si>
    <t>コンソール</t>
  </si>
  <si>
    <t>콘솔</t>
  </si>
  <si>
    <t>Konsola</t>
  </si>
  <si>
    <t>Консоль</t>
  </si>
  <si>
    <t>Konsoll</t>
  </si>
  <si>
    <t>控制台</t>
  </si>
  <si>
    <t>password</t>
  </si>
  <si>
    <t>Password</t>
  </si>
  <si>
    <t>كلمة السر</t>
  </si>
  <si>
    <t>Парола</t>
  </si>
  <si>
    <t>Contrasenya</t>
  </si>
  <si>
    <t>Contraseña</t>
  </si>
  <si>
    <t>Mot de passe</t>
  </si>
  <si>
    <t>Contrasinal</t>
  </si>
  <si>
    <t>Jelszó</t>
  </si>
  <si>
    <t>パスワード</t>
  </si>
  <si>
    <t>암호</t>
  </si>
  <si>
    <t>Wachtwoord</t>
  </si>
  <si>
    <t>Hasło</t>
  </si>
  <si>
    <t>Palavra-passe</t>
  </si>
  <si>
    <t>Пароль</t>
  </si>
  <si>
    <t>Heslo</t>
  </si>
  <si>
    <t>Лозинка</t>
  </si>
  <si>
    <t>Lösenord</t>
  </si>
  <si>
    <t>Mật khẩu</t>
  </si>
  <si>
    <t>密碼</t>
  </si>
  <si>
    <t>block_contact_text</t>
  </si>
  <si>
    <t>Would you like to block %s from sending you messages?</t>
  </si>
  <si>
    <t>هل ترغب في حجب %s من ارسال الرسائل لك?</t>
  </si>
  <si>
    <t>Искате ли да блокирате %s, така че да не може да Ви праща съобщения?</t>
  </si>
  <si>
    <t>Voleu impedir que %s us pugui enviar missatges?</t>
  </si>
  <si>
    <t>Möchtest du %s sperren und keine Nachrichten mehr erhalten?</t>
  </si>
  <si>
    <t>¿Quieres bloquear a %s para que no pueda enviarte mensajes?</t>
  </si>
  <si>
    <t>Voulez-vous bloquer %s pour l\'empêcher de vous envoyer des messages ?</t>
  </si>
  <si>
    <t>Desexa evitar que %s lle envíe mensaxes?</t>
  </si>
  <si>
    <t>Szeretnéd tiltani %s nevű ismerősödet, hogy ne tudjon neked küldeni üzenetet?</t>
  </si>
  <si>
    <t>Apakah Anda ingin memblokir pesan dari %s?</t>
  </si>
  <si>
    <t>Vorresti impedire a %s di inviarti messaggi?</t>
  </si>
  <si>
    <t>%s からあなたに送信されるメッセージをブロックしますか?</t>
  </si>
  <si>
    <t>%s 이(가) 당신에게 메세지를 보내지 못하도록 차단할까요?</t>
  </si>
  <si>
    <t>Wil je alle berichten van %s blokkeren?</t>
  </si>
  <si>
    <t>Czy na pewno chcesz zablokować wiadomości od użytkownika %s?</t>
  </si>
  <si>
    <t>Deseja bloquear o o recebimento de mensagens de %s?</t>
  </si>
  <si>
    <t>Вы хотите заблокировать дальнейшие сообщения от %s?</t>
  </si>
  <si>
    <t>Chceli by ste zablokovať prijímanie správ od %s?</t>
  </si>
  <si>
    <t>Желите ли да блокирате поруке од %s?</t>
  </si>
  <si>
    <t>Vill du blockera %s från att skicka dig meddelanden?</t>
  </si>
  <si>
    <t>%s \'nizin size mesaj göndermesini engellemek ister misiniz?</t>
  </si>
  <si>
    <t>Бажаєте заборонити %s надсилати Вам повідомлення?</t>
  </si>
  <si>
    <t>Bạn có muốn chặn %s gửi tin nhắn cho bạn?</t>
  </si>
  <si>
    <t>要封鎖 %s 讓它不能送訊息給你嗎？</t>
  </si>
  <si>
    <t>pref_use_indicate_received</t>
  </si>
  <si>
    <t>Request message receipts</t>
  </si>
  <si>
    <t>طلب تقارير تسليم الرسائل</t>
  </si>
  <si>
    <t>Изискване на отчет за съобщенията</t>
  </si>
  <si>
    <t>Rebuts de sol.licituds dels missatges</t>
  </si>
  <si>
    <t>Empfangsbestätigungen anfragen</t>
  </si>
  <si>
    <t>Solicitar entrega de mensaje</t>
  </si>
  <si>
    <t>Accusés de réception</t>
  </si>
  <si>
    <t>Solicitar avisos de recepción</t>
  </si>
  <si>
    <t>Üzenet nyugták kérése</t>
  </si>
  <si>
    <t>Permintaan penerimaan pesan</t>
  </si>
  <si>
    <t>Richiedi la ricevuta di ritorno</t>
  </si>
  <si>
    <t>要求メッセージの受信</t>
  </si>
  <si>
    <t>메세지 영수증 요청</t>
  </si>
  <si>
    <t>Vraag ontvangstbevestigingen</t>
  </si>
  <si>
    <t>Raporty dostarczenia</t>
  </si>
  <si>
    <t>Solicitar recibo de mensagem</t>
  </si>
  <si>
    <t>Запрос в получении сообщения</t>
  </si>
  <si>
    <t>Požadovať oznámenie o prijatí</t>
  </si>
  <si>
    <t>Захтевај потврде порука</t>
  </si>
  <si>
    <t>Begär mottagningskvitto</t>
  </si>
  <si>
    <t>Просити повідомлення про доставку</t>
  </si>
  <si>
    <t>Yêu cầu thông báo nhận tin nhắn</t>
  </si>
  <si>
    <t>請求訊息回復</t>
  </si>
  <si>
    <t>no_market_app_installed</t>
  </si>
  <si>
    <t>No market app installed.</t>
  </si>
  <si>
    <t>Няма инсталирано приложение за инсталиране на приложения.</t>
  </si>
  <si>
    <t>Kein App-Store installiert.</t>
  </si>
  <si>
    <t>No hay tienda de aplicaciones instalada.</t>
  </si>
  <si>
    <t>Aucune application de marché n\'est installée.</t>
  </si>
  <si>
    <t>Non ten loxa de aplicacións instalada.</t>
  </si>
  <si>
    <t>Nessuna app market installata.</t>
  </si>
  <si>
    <t>Geen app-winkel geïnstalleerd.</t>
  </si>
  <si>
    <t>Aplikacja marketu niezainstalowana.</t>
  </si>
  <si>
    <t>type_tablet</t>
  </si>
  <si>
    <t>Tablet</t>
  </si>
  <si>
    <t>لوحة مفاتيحية</t>
  </si>
  <si>
    <t>Таблет</t>
  </si>
  <si>
    <t>Tablette</t>
  </si>
  <si>
    <t>Tableta</t>
  </si>
  <si>
    <t>Táblagép</t>
  </si>
  <si>
    <t>タブレット</t>
  </si>
  <si>
    <t>태블릿</t>
  </si>
  <si>
    <t>Планшет</t>
  </si>
  <si>
    <t>Surfplatta</t>
  </si>
  <si>
    <t>平板</t>
  </si>
  <si>
    <t>tt_deviceisnotconfiguredforsendingemail</t>
  </si>
  <si>
    <t>Your device is not configured for sending e-mail.</t>
  </si>
  <si>
    <t>لم يتم تهيئة جهازك لإرسال البريد الإلكتروني.</t>
  </si>
  <si>
    <t>Вашето устройство не е конфигурирано за изпращане на имейли.</t>
  </si>
  <si>
    <t>Vaše zařízení není nakonfigurováno k odesílání e-mailů.</t>
  </si>
  <si>
    <t>Din enhed er ikke konfigureret til at sende e-mail.</t>
  </si>
  <si>
    <t>Das Gerät ist nicht zum E-Mail Versand konfiguriert.</t>
  </si>
  <si>
    <t>Η συσκευή σας δεν έχει διαμορφωθεί για αποστολή e-mail.</t>
  </si>
  <si>
    <t>Su dispositivo no está configurado para enviar e-mail.</t>
  </si>
  <si>
    <t>Laitetta ei ole määritetty lähettämään sähköpostia.</t>
  </si>
  <si>
    <t>Votre appareil n\'est pas configuré pour envoyer des e-mails</t>
  </si>
  <si>
    <t>ई-मेल भेजने के लिए आपके डिवाइस को कॉन्फ़िगर नहीं किया गया है।</t>
  </si>
  <si>
    <t>Készülékén nincs beállítva az e-mail küldés</t>
  </si>
  <si>
    <t>Perangkat anda tidak dikonfigurasi untuk mengirim email.</t>
  </si>
  <si>
    <t>Tuo dispositivo non è configurato per inviare e-mail.</t>
  </si>
  <si>
    <t>המכשיר שלך אינו מוגדר לשליחת דואר אלקטרוני.</t>
  </si>
  <si>
    <t>メールを送信できません。</t>
  </si>
  <si>
    <t>사용자의 장치가 이메일을 보내도록 구성되어 있지 않습니다.</t>
  </si>
  <si>
    <t>Peranti anda tidak dikonfigurasi untuk menghantar e-mel.</t>
  </si>
  <si>
    <t>Uw apparaat is niet geconfigureerd voor het verzenden van e-mail.</t>
  </si>
  <si>
    <t>Enheten er ikke konfigurert for sending av e-post.</t>
  </si>
  <si>
    <t>Urządzenie nie jest skonfigurowane do wysyłania wiadomości e-mail.</t>
  </si>
  <si>
    <t>O dispositivo não está configurado para o envio de e-mail</t>
  </si>
  <si>
    <t>Dispozitivul tău nu este configurat pentru a trimite de emailuri.</t>
  </si>
  <si>
    <t>На вашем устройстве не настроена электронная почта</t>
  </si>
  <si>
    <t>Vaše zariadenie nie je nakonfigurované na odosielanie e-mailov.</t>
  </si>
  <si>
    <t>Vaša naprava ni konfigurirana za pošiljanje e-pošte.</t>
  </si>
  <si>
    <t>Vaš uređaj nije konfigurisan za e-mail</t>
  </si>
  <si>
    <t>Din enhet är inte konfigurerad för att skicka e-post.</t>
  </si>
  <si>
    <t>ไม่มีการกำหนดค่าสำหรับการส่งอีเมลในอุปกรณ์นี้</t>
  </si>
  <si>
    <t>Cihazınız, e-posta göndermek için ayarlanmamış.</t>
  </si>
  <si>
    <t>Thiết bị của bạn không được thiết lập cấu hình để gửi email.</t>
  </si>
  <si>
    <t>您的设备未配置为发送电子邮件</t>
  </si>
  <si>
    <t>&gt;您的設備未配置為發送電子郵件</t>
  </si>
  <si>
    <t>unblock_contact</t>
  </si>
  <si>
    <t>الغاء حجب جهة اتصال</t>
  </si>
  <si>
    <t>Деблокиране на контакт</t>
  </si>
  <si>
    <t>Lepas blokir kontak</t>
  </si>
  <si>
    <t>pref_clean_private_storage</t>
  </si>
  <si>
    <t>Clean private storage</t>
  </si>
  <si>
    <t>تفريغ مساحة التخرين الخاصة</t>
  </si>
  <si>
    <t>Изчистване на личното място за съхранение</t>
  </si>
  <si>
    <t>Netejar l\'emmagatzematge privat</t>
  </si>
  <si>
    <t>Lösche privaten Speicher</t>
  </si>
  <si>
    <t>Limpiar datos privados</t>
  </si>
  <si>
    <t>Vider le stockage privé</t>
  </si>
  <si>
    <t>Limpar almacenamento privado</t>
  </si>
  <si>
    <t>Személyes tárhely törlése</t>
  </si>
  <si>
    <t>Svuota archivio privato</t>
  </si>
  <si>
    <t>プライベートストレージをクリア</t>
  </si>
  <si>
    <t>Privéopslag wissen</t>
  </si>
  <si>
    <t>Wyczyść prywatny magazyn</t>
  </si>
  <si>
    <t>Очистить приватное хранилище.</t>
  </si>
  <si>
    <t>Очисти лично складиште</t>
  </si>
  <si>
    <t>Rensa private lagring</t>
  </si>
  <si>
    <t>Очистити приватне сховище</t>
  </si>
  <si>
    <t>清理私人空間</t>
  </si>
  <si>
    <t>not_fetching_history_retention_period</t>
  </si>
  <si>
    <t>Not fetching messages due to local retention period.</t>
  </si>
  <si>
    <t>Съобщенията не се изтеглят поради местния период на задържане.</t>
  </si>
  <si>
    <t>No es recullen missatges deguts al període de retenció local.</t>
  </si>
  <si>
    <t>Nachrichten werden aufgrund der eingestellten lokalen Speicherfrist nicht abgerufen.</t>
  </si>
  <si>
    <t>No buscar mensajes más antiguos que el establecido en el marco de tiempo.</t>
  </si>
  <si>
    <t>Aucun message récupéré, en raison de la configuration de rétention de l\'appareil.</t>
  </si>
  <si>
    <t>Sen obtención de mensaxes debido ao período de retención local.</t>
  </si>
  <si>
    <t>Nem tölt le üzeneteket a helyi megőrzési időszak miatt.</t>
  </si>
  <si>
    <t>Nessun recupero di messaggi a causa del periodo di conservazione locale.</t>
  </si>
  <si>
    <t>ローカル保存期間のためにメッセージを取得しません。</t>
  </si>
  <si>
    <t>Berichten worden niet opgehaald wegens lokale bewaarperiode.</t>
  </si>
  <si>
    <t>Nie pobieram wiadomości przez lokalny okres retencji</t>
  </si>
  <si>
    <t>Не загружаем сообщения, в соответствии с локальным сроком хранения.</t>
  </si>
  <si>
    <t>Hämtar inte meddelanden på grund av inställningen för borttagning av gamla meddelanden.</t>
  </si>
  <si>
    <t>Повідомлення не завантажуються з огляду на локально встановлений строк зберігання.</t>
  </si>
  <si>
    <t>訊息的時間因為超過本機保留區間而沒有下載。</t>
  </si>
  <si>
    <t>error_no_keys_to_trust_server_error</t>
  </si>
  <si>
    <t>There are no usable keys available for this contact.\nFetching new keys from the server has been unsuccessful. Maybe there is something wrong with your contact’s server.</t>
  </si>
  <si>
    <t>Няма ключове, които могат да бъдат използвани за този контакт.\nИзтеглянето на нови ключове от сървъра беше неуспешно. Възможно е да има проблем със сървъра на контакта Ви.</t>
  </si>
  <si>
    <t>No hi ha claus utilitzables per a aquest contacte.\nEls fitxers noves del servidor no han tingut èxit. Potser hi ha alguna cosa malament amb el servidor del vostre contacte.</t>
  </si>
  <si>
    <t>Für diesen Kontakt sind keine nutzbaren Schlüssel verfügbar.\nDas Abrufen neuer Schlüssel vom Server ist fehlgeschlagen. Vielleicht gibt es ein Problem mit dem Server deines Kontaktes.</t>
  </si>
  <si>
    <t>No hay claves disponibles para este contacto.\nLa búsqueda de nuevas claves en el servidor ha fallado. Puede que haya algún problema con el servidor de tu contacto.</t>
  </si>
  <si>
    <t>Aucune clef utilisable pour ce contact. \nL\'obtention de nouvelles clefs depuis le serveur a échoué. Il pourrait y avoir un problème avec le serveur de votre contact.</t>
  </si>
  <si>
    <t>Non hai chaves dispoñibles que se poidan usar con este contacto.\nNon se puideron obter novas chaves do servidor. Quizáis hai algún problema coas chaves do seu contacto.</t>
  </si>
  <si>
    <t>Ehhez a kapcsolathoz nem áll rendelkezésre használható kulcs.\n A kiszolgáló új kulcsainak letöltése sikertelen volt. Talán van valami baj a kapcsolattartó szerverével.</t>
  </si>
  <si>
    <t>Non ci sono chiavi utilizzabili per questo contatto.\nRicezione di nuovi chiavi dal server non riuscita. Forse qualcosa non va con il server del tuo contatto.</t>
  </si>
  <si>
    <t>この連絡先で使用可能な鍵がありません。\nサーバーから新しい鍵を取得できませんでした。連絡先のサーバーに問題がある可能性があります。</t>
  </si>
  <si>
    <t>Er zijn geen bruikbare sleutels beschikbaar voor dit contact.\nOphalen van nieuwe sleutels van de server is mislukt. Misschien is er iets mis met de server van je contact.</t>
  </si>
  <si>
    <t>Nie ma dostępnych kluczy dla tego kontaktu.\nPobieranie nowych kluczy z serwera nie powiodło się. Być może jest coś nie tak z serwerem kontaktu?</t>
  </si>
  <si>
    <t>Для этого контакта не существует доступных ключей.\nПопытка получения новых ключей с сервера оказалась неудачной. Возможно, что-то не так с сервером вашего собеседника.</t>
  </si>
  <si>
    <t>Нема употребљивих кључева за овај контакт.\nДобављање нових кључева са сервера није било успешно. Можда нешто није у реду са сервером вашег контаката.</t>
  </si>
  <si>
    <t>you_helped_us_a_lot_we_will_give_our_best_to_make_this_app_better</t>
  </si>
  <si>
    <t>You helped us a lot! We will give our best to make this app better!</t>
  </si>
  <si>
    <t>لقد ساعدتنا كثيرا! وسنقوم بأفضل جهدنا من اجل تحسين هذا التطبيق</t>
  </si>
  <si>
    <t>Благодарим ви за помощта! Ще направим всичко възможно да направим това приложение по-добро!</t>
  </si>
  <si>
    <t>Hodně jsi nám pomohl! Uděláme, co budeme moci, abychom tuto aplikaci vylepšili!</t>
  </si>
  <si>
    <t>Du hjalp os meget! Vi vil gøre vores bedste for at forbedre denne app!</t>
  </si>
  <si>
    <t>Sie haben uns sehr geholfen. Wir geben unser Bestes um diese App noch besser zu gestalten.</t>
  </si>
  <si>
    <t>Μας βοηθήσατε πολύ! Θα κάνουμε ό, τι καλύτερο μπορούμε για να κάνουμε αυτήν την εφαρμογή καλύτερη!</t>
  </si>
  <si>
    <t>¡Nos ha ayudado mucho! Haremos nuestro mayor esfuerzo para mejorar esta aplicación!</t>
  </si>
  <si>
    <t>Sinusta oli paljon apua! Teemme parhaamme tämän sovelluksen parantamiseksi!</t>
  </si>
  <si>
    <t>Vous nous avez beaucoup aidés ! Nous nous efforcerons d\'améliorer cette appli!</t>
  </si>
  <si>
    <t>आपने हमारी बहुत सहायता की है! हम इस ऐप को बेहतर बनाने के लिए अपना सर्वश्रेष्ठ देंगे!</t>
  </si>
  <si>
    <t>Ön nagyon sokat segített nekünk! Mindent meg fogunk tenni, hogy ez az alkalmazás még jobb legyen!</t>
  </si>
  <si>
    <t>Anda banyak membantu kami! Kami akan memberikan yang terbaik untuk membuat aplikasi ini lebih baik!</t>
  </si>
  <si>
    <t>Ci hai aiutato molto! Faremo del nostro meglio per migliorare questa app</t>
  </si>
  <si>
    <t>עזרת לנו המון! אנו נעשה כמיטב יכולתנו כדי לשפר את האפליקציה הזו!</t>
  </si>
  <si>
    <t>大変助かりました。このアプリをさらに良いものにするよう最善を尽くします。</t>
  </si>
  <si>
    <t>큰 도움을 주셔서 감사합니다! 저희는 이 앱을 개선하기 위해 최선을 다할 것입니다!</t>
  </si>
  <si>
    <t>Anda telah banyak membantu kami! Kami akan memberikan yang terbaik untuk membuat apps ini lebih baik!</t>
  </si>
  <si>
    <t>U heeft ons zeer geholpen, wij doen ons best de App nog beter te maken.</t>
  </si>
  <si>
    <t>Du hjalp oss veldig! Vi skal gjøre vårt beste for å gjøre denne appen bedre!</t>
  </si>
  <si>
    <t>Bardzo nam pomogłeś! Dołożymy wszelkich starań aby ta aplikacja była najlepsza!</t>
  </si>
  <si>
    <t>Ajudou-nos bastante! Daremos o nosso melhor para melhorar esta aplicação!</t>
  </si>
  <si>
    <t>Ne-ai ajutat mult! Vom face tot posibilul pentru a îmbunătăți această aplicație!</t>
  </si>
  <si>
    <t>Вы нам очень помогли! Мы сделаем все возможное, чтобы сделать это приложение лучше!</t>
  </si>
  <si>
    <t>Veľmi ste nám pomohli! Budeme sa snažiť vylepšiť túto aplikáciu!</t>
  </si>
  <si>
    <t>Veliko ste nam pomagali! Dali bomo vse od sebe, da naredimo to aplikacijo boljšo!</t>
  </si>
  <si>
    <t>Mnogo ste nam pomogli! Daćemo sve od sebe da poboljšamo aplikaciju!</t>
  </si>
  <si>
    <t>Det hjälpte mycket! Vi kommer att göra vårt bästa för att göra appen bättre!</t>
  </si>
  <si>
    <t>คำแนะนำของคุณมีประโยชน์อย่างมาก! เราจะตั้งใจพัฒนาแอปให้ออกมาดีขึ้นกว่าเดิม!</t>
  </si>
  <si>
    <t>Bize çok yardımcı oldunuz! Uygulamayı iyileştirmek için elimizden geleni yapacağız!</t>
  </si>
  <si>
    <t>Bạn đã giúp chúng tôi rất nhiều! Chúng tôi sẽ cố gắng hết sức để làm cho ứng dụng này tốt hơn!</t>
  </si>
  <si>
    <t>谢谢您帮助我们。 我们会尽量提高这个移动应用</t>
  </si>
  <si>
    <t>tt_portfolio_inpayment</t>
  </si>
  <si>
    <t>Deposit</t>
  </si>
  <si>
    <t>الوديعة</t>
  </si>
  <si>
    <t>Депозит</t>
  </si>
  <si>
    <t>Vklad</t>
  </si>
  <si>
    <t>Depositum</t>
  </si>
  <si>
    <t>Einzahlung</t>
  </si>
  <si>
    <t>Κατάθεση</t>
  </si>
  <si>
    <t>Depósito</t>
  </si>
  <si>
    <t>Talletus</t>
  </si>
  <si>
    <t>Dépôt</t>
  </si>
  <si>
    <t>जमा धनराशि</t>
  </si>
  <si>
    <t>Bejövő tételek</t>
  </si>
  <si>
    <t>Deposito</t>
  </si>
  <si>
    <t>הפקדה</t>
  </si>
  <si>
    <t>預ける</t>
  </si>
  <si>
    <t>디파짓</t>
  </si>
  <si>
    <t>Innskudd</t>
  </si>
  <si>
    <t>Depozyt</t>
  </si>
  <si>
    <t>Depozitează</t>
  </si>
  <si>
    <t>Вклад</t>
  </si>
  <si>
    <t>Záloha</t>
  </si>
  <si>
    <t>Polog</t>
  </si>
  <si>
    <t>Uplata sredstava</t>
  </si>
  <si>
    <t>Deponering</t>
  </si>
  <si>
    <t>เงินฝาก</t>
  </si>
  <si>
    <t>Depozito</t>
  </si>
  <si>
    <t>Tiền nạp</t>
  </si>
  <si>
    <t>存款</t>
  </si>
  <si>
    <t>&gt;存款</t>
  </si>
  <si>
    <t>delete</t>
  </si>
  <si>
    <t>إحذف</t>
  </si>
  <si>
    <t>Изтриване</t>
  </si>
  <si>
    <t>Elimina</t>
  </si>
  <si>
    <t>Töröl</t>
  </si>
  <si>
    <t>Обриши</t>
  </si>
  <si>
    <t>Видалити</t>
  </si>
  <si>
    <t>Xoá</t>
  </si>
  <si>
    <t>刪除</t>
  </si>
  <si>
    <t>tt_relevant_symbols</t>
  </si>
  <si>
    <t>Relevant Symbols</t>
  </si>
  <si>
    <t>الرموز ذات الصلة</t>
  </si>
  <si>
    <t>Важни символи</t>
  </si>
  <si>
    <t>Relevantní symboly</t>
  </si>
  <si>
    <t>Relevante symboler</t>
  </si>
  <si>
    <t>Relevante Wertpapiere</t>
  </si>
  <si>
    <t>Σχετικά σύμβολα</t>
  </si>
  <si>
    <t>Símbolos relevantes</t>
  </si>
  <si>
    <t>Asiaankuuluvat symbolit</t>
  </si>
  <si>
    <t>Symboles importants</t>
  </si>
  <si>
    <t>प्रासंगिक प्रतीक</t>
  </si>
  <si>
    <t>Releváns szimbólumok</t>
  </si>
  <si>
    <t>Simbol Terkait</t>
  </si>
  <si>
    <t>Simboli Pertinenti.</t>
  </si>
  <si>
    <t>סמלים רלוונטיים</t>
  </si>
  <si>
    <t>関連する項目</t>
  </si>
  <si>
    <t>관련 기호</t>
  </si>
  <si>
    <t>Simbol Berkaitan</t>
  </si>
  <si>
    <t>Belangrijke symbolen</t>
  </si>
  <si>
    <t>Odpowiednie symbole</t>
  </si>
  <si>
    <t>Simboluri Relevante</t>
  </si>
  <si>
    <t>Связанные наименования</t>
  </si>
  <si>
    <t>Relevantné symboly</t>
  </si>
  <si>
    <t>Ustrezni simboli</t>
  </si>
  <si>
    <t>Relevantni simboli</t>
  </si>
  <si>
    <t>Relevanta symboler</t>
  </si>
  <si>
    <t>ชื่อย่อหลักทรัพย์ที่เกี่ยวข้อง</t>
  </si>
  <si>
    <t>İlgili Semboller</t>
  </si>
  <si>
    <t>Công cụ liên quan</t>
  </si>
  <si>
    <t>相关符号</t>
  </si>
  <si>
    <t>&gt;相關符號</t>
  </si>
  <si>
    <t>grant_membership</t>
  </si>
  <si>
    <t>Grant membership</t>
  </si>
  <si>
    <t>منح عضوية</t>
  </si>
  <si>
    <t>Даване на членство</t>
  </si>
  <si>
    <t>Admetre l\'afiliació</t>
  </si>
  <si>
    <t>Mitgliedschaft gewähren</t>
  </si>
  <si>
    <t>Convertir en miembro</t>
  </si>
  <si>
    <t>Accorder le statut de membre</t>
  </si>
  <si>
    <t>Permitir membresía</t>
  </si>
  <si>
    <t>Tagság megadása</t>
  </si>
  <si>
    <t>Memberikan keanggotaan</t>
  </si>
  <si>
    <t>Concedi appartenenza</t>
  </si>
  <si>
    <t>メンバーシップを付与</t>
  </si>
  <si>
    <t>멤버십 허가</t>
  </si>
  <si>
    <t>Lidmaatschap verlenen</t>
  </si>
  <si>
    <t>Przyznaj członkostwo</t>
  </si>
  <si>
    <t>Conceder filiação</t>
  </si>
  <si>
    <t>Предоставить участие</t>
  </si>
  <si>
    <t>Povoliť členstvo</t>
  </si>
  <si>
    <t>Одобри чланство</t>
  </si>
  <si>
    <t>Bevilja medlemsskap</t>
  </si>
  <si>
    <t>Надати право участі</t>
  </si>
  <si>
    <t>Trao quyền thành viên</t>
  </si>
  <si>
    <t>已授予的成員</t>
  </si>
  <si>
    <t>tt_required</t>
  </si>
  <si>
    <t>Required</t>
  </si>
  <si>
    <t>مطلوب</t>
  </si>
  <si>
    <t>Задължителни</t>
  </si>
  <si>
    <t>Požadované</t>
  </si>
  <si>
    <t>Nødvendig</t>
  </si>
  <si>
    <t>Erforderlich</t>
  </si>
  <si>
    <t>Απαιτείται</t>
  </si>
  <si>
    <t>Requerido</t>
  </si>
  <si>
    <t>Vaaditaan</t>
  </si>
  <si>
    <t>Requis</t>
  </si>
  <si>
    <t>अपेक्षित</t>
  </si>
  <si>
    <t>Kötelező</t>
  </si>
  <si>
    <t>Diperlukan</t>
  </si>
  <si>
    <t>Necessario</t>
  </si>
  <si>
    <t>נדרש</t>
  </si>
  <si>
    <t>必須</t>
  </si>
  <si>
    <t>필수</t>
  </si>
  <si>
    <t>Nodig</t>
  </si>
  <si>
    <t>Wymagane</t>
  </si>
  <si>
    <t>Necessário</t>
  </si>
  <si>
    <t>Necesar</t>
  </si>
  <si>
    <t>Обязательно</t>
  </si>
  <si>
    <t>Požadovaný</t>
  </si>
  <si>
    <t>Obvezno</t>
  </si>
  <si>
    <t>Zahtevano</t>
  </si>
  <si>
    <t>Obligatoriskt</t>
  </si>
  <si>
    <t>จำเป็นต้องมี</t>
  </si>
  <si>
    <t>Zorunlu</t>
  </si>
  <si>
    <t>Bắt buộc</t>
  </si>
  <si>
    <t>需要</t>
  </si>
  <si>
    <t>&gt;需要</t>
  </si>
  <si>
    <t>tt_wkn</t>
  </si>
  <si>
    <t>WKN</t>
  </si>
  <si>
    <t>डब्ल्यूकेेएन</t>
  </si>
  <si>
    <t>verified_fingerprints</t>
  </si>
  <si>
    <t>Verified fingerprints</t>
  </si>
  <si>
    <t>البصمات المصادق عليها</t>
  </si>
  <si>
    <t>Потвърдени отпечатъци</t>
  </si>
  <si>
    <t>Empremtes digitals verificades</t>
  </si>
  <si>
    <t>Überprüfte Fingerabdrücke</t>
  </si>
  <si>
    <t>Huellas digitales verificadas</t>
  </si>
  <si>
    <t>Empreintes vérifiées</t>
  </si>
  <si>
    <t>Pegadas dixitais verificadas</t>
  </si>
  <si>
    <t>Ellenőrzött ujjlenyomatok</t>
  </si>
  <si>
    <t>Impronte verificate</t>
  </si>
  <si>
    <t>フィンガープリントを検証しました</t>
  </si>
  <si>
    <t>인증된 핑거프린트</t>
  </si>
  <si>
    <t>Geverifieerde vingerafdrukken</t>
  </si>
  <si>
    <t>Zaufane odciski</t>
  </si>
  <si>
    <t>Подтверждённые отпечатки</t>
  </si>
  <si>
    <t>Оверени отисци</t>
  </si>
  <si>
    <t>Verifierade fingeravtryck</t>
  </si>
  <si>
    <t>Перевірений відбиток</t>
  </si>
  <si>
    <t>驗證過的指紋</t>
  </si>
  <si>
    <t>tt_add_indicator</t>
  </si>
  <si>
    <t>Add Indicator</t>
  </si>
  <si>
    <t>إضافة مؤشر</t>
  </si>
  <si>
    <t>Добави индикатор</t>
  </si>
  <si>
    <t>Přidat indikátor</t>
  </si>
  <si>
    <t>Tilføj indikator</t>
  </si>
  <si>
    <t>Indikator hinzufügen</t>
  </si>
  <si>
    <t>Προσθήκη δείκτη</t>
  </si>
  <si>
    <t>Añadir Indicador</t>
  </si>
  <si>
    <t>Lisää indikaattori</t>
  </si>
  <si>
    <t>Ajouter un indicateur</t>
  </si>
  <si>
    <t>संकेतक जोड़ें</t>
  </si>
  <si>
    <t>Indikátor hozzáadása</t>
  </si>
  <si>
    <t>Tambahkan Indikator</t>
  </si>
  <si>
    <t>Aggiungi Indicatore</t>
  </si>
  <si>
    <t>הוסף אינדיקטור</t>
  </si>
  <si>
    <t>指標追加</t>
  </si>
  <si>
    <t>지표 추가</t>
  </si>
  <si>
    <t>Tambah Penunjuk</t>
  </si>
  <si>
    <t>Voeg indicator toe</t>
  </si>
  <si>
    <t>Legg til indikator</t>
  </si>
  <si>
    <t>Dodaj wskaźnik</t>
  </si>
  <si>
    <t>Adicionar Indicador</t>
  </si>
  <si>
    <t>Adăugă Indicatorul</t>
  </si>
  <si>
    <t>Установить индикатор</t>
  </si>
  <si>
    <t>Pridať ukazovateľ</t>
  </si>
  <si>
    <t>Dodaj kazalnik</t>
  </si>
  <si>
    <t>Dodaj indikator</t>
  </si>
  <si>
    <t>Lägg till indikator</t>
  </si>
  <si>
    <t>เพิ่มตัวชี้วัด</t>
  </si>
  <si>
    <t>Gösterge ekle</t>
  </si>
  <si>
    <t>Thêm chỉ số</t>
  </si>
  <si>
    <t>加入指示</t>
  </si>
  <si>
    <t>&gt;加入指示</t>
  </si>
  <si>
    <t>pref_notification_settings</t>
  </si>
  <si>
    <t>Notification</t>
  </si>
  <si>
    <t>إشعار</t>
  </si>
  <si>
    <t>Известие</t>
  </si>
  <si>
    <t>Notificació</t>
  </si>
  <si>
    <t>Benachrichtigung</t>
  </si>
  <si>
    <t>Notificación</t>
  </si>
  <si>
    <t>Értesítés</t>
  </si>
  <si>
    <t>Notif</t>
  </si>
  <si>
    <t>Melding</t>
  </si>
  <si>
    <t>Powiadomienie</t>
  </si>
  <si>
    <t>Notificação</t>
  </si>
  <si>
    <t>Уведомление</t>
  </si>
  <si>
    <t>Обавештење</t>
  </si>
  <si>
    <t>Notifiering</t>
  </si>
  <si>
    <t>Сповіщення</t>
  </si>
  <si>
    <t>login_email_changed</t>
  </si>
  <si>
    <t>E-mail changed.</t>
  </si>
  <si>
    <t>تم تغيير البريد الالكتروني</t>
  </si>
  <si>
    <t>Електронната поща е променена.</t>
  </si>
  <si>
    <t>E-mail byl změněn.</t>
  </si>
  <si>
    <t>E-mail ændret.</t>
  </si>
  <si>
    <t>Το email άλλαξε.</t>
  </si>
  <si>
    <t>El e-mail ha sido modificado.</t>
  </si>
  <si>
    <t>Sähköposti muutettu.</t>
  </si>
  <si>
    <t>Courriel modifié.</t>
  </si>
  <si>
    <t>ई-मेल बदल दिया गया है।</t>
  </si>
  <si>
    <t>E-mail módosítva.</t>
  </si>
  <si>
    <t>E-mail berubah.</t>
  </si>
  <si>
    <t>L\'email è stata modificata.</t>
  </si>
  <si>
    <t>הדואר האלקטרוני השתנה.</t>
  </si>
  <si>
    <t>メールアドレスが変更されました。</t>
  </si>
  <si>
    <t>이메일 주소 변경 됨.</t>
  </si>
  <si>
    <t>E-mel ditukar.</t>
  </si>
  <si>
    <t>E-mailadres gewijzigd.</t>
  </si>
  <si>
    <t>E-post endret.</t>
  </si>
  <si>
    <t>Adres e-mail został zmieniony.</t>
  </si>
  <si>
    <t>E-mail alterado.</t>
  </si>
  <si>
    <t>E-mailul a fost schimbat.</t>
  </si>
  <si>
    <t>Электронная почта изменена.</t>
  </si>
  <si>
    <t>E-mail bol zmenený.</t>
  </si>
  <si>
    <t>E-pošta je spremenjena.</t>
  </si>
  <si>
    <t>E-post ändrad.</t>
  </si>
  <si>
    <t>เปลี่ยนอีเมลแล้ว</t>
  </si>
  <si>
    <t>E-posta değiştirildi.</t>
  </si>
  <si>
    <t>Email đã thay đổi.</t>
  </si>
  <si>
    <t>电子邮箱已更改。</t>
  </si>
  <si>
    <t>djibouti</t>
  </si>
  <si>
    <t>Djibouti</t>
  </si>
  <si>
    <t>Dschibuti</t>
  </si>
  <si>
    <t>Yibuti</t>
  </si>
  <si>
    <t>Джибути</t>
  </si>
  <si>
    <t>Džibuti</t>
  </si>
  <si>
    <t>tt_period_small_intraday60</t>
  </si>
  <si>
    <t>60 min.</t>
  </si>
  <si>
    <t>60 мин.</t>
  </si>
  <si>
    <t>60 λεπτά.</t>
  </si>
  <si>
    <t>60 min</t>
  </si>
  <si>
    <t>60 minutos</t>
  </si>
  <si>
    <t>60 dk.</t>
  </si>
  <si>
    <t>tt_no_mail_clients</t>
  </si>
  <si>
    <t>There are no email clients installed.</t>
  </si>
  <si>
    <t>لا يوجد بريد إلكتروني مثبت للعملاء.</t>
  </si>
  <si>
    <t>Няма инсталирани имейл клиенти.</t>
  </si>
  <si>
    <t>Není nainstalován žádný e-mailový klient.</t>
  </si>
  <si>
    <t>Der er ingen e-mail-klienter installeret.</t>
  </si>
  <si>
    <t>Es ist kein E-Mail Client verfügbar.</t>
  </si>
  <si>
    <t>Δεν υπάρχουν εγκατεστημένοι πελάτες email.</t>
  </si>
  <si>
    <t>No se encuentran e-mails de clientes.</t>
  </si>
  <si>
    <t>Sähköpostiohjelmia ei ole asennettu.</t>
  </si>
  <si>
    <t>Aucun email associé n\'a été trouvé</t>
  </si>
  <si>
    <t>कोई ईमेल क्लाइंट इंस्टॉल नहीं हैं।</t>
  </si>
  <si>
    <t>Nincs email kliens telepítve .</t>
  </si>
  <si>
    <t>Tidak ada email pelanggan yang terpasang.</t>
  </si>
  <si>
    <t>Non c\'è email apps installato</t>
  </si>
  <si>
    <t>לא מותקן דוא"ל לקוחות.</t>
  </si>
  <si>
    <t>メールクライアントが見つかりません</t>
  </si>
  <si>
    <t>설치된 이메일 클라이언트가 없습니다.</t>
  </si>
  <si>
    <t>Tiada e-mel pelanggan yang dipasang.</t>
  </si>
  <si>
    <t>Er zijn geen e-mailaccounts geïnstalleerd.</t>
  </si>
  <si>
    <t>Det er ingen e-postklienter installert.</t>
  </si>
  <si>
    <t>Brak klientów pocztowych zainstalowanych.</t>
  </si>
  <si>
    <t>Não há clientes de e-mail instalados</t>
  </si>
  <si>
    <t>Nu există clienți de e-mail instalați.</t>
  </si>
  <si>
    <t>Не установленно почтовых клиентов.</t>
  </si>
  <si>
    <t>Nie sú nainštalovaní žiadni e-mailoví klienti.</t>
  </si>
  <si>
    <t>E-poštnih odjemalcev ni nameščenih.</t>
  </si>
  <si>
    <t>Nema e-mail klijenta</t>
  </si>
  <si>
    <t>Det finns inga e-postklienter installerade.</t>
  </si>
  <si>
    <t>ไม่มีการติดตั้งอีเมลลูกค้าที่นี่</t>
  </si>
  <si>
    <t>Yüklü e-posta istemcisi yok.</t>
  </si>
  <si>
    <t>Không có ứng dụng email nào được cài đặt.</t>
  </si>
  <si>
    <t>没有安装客户电子邮件</t>
  </si>
  <si>
    <t>&gt;沒有安裝客戶電子郵件</t>
  </si>
  <si>
    <t>username_hint</t>
  </si>
  <si>
    <t>Nome de usuaria</t>
  </si>
  <si>
    <t>to</t>
  </si>
  <si>
    <t>To:</t>
  </si>
  <si>
    <t>An:</t>
  </si>
  <si>
    <t>A:</t>
  </si>
  <si>
    <t>À:</t>
  </si>
  <si>
    <t>Címzett:</t>
  </si>
  <si>
    <t>Кому:</t>
  </si>
  <si>
    <t>Prima:</t>
  </si>
  <si>
    <t>pref_ui_options</t>
  </si>
  <si>
    <t>UI</t>
  </si>
  <si>
    <t>واجهة المستخدم</t>
  </si>
  <si>
    <t>Потр. интерфейс</t>
  </si>
  <si>
    <t>Benutzeroberfläche</t>
  </si>
  <si>
    <t>Pantalla</t>
  </si>
  <si>
    <t>Interface</t>
  </si>
  <si>
    <t>Kezelőfelület</t>
  </si>
  <si>
    <t>Interfaccia utente</t>
  </si>
  <si>
    <t>Gebruikersomgeving</t>
  </si>
  <si>
    <t>Interface do Utilizador</t>
  </si>
  <si>
    <t>Интерфейс</t>
  </si>
  <si>
    <t>Сучеље</t>
  </si>
  <si>
    <t>Gränssnitt</t>
  </si>
  <si>
    <t>Інтерфейс користувача</t>
  </si>
  <si>
    <t>disable_notifications</t>
  </si>
  <si>
    <t>Disable notifications</t>
  </si>
  <si>
    <t>ايقاف التنبيهات</t>
  </si>
  <si>
    <t>Изключване на известията</t>
  </si>
  <si>
    <t>Inhabilita les notificacions</t>
  </si>
  <si>
    <t>Benachrichtigungen deaktivieren</t>
  </si>
  <si>
    <t>Deshabilitar notificaciones</t>
  </si>
  <si>
    <t>Désactiver les notifications</t>
  </si>
  <si>
    <t>Desactivar notificacións</t>
  </si>
  <si>
    <t>Értesítések letiltása</t>
  </si>
  <si>
    <t>Nonaktifkan notifikasi</t>
  </si>
  <si>
    <t>Disattiva le notifiche</t>
  </si>
  <si>
    <t>通知を無効にする</t>
  </si>
  <si>
    <t>알림 해제</t>
  </si>
  <si>
    <t>Meldingen uitschakelen</t>
  </si>
  <si>
    <t>Wyłącz powiadomienia</t>
  </si>
  <si>
    <t>Desativar notificações</t>
  </si>
  <si>
    <t>Отключить уведомления</t>
  </si>
  <si>
    <t>Vypnúť upozornenia</t>
  </si>
  <si>
    <t>Искључи обавештења</t>
  </si>
  <si>
    <t>Inaktivera notifieringar</t>
  </si>
  <si>
    <t>Відключити сповіщення</t>
  </si>
  <si>
    <t>Tắt thông báo</t>
  </si>
  <si>
    <t>economic_calendar_popup_text</t>
  </si>
  <si>
    <t>Check out our new feature: Economic Calendar!</t>
  </si>
  <si>
    <t>تحقق من الميزة الجديدة: التقويم الاقتصادي!</t>
  </si>
  <si>
    <t>Вижте нашата нова функция: Икономически календар!</t>
  </si>
  <si>
    <t>Podívejte se na naši novou funkci: Ekonomický kalendář!</t>
  </si>
  <si>
    <t>Se vores nye funktion: Økonomisk kalender!</t>
  </si>
  <si>
    <t>Probieren Sie unser neues Feature aus: Wirtschaftskalender!</t>
  </si>
  <si>
    <t>Δείτε τη νέα μας δυνατότητα: Οικονομικό ημερολόγιο!</t>
  </si>
  <si>
    <t>¡Consulte nuestra nueva función: Calendario Económico!</t>
  </si>
  <si>
    <t>Katso uusi ominaisuus: Talouskalenteri!</t>
  </si>
  <si>
    <t>Découvrez notre nouvelle fonctionnalité: Calendrier économique !</t>
  </si>
  <si>
    <t>हमारी नई विशेषता को देखें: आर्थिक कैलेंडर!</t>
  </si>
  <si>
    <t>Tekintse meg új funkciónkat! Gazdasági Naptár</t>
  </si>
  <si>
    <t>Lihatlah fitur-fitur baru kami: Kalendar Ekonomi!</t>
  </si>
  <si>
    <t>Controlla nostra nuova funzionalità: Calendario Economico</t>
  </si>
  <si>
    <t>בדוק את התכונה החדשה שלנו: לוח שנה כלכלי!</t>
  </si>
  <si>
    <t>新機能をチェック：エコノミックカレンダー!</t>
  </si>
  <si>
    <t>새 기능:\n경제 캘린더를 만나보세요!</t>
  </si>
  <si>
    <t>Lihatlah ciri baru kami: Kalendar Ekonomi!</t>
  </si>
  <si>
    <t>Bekijk onze nieuwe functionaliteit: economische kalender!</t>
  </si>
  <si>
    <t>Sjekk ut vår nye funksjon: økonomisk kalender!</t>
  </si>
  <si>
    <t>Sprawdź naszą nową funkcję: Kalendarz Ekonomiczny!</t>
  </si>
  <si>
    <t>Confira o novo recurso: Calendário Económico!</t>
  </si>
  <si>
    <t>Verifică noua noastră funcțiune: Calendar Economic!</t>
  </si>
  <si>
    <t>Взгляните на нашу новую функцию – Экономический календарь!</t>
  </si>
  <si>
    <t>Vyskúšajte našu novú funkciu: Ekonomický kalendár!</t>
  </si>
  <si>
    <t>Oglejte si našo novo funkcijo: ekonomski koledar!</t>
  </si>
  <si>
    <t>Pogledajte novi Economski Kalendar!</t>
  </si>
  <si>
    <t>Kolla in vår nya funktion: Ekonomisk kalender!</t>
  </si>
  <si>
    <t>ดูคุณสมบัติใหม่: ปฏิทินเศรษฐกิจ!</t>
  </si>
  <si>
    <t>Yeni özelliğimize göz atın: Ekonomik Takvim!</t>
  </si>
  <si>
    <t>Hãy kiểm tra tính năng mới của chúng tôi: Lịch kinh tế!</t>
  </si>
  <si>
    <t>看看我们新的功能：财经日历！</t>
  </si>
  <si>
    <t>virgin_islands_british</t>
  </si>
  <si>
    <t>Virgin Islands, British</t>
  </si>
  <si>
    <t>Britische Jungfern-Inseln</t>
  </si>
  <si>
    <t>Islas Vírgenes Británicas</t>
  </si>
  <si>
    <t>Îles Vierges Britanniques</t>
  </si>
  <si>
    <t>Британские Виргинские острова</t>
  </si>
  <si>
    <t>Devičanska ostrva, Britanska</t>
  </si>
  <si>
    <t>croatia</t>
  </si>
  <si>
    <t>Croatia</t>
  </si>
  <si>
    <t>Kroatien</t>
  </si>
  <si>
    <t>Croacia</t>
  </si>
  <si>
    <t>Croatie</t>
  </si>
  <si>
    <t>Хорватия</t>
  </si>
  <si>
    <t>Hrvatska</t>
  </si>
  <si>
    <t>tt_parity</t>
  </si>
  <si>
    <t>Parity</t>
  </si>
  <si>
    <t>تكافؤ</t>
  </si>
  <si>
    <t>Паритет</t>
  </si>
  <si>
    <t>Parita</t>
  </si>
  <si>
    <t>Paritet</t>
  </si>
  <si>
    <t>Parität</t>
  </si>
  <si>
    <t>Ισοτιμία</t>
  </si>
  <si>
    <t>Paridad</t>
  </si>
  <si>
    <t>Pariteetti</t>
  </si>
  <si>
    <t>Parité</t>
  </si>
  <si>
    <t>समानता</t>
  </si>
  <si>
    <t>Paritás</t>
  </si>
  <si>
    <t>Paritas</t>
  </si>
  <si>
    <t>Parità</t>
  </si>
  <si>
    <t>שוויון</t>
  </si>
  <si>
    <t>パリティ</t>
  </si>
  <si>
    <t>패리티</t>
  </si>
  <si>
    <t>Pariti</t>
  </si>
  <si>
    <t>Pariteit</t>
  </si>
  <si>
    <t>Parytet</t>
  </si>
  <si>
    <t>Paridade</t>
  </si>
  <si>
    <t>Paritate</t>
  </si>
  <si>
    <t>Pariteta</t>
  </si>
  <si>
    <t>เท่ากัน</t>
  </si>
  <si>
    <t>Eşitlik</t>
  </si>
  <si>
    <t>Ngang giá</t>
  </si>
  <si>
    <t>平价</t>
  </si>
  <si>
    <t>monaco</t>
  </si>
  <si>
    <t>Monaco</t>
  </si>
  <si>
    <t>Mónaco</t>
  </si>
  <si>
    <t>Монако</t>
  </si>
  <si>
    <t>Monako</t>
  </si>
  <si>
    <t>kyrgyzstan</t>
  </si>
  <si>
    <t>Kyrgyzstan</t>
  </si>
  <si>
    <t>Kirgisistan</t>
  </si>
  <si>
    <t>Kirguistán</t>
  </si>
  <si>
    <t>Kirghizistan</t>
  </si>
  <si>
    <t>Киргизия</t>
  </si>
  <si>
    <t>Kirgistan</t>
  </si>
  <si>
    <t>zambia</t>
  </si>
  <si>
    <t>Zambia</t>
  </si>
  <si>
    <t>Sambia</t>
  </si>
  <si>
    <t>Zambie</t>
  </si>
  <si>
    <t>Замбия</t>
  </si>
  <si>
    <t>Zambija</t>
  </si>
  <si>
    <t>tt_share_holders</t>
  </si>
  <si>
    <t>Shareholders</t>
  </si>
  <si>
    <t>المساهمون</t>
  </si>
  <si>
    <t>Акционери</t>
  </si>
  <si>
    <t>Akcionáři</t>
  </si>
  <si>
    <t>Aktionærer</t>
  </si>
  <si>
    <t>Anteilseigner</t>
  </si>
  <si>
    <t>Μέτοχοι</t>
  </si>
  <si>
    <t>Accionistas</t>
  </si>
  <si>
    <t>Osakkeenomistajat</t>
  </si>
  <si>
    <t>Actionnaires</t>
  </si>
  <si>
    <t>शेयरधारक</t>
  </si>
  <si>
    <t>Részvénytulajdonosok</t>
  </si>
  <si>
    <t>Pemegang Saham</t>
  </si>
  <si>
    <t>Azionisti</t>
  </si>
  <si>
    <t>בעלי מניות</t>
  </si>
  <si>
    <t>株主</t>
  </si>
  <si>
    <t>주주</t>
  </si>
  <si>
    <t>aandeelhouders</t>
  </si>
  <si>
    <t>Aksjonærer</t>
  </si>
  <si>
    <t>Akcjonariusze</t>
  </si>
  <si>
    <t>Acionistas</t>
  </si>
  <si>
    <t>Acționari</t>
  </si>
  <si>
    <t>Акционеры</t>
  </si>
  <si>
    <t>Akcionári</t>
  </si>
  <si>
    <t>Delničarji</t>
  </si>
  <si>
    <t>Akcionari</t>
  </si>
  <si>
    <t>Aktieägare</t>
  </si>
  <si>
    <t>ผู้ถือหุ้น</t>
  </si>
  <si>
    <t>Hissedarlar</t>
  </si>
  <si>
    <t>Cổ đông</t>
  </si>
  <si>
    <t>股东</t>
  </si>
  <si>
    <t>tech_page_name</t>
  </si>
  <si>
    <t>Tech News</t>
  </si>
  <si>
    <t>أخبار التكنولوجيا</t>
  </si>
  <si>
    <t>Технически новини</t>
  </si>
  <si>
    <t>Tekniske nyheder</t>
  </si>
  <si>
    <t>Ειδήσεις τεχνολογίας</t>
  </si>
  <si>
    <t>Ver la descripción completa</t>
  </si>
  <si>
    <t>Tekniset uutiset</t>
  </si>
  <si>
    <t>प्रौद्योगिकी समाचार</t>
  </si>
  <si>
    <t>Berita Teknologi</t>
  </si>
  <si>
    <t>Notizie Tech</t>
  </si>
  <si>
    <t>חדשות טכנולוגיה</t>
  </si>
  <si>
    <t>テクノロジーニュース</t>
  </si>
  <si>
    <t>기술 뉴스</t>
  </si>
  <si>
    <t>Tech nieuws</t>
  </si>
  <si>
    <t>Tekniske nyheter</t>
  </si>
  <si>
    <t>Notícias de tech</t>
  </si>
  <si>
    <t>Știri Tehnice</t>
  </si>
  <si>
    <t>Technologické správy</t>
  </si>
  <si>
    <t>Tekniknyheter</t>
  </si>
  <si>
    <t>ข่าวเทคโนโลยี</t>
  </si>
  <si>
    <t>Teknoloji Haberleri</t>
  </si>
  <si>
    <t>Tin tức công nghệ</t>
  </si>
  <si>
    <t>技术新闻</t>
  </si>
  <si>
    <t>view_full_description</t>
  </si>
  <si>
    <t>View full description</t>
  </si>
  <si>
    <t>Zobrazit úplný popis</t>
  </si>
  <si>
    <t>Se den fulde beskrivelse</t>
  </si>
  <si>
    <t>Vollständige Beschreibung anzeigen</t>
  </si>
  <si>
    <t>Katso koko kuvaus</t>
  </si>
  <si>
    <t>Voir la description complète</t>
  </si>
  <si>
    <t>Teljes leírás megtekintése</t>
  </si>
  <si>
    <t>Tampilkan deskripsi sepenuhnya</t>
  </si>
  <si>
    <t>Visualizza la descrizione</t>
  </si>
  <si>
    <t>すべての説明を見る</t>
  </si>
  <si>
    <t>Lihat huraian penuh</t>
  </si>
  <si>
    <t>Volledige beschrijving lezen</t>
  </si>
  <si>
    <t>Vis full beskrivelse</t>
  </si>
  <si>
    <t>Zobacz pełny opis</t>
  </si>
  <si>
    <t>Ver descrição completa</t>
  </si>
  <si>
    <t>Se hela beskrivningen</t>
  </si>
  <si>
    <t>Tam açıklamayı görüntüle</t>
  </si>
  <si>
    <t>查看完整描述</t>
  </si>
  <si>
    <t>tt_change_perc_</t>
  </si>
  <si>
    <t>Change (%)</t>
  </si>
  <si>
    <t>تغيير (%)</t>
  </si>
  <si>
    <t>Промяна (%)</t>
  </si>
  <si>
    <t>Změna (%)</t>
  </si>
  <si>
    <t>Bytte (%)</t>
  </si>
  <si>
    <t>Differenz (%)</t>
  </si>
  <si>
    <t>Αλλαγή (%)</t>
  </si>
  <si>
    <t>Cambio (%)</t>
  </si>
  <si>
    <t>Muutos (%)</t>
  </si>
  <si>
    <t>Variation%</t>
  </si>
  <si>
    <t>परिवर्तन (%)</t>
  </si>
  <si>
    <t>Változás (%)</t>
  </si>
  <si>
    <t>Ubah (%)</t>
  </si>
  <si>
    <t>Cambiamento (%)</t>
  </si>
  <si>
    <t>שינוי (%)</t>
  </si>
  <si>
    <t>변동(%)</t>
  </si>
  <si>
    <t>Tukar (%)</t>
  </si>
  <si>
    <t>Aanpassen (%)</t>
  </si>
  <si>
    <t>Endring (%)</t>
  </si>
  <si>
    <t>Zmiana (%)</t>
  </si>
  <si>
    <t>Mudar (\%)</t>
  </si>
  <si>
    <t>Schimb (%)</t>
  </si>
  <si>
    <t>Изменения в %</t>
  </si>
  <si>
    <t>Zmena (%)</t>
  </si>
  <si>
    <t>Sprememba (%)</t>
  </si>
  <si>
    <t>Förändring (%)</t>
  </si>
  <si>
    <t>เปลี่ยนแปลง (%)</t>
  </si>
  <si>
    <t>Değişiklik (%)</t>
  </si>
  <si>
    <t>Thay đổi (%)</t>
  </si>
  <si>
    <t>tt_edit_portfolio</t>
  </si>
  <si>
    <t>Edit Virt. Portfolio</t>
  </si>
  <si>
    <t>تحرير المحفظة الافتراضية</t>
  </si>
  <si>
    <t>Редактиране на Virt. Портфолио</t>
  </si>
  <si>
    <t>Upravit Virt. Portfolio</t>
  </si>
  <si>
    <t>Rediger Virt. Portefølje</t>
  </si>
  <si>
    <t>Musterdepot bearbeiten</t>
  </si>
  <si>
    <t>Επεξεργασία εικον. Χαρτοφυλακίου</t>
  </si>
  <si>
    <t>Editar cartera virt.</t>
  </si>
  <si>
    <t>Muokkaa virt. Salkku</t>
  </si>
  <si>
    <t>Editer le portefeuille virtuel</t>
  </si>
  <si>
    <t>Virtuális portfólió szerkesztése</t>
  </si>
  <si>
    <t>Modifica Portafoglio Virtuale</t>
  </si>
  <si>
    <t>ערוך Virt. תיק השקעות</t>
  </si>
  <si>
    <t>ポートフォリオを編集</t>
  </si>
  <si>
    <t>Wijzig virtuele portefeuille</t>
  </si>
  <si>
    <t>Rediger virt. Portefølje</t>
  </si>
  <si>
    <t>Edytuj wirt. portfel</t>
  </si>
  <si>
    <t>Editar carteira virtual</t>
  </si>
  <si>
    <t>Editează Virt. Portofoliu</t>
  </si>
  <si>
    <t>Редактировать виртуальный портфель</t>
  </si>
  <si>
    <t>Upraviť virt. Portfólio</t>
  </si>
  <si>
    <t>Uredi Virt. Portfelj</t>
  </si>
  <si>
    <t>Uredi Virt. Portfolio</t>
  </si>
  <si>
    <t>Redigera Virt. Portfölj</t>
  </si>
  <si>
    <t>Sanal Portfolyoyu Düzenle</t>
  </si>
  <si>
    <t>Chỉnh sửa DM ảo Đầu tư ảo</t>
  </si>
  <si>
    <t>tt_calloption</t>
  </si>
  <si>
    <t>Επιλογή Call</t>
  </si>
  <si>
    <t>Opzione Call</t>
  </si>
  <si>
    <t>אפשרות שיחה</t>
  </si>
  <si>
    <t>Arama Seçeneği</t>
  </si>
  <si>
    <t>sorry_to_hear_that</t>
  </si>
  <si>
    <t>Sorry to hear that</t>
  </si>
  <si>
    <t>نأسف لسماع ذلك</t>
  </si>
  <si>
    <t>Съжаляваме да научим това</t>
  </si>
  <si>
    <t>To nerad slyším</t>
  </si>
  <si>
    <t>Det er jeg ked af at høre</t>
  </si>
  <si>
    <t>Tut uns leid, das zu hören.</t>
  </si>
  <si>
    <t>Λυπούμαστε για αυτό</t>
  </si>
  <si>
    <t>Lamento mucho oír eso</t>
  </si>
  <si>
    <t>Ikävä kuulla</t>
  </si>
  <si>
    <t>Désolés de l\'apprendre</t>
  </si>
  <si>
    <t>जानकार दुःख हुआ, क्षमा करें</t>
  </si>
  <si>
    <t>Sajnálattal halljuk, hogy</t>
  </si>
  <si>
    <t>Saya sedih mendengar itu</t>
  </si>
  <si>
    <t>Siamo spiacenti di sentirlo</t>
  </si>
  <si>
    <t>מצטערים לשמוע זאת</t>
  </si>
  <si>
    <t>残念ですね</t>
  </si>
  <si>
    <t>안타깝습니다</t>
  </si>
  <si>
    <t>Saya bersimpati mendengarnya</t>
  </si>
  <si>
    <t>Dat spijt ons te horen.</t>
  </si>
  <si>
    <t>Beklager å høre det</t>
  </si>
  <si>
    <t>nam to słyszeć</t>
  </si>
  <si>
    <t>Lamentamos saber disso</t>
  </si>
  <si>
    <t>Ne pare rău să auzim asta</t>
  </si>
  <si>
    <t>Жаль это слышать</t>
  </si>
  <si>
    <t>Je nám ľúto, čo sa stalo</t>
  </si>
  <si>
    <t>Žal mi je da to slišim</t>
  </si>
  <si>
    <t>Žao nam je da čujemo to</t>
  </si>
  <si>
    <t>Vi beklagar</t>
  </si>
  <si>
    <t>เสียใจที่เป็นแบบนั้น</t>
  </si>
  <si>
    <t>Üzgünüz</t>
  </si>
  <si>
    <t>Chúng tôi rất lấy làm tiếc</t>
  </si>
  <si>
    <t>我们对这个消息很伤心</t>
  </si>
  <si>
    <t>tt_edgar_operating_result</t>
  </si>
  <si>
    <t>Operating Result</t>
  </si>
  <si>
    <t>النتيجة التشغيلية</t>
  </si>
  <si>
    <t>Резултат от работата</t>
  </si>
  <si>
    <t>Provozní výsledek</t>
  </si>
  <si>
    <t>Driftsresultat</t>
  </si>
  <si>
    <t>Betriebsergebnis</t>
  </si>
  <si>
    <t>Λειτουργικό Αποτέλεσμα</t>
  </si>
  <si>
    <t>Resultado operativo</t>
  </si>
  <si>
    <t>Liiketoiminnan tulos</t>
  </si>
  <si>
    <t>Résultat opérationnel</t>
  </si>
  <si>
    <t>परिचालन परिणाम</t>
  </si>
  <si>
    <t>Keputusan Operasi</t>
  </si>
  <si>
    <t>Risultato Operativo</t>
  </si>
  <si>
    <t>תוצאת פעולה</t>
  </si>
  <si>
    <t>運用業績</t>
  </si>
  <si>
    <t>영업 실적</t>
  </si>
  <si>
    <t>Operationeel resultaat</t>
  </si>
  <si>
    <t>Zysk operacyjny</t>
  </si>
  <si>
    <t>Resultado operacional</t>
  </si>
  <si>
    <t>Rezultat Operațional</t>
  </si>
  <si>
    <t>Результат операционной деятельности</t>
  </si>
  <si>
    <t>Prevádzkový výsledok</t>
  </si>
  <si>
    <t>Rezultat delovanja</t>
  </si>
  <si>
    <t>Operativni rezultat</t>
  </si>
  <si>
    <t>Rörelseresultat</t>
  </si>
  <si>
    <t>ผลการดำเนินงาน</t>
  </si>
  <si>
    <t>Faaliyet sonucu</t>
  </si>
  <si>
    <t>Kết quả hoạt động kinh doanh</t>
  </si>
  <si>
    <t>经营成果</t>
  </si>
  <si>
    <t>button_allow</t>
  </si>
  <si>
    <t>Zulassen</t>
  </si>
  <si>
    <t>Permettre</t>
  </si>
  <si>
    <t>Dozvoli</t>
  </si>
  <si>
    <t>action_secure</t>
  </si>
  <si>
    <t>Secure conversation</t>
  </si>
  <si>
    <t>تشفير المحادثة</t>
  </si>
  <si>
    <t>Защитен разговор</t>
  </si>
  <si>
    <t>Conversa segura</t>
  </si>
  <si>
    <t>Verschlüsselte Unterhaltung</t>
  </si>
  <si>
    <t>Conversación segura</t>
  </si>
  <si>
    <t>Conversation sécurisée</t>
  </si>
  <si>
    <t>Biztonságos beszélgetés</t>
  </si>
  <si>
    <t>Amankan Percakapan</t>
  </si>
  <si>
    <t>Conversazione sicura</t>
  </si>
  <si>
    <t>安全に会話</t>
  </si>
  <si>
    <t>안전한 대화</t>
  </si>
  <si>
    <t>Beveiligd gesprek</t>
  </si>
  <si>
    <t>Konwersacja szyfrowana</t>
  </si>
  <si>
    <t>Защищённая беседа</t>
  </si>
  <si>
    <t>Zabezpečená konverzácia</t>
  </si>
  <si>
    <t>Безбедна преписка</t>
  </si>
  <si>
    <t>Säker konversation</t>
  </si>
  <si>
    <t>Захищена розмова</t>
  </si>
  <si>
    <t>Bảo mật hội thoại</t>
  </si>
  <si>
    <t>安全對話</t>
  </si>
  <si>
    <t>action_end_conversation</t>
  </si>
  <si>
    <t>Close this conversation</t>
  </si>
  <si>
    <t>Затваряне на този разговор</t>
  </si>
  <si>
    <t>Tancar aquesta conversa</t>
  </si>
  <si>
    <t>Diese Unterhaltung beenden</t>
  </si>
  <si>
    <t>Cerrar esta conversación</t>
  </si>
  <si>
    <t>Pechar esta conversa</t>
  </si>
  <si>
    <t>Chiudi questa conversazione</t>
  </si>
  <si>
    <t>Dit gesprek sluiten</t>
  </si>
  <si>
    <t>Zamknij konwersację</t>
  </si>
  <si>
    <t>tt_fundprofile_currency_positions</t>
  </si>
  <si>
    <t>Devizanemek</t>
  </si>
  <si>
    <t>last_seen_hours</t>
  </si>
  <si>
    <t>last seen %d hours ago</t>
  </si>
  <si>
    <t>آخر ظهور منذ %d ساعة</t>
  </si>
  <si>
    <t>последно видян преди %d часа</t>
  </si>
  <si>
    <t>darrera connexió: fa %d hores</t>
  </si>
  <si>
    <t>vor %d Stunden gesehen</t>
  </si>
  <si>
    <t>Visto última vez hace %d horas</t>
  </si>
  <si>
    <t>en ligne il y a %d heures</t>
  </si>
  <si>
    <t>visto hai 1%d horas</t>
  </si>
  <si>
    <t>%d órája volt aktív</t>
  </si>
  <si>
    <t>terlihat %d jam lalu</t>
  </si>
  <si>
    <t>visto %d ore fa</t>
  </si>
  <si>
    <t>%d 時間前に会いました</t>
  </si>
  <si>
    <t>%d 시간 전까지 접속했었음</t>
  </si>
  <si>
    <t>%d uur geleden voor het laatst gezien</t>
  </si>
  <si>
    <t>widziany %d godzin(y) temu</t>
  </si>
  <si>
    <t>visto %d horas atrás</t>
  </si>
  <si>
    <t>Присутствие: %d час. назад</t>
  </si>
  <si>
    <t>naposledy prihlásený pred %d hodinami</t>
  </si>
  <si>
    <t>виђен/а пре %d сати</t>
  </si>
  <si>
    <t>senast sedd %d timmar sedan</t>
  </si>
  <si>
    <t>востаннє бачили %d годин тому</t>
  </si>
  <si>
    <t>thấy lần cuối %d tiếng trước</t>
  </si>
  <si>
    <t>%d 小時前查看過</t>
  </si>
  <si>
    <t>tt_editnotification</t>
  </si>
  <si>
    <t>Edit alert</t>
  </si>
  <si>
    <t>تحرير التنبيه</t>
  </si>
  <si>
    <t>Редактирай известие</t>
  </si>
  <si>
    <t>Rediger alarm</t>
  </si>
  <si>
    <t>Limit bearbeiten</t>
  </si>
  <si>
    <t>Επεξεργασία ειδοποίησης</t>
  </si>
  <si>
    <t>Editar alerta</t>
  </si>
  <si>
    <t>Muokkaa hälytystä</t>
  </si>
  <si>
    <t>Editer alerte</t>
  </si>
  <si>
    <t>Riasztás szerkesztése</t>
  </si>
  <si>
    <t>Edit informasi</t>
  </si>
  <si>
    <t>Modifica avviso</t>
  </si>
  <si>
    <t>ערוך התראה</t>
  </si>
  <si>
    <t>Pas notificatie aan</t>
  </si>
  <si>
    <t>Rediger varsel</t>
  </si>
  <si>
    <t>Edycja limitu</t>
  </si>
  <si>
    <t>Editează alerta</t>
  </si>
  <si>
    <t>Редактировать предельную стоимость</t>
  </si>
  <si>
    <t>Upraviť upozornenie</t>
  </si>
  <si>
    <t>Urejanje opozorila</t>
  </si>
  <si>
    <t>Dodaj alarm</t>
  </si>
  <si>
    <t>Redigera varning</t>
  </si>
  <si>
    <t>change_password</t>
  </si>
  <si>
    <t>Change password</t>
  </si>
  <si>
    <t>Cambiar contrasenya</t>
  </si>
  <si>
    <t>Changer de mot de passe</t>
  </si>
  <si>
    <t>Cambiar contrasinal</t>
  </si>
  <si>
    <t>Ubah password</t>
  </si>
  <si>
    <t>パスワードの変更</t>
  </si>
  <si>
    <t>암호 변경</t>
  </si>
  <si>
    <t>Wachtwoord wijzigen</t>
  </si>
  <si>
    <t>Alterar palavra-passe</t>
  </si>
  <si>
    <t>Промени лозинку</t>
  </si>
  <si>
    <t>Byt lösenord</t>
  </si>
  <si>
    <t>Змінити пароль</t>
  </si>
  <si>
    <t>修改密碼</t>
  </si>
  <si>
    <t>tt_portfolio_bookgainslosses</t>
  </si>
  <si>
    <t>Book gains/losses</t>
  </si>
  <si>
    <t>الأرباح/الخسائر الدفترية</t>
  </si>
  <si>
    <t>Нереализирани печалби/загуби</t>
  </si>
  <si>
    <t>Zaknihovat zisky/ztráty</t>
  </si>
  <si>
    <t>Bogførte gevinster/tab</t>
  </si>
  <si>
    <t>Buchgewinne / Verluste</t>
  </si>
  <si>
    <t>Ganancias/pérdidas contabilizadas</t>
  </si>
  <si>
    <t>Kirjaa voitot/tappiot</t>
  </si>
  <si>
    <t>Profit/perte comptable</t>
  </si>
  <si>
    <t>बुक लाभ/हानि</t>
  </si>
  <si>
    <t>Elkönyvelt nyereségek/veszteségek</t>
  </si>
  <si>
    <t>Keuntungan/kerugian buku</t>
  </si>
  <si>
    <t>Libro guadagni/perdite</t>
  </si>
  <si>
    <t>רווחים/הפסדים בהון עצמי</t>
  </si>
  <si>
    <t>予定損益</t>
  </si>
  <si>
    <t>순이익/순손실</t>
  </si>
  <si>
    <t>Boekwinst/verlies</t>
  </si>
  <si>
    <t>Bokførte gevinster/tap</t>
  </si>
  <si>
    <t>Rezerwuj zyski / straty</t>
  </si>
  <si>
    <t>Contabilizar lucros/ perdas realizadas</t>
  </si>
  <si>
    <t>Câștiguri/pierderi Contabile</t>
  </si>
  <si>
    <t>Баланс Прибыли/Убытка</t>
  </si>
  <si>
    <t>Účtovné zisky/straty</t>
  </si>
  <si>
    <t>Knjižni dobički/izgube</t>
  </si>
  <si>
    <t>Knjigovodstveni dobitak / gubitak</t>
  </si>
  <si>
    <t>Bokvinster/förluster</t>
  </si>
  <si>
    <t>มูลค่ากำไร/ขาดทุนทางบัญชี</t>
  </si>
  <si>
    <t>Defter karları/zararları</t>
  </si>
  <si>
    <t>Sổ ghi lãi/lỗ</t>
  </si>
  <si>
    <t>帐面收益/亏损</t>
  </si>
  <si>
    <t>&gt;帳面收益/虧損</t>
  </si>
  <si>
    <t>tajikistan</t>
  </si>
  <si>
    <t>Tajikistan</t>
  </si>
  <si>
    <t>Tadschikistan</t>
  </si>
  <si>
    <t>Tajikistán</t>
  </si>
  <si>
    <t>Tadjikistan</t>
  </si>
  <si>
    <t>Таджикистан</t>
  </si>
  <si>
    <t>Tadžikistan</t>
  </si>
  <si>
    <t>tt_add_to_portfolio</t>
  </si>
  <si>
    <t>Add to portfolio</t>
  </si>
  <si>
    <t>إضافة إلى المحفظة</t>
  </si>
  <si>
    <t>Добави към портфолиото</t>
  </si>
  <si>
    <t>Přidat do portfolia</t>
  </si>
  <si>
    <t>Føj til porteføljen</t>
  </si>
  <si>
    <t>Zum Musterdepot hinzufügen</t>
  </si>
  <si>
    <t>Προσθήκη στο χαρτοφυλάκιο</t>
  </si>
  <si>
    <t>Añadir a cartera</t>
  </si>
  <si>
    <t>Lisää salkkuun</t>
  </si>
  <si>
    <t>Ajouter au portefeuille</t>
  </si>
  <si>
    <t>पोर्टफोलियो में जोड़ें</t>
  </si>
  <si>
    <t>Hozzáadás a portfólióhoz</t>
  </si>
  <si>
    <t>Tambah ke portfolio</t>
  </si>
  <si>
    <t>Aggiungi al portafoglio</t>
  </si>
  <si>
    <t>הוסף לתיק השקעות</t>
  </si>
  <si>
    <t>ポートフォリオに追加</t>
  </si>
  <si>
    <t>포트폴리오에 추가</t>
  </si>
  <si>
    <t>Tambah kepada portfolio</t>
  </si>
  <si>
    <t>Voeg toe aan portfeuille</t>
  </si>
  <si>
    <t>Legg til portefølje</t>
  </si>
  <si>
    <t>Dodaj do portfela</t>
  </si>
  <si>
    <t>Adicionar a carteira</t>
  </si>
  <si>
    <t>Adăugă la portofoliu</t>
  </si>
  <si>
    <t>Добавить в портфель</t>
  </si>
  <si>
    <t>Pridať do portfólia</t>
  </si>
  <si>
    <t>Dodaj v portfelj</t>
  </si>
  <si>
    <t>Dodaj u portfolio</t>
  </si>
  <si>
    <t>Lägg till i portföljen</t>
  </si>
  <si>
    <t>เพิ่มในพอร์ต</t>
  </si>
  <si>
    <t>Portföye ekle</t>
  </si>
  <si>
    <t>Thêm vào danh mục đầu tư</t>
  </si>
  <si>
    <t>加入投资组合</t>
  </si>
  <si>
    <t>&gt;加入投資組合</t>
  </si>
  <si>
    <t>tt_daterange_small_1week</t>
  </si>
  <si>
    <t>1W</t>
  </si>
  <si>
    <t>1S</t>
  </si>
  <si>
    <t>1सप्ताह</t>
  </si>
  <si>
    <t>1h</t>
  </si>
  <si>
    <t>1 semana</t>
  </si>
  <si>
    <t>1Н</t>
  </si>
  <si>
    <t>send_private_message_to</t>
  </si>
  <si>
    <t>Send private message to %s</t>
  </si>
  <si>
    <t>ارسال رسالة خاصة الى %s</t>
  </si>
  <si>
    <t>Изпращане на лично съобщение до %s</t>
  </si>
  <si>
    <t>Envia un missatge privat a %s</t>
  </si>
  <si>
    <t>Private Nachricht an %s senden…</t>
  </si>
  <si>
    <t>Enviar mensaje privado a %s</t>
  </si>
  <si>
    <t>Envoyer un message privé à %s</t>
  </si>
  <si>
    <t>Enviar mensaxe privada a %s</t>
  </si>
  <si>
    <t>Privát üzenet küldése %s részére</t>
  </si>
  <si>
    <t>Kirim pesan pribadi ke %s</t>
  </si>
  <si>
    <t>Invia messaggio privato a %s</t>
  </si>
  <si>
    <t>プライベートメッセージを %s に送信</t>
  </si>
  <si>
    <t>%s 에게 개인 매세지 보내기</t>
  </si>
  <si>
    <t>Privébericht sturen naar %s</t>
  </si>
  <si>
    <t>Wyślij prywatną wiadomość do %s</t>
  </si>
  <si>
    <t>Enviar mensagem privada para %s</t>
  </si>
  <si>
    <t>Приватное сообщение %s</t>
  </si>
  <si>
    <t>Odoslať súkromnú správu %s</t>
  </si>
  <si>
    <t>Пошаљи личну поруку за %s</t>
  </si>
  <si>
    <t>Skicka privat meddelande till %s</t>
  </si>
  <si>
    <t>Надіслати приватне повідомлення %s</t>
  </si>
  <si>
    <t>Gửi tin nhắn riêng tư đến %s</t>
  </si>
  <si>
    <t>送私密訊息給 %s</t>
  </si>
  <si>
    <t>tt_wahrung</t>
  </si>
  <si>
    <t>requesting_sms</t>
  </si>
  <si>
    <t>Requesting SMS…</t>
  </si>
  <si>
    <t>Изискване на мобилно съобщение…</t>
  </si>
  <si>
    <t>SMS anfordern...</t>
  </si>
  <si>
    <t>Solicitando mensaje SMS...</t>
  </si>
  <si>
    <t>Solicitando SMS...</t>
  </si>
  <si>
    <t>SMS kérése...</t>
  </si>
  <si>
    <t>Richiesta SMS…</t>
  </si>
  <si>
    <t>SMSを要求しています…</t>
  </si>
  <si>
    <t>Bezig met aanvragen van sms...</t>
  </si>
  <si>
    <t>Prośba o SMS...</t>
  </si>
  <si>
    <t>use_own_provider</t>
  </si>
  <si>
    <t>Next to baha chat</t>
  </si>
  <si>
    <t>إستخدم مزودي الخاص</t>
  </si>
  <si>
    <t>Използване на собствен сървър</t>
  </si>
  <si>
    <t>Utilitza el meu propi proveïdor</t>
  </si>
  <si>
    <t>Nutze eigenen Provider</t>
  </si>
  <si>
    <t>Usar otro proveedor de mi elección</t>
  </si>
  <si>
    <t>Utiliser votre propre fournisseur</t>
  </si>
  <si>
    <t>Utilizar o meu propio proveedor</t>
  </si>
  <si>
    <t>Saját szolgáltató használata</t>
  </si>
  <si>
    <t>Usa un altro provider</t>
  </si>
  <si>
    <t>独自のプロバイダーを使用する</t>
  </si>
  <si>
    <t>다른 서버 이용</t>
  </si>
  <si>
    <t>Gebruik mijn eigen provider</t>
  </si>
  <si>
    <t>Użyj innego serwera</t>
  </si>
  <si>
    <t>Использовать свой провайдер</t>
  </si>
  <si>
    <t>Користићу сопствени провајдер</t>
  </si>
  <si>
    <t>Använd min egen leverantör</t>
  </si>
  <si>
    <t>Baha Chat\'ın yanında</t>
  </si>
  <si>
    <t>Використати мого власного провайдера</t>
  </si>
  <si>
    <t>使用我自己的服務端</t>
  </si>
  <si>
    <t>share_contact</t>
  </si>
  <si>
    <t>pref_automatically_delete_messages_description</t>
  </si>
  <si>
    <t>Automatically delete messages from this device that are older than the configured time frame.</t>
  </si>
  <si>
    <t>Автоматично изтриване на съобщенията от това устройство, които са по-стари от зададеното време.</t>
  </si>
  <si>
    <t>Suprimiu automàticament missatges d\'aquest dispositiu que són més grans que el marc de temps configurat.</t>
  </si>
  <si>
    <t>Lösche Nachrichten automatisch, wenn diese älter als die eingestellte Zeit sind.</t>
  </si>
  <si>
    <t>Automáticamente borrar mensajes del dispositivo más antiguos que el configurado en el marco de tiempo.</t>
  </si>
  <si>
    <t>Efface automatiquement de cet appareil les messages plus anciens que l\'intervalle choisi.</t>
  </si>
  <si>
    <t>Borrar mensaxes de xeito automático de este dispositivo que anteriores ao marco temporal configurado.</t>
  </si>
  <si>
    <t>Automatikusan törli az üzeneteket az eszközön, amennyiben régebbiek, mint a beállított időkeret.</t>
  </si>
  <si>
    <t>Elimina automaticamente da questo dispositivo i messaggi più vecchi del lasso di tempo configurato.</t>
  </si>
  <si>
    <t>設定された期間よりも古いメッセージを、このデバイスから自動的に削除します。</t>
  </si>
  <si>
    <t>설정된 기간보다 오래된 메시지를 장치에서 자동으로 삭제합니다.</t>
  </si>
  <si>
    <t>Verwijder automatisch berichten van dit apparaat ouder dan de ingestelde tijdsperiode.</t>
  </si>
  <si>
    <t>Automatycznie usuwaj z tego urządzenia wiadomości starsze niż skonfigurowany okres czasu.</t>
  </si>
  <si>
    <t>Автоматически удалять сообщения с этого устройства по прошествии заданного времени.</t>
  </si>
  <si>
    <t>Аутоматско брисање порука са овог уређаја које су старије од постављеног времена.</t>
  </si>
  <si>
    <t>Ta automatiskt bort meddelanden från denna enhet som är äldre än den konfigurerade tidsramen.</t>
  </si>
  <si>
    <t>Автоматично видаляти повідомлення з цього пристрою, старіші за вказаний часовий проміжок.</t>
  </si>
  <si>
    <t>自動從這個設備刪除比設定的時間區間還舊的訊息。</t>
  </si>
  <si>
    <t>laos</t>
  </si>
  <si>
    <t>Laos (Lao PDR)</t>
  </si>
  <si>
    <t>Laos</t>
  </si>
  <si>
    <t>Laos (RDP lao)</t>
  </si>
  <si>
    <t>Лаос</t>
  </si>
  <si>
    <t>tt_mail_info_feature_market_request_body</t>
  </si>
  <si>
    <t>share_chat_image</t>
  </si>
  <si>
    <t>Share image</t>
  </si>
  <si>
    <t>Bild teilen</t>
  </si>
  <si>
    <t>Compartir imagen</t>
  </si>
  <si>
    <t>Partager l\'image</t>
  </si>
  <si>
    <t>Kép megosztása</t>
  </si>
  <si>
    <t>Condividi l\'immagine</t>
  </si>
  <si>
    <t>Поделиться изображением</t>
  </si>
  <si>
    <t>Šeruj sliku</t>
  </si>
  <si>
    <t>tt_professional</t>
  </si>
  <si>
    <t>baha Workspace</t>
  </si>
  <si>
    <t>مساحة عمل TeleTrader</t>
  </si>
  <si>
    <t>TeleTrader работно пространство</t>
  </si>
  <si>
    <t>Pracovní prostor TeleTrader</t>
  </si>
  <si>
    <t>TeleTrader-arbejdsområde</t>
  </si>
  <si>
    <t>Χώρος εργασίας TeleTrader</t>
  </si>
  <si>
    <t>Professional</t>
  </si>
  <si>
    <t>TeleTrader-työtila</t>
  </si>
  <si>
    <t>TeleTrader Workspace</t>
  </si>
  <si>
    <t>टेलीट्रेडर कार्यक्षेत्र</t>
  </si>
  <si>
    <t>Ruangan Kerja TeleTrader</t>
  </si>
  <si>
    <t>סביבת העבודה של TeleTrader</t>
  </si>
  <si>
    <t>ワークスペース</t>
  </si>
  <si>
    <t>TeleTrader 작업 공간</t>
  </si>
  <si>
    <t>Teletrader Workspace</t>
  </si>
  <si>
    <t>Profesjonalny</t>
  </si>
  <si>
    <t>Espaço de trabalho TeleTrader</t>
  </si>
  <si>
    <t>Spațiu de lucru TeleTrader</t>
  </si>
  <si>
    <t>Pracovný priestor TeleTrader</t>
  </si>
  <si>
    <t>TeleTrader delovni prostor</t>
  </si>
  <si>
    <t>TeleTrader Çalışma Alanı</t>
  </si>
  <si>
    <t>Không gian làm việc của TeleTrader</t>
  </si>
  <si>
    <t>Teletrader工作页面</t>
  </si>
  <si>
    <t>&gt;Teletrader工作頁面</t>
  </si>
  <si>
    <t>dialog_title_join_conference</t>
  </si>
  <si>
    <t>Join Group Chat</t>
  </si>
  <si>
    <t>الإنضمام إلى مجموعة محادثة</t>
  </si>
  <si>
    <t>Присъединяване в групов разговор</t>
  </si>
  <si>
    <t>Uniu-vos al xat en grup</t>
  </si>
  <si>
    <t>Gruppenchat beitreten</t>
  </si>
  <si>
    <t>Unirse a Conversación en Grupo</t>
  </si>
  <si>
    <t>Rejoindre la conversation de Groupe</t>
  </si>
  <si>
    <t>Entrar nunha Conversa en grupo</t>
  </si>
  <si>
    <t>Konferenciához Csatlakozás</t>
  </si>
  <si>
    <t>Unisciti alla chat di gruppo</t>
  </si>
  <si>
    <t>談話室に参加</t>
  </si>
  <si>
    <t>Deelnemen aan groepsgesprek</t>
  </si>
  <si>
    <t>Dołącz do konferencji</t>
  </si>
  <si>
    <t>Присоединиться к конференции</t>
  </si>
  <si>
    <t>Придружи се групном ћаскању</t>
  </si>
  <si>
    <t>minutes_ago</t>
  </si>
  <si>
    <t>%d mins ago</t>
  </si>
  <si>
    <t>دقائق %d منذ</t>
  </si>
  <si>
    <t>преди %d минути</t>
  </si>
  <si>
    <t>fa %d mins</t>
  </si>
  <si>
    <t>vor %d Minuten</t>
  </si>
  <si>
    <t>hace %d min</t>
  </si>
  <si>
    <t>Il y a %d minutes</t>
  </si>
  <si>
    <t>%d perce</t>
  </si>
  <si>
    <t>%d min lalu</t>
  </si>
  <si>
    <t>%d min fa</t>
  </si>
  <si>
    <t>%d 分前</t>
  </si>
  <si>
    <t>%d 분 전</t>
  </si>
  <si>
    <t>%d min. geleden</t>
  </si>
  <si>
    <t>%d minut temu</t>
  </si>
  <si>
    <t>%d minutos atrás</t>
  </si>
  <si>
    <t>%d мин. назад</t>
  </si>
  <si>
    <t>pred %d minútami</t>
  </si>
  <si>
    <t>пре %d минута</t>
  </si>
  <si>
    <t>%d min sedan</t>
  </si>
  <si>
    <t>%d min\'ler önce</t>
  </si>
  <si>
    <t>%d хвилин тому</t>
  </si>
  <si>
    <t>%d phút trước</t>
  </si>
  <si>
    <t>%d分鐘前</t>
  </si>
  <si>
    <t>this_field_is_required</t>
  </si>
  <si>
    <t>This field is required</t>
  </si>
  <si>
    <t>هذه الخانة مطلوبة</t>
  </si>
  <si>
    <t>Това поле е задължително</t>
  </si>
  <si>
    <t>Aquest camp és obligatori</t>
  </si>
  <si>
    <t>Dieses Feld ist erforderlich</t>
  </si>
  <si>
    <t>Este campo es requerido</t>
  </si>
  <si>
    <t>Ce champ est requis</t>
  </si>
  <si>
    <t>Este campo é requerido</t>
  </si>
  <si>
    <t>Ez a mező kötelező</t>
  </si>
  <si>
    <t>Bagian ini wajib diisi</t>
  </si>
  <si>
    <t>Questo campo è obbligatorio</t>
  </si>
  <si>
    <t>このフィールドは必須です</t>
  </si>
  <si>
    <t>반드시 작성해야 합니다</t>
  </si>
  <si>
    <t>Dit veld is vereist</t>
  </si>
  <si>
    <t>To pole jest wymagane</t>
  </si>
  <si>
    <t>Este campo é obrigatório</t>
  </si>
  <si>
    <t>Незаполненное поле</t>
  </si>
  <si>
    <t>Ово поље је захтевано</t>
  </si>
  <si>
    <t>Detta fält måste fyllas i</t>
  </si>
  <si>
    <t>Це поле вимагається</t>
  </si>
  <si>
    <t>必填</t>
  </si>
  <si>
    <t>germany</t>
  </si>
  <si>
    <t>Germany</t>
  </si>
  <si>
    <t>Deutschland</t>
  </si>
  <si>
    <t>Alemania</t>
  </si>
  <si>
    <t>Allemagne</t>
  </si>
  <si>
    <t>Германия</t>
  </si>
  <si>
    <t>Nemačka</t>
  </si>
  <si>
    <t>wallpaper_description</t>
  </si>
  <si>
    <t>Stock Ticker</t>
  </si>
  <si>
    <t>Тикер на акции</t>
  </si>
  <si>
    <t>Akciový ticker</t>
  </si>
  <si>
    <t>Aktie Ticker</t>
  </si>
  <si>
    <t>Ticker μετοχής</t>
  </si>
  <si>
    <t>Ticker de acción</t>
  </si>
  <si>
    <t>Osaketikkeri</t>
  </si>
  <si>
    <t>le symbole boursier</t>
  </si>
  <si>
    <t>स्टॉक टिकर</t>
  </si>
  <si>
    <t>Részvény Ticker</t>
  </si>
  <si>
    <t>Penjelasan Saham</t>
  </si>
  <si>
    <t>L\'andamento della Borsa</t>
  </si>
  <si>
    <t>טיקר מניות</t>
  </si>
  <si>
    <t>ストックティッカー</t>
  </si>
  <si>
    <t>Paparan Saham</t>
  </si>
  <si>
    <t>Aksjeticker</t>
  </si>
  <si>
    <t>Stock ticker</t>
  </si>
  <si>
    <t>Telegraf Valori Mobiliare</t>
  </si>
  <si>
    <t>Тикер акции</t>
  </si>
  <si>
    <t>Akcie tickera</t>
  </si>
  <si>
    <t>Aktieticker</t>
  </si>
  <si>
    <t>Ticker หุ้น</t>
  </si>
  <si>
    <t>Borsa Takip Ekranı</t>
  </si>
  <si>
    <t>Ticker Chứng khoán</t>
  </si>
  <si>
    <t>股票自动收报机纸条</t>
  </si>
  <si>
    <t>already_drafting_message</t>
  </si>
  <si>
    <t>You are already drafting a message.</t>
  </si>
  <si>
    <t>Вече пишете чернова на съобщение.</t>
  </si>
  <si>
    <t>Du bist bereits dabei, eine Nachricht zu verfassen.</t>
  </si>
  <si>
    <t>Ya estás redactando un mensaje.</t>
  </si>
  <si>
    <t>Vous avez déjà un brouillon de message.</t>
  </si>
  <si>
    <t>Xa está a escribir un borrador.</t>
  </si>
  <si>
    <t>Már írja az üzenet vázlatát.</t>
  </si>
  <si>
    <t>Hai già un messaggio in bozze.</t>
  </si>
  <si>
    <t>Je bent al een bericht aan het opstellen.</t>
  </si>
  <si>
    <t>Już tworzysz nową wiadomość.</t>
  </si>
  <si>
    <t>feedback_spread_word</t>
  </si>
  <si>
    <t>Spread the word</t>
  </si>
  <si>
    <t>Разкажете на всички</t>
  </si>
  <si>
    <t>Šiřte slovo</t>
  </si>
  <si>
    <t>Spred ordet</t>
  </si>
  <si>
    <t>Διέδωσέ το</t>
  </si>
  <si>
    <t>Correr la voz</t>
  </si>
  <si>
    <t>Levitä sanaa</t>
  </si>
  <si>
    <t>Passer le mot</t>
  </si>
  <si>
    <t>प्रचार-प्रसार करें</t>
  </si>
  <si>
    <t>Adja tovább</t>
  </si>
  <si>
    <t>Sebarkan beritanya</t>
  </si>
  <si>
    <t>הפץ את השמועה</t>
  </si>
  <si>
    <t>評判を広める</t>
  </si>
  <si>
    <t>Sebarkan kata</t>
  </si>
  <si>
    <t>Zegt het voort</t>
  </si>
  <si>
    <t>Spre ordet</t>
  </si>
  <si>
    <t>Podziel się informacją</t>
  </si>
  <si>
    <t>Divulgue</t>
  </si>
  <si>
    <t>Раскажите о нас</t>
  </si>
  <si>
    <t>Šíriť informácie</t>
  </si>
  <si>
    <t>Razširi besedo</t>
  </si>
  <si>
    <t>Sprid ordet</t>
  </si>
  <si>
    <t>Giới thiệu</t>
  </si>
  <si>
    <t>传播消息</t>
  </si>
  <si>
    <t>ใช้ดีช่วยบอกเพื่อน</t>
  </si>
  <si>
    <t>tt_done</t>
  </si>
  <si>
    <t>Finalizado</t>
  </si>
  <si>
    <t>decryption_failed</t>
  </si>
  <si>
    <t>Decryption failed. Maybe you don’t have the proper private key.</t>
  </si>
  <si>
    <t>فشل فك التشفير. ربما ليس لديك المفتاح الخاص الصحيح.</t>
  </si>
  <si>
    <t>Неуспешно дешифроване. Възможно е да нямате правилния частен ключ.</t>
  </si>
  <si>
    <t>El desxiframent ha fallat. Potser no teniu la clau privada apropiada.</t>
  </si>
  <si>
    <t>Entschlüsselung fehlgeschlagen. Vielleicht hast du nicht den richtigen privaten Schlüssel.</t>
  </si>
  <si>
    <t>Falló el descifrado. Tal vez no tengas la clave privada apropiada.</t>
  </si>
  <si>
    <t>Echec du déchiffrement. Avez-vous la bonne clef privée ?</t>
  </si>
  <si>
    <t>Fallou o descifrado. Quizábeis non teñas a clave privada apropiada.</t>
  </si>
  <si>
    <t>Dekódolás nem sikerült. Lehet, hogy nincs megfelelő személyes kulcsod?</t>
  </si>
  <si>
    <t>Dekripsi gagal. Mungkin Anda tidak memiliki kunci pribadi yang tepat.</t>
  </si>
  <si>
    <t>Decifrazione fallita. Forse non disponi della chiave privata corretta.</t>
  </si>
  <si>
    <t>復号化に失敗しました。おそらく秘密鍵が正しくないようです。</t>
  </si>
  <si>
    <t>복호화 실패. 올바른 개인 키를 가지고 있지 않은 것 같습니다.</t>
  </si>
  <si>
    <t>Ontsleutelen mislukt. Misschien heb je niet de juiste private sleutel.</t>
  </si>
  <si>
    <t>Nie można odszyfrować. Sprawdź poprawność klucza prywatnego.</t>
  </si>
  <si>
    <t>A decifragem falhou. Talvez não tenha a chave privada correta.</t>
  </si>
  <si>
    <t>Расшифровка не удалась. Вероятно, что у вас нет надлежащего ключа.</t>
  </si>
  <si>
    <t>Zašifrovanie zlyhalo. Možno nemáte správny privátny kľúč.</t>
  </si>
  <si>
    <t>Шифровање није успело. Можда немате одговарајући лични кључ.</t>
  </si>
  <si>
    <t>Avkryptering misslyckades. Du har kanske kanske inte rätt privat nyckel.</t>
  </si>
  <si>
    <t>Не вдалося розшифрувати. Можливо, що у Вас немає потрібного приватного ключа.</t>
  </si>
  <si>
    <t>Giải mã thất bại. Có lẽ bạn không có đúng khoá cá nhân.</t>
  </si>
  <si>
    <t>解密失敗，可能是私密金鑰不正確。</t>
  </si>
  <si>
    <t>show_ticker_second_line</t>
  </si>
  <si>
    <t>Show second Ticker line</t>
  </si>
  <si>
    <t>عرض خط شريط التداول الثاني</t>
  </si>
  <si>
    <t>Покажи втора Тикер крива</t>
  </si>
  <si>
    <t>Zobrazit druhý řádek tickeru</t>
  </si>
  <si>
    <t>Vis anden Ticker-linje</t>
  </si>
  <si>
    <t>Zweite Tickerzeile anzeigen</t>
  </si>
  <si>
    <t>Εμφάνιση δεύτερης γραμμής Ticker</t>
  </si>
  <si>
    <t>Mostrar segunda línea del Ticker</t>
  </si>
  <si>
    <t>Näytä toinen tikkeririvi</t>
  </si>
  <si>
    <t>montrer deuxième ligne de symbole boursier</t>
  </si>
  <si>
    <t>दूसरी टिकर लाइन को प्रदर्शित करें</t>
  </si>
  <si>
    <t>mutasd a második Ticker sort</t>
  </si>
  <si>
    <t>Tampilkan garis tie kedua</t>
  </si>
  <si>
    <t>Mostra La seconda riga dei dati scorrevoli</t>
  </si>
  <si>
    <t>הצג קו טיקר שני</t>
  </si>
  <si>
    <t>2番目のティッカーラインを表示する</t>
  </si>
  <si>
    <t>두 번째 티커 줄 표시</t>
  </si>
  <si>
    <t>Tunjukkan barisan Pengira kedua</t>
  </si>
  <si>
    <t>Toon de tweede Ticker-regel</t>
  </si>
  <si>
    <t>Vis andre ticker-linje</t>
  </si>
  <si>
    <t>Pokaż drugi wiersz tickera</t>
  </si>
  <si>
    <t>Mostrar segunda linha de Ticker</t>
  </si>
  <si>
    <t>Afișează a doua linie Telegraf</t>
  </si>
  <si>
    <t>Показать вторую строку тикера</t>
  </si>
  <si>
    <t>Zobraziť druhý riadok tickera</t>
  </si>
  <si>
    <t>Prikaži drugo vrstico Ticker</t>
  </si>
  <si>
    <t>Prikaži drugu Tiker liniju</t>
  </si>
  <si>
    <t>Visa andra Ticker-rad</t>
  </si>
  <si>
    <t>แสดงชื่อย่อหลักทรัพย์แถวที่สอง</t>
  </si>
  <si>
    <t>İkinci Takip Ekranı hattını göster</t>
  </si>
  <si>
    <t>Hiển thị dòng Ticker thứ hai</t>
  </si>
  <si>
    <t>显示第二个第二个自动收报机纸条行</t>
  </si>
  <si>
    <t>preparing_file</t>
  </si>
  <si>
    <t>Preparing file for transmission</t>
  </si>
  <si>
    <t>إعداد ارسال الملفات</t>
  </si>
  <si>
    <t>Подготовка на файла за прехвърляне</t>
  </si>
  <si>
    <t>Preparant arxiu per la transmissió</t>
  </si>
  <si>
    <t>Datei wird für die Übertragung vorbereitet</t>
  </si>
  <si>
    <t>Preparando transferencia de archivo</t>
  </si>
  <si>
    <t>Préparation du fichier pour l\'envoi</t>
  </si>
  <si>
    <t>Preparando o ficheiro para a transmisión</t>
  </si>
  <si>
    <t>Fájl előkészítése az átvitelhez.</t>
  </si>
  <si>
    <t>Menyiapkan berkas untuk transmisi</t>
  </si>
  <si>
    <t>Preparazione alla trasmissione del file</t>
  </si>
  <si>
    <t>転送用ファイルの準備中</t>
  </si>
  <si>
    <t>파일 전송 준비중</t>
  </si>
  <si>
    <t>Bestand gereedmaken voor verzending</t>
  </si>
  <si>
    <t>Przygotowywanie pliku do wysłania</t>
  </si>
  <si>
    <t>Preparando o ficheiro para a transmissão</t>
  </si>
  <si>
    <t>Файл готовится для передачи</t>
  </si>
  <si>
    <t>Pripravujem súbor na prenos</t>
  </si>
  <si>
    <t>Припремам фајл за пренос</t>
  </si>
  <si>
    <t>Förbereder fil för överföring</t>
  </si>
  <si>
    <t>Підготовка файлу до передачі</t>
  </si>
  <si>
    <t>Đang chuẩn bị tập tin để chuyển</t>
  </si>
  <si>
    <t>準備傳送檔案</t>
  </si>
  <si>
    <t>your_account</t>
  </si>
  <si>
    <t>Your account</t>
  </si>
  <si>
    <t>حسابك</t>
  </si>
  <si>
    <t>El vostre compte</t>
  </si>
  <si>
    <t>Dein Konto</t>
  </si>
  <si>
    <t>Tu cuenta</t>
  </si>
  <si>
    <t>Votre compte</t>
  </si>
  <si>
    <t>A túa conta</t>
  </si>
  <si>
    <t>Fiókod</t>
  </si>
  <si>
    <t>Akun anda</t>
  </si>
  <si>
    <t>Il tuo account</t>
  </si>
  <si>
    <t>あなたのアカウント</t>
  </si>
  <si>
    <t>당신의 계정</t>
  </si>
  <si>
    <t>Je account</t>
  </si>
  <si>
    <t>Twoje konto</t>
  </si>
  <si>
    <t>A sua conta</t>
  </si>
  <si>
    <t>Ваш аккаунт</t>
  </si>
  <si>
    <t>Váš účet</t>
  </si>
  <si>
    <t>Ваш налог</t>
  </si>
  <si>
    <t>Ditt konto</t>
  </si>
  <si>
    <t>Ваш обліковий запис</t>
  </si>
  <si>
    <t>Tài khoản của bạn</t>
  </si>
  <si>
    <t>你的帳號</t>
  </si>
  <si>
    <t>account_status_bind_failure</t>
  </si>
  <si>
    <t>Bind failure</t>
  </si>
  <si>
    <t>Грешка при свързване</t>
  </si>
  <si>
    <t>Vincular el error</t>
  </si>
  <si>
    <t>Verbindungsfehler</t>
  </si>
  <si>
    <t>Fallo de enlace</t>
  </si>
  <si>
    <t>La liaison a échoué</t>
  </si>
  <si>
    <t>Fallou a ligazón</t>
  </si>
  <si>
    <t>Bind hiba</t>
  </si>
  <si>
    <t>Bind fallito</t>
  </si>
  <si>
    <t>バインド失敗</t>
  </si>
  <si>
    <t>바인드 실패</t>
  </si>
  <si>
    <t>Bindingsfout</t>
  </si>
  <si>
    <t>Błąd połączenia (zasób)</t>
  </si>
  <si>
    <t>Ошибка связывания</t>
  </si>
  <si>
    <t>Неуспех свезивања</t>
  </si>
  <si>
    <t>Bind-fel</t>
  </si>
  <si>
    <t>Прив\'язка не спрацювала</t>
  </si>
  <si>
    <t>綁定失敗</t>
  </si>
  <si>
    <t>tt_edit_indicator</t>
  </si>
  <si>
    <t>Edit Indicator</t>
  </si>
  <si>
    <t>تحرير المؤشر</t>
  </si>
  <si>
    <t>Редактирай индикатор</t>
  </si>
  <si>
    <t>Upravit indikátor</t>
  </si>
  <si>
    <t>Rediger indikator</t>
  </si>
  <si>
    <t>Επεξεργασία δείκτη</t>
  </si>
  <si>
    <t>Editar Indicador</t>
  </si>
  <si>
    <t>Muokkaa indikaattoria</t>
  </si>
  <si>
    <t>Editer l\'indicateur</t>
  </si>
  <si>
    <t>संकेतक को एडिट करें</t>
  </si>
  <si>
    <t>Indikátor szerkesztése</t>
  </si>
  <si>
    <t>Edit Petunjuk</t>
  </si>
  <si>
    <t>Modifica Indicatore</t>
  </si>
  <si>
    <t>ערוך מחוון</t>
  </si>
  <si>
    <t>指標の編集</t>
  </si>
  <si>
    <t>지표 편집</t>
  </si>
  <si>
    <t>Sunting Petunjuk</t>
  </si>
  <si>
    <t>Pas Indicator aan</t>
  </si>
  <si>
    <t>Edycja wskaźnika</t>
  </si>
  <si>
    <t>Editar indicator</t>
  </si>
  <si>
    <t>Editează Indicator</t>
  </si>
  <si>
    <t>Редактировать индикатор</t>
  </si>
  <si>
    <t>Upraviť indikátor</t>
  </si>
  <si>
    <t>Uredi indikator</t>
  </si>
  <si>
    <t>Promenite indikator</t>
  </si>
  <si>
    <t>Redigera indikator</t>
  </si>
  <si>
    <t>แก้ไขตัวชี้วัด</t>
  </si>
  <si>
    <t>Göstergeyi Düzenle</t>
  </si>
  <si>
    <t>Chỉnh sửa chỉ báo</t>
  </si>
  <si>
    <t>编辑指标</t>
  </si>
  <si>
    <t>&gt;編輯指標</t>
  </si>
  <si>
    <t>ukraine</t>
  </si>
  <si>
    <t>Ukraine</t>
  </si>
  <si>
    <t>Ucrania</t>
  </si>
  <si>
    <t>Украина</t>
  </si>
  <si>
    <t>Ukraina</t>
  </si>
  <si>
    <t>tt_daterange_ytd</t>
  </si>
  <si>
    <t>aktuelles Jahr</t>
  </si>
  <si>
    <t>tt_stay_logged_in</t>
  </si>
  <si>
    <t>Stay logged in, until actively logged out</t>
  </si>
  <si>
    <t>ابق على تسجل الدخول، حتى يتم تسجيل الخروج بنجاح</t>
  </si>
  <si>
    <t>Останете вписани, докато не излезете</t>
  </si>
  <si>
    <t>Zůstat přihlášen, dokud se aktivně neodhlásíte</t>
  </si>
  <si>
    <t>Forbli logget ind, indtil du aktivt logger ud</t>
  </si>
  <si>
    <t>Eingeloggt bleiben.</t>
  </si>
  <si>
    <t>Μείνετε συνδεδεμένοι, έως ότου να αποσυνδεθείτε ενεργά</t>
  </si>
  <si>
    <t>Manténgase conectado hasta que se cierre la sesión</t>
  </si>
  <si>
    <t>Pysy kirjautuneena, kunnes kirjaudut aktiivisesti ulos</t>
  </si>
  <si>
    <t>Rester connecté</t>
  </si>
  <si>
    <t>जब तक सक्रिय रूप से लॉग आउट नहीं किया जाता है, तब तक लॉग इन रहें</t>
  </si>
  <si>
    <t>Maradjon bejelentkezve addig, amíg direkten ki nem jelentkezik.</t>
  </si>
  <si>
    <t>Tetap masuk, sehingga daftar keluar secara aktif</t>
  </si>
  <si>
    <t>Mantieni l\'accesso</t>
  </si>
  <si>
    <t>הישאר מחובר, עד שתתנתק באופן פעיל</t>
  </si>
  <si>
    <t>完全にログアウトされるまではログインのままでいてください</t>
  </si>
  <si>
    <t>직접 로그아웃할 때까지 로그인 유지</t>
  </si>
  <si>
    <t>Kekal daftar masuk, sehingga daftar keluar secara aktif</t>
  </si>
  <si>
    <t>Blijf ingelogd, totdat u actief outlogt</t>
  </si>
  <si>
    <t>Forbli innlogget, til aktivt logget ut</t>
  </si>
  <si>
    <t>Pozostań zalogowany</t>
  </si>
  <si>
    <t>Permanecer conectado, até que seja desconectado ativamente</t>
  </si>
  <si>
    <t>Rămâi conectat până când te-ai deconectat în mod activ</t>
  </si>
  <si>
    <t>Не выходите из приложения до полного завершения работы</t>
  </si>
  <si>
    <t>Zostaňte prihlásený, pokiaľ sa sami aktívne neodhlásite</t>
  </si>
  <si>
    <t>Ostanite prijavljeni, dokler se aktivno ne odjavite</t>
  </si>
  <si>
    <t>Ostani ulogovan</t>
  </si>
  <si>
    <t>Håll dig inloggad tills du loggar ut</t>
  </si>
  <si>
    <t>เข้าสู่ระบบต่อเนื่องจนกว่าจะออกจากระบบเอง</t>
  </si>
  <si>
    <t>Etkin bir şekilde çıkış yapılana kadar oturumu aç bırak</t>
  </si>
  <si>
    <t>Duy trì đăng nhập cho đến khi chủ động đăng xuất</t>
  </si>
  <si>
    <t>保持登录状态，直到登出</t>
  </si>
  <si>
    <t>&gt;保持登錄狀態，直到登出</t>
  </si>
  <si>
    <t>chat_unblock_display_seen_typing</t>
  </si>
  <si>
    <t>Unhide: Seen, Delivered, Typing...</t>
  </si>
  <si>
    <t>Status teilen: Gesehen, Erhalten, Schreibt...</t>
  </si>
  <si>
    <t>Unblock Seen, Delivered, Typing...</t>
  </si>
  <si>
    <t>Révéler: Vu, Envoyer, Écrire...</t>
  </si>
  <si>
    <t>Odblokiraj Viđena, Isporučena, Piše...</t>
  </si>
  <si>
    <t>tuvalu</t>
  </si>
  <si>
    <t>Tuvalu</t>
  </si>
  <si>
    <t>Тувалу</t>
  </si>
  <si>
    <t>not_encrypted_for_this_device</t>
  </si>
  <si>
    <t>Message was not encrypted for this device.</t>
  </si>
  <si>
    <t>Съобщението не е било шифровано за това устройство.</t>
  </si>
  <si>
    <t>El missatge no està xifrat per a aquest dispositiu.</t>
  </si>
  <si>
    <t>Die Nachricht wurde nicht für dieses Gerät verschlüsselt.</t>
  </si>
  <si>
    <t>El mensaje no fue cifrado para este dispositivo.</t>
  </si>
  <si>
    <t>OMEMO sera utilisé par défaut pour toute nouvelle conversation.</t>
  </si>
  <si>
    <t>A menxase non foi encriptada para este disposivivo</t>
  </si>
  <si>
    <t>Az üzenet nem volt titkosított erre az eszközre.</t>
  </si>
  <si>
    <t>Il messaggio non è stato criptato per questo dispositivo.</t>
  </si>
  <si>
    <t>このデバイス向けにメッセージは暗号化されませんでした。</t>
  </si>
  <si>
    <t>Bericht is niet versleuteld voor dit apparaat.</t>
  </si>
  <si>
    <t>Wiadomość nie była zaszyfrowana dla tego urządzenia.</t>
  </si>
  <si>
    <t>define_ticker_background_color</t>
  </si>
  <si>
    <t>Define Ticker background color</t>
  </si>
  <si>
    <t>تحديد لون خلفية شريط التداول</t>
  </si>
  <si>
    <t>Задай цвят на фона на Тикера</t>
  </si>
  <si>
    <t>Definovat barvu pozadí tickeru</t>
  </si>
  <si>
    <t>Definer Ticker-baggrundsfarve</t>
  </si>
  <si>
    <t>Hintergrundfarbe des Tickers festlegen</t>
  </si>
  <si>
    <t>Ορίστε το χρώμα φόντου Ticker</t>
  </si>
  <si>
    <t>Defina el color de fondo del Ticker</t>
  </si>
  <si>
    <t>Määritä tikkerin taustan väri</t>
  </si>
  <si>
    <t>Définir la couleur de fond pour le symbole</t>
  </si>
  <si>
    <t>टिकर बैकग्राउंड के रंग को निश्चित करें</t>
  </si>
  <si>
    <t>válasszon Ticker háttérszínt</t>
  </si>
  <si>
    <t>Tentukan warna latar belakang teller</t>
  </si>
  <si>
    <t>Definisci il colore dello sfondo dei dati scorrevoli</t>
  </si>
  <si>
    <t>הגדר צבע רקע של טיקר</t>
  </si>
  <si>
    <t>ティッカーの背景色を決定する</t>
  </si>
  <si>
    <t>티커 배경 색상 설정</t>
  </si>
  <si>
    <t>Tentukan warna latar belakang Pengira</t>
  </si>
  <si>
    <t>Definieer Ticker achtergrondkleur</t>
  </si>
  <si>
    <t>Definer ticker-bakgrunnsfarge</t>
  </si>
  <si>
    <t>Ustal kolor tła tickera</t>
  </si>
  <si>
    <t>Definir cor de fundo Ticker</t>
  </si>
  <si>
    <t>Definește culoarea de fundal a Telegrafului</t>
  </si>
  <si>
    <t>Настроить цвет фона тикера</t>
  </si>
  <si>
    <t>Zadajte farbu pozadia tickera</t>
  </si>
  <si>
    <t>Določite barvo ozadja Ticker.ja</t>
  </si>
  <si>
    <t>Boja pozadine Tikera</t>
  </si>
  <si>
    <t>Definiera bakgrundsfärg för Tickern</t>
  </si>
  <si>
    <t>ตั้งค่าสีพื้นหลังของ Ticker</t>
  </si>
  <si>
    <t>Takip Ekranının arka planının tanımlayın</t>
  </si>
  <si>
    <t>Xác định màu nền Ticker</t>
  </si>
  <si>
    <t>选择自动收报机纸条的背景色</t>
  </si>
  <si>
    <t>permission_contacts_rationale</t>
  </si>
  <si>
    <t>Contacts permissions are needed.</t>
  </si>
  <si>
    <t>Berechtigung für Kontakte wird benötigt.</t>
  </si>
  <si>
    <t>Permiso para acceder a los contactos es necesario.</t>
  </si>
  <si>
    <t>Les autorisations de contacts sont nécessaires.</t>
  </si>
  <si>
    <t>Partnerlista hozzáférés engedélyezése szükséges.</t>
  </si>
  <si>
    <t>Необходимо разрешение доступа к контактам.</t>
  </si>
  <si>
    <t>Pristup kontaktima je neophodan.</t>
  </si>
  <si>
    <t>tt_period_small_intraday30</t>
  </si>
  <si>
    <t>30 min.</t>
  </si>
  <si>
    <t>30 мин.</t>
  </si>
  <si>
    <t>30 λεπτά.</t>
  </si>
  <si>
    <t>30 min</t>
  </si>
  <si>
    <t>30 मिनट</t>
  </si>
  <si>
    <t>30 minutos</t>
  </si>
  <si>
    <t>30 dk.</t>
  </si>
  <si>
    <t>tt_portfolio_purchase_price</t>
  </si>
  <si>
    <t>Buy value</t>
  </si>
  <si>
    <t>قيمة الشراء</t>
  </si>
  <si>
    <t>Стойност купува</t>
  </si>
  <si>
    <t>Kupní hodnota</t>
  </si>
  <si>
    <t>Køb værdi</t>
  </si>
  <si>
    <t>Kaufwert</t>
  </si>
  <si>
    <t>Αξία αγοράς</t>
  </si>
  <si>
    <t>Comprar valor</t>
  </si>
  <si>
    <t>Ostoarvo</t>
  </si>
  <si>
    <t>क्रय मूल्य</t>
  </si>
  <si>
    <t>Vételi érték</t>
  </si>
  <si>
    <t>Nilai pembelian</t>
  </si>
  <si>
    <t>Valore d\'acquisto</t>
  </si>
  <si>
    <t>קנה מניה</t>
  </si>
  <si>
    <t>買値</t>
  </si>
  <si>
    <t>매입 가치</t>
  </si>
  <si>
    <t>Nilai belian</t>
  </si>
  <si>
    <t>Koopwaarde</t>
  </si>
  <si>
    <t>Kjøpsverdi</t>
  </si>
  <si>
    <t>Wartość kupna</t>
  </si>
  <si>
    <t>Valor da compra</t>
  </si>
  <si>
    <t>Valoare cumpărare</t>
  </si>
  <si>
    <t>Покупная цена</t>
  </si>
  <si>
    <t>Hodnota nákupu</t>
  </si>
  <si>
    <t>Nakupna vrednost</t>
  </si>
  <si>
    <t>Kupovna vrednost</t>
  </si>
  <si>
    <t>Inköpsvärde</t>
  </si>
  <si>
    <t>มูลค่าการซื้อ</t>
  </si>
  <si>
    <t>Satın alma değeri</t>
  </si>
  <si>
    <t>Giá trị mua</t>
  </si>
  <si>
    <t>买入值</t>
  </si>
  <si>
    <t>&gt;買入值</t>
  </si>
  <si>
    <t>tt_grid</t>
  </si>
  <si>
    <t>Show Grid</t>
  </si>
  <si>
    <t>إظهار الخطوط</t>
  </si>
  <si>
    <t>Покажи решетка</t>
  </si>
  <si>
    <t>Zobrazit mřížku</t>
  </si>
  <si>
    <t>Vis gitter</t>
  </si>
  <si>
    <t>Gitternetz</t>
  </si>
  <si>
    <t>Εμφάνιση πλέγματος</t>
  </si>
  <si>
    <t>Mostrar cuadrícula</t>
  </si>
  <si>
    <t>Näytä ruudukko</t>
  </si>
  <si>
    <t>Afficher le quadrillage</t>
  </si>
  <si>
    <t>ग्रिड को प्रदर्शित करें</t>
  </si>
  <si>
    <t>Rács mutatása</t>
  </si>
  <si>
    <t>Tunjukkan kotak</t>
  </si>
  <si>
    <t>Mostra Griglia</t>
  </si>
  <si>
    <t>הצג רשת</t>
  </si>
  <si>
    <t>グリッド</t>
  </si>
  <si>
    <t>그리드 표시</t>
  </si>
  <si>
    <t>Tunjukkan Grid</t>
  </si>
  <si>
    <t>Laat Grid zien</t>
  </si>
  <si>
    <t>Vis rutenett</t>
  </si>
  <si>
    <t>Pokaż siatkę</t>
  </si>
  <si>
    <t>Mostrar grades</t>
  </si>
  <si>
    <t>Afișază Grila</t>
  </si>
  <si>
    <t>Показать в виде таблицы</t>
  </si>
  <si>
    <t>Zobraziť mriežku</t>
  </si>
  <si>
    <t>Pokaži mrežo</t>
  </si>
  <si>
    <t>Prikaži mrežu</t>
  </si>
  <si>
    <t>Visa rutnät</t>
  </si>
  <si>
    <t>แสดงตาราง</t>
  </si>
  <si>
    <t>Izgarayı göster</t>
  </si>
  <si>
    <t>Hiển thị lưới</t>
  </si>
  <si>
    <t>显示格线</t>
  </si>
  <si>
    <t>&gt;顯示格線</t>
  </si>
  <si>
    <t>tt_product_type</t>
  </si>
  <si>
    <t>Product type</t>
  </si>
  <si>
    <t>نوع المنتج</t>
  </si>
  <si>
    <t>Тип продукт</t>
  </si>
  <si>
    <t>Typ produktu</t>
  </si>
  <si>
    <t>Produkttype</t>
  </si>
  <si>
    <t>Produktgattung</t>
  </si>
  <si>
    <t>Τύπος Προϊόντος</t>
  </si>
  <si>
    <t>Tipo de producto</t>
  </si>
  <si>
    <t>Tuotetyyppi</t>
  </si>
  <si>
    <t>Type de produit</t>
  </si>
  <si>
    <t>उत्पाद का प्रकार</t>
  </si>
  <si>
    <t>Termék típus</t>
  </si>
  <si>
    <t>Jenis produk</t>
  </si>
  <si>
    <t>Tipo del profotto</t>
  </si>
  <si>
    <t>סוג המוצר</t>
  </si>
  <si>
    <t>商品タイプ</t>
  </si>
  <si>
    <t>상품 유형</t>
  </si>
  <si>
    <t>Produkt-type</t>
  </si>
  <si>
    <t>Tipo de Produto</t>
  </si>
  <si>
    <t>Tip produs</t>
  </si>
  <si>
    <t>Тип продукта</t>
  </si>
  <si>
    <t>Tip izdelka</t>
  </si>
  <si>
    <t>Tip proizvoda</t>
  </si>
  <si>
    <t>Produkttyp</t>
  </si>
  <si>
    <t>ประเภทสินค้า</t>
  </si>
  <si>
    <t>Ürün türü</t>
  </si>
  <si>
    <t>Loại sản phẩm</t>
  </si>
  <si>
    <t>产品类型</t>
  </si>
  <si>
    <t>create_shortcut</t>
  </si>
  <si>
    <t>Create Shortcut</t>
  </si>
  <si>
    <t>Създаване на пряк път</t>
  </si>
  <si>
    <t>Crear accés directe</t>
  </si>
  <si>
    <t>Verknüpfung erstellen</t>
  </si>
  <si>
    <t>Crear acceso directo</t>
  </si>
  <si>
    <t>Créer un raccourci</t>
  </si>
  <si>
    <t>Parancsikon létrehozása</t>
  </si>
  <si>
    <t>Crea scorciatoia</t>
  </si>
  <si>
    <t>ショートカットを作成</t>
  </si>
  <si>
    <t>Snelkoppeling aanmaken</t>
  </si>
  <si>
    <t>Utwórz Skrót</t>
  </si>
  <si>
    <t>Направи пречицу</t>
  </si>
  <si>
    <t>tt_chgperc</t>
  </si>
  <si>
    <t>Byt %</t>
  </si>
  <si>
    <t>Muutos-%</t>
  </si>
  <si>
    <t>परिवर्तन %</t>
  </si>
  <si>
    <t>Vált. %</t>
  </si>
  <si>
    <t>Cmb %</t>
  </si>
  <si>
    <t>שינוי %</t>
  </si>
  <si>
    <t>Aan %</t>
  </si>
  <si>
    <t>Endr %</t>
  </si>
  <si>
    <t>Zm.%</t>
  </si>
  <si>
    <t>Var. %</t>
  </si>
  <si>
    <t>Изм.%</t>
  </si>
  <si>
    <t>Ändr %</t>
  </si>
  <si>
    <t>% chênh lệch</t>
  </si>
  <si>
    <t>unblock_domain_text</t>
  </si>
  <si>
    <t>Unblock all contacts from %s?</t>
  </si>
  <si>
    <t>الغاء حجب جميع جهات الإتصال من %s?</t>
  </si>
  <si>
    <t>Деблокиране на всички контакти от %s?</t>
  </si>
  <si>
    <t>Voleu desbloquejar tots el contactes de %s?</t>
  </si>
  <si>
    <t>Alle Kontakte von %s entsperren?</t>
  </si>
  <si>
    <t>¿Desbloquear todos los contatos de %s?</t>
  </si>
  <si>
    <t>Débloquer tous les contacts de %s ?</t>
  </si>
  <si>
    <t>Desbloquear todos os contactos desde 1%s?</t>
  </si>
  <si>
    <t>%s minden tiltását feloldja</t>
  </si>
  <si>
    <t>Batalkan blokir semua kontak dari %s?</t>
  </si>
  <si>
    <t>Sbloccare tutti i contatti da %s?</t>
  </si>
  <si>
    <t>%s からの連絡をすべてブロック解除しますか?</t>
  </si>
  <si>
    <t>%s 의 모든 연락처를 차단 해제할까요?</t>
  </si>
  <si>
    <t>Alle contacten van %s deblokkeren?</t>
  </si>
  <si>
    <t>Odblokować wszystkie kontakty z %s?</t>
  </si>
  <si>
    <t>Desbloquear todos os contactos de %s?</t>
  </si>
  <si>
    <t>Разблокировать всех пользователей домена %s?</t>
  </si>
  <si>
    <t>Odblokovať všetky kontakty od %s?</t>
  </si>
  <si>
    <t>Одблокирати све контакте од %s?</t>
  </si>
  <si>
    <t>Avblockera alla kontakter från %s?</t>
  </si>
  <si>
    <t>Розблокувати всі контакти з %s?</t>
  </si>
  <si>
    <t>Bỏ chặn tất cả liên hệ từ %s?</t>
  </si>
  <si>
    <t>要解除封鎖來自 %s 的所有連絡人嗎？</t>
  </si>
  <si>
    <t>delete_file_dialog</t>
  </si>
  <si>
    <t>Delete file</t>
  </si>
  <si>
    <t>Изтриване на файла</t>
  </si>
  <si>
    <t>Eliminar arxiu</t>
  </si>
  <si>
    <t>Datei löschen</t>
  </si>
  <si>
    <t>Eliminar fichero</t>
  </si>
  <si>
    <t>Supprimer le fichier</t>
  </si>
  <si>
    <t>Eliminar ficheiro</t>
  </si>
  <si>
    <t>Fájl törlése</t>
  </si>
  <si>
    <t>Elimina file</t>
  </si>
  <si>
    <t>ファイルを削除</t>
  </si>
  <si>
    <t>Bestand verwijderen</t>
  </si>
  <si>
    <t>Usuń plik</t>
  </si>
  <si>
    <t>Удалить файл</t>
  </si>
  <si>
    <t>tt_volatility</t>
  </si>
  <si>
    <t>تقلّب الأسعار</t>
  </si>
  <si>
    <t>Volatilität</t>
  </si>
  <si>
    <t>Volatilità</t>
  </si>
  <si>
    <t>תנודתיות</t>
  </si>
  <si>
    <t>ボラリティ</t>
  </si>
  <si>
    <t>volatiliteit</t>
  </si>
  <si>
    <t>Волатильность</t>
  </si>
  <si>
    <t>tt_region</t>
  </si>
  <si>
    <t>Region</t>
  </si>
  <si>
    <t>المنطقة</t>
  </si>
  <si>
    <t>Област</t>
  </si>
  <si>
    <t>Oblast</t>
  </si>
  <si>
    <t>Område</t>
  </si>
  <si>
    <t>Περιοχή</t>
  </si>
  <si>
    <t>Región</t>
  </si>
  <si>
    <t>Région</t>
  </si>
  <si>
    <t>क्षेत्र</t>
  </si>
  <si>
    <t>Régiók</t>
  </si>
  <si>
    <t>Wilayah</t>
  </si>
  <si>
    <t>Regione</t>
  </si>
  <si>
    <t>אזור</t>
  </si>
  <si>
    <t>地域</t>
  </si>
  <si>
    <t>지역</t>
  </si>
  <si>
    <t>Regio</t>
  </si>
  <si>
    <t>Região</t>
  </si>
  <si>
    <t>Regiune</t>
  </si>
  <si>
    <t>Регион</t>
  </si>
  <si>
    <t>Regija</t>
  </si>
  <si>
    <t>ภูมิภาค</t>
  </si>
  <si>
    <t>Bölge</t>
  </si>
  <si>
    <t>Vùng</t>
  </si>
  <si>
    <t>区域</t>
  </si>
  <si>
    <t>&gt;區域</t>
  </si>
  <si>
    <t>tt_feedback_description</t>
  </si>
  <si>
    <t>We need your opinion! Please spare a minute and give us your feedback. baha values and encourages your input</t>
  </si>
  <si>
    <t>نحن بحاجة لرأيك! يُرجى تخصيص دقيقة وتقديم تعقيباتك. تطبيق Teletrader يُقيم مدخلاتك ويشجع عليها</t>
  </si>
  <si>
    <t>Имаме нужда от вашето мнение! Моля, отделете минута и ни дайте обратна връзка. Teletrader цени и насърчава вашия принос</t>
  </si>
  <si>
    <t>Potřebujeme Váš názor! Udělejte si prosím minutu času a dejte nám zpětnou vazbu. Teletrader si Vašeho názoru cení a rád jej vidí</t>
  </si>
  <si>
    <t>Vi har brug for din mening! Brug et minut på at give os din feedback. Teletrader værdsætter og opmuntrer dit input</t>
  </si>
  <si>
    <t>Wir legen großen Wert auf Ihre Meinung. Bitte senden Sie uns Ihr Feedback.</t>
  </si>
  <si>
    <t>Χρειαζόμαστε τη γνώμη σας! Αφιερώστε ένα λεπτό για να μας αφήσετε τα σχόλιά σας Το Teletrader εκτιμά και ενθαρρύνει τα σχόλιά σας</t>
  </si>
  <si>
    <t xml:space="preserve">Necesitamos su opinión! Por favor, tómese un minuto y denos su feedback.  baha valora y fomenta su participación. </t>
  </si>
  <si>
    <t>Tarvitsemme mielipiteesi! Käytä hetki ja anna meille palautetta. Teletrader arvostaa palautettasi ja rohkaisee sen antamiseen</t>
  </si>
  <si>
    <t>Votre avis nous intéresse ! Veuillez prendre une minute pour nous donner votre avis. Teletrader estime et encourage vos commentaires</t>
  </si>
  <si>
    <t>हमें आपकी राय चाहिए! कृपया एक मिनट का समय निकालें और हमें अपना फीडबैक दें। टेली ट्रेडर आपके इनपुट को महत्त्व और प्रोत्साहित करता है</t>
  </si>
  <si>
    <t>Szükségünk van a véleményére! Kérjük, fordítson egy percet arra, hogy visszacsatolást ad nekünk. A TeleTrader értékeli és ösztönzi a véleményét</t>
  </si>
  <si>
    <t>Kami memerlukan pendapat anda! Mohon luangkan waktu sebentar dan beri kami tanggapan anda. Teletrader menghargai dan menggalakkan kontribusi anda</t>
  </si>
  <si>
    <t>Abbiamo bisogno della tua opinione! Ti pregao dedicare un minuto e darci il tuo feedback. Teletrader valorizza e incoraggia il tuo input</t>
  </si>
  <si>
    <t>אנו זקוקים לחוות דעתך! אנא הקדש דקה ותן לנו את המשוב שלך. Teletrader מעריך ומדרבן את הקלט שלך</t>
  </si>
  <si>
    <t>あなたの意見が必要です！フィードバックを入力して下さい。Teletraderはあなたの意見を重視します。</t>
  </si>
  <si>
    <t>사용자의 의견이 필요합니다! 잠시만 시간을 내어 피드백을 남겨주세요. Teletrader는 사용자의 의견을 소중히 여깁니다</t>
  </si>
  <si>
    <t>Kami memerlukan pendapat anda! Sila luangkan seminit dan berikan maklum balas kepada anda. Teletrader menghargai dan menggalakkan sumbangan anda</t>
  </si>
  <si>
    <t>Wij hebben uw mening nodig! Neem au been minuut de tijd, en geef ons uw aanbevelingen. Teletrader waardeert uw mening enorm.</t>
  </si>
  <si>
    <t>Vi trenger din mening! Bruk et øyeblikk og gi oss din tilbakemelding. Teletrader verdsetter og oppmuntrer deg til å komme med innspill</t>
  </si>
  <si>
    <t>Czekamy na Twoją opinię! Prosimy o poświęcenie chwili i przekazanie nam swojej opinii. Bardzo cenimy zdanie użytkowników</t>
  </si>
  <si>
    <t>Precisamos da sua opinião ! Por favor, disponibilize um minuto e dar-nos a sua opinião. Teletrader valoriza e incentiva o seu comentário.</t>
  </si>
  <si>
    <t>Avem nevoie de părerea ta! Te rugăm să îți rezervi un minut și să ne oferi opinia ta. Teletrader valorizează și încurajează introducerea datelor tale</t>
  </si>
  <si>
    <t>Нам очень важно Ваше мнение. Пожалуйста, оставьте свой отзыв. baha высоко ценит и приветствует Ваш вклад</t>
  </si>
  <si>
    <t>Váš názor je pre nás dôležitý! Nájdite si chvíľku a dajte nám vedieť, čo si myslíte. Aplikácia Teletrader si cení a podporuje vaše názory</t>
  </si>
  <si>
    <t>Potrebujemo vaše mnenje! Prosim, privoščite si minuto in nam pošljite povratne informacije. Teletrader ceni in spodbuja vaš prispevek</t>
  </si>
  <si>
    <t>Bitno nam je Vaše mišljenje! Molimo Vas, utrošite koji minut i pošaljite povratnu informaciju. Teletrader ceni i poštuje Vašu informaciju.</t>
  </si>
  <si>
    <t>Vi behöver dina åsikter! Ta en minut och skicka feedback till oss. Teletrader värdesätter och uppmuntrar dina åsikter</t>
  </si>
  <si>
    <t>เราอยากทราบว่าคุณรู้สึกอย่างไร! โปรดสละเวลาเพื่อบอกความรู้สึกหลังการใช้งานเพียงเล็กน้อย TeleTrader มองเห็นคุณค่าและให้ความสำคัญกับความคิดเห็นของคุณเสมอ</t>
  </si>
  <si>
    <t>Sizin fikrinize ihtiyacımız var! Lütfen 1 dakikanızı ayırın ve bize geri dönüşlerinizi bildirin. Teletrader sizin düşüncelerinizi teşvik eder ve düşüncelerinize değer verir.</t>
  </si>
  <si>
    <t>Chúng tôi cần ý kiến của bạn! Hãy dành chút thời gian cho chúng tôi phản hồi của bạn. Teletrader trân trọng và khuyến khích đóng góp của bạn</t>
  </si>
  <si>
    <t>我们需要您的意见！请花一分钟发表你意见。Teletrader感谢你的意见。</t>
  </si>
  <si>
    <t>&gt;我們需要您的意見!請花一分鐘發表你意見。 Teletrader感謝你的意見。</t>
  </si>
  <si>
    <t>pref_led</t>
  </si>
  <si>
    <t>LED Notification</t>
  </si>
  <si>
    <t>إشعار ضوئي</t>
  </si>
  <si>
    <t>Известие чрез светодиода</t>
  </si>
  <si>
    <t>Notificació LED</t>
  </si>
  <si>
    <t>LED Benachrichtigung</t>
  </si>
  <si>
    <t>Luz</t>
  </si>
  <si>
    <t>Notification LED</t>
  </si>
  <si>
    <t>Notificación LED</t>
  </si>
  <si>
    <t>LED értesítés</t>
  </si>
  <si>
    <t>Notifikasi LED</t>
  </si>
  <si>
    <t>Notifica LED</t>
  </si>
  <si>
    <t>LED 通知</t>
  </si>
  <si>
    <t>LED 알림</t>
  </si>
  <si>
    <t>LED-melding</t>
  </si>
  <si>
    <t>Powiadomienie diodą LED</t>
  </si>
  <si>
    <t>Notificação LED</t>
  </si>
  <si>
    <t>Светодиодное уведомление</t>
  </si>
  <si>
    <t>ЛЕД светло</t>
  </si>
  <si>
    <t>LED notifieringar</t>
  </si>
  <si>
    <t>Індикація LED</t>
  </si>
  <si>
    <t>Thông báo đèn LED</t>
  </si>
  <si>
    <t>LED 燈通知</t>
  </si>
  <si>
    <t>attach_take_picture</t>
  </si>
  <si>
    <t>Take picture</t>
  </si>
  <si>
    <t>التقاط صورة</t>
  </si>
  <si>
    <t>Заснемане</t>
  </si>
  <si>
    <t>Fes una fotografia</t>
  </si>
  <si>
    <t>Bild aufnehmen</t>
  </si>
  <si>
    <t>Hacer foto</t>
  </si>
  <si>
    <t>Prendre une photo</t>
  </si>
  <si>
    <t>Facer foto</t>
  </si>
  <si>
    <t>Kép készítése</t>
  </si>
  <si>
    <t>Ambil gambar</t>
  </si>
  <si>
    <t>Scatta una foto</t>
  </si>
  <si>
    <t>写真の撮影</t>
  </si>
  <si>
    <t>사진 찍기</t>
  </si>
  <si>
    <t>Foto nemen</t>
  </si>
  <si>
    <t>Zrób zdjęcie</t>
  </si>
  <si>
    <t>Tirar foto</t>
  </si>
  <si>
    <t>Сделать снимок</t>
  </si>
  <si>
    <t>Odfotiť</t>
  </si>
  <si>
    <t>Фотографиши</t>
  </si>
  <si>
    <t>Ta ny bild</t>
  </si>
  <si>
    <t>Зняти світлину</t>
  </si>
  <si>
    <t>Chụp hình</t>
  </si>
  <si>
    <t>照相</t>
  </si>
  <si>
    <t>ban_from_conference</t>
  </si>
  <si>
    <t>Ban from group chat</t>
  </si>
  <si>
    <t>الحظر من دخول مجموعة المحادثة</t>
  </si>
  <si>
    <t>Забраняване на достъпа до груповия разговор</t>
  </si>
  <si>
    <t>Prohibició del xat en grup</t>
  </si>
  <si>
    <t>Vom Gruppenchat ausschließen</t>
  </si>
  <si>
    <t>Prohibir entrada en la conversación</t>
  </si>
  <si>
    <t>Bannir de la conversation</t>
  </si>
  <si>
    <t>Prohibición da conversa en grupo</t>
  </si>
  <si>
    <t>Konferenciából kitiltás</t>
  </si>
  <si>
    <t>Bandisci dalla chat di gruppo</t>
  </si>
  <si>
    <t>談話室から蹴り出す</t>
  </si>
  <si>
    <t>Verbannen uit groepsgesprek</t>
  </si>
  <si>
    <t>Zbanuj</t>
  </si>
  <si>
    <t>Заблокировать из конференции</t>
  </si>
  <si>
    <t>Забрани за групно ћаскање</t>
  </si>
  <si>
    <t>tt_iosbridge_silver_gtis</t>
  </si>
  <si>
    <t>captcha_required</t>
  </si>
  <si>
    <t>Captcha required</t>
  </si>
  <si>
    <t>رمز الكابتشا ضروري</t>
  </si>
  <si>
    <t>Проверката е задължителна</t>
  </si>
  <si>
    <t>Es necessita Captcha</t>
  </si>
  <si>
    <t>Captcha erforderlich</t>
  </si>
  <si>
    <t>Captcha requerido</t>
  </si>
  <si>
    <t>Captcha obligatoire</t>
  </si>
  <si>
    <t>Requírese Captcha</t>
  </si>
  <si>
    <t>Captcha szükséges</t>
  </si>
  <si>
    <t>Captcha richiesto</t>
  </si>
  <si>
    <t>キャプチャが必要です</t>
  </si>
  <si>
    <t>Captcha가 필요함</t>
  </si>
  <si>
    <t>Captcha vereist</t>
  </si>
  <si>
    <t>Captcha wymagana</t>
  </si>
  <si>
    <t>Captcha obrigatório</t>
  </si>
  <si>
    <t>Необходима проверка</t>
  </si>
  <si>
    <t>Potrebný CAPTCHA</t>
  </si>
  <si>
    <t>Потребна стопка</t>
  </si>
  <si>
    <t>CAPTCHA krävs</t>
  </si>
  <si>
    <t>Потрібно вирішити головоломку</t>
  </si>
  <si>
    <t>Yêu cầu hình xác minh</t>
  </si>
  <si>
    <t>需要驗證碼</t>
  </si>
  <si>
    <t>tt_live_wallpaper</t>
  </si>
  <si>
    <t>Live wallpaper</t>
  </si>
  <si>
    <t>خلفية مباشرة</t>
  </si>
  <si>
    <t>Жив тапет</t>
  </si>
  <si>
    <t>Animovaná tapeta</t>
  </si>
  <si>
    <t>Levende tapet</t>
  </si>
  <si>
    <t>Live-wallpaper</t>
  </si>
  <si>
    <t>Ζωντανή ταπετσαρία</t>
  </si>
  <si>
    <t>Fondo de pantalla en vivo</t>
  </si>
  <si>
    <t>Live-taustakuva</t>
  </si>
  <si>
    <t>Fond d\'écran</t>
  </si>
  <si>
    <t>लाइव वॉलपेपर</t>
  </si>
  <si>
    <t>Élő háttérkép</t>
  </si>
  <si>
    <t>wallpaper hidup</t>
  </si>
  <si>
    <t>Wallpaper Vivo</t>
  </si>
  <si>
    <t>תמונת רקע "חיה"</t>
  </si>
  <si>
    <t>ライブウォールペーパー</t>
  </si>
  <si>
    <t>실시간 월페이퍼</t>
  </si>
  <si>
    <t>Kertas dinding langsung</t>
  </si>
  <si>
    <t>Live achtergrond</t>
  </si>
  <si>
    <t>Levende bakgrunnsbilde</t>
  </si>
  <si>
    <t>Tapeta na żywo</t>
  </si>
  <si>
    <t>Wallpaper ao vivo</t>
  </si>
  <si>
    <t>Imagine de fundal live</t>
  </si>
  <si>
    <t>Живые обои</t>
  </si>
  <si>
    <t>Živá tapeta</t>
  </si>
  <si>
    <t>Ozadje v živo</t>
  </si>
  <si>
    <t>Live tapete</t>
  </si>
  <si>
    <t>Live-bakgrundsbilder</t>
  </si>
  <si>
    <t>ไลฟ์วอลเปเปอร์</t>
  </si>
  <si>
    <t>Canlı duvar kağıdı</t>
  </si>
  <si>
    <t>Hình nền động</t>
  </si>
  <si>
    <t>动态壁纸</t>
  </si>
  <si>
    <t>czech_republic</t>
  </si>
  <si>
    <t>Czech Republic</t>
  </si>
  <si>
    <t>Tschechien</t>
  </si>
  <si>
    <t>República Checa</t>
  </si>
  <si>
    <t>République Tchèque</t>
  </si>
  <si>
    <t>Чехия</t>
  </si>
  <si>
    <t>Češka Republika</t>
  </si>
  <si>
    <t>tt_next</t>
  </si>
  <si>
    <t>التالى</t>
  </si>
  <si>
    <t>Следващ</t>
  </si>
  <si>
    <t>Další</t>
  </si>
  <si>
    <t>Næste</t>
  </si>
  <si>
    <t>Επόμενο</t>
  </si>
  <si>
    <t>Seuraava</t>
  </si>
  <si>
    <t>अगला</t>
  </si>
  <si>
    <t>Seterusnya</t>
  </si>
  <si>
    <t>Prossimo</t>
  </si>
  <si>
    <t>הבא</t>
  </si>
  <si>
    <t>次</t>
  </si>
  <si>
    <t>Neste</t>
  </si>
  <si>
    <t>Następny</t>
  </si>
  <si>
    <t>Următorul</t>
  </si>
  <si>
    <t>Дальше</t>
  </si>
  <si>
    <t>Ďalšie</t>
  </si>
  <si>
    <t>Naslednji</t>
  </si>
  <si>
    <t>Sledeća</t>
  </si>
  <si>
    <t>ถัดไป</t>
  </si>
  <si>
    <t>Sonraki</t>
  </si>
  <si>
    <t>Tiếp</t>
  </si>
  <si>
    <t>下一个</t>
  </si>
  <si>
    <t>tt_chat</t>
  </si>
  <si>
    <t>Chat</t>
  </si>
  <si>
    <t>دردشة</t>
  </si>
  <si>
    <t>Чат</t>
  </si>
  <si>
    <t>Συνομιλία</t>
  </si>
  <si>
    <t>चैट करें</t>
  </si>
  <si>
    <t>Obrolan</t>
  </si>
  <si>
    <t>צ'אט</t>
  </si>
  <si>
    <t>チャット</t>
  </si>
  <si>
    <t>채팅</t>
  </si>
  <si>
    <t>Berborak</t>
  </si>
  <si>
    <t>rozmowa</t>
  </si>
  <si>
    <t>Conversație</t>
  </si>
  <si>
    <t>Klepetajte</t>
  </si>
  <si>
    <t>Chatt</t>
  </si>
  <si>
    <t>พูดคุย</t>
  </si>
  <si>
    <t>Sohbet</t>
  </si>
  <si>
    <t>Trò chuyện</t>
  </si>
  <si>
    <t>聊天</t>
  </si>
  <si>
    <t>notification_export_logs_title</t>
  </si>
  <si>
    <t>Writing logs to SD card</t>
  </si>
  <si>
    <t>كتابة السجلات على بطاقة الذاكرة</t>
  </si>
  <si>
    <t>Записване на журналите в картата с памет</t>
  </si>
  <si>
    <t>Escrivint registres a la targeta SD</t>
  </si>
  <si>
    <t>Chats werden auf SD-Karte geschrieben</t>
  </si>
  <si>
    <t>Escribiendo logs en la tarjeta SD</t>
  </si>
  <si>
    <t>Sauvegarde des historiques sur la carte SD...</t>
  </si>
  <si>
    <t>Escribindo os rexistros na tarxeta SD</t>
  </si>
  <si>
    <t>Naplók kiírása az SD kártyára</t>
  </si>
  <si>
    <t>Scrittura log su scheda SD</t>
  </si>
  <si>
    <t>ログを SD カードに書き込み中</t>
  </si>
  <si>
    <t>기록을 SD 카드에 쓰는 중</t>
  </si>
  <si>
    <t>Logs schrijven naar SD-kaart</t>
  </si>
  <si>
    <t>Zapisywanie historii na karcie SD...</t>
  </si>
  <si>
    <t>A escrever os logs para o cartão SD</t>
  </si>
  <si>
    <t>Запись истории на SD карту</t>
  </si>
  <si>
    <t>Уписујем записе на СД картицу</t>
  </si>
  <si>
    <t>Skriver loggar till SD-kort</t>
  </si>
  <si>
    <t>Записую журнали на носій</t>
  </si>
  <si>
    <t>Đang chép nhật ký vào thẻ SD</t>
  </si>
  <si>
    <t>正在將日誌寫入 SD 卡</t>
  </si>
  <si>
    <t>tonga</t>
  </si>
  <si>
    <t>Tonga</t>
  </si>
  <si>
    <t>Тонга</t>
  </si>
  <si>
    <t>tt_template</t>
  </si>
  <si>
    <t>Template</t>
  </si>
  <si>
    <t>القوالب</t>
  </si>
  <si>
    <t>Шаблон</t>
  </si>
  <si>
    <t>Šablona</t>
  </si>
  <si>
    <t>Skabelon</t>
  </si>
  <si>
    <t>Vorlagen</t>
  </si>
  <si>
    <t>Πρότυπο</t>
  </si>
  <si>
    <t>Plantilla</t>
  </si>
  <si>
    <t>Malli</t>
  </si>
  <si>
    <t>Modèles</t>
  </si>
  <si>
    <t>टेम्पलेट</t>
  </si>
  <si>
    <t>Sablon</t>
  </si>
  <si>
    <t>Modelli</t>
  </si>
  <si>
    <t>תבנית</t>
  </si>
  <si>
    <t>テンプレート</t>
  </si>
  <si>
    <t>템플릿</t>
  </si>
  <si>
    <t>Templat</t>
  </si>
  <si>
    <t>Templates</t>
  </si>
  <si>
    <t>Mal</t>
  </si>
  <si>
    <t>Szablon</t>
  </si>
  <si>
    <t>Modelos</t>
  </si>
  <si>
    <t>Șablon</t>
  </si>
  <si>
    <t>Шаблоны</t>
  </si>
  <si>
    <t>Šablóna</t>
  </si>
  <si>
    <t>Predloga</t>
  </si>
  <si>
    <t>Šabloni</t>
  </si>
  <si>
    <t>Mall</t>
  </si>
  <si>
    <t>เท็มเพล็ต</t>
  </si>
  <si>
    <t>Şablonlar</t>
  </si>
  <si>
    <t>Mẫu</t>
  </si>
  <si>
    <t>模板</t>
  </si>
  <si>
    <t>&gt;模板</t>
  </si>
  <si>
    <t>netherlands_antilles</t>
  </si>
  <si>
    <t>Netherlands Antilles</t>
  </si>
  <si>
    <t>Holländische Antillen</t>
  </si>
  <si>
    <t>Antillas holandesas</t>
  </si>
  <si>
    <t>Antilles Néerlandaises</t>
  </si>
  <si>
    <t>Нидерландские Антильские острова</t>
  </si>
  <si>
    <t>Holandski Antilli</t>
  </si>
  <si>
    <t>poland</t>
  </si>
  <si>
    <t>Poland</t>
  </si>
  <si>
    <t>Polen</t>
  </si>
  <si>
    <t>Polonia</t>
  </si>
  <si>
    <t>Pologne</t>
  </si>
  <si>
    <t>Польша</t>
  </si>
  <si>
    <t>Poljska</t>
  </si>
  <si>
    <t>benin</t>
  </si>
  <si>
    <t>Benin</t>
  </si>
  <si>
    <t>Benín</t>
  </si>
  <si>
    <t>Bénin</t>
  </si>
  <si>
    <t>Бенин</t>
  </si>
  <si>
    <t>tt_issue_size</t>
  </si>
  <si>
    <t>Issue size</t>
  </si>
  <si>
    <t>حجم الإصدار</t>
  </si>
  <si>
    <t>Размер на дохода</t>
  </si>
  <si>
    <t>Velikost vydání</t>
  </si>
  <si>
    <t>Udgivelsesstørrelse</t>
  </si>
  <si>
    <t>Stückzahl</t>
  </si>
  <si>
    <t>Μέγεθος ζητήματος</t>
  </si>
  <si>
    <t>Tamaño de emisión</t>
  </si>
  <si>
    <t>Annin koko</t>
  </si>
  <si>
    <t>Taille de l\'émission</t>
  </si>
  <si>
    <t>इशू का आकार</t>
  </si>
  <si>
    <t>Kibocsátási méret</t>
  </si>
  <si>
    <t>Ukuran penerbitan</t>
  </si>
  <si>
    <t>Volume del emissione.</t>
  </si>
  <si>
    <t>גודל ההנפקה</t>
  </si>
  <si>
    <t>発行規模</t>
  </si>
  <si>
    <t>발행 크기</t>
  </si>
  <si>
    <t>Saiz terbitan</t>
  </si>
  <si>
    <t>Uitgavegrootte</t>
  </si>
  <si>
    <t>Utgavestørrelse</t>
  </si>
  <si>
    <t>Rozmiar emisji</t>
  </si>
  <si>
    <t>Tamanho da emissão</t>
  </si>
  <si>
    <t>Dimensiunea de emitere</t>
  </si>
  <si>
    <t>Oбъем эмиссии</t>
  </si>
  <si>
    <t>Veľkosť vydania</t>
  </si>
  <si>
    <t>Velikost izdaje</t>
  </si>
  <si>
    <t>Emissionsstorlek</t>
  </si>
  <si>
    <t>ปริมาณการออกหลักทรัพย์</t>
  </si>
  <si>
    <t>Veriliş boyutu</t>
  </si>
  <si>
    <t>Kích thước phát hành</t>
  </si>
  <si>
    <t>签发数量</t>
  </si>
  <si>
    <t>welcome_header" translatable="false</t>
  </si>
  <si>
    <t>Join the baha chat</t>
  </si>
  <si>
    <t>tt_day</t>
  </si>
  <si>
    <t>day</t>
  </si>
  <si>
    <t>ден</t>
  </si>
  <si>
    <t>den</t>
  </si>
  <si>
    <t>dag</t>
  </si>
  <si>
    <t>ημέρα</t>
  </si>
  <si>
    <t>día</t>
  </si>
  <si>
    <t>päivä</t>
  </si>
  <si>
    <t>jour</t>
  </si>
  <si>
    <t>nap</t>
  </si>
  <si>
    <t>Giorno</t>
  </si>
  <si>
    <t>יום</t>
  </si>
  <si>
    <t>dzień</t>
  </si>
  <si>
    <t>dia</t>
  </si>
  <si>
    <t>zi</t>
  </si>
  <si>
    <t>день</t>
  </si>
  <si>
    <t>deň</t>
  </si>
  <si>
    <t>dan</t>
  </si>
  <si>
    <t>Gün</t>
  </si>
  <si>
    <t>offering</t>
  </si>
  <si>
    <t>offering…</t>
  </si>
  <si>
    <t>عرض ..</t>
  </si>
  <si>
    <t>предлагане…</t>
  </si>
  <si>
    <t>s\'està oferint…</t>
  </si>
  <si>
    <t>angeboten…</t>
  </si>
  <si>
    <t>ofreciendo…</t>
  </si>
  <si>
    <t>Proposition…</t>
  </si>
  <si>
    <t>ofrecendo…</t>
  </si>
  <si>
    <t>felajánlás alatt...</t>
  </si>
  <si>
    <t>menawarkan...</t>
  </si>
  <si>
    <t>offrendo…</t>
  </si>
  <si>
    <t>依頼中…</t>
  </si>
  <si>
    <t>제공중...</t>
  </si>
  <si>
    <t>bezig met aanbieden…</t>
  </si>
  <si>
    <t>oferowanie...</t>
  </si>
  <si>
    <t>oferecendo...</t>
  </si>
  <si>
    <t>предложение…</t>
  </si>
  <si>
    <t>ponúka…</t>
  </si>
  <si>
    <t>нудим…</t>
  </si>
  <si>
    <t>erbjuder…</t>
  </si>
  <si>
    <t>пропоную…</t>
  </si>
  <si>
    <t>đang đề xuất...</t>
  </si>
  <si>
    <t>輸入…</t>
  </si>
  <si>
    <t>configuring_contacts_empty_list</t>
  </si>
  <si>
    <t>Your Contacts list is empty!</t>
  </si>
  <si>
    <t>Ihre Kontaktliste ist leer!</t>
  </si>
  <si>
    <t>¡Tu lista de contactos está vacía!</t>
  </si>
  <si>
    <t>Votre liste de contacts est vide!</t>
  </si>
  <si>
    <t>A Partner listád üres!</t>
  </si>
  <si>
    <t>L\'elenco dei tuoi contatti è vuoto!</t>
  </si>
  <si>
    <t>Ваш список контактов пуст!</t>
  </si>
  <si>
    <t>Vaša kontakt list je prazna!</t>
  </si>
  <si>
    <t>pref_blind_trust_before_verification_summary</t>
  </si>
  <si>
    <t>Automatically trust all new devices of contacts that haven’t been verified before, and prompt for manual confirmation each time a verified contact adds a new device.</t>
  </si>
  <si>
    <t>Автоматично доверяване на всички нови устройства на контактите, които не са били потвърдени преди, и питане за ръчно одобрение всеки път, когато потвърден контакт добави ново устройство.</t>
  </si>
  <si>
    <t>Confiï automàticament en tots els dispositius nous de contactes que no s\'hagin verificat abans, i sol·liciteu la confirmació manual cada vegada que un contacte verificat afegeix un nou dispositiu.</t>
  </si>
  <si>
    <t>Vertraue automatisch allen neuen Geräten von Kontakten, die noch nicht überprüft wurden und zeige eine Aufforderung zur manuellen Bestätigung an, wenn ein bereits überprüfter Kontakt ein neues Gerät hinzufügt.</t>
  </si>
  <si>
    <t>Automáticamente confiar en los nuevos dispositivos de tus contactos que no han sido verificados todavía, y solicitar confirmación manual cada vez que un contacto verificado añade un dispositivo nuevo.</t>
  </si>
  <si>
    <t>Faire automatiquement confiance aux nouveaux appareils des contacts qui n\'ont pas été vérifiés auparavant, et requérir une confirmation manuelle à chaque fois qu\'un contact vérifié auparavant utilise un nouvel appareil.</t>
  </si>
  <si>
    <t>Confiar de xeito automático en todos os novos dispositivos de contactos que aínda non fosen verificados antes, e solicitar confirmación manual cada ocasión que un contacto verificado engada un novo dispositivo.</t>
  </si>
  <si>
    <t>Automatikusan megbízik ismerőseid új, ellenőrizetlen eszközeiben. Ilyen esetekben manuális megerősítésre buzdítja a felhasználót.</t>
  </si>
  <si>
    <t>Fidati automaticamente di tutti i nuovi dispositivi di contatti che non sono stati verificati e chiedi una conferma manuale ogni volta che un contatto verificato aggiunge un dispositivo.</t>
  </si>
  <si>
    <t>以前に確認されていない連絡先の新しいデバイスをすべて自動的に信頼し、確認済の連絡先が新しいデバイスを追加するたびに手動で確認するよう促します。</t>
  </si>
  <si>
    <t>이전에 확인되지 않은 연락처의 새로운 장치를 자동으로 신뢰하고, 신속히 연락처가 새로운 장치를 추가 할 때마다 수동으로 확인하도록 요청합니다.</t>
  </si>
  <si>
    <t>Automatisch alle nieuwe ongeverifieerde apparaten van contacten vertrouwen en in het vervolg elke keer dat een contact een nieuw apparaat toevoegt vragen om bevestiging.</t>
  </si>
  <si>
    <t>Automatycznie ufaj wszystkim nowym urządzeniom kontaktów, którzy nie zostali zweryfikowani wcześniej i poproś o ręczne potwierdzenie za każdym razem, kiedy zweryfikowany kontakt dodaje nowe urządzenie.</t>
  </si>
  <si>
    <t>Автоматически доверять всем новым устройствам контактов, которые не были подтверждены ранее, и запрашивать ручное подтверждение каждый раз когда подтверждённый контакт добавляет новое устройство</t>
  </si>
  <si>
    <t>Аутоматски веруј свим новим уређајима особе и који нису раније оверени и питај за ручну потврду сваки пут када проверена особа дода нови уређај.</t>
  </si>
  <si>
    <t>Lita automatiskt på alla nya enheter för kontakter som inte har blivit verifierade tidigare, och be om manuell bekräftelse varje gång en verifierad kontakt lägger till en ny enhet.</t>
  </si>
  <si>
    <t>Автоматично довіряти всім новим пристроям контактів, які не були перевірені раніше, й запитувати підтвердження вручну кожного разу, коли перевірений контакт додає новий пристрій.</t>
  </si>
  <si>
    <t>自動信任還沒驗證過的聯絡人的所有新設備，但是當已經驗證過的聯絡人增加新設備時，會提示要手動驗證。</t>
  </si>
  <si>
    <t>public_conference</t>
  </si>
  <si>
    <t>Publicly accessible group chat</t>
  </si>
  <si>
    <t>فريق محادثة عمومي مفتوح للجميع</t>
  </si>
  <si>
    <t>Публично достъпен групов разговор</t>
  </si>
  <si>
    <t>Xat de grup amb accés públic</t>
  </si>
  <si>
    <t>Öffentlich zugänglicher Gruppenchat</t>
  </si>
  <si>
    <t>Conversación de acceso público</t>
  </si>
  <si>
    <t>Conversations de groupe publiques</t>
  </si>
  <si>
    <t>Conversa en grupo de acceso público</t>
  </si>
  <si>
    <t>Nyilvánosan hozzáférhető konferencia</t>
  </si>
  <si>
    <t>Chat di gruppo pubblicamente accessibile</t>
  </si>
  <si>
    <t>Openbaar groepsgesprek</t>
  </si>
  <si>
    <t>Publiczne konferencje</t>
  </si>
  <si>
    <t>Conversa em grupo acessível publicamente</t>
  </si>
  <si>
    <t>Публичная конференция</t>
  </si>
  <si>
    <t>Јавно доступно групно ћаскање</t>
  </si>
  <si>
    <t>tt_edgar_eps_basic</t>
  </si>
  <si>
    <t>EPS (TTM)</t>
  </si>
  <si>
    <t>الأرباح للسهم (اثني عشر شهرًا متتاليًا)</t>
  </si>
  <si>
    <t>Erg.je Aktie(TTM)</t>
  </si>
  <si>
    <t>BPA (1Año)</t>
  </si>
  <si>
    <t>BPA (TTM)</t>
  </si>
  <si>
    <t>ईपीएस (टीटीएम)</t>
  </si>
  <si>
    <t>רווח למניה (12 חודשים אחרונים)</t>
  </si>
  <si>
    <t>EPS(TTM)</t>
  </si>
  <si>
    <t>EPS / winst per aandeel (TTM)</t>
  </si>
  <si>
    <t>Zysk na akcję (12M)</t>
  </si>
  <si>
    <t>Прибыль на акцию (12М)</t>
  </si>
  <si>
    <t>Dobit po akciji (TTM)</t>
  </si>
  <si>
    <t>กำไรต่อหุ้น (TTM)</t>
  </si>
  <si>
    <t>HBK (12 ay)</t>
  </si>
  <si>
    <t>每股收益（TTM）</t>
  </si>
  <si>
    <t>edit</t>
  </si>
  <si>
    <t>تعديل</t>
  </si>
  <si>
    <t>Edita</t>
  </si>
  <si>
    <t>Modifier</t>
  </si>
  <si>
    <t>Ubah</t>
  </si>
  <si>
    <t>Modifica</t>
  </si>
  <si>
    <t>Bewerken</t>
  </si>
  <si>
    <t>Уреди</t>
  </si>
  <si>
    <t>Змінити</t>
  </si>
  <si>
    <t>編輯</t>
  </si>
  <si>
    <t>skip</t>
  </si>
  <si>
    <t>Skip</t>
  </si>
  <si>
    <t>تخطي</t>
  </si>
  <si>
    <t>Пропускане</t>
  </si>
  <si>
    <t>Salta</t>
  </si>
  <si>
    <t>Přeskočit</t>
  </si>
  <si>
    <t>Überspringen</t>
  </si>
  <si>
    <t>Παράλειψη</t>
  </si>
  <si>
    <t>Saltar</t>
  </si>
  <si>
    <t>Ohita</t>
  </si>
  <si>
    <t>Passer</t>
  </si>
  <si>
    <t>छोड़ें</t>
  </si>
  <si>
    <t>Kihagy</t>
  </si>
  <si>
    <t>Lewati</t>
  </si>
  <si>
    <t>Omettere</t>
  </si>
  <si>
    <t>דלג</t>
  </si>
  <si>
    <t>スキップする</t>
  </si>
  <si>
    <t>넘기기</t>
  </si>
  <si>
    <t>Langkaui</t>
  </si>
  <si>
    <t>Sla over</t>
  </si>
  <si>
    <t>Hopp over</t>
  </si>
  <si>
    <t>Пропустить</t>
  </si>
  <si>
    <t>Preskočiť</t>
  </si>
  <si>
    <t>Hoppa över</t>
  </si>
  <si>
    <t>ข้าม</t>
  </si>
  <si>
    <t>Atla</t>
  </si>
  <si>
    <t>Пропустити</t>
  </si>
  <si>
    <t>跳过</t>
  </si>
  <si>
    <t>slovenia</t>
  </si>
  <si>
    <t>Slovenia</t>
  </si>
  <si>
    <t>Slowenien</t>
  </si>
  <si>
    <t>Eslovenia</t>
  </si>
  <si>
    <t>Slovénie</t>
  </si>
  <si>
    <t>Словения</t>
  </si>
  <si>
    <t>Slovenija</t>
  </si>
  <si>
    <t>action_clear_history</t>
  </si>
  <si>
    <t>Clear history</t>
  </si>
  <si>
    <t>حذف سجل المحفوظات</t>
  </si>
  <si>
    <t>Изчистване на историята</t>
  </si>
  <si>
    <t>Neteja l\'historial</t>
  </si>
  <si>
    <t>Verlauf löschen</t>
  </si>
  <si>
    <t>Limpiar historial</t>
  </si>
  <si>
    <t>Vider l\'historique</t>
  </si>
  <si>
    <t>Limpar historial</t>
  </si>
  <si>
    <t>Előzmények törlése</t>
  </si>
  <si>
    <t>Bersihkan riwayat</t>
  </si>
  <si>
    <t>Pulisci la cronologia</t>
  </si>
  <si>
    <t>履歴をクリア</t>
  </si>
  <si>
    <t>기록 삭제</t>
  </si>
  <si>
    <t>Geschiedenis wissen</t>
  </si>
  <si>
    <t>Wyczyść historię</t>
  </si>
  <si>
    <t>Limpar histórico</t>
  </si>
  <si>
    <t>Очистить историю</t>
  </si>
  <si>
    <t>Vymazať históriu</t>
  </si>
  <si>
    <t>Очисти историјат</t>
  </si>
  <si>
    <t>Rensa historik</t>
  </si>
  <si>
    <t>Очистити історію</t>
  </si>
  <si>
    <t>Xoá lịch sử</t>
  </si>
  <si>
    <t>清除歷史記錄</t>
  </si>
  <si>
    <t>other</t>
  </si>
  <si>
    <t>OTHER</t>
  </si>
  <si>
    <t>ДРУГИ</t>
  </si>
  <si>
    <t>JINÝ</t>
  </si>
  <si>
    <t>ANDET</t>
  </si>
  <si>
    <t>ANDERE</t>
  </si>
  <si>
    <t>ΑΛΛΑ</t>
  </si>
  <si>
    <t>OTRO</t>
  </si>
  <si>
    <t>MUU</t>
  </si>
  <si>
    <t>AUTRE</t>
  </si>
  <si>
    <t>MÁS</t>
  </si>
  <si>
    <t>LAIN</t>
  </si>
  <si>
    <t>ALTRO</t>
  </si>
  <si>
    <t>אחר</t>
  </si>
  <si>
    <t>ANNEN</t>
  </si>
  <si>
    <t>INNY</t>
  </si>
  <si>
    <t>OUTRO</t>
  </si>
  <si>
    <t>ALTELE</t>
  </si>
  <si>
    <t>ДРУГИЕ</t>
  </si>
  <si>
    <t>INÉ</t>
  </si>
  <si>
    <t>DRUGO</t>
  </si>
  <si>
    <t>DRUGI</t>
  </si>
  <si>
    <t>ÖVRIGA</t>
  </si>
  <si>
    <t>DİĞER</t>
  </si>
  <si>
    <t>KHÁC</t>
  </si>
  <si>
    <t>%d 則訊息&lt;/item</t>
  </si>
  <si>
    <t>accept</t>
  </si>
  <si>
    <t>Accept</t>
  </si>
  <si>
    <t>قبول</t>
  </si>
  <si>
    <t>Приемане</t>
  </si>
  <si>
    <t>Accepta</t>
  </si>
  <si>
    <t>Annehmen</t>
  </si>
  <si>
    <t>Aceptar</t>
  </si>
  <si>
    <t>Accepter</t>
  </si>
  <si>
    <t>Elfogad</t>
  </si>
  <si>
    <t>Terima</t>
  </si>
  <si>
    <t>Accetta</t>
  </si>
  <si>
    <t>受付</t>
  </si>
  <si>
    <t>수락</t>
  </si>
  <si>
    <t>Aanvaarden</t>
  </si>
  <si>
    <t>Akceptuj</t>
  </si>
  <si>
    <t>Aceitar</t>
  </si>
  <si>
    <t>Принять</t>
  </si>
  <si>
    <t>Prijať</t>
  </si>
  <si>
    <t>Прихвати</t>
  </si>
  <si>
    <t>Acceptera</t>
  </si>
  <si>
    <t>Прийняти</t>
  </si>
  <si>
    <t>Chấp thuận</t>
  </si>
  <si>
    <t>接受</t>
  </si>
  <si>
    <t>save</t>
  </si>
  <si>
    <t>Запазване</t>
  </si>
  <si>
    <t>Desa</t>
  </si>
  <si>
    <t>Enregistrer</t>
  </si>
  <si>
    <t>Gardar</t>
  </si>
  <si>
    <t>Opslaan</t>
  </si>
  <si>
    <t>Сачувај</t>
  </si>
  <si>
    <t>Зберегти</t>
  </si>
  <si>
    <t>error_not_an_image_file</t>
  </si>
  <si>
    <t>The file you selected is not an image</t>
  </si>
  <si>
    <t>الملف الذي حددته ليس صورة</t>
  </si>
  <si>
    <t>Избраният файл не е изображение</t>
  </si>
  <si>
    <t>L\'arxiu triat no és una imatge</t>
  </si>
  <si>
    <t>Die ausgewählte Datei ist kein Bild</t>
  </si>
  <si>
    <t>El archivo seleccionado no es una imagen</t>
  </si>
  <si>
    <t>Le fichier choisi n\'est pas une image</t>
  </si>
  <si>
    <t>O arquivo seleccionado non é unha imaxe</t>
  </si>
  <si>
    <t>A kiválasztott fájl nem képfájl</t>
  </si>
  <si>
    <t>Berkas yang anda pilih bukan gambar</t>
  </si>
  <si>
    <t>Il file selezionato non è un’immagine</t>
  </si>
  <si>
    <t>選択したファイルは画像ではありません</t>
  </si>
  <si>
    <t>선택한 파일은 이미지가 아닙니다</t>
  </si>
  <si>
    <t>Het bestand dat je gekozen hebt is geen afbeelding</t>
  </si>
  <si>
    <t>Wybrany plik nie jest obrazem</t>
  </si>
  <si>
    <t>O arquivo selecionado não é uma imagem</t>
  </si>
  <si>
    <t>Выбранный файл не является изображением</t>
  </si>
  <si>
    <t>Vybraný súbor nie je obrázok</t>
  </si>
  <si>
    <t>Изабрани фајл није слика</t>
  </si>
  <si>
    <t>Filen du valt är inte en bild</t>
  </si>
  <si>
    <t>Файл, який Ви вибрали, не є зображенням</t>
  </si>
  <si>
    <t>Tập tin bạn chọn không phải là hình ảnh</t>
  </si>
  <si>
    <t>選擇的檔案不是一張圖片</t>
  </si>
  <si>
    <t>tt_edit_chart_template</t>
  </si>
  <si>
    <t>Edit Chart Template</t>
  </si>
  <si>
    <t>تحرير قالب المخطط</t>
  </si>
  <si>
    <t>Редактирай шаблона на графиката</t>
  </si>
  <si>
    <t>Upravit šablonu grafu</t>
  </si>
  <si>
    <t>Rediger diagramskabelon</t>
  </si>
  <si>
    <t>Chart Template bearbeiten</t>
  </si>
  <si>
    <t>Επεξεργασία προτύπου γραφήματος</t>
  </si>
  <si>
    <t>Editar la plantilla del gráfico</t>
  </si>
  <si>
    <t>Muokkaa kaavion mallia</t>
  </si>
  <si>
    <t>Editer le modèle de graphique</t>
  </si>
  <si>
    <t>चार्ट टेम्पलेट को एडिट करें</t>
  </si>
  <si>
    <t>Grafikon sablon szerkesztése</t>
  </si>
  <si>
    <t>Edit Template Bagan</t>
  </si>
  <si>
    <t>Modifica Modello del Grafico</t>
  </si>
  <si>
    <t>ערוך תבנית גרף</t>
  </si>
  <si>
    <t>図表テンプレートの編集</t>
  </si>
  <si>
    <t>차트 템플릿 편집</t>
  </si>
  <si>
    <t>Sunting Templat Carta</t>
  </si>
  <si>
    <t>Pas Grafiek Sjabloon aan</t>
  </si>
  <si>
    <t>Rediger diagrammal</t>
  </si>
  <si>
    <t>Edycja szablonu wykresu</t>
  </si>
  <si>
    <t>Editar modelo de gráfico</t>
  </si>
  <si>
    <t>Editează Șablonul Graficului</t>
  </si>
  <si>
    <t>Редактировать графический шаблон</t>
  </si>
  <si>
    <t>Upraviť šablónu grafu</t>
  </si>
  <si>
    <t>Uredi predlogo grafikona</t>
  </si>
  <si>
    <t>Promenite templajt</t>
  </si>
  <si>
    <t>Redigera diagrammall</t>
  </si>
  <si>
    <t>แก้ไขเท็มเพล็ตแผนภูมิ</t>
  </si>
  <si>
    <t>Grafik Şablonunu Düzenle</t>
  </si>
  <si>
    <t>Chỉnh sửa mẫu biểu đồ</t>
  </si>
  <si>
    <t>编辑图表模板</t>
  </si>
  <si>
    <t>&gt;編輯圖表模板</t>
  </si>
  <si>
    <t>other_devices</t>
  </si>
  <si>
    <t>Other devices</t>
  </si>
  <si>
    <t>أجهزة أخرى</t>
  </si>
  <si>
    <t>Други устройства</t>
  </si>
  <si>
    <t>Altres dispositius</t>
  </si>
  <si>
    <t>Andere Geräte</t>
  </si>
  <si>
    <t>Otros dispositivos</t>
  </si>
  <si>
    <t>Autres appareils</t>
  </si>
  <si>
    <t>Outros dispositivos</t>
  </si>
  <si>
    <t>Más eszközök</t>
  </si>
  <si>
    <t>Perangkat lainnya</t>
  </si>
  <si>
    <t>Altri dispositivi</t>
  </si>
  <si>
    <t>他のデバイス</t>
  </si>
  <si>
    <t>다른 기기들</t>
  </si>
  <si>
    <t>Andere apparaten</t>
  </si>
  <si>
    <t>Pozostałe urządzenia</t>
  </si>
  <si>
    <t>Другие устройства</t>
  </si>
  <si>
    <t>Ostatné zariadenia</t>
  </si>
  <si>
    <t>Остали уређаји</t>
  </si>
  <si>
    <t>Andra enheter</t>
  </si>
  <si>
    <t>Інші пристрої</t>
  </si>
  <si>
    <t>Các thiết bị khác</t>
  </si>
  <si>
    <t>其他設備</t>
  </si>
  <si>
    <t>download_failed_file_not_found</t>
  </si>
  <si>
    <t>Download failed: File not found</t>
  </si>
  <si>
    <t>فشل التنزيل : لم يتم العثور على الملف</t>
  </si>
  <si>
    <t>Неуспешно сваляне: Файлът не е открит</t>
  </si>
  <si>
    <t>S\'ha produït un error de baixada: no s\'ha trobat el fitxer</t>
  </si>
  <si>
    <t>Download fehlgeschlagen: Datei nicht gefunden</t>
  </si>
  <si>
    <t>Error al descargar: Archivo no encontrado</t>
  </si>
  <si>
    <t>Échec du téléchargement : impossible de trouver le fichier</t>
  </si>
  <si>
    <t>Fallou a descarga: non se atopou o ficheiro</t>
  </si>
  <si>
    <t>Letöltés sikertelen: A fájl nem található</t>
  </si>
  <si>
    <t>Unduh gagal: Berkas tidak ditemukan</t>
  </si>
  <si>
    <t>Scaricamento fallito: file non trovato</t>
  </si>
  <si>
    <t>ダウンロードに失敗しました: ファイルが見つかりません</t>
  </si>
  <si>
    <t>다운로드 실패: 파일이 발견되지 않음</t>
  </si>
  <si>
    <t>Downloaden mislukt: bestand niet gevonden</t>
  </si>
  <si>
    <t>Pobieranie nieudane: Nie odnaleziono pliku</t>
  </si>
  <si>
    <t>Transferência falhou: Ficheiro não encontrado</t>
  </si>
  <si>
    <t>Загрузка не удалась: файл не найден</t>
  </si>
  <si>
    <t>Преузимање није успело: фајл није нађен</t>
  </si>
  <si>
    <t>Nerladdning gick fel: Filen hittades inte</t>
  </si>
  <si>
    <t>Tải xuống thất bại: Không thấy tập tin</t>
  </si>
  <si>
    <t>下載失敗：找不到檔案</t>
  </si>
  <si>
    <t>tt_add_new_symbol</t>
  </si>
  <si>
    <t>Add new security</t>
  </si>
  <si>
    <t>إضافة عامل أمان جديد</t>
  </si>
  <si>
    <t>Добави нова сигурност</t>
  </si>
  <si>
    <t>Přidat nové zabezpečení</t>
  </si>
  <si>
    <t>Tilføj ny sikkerhed</t>
  </si>
  <si>
    <t>Προσθέστε νέου χρεόγραφου</t>
  </si>
  <si>
    <t>Añadir seguridad</t>
  </si>
  <si>
    <t>Lisää uusi arvopaperi</t>
  </si>
  <si>
    <t>Ajouter de nouveaux titres</t>
  </si>
  <si>
    <t>नई सुरक्षा को जोड़ें</t>
  </si>
  <si>
    <t>Új értékpapír hozzáadása</t>
  </si>
  <si>
    <t>Tambah keselamatan baru</t>
  </si>
  <si>
    <t>Aggiungi nuovo simbolo</t>
  </si>
  <si>
    <t>הוסף מניה</t>
  </si>
  <si>
    <t>銘柄追加</t>
  </si>
  <si>
    <t>새 유가증권 추가</t>
  </si>
  <si>
    <t>Voeg een nieuw effect/aandeel toe</t>
  </si>
  <si>
    <t>Legg til ny sikkerhet</t>
  </si>
  <si>
    <t>Dodaj nowe instrumenty</t>
  </si>
  <si>
    <t>Acrescentar nova securitização</t>
  </si>
  <si>
    <t>Adăugă o nouă securitate</t>
  </si>
  <si>
    <t>Добавить ценную бумагу</t>
  </si>
  <si>
    <t>Pridať nové zabezpečenie</t>
  </si>
  <si>
    <t>Dodajte novo varnost</t>
  </si>
  <si>
    <t>Dodaj novu HoV</t>
  </si>
  <si>
    <t>Lägg till nytt värdepapper</t>
  </si>
  <si>
    <t>เพิ่มหลักทรัพย์ใหม่</t>
  </si>
  <si>
    <t>Yeni menkul kıymet ekle</t>
  </si>
  <si>
    <t>Thêm chứng khoán mới</t>
  </si>
  <si>
    <t>加入新证券</t>
  </si>
  <si>
    <t>&gt;加入新證券</t>
  </si>
  <si>
    <t>yesterday</t>
  </si>
  <si>
    <t>Yesterday</t>
  </si>
  <si>
    <t>البارحة</t>
  </si>
  <si>
    <t>Вчера</t>
  </si>
  <si>
    <t>Ahir</t>
  </si>
  <si>
    <t>Gestern</t>
  </si>
  <si>
    <t>Ayer</t>
  </si>
  <si>
    <t>Hier</t>
  </si>
  <si>
    <t>Onte</t>
  </si>
  <si>
    <t>Tegnap</t>
  </si>
  <si>
    <t>Ieri</t>
  </si>
  <si>
    <t>昨日</t>
  </si>
  <si>
    <t>Gisteren</t>
  </si>
  <si>
    <t>Wczoraj</t>
  </si>
  <si>
    <t>Јуче</t>
  </si>
  <si>
    <t>Учора</t>
  </si>
  <si>
    <t>tt_news</t>
  </si>
  <si>
    <t>الأخبار</t>
  </si>
  <si>
    <t>Новини</t>
  </si>
  <si>
    <t>Zprávy</t>
  </si>
  <si>
    <t>Nyheder</t>
  </si>
  <si>
    <t>Νέα</t>
  </si>
  <si>
    <t>Uutiset</t>
  </si>
  <si>
    <t>Actualités</t>
  </si>
  <si>
    <t>समाचार</t>
  </si>
  <si>
    <t>Berita</t>
  </si>
  <si>
    <t>Le notizie</t>
  </si>
  <si>
    <t>חדשות</t>
  </si>
  <si>
    <t>ニュース</t>
  </si>
  <si>
    <t>뉴스</t>
  </si>
  <si>
    <t>Nieuws</t>
  </si>
  <si>
    <t>Nyheter</t>
  </si>
  <si>
    <t>Notícias</t>
  </si>
  <si>
    <t>Știri</t>
  </si>
  <si>
    <t>Správy</t>
  </si>
  <si>
    <t>Novice</t>
  </si>
  <si>
    <t>Vesti</t>
  </si>
  <si>
    <t>ข่าว</t>
  </si>
  <si>
    <t>Haberler</t>
  </si>
  <si>
    <t>Tin tức</t>
  </si>
  <si>
    <t>新闻</t>
  </si>
  <si>
    <t>&gt;新聞</t>
  </si>
  <si>
    <t>tt_gotowatchlist</t>
  </si>
  <si>
    <t>Go to Watchlist</t>
  </si>
  <si>
    <t>انتقال إلى قائمة المتابعة</t>
  </si>
  <si>
    <t>Отиди в уочлист</t>
  </si>
  <si>
    <t>Přejít na seznam sledovaných</t>
  </si>
  <si>
    <t>Gå til overvågningslisten</t>
  </si>
  <si>
    <t>Zur Kursliste wechseln</t>
  </si>
  <si>
    <t>Μεταβείτε στη λίστα παρακολούθησης</t>
  </si>
  <si>
    <t>Ir a lista de seguimiento</t>
  </si>
  <si>
    <t>Siirry tarkkailulistaan</t>
  </si>
  <si>
    <t>Aller à la liste personnelle</t>
  </si>
  <si>
    <t>वॉचलिस्ट पर जाएँ</t>
  </si>
  <si>
    <t>Váltás a figyelőlistára</t>
  </si>
  <si>
    <t>Pergi ke Daftar Pantauan</t>
  </si>
  <si>
    <t>Vai alla Watchlist</t>
  </si>
  <si>
    <t>עבור לרשימת המעקב</t>
  </si>
  <si>
    <t>보기목록으로 이동</t>
  </si>
  <si>
    <t>Pergi ke Senarai Pantau</t>
  </si>
  <si>
    <t>Ga naar Favorietenlijst</t>
  </si>
  <si>
    <t>Gå til overvåkningsliste</t>
  </si>
  <si>
    <t>Idź do listy obserwowanych</t>
  </si>
  <si>
    <t>Ir a lista de observação</t>
  </si>
  <si>
    <t>Mergi la Listele de Vizualizare</t>
  </si>
  <si>
    <t>Перейти в список наблюдения</t>
  </si>
  <si>
    <t>Prejdite na sledovaný zoznam</t>
  </si>
  <si>
    <t>Pojdite na seznam ogledov</t>
  </si>
  <si>
    <t>Idi na Watch listu</t>
  </si>
  <si>
    <t>Gå till bevakningslistan</t>
  </si>
  <si>
    <t>ไปที่รายการหุ้นที่ติดตาม</t>
  </si>
  <si>
    <t>İzleme Listesine Git</t>
  </si>
  <si>
    <t>Chuyển đến danh mục theo dõi</t>
  </si>
  <si>
    <t>到收藏夹</t>
  </si>
  <si>
    <t>&gt;到收藏夾</t>
  </si>
  <si>
    <t>pref_vibrate_summary</t>
  </si>
  <si>
    <t>Vibrate when a new message arrives</t>
  </si>
  <si>
    <t>إهتز عند وصول رسالة جديدة</t>
  </si>
  <si>
    <t>Вибриране при получаване на ново съобщение</t>
  </si>
  <si>
    <t>Vibra quan arribi un missatge nou</t>
  </si>
  <si>
    <t>Vibrieren bei Erhalt einer neuen Nachricht</t>
  </si>
  <si>
    <t>Vibra cuando llega un nuevo mensaje</t>
  </si>
  <si>
    <t>Vibrer lors de la réception d\'un message</t>
  </si>
  <si>
    <t>Vibra cando chega unha nova mensaxe</t>
  </si>
  <si>
    <t>Rezegjen új üzenet érkezésekor</t>
  </si>
  <si>
    <t>Aktifkan getar ketika pesan masuk</t>
  </si>
  <si>
    <t>Vibra quando arriva un nuovo messaggio</t>
  </si>
  <si>
    <t>新しいメッセージが届いたときに振動します</t>
  </si>
  <si>
    <t>새 메세지 도착시 진동</t>
  </si>
  <si>
    <t>Trillen wanneer een nieuw bericht ontvangen wordt</t>
  </si>
  <si>
    <t>Wibruj gdy nadejdzie wiadomość</t>
  </si>
  <si>
    <t>Vibrar quando uma nova mensagem for recebida</t>
  </si>
  <si>
    <t>Вибрировать, когда приходят новые сообщения</t>
  </si>
  <si>
    <t>Вибрирање кад стигне нова порука</t>
  </si>
  <si>
    <t>Vibrera när meddelande tagits emot</t>
  </si>
  <si>
    <t>Вібрувати, коли приходять нові повідомлення</t>
  </si>
  <si>
    <t>Rung khi có tin nhắn mới</t>
  </si>
  <si>
    <t>收到新訊息時震動</t>
  </si>
  <si>
    <t>pref_export_logs_summary</t>
  </si>
  <si>
    <t>Write conversations history logs to SD card</t>
  </si>
  <si>
    <t>الإحتفاظ بسجلات التأريخ في بطاقة الذاكرة</t>
  </si>
  <si>
    <t>Записване на журналите на разговорите в картата с памет</t>
  </si>
  <si>
    <t>Escriviu el registre d\'històrial de converses a la targeta SD</t>
  </si>
  <si>
    <t>Chatverlauf auf SD-Karte schreiben</t>
  </si>
  <si>
    <t>Escribir historial de conversación en la tarjeta SD</t>
  </si>
  <si>
    <t>Sauvegarder l\'historique des conversations sur la carte SD</t>
  </si>
  <si>
    <t>Escribir os rexistros históricos de conversas a tarxeta SD</t>
  </si>
  <si>
    <t>A beszélgetések tartalmának naplóját lementi az SD kártyára</t>
  </si>
  <si>
    <t>Scrivi la cronologia delle conversazioni nella scheda SD</t>
  </si>
  <si>
    <t>会話履歴ログを SD カードに書き込みます</t>
  </si>
  <si>
    <t>SD카드에 히스토리 로그 쓰기</t>
  </si>
  <si>
    <t>Gespreksgeschiedenis schrijven naar SD-kaart</t>
  </si>
  <si>
    <t>Zapisz historię rozmów na karcie SD</t>
  </si>
  <si>
    <t>Escrever os logs do histórico de conversas para o cartão SD</t>
  </si>
  <si>
    <t>Записать историю бесед на SD карту</t>
  </si>
  <si>
    <t>Упис историјата преписки на СД картицу</t>
  </si>
  <si>
    <t>Skriv loggar av konversationer till SD-kort</t>
  </si>
  <si>
    <t>Записати журнали історії листування до картки SD</t>
  </si>
  <si>
    <t>將 conversations 的歷史日誌寫到 SD 卡</t>
  </si>
  <si>
    <t>share_as_barcode</t>
  </si>
  <si>
    <t>Share as Barcode</t>
  </si>
  <si>
    <t>شاركه كشَفْرة خَيْطيّة</t>
  </si>
  <si>
    <t>Споделяне като баркод</t>
  </si>
  <si>
    <t>Comparteix com a codi de barres</t>
  </si>
  <si>
    <t>Als Barcode teilen</t>
  </si>
  <si>
    <t>Compartir como código QR</t>
  </si>
  <si>
    <t>Partager par code-barres</t>
  </si>
  <si>
    <t>Compartir como código de barras</t>
  </si>
  <si>
    <t>Megosztás vonalkóddal</t>
  </si>
  <si>
    <t>Condividi come codice a barre</t>
  </si>
  <si>
    <t>バーコードとして共有</t>
  </si>
  <si>
    <t>바코드로 공유</t>
  </si>
  <si>
    <t>Delen als streepjescode</t>
  </si>
  <si>
    <t>Udostępnij przez kod QR</t>
  </si>
  <si>
    <t>Отправить штрихкод</t>
  </si>
  <si>
    <t>Подели као бар-кôд</t>
  </si>
  <si>
    <t>Dela som streckkod</t>
  </si>
  <si>
    <t>Поділитися через QR-код</t>
  </si>
  <si>
    <t>分享條碼</t>
  </si>
  <si>
    <t>tt_period_small_intraday15</t>
  </si>
  <si>
    <t>15 min.</t>
  </si>
  <si>
    <t>15 мин.</t>
  </si>
  <si>
    <t>15 मिनट।</t>
  </si>
  <si>
    <t>15 minutos</t>
  </si>
  <si>
    <t>15 min</t>
  </si>
  <si>
    <t>15 dk.</t>
  </si>
  <si>
    <t>no_conference_server_found</t>
  </si>
  <si>
    <t>No group chat server found</t>
  </si>
  <si>
    <t>Не е открит сървър за груповия разговор</t>
  </si>
  <si>
    <t>No s\'ha trobat cap servidor de xat de grup</t>
  </si>
  <si>
    <t>Keinen Gruppenchatserver gefunden</t>
  </si>
  <si>
    <t>No se ha encontrado el servidor de la conversación en grupo</t>
  </si>
  <si>
    <t>Serveur de conversation de groupe non trouvé</t>
  </si>
  <si>
    <t>Non se atopou ningún servidor de conversa en grupo</t>
  </si>
  <si>
    <t>Nem található konferencia szerver</t>
  </si>
  <si>
    <t>Nessun server per chat di gruppo trovato</t>
  </si>
  <si>
    <t>談話室のサーバーが見つかりませんでした</t>
  </si>
  <si>
    <t>Geen groepsgespreksserver gevonden</t>
  </si>
  <si>
    <t>Nie znaleziono serwera konferencji</t>
  </si>
  <si>
    <t>Não foi encontrado nenhum servidor de conversa em grupo</t>
  </si>
  <si>
    <t>Сервер конференции не найден</t>
  </si>
  <si>
    <t>Сервер групног ћаскања није нађен</t>
  </si>
  <si>
    <t>equatorial_guinea</t>
  </si>
  <si>
    <t>Equatorial Guinea</t>
  </si>
  <si>
    <t>Äquatorialguinea</t>
  </si>
  <si>
    <t>Guinea Ecuatorial</t>
  </si>
  <si>
    <t>Guinée Équatoriale</t>
  </si>
  <si>
    <t>Экваториальная Гвинея</t>
  </si>
  <si>
    <t>Ekvatorialna Gvineja</t>
  </si>
  <si>
    <t>tunisia</t>
  </si>
  <si>
    <t>Tunisia</t>
  </si>
  <si>
    <t>Tunesien</t>
  </si>
  <si>
    <t>Túnez</t>
  </si>
  <si>
    <t>Tunisie</t>
  </si>
  <si>
    <t>Тунис</t>
  </si>
  <si>
    <t>Tunis</t>
  </si>
  <si>
    <t>sweden</t>
  </si>
  <si>
    <t>Sweden</t>
  </si>
  <si>
    <t>Schweden</t>
  </si>
  <si>
    <t>Suecia</t>
  </si>
  <si>
    <t>Suède</t>
  </si>
  <si>
    <t>Швеция</t>
  </si>
  <si>
    <t>Švedska</t>
  </si>
  <si>
    <t>pref_allow_message_correction</t>
  </si>
  <si>
    <t>Allow message correction</t>
  </si>
  <si>
    <t>السماح بمراجعة الرسالة</t>
  </si>
  <si>
    <t>Позволяване на поправянето на съобщения</t>
  </si>
  <si>
    <t>Permet la correcció de missatges</t>
  </si>
  <si>
    <t>Nachrichtenkorrektur erlauben</t>
  </si>
  <si>
    <t>Corrección de mensaje</t>
  </si>
  <si>
    <t>Autoriser la correction</t>
  </si>
  <si>
    <t>Permitir a corrección de mensaxes</t>
  </si>
  <si>
    <t>Üzenetek kijavításának engedélyezése</t>
  </si>
  <si>
    <t>Permetti correzione del messaggio</t>
  </si>
  <si>
    <t>メッセージの修正を許可</t>
  </si>
  <si>
    <t>메세지 정정 허가</t>
  </si>
  <si>
    <t>Berichtcorrectie toestaan</t>
  </si>
  <si>
    <t>Pozwól na poprawianie wiadomości</t>
  </si>
  <si>
    <t>Permitir a correção de mensagens</t>
  </si>
  <si>
    <t>Разрешить исправление сообщений</t>
  </si>
  <si>
    <t>Дозволи исправљање порука</t>
  </si>
  <si>
    <t>Tillåt korrigeringar av meddelanden</t>
  </si>
  <si>
    <t>Дозволити міняти повідомлення</t>
  </si>
  <si>
    <t>允許更正訊息</t>
  </si>
  <si>
    <t>openpgp_error</t>
  </si>
  <si>
    <t>OpenKeychain reported an error.</t>
  </si>
  <si>
    <t>OpenKeychain докладва за грешка.</t>
  </si>
  <si>
    <t>OpenKeychain va reportar un error.</t>
  </si>
  <si>
    <t>OpenKeychain meldete einen Fehler.</t>
  </si>
  <si>
    <t>OpenKeychain reportó un error.</t>
  </si>
  <si>
    <t>OpenKeychain informou de un fallo.</t>
  </si>
  <si>
    <t>Az OpenKeychain hibát jelzett.</t>
  </si>
  <si>
    <t>OpenKeychain ha riportato un errore.</t>
  </si>
  <si>
    <t>OpenKeychain rapporteerde een fout.</t>
  </si>
  <si>
    <t>OpenKeychain zgłosiło błąd.</t>
  </si>
  <si>
    <t>tt_period_small_intraday10</t>
  </si>
  <si>
    <t>10 min.</t>
  </si>
  <si>
    <t>10 мин.</t>
  </si>
  <si>
    <t>10 min</t>
  </si>
  <si>
    <t>10 मिनट।</t>
  </si>
  <si>
    <t>10 dk.</t>
  </si>
  <si>
    <t>huawei_protected_apps_summary</t>
  </si>
  <si>
    <t>To keep receiving notifications, even when the screen is turned off, you need to add Conversations to the list of protected apps.</t>
  </si>
  <si>
    <t>Ако искате да продължите да получавате известия дори когато екранът е заключен, трябва да добавите „Conversations“ към списъка от защитени приложения.</t>
  </si>
  <si>
    <t>Per continuar rebent notificacions, fins i tot quan la pantalla està apagada, heu d\'afegir Converses a la llista d\'aplicacions protegides.</t>
  </si>
  <si>
    <t>Um weiterhin Benachrichtigungen zu erhalten, auch wenn der Bildschirm ausgeschaltet ist, musst du Conversations zur Liste der geschützten Apps hinzufügen.</t>
  </si>
  <si>
    <t>Para seguir recibiendo notificaciones, incluso cuando la pantalla está apagada, necesitas añadir Conversations a la lista de aplicaciones protegidas.</t>
  </si>
  <si>
    <t>Pour recevoir les notifications, même lorsque l\'écran est éteint, vous devez ajouter Conversations à la liste des applications protégées.</t>
  </si>
  <si>
    <t>Para seguir recibindo notificacións, incluso cando a pantalla está apagada, precisa engadir Conversations a lista de apps protexidos.</t>
  </si>
  <si>
    <t>Ha értesítést szeretne kapni, még akkor is, ha a képernyő ki van kapcsolva, hozzá kell adnia a Conversations-t a védett alkalmazások listájához.</t>
  </si>
  <si>
    <t>Per ricevere notifiche anche quando lo schermo è spento, devi aggiungere Conversations all\'elenco delle app protette.</t>
  </si>
  <si>
    <t>Om meldingen te blijven ontvangen, zelfs wanneer het scherm uit staat, moet je Conversations toevoegen aan de lijst met beschermde apps.</t>
  </si>
  <si>
    <t>Aby otrzymywać wiadomości kiedy ekran jest wyłączony musisz dodać Conversations do listy aplikacji chronionych.</t>
  </si>
  <si>
    <t>copy_original_url</t>
  </si>
  <si>
    <t>Copy original URL</t>
  </si>
  <si>
    <t>أنسخ الرابط الأصلي</t>
  </si>
  <si>
    <t>Копиране на оригиналния адрес</t>
  </si>
  <si>
    <t>Copiar la URL original</t>
  </si>
  <si>
    <t>Original-URL kopieren</t>
  </si>
  <si>
    <t>Copiar URL original</t>
  </si>
  <si>
    <t>Copier l\'URL</t>
  </si>
  <si>
    <t>Copiar URL orixinal</t>
  </si>
  <si>
    <t>Eredeti URL másolása</t>
  </si>
  <si>
    <t>Salin URL asli</t>
  </si>
  <si>
    <t>Copia URL originale</t>
  </si>
  <si>
    <t>元の URL をコピー</t>
  </si>
  <si>
    <t>원본 URL 복사</t>
  </si>
  <si>
    <t>Oorspronkelijke URL kopiëren</t>
  </si>
  <si>
    <t>Skopiuj oryginalny URL</t>
  </si>
  <si>
    <t>Copiar o URL original</t>
  </si>
  <si>
    <t>Копировать адрес ссылки</t>
  </si>
  <si>
    <t>Skopírovať originálny URL</t>
  </si>
  <si>
    <t>Копирај изворни УРЛ</t>
  </si>
  <si>
    <t>Kopiera orginal-URL</t>
  </si>
  <si>
    <t>Orijinal URL\'yi kopyalayın</t>
  </si>
  <si>
    <t>Скопіювати оригінальний URL</t>
  </si>
  <si>
    <t>Sao chép URL gốc</t>
  </si>
  <si>
    <t>拷貝原始URL</t>
  </si>
  <si>
    <t>mayotte</t>
  </si>
  <si>
    <t>Mayotte</t>
  </si>
  <si>
    <t>Майотта</t>
  </si>
  <si>
    <t>Majoti</t>
  </si>
  <si>
    <t>show_block_list</t>
  </si>
  <si>
    <t>Show block list</t>
  </si>
  <si>
    <t>إعرض قائمة المحبوسين</t>
  </si>
  <si>
    <t>Показване на списъка с блокирани</t>
  </si>
  <si>
    <t>Mostra la llista de bloqueig</t>
  </si>
  <si>
    <t>Sperrliste anzeigen</t>
  </si>
  <si>
    <t>Mostrar contactos bloqueados</t>
  </si>
  <si>
    <t>Afficher la liste des contacts bloqués</t>
  </si>
  <si>
    <t>Mostrar lista de bloqueo</t>
  </si>
  <si>
    <t>Tiltólista mutatása</t>
  </si>
  <si>
    <t>Tampilkan daftar blokir</t>
  </si>
  <si>
    <t>Mostra la lista nera</t>
  </si>
  <si>
    <t>ブロックリストを表示</t>
  </si>
  <si>
    <t>차단 목록 보기</t>
  </si>
  <si>
    <t>Geblokkeerde contacten weergeven</t>
  </si>
  <si>
    <t>Wyświetl listę banów</t>
  </si>
  <si>
    <t>Mostar lista de bloqueios</t>
  </si>
  <si>
    <t>Показать чёрный список</t>
  </si>
  <si>
    <t>Zobraziť zoznam blokovaných</t>
  </si>
  <si>
    <t>Прикажи списак блокираних</t>
  </si>
  <si>
    <t>Visa blockeringslista</t>
  </si>
  <si>
    <t>Показати список блокування</t>
  </si>
  <si>
    <t>Quét danh sách chặn</t>
  </si>
  <si>
    <t>顯示封鎖清單</t>
  </si>
  <si>
    <t>enter_your_name</t>
  </si>
  <si>
    <t>Enter your name</t>
  </si>
  <si>
    <t>Въведете името си</t>
  </si>
  <si>
    <t>Deinen Namen eingeben</t>
  </si>
  <si>
    <t>Introduce tu nombre</t>
  </si>
  <si>
    <t>Introduza o seu nome</t>
  </si>
  <si>
    <t>Adja meg nevét</t>
  </si>
  <si>
    <t>Inserisci il tuo nome</t>
  </si>
  <si>
    <t>Voer je naam in</t>
  </si>
  <si>
    <t>Wpisz swoją nazwę</t>
  </si>
  <si>
    <t>import_finish_title</t>
  </si>
  <si>
    <t>Import finished</t>
  </si>
  <si>
    <t>اكتمل الاستيراد</t>
  </si>
  <si>
    <t>Импортирането приключи</t>
  </si>
  <si>
    <t>Import byl dokončen</t>
  </si>
  <si>
    <t>Importen er færdig</t>
  </si>
  <si>
    <t>Import abgeschlossen</t>
  </si>
  <si>
    <t>Η εισαγωγή ολοκληρώθηκε</t>
  </si>
  <si>
    <t>Importación completada</t>
  </si>
  <si>
    <t>Tuonti valmis</t>
  </si>
  <si>
    <t>Importation terminée</t>
  </si>
  <si>
    <t>इम्पोर्ट पूर्ण हुआ</t>
  </si>
  <si>
    <t>Importálás befejeződött</t>
  </si>
  <si>
    <t>Import selesai</t>
  </si>
  <si>
    <t>Import finito</t>
  </si>
  <si>
    <t>היבוא הסתיים</t>
  </si>
  <si>
    <t>インポートが終了しました</t>
  </si>
  <si>
    <t>가져오기를 완료했습니다</t>
  </si>
  <si>
    <t>Importatie afgerond</t>
  </si>
  <si>
    <t>Importen er ferdig</t>
  </si>
  <si>
    <t>Import zakończony</t>
  </si>
  <si>
    <t>Importação completa</t>
  </si>
  <si>
    <t>Importul a fost finalizat</t>
  </si>
  <si>
    <t>Импорт завершён</t>
  </si>
  <si>
    <t>Import bol dokončený</t>
  </si>
  <si>
    <t>Uvoz je končan</t>
  </si>
  <si>
    <t>Uvoz završen</t>
  </si>
  <si>
    <t>Importen är klar</t>
  </si>
  <si>
    <t>นำเข้าเรียบร้อยแล้ว</t>
  </si>
  <si>
    <t>İçe aktarma tamamlandı</t>
  </si>
  <si>
    <t>Đã nhập xong</t>
  </si>
  <si>
    <t>输出完成</t>
  </si>
  <si>
    <t>&gt;輸出完成</t>
  </si>
  <si>
    <t>ok</t>
  </si>
  <si>
    <t>Добре</t>
  </si>
  <si>
    <t>D\'acord</t>
  </si>
  <si>
    <t>Rendben</t>
  </si>
  <si>
    <t>YA</t>
  </si>
  <si>
    <t>Oké</t>
  </si>
  <si>
    <t>Ok</t>
  </si>
  <si>
    <t>ОК</t>
  </si>
  <si>
    <t>У реду</t>
  </si>
  <si>
    <t>Гаразд</t>
  </si>
  <si>
    <t>pref_blind_trust_before_verification</t>
  </si>
  <si>
    <t>Blind Trust Before Verification</t>
  </si>
  <si>
    <t>الثقة العمياء قبل التحقق</t>
  </si>
  <si>
    <t>Доверяване на сляпо преди потвърждение</t>
  </si>
  <si>
    <t>Confiança cega abans de la verificació</t>
  </si>
  <si>
    <t>Blind vertrauen vor der Überprüfung</t>
  </si>
  <si>
    <t>Confianza ciega antes de verificación</t>
  </si>
  <si>
    <t>Faire aveuglément confiance avant vérification</t>
  </si>
  <si>
    <t>Confianza cega antes da verificación</t>
  </si>
  <si>
    <t>Megerősítés előtti \"vak bizalom\"</t>
  </si>
  <si>
    <t>Fiducia cieca prima della verifica</t>
  </si>
  <si>
    <t>検証前に白紙信託する</t>
  </si>
  <si>
    <t>Blindelings vertrouwen vóór verificatie</t>
  </si>
  <si>
    <t>Ślepo Ufaj Przed Weryfikacją</t>
  </si>
  <si>
    <t>Слепое доверие перед подтверждением</t>
  </si>
  <si>
    <t>Слепо веруј и пре провере</t>
  </si>
  <si>
    <t>Blint förtroende före verifiering</t>
  </si>
  <si>
    <t>Сліпо вірити перед перевіркою</t>
  </si>
  <si>
    <t>在驗證前總是信任</t>
  </si>
  <si>
    <t>tt_lottery_signup</t>
  </si>
  <si>
    <t>I want to participate in the lottery and accept the Conditions of participation</t>
  </si>
  <si>
    <t>أريد المشاركة في القرعة وقبول شروط المشاركة</t>
  </si>
  <si>
    <t>Искам да участвам в лотарията и приемам Условията за участие</t>
  </si>
  <si>
    <t>Chci se zúčastnit loterie a přijmout Podmínky účasti</t>
  </si>
  <si>
    <t>Jeg vil deltage i lotteriet og acceptere betingelserne for deltagelse</t>
  </si>
  <si>
    <t>Ich möchte am Gewinnspiel teilnehmen!</t>
  </si>
  <si>
    <t>Θέλω να συμμετάσχω στην κλήρωση και να αποδεχτώ τους Όρους συμμετοχής</t>
  </si>
  <si>
    <t>Quiero participar en el sorteo y acepto las condiciones de participación</t>
  </si>
  <si>
    <t>Haluan osallistua arpajaisiin ja hyväksyn osallistumisehdot</t>
  </si>
  <si>
    <t>Je souhaite participer à la loterie et j\'accepte les conditions générales de participation (where can I find that in the app?)</t>
  </si>
  <si>
    <t>मैं लॉटरी में भाग लेना चाहता हूँ और भागीदारी की शर्तों को स्वीकार करता हूँ</t>
  </si>
  <si>
    <t>Szeretnék részt venni a sorsoláson, és elfogadom a részvétel feltételeit.</t>
  </si>
  <si>
    <t>Saya ingin bergabung dengan lotre dan menerima persyaratan Masuk</t>
  </si>
  <si>
    <t>Io voglio partecipare in lotteria ed accetto i termini e condizioni di partecipazione.</t>
  </si>
  <si>
    <t>אני רוצה להשתתף בהגרלה ומסכים לתנאי ההשתתפות</t>
  </si>
  <si>
    <t>ロトに参加します</t>
  </si>
  <si>
    <t>본인은 추첨에 참가하고자 하며 참가 약관에 동의합니다</t>
  </si>
  <si>
    <t>Saya mahu menyertai loteri dan menerima Syarat penyertaan</t>
  </si>
  <si>
    <t>Ik wil graag deelnemen aan de loterij en accepteer de voorwaarden</t>
  </si>
  <si>
    <t>Jeg vil delta i lotteriet og godtar betingelsene for deltakelse</t>
  </si>
  <si>
    <t>Chcę wziąć udział w loterii i akceptuję warunki uczestnictwa</t>
  </si>
  <si>
    <t>Eu quero participar da loteria e aceito as condições de participação</t>
  </si>
  <si>
    <t>Vreau să particip la loterie și să accept Condițiile de participare</t>
  </si>
  <si>
    <t>Хочу принять участие в лотереи и принимаю Условия участия</t>
  </si>
  <si>
    <t>Chcem sa zúčastniť lotérie a súhlasím s podmienkami účasti</t>
  </si>
  <si>
    <t>Želim sodelovati v loteriji in sprejeti Pogoje sodelovanja</t>
  </si>
  <si>
    <t>Želim da učestvujem u lutriji, i prihvatam Uslove učešća</t>
  </si>
  <si>
    <t>Jag vill delta i lotteriet och godkänner villkoren för deltagande</t>
  </si>
  <si>
    <t>ฉันยอมรับเงื่อนไขในการเข้าร่วมและต้องการเข้าร่วมการจับสลาก</t>
  </si>
  <si>
    <t>Çekilişe katılmak istiyorum ve katılım şartlarını kabul ediyorum</t>
  </si>
  <si>
    <t>Tôi muốn tham gia rút thăm và chấp nhận Điều kiện tham gia</t>
  </si>
  <si>
    <t>我想参加抽奖并接受参与条件</t>
  </si>
  <si>
    <t>&gt;我想參加抽獎並接受參與條件</t>
  </si>
  <si>
    <t>niue</t>
  </si>
  <si>
    <t>Niue</t>
  </si>
  <si>
    <t>Ниуэ</t>
  </si>
  <si>
    <t>Niu</t>
  </si>
  <si>
    <t>turkmenistan</t>
  </si>
  <si>
    <t>Turkmenistan</t>
  </si>
  <si>
    <t>Turkmenistán</t>
  </si>
  <si>
    <t>Turkménistan</t>
  </si>
  <si>
    <t>Туркменистан</t>
  </si>
  <si>
    <t>tt_negative_values_not_allowed</t>
  </si>
  <si>
    <t>Please enter a number greater than 0!</t>
  </si>
  <si>
    <t>يُرجى إدخال رقم أكبر من 0!</t>
  </si>
  <si>
    <t>Моля, въведете число, по-голямо от 0!</t>
  </si>
  <si>
    <t>Zadejte prosím číslo větší než 0!</t>
  </si>
  <si>
    <t>Indtast et tal større end 0!</t>
  </si>
  <si>
    <t>Bitte geben Sie eine Zahl größer 0 ein!</t>
  </si>
  <si>
    <t>Εισαγάγετε έναν αριθμό μεγαλύτερο από το 0!</t>
  </si>
  <si>
    <t>Por favor, introduzca un número superior a 0!</t>
  </si>
  <si>
    <t>Anna luku, joka on suurempi kuin 0!</t>
  </si>
  <si>
    <t>Veuillez entrer un chiffre supérieur a zéro!</t>
  </si>
  <si>
    <t>कृपया 0 से बड़ी संख्या दर्ज करें!</t>
  </si>
  <si>
    <t>Kérjük, adjon meg egy 0-nál nagyobb számot!</t>
  </si>
  <si>
    <t>Harap masukkan angka yang lebih besar dari 0!</t>
  </si>
  <si>
    <t>Per favore inserisci un numero maggiore di 0!</t>
  </si>
  <si>
    <t>אנא הכנס מספר גדול מ- 0!</t>
  </si>
  <si>
    <t>零（０）以上の数字を入力してください</t>
  </si>
  <si>
    <t>0보다 큰 숫자를 입력하세요!</t>
  </si>
  <si>
    <t>Sila masukkan nombor yang lebih besar daripada 0!</t>
  </si>
  <si>
    <t>Vul een getal in hoger dan 0 aub!</t>
  </si>
  <si>
    <t>Angi et tall som er større enn 0!</t>
  </si>
  <si>
    <t>Wpisz liczbę większą od 0!</t>
  </si>
  <si>
    <t>Por favor insira um número maior que 0 !</t>
  </si>
  <si>
    <t>Te rugăm să introduci un număr mai mare de 0!</t>
  </si>
  <si>
    <t>Отрицательные значения не принимаются!</t>
  </si>
  <si>
    <t>Zadajte číslo väčšie ako 0!</t>
  </si>
  <si>
    <t>Vnesite številko večjo od 0!</t>
  </si>
  <si>
    <t>Molimo unesite broj veći od 0!</t>
  </si>
  <si>
    <t>Ange ett nummer större än 0!</t>
  </si>
  <si>
    <t>โปรดป้อนตัวเลขที่มากกว่า 0!</t>
  </si>
  <si>
    <t>Lütfen 0\'dan büyük bir sayı giriniz!</t>
  </si>
  <si>
    <t>Vui lòng nhập một số lớn hơn 0!</t>
  </si>
  <si>
    <t>请输入大于0的数目!</t>
  </si>
  <si>
    <t>&gt;請輸入大於0的數目!</t>
  </si>
  <si>
    <t>mgmt_account_delete_confirm_text</t>
  </si>
  <si>
    <t>If you delete your account, your entire conversation history will be lost</t>
  </si>
  <si>
    <t>إذا قمت حذفت حسابك، فسوف تفقد سجل محادثاتك بالكامل</t>
  </si>
  <si>
    <t>Ако изтриете профила си, ще загубите цялата история на разговорите си</t>
  </si>
  <si>
    <t>Si suprimiu el vostre compte, es perdrà tot l\'historial de la conversa</t>
  </si>
  <si>
    <t>Wenn du dein Konto löschst, gehen alle Gesprächsverläufe verloren</t>
  </si>
  <si>
    <t>Si borras tu cuenta, tu historial de conversaciones también se perderá</t>
  </si>
  <si>
    <t>Si vous supprimez votre compte ainsi que tout votre historique de conversation sera perdu</t>
  </si>
  <si>
    <t>Si elimina a conta perderá todo o historial de conversas</t>
  </si>
  <si>
    <t>Ha törli fiókját, az egész beszélgetési előzménye elvész</t>
  </si>
  <si>
    <t>Se elimini il tuo account perderai tutta la cronologia delle conversazioni</t>
  </si>
  <si>
    <t>アカウントを削除すると、会話履歴すべてが失われます</t>
  </si>
  <si>
    <t>Als je je account verwijdert, wordt je volledige gespreksgeschiedenis gewist</t>
  </si>
  <si>
    <t>Jeśli usuniesz swoje konto, cała historia wiadomości zostanie stracona.</t>
  </si>
  <si>
    <t>Se apagar a sua conta todo o seu histórico de conversas será perdido</t>
  </si>
  <si>
    <t>Если вы удалите аккаунт, будет потеряна вся история переписки.</t>
  </si>
  <si>
    <t>Ако обришете ваш налог изгубићете сав историјат преписке</t>
  </si>
  <si>
    <t>Om du tar bort ditt konto kommer hela konversationshistoriken att försvinna</t>
  </si>
  <si>
    <t>Якщо ви видалите ваш обліковий запис, буде втрачено всю історію листування</t>
  </si>
  <si>
    <t>刪除帳號會導致聊天紀錄全部不見</t>
  </si>
  <si>
    <t>appstore_picture3_top</t>
  </si>
  <si>
    <t>الرسوم البيانية والتحليل الفني</t>
  </si>
  <si>
    <t>Графики / Подробни графики и технически анализи</t>
  </si>
  <si>
    <t>Grafy / pokročilé mapování a technická analýza</t>
  </si>
  <si>
    <t>Diagrammer / Avancerede diagrammer og teknisk analyse</t>
  </si>
  <si>
    <t>Γραφήματα / Προηγμένη χαρτογράφηση και τεχνική ανάλυση</t>
  </si>
  <si>
    <t>Kaaviot / edistyneet kaaviot ja tekninen analyysi</t>
  </si>
  <si>
    <t>चार्ट / उन्नत चार्टिंग और तकनीकी विश्लेषण</t>
  </si>
  <si>
    <t>גרפים / גרפים מתקדמים וניתוח טכני</t>
  </si>
  <si>
    <t>고급 차트 및 기술적 분석</t>
  </si>
  <si>
    <t>Diagrammer / Avansert kartlegging og teknisk analyse</t>
  </si>
  <si>
    <t>Grafice / Grafice Avansate &amp; Analiză Tehnică</t>
  </si>
  <si>
    <t>Grafy / Rozšírené grafy a technická analýza</t>
  </si>
  <si>
    <t>Grafikoni / Napredni grafikoni in tehnična analiza</t>
  </si>
  <si>
    <t>Diagram / Avancerad kartläggning och teknisk analys</t>
  </si>
  <si>
    <t>แผนภูมิ / แผนภูมิขั้นสูงและการวิเคราะห์เชิงเทคนิค</t>
  </si>
  <si>
    <t>Biểu đồ/Biểu đồ nâng cao &amp; Phân tích kỹ thuật</t>
  </si>
  <si>
    <t>show_english_language_news</t>
  </si>
  <si>
    <t>Show news in English when chosen language not available</t>
  </si>
  <si>
    <t>Englischsprachige Nachrichten wenn Nachrichtensprache nicht verfügbar</t>
  </si>
  <si>
    <t xml:space="preserve"> Mostrar noticias en inglés cuando el idioma elegido no esté disponible</t>
  </si>
  <si>
    <t>Actualités en anglais lorsque la langue choisie pour les actualités n\'est pas disponible</t>
  </si>
  <si>
    <t>Angol nyelvű hírek, ha a kiválasztott nyelven a hírek nem elérhetők.</t>
  </si>
  <si>
    <t>Berita bahasa Inggris ketika memilih bahasa berita tidak tersedia</t>
  </si>
  <si>
    <t>Le notizie saranno mostrate in lingua inglese, quando non saranno disponibili nella lingua selezionata</t>
  </si>
  <si>
    <t>選択した言語でのニュースが読めない場合は英語のニュース</t>
  </si>
  <si>
    <t>Berita Bahasa Inggeris apabila bahasa berita yang dipilih tidak tersedia</t>
  </si>
  <si>
    <t>Nieuws in het Engels als de gekozen taal niet beschikbaar is.</t>
  </si>
  <si>
    <t>Wiadomości w języku angielskim, gdy wiadomości w wybranym języku nie są dostępne</t>
  </si>
  <si>
    <t>Notícias em inglês quando escolhido idioma de notícias não estão disponíveis</t>
  </si>
  <si>
    <t>Показывать новости на английском, если выбранный язык недоступен:</t>
  </si>
  <si>
    <t>Engelskspråkiga nyheter när valt nyhetsspråk inte är tillgängligt</t>
  </si>
  <si>
    <t>Seçilen haber dili mevcut olmadığında İngilizce haberler sun</t>
  </si>
  <si>
    <t>当所选的新闻语言不可用时提供英语新闻</t>
  </si>
  <si>
    <t>portfolio_buy_sell_popup_text</t>
  </si>
  <si>
    <t>Buy/Sell stock from your portfolio!</t>
  </si>
  <si>
    <t>شراء/بيع الأسهم من محفظتك!</t>
  </si>
  <si>
    <t>Купете/продайте акции от вашето портфолио!</t>
  </si>
  <si>
    <t>Nákup/prodej akcií z Vašeho portfolia!</t>
  </si>
  <si>
    <t>Køb/sælg aktier fra din portefølje!</t>
  </si>
  <si>
    <t>Kaufen/Verkaufen Sie Aktien aus Ihrem Musterdepot!</t>
  </si>
  <si>
    <t>Αγορά/Πώληση μετοχών από το χαρτοφυλάκιό σας!</t>
  </si>
  <si>
    <t>Comprar/Vender una acción de su cartera!</t>
  </si>
  <si>
    <t>Osta/myy osakekantaasi!</t>
  </si>
  <si>
    <t>Acheter / vendre des actions de votre portefeuille!</t>
  </si>
  <si>
    <t>अपने पोर्टफोलियो से शेयर खरीदें/बेचें!</t>
  </si>
  <si>
    <t>Részvény Adás/Vétel a saját portfolióból!</t>
  </si>
  <si>
    <t>Jual/Beli stok dari portfolio anda!</t>
  </si>
  <si>
    <t>Compra/Vendi le azioni dal tuo portafoglio.</t>
  </si>
  <si>
    <t>קנה/מכור מניות מתיק ההשקעות שלך!</t>
  </si>
  <si>
    <t>あなたのポートフォリオから株式を売買する！</t>
  </si>
  <si>
    <t>포트폴리오에서 주식을 매입/매도하세요!</t>
  </si>
  <si>
    <t>Beli/Jual stok dari portfolio anda!</t>
  </si>
  <si>
    <t>Koop / verkoop aandelen uit je portefeuille</t>
  </si>
  <si>
    <t>Kjøp/selg aksjer fra din portefølje!</t>
  </si>
  <si>
    <t>Kup/Sprzedaj akcje z twojego portfela.</t>
  </si>
  <si>
    <t>Comprar / vender ações da sua carteira!</t>
  </si>
  <si>
    <t>Cumpără/Vinde valori mobiliare din portofoliul tău!</t>
  </si>
  <si>
    <t>Купите/Продайте акции из Вашего портфеля!</t>
  </si>
  <si>
    <t>Nákup/predaj akcií zo svojho portfólia!</t>
  </si>
  <si>
    <t>Kupi/prodaj zaloge iz svojega portfelja!</t>
  </si>
  <si>
    <t>Kupi/Prodaj akcije za portfolio!</t>
  </si>
  <si>
    <t>Köp/sälj aktier från din portfölj!</t>
  </si>
  <si>
    <t>ซื้อ/ขายหุ้นจากพอร์ตของคุณ</t>
  </si>
  <si>
    <t>Portföyünüzden hisse senedi alın/satın!</t>
  </si>
  <si>
    <t>Mua/bán cổ phiếu từ danh mục đầu tư của bạn!</t>
  </si>
  <si>
    <t>买入/卖出你投资组合的股票！</t>
  </si>
  <si>
    <t>tt_textsize</t>
  </si>
  <si>
    <t>Text size</t>
  </si>
  <si>
    <t>Размер на текста</t>
  </si>
  <si>
    <t>Velikost textu</t>
  </si>
  <si>
    <t>Tekststørrelse</t>
  </si>
  <si>
    <t>Textgröße</t>
  </si>
  <si>
    <t>Μέγεθος κειμένου</t>
  </si>
  <si>
    <t>Tamaño del texto</t>
  </si>
  <si>
    <t>Tekstin koko</t>
  </si>
  <si>
    <t>Taille de la police</t>
  </si>
  <si>
    <t>टेक्स्ट का आकर</t>
  </si>
  <si>
    <t>Szöveg méret</t>
  </si>
  <si>
    <t>Ukuran teks</t>
  </si>
  <si>
    <t>Dimensione del testo</t>
  </si>
  <si>
    <t>גודל טקסט</t>
  </si>
  <si>
    <t>テキストサイズ</t>
  </si>
  <si>
    <t>텍스트 크기</t>
  </si>
  <si>
    <t>Saiz teks</t>
  </si>
  <si>
    <t>Tekst grootte</t>
  </si>
  <si>
    <t>Rozmiar tekstu</t>
  </si>
  <si>
    <t>Tamanho do texto</t>
  </si>
  <si>
    <t>Dimensiune text</t>
  </si>
  <si>
    <t>Pазмер текста</t>
  </si>
  <si>
    <t>Veľkosť textu</t>
  </si>
  <si>
    <t>Velikost besedila</t>
  </si>
  <si>
    <t>Velicina teksta</t>
  </si>
  <si>
    <t>ขนาดอักษร</t>
  </si>
  <si>
    <t>Yazı boyutu</t>
  </si>
  <si>
    <t>文字大小</t>
  </si>
  <si>
    <t>&gt;文字大小</t>
  </si>
  <si>
    <t>sending</t>
  </si>
  <si>
    <t>sending…</t>
  </si>
  <si>
    <t>ارسال</t>
  </si>
  <si>
    <t>изпращане…</t>
  </si>
  <si>
    <t>enviant…</t>
  </si>
  <si>
    <t>senden…</t>
  </si>
  <si>
    <t>enviando…</t>
  </si>
  <si>
    <t>Envoi…</t>
  </si>
  <si>
    <t>küldés...</t>
  </si>
  <si>
    <t>mengirim...</t>
  </si>
  <si>
    <t>invio…</t>
  </si>
  <si>
    <t>送信中…</t>
  </si>
  <si>
    <t>보내는중...</t>
  </si>
  <si>
    <t>versturen…</t>
  </si>
  <si>
    <t>wysyłanie...</t>
  </si>
  <si>
    <t>enviando...</t>
  </si>
  <si>
    <t>отправка…</t>
  </si>
  <si>
    <t>posielam...</t>
  </si>
  <si>
    <t>шаљем…</t>
  </si>
  <si>
    <t>skickar…</t>
  </si>
  <si>
    <t>відправляю…</t>
  </si>
  <si>
    <t>đang gửi...</t>
  </si>
  <si>
    <t>正在發送…</t>
  </si>
  <si>
    <t>tt_bidsize</t>
  </si>
  <si>
    <t>Bid Size</t>
  </si>
  <si>
    <t>حجم العطاء</t>
  </si>
  <si>
    <t>Размер на офертата</t>
  </si>
  <si>
    <t>Velikost nabídky</t>
  </si>
  <si>
    <t>Budstørrelse</t>
  </si>
  <si>
    <t>Geld Stk.</t>
  </si>
  <si>
    <t>Μέγεθος προσφοράς</t>
  </si>
  <si>
    <t>Tamaño de oferta</t>
  </si>
  <si>
    <t>Tarjouksen koko</t>
  </si>
  <si>
    <t>Quantité demandée</t>
  </si>
  <si>
    <t>बोली का आकार</t>
  </si>
  <si>
    <t>Vétel (db)</t>
  </si>
  <si>
    <t>Ukuran Tawaran</t>
  </si>
  <si>
    <t>Quantità Bid</t>
  </si>
  <si>
    <t>גודל ההצעה</t>
  </si>
  <si>
    <t>売数量</t>
  </si>
  <si>
    <t>매수가격 크기</t>
  </si>
  <si>
    <t>Saiz Tawaran</t>
  </si>
  <si>
    <t>Bod grootte</t>
  </si>
  <si>
    <t>Wolumen kupna</t>
  </si>
  <si>
    <t>Tamanho do bid</t>
  </si>
  <si>
    <t>Dimensiune Ofertă</t>
  </si>
  <si>
    <t>Размера ставки</t>
  </si>
  <si>
    <t>Veľkosť cenovej ponuky</t>
  </si>
  <si>
    <t>Velikost ponudbe</t>
  </si>
  <si>
    <t>Budstorlek</t>
  </si>
  <si>
    <t>ปริมาณการประมูล</t>
  </si>
  <si>
    <t>Teklif Boyutu</t>
  </si>
  <si>
    <t>Kích thước mua</t>
  </si>
  <si>
    <t>投标规模</t>
  </si>
  <si>
    <t>&gt;投標規模</t>
  </si>
  <si>
    <t>tt_period_daily</t>
  </si>
  <si>
    <t>1 Dia</t>
  </si>
  <si>
    <t>&gt;1日</t>
  </si>
  <si>
    <t>hour_short</t>
  </si>
  <si>
    <t>h</t>
  </si>
  <si>
    <t>ساعة</t>
  </si>
  <si>
    <t>S</t>
  </si>
  <si>
    <t>t</t>
  </si>
  <si>
    <t>ó</t>
  </si>
  <si>
    <t>שעה</t>
  </si>
  <si>
    <t>時</t>
  </si>
  <si>
    <t>U</t>
  </si>
  <si>
    <t>Godz.</t>
  </si>
  <si>
    <t>ч</t>
  </si>
  <si>
    <t>hod.</t>
  </si>
  <si>
    <t>č</t>
  </si>
  <si>
    <t>tim</t>
  </si>
  <si>
    <t>sa</t>
  </si>
  <si>
    <t>Не</t>
  </si>
  <si>
    <t>Nein</t>
  </si>
  <si>
    <t>Non</t>
  </si>
  <si>
    <t>Nem</t>
  </si>
  <si>
    <t>Nee</t>
  </si>
  <si>
    <t>Nie</t>
  </si>
  <si>
    <t>view_contact_details</t>
  </si>
  <si>
    <t>View contact details</t>
  </si>
  <si>
    <t>إعرض بيانات جهة الاتصال</t>
  </si>
  <si>
    <t>Преглед на подр. за контакта</t>
  </si>
  <si>
    <t>Veure els detalls del contacte</t>
  </si>
  <si>
    <t>Kontaktdetails anzeigen</t>
  </si>
  <si>
    <t>Ver detalles del contacto</t>
  </si>
  <si>
    <t>Afficher les détails du contact</t>
  </si>
  <si>
    <t>Ver os detalles do contacto</t>
  </si>
  <si>
    <t>Ismerős névjegyének részletei</t>
  </si>
  <si>
    <t>Lihat detil kontak</t>
  </si>
  <si>
    <t>Mostra dettagli contatto</t>
  </si>
  <si>
    <t>連絡先の詳細を表示</t>
  </si>
  <si>
    <t>연락처 정보 보기</t>
  </si>
  <si>
    <t>Contactgegevens bekijken</t>
  </si>
  <si>
    <t>Ver detalhes do contacto</t>
  </si>
  <si>
    <t>Посмотреть данные контакта</t>
  </si>
  <si>
    <t>Zobraziť detaily kontaktu</t>
  </si>
  <si>
    <t>Прикажи детаље контакта</t>
  </si>
  <si>
    <t>Se kontaktdetaljer</t>
  </si>
  <si>
    <t>Переглянути деталі контакту</t>
  </si>
  <si>
    <t>Xem chi tiết liên hệ</t>
  </si>
  <si>
    <t>查看連絡人詳細資訊</t>
  </si>
  <si>
    <t>tt_fundprofile_countrypositions</t>
  </si>
  <si>
    <t>国名</t>
  </si>
  <si>
    <t>&gt;國家</t>
  </si>
  <si>
    <t>tt_commodities_grains</t>
  </si>
  <si>
    <t>Grains</t>
  </si>
  <si>
    <t>الحبوب</t>
  </si>
  <si>
    <t>Зърно</t>
  </si>
  <si>
    <t>Zrna</t>
  </si>
  <si>
    <t>Korn</t>
  </si>
  <si>
    <t>Getreide</t>
  </si>
  <si>
    <t>Κόκκοι</t>
  </si>
  <si>
    <t>Granos</t>
  </si>
  <si>
    <t>Viljat</t>
  </si>
  <si>
    <t>Céréales</t>
  </si>
  <si>
    <t>ग्रेन</t>
  </si>
  <si>
    <t>Gabona</t>
  </si>
  <si>
    <t>Biji-bijian</t>
  </si>
  <si>
    <t>Coloniali</t>
  </si>
  <si>
    <t>דגנים</t>
  </si>
  <si>
    <t>穀物</t>
  </si>
  <si>
    <t>곡물</t>
  </si>
  <si>
    <t>Bijirin</t>
  </si>
  <si>
    <t>Granen</t>
  </si>
  <si>
    <t>Zboża</t>
  </si>
  <si>
    <t>Grãos</t>
  </si>
  <si>
    <t>Cerealele</t>
  </si>
  <si>
    <t>Зерновые</t>
  </si>
  <si>
    <t>Zrná</t>
  </si>
  <si>
    <t>Žitarice</t>
  </si>
  <si>
    <t>ธัญพืช</t>
  </si>
  <si>
    <t>Tahıl</t>
  </si>
  <si>
    <t>Hạt</t>
  </si>
  <si>
    <t>谷物</t>
  </si>
  <si>
    <t>&gt;穀物</t>
  </si>
  <si>
    <t>puerto_rico</t>
  </si>
  <si>
    <t>Puerto Rico</t>
  </si>
  <si>
    <t>Porto Rico</t>
  </si>
  <si>
    <t>Пуэрто-Рико</t>
  </si>
  <si>
    <t>Porto Riko</t>
  </si>
  <si>
    <t>owner</t>
  </si>
  <si>
    <t>Owner</t>
  </si>
  <si>
    <t>مالك</t>
  </si>
  <si>
    <t>Собственик</t>
  </si>
  <si>
    <t>Propietari</t>
  </si>
  <si>
    <t>Eigentümer</t>
  </si>
  <si>
    <t>Propietario</t>
  </si>
  <si>
    <t>Propriétaire</t>
  </si>
  <si>
    <t>Dono</t>
  </si>
  <si>
    <t>Tulajdonos</t>
  </si>
  <si>
    <t>Pemilik</t>
  </si>
  <si>
    <t>Proprietario</t>
  </si>
  <si>
    <t>オーナー</t>
  </si>
  <si>
    <t>소유자</t>
  </si>
  <si>
    <t>Eigenaar</t>
  </si>
  <si>
    <t>Właściciel</t>
  </si>
  <si>
    <t>Владелец</t>
  </si>
  <si>
    <t>Vlastník</t>
  </si>
  <si>
    <t>Власник</t>
  </si>
  <si>
    <t>Ägare</t>
  </si>
  <si>
    <t>Chủ nhân</t>
  </si>
  <si>
    <t>所有者</t>
  </si>
  <si>
    <t>tt_feedback_email_subject</t>
  </si>
  <si>
    <t>baha iPhone App</t>
  </si>
  <si>
    <t>تطبيق TeleTrader لهاتف أيفون</t>
  </si>
  <si>
    <t>TeleTrader iPhone App</t>
  </si>
  <si>
    <t>Aplikace TeleTrader pro iPhone</t>
  </si>
  <si>
    <t>TeleTrader iPhone-app</t>
  </si>
  <si>
    <t>Εφαρμογή TeleTrader για iPhone</t>
  </si>
  <si>
    <t>TeleTrader iPhone -sovellus</t>
  </si>
  <si>
    <t>टेलीट्रेडर आईफोन ऐप</t>
  </si>
  <si>
    <t>Aplikasi TeleTrader iPhone</t>
  </si>
  <si>
    <t>אפליקציית TeleTrader באייפון</t>
  </si>
  <si>
    <t>TeleTrader 아이폰 앱</t>
  </si>
  <si>
    <t>Iphone App TeleTrader</t>
  </si>
  <si>
    <t>Aplicația iPhone TeleTrader</t>
  </si>
  <si>
    <t>Приложение baha для iPhone</t>
  </si>
  <si>
    <t>Aplikácia TeleTrader pre iPhone</t>
  </si>
  <si>
    <t>แอป TeleTrader สำหรับ iPhone</t>
  </si>
  <si>
    <t>Teletrader iPhone Uygulaması</t>
  </si>
  <si>
    <t>Ứng dụng TeleTrader cho iPhone</t>
  </si>
  <si>
    <t>&gt;TeleTrader iPhone App</t>
  </si>
  <si>
    <t>cyprus</t>
  </si>
  <si>
    <t>Cyprus</t>
  </si>
  <si>
    <t>Zypern</t>
  </si>
  <si>
    <t>Chipre</t>
  </si>
  <si>
    <t>Chypre</t>
  </si>
  <si>
    <t>Кипр</t>
  </si>
  <si>
    <t>Kipar</t>
  </si>
  <si>
    <t>enter_password</t>
  </si>
  <si>
    <t>Enter password</t>
  </si>
  <si>
    <t>أدخل كلمة المرور</t>
  </si>
  <si>
    <t>Въведете парола</t>
  </si>
  <si>
    <t>Introduïu la contrasenya</t>
  </si>
  <si>
    <t>Passwort eingeben</t>
  </si>
  <si>
    <t>Introduce la contraseña</t>
  </si>
  <si>
    <t>Entrer le mot de passe</t>
  </si>
  <si>
    <t>Introducir contrasinal</t>
  </si>
  <si>
    <t>Írd be a jelszót</t>
  </si>
  <si>
    <t>Masukan password</t>
  </si>
  <si>
    <t>Inserisci la password</t>
  </si>
  <si>
    <t>암호 입력</t>
  </si>
  <si>
    <t>Wachtwoord invoeren</t>
  </si>
  <si>
    <t>Wprowadź hasło</t>
  </si>
  <si>
    <t>Inserir palavra-passe</t>
  </si>
  <si>
    <t>Введите пароль</t>
  </si>
  <si>
    <t>Vložiť heslo</t>
  </si>
  <si>
    <t>Унесите лозинку</t>
  </si>
  <si>
    <t>Fyll i lösenord</t>
  </si>
  <si>
    <t>Уведіть пароль</t>
  </si>
  <si>
    <t>Nhập mật khẩu</t>
  </si>
  <si>
    <t>輸入密碼</t>
  </si>
  <si>
    <t>mauritius</t>
  </si>
  <si>
    <t>Mauritius</t>
  </si>
  <si>
    <t>Mauricio</t>
  </si>
  <si>
    <t>Ile Maurice</t>
  </si>
  <si>
    <t>Маврикий</t>
  </si>
  <si>
    <t>Mauricijus</t>
  </si>
  <si>
    <t>new_zealand</t>
  </si>
  <si>
    <t>New Zealand</t>
  </si>
  <si>
    <t>Neuseeland</t>
  </si>
  <si>
    <t>Nueva Zelanda</t>
  </si>
  <si>
    <t>Nouvelle Zélande</t>
  </si>
  <si>
    <t>Новая Зеландия</t>
  </si>
  <si>
    <t>Novi Zeland</t>
  </si>
  <si>
    <t>virgin_islands_us</t>
  </si>
  <si>
    <t>Virgin Islands, US</t>
  </si>
  <si>
    <t>Amerikanische Jungfern-Inseln</t>
  </si>
  <si>
    <t>Islas Vírgenes Americanas</t>
  </si>
  <si>
    <t>Îles Vierges Américaines</t>
  </si>
  <si>
    <t>Виргинские острова Соединённых Штатов</t>
  </si>
  <si>
    <t>Devičanska ostrva, Američka</t>
  </si>
  <si>
    <t>tt_dividend_payment</t>
  </si>
  <si>
    <t>Divident payment</t>
  </si>
  <si>
    <t>دفع توزيعات الأرباح</t>
  </si>
  <si>
    <t>Изплащане на дивиденти</t>
  </si>
  <si>
    <t>Platba dividend</t>
  </si>
  <si>
    <t>Rentebetaling</t>
  </si>
  <si>
    <t>Dividendenzahlung</t>
  </si>
  <si>
    <t>Πληρωμή μερισμάτων</t>
  </si>
  <si>
    <t>Pagos de dividendos</t>
  </si>
  <si>
    <t>Osingonmaksu</t>
  </si>
  <si>
    <t>Payment dividende</t>
  </si>
  <si>
    <t>लाभांश का भुगतान</t>
  </si>
  <si>
    <t>Osztalékfizetés</t>
  </si>
  <si>
    <t>Pembayaran dividen</t>
  </si>
  <si>
    <t>Pagamento del dividendo</t>
  </si>
  <si>
    <t>תשלום דיווידנד</t>
  </si>
  <si>
    <t>配当金支払い</t>
  </si>
  <si>
    <t>배당금 지급</t>
  </si>
  <si>
    <t>betaling dividend</t>
  </si>
  <si>
    <t>Utbytteutbetaling</t>
  </si>
  <si>
    <t>Płatność dywidend</t>
  </si>
  <si>
    <t>Pagamento de dividendos</t>
  </si>
  <si>
    <t>Plata dividentului</t>
  </si>
  <si>
    <t>Выплата дивидендов</t>
  </si>
  <si>
    <t>Výplata dividend</t>
  </si>
  <si>
    <t>Ločeno plačilo</t>
  </si>
  <si>
    <t>Isplata dividende</t>
  </si>
  <si>
    <t>Avkastningsbetalning</t>
  </si>
  <si>
    <t>การชำระเงินปันผล</t>
  </si>
  <si>
    <t>Temettü ödemesi</t>
  </si>
  <si>
    <t>Thanh toán cổ tức</t>
  </si>
  <si>
    <t>股息支付</t>
  </si>
  <si>
    <t>tt_acceleration_factor</t>
  </si>
  <si>
    <t>Фактор "Предсрочно изпълнение на задължения"</t>
  </si>
  <si>
    <t>גורם האצה</t>
  </si>
  <si>
    <t>Stopień przyspieszenia</t>
  </si>
  <si>
    <t>Faktor ubrzanja</t>
  </si>
  <si>
    <t>tt_passwordsdontmatch</t>
  </si>
  <si>
    <t>Password doesn\'t match.</t>
  </si>
  <si>
    <t>كلمة المرور غير متطابقة.</t>
  </si>
  <si>
    <t>Паролата не съвпада.</t>
  </si>
  <si>
    <t>Heslo neodpovídá.</t>
  </si>
  <si>
    <t>Adgangskode stemmer ikke overens.</t>
  </si>
  <si>
    <t>Passwort stimmt nicht überein.</t>
  </si>
  <si>
    <t>Ο κωδικός πρόσβασης δεν ταιριάζει.</t>
  </si>
  <si>
    <t>La contraseña no coincide.</t>
  </si>
  <si>
    <t>Salasana ei vastaa.</t>
  </si>
  <si>
    <t>Le mot de passe ne correspond pas</t>
  </si>
  <si>
    <t>पासवर्ड मेल नहीं खाता है।</t>
  </si>
  <si>
    <t>A jelszó nem egyezik.</t>
  </si>
  <si>
    <t>Kata sandi tidak cocok.</t>
  </si>
  <si>
    <t>La Password non corrisponde.</t>
  </si>
  <si>
    <t>הסיסמה אינה תואמת.</t>
  </si>
  <si>
    <t>パスワードが一致しません</t>
  </si>
  <si>
    <t>비밀번호가 일치하지 않습니다.</t>
  </si>
  <si>
    <t>Kata laluan tidak padan.</t>
  </si>
  <si>
    <t>Password klopt niet.</t>
  </si>
  <si>
    <t>Passord samsvarer ikke.</t>
  </si>
  <si>
    <t>Hasło nie pasuje.</t>
  </si>
  <si>
    <t>A senha inserida não está correta</t>
  </si>
  <si>
    <t>Parola nu\se potrivește.</t>
  </si>
  <si>
    <t>Пароли не совпадают</t>
  </si>
  <si>
    <t>Heslo sa nezhoduje.</t>
  </si>
  <si>
    <t>Geslo se ne ujema.</t>
  </si>
  <si>
    <t>Lozinka se ne slaže.</t>
  </si>
  <si>
    <t>Lösenordet matchar inte.</t>
  </si>
  <si>
    <t>รหัสผ่านไม่ตรงกัน</t>
  </si>
  <si>
    <t>Şifre eşleşmiyor.</t>
  </si>
  <si>
    <t>Mật khẩu không khớp.</t>
  </si>
  <si>
    <t>tt_user_registeredsuccesfully</t>
  </si>
  <si>
    <t>User registration was successful.</t>
  </si>
  <si>
    <t>تم تسجيل المستخدم بنجاح.</t>
  </si>
  <si>
    <t>Регистрацията на потребителя беше успешна.</t>
  </si>
  <si>
    <t>Registrace uživatele byla úspěšná.</t>
  </si>
  <si>
    <t>Brugerregistrering var vellykket.</t>
  </si>
  <si>
    <t>Benutzer erfolgreich registriert.</t>
  </si>
  <si>
    <t>Η εγγραφή χρήστη ήταν επιτυχής.</t>
  </si>
  <si>
    <t>La registración de usuario se ha hecho satisfacoriamente.</t>
  </si>
  <si>
    <t>Käyttäjän rekisteröinti onnistui.</t>
  </si>
  <si>
    <t>Votre inscription a été prise en compte</t>
  </si>
  <si>
    <t>प्रयोक्ता पंजीकरण सफल रहा।</t>
  </si>
  <si>
    <t>Sikeres regisztráció.</t>
  </si>
  <si>
    <t>Pendaftaran pemakai berhasil.</t>
  </si>
  <si>
    <t>La registrazione della user è avvenuta con successo.</t>
  </si>
  <si>
    <t>רישום המשתמש הצליח.</t>
  </si>
  <si>
    <t>ユーザー登録完了</t>
  </si>
  <si>
    <t>사용자 가입에 성공했습니다.</t>
  </si>
  <si>
    <t>Pendaftaran pengguna berjaya.</t>
  </si>
  <si>
    <t>Uw aanmelding is gelukt.</t>
  </si>
  <si>
    <t>Brukerregistrering var vellykket.</t>
  </si>
  <si>
    <t>Rejestracja użytkownika powiodła się.</t>
  </si>
  <si>
    <t>Registro do usuário foi bem sucedido</t>
  </si>
  <si>
    <t>Înregistrarea utilizatorului a reușit.</t>
  </si>
  <si>
    <t>Регистрация прошла успешно</t>
  </si>
  <si>
    <t>Registrácia používateľa bola úspešná.</t>
  </si>
  <si>
    <t>Registracija uporabnika je bila uspešna.</t>
  </si>
  <si>
    <t>Registracija korisnika je bila uspešna</t>
  </si>
  <si>
    <t>Användarregistreringen lyckades.</t>
  </si>
  <si>
    <t>ลงทะเบียนผู้ใช้เรียบร้อยแล้ว</t>
  </si>
  <si>
    <t>Kullanıcı kaydı başarıyla tamamlandı.</t>
  </si>
  <si>
    <t>Đăng ký người dùng thành công.</t>
  </si>
  <si>
    <t>用户注册成功</t>
  </si>
  <si>
    <t>&gt;用戶註冊成功</t>
  </si>
  <si>
    <t>pref_export_logs</t>
  </si>
  <si>
    <t>Export history</t>
  </si>
  <si>
    <t>تصدير التأريخ</t>
  </si>
  <si>
    <t>Изнасяне на историята</t>
  </si>
  <si>
    <t>Exportació de l\'historial</t>
  </si>
  <si>
    <t>Nachrichtenverlauf exportieren</t>
  </si>
  <si>
    <t>Exportar historial</t>
  </si>
  <si>
    <t>Exporter l\'historique</t>
  </si>
  <si>
    <t>Előzmények mentése</t>
  </si>
  <si>
    <t>Esporta la cronologia</t>
  </si>
  <si>
    <t>履歴をエクスポート</t>
  </si>
  <si>
    <t>히스토리 내보내기</t>
  </si>
  <si>
    <t>Geschiedenis exporteren</t>
  </si>
  <si>
    <t>Wyeksportuj historię rozmów</t>
  </si>
  <si>
    <t>Exportar histórico</t>
  </si>
  <si>
    <t>Экспорт истории</t>
  </si>
  <si>
    <t>Извези историјат</t>
  </si>
  <si>
    <t>Exportera historik</t>
  </si>
  <si>
    <t>Експортувати історію</t>
  </si>
  <si>
    <t>匯出歷史記錄</t>
  </si>
  <si>
    <t>tt_portfolio_realizedgainslosses</t>
  </si>
  <si>
    <t>Realized gains / losses</t>
  </si>
  <si>
    <t>المكاسب/الخسائر المحققة</t>
  </si>
  <si>
    <t>Реализирани печалби / загуби</t>
  </si>
  <si>
    <t>Realizované zisky / ztráty</t>
  </si>
  <si>
    <t>Realiserede gevinster / tab</t>
  </si>
  <si>
    <t>Realisierte Gewinne / Verluste</t>
  </si>
  <si>
    <t>Πραγματοποιημένα κέρδη / ζημίες</t>
  </si>
  <si>
    <t>Ganancias / pérdidas realizadas</t>
  </si>
  <si>
    <t>Toteutuneet voitot/tappiot</t>
  </si>
  <si>
    <t>Gains/pertes réalisés</t>
  </si>
  <si>
    <t>साधित लाभ / हानि</t>
  </si>
  <si>
    <t>Realizált nyereségek / veszteségek</t>
  </si>
  <si>
    <t>Keuntungan/kerugian yang direalisasikan</t>
  </si>
  <si>
    <t>Guadagni / Perdite Realizzatte</t>
  </si>
  <si>
    <t>רווחים / הפסדים ממומשים</t>
  </si>
  <si>
    <t>実現損益</t>
  </si>
  <si>
    <t>실현 이익/실현 손실</t>
  </si>
  <si>
    <t>Gerealiseerde winst/verlies</t>
  </si>
  <si>
    <t>Realiserte gevinster / tap</t>
  </si>
  <si>
    <t>Zrealizowane zyski / straty</t>
  </si>
  <si>
    <t>Lucros/ perdas realizadas</t>
  </si>
  <si>
    <t>Câștiguri / pierderi realizate</t>
  </si>
  <si>
    <t>Реализованные Прибыль/Убытки</t>
  </si>
  <si>
    <t>Realizované zisky / straty</t>
  </si>
  <si>
    <t>Realizirani dobički / izgube</t>
  </si>
  <si>
    <t>Ostvareni dobitak / gubitak</t>
  </si>
  <si>
    <t>Realiserade vinster / förluster</t>
  </si>
  <si>
    <t>กำไร / ขาดทุนที่เกิดขึ้นแล้ว</t>
  </si>
  <si>
    <t>Gerçekleşen kazançlar / kayıplar</t>
  </si>
  <si>
    <t>Lãi/lỗ đã thực hiện</t>
  </si>
  <si>
    <t>已实现收益/损失</t>
  </si>
  <si>
    <t>&gt;已實現收益/損失</t>
  </si>
  <si>
    <t>second_ticker_line</t>
  </si>
  <si>
    <t>Second Ticker Line</t>
  </si>
  <si>
    <t>خط شريط التداول الثاني</t>
  </si>
  <si>
    <t>Втора Тикер крива</t>
  </si>
  <si>
    <t>Druhý řádek tickeru</t>
  </si>
  <si>
    <t>Anden Ticker Linje</t>
  </si>
  <si>
    <t>Zweite Tickerzeile</t>
  </si>
  <si>
    <t>Δεύτερη γραμμή ticker</t>
  </si>
  <si>
    <t>Segunda línea de Ticker</t>
  </si>
  <si>
    <t>Toinen tikkeririvi</t>
  </si>
  <si>
    <t>deuxième ligne de symbole boursier</t>
  </si>
  <si>
    <t>दूसरी टिकर लाइन</t>
  </si>
  <si>
    <t>második ticker sor</t>
  </si>
  <si>
    <t>Garis tie kedua</t>
  </si>
  <si>
    <t>La seconda riga dei dati scorrevoli.</t>
  </si>
  <si>
    <t>קו טיקר שני</t>
  </si>
  <si>
    <t>２番目のティッカーライン</t>
  </si>
  <si>
    <t>두 번째 티커 줄</t>
  </si>
  <si>
    <t>Barisan Pengira Kedua</t>
  </si>
  <si>
    <t>Tweede Tickerlijn</t>
  </si>
  <si>
    <t>Andre ticker-linje</t>
  </si>
  <si>
    <t>Drugi wiersz tickera</t>
  </si>
  <si>
    <t>Segunda linha de ticker</t>
  </si>
  <si>
    <t>A Doua Linie de Telegraf</t>
  </si>
  <si>
    <t>Вторая строка тикера</t>
  </si>
  <si>
    <t>Druhý riadok tickera</t>
  </si>
  <si>
    <t>Druga linija Ticker</t>
  </si>
  <si>
    <t>Druga Tiker linija</t>
  </si>
  <si>
    <t>Andra Ticker-rad</t>
  </si>
  <si>
    <t>Ticker แถวที่ 2</t>
  </si>
  <si>
    <t>İkinci Takip Ekranı Hattı</t>
  </si>
  <si>
    <t>Đường Ticker thứ hai</t>
  </si>
  <si>
    <t>第二个自动收报机纸条行</t>
  </si>
  <si>
    <t>brunei_darussalam</t>
  </si>
  <si>
    <t>Brunei Darussalam</t>
  </si>
  <si>
    <t>Brunéi</t>
  </si>
  <si>
    <t>Бруней-Даруссалам</t>
  </si>
  <si>
    <t>Brunei Darusalam</t>
  </si>
  <si>
    <t>tt_historicmax</t>
  </si>
  <si>
    <t>MAX</t>
  </si>
  <si>
    <t>Макс.</t>
  </si>
  <si>
    <t>perform_action_with</t>
  </si>
  <si>
    <t>Perform action with</t>
  </si>
  <si>
    <t>تنفيذ الإجراء مع</t>
  </si>
  <si>
    <t>Изпълнение на действието с</t>
  </si>
  <si>
    <t>Realitzar l\'acció amb ...</t>
  </si>
  <si>
    <t>Aktion durchführen mit</t>
  </si>
  <si>
    <t>Realizar acción con</t>
  </si>
  <si>
    <t>Faire une action avec</t>
  </si>
  <si>
    <t>Realizar a acción con</t>
  </si>
  <si>
    <t>Cselekvés végzése</t>
  </si>
  <si>
    <t>Lakukan aksi dengan</t>
  </si>
  <si>
    <t>Esegui azione con</t>
  </si>
  <si>
    <t>アクションを実行...</t>
  </si>
  <si>
    <t>다음으로 동작을 수행</t>
  </si>
  <si>
    <t>Actie uitvoeren met</t>
  </si>
  <si>
    <t>Użyj</t>
  </si>
  <si>
    <t>Realizar a ação com</t>
  </si>
  <si>
    <t>Взаимодействовать с</t>
  </si>
  <si>
    <t>Uskutočniť akciu s</t>
  </si>
  <si>
    <t>Изврши радњу са</t>
  </si>
  <si>
    <t>Utför åtgärden med</t>
  </si>
  <si>
    <t>Здійснити дію з</t>
  </si>
  <si>
    <t>Thực hiện thao tác với</t>
  </si>
  <si>
    <t>選擇一個操作</t>
  </si>
  <si>
    <t>tt_pf_currency_gain</t>
  </si>
  <si>
    <t>Currency gains</t>
  </si>
  <si>
    <t>مكاسب العملة</t>
  </si>
  <si>
    <t>Валутни печалби</t>
  </si>
  <si>
    <t>Zisky měn</t>
  </si>
  <si>
    <t>Valutagevinster</t>
  </si>
  <si>
    <t>Whg. Erfolg</t>
  </si>
  <si>
    <t>Κέρδη νομίσματος</t>
  </si>
  <si>
    <t>Ganancias actuales</t>
  </si>
  <si>
    <t>Valuuttavoitot</t>
  </si>
  <si>
    <t>मुद्रा लाभ</t>
  </si>
  <si>
    <t>Árfolyam nyereség</t>
  </si>
  <si>
    <t>Keuntungan mata Uang</t>
  </si>
  <si>
    <t>Guadagni valutari</t>
  </si>
  <si>
    <t>רווחי מטבע</t>
  </si>
  <si>
    <t>通貨上昇</t>
  </si>
  <si>
    <t>통화 이득</t>
  </si>
  <si>
    <t>Keuntungan mata wang</t>
  </si>
  <si>
    <t>Wisselkoers winsten</t>
  </si>
  <si>
    <t>Zyski walutowe</t>
  </si>
  <si>
    <t>Ganhos cambiais</t>
  </si>
  <si>
    <t>Câștiguri în valută</t>
  </si>
  <si>
    <t>Валютная прибыль</t>
  </si>
  <si>
    <t>Kurzové zisky</t>
  </si>
  <si>
    <t>Dobički v valuti</t>
  </si>
  <si>
    <t>Valutavinster</t>
  </si>
  <si>
    <t>กำไรจากปริวรรตเงินตรา</t>
  </si>
  <si>
    <t>Kur karları</t>
  </si>
  <si>
    <t>Lãi tiền tệ</t>
  </si>
  <si>
    <t>货币收益</t>
  </si>
  <si>
    <t>&gt;貨幣收益</t>
  </si>
  <si>
    <t>sync_with_contacts</t>
  </si>
  <si>
    <t>Synchronize with contacts</t>
  </si>
  <si>
    <t>المزامنة مع جهات الإتصال</t>
  </si>
  <si>
    <t>Синхронизиране с контактите</t>
  </si>
  <si>
    <t>Sincronitza amb contactes</t>
  </si>
  <si>
    <t>Mit Kontakten synchronisieren</t>
  </si>
  <si>
    <t>Sincronizar contactos</t>
  </si>
  <si>
    <t>Synchroniser avec contacts</t>
  </si>
  <si>
    <t>Sincronice con todos os contactos</t>
  </si>
  <si>
    <t>Szinkronizáljon a névjegyekkel</t>
  </si>
  <si>
    <t>Sinkronkan dengan kontak</t>
  </si>
  <si>
    <t>Sincronizza con i contatti</t>
  </si>
  <si>
    <t>連絡先と同期</t>
  </si>
  <si>
    <t>연락처와 동기화</t>
  </si>
  <si>
    <t>Synchroniseer met contacten</t>
  </si>
  <si>
    <t>Synchronizuj z kontaktami</t>
  </si>
  <si>
    <t>Sincronizar com contactos</t>
  </si>
  <si>
    <t>Синхронизировать с контактами</t>
  </si>
  <si>
    <t>Синхронизуј са контактима</t>
  </si>
  <si>
    <t>Synkronisera med kontakter</t>
  </si>
  <si>
    <t>Синхронізувати контакти</t>
  </si>
  <si>
    <t>Đồng bộ với danh bạ</t>
  </si>
  <si>
    <t>與連絡人同步</t>
  </si>
  <si>
    <t>me</t>
  </si>
  <si>
    <t>Me</t>
  </si>
  <si>
    <t>أنا</t>
  </si>
  <si>
    <t>Аз</t>
  </si>
  <si>
    <t>Jo</t>
  </si>
  <si>
    <t>Ich</t>
  </si>
  <si>
    <t>Yo</t>
  </si>
  <si>
    <t>Moi</t>
  </si>
  <si>
    <t>Eu</t>
  </si>
  <si>
    <t>Én</t>
  </si>
  <si>
    <t>Io</t>
  </si>
  <si>
    <t>自分</t>
  </si>
  <si>
    <t>나</t>
  </si>
  <si>
    <t>Ik</t>
  </si>
  <si>
    <t>Я</t>
  </si>
  <si>
    <t>Ја</t>
  </si>
  <si>
    <t>Jag</t>
  </si>
  <si>
    <t>我</t>
  </si>
  <si>
    <t>updating</t>
  </si>
  <si>
    <t>Updating…</t>
  </si>
  <si>
    <t>جاري التحديث..</t>
  </si>
  <si>
    <t>Актуализиране…</t>
  </si>
  <si>
    <t>Actualitzant</t>
  </si>
  <si>
    <t>Aktualisieren…</t>
  </si>
  <si>
    <t>Actualizando…</t>
  </si>
  <si>
    <t>Actualizando....</t>
  </si>
  <si>
    <t>Frissítés...</t>
  </si>
  <si>
    <t>Merubah...</t>
  </si>
  <si>
    <t>Caricamento…</t>
  </si>
  <si>
    <t>アップデート中…</t>
  </si>
  <si>
    <t>업데이트중...</t>
  </si>
  <si>
    <t>Bijwerken…</t>
  </si>
  <si>
    <t>Aktualizowanie...</t>
  </si>
  <si>
    <t>A atualizar...</t>
  </si>
  <si>
    <t>Обновление…</t>
  </si>
  <si>
    <t>Aktualizujem...</t>
  </si>
  <si>
    <t>Ажурирам…</t>
  </si>
  <si>
    <t>Uppdaterar…</t>
  </si>
  <si>
    <t>Оновлюю…</t>
  </si>
  <si>
    <t>Đang cập nhật...</t>
  </si>
  <si>
    <t>更新中…</t>
  </si>
  <si>
    <t>tt_stocks</t>
  </si>
  <si>
    <t>Valori Mobiliare</t>
  </si>
  <si>
    <t>search_contacts</t>
  </si>
  <si>
    <t>Search contacts</t>
  </si>
  <si>
    <t>Търсене в контактите</t>
  </si>
  <si>
    <t>Buscar contactes</t>
  </si>
  <si>
    <t>Kontakte durchsuchen</t>
  </si>
  <si>
    <t>Buscar contactos</t>
  </si>
  <si>
    <t>Rechercher dans les contacts</t>
  </si>
  <si>
    <t>Névjegyek keresése</t>
  </si>
  <si>
    <t>Cerca contatti</t>
  </si>
  <si>
    <t>Contacten zoeken</t>
  </si>
  <si>
    <t>Przeszukuj kontakty</t>
  </si>
  <si>
    <t>Procurar contactos</t>
  </si>
  <si>
    <t>Поиск контактов</t>
  </si>
  <si>
    <t>Тражи контакте</t>
  </si>
  <si>
    <t>pref_keep_foreground_service_summary</t>
  </si>
  <si>
    <t>Prevents the operating system from killing your connection</t>
  </si>
  <si>
    <t>منع نظام التشغيل من انهاء اتصالك</t>
  </si>
  <si>
    <t>Предотвратява прекъсването на връзката Ви от операционната система</t>
  </si>
  <si>
    <t>Evitar que el sistema operatiu desconnecti la connexió</t>
  </si>
  <si>
    <t>Verhindert, dass Android Conversations beendet und die Verbindung unterbricht</t>
  </si>
  <si>
    <t>Mantener el servicio en primer plano previene que el sistema cierre la conexión</t>
  </si>
  <si>
    <t>Évite que le système ne ferme votre connexion.</t>
  </si>
  <si>
    <t>Evita que o sistema operativo corte a súa conexión</t>
  </si>
  <si>
    <t>Megakadályozza az operációs rendszert abban, hogy megszakítsa a kapcsolatot a szerverrel a háttérben</t>
  </si>
  <si>
    <t>Cegah sistem operasi mematikan koneksi</t>
  </si>
  <si>
    <t>Evita che il sistema operativo chiuda la connessione</t>
  </si>
  <si>
    <t>オペレーティングシステムが接続を切断するのを防止します</t>
  </si>
  <si>
    <t>운영체제가 접속을 해제하지 못하도록 예방합니다</t>
  </si>
  <si>
    <t>Belet het besturingssysteem je verbinding te onderbreken</t>
  </si>
  <si>
    <t>Uniemożliwia systemowi przerwanie połączenia</t>
  </si>
  <si>
    <t>Previne o sistema operativo de terminar a sua conexão</t>
  </si>
  <si>
    <t>Не позволяет операционной системе закрыть ваше соединение</t>
  </si>
  <si>
    <t>Zamedzí operačnému systému ukončiť pripojenie</t>
  </si>
  <si>
    <t>Спречава оперативни систем да прекине вашу везу</t>
  </si>
  <si>
    <t>Förehindrar operativsystemet att ta ner uppkopplingen</t>
  </si>
  <si>
    <t>Не дає операційній системі припиняти Ваш зв\'язок</t>
  </si>
  <si>
    <t>Ngăn hệ điều hành ngắt kết nối của bạn</t>
  </si>
  <si>
    <t>防止作業系統中斷你的連接</t>
  </si>
  <si>
    <t>tt_password</t>
  </si>
  <si>
    <t>كلمه المرور</t>
  </si>
  <si>
    <t>Adgangskode</t>
  </si>
  <si>
    <t>Κωδικός πρόσβασης</t>
  </si>
  <si>
    <t>Salasana</t>
  </si>
  <si>
    <t>पासवर्ड</t>
  </si>
  <si>
    <t>Kata Sandi</t>
  </si>
  <si>
    <t>סיסמה</t>
  </si>
  <si>
    <t>비밀번호</t>
  </si>
  <si>
    <t>Kata Laluan</t>
  </si>
  <si>
    <t>Passord</t>
  </si>
  <si>
    <t>Senha</t>
  </si>
  <si>
    <t>Parolă</t>
  </si>
  <si>
    <t>Geslo</t>
  </si>
  <si>
    <t>Lozinka</t>
  </si>
  <si>
    <t>รหัสผ่าน</t>
  </si>
  <si>
    <t>Şifre</t>
  </si>
  <si>
    <t>密码</t>
  </si>
  <si>
    <t>&gt;密碼</t>
  </si>
  <si>
    <t>tt_pf_transaction_buy</t>
  </si>
  <si>
    <t>Kauf</t>
  </si>
  <si>
    <t>Vesz</t>
  </si>
  <si>
    <t>Acquista</t>
  </si>
  <si>
    <t>contacts_have_stopped_typing</t>
  </si>
  <si>
    <t>%s have stopped typing</t>
  </si>
  <si>
    <t>%s توقفو عن الكتابة</t>
  </si>
  <si>
    <t>%s спряха да пишат</t>
  </si>
  <si>
    <t>%sha deixat d\'escriure</t>
  </si>
  <si>
    <t>%s schreiben nicht mehr</t>
  </si>
  <si>
    <t>%s han dejado de escribir</t>
  </si>
  <si>
    <t>%s ont cessé d\'écrire</t>
  </si>
  <si>
    <t>%s deixaron de escribir</t>
  </si>
  <si>
    <t>%s hanno smesso di scrivere</t>
  </si>
  <si>
    <t>%s さんが入力を止めました</t>
  </si>
  <si>
    <t>%s zijn gestopt met typen</t>
  </si>
  <si>
    <t>%s przestali pisać</t>
  </si>
  <si>
    <t>%s pararam de escrever</t>
  </si>
  <si>
    <t>%s перестал печатать</t>
  </si>
  <si>
    <t>%s престаше да куцају</t>
  </si>
  <si>
    <t>%s перестав набирати повідомлення</t>
  </si>
  <si>
    <t>marshall_islands</t>
  </si>
  <si>
    <t>Marshall Islands</t>
  </si>
  <si>
    <t>Marshall Inseln</t>
  </si>
  <si>
    <t>Islas Marshall</t>
  </si>
  <si>
    <t>Îles Marshall</t>
  </si>
  <si>
    <t>Маршалловы Острова</t>
  </si>
  <si>
    <t>Maršalska ostrva</t>
  </si>
  <si>
    <t>tt_info_termsofuse_headline</t>
  </si>
  <si>
    <t>Términos de uso</t>
  </si>
  <si>
    <t>I Termini d\'uso</t>
  </si>
  <si>
    <t>Gebruikersovereenkomst</t>
  </si>
  <si>
    <t>or_long_press_for_default</t>
  </si>
  <si>
    <t>(Or long press to bring back default)</t>
  </si>
  <si>
    <t>(Или задръжте, за да върнете началното)</t>
  </si>
  <si>
    <t>(O feu un toc llarg per restablir al valor predeterminat)</t>
  </si>
  <si>
    <t>(Oder klicke lange, um Standard wiederherzustellen)</t>
  </si>
  <si>
    <t>(O pulsación prolongada para volver a tu imagen de la agenda)</t>
  </si>
  <si>
    <t>(Un appui long réinitialise le paramètre)</t>
  </si>
  <si>
    <t>(ou pulsación longa para voltar ao valor por omisión)</t>
  </si>
  <si>
    <t>(Vagy nyomd hosszan az alapbeállításért)</t>
  </si>
  <si>
    <t>(Tekan yang lama untuk mengembalikan semula)</t>
  </si>
  <si>
    <t>(O premi a lungo per ripristinare le impostazioni di default)</t>
  </si>
  <si>
    <t>(または長押しするとデフォルトに戻します)</t>
  </si>
  <si>
    <t>(혹은 기본값을 되돌리기 위해 길게 누름)</t>
  </si>
  <si>
    <t>(Of hou lang ingedrukt om de oorspronkelijke terug te zetten)</t>
  </si>
  <si>
    <t>(lub długo przytrzymaj, aby ustawić domyślny)</t>
  </si>
  <si>
    <t>(Ou mantenha pressionado por um tempo para voltar para o padrão)</t>
  </si>
  <si>
    <t>(Или долгое прикосновение, чтобы вернуть значения по умолчанию)</t>
  </si>
  <si>
    <t>(Dlho podržať pre obnovenie pôvodného stavu)</t>
  </si>
  <si>
    <t>(или притисните дуго да вратите подразумевани)</t>
  </si>
  <si>
    <t>(Eller tryck länge för att få tillbaks förvald)</t>
  </si>
  <si>
    <t>(Або натисніть і тримайте, щоб скинути до значення за замовчуванням)</t>
  </si>
  <si>
    <t>(Hoặc nhấn giữ để chuyển về mặc định)</t>
  </si>
  <si>
    <t>(或長按按鈕將返回預設頭像)</t>
  </si>
  <si>
    <t>tt_edgar_income_statement</t>
  </si>
  <si>
    <t>Income Statement</t>
  </si>
  <si>
    <t>بيان الدخل</t>
  </si>
  <si>
    <t>Отчет за доходите</t>
  </si>
  <si>
    <t>Výkaz zisků a ztrát</t>
  </si>
  <si>
    <t>Resultatopgørelse</t>
  </si>
  <si>
    <t>Gewinn- und Verlustrechnung</t>
  </si>
  <si>
    <t>Κατάσταση εσόδων</t>
  </si>
  <si>
    <t>Estado de resultados</t>
  </si>
  <si>
    <t>Tuloslaskelma</t>
  </si>
  <si>
    <t>Compte de résultats</t>
  </si>
  <si>
    <t>आय का विवरण</t>
  </si>
  <si>
    <t>Laporan Pendapatan</t>
  </si>
  <si>
    <t>Conto Economico</t>
  </si>
  <si>
    <t>הצהרת הכנסה</t>
  </si>
  <si>
    <t>損益計算書</t>
  </si>
  <si>
    <t>손익계산서</t>
  </si>
  <si>
    <t>Penyata Pendapatan</t>
  </si>
  <si>
    <t>Omzet mededeling</t>
  </si>
  <si>
    <t>Resultatregnskap</t>
  </si>
  <si>
    <t>Rachunek zysków i strat</t>
  </si>
  <si>
    <t>Declaração de rendimento</t>
  </si>
  <si>
    <t>Declarație de Venit</t>
  </si>
  <si>
    <t>Отчёт о прибыли</t>
  </si>
  <si>
    <t>Výkaz prijmov</t>
  </si>
  <si>
    <t>Izkaz poslovnega izida</t>
  </si>
  <si>
    <t>Bilans uspeha</t>
  </si>
  <si>
    <t>Resultaträkning</t>
  </si>
  <si>
    <t>งบกำไรขาดทุน</t>
  </si>
  <si>
    <t>Gelir Tablosu</t>
  </si>
  <si>
    <t>Báo cáo thu nhập</t>
  </si>
  <si>
    <t>损益表</t>
  </si>
  <si>
    <t>tt_winners</t>
  </si>
  <si>
    <t>Gainers</t>
  </si>
  <si>
    <t>الرابحون</t>
  </si>
  <si>
    <t>Печеливши</t>
  </si>
  <si>
    <t>Získávající</t>
  </si>
  <si>
    <t>Vindere</t>
  </si>
  <si>
    <t>Gewinner</t>
  </si>
  <si>
    <t>Κέρδη</t>
  </si>
  <si>
    <t>Ganadores</t>
  </si>
  <si>
    <t>Nousijat</t>
  </si>
  <si>
    <t>Gagnants</t>
  </si>
  <si>
    <t>लाभार्थी</t>
  </si>
  <si>
    <t>Nyertesek</t>
  </si>
  <si>
    <t>Untung</t>
  </si>
  <si>
    <t>Rialzi</t>
  </si>
  <si>
    <t>רווחים</t>
  </si>
  <si>
    <t>値上り銘柄</t>
  </si>
  <si>
    <t>상승주</t>
  </si>
  <si>
    <t>Stijgers</t>
  </si>
  <si>
    <t>Vinnere</t>
  </si>
  <si>
    <t>Najlepsze</t>
  </si>
  <si>
    <t>Ganhadores</t>
  </si>
  <si>
    <t>Câștigători</t>
  </si>
  <si>
    <t>Растущие акции</t>
  </si>
  <si>
    <t>Užívateľ výhod</t>
  </si>
  <si>
    <t>Pridobivalci</t>
  </si>
  <si>
    <t>Dobitnici</t>
  </si>
  <si>
    <t>หุ้นเพิ่ม</t>
  </si>
  <si>
    <t>Kazananlar</t>
  </si>
  <si>
    <t>Người có lãi</t>
  </si>
  <si>
    <t>上涨股票</t>
  </si>
  <si>
    <t>&gt;上漲股票</t>
  </si>
  <si>
    <t>uruguay</t>
  </si>
  <si>
    <t>Uruguay</t>
  </si>
  <si>
    <t>Уругвай</t>
  </si>
  <si>
    <t>Urugvaj</t>
  </si>
  <si>
    <t>account_settings_port</t>
  </si>
  <si>
    <t>Port</t>
  </si>
  <si>
    <t>المنفذ</t>
  </si>
  <si>
    <t>Порт</t>
  </si>
  <si>
    <t>Puerto</t>
  </si>
  <si>
    <t>Porto</t>
  </si>
  <si>
    <t>Porta</t>
  </si>
  <si>
    <t>ポート</t>
  </si>
  <si>
    <t>포트</t>
  </si>
  <si>
    <t>Poort</t>
  </si>
  <si>
    <t>Cổng</t>
  </si>
  <si>
    <t>埠</t>
  </si>
  <si>
    <t>tt_security_type_102</t>
  </si>
  <si>
    <t>Futures Contract</t>
  </si>
  <si>
    <t>العقود الآجلة</t>
  </si>
  <si>
    <t>Фючърсен договор</t>
  </si>
  <si>
    <t>Smlouva na futures</t>
  </si>
  <si>
    <t>Futures kontrakt</t>
  </si>
  <si>
    <t>Futures-Kontrakt</t>
  </si>
  <si>
    <t>Συμβόλαιο μελλοντικής εκπλήρωσης</t>
  </si>
  <si>
    <t>Contrato futuro</t>
  </si>
  <si>
    <t>Futuurisopimus</t>
  </si>
  <si>
    <t>Contrat futures</t>
  </si>
  <si>
    <t>वायदा अनुबंध</t>
  </si>
  <si>
    <t>Határidős szerződés</t>
  </si>
  <si>
    <t>Kontrak berjangka</t>
  </si>
  <si>
    <t>先物取引</t>
  </si>
  <si>
    <t>선물계약</t>
  </si>
  <si>
    <t>Kontrak Hadapan</t>
  </si>
  <si>
    <t>Futures-kontrakt</t>
  </si>
  <si>
    <t>Futures Kontract</t>
  </si>
  <si>
    <t>Contrato de futuros</t>
  </si>
  <si>
    <t>Contract Futures</t>
  </si>
  <si>
    <t>Контракт фьючерсный</t>
  </si>
  <si>
    <t>Budúca zmluva</t>
  </si>
  <si>
    <t xml:space="preserve">Pogodbe Futures </t>
  </si>
  <si>
    <t>Fjučers ugovori</t>
  </si>
  <si>
    <t>Terminsavtal</t>
  </si>
  <si>
    <t>สัญญาฟิวเจอร์ส</t>
  </si>
  <si>
    <t>Vadeli Sözleşme</t>
  </si>
  <si>
    <t>Hợp đồng tương lai</t>
  </si>
  <si>
    <t>https://www.screencast.com/t/L3H8v3kjrT</t>
  </si>
  <si>
    <t>&gt;期貨合約</t>
  </si>
  <si>
    <t>rating_by_mountain_view</t>
  </si>
  <si>
    <t>(rating by Mountain View)</t>
  </si>
  <si>
    <t>(hodnocení podle Mountain View)</t>
  </si>
  <si>
    <t>(vurdering af "Mountain View")</t>
  </si>
  <si>
    <t>(Mountain View Rating)</t>
  </si>
  <si>
    <t>("Mountain View"-luokituksen mukaan)</t>
  </si>
  <si>
    <t>(évalué par Mountain View)</t>
  </si>
  <si>
    <t>(a Mountain View értékelése)</t>
  </si>
  <si>
    <t>(penilaian oleh Mountain View)</t>
  </si>
  <si>
    <t>(valutazione di Mountain View)</t>
  </si>
  <si>
    <t>(マウンテンビューにより格付け)</t>
  </si>
  <si>
    <t>(beoordeling door Mountain View)</t>
  </si>
  <si>
    <t>(rangert av "Mountain View")</t>
  </si>
  <si>
    <t>(ocena wg Mountain View)</t>
  </si>
  <si>
    <t>(classificação por Mountain View)</t>
  </si>
  <si>
    <t>(рейтинг Mountain View)</t>
  </si>
  <si>
    <t>(hodnotenie podľa Výhľadu na hory)</t>
  </si>
  <si>
    <t>(betyg av Mountain View)</t>
  </si>
  <si>
    <t>(Mountain View derecelendirmesi)</t>
  </si>
  <si>
    <t>（山景评级）</t>
  </si>
  <si>
    <t>too_many_attempts</t>
  </si>
  <si>
    <t>Too many attempts</t>
  </si>
  <si>
    <t>Твърде много опити</t>
  </si>
  <si>
    <t>Zu viele Versuche</t>
  </si>
  <si>
    <t>Demasiados intentos</t>
  </si>
  <si>
    <t>Trop d\'essais</t>
  </si>
  <si>
    <t>Túl sok próbálkozás</t>
  </si>
  <si>
    <t>Troppi tentativi</t>
  </si>
  <si>
    <t>Teveel pogingen</t>
  </si>
  <si>
    <t>Za dużo prób</t>
  </si>
  <si>
    <t>no_storage_permission</t>
  </si>
  <si>
    <t>Conversations needs access to external storage</t>
  </si>
  <si>
    <t>إنّ تطبيق المحادثات Conversations بحاجة إلى النفاذ إلى مساحة التخزين الخارجية</t>
  </si>
  <si>
    <t>Conversations се нуждае от достъп до външно място за съхранение</t>
  </si>
  <si>
    <t>Conversations necessita accés a emmagatzematge extern</t>
  </si>
  <si>
    <t>Conversations benötigt Zugriff auf den externen Speicher</t>
  </si>
  <si>
    <t>Conversations necesita acceder al almacenamiento externo</t>
  </si>
  <si>
    <t>Conversations a besoin d\'accéder au stockage externe</t>
  </si>
  <si>
    <t>Conversations necesita acceso ao almacenamiento externo</t>
  </si>
  <si>
    <t>A Conversations-nek hozzáférésre lenne szüksége a külső tárhelyhez</t>
  </si>
  <si>
    <t>Conversations ha bisogno di accedere all\'archiviazione esterna</t>
  </si>
  <si>
    <t>Conversations heeft toegang nodig tot de externe opslag</t>
  </si>
  <si>
    <t>Conversations potrzebuje dostępu do zewnętrznej pamięci</t>
  </si>
  <si>
    <t>Conversations necessita de acesso ao armazenamento externo</t>
  </si>
  <si>
    <t>Conversations требуется доступ к внешнему хранилищу</t>
  </si>
  <si>
    <t>liberia</t>
  </si>
  <si>
    <t>Liberia</t>
  </si>
  <si>
    <t>Libéria</t>
  </si>
  <si>
    <t>Либерия</t>
  </si>
  <si>
    <t>tt_indicator_settings_upper_level</t>
  </si>
  <si>
    <t>UpperLevel</t>
  </si>
  <si>
    <t>المستوى الأعلى</t>
  </si>
  <si>
    <t>Горно ниво</t>
  </si>
  <si>
    <t>Horní úroveň</t>
  </si>
  <si>
    <t>Øvre niveau</t>
  </si>
  <si>
    <t>Ανώτερο επίπεδο</t>
  </si>
  <si>
    <t>Nivel superior</t>
  </si>
  <si>
    <t>Ylätaso</t>
  </si>
  <si>
    <t>ऊपरी स्तर</t>
  </si>
  <si>
    <t>TahapTinggi</t>
  </si>
  <si>
    <t>Livello Superiore</t>
  </si>
  <si>
    <t>שלב גבוה יותר</t>
  </si>
  <si>
    <t>上位</t>
  </si>
  <si>
    <t>높은 수준</t>
  </si>
  <si>
    <t>Hoog level</t>
  </si>
  <si>
    <t>ØvreNivå</t>
  </si>
  <si>
    <t>Nível Superior</t>
  </si>
  <si>
    <t>NivelSuperior</t>
  </si>
  <si>
    <t>Высший показатель</t>
  </si>
  <si>
    <t>Vyššia úroveň</t>
  </si>
  <si>
    <t>Višja raven</t>
  </si>
  <si>
    <t>ระดับสูงขึ้น</t>
  </si>
  <si>
    <t>ÜstDüzey</t>
  </si>
  <si>
    <t>Trình độ cao</t>
  </si>
  <si>
    <t>较高的水平</t>
  </si>
  <si>
    <t>&gt;較高的水平</t>
  </si>
  <si>
    <t>greenland</t>
  </si>
  <si>
    <t>Greenland</t>
  </si>
  <si>
    <t>Grönland</t>
  </si>
  <si>
    <t>Groenlandia</t>
  </si>
  <si>
    <t>Groenland</t>
  </si>
  <si>
    <t>Гренландия</t>
  </si>
  <si>
    <t>Grenland</t>
  </si>
  <si>
    <t>unable_to_update_account</t>
  </si>
  <si>
    <t>Unable to update account</t>
  </si>
  <si>
    <t>لا يمكن تحديث الحساب</t>
  </si>
  <si>
    <t>Неуспешно обновяване на профила</t>
  </si>
  <si>
    <t>No es pot actualitzar el compte</t>
  </si>
  <si>
    <t>Konto kann nicht aktualisiert werden</t>
  </si>
  <si>
    <t>No se ha podido actualizar la cuenta</t>
  </si>
  <si>
    <t>Mise à jour du compte impossible</t>
  </si>
  <si>
    <t>Non se puido actualizar a conta</t>
  </si>
  <si>
    <t>Nem sikerült frissíteni a fiókot</t>
  </si>
  <si>
    <t>Impossibile aggiornare l\'account</t>
  </si>
  <si>
    <t>アカウントを更新できません</t>
  </si>
  <si>
    <t>계정을 업데이트 할수없음</t>
  </si>
  <si>
    <t>Kan account niet bijwerken</t>
  </si>
  <si>
    <t>Nie można zaktualizować konta</t>
  </si>
  <si>
    <t>Não foi possível actualizar a conta</t>
  </si>
  <si>
    <t>Невозможно обновить аккаунт</t>
  </si>
  <si>
    <t>Не могу да ажурирам налог</t>
  </si>
  <si>
    <t>Kan inte uppdatera konto</t>
  </si>
  <si>
    <t>Неможливо оновити обліковий запис</t>
  </si>
  <si>
    <t>無法更新帳戶</t>
  </si>
  <si>
    <t>tt_open</t>
  </si>
  <si>
    <t>Open</t>
  </si>
  <si>
    <t>فتح</t>
  </si>
  <si>
    <t>Отвори</t>
  </si>
  <si>
    <t>Otevřeno</t>
  </si>
  <si>
    <t>Åben</t>
  </si>
  <si>
    <t>Eröffnung</t>
  </si>
  <si>
    <t>Άνοιγμα</t>
  </si>
  <si>
    <t>Apertura</t>
  </si>
  <si>
    <t>Avaa</t>
  </si>
  <si>
    <t>Ouverture</t>
  </si>
  <si>
    <t>ओपन</t>
  </si>
  <si>
    <t>Nyitó</t>
  </si>
  <si>
    <t>Buka</t>
  </si>
  <si>
    <t>פתוח</t>
  </si>
  <si>
    <t>開く</t>
  </si>
  <si>
    <t>열기</t>
  </si>
  <si>
    <t>Åpen</t>
  </si>
  <si>
    <t>Otwarcie</t>
  </si>
  <si>
    <t>Abrir</t>
  </si>
  <si>
    <t>Deschis</t>
  </si>
  <si>
    <t>Открыто</t>
  </si>
  <si>
    <t>Otvoriť</t>
  </si>
  <si>
    <t>Odprto</t>
  </si>
  <si>
    <t>Cena na otvaranju</t>
  </si>
  <si>
    <t>Öppna</t>
  </si>
  <si>
    <t>ราคาเปิด</t>
  </si>
  <si>
    <t>Aç</t>
  </si>
  <si>
    <t>Mở</t>
  </si>
  <si>
    <t>开启</t>
  </si>
  <si>
    <t>&gt;開啟</t>
  </si>
  <si>
    <t>christmas_island</t>
  </si>
  <si>
    <t>Christmas Island</t>
  </si>
  <si>
    <t>Weihnachtsinseln</t>
  </si>
  <si>
    <t>Isla de Navidad</t>
  </si>
  <si>
    <t>L\'île de Noël</t>
  </si>
  <si>
    <t>Остров Рождества</t>
  </si>
  <si>
    <t>Božićna ostrva</t>
  </si>
  <si>
    <t>analyze</t>
  </si>
  <si>
    <t>Elemzés</t>
  </si>
  <si>
    <t>Analizza</t>
  </si>
  <si>
    <t>Analisisa</t>
  </si>
  <si>
    <t>Aнализировать</t>
  </si>
  <si>
    <t>Analiz</t>
  </si>
  <si>
    <t>andorra</t>
  </si>
  <si>
    <t>Andorra</t>
  </si>
  <si>
    <t>Andorre</t>
  </si>
  <si>
    <t>Андорра</t>
  </si>
  <si>
    <t>Androa</t>
  </si>
  <si>
    <t>tt_security_type_99</t>
  </si>
  <si>
    <t>Mutual Fund / ETF</t>
  </si>
  <si>
    <t>Взаимен фонд / ETF</t>
  </si>
  <si>
    <t>Podílový fond / ETF</t>
  </si>
  <si>
    <t>Gensidig fond / ETF</t>
  </si>
  <si>
    <t>Fonds / ETF</t>
  </si>
  <si>
    <t>Αμοιβαίο Κεφάλαιο / ETF</t>
  </si>
  <si>
    <t>Fondos de inversión / ETF</t>
  </si>
  <si>
    <t>Sijoitusrahasto/ETF</t>
  </si>
  <si>
    <t>Fonds commun / ETF</t>
  </si>
  <si>
    <t>म्यूचुअल फंड / ईटीएफ</t>
  </si>
  <si>
    <t>Befektetési alap / ETF</t>
  </si>
  <si>
    <t>Fondo Comune / ETF</t>
  </si>
  <si>
    <t>קרן נאמנות / קרן סל</t>
  </si>
  <si>
    <t>Beleggingsfonds / ETF</t>
  </si>
  <si>
    <t>Verdipapirfond / ETF</t>
  </si>
  <si>
    <t>Fundusz inwestycyjny / ETF</t>
  </si>
  <si>
    <t>Fundos mútuos / ETF</t>
  </si>
  <si>
    <t>Fond Mutual / EFT</t>
  </si>
  <si>
    <t>Фонд взаимных инвестиций / ЕТФ</t>
  </si>
  <si>
    <t>Podielový fond / ETF</t>
  </si>
  <si>
    <t>Vzajemni sklad / ETF</t>
  </si>
  <si>
    <t>Investicioni fond / ETF</t>
  </si>
  <si>
    <t>Aktieandelsfond / ETF</t>
  </si>
  <si>
    <t>กองทุนรวม / ETF</t>
  </si>
  <si>
    <t>Yatırım Fonu / ETF</t>
  </si>
  <si>
    <t>Quỹ tương hỗ/ETF</t>
  </si>
  <si>
    <t>password_should_not_be_empty</t>
  </si>
  <si>
    <t>Password should not be empty</t>
  </si>
  <si>
    <t>لا يمكن لكلمة المرور أن تبقى فارغةً</t>
  </si>
  <si>
    <t>Паролата не трябва да е празна</t>
  </si>
  <si>
    <t>Les contrasenyes no poden estar buides</t>
  </si>
  <si>
    <t>Das Passwort darf nicht leer sein</t>
  </si>
  <si>
    <t>La contraseña no puede ser vacía</t>
  </si>
  <si>
    <t>Le mot de passe ne doit pas être vide</t>
  </si>
  <si>
    <t>O contrasinal non debería estar baldeiro</t>
  </si>
  <si>
    <t>Jelszó nem lehet üres</t>
  </si>
  <si>
    <t>Password tidak boleh kosong</t>
  </si>
  <si>
    <t>La password non dovrebbe essere vuota</t>
  </si>
  <si>
    <t>パスワードは空にできません</t>
  </si>
  <si>
    <t>암호를 반드시 입력해야 합니다</t>
  </si>
  <si>
    <t>Wachtwoord zou niet leeg mogen zijn</t>
  </si>
  <si>
    <t>Hasło nie może być puste</t>
  </si>
  <si>
    <t>A palavra-passe não deve estar vazia</t>
  </si>
  <si>
    <t>Пароль не может быть пустым</t>
  </si>
  <si>
    <t>Heslo nesmie byť prázdne</t>
  </si>
  <si>
    <t>Лозинка не може бити празна</t>
  </si>
  <si>
    <t>Lösenordet ska inte vara tomt</t>
  </si>
  <si>
    <t>Пароль не може бути порожнім</t>
  </si>
  <si>
    <t>Không được để trống mật khẩu</t>
  </si>
  <si>
    <t>密碼不能為空</t>
  </si>
  <si>
    <t>tt_security_type_98</t>
  </si>
  <si>
    <t>Warrant</t>
  </si>
  <si>
    <t>خيار شراء الأسهم</t>
  </si>
  <si>
    <t>Гаранция</t>
  </si>
  <si>
    <t>Rozkaz</t>
  </si>
  <si>
    <t>Garanti</t>
  </si>
  <si>
    <t>Optionsschein</t>
  </si>
  <si>
    <t>Εγγύηση</t>
  </si>
  <si>
    <t>Orden</t>
  </si>
  <si>
    <t>Warrantti</t>
  </si>
  <si>
    <t>वारंट</t>
  </si>
  <si>
    <t>Waran</t>
  </si>
  <si>
    <t>הרשאה</t>
  </si>
  <si>
    <t>ワラント</t>
  </si>
  <si>
    <t>워런트</t>
  </si>
  <si>
    <t>Nakaz</t>
  </si>
  <si>
    <t>Mandat</t>
  </si>
  <si>
    <t>Варрант</t>
  </si>
  <si>
    <t>Plnomocenstvo</t>
  </si>
  <si>
    <t>Jamstvo</t>
  </si>
  <si>
    <t>ใบสำคัญแสดงสิทธิการซื้อหุ้น</t>
  </si>
  <si>
    <t>Varant</t>
  </si>
  <si>
    <t>Bảo đảm</t>
  </si>
  <si>
    <t>权证</t>
  </si>
  <si>
    <t>&gt;權證</t>
  </si>
  <si>
    <t>tt_language</t>
  </si>
  <si>
    <t>Language</t>
  </si>
  <si>
    <t>الللغة</t>
  </si>
  <si>
    <t>Език</t>
  </si>
  <si>
    <t>Jazyk</t>
  </si>
  <si>
    <t>Sprog</t>
  </si>
  <si>
    <t>Sprache</t>
  </si>
  <si>
    <t>Γλώσσα</t>
  </si>
  <si>
    <t>Idioma</t>
  </si>
  <si>
    <t>Kieli</t>
  </si>
  <si>
    <t>Langue</t>
  </si>
  <si>
    <t>भाषा</t>
  </si>
  <si>
    <t>Nyelv</t>
  </si>
  <si>
    <t>Bahasa</t>
  </si>
  <si>
    <t>Lingua</t>
  </si>
  <si>
    <t>שפה</t>
  </si>
  <si>
    <t>言語</t>
  </si>
  <si>
    <t>언어</t>
  </si>
  <si>
    <t>Taal</t>
  </si>
  <si>
    <t>Språk</t>
  </si>
  <si>
    <t>Język</t>
  </si>
  <si>
    <t>Língua</t>
  </si>
  <si>
    <t>LimbĂ</t>
  </si>
  <si>
    <t>Язык</t>
  </si>
  <si>
    <t>Jezik</t>
  </si>
  <si>
    <t>ภาษา</t>
  </si>
  <si>
    <t>Dil</t>
  </si>
  <si>
    <t>Ngôn ngữ</t>
  </si>
  <si>
    <t>语言</t>
  </si>
  <si>
    <t>&gt;語言</t>
  </si>
  <si>
    <t>tt_security_type_97</t>
  </si>
  <si>
    <t>रिवर्स परिवर्तनीय</t>
  </si>
  <si>
    <t>Convertibile Inverso</t>
  </si>
  <si>
    <t>Converteerbare Obligatie</t>
  </si>
  <si>
    <t>Reverzibilno konvertibilno</t>
  </si>
  <si>
    <t>Ters Değiştirilebilir</t>
  </si>
  <si>
    <t>permission_storage_denied</t>
  </si>
  <si>
    <t>Storage permission was denied. Please consider granting it in order to access the files sharing feature!</t>
  </si>
  <si>
    <t>Berechtigung für Speicherzugriff wurde verweigert. Um das Teilen von Dateien zu ermöglichen, sollte diese Berechtigung zugelassen werden!</t>
  </si>
  <si>
    <t>Permiso de guardado fue denegado. ¡Por favor considera añadirlo para acceder a la función de compartir archivos!</t>
  </si>
  <si>
    <t>L\'autorisation de stockage a été refusée. S\'il vous plaît envisager de l\'accorder afin d\'accéder à la fonctionnalité de partage de fichiers!</t>
  </si>
  <si>
    <t>Tárhely hozzáférés letiltva. Engedélyezze a fájl megosztás használata érdekében!</t>
  </si>
  <si>
    <t>Доступ к хранилищу запрещён. Пожалуйста, разрешите доступ к хранилищу, чтобы использовать функцию обмена файлами!</t>
  </si>
  <si>
    <t>Pristup snimanju u foldere je odbijen. Molimo vas dozvolite snimanje u foldere da bi ste mogli da koristite čet!</t>
  </si>
  <si>
    <t>pref_quick_action</t>
  </si>
  <si>
    <t>Quick Action</t>
  </si>
  <si>
    <t>حركة سريعة</t>
  </si>
  <si>
    <t>Бързо действие</t>
  </si>
  <si>
    <t>Acció ràpida</t>
  </si>
  <si>
    <t>Schnell-Tasten</t>
  </si>
  <si>
    <t>Acción rápida</t>
  </si>
  <si>
    <t>Action Rapide</t>
  </si>
  <si>
    <t>Gyors gomb</t>
  </si>
  <si>
    <t>Aksi Cepat</t>
  </si>
  <si>
    <t>Azione rapida</t>
  </si>
  <si>
    <t>クイックアクション</t>
  </si>
  <si>
    <t>빠른 동작</t>
  </si>
  <si>
    <t>Snelle actie</t>
  </si>
  <si>
    <t>Szybka akcja</t>
  </si>
  <si>
    <t>Ação rápida</t>
  </si>
  <si>
    <t>Быстрое действие</t>
  </si>
  <si>
    <t>Rýchla akcia</t>
  </si>
  <si>
    <t>Брза радња</t>
  </si>
  <si>
    <t>Snabbfunktion</t>
  </si>
  <si>
    <t>Швидкі дії</t>
  </si>
  <si>
    <t>Thao tác nhanh</t>
  </si>
  <si>
    <t>快速動作</t>
  </si>
  <si>
    <t>recommend_second_row</t>
  </si>
  <si>
    <t>ajánlása</t>
  </si>
  <si>
    <t>yang direkomendasikan</t>
  </si>
  <si>
    <t>をすすめる</t>
  </si>
  <si>
    <t>추천</t>
  </si>
  <si>
    <t>aanbevelen</t>
  </si>
  <si>
    <t>uygulamasını öner</t>
  </si>
  <si>
    <t>join_conference</t>
  </si>
  <si>
    <t>Join group chat</t>
  </si>
  <si>
    <t>Unirse a conversación en grupo</t>
  </si>
  <si>
    <t>Entrar nunha conversa en grupo</t>
  </si>
  <si>
    <t>Konferenciához csatlakozás</t>
  </si>
  <si>
    <t>Unisciti alla chat</t>
  </si>
  <si>
    <t>tt_theta</t>
  </si>
  <si>
    <t>Theta</t>
  </si>
  <si>
    <t>ثيتا</t>
  </si>
  <si>
    <t>Theeta</t>
  </si>
  <si>
    <t>Thêta</t>
  </si>
  <si>
    <t>थीटा</t>
  </si>
  <si>
    <t>תטא</t>
  </si>
  <si>
    <t>セータ</t>
  </si>
  <si>
    <t>세타</t>
  </si>
  <si>
    <t>theta</t>
  </si>
  <si>
    <t>Tета</t>
  </si>
  <si>
    <t>Teta</t>
  </si>
  <si>
    <t>manage</t>
  </si>
  <si>
    <t>Manage</t>
  </si>
  <si>
    <t>إدارة</t>
  </si>
  <si>
    <t>Управлявай</t>
  </si>
  <si>
    <t>Spravovat</t>
  </si>
  <si>
    <t>Styre</t>
  </si>
  <si>
    <t>Verwalten</t>
  </si>
  <si>
    <t>Διαχείρηση</t>
  </si>
  <si>
    <t>Administrar</t>
  </si>
  <si>
    <t>Hallitse</t>
  </si>
  <si>
    <t>Gérer</t>
  </si>
  <si>
    <t>प्रबंधित करें</t>
  </si>
  <si>
    <t>Kezelés</t>
  </si>
  <si>
    <t>Kelola</t>
  </si>
  <si>
    <t>Gestisci</t>
  </si>
  <si>
    <t>נהל</t>
  </si>
  <si>
    <t>管理</t>
  </si>
  <si>
    <t>관리</t>
  </si>
  <si>
    <t>Uruskan</t>
  </si>
  <si>
    <t>Beheren</t>
  </si>
  <si>
    <t>Administrer</t>
  </si>
  <si>
    <t>Zarządzaj</t>
  </si>
  <si>
    <t>Gerir</t>
  </si>
  <si>
    <t>Administrează</t>
  </si>
  <si>
    <t>Управлять</t>
  </si>
  <si>
    <t>Spravovať</t>
  </si>
  <si>
    <t>Upravljajte</t>
  </si>
  <si>
    <t>Upravljanje</t>
  </si>
  <si>
    <t>Hantera</t>
  </si>
  <si>
    <t>จัดการ</t>
  </si>
  <si>
    <t>Yönet</t>
  </si>
  <si>
    <t>Quản lý</t>
  </si>
  <si>
    <t>bookmark_already_exists</t>
  </si>
  <si>
    <t>This bookmark already exists</t>
  </si>
  <si>
    <t>موجوده بالمفضلة سابقا</t>
  </si>
  <si>
    <t>Вече съществува такава отметка</t>
  </si>
  <si>
    <t>Aquest marcador ja existeix</t>
  </si>
  <si>
    <t>Die Konferenz befindet sich bereits auf deiner Kontaktliste</t>
  </si>
  <si>
    <t>Este marcador ya existe</t>
  </si>
  <si>
    <t>Le favori existe déjà</t>
  </si>
  <si>
    <t>Este marcador xa existe</t>
  </si>
  <si>
    <t>A könyvjelző már létezik</t>
  </si>
  <si>
    <t>Bookmark ini sudah ada</t>
  </si>
  <si>
    <t>Questo segnalibro esiste già</t>
  </si>
  <si>
    <t>このブックマークはすでに存在します</t>
  </si>
  <si>
    <t>즐겨찾기가 이미 존재합니다</t>
  </si>
  <si>
    <t>Deze bladwijzer bestaat al</t>
  </si>
  <si>
    <t>Zakładka już istnieje</t>
  </si>
  <si>
    <t>O favorito já existe</t>
  </si>
  <si>
    <t>Такая закладка уже существует</t>
  </si>
  <si>
    <t>Táto záložka už existuje</t>
  </si>
  <si>
    <t>Овај обележивач већ постоји</t>
  </si>
  <si>
    <t>Detta bokmärke finns redan</t>
  </si>
  <si>
    <t>Ця закладка вже існує</t>
  </si>
  <si>
    <t>Đã có đánh dấu này rồi</t>
  </si>
  <si>
    <t>該書簽已存在</t>
  </si>
  <si>
    <t>tt_iosbridge_createnewuser_mail_from</t>
  </si>
  <si>
    <t>iphone@baha.com</t>
  </si>
  <si>
    <t>iphone\@teletrader.com</t>
  </si>
  <si>
    <t>iphone@teletrader.com</t>
  </si>
  <si>
    <t>&gt;iphone@teletrader.com</t>
  </si>
  <si>
    <t>tt_news_category_53</t>
  </si>
  <si>
    <t>World Events</t>
  </si>
  <si>
    <t>أحداث العالم</t>
  </si>
  <si>
    <t>Световни събития</t>
  </si>
  <si>
    <t>Dění ve světě</t>
  </si>
  <si>
    <t>Verdensbegivenheder</t>
  </si>
  <si>
    <t>Weltweite Termine</t>
  </si>
  <si>
    <t>Παγκόσμιες εκδηλώσεις</t>
  </si>
  <si>
    <t>Eventos mundiales</t>
  </si>
  <si>
    <t>Maailmantapahtumat</t>
  </si>
  <si>
    <t>Évenements mondiaux</t>
  </si>
  <si>
    <t>वैश्विक घटनाएँ</t>
  </si>
  <si>
    <t>Technológia</t>
  </si>
  <si>
    <t>Acara Dunia</t>
  </si>
  <si>
    <t>Eventi Mondiali</t>
  </si>
  <si>
    <t>אירועים עולמיים</t>
  </si>
  <si>
    <t>世界のイベント</t>
  </si>
  <si>
    <t>세계의 사건</t>
  </si>
  <si>
    <t>Wereldevenementen</t>
  </si>
  <si>
    <t>Verdenshendelser</t>
  </si>
  <si>
    <t>Eventos do mundo</t>
  </si>
  <si>
    <t>Evenimente Mondiale</t>
  </si>
  <si>
    <t>Мировые события</t>
  </si>
  <si>
    <t>Udalosti vo svete</t>
  </si>
  <si>
    <t>Svetovni dogodki</t>
  </si>
  <si>
    <t>Svetski događaji</t>
  </si>
  <si>
    <t>Världshändelse</t>
  </si>
  <si>
    <t>สถานการณ์โลก</t>
  </si>
  <si>
    <t>Dünya Etkinlikleri</t>
  </si>
  <si>
    <t>Sự kiện thế giới</t>
  </si>
  <si>
    <t>世界活动</t>
  </si>
  <si>
    <t>tt_news_category_52</t>
  </si>
  <si>
    <t>Technology</t>
  </si>
  <si>
    <t>التكنولوجيا</t>
  </si>
  <si>
    <t>Технологии</t>
  </si>
  <si>
    <t>Technika</t>
  </si>
  <si>
    <t>Teknologi</t>
  </si>
  <si>
    <t>Technologie</t>
  </si>
  <si>
    <t>Τεχνολογία</t>
  </si>
  <si>
    <t>Tecnología</t>
  </si>
  <si>
    <t>Tekniikka</t>
  </si>
  <si>
    <t>प्रौद्योगिकी</t>
  </si>
  <si>
    <t>Tecnologia</t>
  </si>
  <si>
    <t>טכנולוגיה</t>
  </si>
  <si>
    <t>テクノロジー</t>
  </si>
  <si>
    <t>기술</t>
  </si>
  <si>
    <t>Technologia</t>
  </si>
  <si>
    <t>Tehnologie</t>
  </si>
  <si>
    <t>Технология</t>
  </si>
  <si>
    <t>Technológie</t>
  </si>
  <si>
    <t>Tehnologija</t>
  </si>
  <si>
    <t>เทคโนโลยี</t>
  </si>
  <si>
    <t>Teknoloji</t>
  </si>
  <si>
    <t>Công nghệ</t>
  </si>
  <si>
    <t>技术</t>
  </si>
  <si>
    <t>tt_news_category_51</t>
  </si>
  <si>
    <t>Forex - Interest rates</t>
  </si>
  <si>
    <t>فوركس - أسعار الفائدة</t>
  </si>
  <si>
    <t>Forex - Лихвени проценти</t>
  </si>
  <si>
    <t>Forex - úrokové sazby</t>
  </si>
  <si>
    <t>Forex - rentesatser</t>
  </si>
  <si>
    <t>Forex - Zinsen</t>
  </si>
  <si>
    <t>Forex - Επιτόκια</t>
  </si>
  <si>
    <t>Forex – Tasas de interés</t>
  </si>
  <si>
    <t>Valuutat - korot</t>
  </si>
  <si>
    <t>Forex - Taux d\'intérêt</t>
  </si>
  <si>
    <t>विदेशी मुद्रा - ब्याज दरें</t>
  </si>
  <si>
    <t>Forex, Kamatok</t>
  </si>
  <si>
    <t>Forex – Suku bunga</t>
  </si>
  <si>
    <t>Forex - Tassi di interesse</t>
  </si>
  <si>
    <t>פורקס - עורי ריבית</t>
  </si>
  <si>
    <t>外国為替金利</t>
  </si>
  <si>
    <t>외환 - 금리</t>
  </si>
  <si>
    <t>Forex - Kadar Faedah</t>
  </si>
  <si>
    <t>Forex - Rentetarieven</t>
  </si>
  <si>
    <t>Valutahandel – rentesatser</t>
  </si>
  <si>
    <t>Forex - stopy procentowe</t>
  </si>
  <si>
    <t>Forex - Taxas de juros</t>
  </si>
  <si>
    <t>Forex - Ratele dobânzii</t>
  </si>
  <si>
    <t>Forex - Процентные ставки</t>
  </si>
  <si>
    <t>Forex - úrokové sadzby</t>
  </si>
  <si>
    <t>Forex - Obrestne mere</t>
  </si>
  <si>
    <t>Forex</t>
  </si>
  <si>
    <t>Forex - räntor</t>
  </si>
  <si>
    <t>Forex - อัตราดอกเบี้ย</t>
  </si>
  <si>
    <t>Forex - Faiz oranları</t>
  </si>
  <si>
    <t>Forex - Lãi suất</t>
  </si>
  <si>
    <t>外汇——利率</t>
  </si>
  <si>
    <t>tt_news_category_50</t>
  </si>
  <si>
    <t>Precious Metals</t>
  </si>
  <si>
    <t>المعادن الثمينة</t>
  </si>
  <si>
    <t>Скъпоценни метали</t>
  </si>
  <si>
    <t>Drahé kovy</t>
  </si>
  <si>
    <t>Værdifulde metaller</t>
  </si>
  <si>
    <t>Πολύτιμα μέταλλα</t>
  </si>
  <si>
    <t>Metales preciosos</t>
  </si>
  <si>
    <t>Arvometallit</t>
  </si>
  <si>
    <t>Métaux précieux</t>
  </si>
  <si>
    <t>कीमती धातुएँ</t>
  </si>
  <si>
    <t>Logam Bernilai</t>
  </si>
  <si>
    <t>Metalli Preziosi</t>
  </si>
  <si>
    <t>מתכות יקרות</t>
  </si>
  <si>
    <t>貴金属</t>
  </si>
  <si>
    <t>귀금속</t>
  </si>
  <si>
    <t>Edelmetalen</t>
  </si>
  <si>
    <t>Dyrebare metaller</t>
  </si>
  <si>
    <t>Metale Szlachetne</t>
  </si>
  <si>
    <t>Metais preciosos</t>
  </si>
  <si>
    <t>Metale Prețioase</t>
  </si>
  <si>
    <t>Драгоценные металлы</t>
  </si>
  <si>
    <t>Vzácne kovy</t>
  </si>
  <si>
    <t>Dragocene kovine</t>
  </si>
  <si>
    <t>Plemeniti metali</t>
  </si>
  <si>
    <t>Ädelmetaller</t>
  </si>
  <si>
    <t>โลหะมีมูลค่า</t>
  </si>
  <si>
    <t>Değerli Metaller</t>
  </si>
  <si>
    <t>贵金属</t>
  </si>
  <si>
    <t>removed_from_wl</t>
  </si>
  <si>
    <t>removed from watchlist</t>
  </si>
  <si>
    <t>تمت الإزالة من قائمة المتابعة</t>
  </si>
  <si>
    <t>Премахнат от уочлист</t>
  </si>
  <si>
    <t>odebráno ze seznamu sledovaných</t>
  </si>
  <si>
    <t>fjernet fra overvågningslisten</t>
  </si>
  <si>
    <t>von der Kursliste entfernt</t>
  </si>
  <si>
    <t>καταργήθηκε από τη λίστα παρακολούθησης</t>
  </si>
  <si>
    <t>Eliminado de la lista de seguimiento</t>
  </si>
  <si>
    <t>poistettu tarkkailulistalta</t>
  </si>
  <si>
    <t>supprimé de la liste de suivi</t>
  </si>
  <si>
    <t>वॉचलिस्ट से हटा दिया गया है</t>
  </si>
  <si>
    <t>eltávolítva a figyelőlistából</t>
  </si>
  <si>
    <t>dihapus dari daftar pantauan</t>
  </si>
  <si>
    <t>rimosso dalla watchlist</t>
  </si>
  <si>
    <t>הוסר מרשימת המעקב</t>
  </si>
  <si>
    <t>ウォッチリストから削除</t>
  </si>
  <si>
    <t>보기목록에서 삭제되었습니다</t>
  </si>
  <si>
    <t>dikeluarkan daripada senarai pantau</t>
  </si>
  <si>
    <t>verwijderen van watchlist</t>
  </si>
  <si>
    <t>fjernet fra overvåkningslisten</t>
  </si>
  <si>
    <t>Usunięte z listy obserwacyjnej</t>
  </si>
  <si>
    <t>removido da lista de observação</t>
  </si>
  <si>
    <t>eliminat din lista de urmărire</t>
  </si>
  <si>
    <t>Удален из списка наблюдения</t>
  </si>
  <si>
    <t>odstránené zo sledovaného zoznamu</t>
  </si>
  <si>
    <t>odstranjeno s seznama ogledov</t>
  </si>
  <si>
    <t>uklonjeno iz watchliste</t>
  </si>
  <si>
    <t>borttagen från bevakningslistan</t>
  </si>
  <si>
    <t>ลบออกจากรายการหุ้นที่ติดตาม</t>
  </si>
  <si>
    <t>izleme listesinden kaldırıldı</t>
  </si>
  <si>
    <t>xóa khỏi danh mục theo dõi</t>
  </si>
  <si>
    <t>从收藏夹中删除了</t>
  </si>
  <si>
    <t>tt_company_figures</t>
  </si>
  <si>
    <t>Financial figures</t>
  </si>
  <si>
    <t>الأرقام المالية</t>
  </si>
  <si>
    <t>Финансови данни</t>
  </si>
  <si>
    <t>Finanční údaje</t>
  </si>
  <si>
    <t>Finansielle tal</t>
  </si>
  <si>
    <t>Οικονομικά στοιχεία</t>
  </si>
  <si>
    <t>Figuras financieras</t>
  </si>
  <si>
    <t>Talousluvut</t>
  </si>
  <si>
    <t>वित्तीय आंकड़े</t>
  </si>
  <si>
    <t>Pénzügyi számok</t>
  </si>
  <si>
    <t>Angka keuangan</t>
  </si>
  <si>
    <t>財務統計</t>
  </si>
  <si>
    <t>재무 수치</t>
  </si>
  <si>
    <t>Angka kewangan</t>
  </si>
  <si>
    <t>Financiële cijfers</t>
  </si>
  <si>
    <t>Økonomiske tall</t>
  </si>
  <si>
    <t>Dane finansowe</t>
  </si>
  <si>
    <t>Valores financeiros</t>
  </si>
  <si>
    <t>Cifre financiare</t>
  </si>
  <si>
    <t>Finančné údaje</t>
  </si>
  <si>
    <t>Finančni podatki</t>
  </si>
  <si>
    <t>Finansijsi podaci</t>
  </si>
  <si>
    <t>Ekonomiska siffror</t>
  </si>
  <si>
    <t>งบการเงิน</t>
  </si>
  <si>
    <t>Finansal değerler</t>
  </si>
  <si>
    <t>Số liệu tài chính</t>
  </si>
  <si>
    <t>财务数据</t>
  </si>
  <si>
    <t>&gt;財務數據</t>
  </si>
  <si>
    <t>presence_away</t>
  </si>
  <si>
    <t>Away</t>
  </si>
  <si>
    <t>غائِب</t>
  </si>
  <si>
    <t>Отсъстващ</t>
  </si>
  <si>
    <t>Lluny</t>
  </si>
  <si>
    <t>Weg</t>
  </si>
  <si>
    <t>Ausente</t>
  </si>
  <si>
    <t>Absent</t>
  </si>
  <si>
    <t>Fóra</t>
  </si>
  <si>
    <t>Távol</t>
  </si>
  <si>
    <t>Pergi</t>
  </si>
  <si>
    <t>Assente</t>
  </si>
  <si>
    <t>離席中</t>
  </si>
  <si>
    <t>자리 비움</t>
  </si>
  <si>
    <t>Afwezig</t>
  </si>
  <si>
    <t>Zaraz wracam</t>
  </si>
  <si>
    <t>Отошёл</t>
  </si>
  <si>
    <t>Одсутан</t>
  </si>
  <si>
    <t>Borta</t>
  </si>
  <si>
    <t>Відійшов</t>
  </si>
  <si>
    <t>correct_message</t>
  </si>
  <si>
    <t>Correct message</t>
  </si>
  <si>
    <t>صَحِّح الرسالة</t>
  </si>
  <si>
    <t>Поправяне на съобщението</t>
  </si>
  <si>
    <t>Corregeix el missatge</t>
  </si>
  <si>
    <t>Nachricht korrigieren</t>
  </si>
  <si>
    <t>Corregir mensaje</t>
  </si>
  <si>
    <t>Corriger le message</t>
  </si>
  <si>
    <t>Correxir mensaxe</t>
  </si>
  <si>
    <t>Üzenet szerkesztése</t>
  </si>
  <si>
    <t>Perbaiki pesan</t>
  </si>
  <si>
    <t>Correggi messaggio</t>
  </si>
  <si>
    <t>メッセージを修正</t>
  </si>
  <si>
    <t>메세지 정정</t>
  </si>
  <si>
    <t>Bericht corrigeren</t>
  </si>
  <si>
    <t>Popraw wiadomość</t>
  </si>
  <si>
    <t>Corrigir mensagem</t>
  </si>
  <si>
    <t>Исправить сообщение</t>
  </si>
  <si>
    <t>Исправи поруку</t>
  </si>
  <si>
    <t>Korrigera meddelanden</t>
  </si>
  <si>
    <t>Виправити повідомлення</t>
  </si>
  <si>
    <t>更正訊息</t>
  </si>
  <si>
    <t>account_status_stream_error</t>
  </si>
  <si>
    <t>Stream error</t>
  </si>
  <si>
    <t>Поточна грешка</t>
  </si>
  <si>
    <t>Error de transmissió</t>
  </si>
  <si>
    <t>Stream Fehler</t>
  </si>
  <si>
    <t>Error de flujo</t>
  </si>
  <si>
    <t>Erreur de flux</t>
  </si>
  <si>
    <t>Erro de fluxo</t>
  </si>
  <si>
    <t>Adatfolyam hiba</t>
  </si>
  <si>
    <t>Errore di stream</t>
  </si>
  <si>
    <t>ストリーム エラー</t>
  </si>
  <si>
    <t>스트림 오류</t>
  </si>
  <si>
    <t>Fout bij stream</t>
  </si>
  <si>
    <t>Błąd strumienia</t>
  </si>
  <si>
    <t>Ошибка потока</t>
  </si>
  <si>
    <t>Грешка тока</t>
  </si>
  <si>
    <t>Strömningsfel</t>
  </si>
  <si>
    <t>Помилка потоку</t>
  </si>
  <si>
    <t>Lỗi truyền phát</t>
  </si>
  <si>
    <t>流錯誤</t>
  </si>
  <si>
    <t>tt_iosbridge_gold</t>
  </si>
  <si>
    <t>join</t>
  </si>
  <si>
    <t>Join</t>
  </si>
  <si>
    <t>دخول</t>
  </si>
  <si>
    <t>Присъединяване</t>
  </si>
  <si>
    <t>Entra</t>
  </si>
  <si>
    <t>Beitreten</t>
  </si>
  <si>
    <t>Unirse</t>
  </si>
  <si>
    <t>Rejoindre</t>
  </si>
  <si>
    <t>Csatlakozik</t>
  </si>
  <si>
    <t>Gabung</t>
  </si>
  <si>
    <t>参加</t>
  </si>
  <si>
    <t>참석</t>
  </si>
  <si>
    <t>Deelnemen</t>
  </si>
  <si>
    <t>Dołącz</t>
  </si>
  <si>
    <t>Juntar</t>
  </si>
  <si>
    <t>Присоединиться</t>
  </si>
  <si>
    <t>Vstúpiť</t>
  </si>
  <si>
    <t>Придружи се</t>
  </si>
  <si>
    <t>Gå med</t>
  </si>
  <si>
    <t>Долучитися</t>
  </si>
  <si>
    <t>Tham gia</t>
  </si>
  <si>
    <t>加入</t>
  </si>
  <si>
    <t>save_chat_image</t>
  </si>
  <si>
    <t>Save image</t>
  </si>
  <si>
    <t>Bild speichern</t>
  </si>
  <si>
    <t>Guardar imagen</t>
  </si>
  <si>
    <t>Enregistrer l\'image</t>
  </si>
  <si>
    <t>Kép mentése</t>
  </si>
  <si>
    <t>Сохранить изображение</t>
  </si>
  <si>
    <t>Snimi sliku</t>
  </si>
  <si>
    <t>somalia</t>
  </si>
  <si>
    <t>Somalia</t>
  </si>
  <si>
    <t>Somalie</t>
  </si>
  <si>
    <t>Сомали</t>
  </si>
  <si>
    <t>Somalija</t>
  </si>
  <si>
    <t>tt_social_networks_select_google_account</t>
  </si>
  <si>
    <t>Select a Google account.</t>
  </si>
  <si>
    <t>حدد حساب Google.</t>
  </si>
  <si>
    <t>Избер на Google акаунт.</t>
  </si>
  <si>
    <t>Vyberte účet Google.</t>
  </si>
  <si>
    <t>Vælg en Google-konto.</t>
  </si>
  <si>
    <t>Wählen Sie Ihr Google Benutzerkonto.</t>
  </si>
  <si>
    <t>Επιλέξτε λογαριασμό Google.</t>
  </si>
  <si>
    <t>Seleccione una cuenta de Google</t>
  </si>
  <si>
    <t>Valitse Google-tili.</t>
  </si>
  <si>
    <t>Sélectionner un compte Google</t>
  </si>
  <si>
    <t>गूगल खाते का चयन करें।</t>
  </si>
  <si>
    <t>Pilih akun Google.</t>
  </si>
  <si>
    <t>Scegli Google acount</t>
  </si>
  <si>
    <t>בחר חשבון גוגל</t>
  </si>
  <si>
    <t>別のアカウントでログイン</t>
  </si>
  <si>
    <t>구글 계정을 선택하세요.</t>
  </si>
  <si>
    <t>Pilih akaun Google.</t>
  </si>
  <si>
    <t>Selecteer een Google account.</t>
  </si>
  <si>
    <t>Velg en Google-konto.</t>
  </si>
  <si>
    <t>Wybierz konto Google.</t>
  </si>
  <si>
    <t>Selecionar uma conta google</t>
  </si>
  <si>
    <t>Selectează un cont Google.</t>
  </si>
  <si>
    <t>Выберите учетную запись Google</t>
  </si>
  <si>
    <t>Zvoľte Google účet.</t>
  </si>
  <si>
    <t>Izberite Google račun.</t>
  </si>
  <si>
    <t>Izaberite Google nalog</t>
  </si>
  <si>
    <t>Välj ett Google-konto.</t>
  </si>
  <si>
    <t>เลือกบัญชี Google</t>
  </si>
  <si>
    <t>Bir Google hesabı seçin.</t>
  </si>
  <si>
    <t>Chọn tài khoản Google.</t>
  </si>
  <si>
    <t>选择一个Google帐户</t>
  </si>
  <si>
    <t>&gt;選擇一個google帳戶</t>
  </si>
  <si>
    <t>tt_market_cap</t>
  </si>
  <si>
    <t>Market Cap</t>
  </si>
  <si>
    <t>غطاء السوق</t>
  </si>
  <si>
    <t>Пазарно ограничение</t>
  </si>
  <si>
    <t>Tržní kapitál</t>
  </si>
  <si>
    <t>Markedsværdi</t>
  </si>
  <si>
    <t>Marktkap.</t>
  </si>
  <si>
    <t>Κεφαλαιοποίηση αγοράς</t>
  </si>
  <si>
    <t>Cap. de mercado</t>
  </si>
  <si>
    <t>Markkina-arvo</t>
  </si>
  <si>
    <t>Cap. boursière</t>
  </si>
  <si>
    <t>बाज़ार कैप</t>
  </si>
  <si>
    <t>Piaci kapitalizáció</t>
  </si>
  <si>
    <t>Batas pasar</t>
  </si>
  <si>
    <t>היוון שוק</t>
  </si>
  <si>
    <t>時価総額</t>
  </si>
  <si>
    <t>시가총액</t>
  </si>
  <si>
    <t>Had Pasaran</t>
  </si>
  <si>
    <t>Marktkapitalisatie</t>
  </si>
  <si>
    <t>Markedstak</t>
  </si>
  <si>
    <t>Kapitalizacja</t>
  </si>
  <si>
    <t>Limită de Piață</t>
  </si>
  <si>
    <t>Рыночная капитализация</t>
  </si>
  <si>
    <t>Strop trhu</t>
  </si>
  <si>
    <t>Tržišna kapitalizacija</t>
  </si>
  <si>
    <t>Marknadstak</t>
  </si>
  <si>
    <t>มูลค่าการตลาด</t>
  </si>
  <si>
    <t>Piyasa Değeri</t>
  </si>
  <si>
    <t>Vốn hóa thị trường</t>
  </si>
  <si>
    <t>市值</t>
  </si>
  <si>
    <t>&gt;市值</t>
  </si>
  <si>
    <t>tt_pricepage</t>
  </si>
  <si>
    <t>Constituents</t>
  </si>
  <si>
    <t>المكونات</t>
  </si>
  <si>
    <t>Компоненти</t>
  </si>
  <si>
    <t>Složky</t>
  </si>
  <si>
    <t>Konstituenter</t>
  </si>
  <si>
    <t>Zugehörige Werte</t>
  </si>
  <si>
    <t>Συστατικά</t>
  </si>
  <si>
    <t>Valores asociados</t>
  </si>
  <si>
    <t>Osakkaat</t>
  </si>
  <si>
    <t>Composants</t>
  </si>
  <si>
    <t>संघटक</t>
  </si>
  <si>
    <t>Komponensek</t>
  </si>
  <si>
    <t>Konstituen</t>
  </si>
  <si>
    <t>Costituenti</t>
  </si>
  <si>
    <t>חברים</t>
  </si>
  <si>
    <t>銘柄構成</t>
  </si>
  <si>
    <t>Bestandsdelen</t>
  </si>
  <si>
    <t>Bestanddeler</t>
  </si>
  <si>
    <t>Składniki</t>
  </si>
  <si>
    <t>Constituintes</t>
  </si>
  <si>
    <t>Constituente</t>
  </si>
  <si>
    <t>Компоненты</t>
  </si>
  <si>
    <t>Zmocnitelia</t>
  </si>
  <si>
    <t>Sestavni deli</t>
  </si>
  <si>
    <t>Konstituenti</t>
  </si>
  <si>
    <t>Komponenter</t>
  </si>
  <si>
    <t>รายชื่อหลักทรัพย์ที่ใช้คำนวณ</t>
  </si>
  <si>
    <t>Bileşenler</t>
  </si>
  <si>
    <t>Thành phần</t>
  </si>
  <si>
    <t>成份</t>
  </si>
  <si>
    <t>&gt;成份</t>
  </si>
  <si>
    <t>tt_eulaagree_4</t>
  </si>
  <si>
    <t>Please accept the Terms of Use</t>
  </si>
  <si>
    <t>يُرجى قبول شروط الاستخدام</t>
  </si>
  <si>
    <t>Моля, приемете Условията за ползване</t>
  </si>
  <si>
    <t>Přijměte prosím podmínky použití</t>
  </si>
  <si>
    <t>Accepter venligst brugsbetingelserne</t>
  </si>
  <si>
    <t>Bitte akzeptieren Sie die Nutzungsbedingungen</t>
  </si>
  <si>
    <t>Αποδεχτείτε τους Όρους Χρήσης</t>
  </si>
  <si>
    <t>Por favor, acepte los términos de uso</t>
  </si>
  <si>
    <t>Hyväksy käyttöehdot</t>
  </si>
  <si>
    <t>S\'il vous plaît accepter Les Conditions générales d\'utilisation</t>
  </si>
  <si>
    <t>कृपया उपयोग की शर्तों को स्वीकार करें</t>
  </si>
  <si>
    <t>Kérjük, fogadja el ÁSZF-et</t>
  </si>
  <si>
    <t>Silakan terima Ketentuan Penggunaan</t>
  </si>
  <si>
    <t>Per favore accetta I condizioni d\'uso</t>
  </si>
  <si>
    <t>אנא הסכם לתנאי השימוש</t>
  </si>
  <si>
    <t>利用規約に同意して下さい</t>
  </si>
  <si>
    <t>이용 약관에 동의해주세요</t>
  </si>
  <si>
    <t>Sila terima Terma Penggunaan</t>
  </si>
  <si>
    <t>Ga akkoord met de Gebruiksovereenkomst</t>
  </si>
  <si>
    <t>Godta brukervilkårene</t>
  </si>
  <si>
    <t>Proszę zaakceptować Warunki użytkowania</t>
  </si>
  <si>
    <t>Пожалуйста, примите Условия Использования</t>
  </si>
  <si>
    <t>Vyjadrite svoj súhlas s podmienkami používania</t>
  </si>
  <si>
    <t>Sprejmite Pogoje uporabe</t>
  </si>
  <si>
    <t>Molimo, prihvatite Uslove o korišćenju</t>
  </si>
  <si>
    <t>Acceptera användarvillkoren</t>
  </si>
  <si>
    <t>Lütfen Kullanım Şartlarını kabul edin</t>
  </si>
  <si>
    <t>Vui lòng chấp nhận Điều khoản sử dụng</t>
  </si>
  <si>
    <t>tt_eulaagree_3</t>
  </si>
  <si>
    <t>Please accept the</t>
  </si>
  <si>
    <t>يُرجى قبول</t>
  </si>
  <si>
    <t>Моля, приемете</t>
  </si>
  <si>
    <t>Přijměte prosím</t>
  </si>
  <si>
    <t>Accepter venligst</t>
  </si>
  <si>
    <t>Bitte akzeptieren Sie die</t>
  </si>
  <si>
    <t>Αποδεχτείτε τους</t>
  </si>
  <si>
    <t>Por favor, acepte los</t>
  </si>
  <si>
    <t>Hyväksy</t>
  </si>
  <si>
    <t>S\'il vous plaît accepter</t>
  </si>
  <si>
    <t>कृपया स्वीकार करें</t>
  </si>
  <si>
    <t>Kérjük, fogadja el</t>
  </si>
  <si>
    <t>Silakan terima</t>
  </si>
  <si>
    <t>Per favore accetta il</t>
  </si>
  <si>
    <t>אנא הסכם ל-</t>
  </si>
  <si>
    <t>다음을 동의해주세요</t>
  </si>
  <si>
    <t>Sila terima</t>
  </si>
  <si>
    <t>Ga akkoord met de</t>
  </si>
  <si>
    <t>Godta</t>
  </si>
  <si>
    <t>Proszę zaakceptować</t>
  </si>
  <si>
    <t>Por favor, aceite o</t>
  </si>
  <si>
    <t>Пожалуйста, примите</t>
  </si>
  <si>
    <t>Vyjadrite svoj súhlas</t>
  </si>
  <si>
    <t>Prosim, sprejmite</t>
  </si>
  <si>
    <t>โปรดยอมรับ</t>
  </si>
  <si>
    <t>Lütfen kabul edin</t>
  </si>
  <si>
    <t>Vui lòng chấp nhận</t>
  </si>
  <si>
    <t>请接受</t>
  </si>
  <si>
    <t>paste_as_quote</t>
  </si>
  <si>
    <t>Paste as quote</t>
  </si>
  <si>
    <t>Поставяне като цитат</t>
  </si>
  <si>
    <t>Pegar com a cita</t>
  </si>
  <si>
    <t>Als Zitat einfügen</t>
  </si>
  <si>
    <t>Pegar como cita</t>
  </si>
  <si>
    <t>Coller en tant que citation</t>
  </si>
  <si>
    <t>Beillesztés idézetként</t>
  </si>
  <si>
    <t>Incolla come citazione</t>
  </si>
  <si>
    <t>Plakken als citaat</t>
  </si>
  <si>
    <t>Wklej jako cytat</t>
  </si>
  <si>
    <t>Colar como citação</t>
  </si>
  <si>
    <t>Вставить как цитату</t>
  </si>
  <si>
    <t>Налепи као навод</t>
  </si>
  <si>
    <t>tt_eulaagree_2</t>
  </si>
  <si>
    <t>Όρους χρήσης</t>
  </si>
  <si>
    <t>Les Conditions générales d\'utilisation</t>
  </si>
  <si>
    <t>ÁSZF-et</t>
  </si>
  <si>
    <t>Warunki użytkowania</t>
  </si>
  <si>
    <t>Условия Использования</t>
  </si>
  <si>
    <t>s podmienkami používania</t>
  </si>
  <si>
    <t>Uslove o korišćenju</t>
  </si>
  <si>
    <t>tt_indicator_settings_lower_level</t>
  </si>
  <si>
    <t>LowerLevel</t>
  </si>
  <si>
    <t>المستوى الأدنى</t>
  </si>
  <si>
    <t>По-ниско ниво</t>
  </si>
  <si>
    <t>Nižší úroveň</t>
  </si>
  <si>
    <t>Lavere niveau</t>
  </si>
  <si>
    <t>Χαμηλότερο επίπεδο</t>
  </si>
  <si>
    <t>Nivel inferior</t>
  </si>
  <si>
    <t>Alataso</t>
  </si>
  <si>
    <t>निचला स्तर</t>
  </si>
  <si>
    <t>TahapRendah</t>
  </si>
  <si>
    <t>רמה נמוכה יותר</t>
  </si>
  <si>
    <t>下位</t>
  </si>
  <si>
    <t>낮은 수준</t>
  </si>
  <si>
    <t>Lage level</t>
  </si>
  <si>
    <t>LavereNivå</t>
  </si>
  <si>
    <t>Nível Inferior</t>
  </si>
  <si>
    <t>Нижний показатель</t>
  </si>
  <si>
    <t>Nižšia úroveň</t>
  </si>
  <si>
    <t>Nižja raven</t>
  </si>
  <si>
    <t>ระดับต่ำลง</t>
  </si>
  <si>
    <t>AltDüzey</t>
  </si>
  <si>
    <t>Cấp độ thấp</t>
  </si>
  <si>
    <t>较低的水平</t>
  </si>
  <si>
    <t>&gt;較低的水平</t>
  </si>
  <si>
    <t>tt_eulaagree_1</t>
  </si>
  <si>
    <t>I accept the</t>
  </si>
  <si>
    <t>أقبل</t>
  </si>
  <si>
    <t>Приемам</t>
  </si>
  <si>
    <t>Přijímám</t>
  </si>
  <si>
    <t>Jeg accepterer</t>
  </si>
  <si>
    <t>Ich akzeptiere die</t>
  </si>
  <si>
    <t>Αποδέχομαι την</t>
  </si>
  <si>
    <t>Acepto las</t>
  </si>
  <si>
    <t>Hyväksyn</t>
  </si>
  <si>
    <t>J\'accepte</t>
  </si>
  <si>
    <t>मैं स्वीकार करता हूँ</t>
  </si>
  <si>
    <t>Elfogadom az</t>
  </si>
  <si>
    <t>Saya terima</t>
  </si>
  <si>
    <t>Acceto il</t>
  </si>
  <si>
    <t>אני מסכים ל-</t>
  </si>
  <si>
    <t>同意する</t>
  </si>
  <si>
    <t>다음에 동의합니다.</t>
  </si>
  <si>
    <t>Ik accepteer de</t>
  </si>
  <si>
    <t>Jeg godtar</t>
  </si>
  <si>
    <t>Akceptuję</t>
  </si>
  <si>
    <t>Eu aceito o</t>
  </si>
  <si>
    <t>Я принимаю</t>
  </si>
  <si>
    <t>Súhlasím s</t>
  </si>
  <si>
    <t>Sprejemam</t>
  </si>
  <si>
    <t>Prihvatam</t>
  </si>
  <si>
    <t>Jag accepterar</t>
  </si>
  <si>
    <t>ฉันยอมรับ</t>
  </si>
  <si>
    <t>Kabul ediyorum</t>
  </si>
  <si>
    <t>Tôi chấp nhận</t>
  </si>
  <si>
    <t>我接受</t>
  </si>
  <si>
    <t>receiving_x_file</t>
  </si>
  <si>
    <t>Receiving %1$s (%2$d%% completed)</t>
  </si>
  <si>
    <t>اكتمل الإستلام %1$s (%2$d%% بنسبة)</t>
  </si>
  <si>
    <t>Получаване на %1$s (%2$d%% завършено)</t>
  </si>
  <si>
    <t>Rebent %1$s (%2$d%% completat)</t>
  </si>
  <si>
    <t>Modtager %1$s (%2$d %% afsluttet)</t>
  </si>
  <si>
    <t>Empfange %1$s (%2$d%% abgeschlossen)</t>
  </si>
  <si>
    <t>Recibiendo %1$s (%2$d%% completado)</t>
  </si>
  <si>
    <t>Vastaanotetaan %1$s (%2$d%% Valmis)</t>
  </si>
  <si>
    <t>Réception %1$s (%2$d%% complété)</t>
  </si>
  <si>
    <t>Recibindo %1$s (%2$d %% completado)</t>
  </si>
  <si>
    <t>%1$s fogadás alatt (%2$d%% kész)</t>
  </si>
  <si>
    <t>Menerima %1$s (%2$d%% terselesaikan)</t>
  </si>
  <si>
    <t>Ricezione di %1$s file (%2$d%% completato)</t>
  </si>
  <si>
    <t>%1$s 受信中 (%2$d%% 完了)</t>
  </si>
  <si>
    <t>수신중 %1$s (%2$d%% 완료)</t>
  </si>
  <si>
    <t>Ontvangen van %1$s (%2$d%% voltooid)</t>
  </si>
  <si>
    <t>Motta %1$s (%2$d %% Fullført)</t>
  </si>
  <si>
    <t>Odbieranie %1$s (ukończono %2$d%%)</t>
  </si>
  <si>
    <t>A receber %1$s (%2$d%% concluído)</t>
  </si>
  <si>
    <t>%1$s загружается (%2$d%% выполнено)</t>
  </si>
  <si>
    <t>Prijímam %1$s (%2$d%% ukončený)</t>
  </si>
  <si>
    <t>Примам %1$s (%2$d%% завршено)</t>
  </si>
  <si>
    <t>Tar emot %1$s (%2$d%% klart)</t>
  </si>
  <si>
    <t>%1$s (%2$d% tamam tamamlandı)</t>
  </si>
  <si>
    <t>Отримання %1$s (%2$d%% завершено)</t>
  </si>
  <si>
    <t>Đang nhận %1$s (đã hoàn tất %2$d%%)</t>
  </si>
  <si>
    <t>接收中 %1$s (已完成 %2$d%%)</t>
  </si>
  <si>
    <t>tt_pf_buyquote</t>
  </si>
  <si>
    <t>Buying rate</t>
  </si>
  <si>
    <t>نسبة شراء</t>
  </si>
  <si>
    <t>Курс купува</t>
  </si>
  <si>
    <t>Míra nakupování</t>
  </si>
  <si>
    <t>Købsrate</t>
  </si>
  <si>
    <t>Kaufkurs</t>
  </si>
  <si>
    <t>Τιμή αγοράς</t>
  </si>
  <si>
    <t>Tasa de compra</t>
  </si>
  <si>
    <t>Ostokurssi</t>
  </si>
  <si>
    <t>Cours d\'achat</t>
  </si>
  <si>
    <t>क्रय दर</t>
  </si>
  <si>
    <t>Vételi árfolyam</t>
  </si>
  <si>
    <t>Tingkat pembelian</t>
  </si>
  <si>
    <t>Tasso di acquisto</t>
  </si>
  <si>
    <t>שער קנייה</t>
  </si>
  <si>
    <t>為替相場</t>
  </si>
  <si>
    <t>매입률</t>
  </si>
  <si>
    <t>Kadar pembelian</t>
  </si>
  <si>
    <t>Koopratio</t>
  </si>
  <si>
    <t>Kjøpsforhold</t>
  </si>
  <si>
    <t>Cena kupna</t>
  </si>
  <si>
    <t>Taxa de compra</t>
  </si>
  <si>
    <t>Курс покупки</t>
  </si>
  <si>
    <t>Sadzba nákupu</t>
  </si>
  <si>
    <t>Kupovna cena</t>
  </si>
  <si>
    <t>Köpkurs</t>
  </si>
  <si>
    <t>อัตราซื้อ</t>
  </si>
  <si>
    <t>Alış kuru</t>
  </si>
  <si>
    <t>Tỷ giá mua</t>
  </si>
  <si>
    <t>买入价</t>
  </si>
  <si>
    <t>&gt;買入價</t>
  </si>
  <si>
    <t>chat_block_display_seen_typing</t>
  </si>
  <si>
    <t>Hide: Seen, Delivered, Typing...</t>
  </si>
  <si>
    <t>Status verstecken: Gesehen, Erhalten, Schreibt...</t>
  </si>
  <si>
    <t>Block Seen, Delivered, Typing...</t>
  </si>
  <si>
    <t>Cacher: Vu, Envoyer, Écrire...</t>
  </si>
  <si>
    <t>Blokiraj Viđena, Isporučena, Piše...</t>
  </si>
  <si>
    <t>tt_indicator_settings_d_period</t>
  </si>
  <si>
    <t>D_Period</t>
  </si>
  <si>
    <t>الفترة D</t>
  </si>
  <si>
    <t>D_Periode</t>
  </si>
  <si>
    <t>D_jakso</t>
  </si>
  <si>
    <t>डी_अवधि</t>
  </si>
  <si>
    <t>Durasi_D</t>
  </si>
  <si>
    <t>D_תקופה</t>
  </si>
  <si>
    <t>D_기간</t>
  </si>
  <si>
    <t>Tempoh_D</t>
  </si>
  <si>
    <t>D_Período</t>
  </si>
  <si>
    <t>Период колебаний</t>
  </si>
  <si>
    <t>D-perióda</t>
  </si>
  <si>
    <t>ระยะเวลา % D</t>
  </si>
  <si>
    <t>D_Dönemi</t>
  </si>
  <si>
    <t>D区间</t>
  </si>
  <si>
    <t>&gt;D區間</t>
  </si>
  <si>
    <t>tt_news_category_49</t>
  </si>
  <si>
    <t>Энергия</t>
  </si>
  <si>
    <t>tt_news_category_48</t>
  </si>
  <si>
    <t>Commodités</t>
  </si>
  <si>
    <t>コモデティ</t>
  </si>
  <si>
    <t>Roba</t>
  </si>
  <si>
    <t>start_conversation</t>
  </si>
  <si>
    <t>Start conversation</t>
  </si>
  <si>
    <t>إبداء المحادثة</t>
  </si>
  <si>
    <t>Comença la conversa</t>
  </si>
  <si>
    <t>Comenzar conversación</t>
  </si>
  <si>
    <t>Comezar conversa</t>
  </si>
  <si>
    <t>Beszélgetés kezdeményezése</t>
  </si>
  <si>
    <t>Inizia conversazione</t>
  </si>
  <si>
    <t>会話を始める</t>
  </si>
  <si>
    <t>Gesprek beginnen</t>
  </si>
  <si>
    <t>Rozpocznij rozmowę</t>
  </si>
  <si>
    <t>tt_template_reset_short</t>
  </si>
  <si>
    <t>إعادة تعيين</t>
  </si>
  <si>
    <t>Нулиране</t>
  </si>
  <si>
    <t>Resetovat</t>
  </si>
  <si>
    <t>Nulstil</t>
  </si>
  <si>
    <t>Zurücksetzen</t>
  </si>
  <si>
    <t>Επαναφορά</t>
  </si>
  <si>
    <t>Nollaa</t>
  </si>
  <si>
    <t>Réinitialiser</t>
  </si>
  <si>
    <t>रीसेट करें</t>
  </si>
  <si>
    <t>Visszaállít</t>
  </si>
  <si>
    <t>Setel Ulang</t>
  </si>
  <si>
    <t>אפס</t>
  </si>
  <si>
    <t>リセット</t>
  </si>
  <si>
    <t>초기화</t>
  </si>
  <si>
    <t>Tetapkan Semula</t>
  </si>
  <si>
    <t>Herstel</t>
  </si>
  <si>
    <t>Nullstill</t>
  </si>
  <si>
    <t>Resetuj</t>
  </si>
  <si>
    <t>Redefinir</t>
  </si>
  <si>
    <t>Перезагрузить</t>
  </si>
  <si>
    <t>Ponastaviti</t>
  </si>
  <si>
    <t>Återställ</t>
  </si>
  <si>
    <t>รีเซ็ต</t>
  </si>
  <si>
    <t>Sıfırla</t>
  </si>
  <si>
    <t>Đặt lại</t>
  </si>
  <si>
    <t>重置</t>
  </si>
  <si>
    <t>&gt;重置</t>
  </si>
  <si>
    <t>spain</t>
  </si>
  <si>
    <t>Spain</t>
  </si>
  <si>
    <t>Spanien</t>
  </si>
  <si>
    <t>España</t>
  </si>
  <si>
    <t>L\'Espagne</t>
  </si>
  <si>
    <t>Испания</t>
  </si>
  <si>
    <t>Španija</t>
  </si>
  <si>
    <t>publish</t>
  </si>
  <si>
    <t>Publish</t>
  </si>
  <si>
    <t>أنشر</t>
  </si>
  <si>
    <t>Публикуване</t>
  </si>
  <si>
    <t>Publica</t>
  </si>
  <si>
    <t>Veröffentlichen</t>
  </si>
  <si>
    <t>Publicar</t>
  </si>
  <si>
    <t>Publier</t>
  </si>
  <si>
    <t>Közzétesz</t>
  </si>
  <si>
    <t>Publikasi</t>
  </si>
  <si>
    <t>Pubblica</t>
  </si>
  <si>
    <t>公開</t>
  </si>
  <si>
    <t>공개</t>
  </si>
  <si>
    <t>Publiceer</t>
  </si>
  <si>
    <t>Publikuj</t>
  </si>
  <si>
    <t>Опубликовать</t>
  </si>
  <si>
    <t>Zverejniť</t>
  </si>
  <si>
    <t>Објави</t>
  </si>
  <si>
    <t>Publicera</t>
  </si>
  <si>
    <t>Опублікувати</t>
  </si>
  <si>
    <t>Đăng</t>
  </si>
  <si>
    <t>發佈</t>
  </si>
  <si>
    <t>tt_ind_moving_average___exponential_short</t>
  </si>
  <si>
    <t>Moving Average - Exponential</t>
  </si>
  <si>
    <t>المتوسط ​​المتحرك - الأسي</t>
  </si>
  <si>
    <t>Пълзяща средна стойност - експоненциална</t>
  </si>
  <si>
    <t>Klouzavý průměr - exponenciální</t>
  </si>
  <si>
    <t>Bevægende gennemsnit - eksponentielt</t>
  </si>
  <si>
    <t>Κινούμενος μέσος - Εκθετικός</t>
  </si>
  <si>
    <t>Liukuva keskiarvo - eksponentiaalinen</t>
  </si>
  <si>
    <t>Moyenne mobile - Exponentielle</t>
  </si>
  <si>
    <t>मूविंग औसत - घातांकीय</t>
  </si>
  <si>
    <t>Mozgóátlag - Exponenciális</t>
  </si>
  <si>
    <t>rata-rata Bergerak - Eksponen</t>
  </si>
  <si>
    <t>ממוצע נע - אקספוננציאלי</t>
  </si>
  <si>
    <t>指数移動平均</t>
  </si>
  <si>
    <t>이동평균선 - 지수</t>
  </si>
  <si>
    <t>Purata Bergerak - Eksponen</t>
  </si>
  <si>
    <t>Glidende gjennomsnitt – eksponentielt</t>
  </si>
  <si>
    <t>Średnia ruchoma - wykładnicza</t>
  </si>
  <si>
    <t>Média móvel - exponencial</t>
  </si>
  <si>
    <t>Kĺzavý priemer - exponenciálny</t>
  </si>
  <si>
    <t>Drseče povprečje - eksponentno</t>
  </si>
  <si>
    <t>Rörligt medelvärde - exponentiellt</t>
  </si>
  <si>
    <t>ค่าเฉลี่ยเคลื่อนที่ - แบบถ่วงน้ำหนักซับซ้อน</t>
  </si>
  <si>
    <t>Hareketli Ortalamalar - Üstsel</t>
  </si>
  <si>
    <t>Đường trung bình động - cấp số nhân</t>
  </si>
  <si>
    <t>指数移动平均（均线）</t>
  </si>
  <si>
    <t>&gt;指數移動平均</t>
  </si>
  <si>
    <t>aspic3_bottom</t>
  </si>
  <si>
    <t>Уочлисти - Следете най-важните си ценни книжа</t>
  </si>
  <si>
    <t>Sledované seznamy - Sledujte nejdůležitější cenné papíry</t>
  </si>
  <si>
    <t>Overvågningslister - Følg dine vigtigste værdipapirer</t>
  </si>
  <si>
    <t>Λίστες παρακολούθησης - Παρακολουθήστε τα πιο σημαντικά χρεόγραφά σας</t>
  </si>
  <si>
    <t>Tarkkailulistat - seuraa tärkeimpiä arvopapereitasi</t>
  </si>
  <si>
    <t>Overvåkningslister – Følg dine viktigste verdipapirer</t>
  </si>
  <si>
    <t>Sledované zoznamy - Sledujte svoje najdôležitejšie cenné papiere</t>
  </si>
  <si>
    <t>Seznami spremljanja - Sledite svojim najpomembnejšim vrednostnim papirjem</t>
  </si>
  <si>
    <t>export_channel_name</t>
  </si>
  <si>
    <t>History export</t>
  </si>
  <si>
    <t>Verlauf exportieren</t>
  </si>
  <si>
    <t>Exportation de l\'historique</t>
  </si>
  <si>
    <t>Előzmény export</t>
  </si>
  <si>
    <t>Esportazione cronologia</t>
  </si>
  <si>
    <t>Eksport historii</t>
  </si>
  <si>
    <t>tt_release_to_refresh</t>
  </si>
  <si>
    <t>Release to refresh...</t>
  </si>
  <si>
    <t>أفلت للتحديث ...</t>
  </si>
  <si>
    <t>Пуснете за повторно зареждане...</t>
  </si>
  <si>
    <t>Uvolněním můžete aktualizovat...</t>
  </si>
  <si>
    <t>Slip for at opdatere...</t>
  </si>
  <si>
    <t>Loslassen zum Neuladen ...</t>
  </si>
  <si>
    <t>Απελευθέρωση για ανανέωση...</t>
  </si>
  <si>
    <t>Suelte para actualizar...</t>
  </si>
  <si>
    <t>Vapauta päivittääksesi...</t>
  </si>
  <si>
    <t>Relâchez pour rafraîchir</t>
  </si>
  <si>
    <t>रिफ्रेश करने रिलीज़ करें...</t>
  </si>
  <si>
    <t>Frissítéshez engedje el…</t>
  </si>
  <si>
    <t>Lepaskan untuk memuat ulang...</t>
  </si>
  <si>
    <t>Rilascia per aggiornare…</t>
  </si>
  <si>
    <t>שחרר כדי לרענן...</t>
  </si>
  <si>
    <t>새로고침 하려면 해제하세요...</t>
  </si>
  <si>
    <t>Lepaskan untuk muat semula...</t>
  </si>
  <si>
    <t>Laat los om te refreshen...</t>
  </si>
  <si>
    <t>Frigjør for å oppdatere ...</t>
  </si>
  <si>
    <t>Puść, aby odświeżyć ...</t>
  </si>
  <si>
    <t>Liberar para atualizar</t>
  </si>
  <si>
    <t>Отпустите чтобы обновить...</t>
  </si>
  <si>
    <t>Uvoľnite na obnovenie...</t>
  </si>
  <si>
    <t>Sprostite se za osvežitev...</t>
  </si>
  <si>
    <t>Otpustiti za osvežavanje...</t>
  </si>
  <si>
    <t>Släpp för att uppdatera...</t>
  </si>
  <si>
    <t>ปล่อยเพื่อรีเฟรช...</t>
  </si>
  <si>
    <t>Yenilemek için bırakın ...</t>
  </si>
  <si>
    <t>Thả ra để tải lại...</t>
  </si>
  <si>
    <t>pref_theme_options_summary</t>
  </si>
  <si>
    <t>Select the color palette</t>
  </si>
  <si>
    <t>إختر اللون المناسب</t>
  </si>
  <si>
    <t>Изберете цветовата схема</t>
  </si>
  <si>
    <t>Seleccioneu la paleta de colors</t>
  </si>
  <si>
    <t>Wähle die Farbpalette aus</t>
  </si>
  <si>
    <t>Selecciona el color de la paleta</t>
  </si>
  <si>
    <t>Choisir la palette de couleurs</t>
  </si>
  <si>
    <t>Escolla a gama de cores</t>
  </si>
  <si>
    <t>Színséma kiválasztása</t>
  </si>
  <si>
    <t>Seleziona il colore</t>
  </si>
  <si>
    <t>カラーパレットの選択</t>
  </si>
  <si>
    <t>색상 팔레트를 선택</t>
  </si>
  <si>
    <t>Kies het kleurenpalet</t>
  </si>
  <si>
    <t>Wybierz paletę kolorów</t>
  </si>
  <si>
    <t>Escolher a palete de cores</t>
  </si>
  <si>
    <t>Выбрать цветовую палитру</t>
  </si>
  <si>
    <t>Избор палете боја</t>
  </si>
  <si>
    <t>Välj färgschema</t>
  </si>
  <si>
    <t>Вибрати палітру кольорів</t>
  </si>
  <si>
    <t>選擇調色板</t>
  </si>
  <si>
    <t>unable_to_establish_secure_connection</t>
  </si>
  <si>
    <t>Unable to establish secure connection.</t>
  </si>
  <si>
    <t>Не може да се установи защитена връзка.</t>
  </si>
  <si>
    <t>Sichere Verbindung konnte nicht hergestellt werden.</t>
  </si>
  <si>
    <t>No se ha podido establecer una conexión segura.</t>
  </si>
  <si>
    <t>Impossible d\'établir une connexion sécurisée.</t>
  </si>
  <si>
    <t>Non se puido establecer unha conexión segura.</t>
  </si>
  <si>
    <t>Nem sikerül biztonságos kapcsolatot létrehozni.</t>
  </si>
  <si>
    <t>Impossibile stabilire una connessione sicura.</t>
  </si>
  <si>
    <t>Kan geen beveiligde verbinding opzetten.</t>
  </si>
  <si>
    <t>Nie można uzyskać bezpiecznego połączenia.</t>
  </si>
  <si>
    <t>tt_no_account_yet</t>
  </si>
  <si>
    <t>Create an account now and benefit from more features, such as syncing and saving your watchlists and portfolios, email alarms and much more.</t>
  </si>
  <si>
    <t>أليس لديك حساب مستخدم؟</t>
  </si>
  <si>
    <t>Нямате потребителски акаунт?</t>
  </si>
  <si>
    <t>Nemáte uživatelský účet?</t>
  </si>
  <si>
    <t>Har du ikke en brugerkonto?</t>
  </si>
  <si>
    <t>Registrieren Sie sich jetzt um von weiteren Funktionen zu profitieren, wie z.B. Synchronisieren und Speichern Ihrer Kurslisten und Portfolios, E-Mail Limits und mehr.</t>
  </si>
  <si>
    <t>Δεν έχετε λογαριασμό χρήστη;</t>
  </si>
  <si>
    <t>Cree una cuenta ahora y obtenga más funciones, tales como sincronizar y guardar sus listas de seguimientos y carteras, recibir alarmas al e-mail y mucho más</t>
  </si>
  <si>
    <t>Eikö sinulla ole käyttäjätiliä?</t>
  </si>
  <si>
    <t>Vous n\'avez pas encore de compte ?</t>
  </si>
  <si>
    <t>क्या आपके पास प्रयोक्ता खाता नहीं है?</t>
  </si>
  <si>
    <t>Nincs még hozzáférése?</t>
  </si>
  <si>
    <t>Anda tidak memiliki akun pengguna?</t>
  </si>
  <si>
    <t>Hai già un conto?</t>
  </si>
  <si>
    <t>אין לך חשבון משתמש?</t>
  </si>
  <si>
    <t>アカウントがありません</t>
  </si>
  <si>
    <t>사용자 계정이 없으신가요?</t>
  </si>
  <si>
    <t>Anda tiada akaun pengguna?</t>
  </si>
  <si>
    <t>Heeft u geen gebruikersaccount?</t>
  </si>
  <si>
    <t>Har du ikke en brukerkonto?</t>
  </si>
  <si>
    <t>Nie masz konta użytkownika?</t>
  </si>
  <si>
    <t>Você não tem uma conta de usuário?</t>
  </si>
  <si>
    <t>Создайте учетную запись прямо сейчас и воспользуйтесь дополнительными функциями, такими как синхронизация и сохранение списков наблюдения и портфолио, оповещения по электронной почте и многое другое.</t>
  </si>
  <si>
    <t>Nemáte používateľský účet?</t>
  </si>
  <si>
    <t>Nimate uporabniškega računa?</t>
  </si>
  <si>
    <t>Nemate korisnički nalog?</t>
  </si>
  <si>
    <t>Har du inte något användarkonto?</t>
  </si>
  <si>
    <t>ยังไม่มีบัญชีผู้ใช้ใช่ไหม?</t>
  </si>
  <si>
    <t>Kullanıcı hesabınız yok mu?</t>
  </si>
  <si>
    <t>Bạn không có tài khoản người dùng?</t>
  </si>
  <si>
    <t>使用者帐号不存在</t>
  </si>
  <si>
    <t>&gt;使用者帳號不存在</t>
  </si>
  <si>
    <t>server_side_mam_prefs</t>
  </si>
  <si>
    <t>Server-side archiving preferences</t>
  </si>
  <si>
    <t>Настройки за архивирането на сървъра</t>
  </si>
  <si>
    <t>Preferències d\'arxivat al servidor</t>
  </si>
  <si>
    <t>Archivierungseinstellungen des Servers</t>
  </si>
  <si>
    <t>Preferencias de archivado en servidor</t>
  </si>
  <si>
    <t>Paramètres d\'archivage du serveur</t>
  </si>
  <si>
    <t>Axustes de gardado no servidor</t>
  </si>
  <si>
    <t>Szerveroldali mentés beállításai</t>
  </si>
  <si>
    <t>Preferenze di archiviazione lato server</t>
  </si>
  <si>
    <t>サーバーサイドのアーカイブの設定</t>
  </si>
  <si>
    <t>서버 사이드의 보관 설정</t>
  </si>
  <si>
    <t>Voorkeuren voor archief aan serverzijde</t>
  </si>
  <si>
    <t>Preferencje archiwizacji po stronie serwera</t>
  </si>
  <si>
    <t>Preferências de arquivamento do servidor</t>
  </si>
  <si>
    <t>Настройки архивирования на сервере</t>
  </si>
  <si>
    <t>Серверске поставке архивисања</t>
  </si>
  <si>
    <t>Arkiveringsinställningar på servern</t>
  </si>
  <si>
    <t>Налаштування збереження на стороні сервера</t>
  </si>
  <si>
    <t>服務端壓縮設置</t>
  </si>
  <si>
    <t>conference_kicked</t>
  </si>
  <si>
    <t>You have been kicked from this group chat</t>
  </si>
  <si>
    <t>تم طردك من مجموعة الدردشة هذه</t>
  </si>
  <si>
    <t>Бяхте изритан(а) от този групов разговор</t>
  </si>
  <si>
    <t>Heu estat expulsat d\'aquest xat de grup</t>
  </si>
  <si>
    <t>Du wurdest aus diesem Gruppchat geworfen</t>
  </si>
  <si>
    <t>Has sido expulsado de esta conversación</t>
  </si>
  <si>
    <t>Vous avez été éjecté de cette conversation de groupe</t>
  </si>
  <si>
    <t>Xa foi expulsado de esta conversa en grupo</t>
  </si>
  <si>
    <t>Ki lettél rúgva ebből a konferenciából</t>
  </si>
  <si>
    <t>Sei stato buttato fuori da questa chat di gruppo</t>
  </si>
  <si>
    <t>この談話室から蹴り出されています</t>
  </si>
  <si>
    <t>Je bent uit dit groepsgesprek verwijderd</t>
  </si>
  <si>
    <t>Wykopany</t>
  </si>
  <si>
    <t>Вас выгнали из этой конференции</t>
  </si>
  <si>
    <t>Шутнути сте из овог групног ћаскања</t>
  </si>
  <si>
    <t>welcome_text</t>
  </si>
  <si>
    <t>baha welcome chat long text.</t>
  </si>
  <si>
    <t>Jabber е мрежа за общуване чрез мигновени съобщения, която не е обвързана с конкретен доставчик. Можете да използвате клиента с всеки сървър, който работи с Jabber.\nЗа Ваше удобство, ние предоставяме лесен начин да си създадете профил в conversations.im¹ — сървър, пригоден да работи добре с Conversations.</t>
  </si>
  <si>
    <t>Jabber és una xarxa de missatgeria instantània independent del proveïdor. Podeu utilitzar aquest client amb el servidor de Jabber que trieu.\nPerò per a la seva comoditat hem facilitat crear un compte a converses.im¹; un proveïdor especialment indicat per a l\'ús amb Conversations.</t>
  </si>
  <si>
    <t>Jabber ist ein anbieterunabhängiges Instant Messaging Netzwerk. Du kannst diesen Client mit jedem beliebigen Jabber-Server nutzen.\nUm es dir leicht zu machen, haben wir die Möglichkeit geschaffen, ein Konto auf conversations.im¹ anzulegen; ein Anbieter, der speziell für die Verwendung mit Conversations geeignet ist.</t>
  </si>
  <si>
    <t>Jabber es una red de mensajería instantánea independiente del proveedor. Puedes usar este cliente con cualquier servidor Jabber que elijas.\nSin embargo, para tu conveniencia, hacemos de forma sencilla la creación de una cuenta en conversations.im¹; un proveedor especialmente especializado para el uso con Conversations.</t>
  </si>
  <si>
    <t>Jabber est un réseau de messagerie instantanée indépendant du fournisseur. Vous pouvez utiliser ce client avec n\'importe quel serveur Jabber que vous choisissez.\nToutefois, pour votre commodité, nous avons facilité la création d\'un compte sur conversations.im¹ ; un fournisseur spécialement adapté à l\'utilisation avec Conversations.</t>
  </si>
  <si>
    <t>Jabber é una rede de mensajería instantánea independente do proveedor. Podes usar este cliente con calquera servidor Jabber que elixas.\nCon todo, para a túa comodidade facilitamos a creación dunha conta en conversations.im¹; un proveedor especialmente adecuado para o uso con Conversations.</t>
  </si>
  <si>
    <t>A Jabber egy szolgáltató független, azonnali üzenetküldő hálózat. Ezt az ügyfél programot bármelyik Jabber szerverhez használhatja.\nDe a könnyebbség kedvéért létrehozhat egy fiókot a conversations.im¹ szolgáltatón is; ami kifejezetten a Conversations programmal való használatra lett tervezve.</t>
  </si>
  <si>
    <t>Jabber è una rete di messaggeria istantanea indipendente dal provider. Puoi usare questo client con qualsiasi server Jabber scelto.\nComunque, per tua comodità, abbiamo semplificato la creazione di un account su conversations.im¹; un provider particolarmente adatto all\'uso con Conversations.</t>
  </si>
  <si>
    <t>Jabber is een provider-onafhankelijk berichtennetwerk. Je kan deze cliënt gebruiken met elke willekeurige Jabber-server.\nOm het je gemakkelijker te maken kun je simpelweg een account aanmaken conversations.im¹; een provider speciaal geschikt voor Conversations.</t>
  </si>
  <si>
    <t>Jabber to niezależna sieć komunikacji natychmiastowej. Możesz użyć tego klienta z dowolnym serwerem który wybierzesz. Dla twojej wygody ułatwiliśmy stworzenie konta na conversations.im; serwerze dostosowanym do Conversations.</t>
  </si>
  <si>
    <t>congo_kinshasa</t>
  </si>
  <si>
    <t>Congo (Kinshasa)</t>
  </si>
  <si>
    <t>Kongo (Kinshasa)</t>
  </si>
  <si>
    <t>Конго (Киншаса)</t>
  </si>
  <si>
    <t>Kongo (Kinšasa)</t>
  </si>
  <si>
    <t>togo</t>
  </si>
  <si>
    <t>Togo</t>
  </si>
  <si>
    <t>Того</t>
  </si>
  <si>
    <t>tt_info_version</t>
  </si>
  <si>
    <t>Version {1}</t>
  </si>
  <si>
    <t>الإصدار {1}</t>
  </si>
  <si>
    <t>Версия {1}</t>
  </si>
  <si>
    <t>Verze {1}</t>
  </si>
  <si>
    <t>Έκδοση {1}</t>
  </si>
  <si>
    <t>Versión {1}</t>
  </si>
  <si>
    <t>Versio {1}</t>
  </si>
  <si>
    <t>संस्करण 1}</t>
  </si>
  <si>
    <t>Verzió {1}</t>
  </si>
  <si>
    <t>Versi {1}</t>
  </si>
  <si>
    <t>Versione {1}</t>
  </si>
  <si>
    <t>גרסה {1}</t>
  </si>
  <si>
    <t>버전 {1}</t>
  </si>
  <si>
    <t>Versie {1}</t>
  </si>
  <si>
    <t>Versjon {1}</t>
  </si>
  <si>
    <t>Wersja {1}</t>
  </si>
  <si>
    <t>Versão {1}</t>
  </si>
  <si>
    <t>Verzia {1}</t>
  </si>
  <si>
    <t>Različica {1}</t>
  </si>
  <si>
    <t>Verzija {1}</t>
  </si>
  <si>
    <t>เวอร์ชั่น {1}</t>
  </si>
  <si>
    <t>Versiyon {1}</t>
  </si>
  <si>
    <t>Phiên bản {1}</t>
  </si>
  <si>
    <t>版本{1}</t>
  </si>
  <si>
    <t>&gt;版本{1}</t>
  </si>
  <si>
    <t>pref_omemo_setting_summary_default_off</t>
  </si>
  <si>
    <t>OMEMO will have to be turned on explicitly for new conversations.</t>
  </si>
  <si>
    <t>OMEMO ще трябва да се включва изрично за новите разговори.</t>
  </si>
  <si>
    <t>OMEMO haurà de ser activat explícitament per a noves converses.</t>
  </si>
  <si>
    <t>OMEMO muss für neue Unterhaltungen explizit eingeschaltet werden.</t>
  </si>
  <si>
    <t>OMEMO tendrá que ser explícitamente activado para nuevas conversaciones.</t>
  </si>
  <si>
    <t>OMEMO devra être activé manuellement pour chaque nouvelle discussion</t>
  </si>
  <si>
    <t>OMEMO terá que ser activado explícitamente para novas conversacións.</t>
  </si>
  <si>
    <t>Az OMEMO-t kifejezetten be kell majd kapcsolni az új beszélgetésekhez.</t>
  </si>
  <si>
    <t>OMEMO dovrà essere attivato a mano nelle nuove conversazioni.</t>
  </si>
  <si>
    <t>OMEMO zal uitdrukkelijk ingeschakeld moeten worden voor nieuwe gesprekken.</t>
  </si>
  <si>
    <t>OMEMO będzie musiało być włączone ręcznie dla nowych rozmów.</t>
  </si>
  <si>
    <t>新的對話必須要手動開啟 OMEMO 加密</t>
  </si>
  <si>
    <t>tt_time_date</t>
  </si>
  <si>
    <t>Time / Date</t>
  </si>
  <si>
    <t>Час / дата</t>
  </si>
  <si>
    <t>Čas / datum</t>
  </si>
  <si>
    <t>Tid / dato</t>
  </si>
  <si>
    <t>Zeit / Datum</t>
  </si>
  <si>
    <t>Ώρα / Ημερομηνία</t>
  </si>
  <si>
    <t>Hora/Fecha</t>
  </si>
  <si>
    <t>समय / दिनांक</t>
  </si>
  <si>
    <t>Waktu/ Tanggal</t>
  </si>
  <si>
    <t>Tempo / Data</t>
  </si>
  <si>
    <t>זמן / תאריך</t>
  </si>
  <si>
    <t>日時</t>
  </si>
  <si>
    <t>시간 / 날짜</t>
  </si>
  <si>
    <t>Masa / Tarikh</t>
  </si>
  <si>
    <t>Tijd / Datum</t>
  </si>
  <si>
    <t>Czas / Data</t>
  </si>
  <si>
    <t>Hora / Data</t>
  </si>
  <si>
    <t>Čas / dátum</t>
  </si>
  <si>
    <t>Vreme / Datum</t>
  </si>
  <si>
    <t>Tid / datum</t>
  </si>
  <si>
    <t>เวลา / วันที่</t>
  </si>
  <si>
    <t>Saat / Tarih</t>
  </si>
  <si>
    <t>Thời gian/Ngày</t>
  </si>
  <si>
    <t>&gt;時間 / 日期</t>
  </si>
  <si>
    <t>user_status_last_online_seconds</t>
  </si>
  <si>
    <t>Last online few seconds ago</t>
  </si>
  <si>
    <t>Zuletzt online vor ein paar Sekunden</t>
  </si>
  <si>
    <t>Ultima conexión hace unos segundos</t>
  </si>
  <si>
    <t>Dernière connexion quelques secondes</t>
  </si>
  <si>
    <t>Másodpercekkel ezelőtt online</t>
  </si>
  <si>
    <t>Последний раз онлайн несколько секунд назад</t>
  </si>
  <si>
    <t>Poslednji put onlajn pre nekoliko sekundi</t>
  </si>
  <si>
    <t>tt_crosshair_tool</t>
  </si>
  <si>
    <t>Crosshair</t>
  </si>
  <si>
    <t>التقاطع</t>
  </si>
  <si>
    <t>Мерник</t>
  </si>
  <si>
    <t>Nitkový kříž</t>
  </si>
  <si>
    <t>Fadenkreuz</t>
  </si>
  <si>
    <t>Punto de mira</t>
  </si>
  <si>
    <t>Ristikko</t>
  </si>
  <si>
    <t>Réticule</t>
  </si>
  <si>
    <t>क्रॉसहेयर</t>
  </si>
  <si>
    <t>Garis Lintang</t>
  </si>
  <si>
    <t>כוונת</t>
  </si>
  <si>
    <t>十字カーソル</t>
  </si>
  <si>
    <t>십자선</t>
  </si>
  <si>
    <t>Trådkors</t>
  </si>
  <si>
    <t>Celownik</t>
  </si>
  <si>
    <t>Перекрестие</t>
  </si>
  <si>
    <t>Križna dlaka</t>
  </si>
  <si>
    <t>Kors</t>
  </si>
  <si>
    <t>กราฟครอสแฮร์</t>
  </si>
  <si>
    <t>İmleç</t>
  </si>
  <si>
    <t>Tiêu điểm</t>
  </si>
  <si>
    <t>十字线</t>
  </si>
  <si>
    <t>&gt;十字線</t>
  </si>
  <si>
    <t>tt_pf_buy_success</t>
  </si>
  <si>
    <t>Symbol added to portfolio!</t>
  </si>
  <si>
    <t>تمت إضافة الرمز إلى المحفظة!</t>
  </si>
  <si>
    <t>Символ е добавен към портфолиото!</t>
  </si>
  <si>
    <t>Symbol přidán do portfolia!</t>
  </si>
  <si>
    <t>Symbol tilføjet til porteføljen!</t>
  </si>
  <si>
    <t>Wertpapier wurde hinzugefügt!</t>
  </si>
  <si>
    <t>Το σύμβολο προστέθηκε στο χαρτοφυλάκιο!</t>
  </si>
  <si>
    <t>¡Símbolo agregado a la cartera!</t>
  </si>
  <si>
    <t>Symboli lisätty salkkuun!</t>
  </si>
  <si>
    <t>Symbole ajouté au portefeuille</t>
  </si>
  <si>
    <t>प्रतीक को पोर्टफोलियो में जोड़ा गया!</t>
  </si>
  <si>
    <t>A szimbólum hozzáadásra került a portfólióhoz!</t>
  </si>
  <si>
    <t>Simbol ditambahkan ke portfolio!</t>
  </si>
  <si>
    <t>Simbolo aggiunto al portafoglio!</t>
  </si>
  <si>
    <t>נוסף סמל לתיק השקעות!</t>
  </si>
  <si>
    <t>포트폴리오에 기호가 추가되었습니다!</t>
  </si>
  <si>
    <t>Simbol ditambah kepada portfolio!</t>
  </si>
  <si>
    <t>Symbol toegevoegd aan portefeuille!!</t>
  </si>
  <si>
    <t>Symbol lagt til porteføljen!</t>
  </si>
  <si>
    <t>Symbol dodany do portfela!</t>
  </si>
  <si>
    <t>Símbolo adicionado a carteira</t>
  </si>
  <si>
    <t>Наименование добавлено в портфель!</t>
  </si>
  <si>
    <t>Symbol bol pridaný do portfólia!</t>
  </si>
  <si>
    <t>V portfelj dodan simbol!</t>
  </si>
  <si>
    <t>Simbol je dodat u portfolio!</t>
  </si>
  <si>
    <t>Symbol tillagd i portföljen!</t>
  </si>
  <si>
    <t>เพิ่มชื่อย่อหลักทรัพย์ในพอร์ต!</t>
  </si>
  <si>
    <t>Sembol portföyüne eklendi!</t>
  </si>
  <si>
    <t>Đã thêm công cụ vào danh mục đầu tư!</t>
  </si>
  <si>
    <t>成功加入投资组合！</t>
  </si>
  <si>
    <t>&gt;成功加入投資組合!</t>
  </si>
  <si>
    <t>battery_optimizations_enabled_dialog</t>
  </si>
  <si>
    <t>Your device is doing some heavy battery optimizations on baha chat that might lead to delayed notifications or even message loss.\n\nYou will now be asked to disable those.</t>
  </si>
  <si>
    <t>Устройството Ви прилага сериозни оптимизации за използването на батерията върху Conversations, а те може да доведат до забавени известия и дори пропуснати съобщения.\n\nСега ще Ви бъде предложено да ги изключите.</t>
  </si>
  <si>
    <t>El vostre dispositiu fa algunes optimitzacions pesades de la bateria i Conversations pot provocar notificacions retardades o fins i tot pèrdua de missatges.\n\nAra se us demanarà que desactiveu-las.</t>
  </si>
  <si>
    <t>Dein Telefon verwendet Batterioptimierungen bei Conversations, welche verspätete Benachrichtigungen oder Nachrichtenverlust verursachen können.\n\nDu wirst nun gefragt, diese zu deaktivieren.</t>
  </si>
  <si>
    <t>Tu dispositivo está realizando optimizaciones de uso de batería en Conversations que pueden hacer que los mensajes se retrasen o incluso hacer que se pierdan.\n\nEl sistema te preguntará ahora para deshabilitarlas.</t>
  </si>
  <si>
    <t>Votre appareil applique sur Conversations des optimisations de batterie très strictes qui pourraient provoquer des retards dans les notifications, voire des pertes de messages.\nVous allez maintenant avoir la possibilité de les désactiver.</t>
  </si>
  <si>
    <t>O seu dispositivo está facendo unhas optimizacións de batería moi fortes en Conversations que poderían facer que se retrasasen algunhas mensaxes ou incluso se perdesen.\n\nAgora pediráselle que se desactive as mesmas.</t>
  </si>
  <si>
    <t>A készülék erős akkumulátor optimalizálást végez a Conversations programon, ami késleltetett értesítésekhez, vagy akár üzenetek elvesztéséhet is vezethet.\nMost meg lesz kérve az optimalizáció letiltására.</t>
  </si>
  <si>
    <t>Il tuo dispositivo sta facendo delle ingenti ottimizzazioni della batteria per Conversations che potrebbero portare ritardi alle notifiche o anche perdita di messaggi.\n\nTi verrà ora chiesto di disattivarle.</t>
  </si>
  <si>
    <t>お使いのデバイスは、Conversations で通知の遅延やメッセージの損失につながる可能性のある、いくつかの重いバッテリーの最適化を行っています。\n\n今、それらを無効にするように求められます。</t>
  </si>
  <si>
    <t>당신의 기기는 메세지를 받지 못하게 되거나 알림을 지연시킬 수도 있는 고강도의 배터리 최적화를 Conversations에 하고 있습니다.\n이것을 해제할 것인지 물어볼 것입니다.</t>
  </si>
  <si>
    <t>Je apparaat voert sterke batterij-optimalisaties uit op Conversations, die kunnen leiden tot vertraagde meldingen of zelfs verlies van berichten.\nJe zal nu gevraagd worden deze optimalisaties uit te schakelen.</t>
  </si>
  <si>
    <t>Twoje urządzenie wykonuje poważnie optymalizacje zużycia baterii przez Conversations, które mogą powodować opóźnienie powiadomień lub nawet utratę wiadomości.\nZostaniesz teraz poproszony o ich wyłączenie</t>
  </si>
  <si>
    <t>O seu dispositivo está a fazer otimizações de bateria bastantes agressivas na aplicação Conversations que poderão levar a notificações atrasadas ou até mesmo perda de mensagens.\n\nIrá-lhe agora ser pedido para desativá-las.</t>
  </si>
  <si>
    <t>Ваше устройство использует сильные оптимизации энергопотребления, что может привести к задержке уведомлений и даже потере сообщений.\nСейчас появится предложение их отключить.</t>
  </si>
  <si>
    <t>Ваш уређај користи оптимизацију потрошње батерије за Конверзацију што може да доведе до застоја обавештења или чак губитка порука.\n\nСада ћете бити упитани да то искључите.</t>
  </si>
  <si>
    <t>Din enhet har kraftiga batterioptimeringar som påverkar Conversations på så sätt att inkommande meddelanden kan försenas eller kan till och med gå förlorade.\nDu kommer nu att bli ombedd att stänga av batterioptimeringarna för Conversations.</t>
  </si>
  <si>
    <t>Cihazınız, BAHA Sohbeti\'nde gecikmeli bildirimleri veya hatta mesaj kaybına neden olabilecek bazı ağır pil optimizasyonları yapıyor.\n\n you şimdi bunları devre dışı bırakmanız istenecek.</t>
  </si>
  <si>
    <t>Ваш пристрій здійснює деяку агресивну оптимізацію Розмов для збереження заряду батареї, яка може призвести до затримки сповіщення або навіть втрати повідомлень.\nПросимо Вас зараз відключити цю оптимзацію.</t>
  </si>
  <si>
    <t>Thiết bị đang thực hiện tối ưu hoá pin trên Conversations và nó có thể gây trì hoãn thông báo hay thậm chí làm mất tin nhắn.\n\nBây giờ, bạn sẽ được yêu cầu tắt chế độ đó đi.</t>
  </si>
  <si>
    <t>guadeloupe</t>
  </si>
  <si>
    <t>Guadeloupe</t>
  </si>
  <si>
    <t>Гваделупа</t>
  </si>
  <si>
    <t>Gvadelupe</t>
  </si>
  <si>
    <t>login_button</t>
  </si>
  <si>
    <t>LOGIN</t>
  </si>
  <si>
    <t>ВЛИЗАНЕ</t>
  </si>
  <si>
    <t>PŘIHLÁSIT SE</t>
  </si>
  <si>
    <t>LOG PÅ</t>
  </si>
  <si>
    <t>ANMELDEN</t>
  </si>
  <si>
    <t>ΣΥΝΔΕΣΗ</t>
  </si>
  <si>
    <t>INICIAR SESIÓN</t>
  </si>
  <si>
    <t>KIRJAUDU SISÄÄN</t>
  </si>
  <si>
    <t>S\'IDENTIFIER</t>
  </si>
  <si>
    <t>लॉग-इन करें</t>
  </si>
  <si>
    <t>LOG MASUK</t>
  </si>
  <si>
    <t>ACCEDI</t>
  </si>
  <si>
    <t>log in</t>
  </si>
  <si>
    <t>LOGG INN</t>
  </si>
  <si>
    <t>Zaloguj si</t>
  </si>
  <si>
    <t>ENTRAR</t>
  </si>
  <si>
    <t>ВОЙТИ</t>
  </si>
  <si>
    <t>PRIHLÁSIŤ SA</t>
  </si>
  <si>
    <t>LOGGA IN</t>
  </si>
  <si>
    <t>OTURUM AÇ</t>
  </si>
  <si>
    <t>ĐĂNG NHẬP</t>
  </si>
  <si>
    <t>登录</t>
  </si>
  <si>
    <t>tt_news_category_34</t>
  </si>
  <si>
    <t>Directors Dealings</t>
  </si>
  <si>
    <t>تعاملات المديرون</t>
  </si>
  <si>
    <t>Директорски сделки</t>
  </si>
  <si>
    <t>Obchody ředitelů</t>
  </si>
  <si>
    <t>Bestyrelsesaftaler</t>
  </si>
  <si>
    <t>Συμφωνίες διευθυντών</t>
  </si>
  <si>
    <t>Opérations sur titres réalisées par les dirigeants</t>
  </si>
  <si>
    <t>निदेशकों की डीलिंग</t>
  </si>
  <si>
    <t>Direktur Pelaksana</t>
  </si>
  <si>
    <t>Relazioni degli Amministratori</t>
  </si>
  <si>
    <t>עסקאות מנהלים</t>
  </si>
  <si>
    <t>DD取引</t>
  </si>
  <si>
    <t>이사 거래</t>
  </si>
  <si>
    <t>Urusan Pengarah</t>
  </si>
  <si>
    <t>Directeuren transacties?</t>
  </si>
  <si>
    <t>Ledelseshandel</t>
  </si>
  <si>
    <t>Transakcje zarządu</t>
  </si>
  <si>
    <t>Negociações dos Diretores</t>
  </si>
  <si>
    <t>Операции управляющих с акциями их компаний</t>
  </si>
  <si>
    <t>Obchodovanie medzi riaditeľmi</t>
  </si>
  <si>
    <t>Dogovori direktorjev</t>
  </si>
  <si>
    <t>Direktörers handlingar</t>
  </si>
  <si>
    <t>การต่อรองกับกรรมการ</t>
  </si>
  <si>
    <t>Müdür İlişkileri</t>
  </si>
  <si>
    <t>Giao dịch của giám đốc</t>
  </si>
  <si>
    <t>董事交易买卖</t>
  </si>
  <si>
    <t>&gt;董事交易買賣</t>
  </si>
  <si>
    <t>tt_portfolio_costs</t>
  </si>
  <si>
    <t>Cost</t>
  </si>
  <si>
    <t>التكلفة</t>
  </si>
  <si>
    <t>Цена</t>
  </si>
  <si>
    <t>Náklady</t>
  </si>
  <si>
    <t>Omkostning</t>
  </si>
  <si>
    <t>Κόστος</t>
  </si>
  <si>
    <t>Costo</t>
  </si>
  <si>
    <t>Kustannus</t>
  </si>
  <si>
    <t>Coût</t>
  </si>
  <si>
    <t>लागत</t>
  </si>
  <si>
    <t>Költség</t>
  </si>
  <si>
    <t>Biaya</t>
  </si>
  <si>
    <t>עלות</t>
  </si>
  <si>
    <t>コスト</t>
  </si>
  <si>
    <t>비용</t>
  </si>
  <si>
    <t>Kos</t>
  </si>
  <si>
    <t>Kost</t>
  </si>
  <si>
    <t>Koszt</t>
  </si>
  <si>
    <t>Custo</t>
  </si>
  <si>
    <t>Trošak</t>
  </si>
  <si>
    <t>Kostnad</t>
  </si>
  <si>
    <t>ต้นทุน</t>
  </si>
  <si>
    <t>Maliyet</t>
  </si>
  <si>
    <t>Chi phí</t>
  </si>
  <si>
    <t>成本</t>
  </si>
  <si>
    <t>&gt;成本</t>
  </si>
  <si>
    <t>tt_issue_date</t>
  </si>
  <si>
    <t>Issue date</t>
  </si>
  <si>
    <t>تاريخ الإصدار</t>
  </si>
  <si>
    <t>Дата на издаване</t>
  </si>
  <si>
    <t>Datum vydání</t>
  </si>
  <si>
    <t>Udstedelsesdato</t>
  </si>
  <si>
    <t>Emissionsdatum</t>
  </si>
  <si>
    <t>Ημερομηνία έκδοσης</t>
  </si>
  <si>
    <t>Fecha de emisión</t>
  </si>
  <si>
    <t>Antopäivä</t>
  </si>
  <si>
    <t>Date d\'émission</t>
  </si>
  <si>
    <t>जारी करने की तिथि</t>
  </si>
  <si>
    <t>Kibocsátási nap</t>
  </si>
  <si>
    <t>Tanggal penerbitan</t>
  </si>
  <si>
    <t>Data del emissione.</t>
  </si>
  <si>
    <t>תאריך הנפקה</t>
  </si>
  <si>
    <t>発行日</t>
  </si>
  <si>
    <t>발행일</t>
  </si>
  <si>
    <t>Tarikh terbitan</t>
  </si>
  <si>
    <t>Utstedelsesdato</t>
  </si>
  <si>
    <t>Data emisji</t>
  </si>
  <si>
    <t>Data de emissão</t>
  </si>
  <si>
    <t>Дата эмиссии</t>
  </si>
  <si>
    <t>Dátum vydania</t>
  </si>
  <si>
    <t>Datum izdaje</t>
  </si>
  <si>
    <t>วันที่ออกหลักทรัพย์</t>
  </si>
  <si>
    <t>Veriliş tarihi</t>
  </si>
  <si>
    <t>Ngày phát hành</t>
  </si>
  <si>
    <t>签发日期</t>
  </si>
  <si>
    <t>senegal</t>
  </si>
  <si>
    <t>Senegal</t>
  </si>
  <si>
    <t>Sénégal</t>
  </si>
  <si>
    <t>Сенегал</t>
  </si>
  <si>
    <t>tt_fundprofile_currencypositions</t>
  </si>
  <si>
    <t>tt_news_category_30</t>
  </si>
  <si>
    <t>Rumors</t>
  </si>
  <si>
    <t>الشائعات</t>
  </si>
  <si>
    <t>Слухове</t>
  </si>
  <si>
    <t>Pověsti</t>
  </si>
  <si>
    <t>Rygter</t>
  </si>
  <si>
    <t>Gerüchte</t>
  </si>
  <si>
    <t>Φήμες</t>
  </si>
  <si>
    <t>Rumores</t>
  </si>
  <si>
    <t>Huhut</t>
  </si>
  <si>
    <t>Rumeurs</t>
  </si>
  <si>
    <t>अफवाहें</t>
  </si>
  <si>
    <t>Pletykák</t>
  </si>
  <si>
    <t>Kabar Angin</t>
  </si>
  <si>
    <t>Rettegolezzo</t>
  </si>
  <si>
    <t>שמועות</t>
  </si>
  <si>
    <t>市場の噂</t>
  </si>
  <si>
    <t>루머</t>
  </si>
  <si>
    <t>Khabar Angin</t>
  </si>
  <si>
    <t>Geruchten</t>
  </si>
  <si>
    <t>Rykter</t>
  </si>
  <si>
    <t>Plotki</t>
  </si>
  <si>
    <t>Слухи</t>
  </si>
  <si>
    <t>Fámy</t>
  </si>
  <si>
    <t>Govorice</t>
  </si>
  <si>
    <t>Glasine</t>
  </si>
  <si>
    <t>Rykten</t>
  </si>
  <si>
    <t>ข่าวลือ</t>
  </si>
  <si>
    <t>Söylentiler</t>
  </si>
  <si>
    <t>Tin đồn</t>
  </si>
  <si>
    <t>传闻</t>
  </si>
  <si>
    <t>&gt;傳聞</t>
  </si>
  <si>
    <t>download_x_file</t>
  </si>
  <si>
    <t>Download %s</t>
  </si>
  <si>
    <t>تنزيل %s</t>
  </si>
  <si>
    <t>Сваляне на %s</t>
  </si>
  <si>
    <t>Descargat %s</t>
  </si>
  <si>
    <t>%s herunterladen</t>
  </si>
  <si>
    <t>Descargar %s</t>
  </si>
  <si>
    <t>Télécharger %s</t>
  </si>
  <si>
    <t>%s letöltése</t>
  </si>
  <si>
    <t>Mengunduh %s</t>
  </si>
  <si>
    <t>Scarica %s</t>
  </si>
  <si>
    <t>%s のダウンロード</t>
  </si>
  <si>
    <t>%s 다운로드</t>
  </si>
  <si>
    <t>%s downloaden</t>
  </si>
  <si>
    <t>Pobierz %s</t>
  </si>
  <si>
    <t>Transferir %s</t>
  </si>
  <si>
    <t>Загрузить %s</t>
  </si>
  <si>
    <t>Stiahnuť %s</t>
  </si>
  <si>
    <t>Преузми %s</t>
  </si>
  <si>
    <t>Ladda ner %s</t>
  </si>
  <si>
    <t>Завантажити %s</t>
  </si>
  <si>
    <t>Tải về %s</t>
  </si>
  <si>
    <t>下載 %s</t>
  </si>
  <si>
    <t>tt_newwatchlist</t>
  </si>
  <si>
    <t>New Watchlist</t>
  </si>
  <si>
    <t>قائمة متابعة جديدة</t>
  </si>
  <si>
    <t>Нов уочлист</t>
  </si>
  <si>
    <t>Nový seznam sledovaných položek</t>
  </si>
  <si>
    <t>Ny overvågningsliste</t>
  </si>
  <si>
    <t>Neue Kursliste</t>
  </si>
  <si>
    <t>Νέα λίστα παρακολούθησης</t>
  </si>
  <si>
    <t>Nuevo listado de acciones</t>
  </si>
  <si>
    <t>Uusi tarkkailulista</t>
  </si>
  <si>
    <t>Nouvelle liste personnelle</t>
  </si>
  <si>
    <t>नया वॉचलिस्ट</t>
  </si>
  <si>
    <t>Új Figyelőlista</t>
  </si>
  <si>
    <t>Senarai Tonton Baru</t>
  </si>
  <si>
    <t>Nuovo Watchlist</t>
  </si>
  <si>
    <t>רשימת מעקב חדשה</t>
  </si>
  <si>
    <t>新規お気に入り</t>
  </si>
  <si>
    <t>새 보기목록</t>
  </si>
  <si>
    <t>Senarai Pantau Baru</t>
  </si>
  <si>
    <t>Nieuwe favorietenlijst</t>
  </si>
  <si>
    <t>Ny overvåkningsliste</t>
  </si>
  <si>
    <t>Nowa lista obserwowanych</t>
  </si>
  <si>
    <t>Nova lista</t>
  </si>
  <si>
    <t>Новый список наблюдения</t>
  </si>
  <si>
    <t>Nový sledovaný zoznam</t>
  </si>
  <si>
    <t>Nov seznam gledanja</t>
  </si>
  <si>
    <t>Nova Watch lista</t>
  </si>
  <si>
    <t>Ny bevakningslista</t>
  </si>
  <si>
    <t>รายการหุ้นที่ติดตามใหม่</t>
  </si>
  <si>
    <t>Yeni İzleme Listesi</t>
  </si>
  <si>
    <t>Danh mục theo dõi mới</t>
  </si>
  <si>
    <t>新的收藏夹</t>
  </si>
  <si>
    <t>&gt;新的收藏夾</t>
  </si>
  <si>
    <t>delete_file_dialog_msg</t>
  </si>
  <si>
    <t>Are you sure you want to delete this file?\n\n</t>
  </si>
  <si>
    <t>Наистина ли искате да изтриете този файл?\n\n</t>
  </si>
  <si>
    <t>Estàs segur que vols esborrar aquest arxiu?\n\n</t>
  </si>
  <si>
    <t>Bist du sicher, dass du diese Datei löschen möchtest?\n\n</t>
  </si>
  <si>
    <t>¿Estás seguro de que quieres borrar este fichero?\n\n</t>
  </si>
  <si>
    <t>Êtes-vous sûr de vouloir supprimer ce fichier ?\n\n</t>
  </si>
  <si>
    <t>Está segura de querer eliminar este ficheiro?\n\n</t>
  </si>
  <si>
    <t>Biztosan szeretnéd ezt a fájlt törölni?\n\n</t>
  </si>
  <si>
    <t>Sei sicuro di voler eliminare questo file?\n\n</t>
  </si>
  <si>
    <t>Weet je zeker dat je dit bestand wil verwijderen?\n\n</t>
  </si>
  <si>
    <t>Czy na pewno usunąć ten plik?\n\n</t>
  </si>
  <si>
    <t>Вы уверены, что хотите удалить этот файл?\n\n</t>
  </si>
  <si>
    <t>tt_period_yearly</t>
  </si>
  <si>
    <t>1 Rok</t>
  </si>
  <si>
    <t>1 Ano</t>
  </si>
  <si>
    <t>1 Год</t>
  </si>
  <si>
    <t>1 Godina</t>
  </si>
  <si>
    <t>tt_pf_deposit_success</t>
  </si>
  <si>
    <t>Transaction successfully completed!</t>
  </si>
  <si>
    <t>اكتملت المعاملة بنجاح!</t>
  </si>
  <si>
    <t>Транзакцията приключи успешно!</t>
  </si>
  <si>
    <t>Transakce byla úspěšně dokončena!</t>
  </si>
  <si>
    <t>Transaktionen er afsluttet!</t>
  </si>
  <si>
    <t>Transaktion erfolgreich abgeschlossen!</t>
  </si>
  <si>
    <t>Η συναλλαγή ολοκληρώθηκε με επιτυχία!</t>
  </si>
  <si>
    <t>¡La transacción se ha realizado satisfactoriamente!</t>
  </si>
  <si>
    <t>Siirto onnistui!</t>
  </si>
  <si>
    <t>Votre transaction a été enregistrée avec succès</t>
  </si>
  <si>
    <t>लेन-देन सफलतापूर्वक पूरा हुआ!</t>
  </si>
  <si>
    <t>Tranzakció sikeresen végrehajtva!</t>
  </si>
  <si>
    <t>Transaksi berhasil diselesaikan!</t>
  </si>
  <si>
    <t>Transazione completato!</t>
  </si>
  <si>
    <t>העסקה הושלמה בהצלחה!</t>
  </si>
  <si>
    <t>取引成立</t>
  </si>
  <si>
    <t>거래가 성공적으로 완료되었습니다!</t>
  </si>
  <si>
    <t>Transaksi berjaya disiapkan!</t>
  </si>
  <si>
    <t>Transactie succesvol afgerond!</t>
  </si>
  <si>
    <t>Transaksjonen er fullført!</t>
  </si>
  <si>
    <t>Transakcja zakończona powodzeniem!</t>
  </si>
  <si>
    <t>Transação concluída com sucesso!</t>
  </si>
  <si>
    <t>Транзакция успешно завершена!</t>
  </si>
  <si>
    <t>Transakcia bola úspešne dokončená!</t>
  </si>
  <si>
    <t>Transakcija je uspešno zaključena!</t>
  </si>
  <si>
    <t>Transakcija je uspešno izvršena!</t>
  </si>
  <si>
    <t>Transaktionen har slutförts!</t>
  </si>
  <si>
    <t>การทำธุรกรรมเสร็จเรียบร้อยแล้ว!</t>
  </si>
  <si>
    <t>İşlem başarıyla tamamlandı!</t>
  </si>
  <si>
    <t>Giao dịch đã hoàn tất thành công!</t>
  </si>
  <si>
    <t>交易成功</t>
  </si>
  <si>
    <t>&gt;交易成功</t>
  </si>
  <si>
    <t>verify</t>
  </si>
  <si>
    <t>Verify</t>
  </si>
  <si>
    <t>no_application_found_to_open_file</t>
  </si>
  <si>
    <t>No application found to open file</t>
  </si>
  <si>
    <t>لا يوجد تطبيق متاح لعرض الملف</t>
  </si>
  <si>
    <t>Няма намерено приложение за отваряне на файла</t>
  </si>
  <si>
    <t>Cap aplicació trobada a l\'obrir l\'arxiu</t>
  </si>
  <si>
    <t>Keine Anwendung zum Öffnen der Datei gefunden</t>
  </si>
  <si>
    <t>No se ha encontrado ninguna aplicación para abrir el archivo</t>
  </si>
  <si>
    <t>Aucune application disponible pour ouvrir le fichier</t>
  </si>
  <si>
    <t>Non se atopou un aplicativo para abrir o ficheiro</t>
  </si>
  <si>
    <t>Nincs alkalmazás a fájl megnyitására</t>
  </si>
  <si>
    <t>Tidak ditemukan aplikasi untuk membuka berkas</t>
  </si>
  <si>
    <t>Nessuna applicazione trovata per aprire il file</t>
  </si>
  <si>
    <t>ファイルを開くアプリケーションが見つかりません</t>
  </si>
  <si>
    <t>파일을 열기 위한 앱이 발견되지 않았습니다</t>
  </si>
  <si>
    <t>Geen applicatie om bestand te openen</t>
  </si>
  <si>
    <t>Nie odnaleziono aplikacji skojarzonej z typem pliku</t>
  </si>
  <si>
    <t>Não foi encontrada nenhuma aplicação para abrir o ficheiro</t>
  </si>
  <si>
    <t>Не найдено приложения для открытия файла</t>
  </si>
  <si>
    <t>Nenašla sa žiadna aplikácia na otvorenie súboru</t>
  </si>
  <si>
    <t>Нема апликације за отварање фајла</t>
  </si>
  <si>
    <t>Ingen applikation kunde hittas för att öppna filen</t>
  </si>
  <si>
    <t>Не знайдено програми для відкриття файла</t>
  </si>
  <si>
    <t>Không tìm thấy ứng dụng nào để mở tập tin</t>
  </si>
  <si>
    <t>沒有可以打開這個檔案的應用程式</t>
  </si>
  <si>
    <t>minute_ago</t>
  </si>
  <si>
    <t>1 min ago</t>
  </si>
  <si>
    <t>منذ 1 دقيقة</t>
  </si>
  <si>
    <t>преди 1 минута</t>
  </si>
  <si>
    <t>fa 1 min</t>
  </si>
  <si>
    <t>vor einer Minute</t>
  </si>
  <si>
    <t>hace 1 min</t>
  </si>
  <si>
    <t>Il y a 1 minute</t>
  </si>
  <si>
    <t>Hai 1 min</t>
  </si>
  <si>
    <t>1 perce</t>
  </si>
  <si>
    <t>1 min lalu</t>
  </si>
  <si>
    <t>1 min fa</t>
  </si>
  <si>
    <t>1 分前</t>
  </si>
  <si>
    <t>1분 전</t>
  </si>
  <si>
    <t>1 min. geleden</t>
  </si>
  <si>
    <t>minutę temu</t>
  </si>
  <si>
    <t>1 minuto atrás</t>
  </si>
  <si>
    <t>1 минуту назад</t>
  </si>
  <si>
    <t>pred 1 minútou</t>
  </si>
  <si>
    <t>пре минут</t>
  </si>
  <si>
    <t>1 min sedan</t>
  </si>
  <si>
    <t>1 хвилину тому</t>
  </si>
  <si>
    <t>1 phút trước</t>
  </si>
  <si>
    <t>1 分鐘前</t>
  </si>
  <si>
    <t>bangladesh</t>
  </si>
  <si>
    <t>Bangladesh</t>
  </si>
  <si>
    <t>Bangladesch</t>
  </si>
  <si>
    <t>Бангладеш</t>
  </si>
  <si>
    <t>Bangladeš</t>
  </si>
  <si>
    <t>data_saver_enabled</t>
  </si>
  <si>
    <t>Data saver enabled</t>
  </si>
  <si>
    <t>خدمة توفير البيانات مُنشّطة</t>
  </si>
  <si>
    <t>Съхранението на данни е включено</t>
  </si>
  <si>
    <t>S\'ha activat el protector de dades</t>
  </si>
  <si>
    <t>Datensparmodus aktiv</t>
  </si>
  <si>
    <t>Optimización de datos habilitado</t>
  </si>
  <si>
    <t>Économiseur de données activé</t>
  </si>
  <si>
    <t>Aforrador de datos habilitado</t>
  </si>
  <si>
    <t>Adatspórolás engedélyezve</t>
  </si>
  <si>
    <t>Risparmio dati attivato</t>
  </si>
  <si>
    <t>データセーバーを有効にしました</t>
  </si>
  <si>
    <t>데이터 서버 활성화됨</t>
  </si>
  <si>
    <t>Gegevensbesparing ingeschakeld</t>
  </si>
  <si>
    <t>Oszczędzanie danych jest włączone</t>
  </si>
  <si>
    <t>Poupança de dados ligada</t>
  </si>
  <si>
    <t>Режим экономии трафика включен</t>
  </si>
  <si>
    <t>Чувар протока укључен</t>
  </si>
  <si>
    <t>Databesparing</t>
  </si>
  <si>
    <t>Задіяно економію передачі данних</t>
  </si>
  <si>
    <t>省流量模式已啟動</t>
  </si>
  <si>
    <t>tt_news_category_29</t>
  </si>
  <si>
    <t>tt_news_category_27</t>
  </si>
  <si>
    <t>Shareholders\' Meeting Reports</t>
  </si>
  <si>
    <t>تقارير اجتماع المساهمين</t>
  </si>
  <si>
    <t>Доклади за събранията на акционерите</t>
  </si>
  <si>
    <t>Zprávy ze schůzí akcionářů</t>
  </si>
  <si>
    <t>Aktionærers\' Møderapporter</t>
  </si>
  <si>
    <t>Hauptversammlungs-Berichte</t>
  </si>
  <si>
    <t>Εκθέσεις συνεδρίασης των μετόχων</t>
  </si>
  <si>
    <t>Informes de reuniones de accionistas</t>
  </si>
  <si>
    <t>Osakkeenomistajien kokousraportit</t>
  </si>
  <si>
    <t>Resumé de réunions des actionnaires</t>
  </si>
  <si>
    <t>शेयरधारकों की बैठक की रिपोर्ट</t>
  </si>
  <si>
    <t>Részvényesi közgyűlés beszámoló</t>
  </si>
  <si>
    <t>Laporan Rapat Pemegang Saham</t>
  </si>
  <si>
    <t>Rapporti degli Azionisti</t>
  </si>
  <si>
    <t>דוחות של בעלי מניות/ ישיבה</t>
  </si>
  <si>
    <t>株主総会報告</t>
  </si>
  <si>
    <t>주주총회 보고서</t>
  </si>
  <si>
    <t>Laporan Mesyuarat Pemegang Saham</t>
  </si>
  <si>
    <t>Rapportages Aandeelhoudersvergaderingen</t>
  </si>
  <si>
    <t>Aksjeeiere \'Møterapporter</t>
  </si>
  <si>
    <t>Relatórios de reuniões de acionistas</t>
  </si>
  <si>
    <t>Отчеты о собрании акционеров</t>
  </si>
  <si>
    <t>Správy zo schôdze akcionárov</t>
  </si>
  <si>
    <t>Poročila o skupščini delničarjev</t>
  </si>
  <si>
    <t>Aktieägares mötesrapporter</t>
  </si>
  <si>
    <t>รายงานการประชุมผู้ถือหุ้น</t>
  </si>
  <si>
    <t>Hissedarların Toplantı Raporları</t>
  </si>
  <si>
    <t>Báo cáo cuộc họp cổ đông</t>
  </si>
  <si>
    <t>股东大会报告</t>
  </si>
  <si>
    <t>&gt;股東大會報告</t>
  </si>
  <si>
    <t>tt_news_category_25</t>
  </si>
  <si>
    <t>Market Evaluation</t>
  </si>
  <si>
    <t>تقييم السوق</t>
  </si>
  <si>
    <t>Пазарна оценка</t>
  </si>
  <si>
    <t>Hodnocení trhu</t>
  </si>
  <si>
    <t>Markedsevaluering</t>
  </si>
  <si>
    <t>Markteinschätzungen</t>
  </si>
  <si>
    <t>Αξιολόγηση της αγοράς</t>
  </si>
  <si>
    <t>Evaluación del mercado</t>
  </si>
  <si>
    <t>Markkinoiden arviointi</t>
  </si>
  <si>
    <t>Évaluation du marché</t>
  </si>
  <si>
    <t>बाजार का मूल्यांकन</t>
  </si>
  <si>
    <t>Piaci értékelés</t>
  </si>
  <si>
    <t>Penilaian Pasar</t>
  </si>
  <si>
    <t>Valutazione del Mercato</t>
  </si>
  <si>
    <t>הערכת שוק</t>
  </si>
  <si>
    <t>市場評価</t>
  </si>
  <si>
    <t>시장 평가</t>
  </si>
  <si>
    <t>Penilaian Pasaran</t>
  </si>
  <si>
    <t>Markt Evaluatie</t>
  </si>
  <si>
    <t>Análise de mercado</t>
  </si>
  <si>
    <t>Оценка рынка</t>
  </si>
  <si>
    <t>Hodnotenie trhu</t>
  </si>
  <si>
    <t>Tržna ocena</t>
  </si>
  <si>
    <t>Marknadsutvärdering</t>
  </si>
  <si>
    <t>การประเมินตลาด</t>
  </si>
  <si>
    <t>Piyasa Değerlendirmesi</t>
  </si>
  <si>
    <t>Đánh giá thị trường</t>
  </si>
  <si>
    <t>市场评估</t>
  </si>
  <si>
    <t>&gt;市場評估</t>
  </si>
  <si>
    <t>title_activity_sharewith</t>
  </si>
  <si>
    <t>Share with Conversation</t>
  </si>
  <si>
    <t>مشاركة مع محادثة</t>
  </si>
  <si>
    <t>Споделяне в разговора</t>
  </si>
  <si>
    <t>Compartir amb Conversations</t>
  </si>
  <si>
    <t>Mit Unterhaltung teilen</t>
  </si>
  <si>
    <t>Compartir con Conversación</t>
  </si>
  <si>
    <t>Partager avec Conversation</t>
  </si>
  <si>
    <t>Compartir na conversa</t>
  </si>
  <si>
    <t>Megosztás Conversation-nel</t>
  </si>
  <si>
    <t>Bagikan dengan Conversation</t>
  </si>
  <si>
    <t>Condividi con Conversation</t>
  </si>
  <si>
    <t>会話で共有</t>
  </si>
  <si>
    <t>대화 공유</t>
  </si>
  <si>
    <t>Delen in gesprek</t>
  </si>
  <si>
    <t>Udostępnij w konwersacji</t>
  </si>
  <si>
    <t>Compartilhar conversa</t>
  </si>
  <si>
    <t>Zdieľať s konverzáciou</t>
  </si>
  <si>
    <t>Подели у преписци</t>
  </si>
  <si>
    <t>Dela med konversation</t>
  </si>
  <si>
    <t>Поділитися в Розмови</t>
  </si>
  <si>
    <t>Chia sẻ qua Conversation</t>
  </si>
  <si>
    <t>分享到 Conversation</t>
  </si>
  <si>
    <t>search_messages</t>
  </si>
  <si>
    <t>Search messages</t>
  </si>
  <si>
    <t>Търсене в съобщенията</t>
  </si>
  <si>
    <t>Buscar missatges</t>
  </si>
  <si>
    <t>Nachrichten durchsuchen</t>
  </si>
  <si>
    <t>Buscar mensajes</t>
  </si>
  <si>
    <t>Rechercher dans les messages</t>
  </si>
  <si>
    <t>Buscar mensaxes</t>
  </si>
  <si>
    <t>Üzenetek keresése</t>
  </si>
  <si>
    <t>Cerca messaggi</t>
  </si>
  <si>
    <t>メッセージを検索</t>
  </si>
  <si>
    <t>Berichten zoeken</t>
  </si>
  <si>
    <t>Wyszukaj wiadomości</t>
  </si>
  <si>
    <t>Поиск сообщений</t>
  </si>
  <si>
    <t>Тражи поруке</t>
  </si>
  <si>
    <t>搜尋訊息</t>
  </si>
  <si>
    <t>tt_news_category_23</t>
  </si>
  <si>
    <t>Hedge Fund News</t>
  </si>
  <si>
    <t>أخبار صندوق التحوط</t>
  </si>
  <si>
    <t>Новини за хедж фонда</t>
  </si>
  <si>
    <t>Zprávy o fondech Hedge</t>
  </si>
  <si>
    <t>Hedgefond Nyheder</t>
  </si>
  <si>
    <t>Hedge Fonds Nachrichten</t>
  </si>
  <si>
    <t>Ειδήσεις Hedge Fund</t>
  </si>
  <si>
    <t>Noticias del fondo de cobertura</t>
  </si>
  <si>
    <t>Hedge Fund -uutiset</t>
  </si>
  <si>
    <t>Actualité des Hedge Funds</t>
  </si>
  <si>
    <t>हेज निधि समाचार</t>
  </si>
  <si>
    <t>Fedezeti alapok - hírek</t>
  </si>
  <si>
    <t>Berita Pendanaan Terbatas</t>
  </si>
  <si>
    <t>Notizie di Hedge Funds</t>
  </si>
  <si>
    <t>חדשות קרנות גידור</t>
  </si>
  <si>
    <t>ヘッジファンドニュース</t>
  </si>
  <si>
    <t>헤지펀드 뉴스</t>
  </si>
  <si>
    <t>Berita Dana Terhad</t>
  </si>
  <si>
    <t>Hedge Fund Nieuws</t>
  </si>
  <si>
    <t>Hedgefond nyheter</t>
  </si>
  <si>
    <t>Notícias de fundos de cobertura</t>
  </si>
  <si>
    <t>Hedge Fund новости</t>
  </si>
  <si>
    <t xml:space="preserve">Správy o Hedge Fund </t>
  </si>
  <si>
    <t>Novice o hedge skladu</t>
  </si>
  <si>
    <t>Hedgefond-nyheter</t>
  </si>
  <si>
    <t>ข่าวเฮดจ์ฟันด์</t>
  </si>
  <si>
    <t>Koruma Fonu Haberleri</t>
  </si>
  <si>
    <t>Tin tức quỹ phòng hộ</t>
  </si>
  <si>
    <t>对冲基金最新资讯</t>
  </si>
  <si>
    <t>&gt;對沖基金最新資訊</t>
  </si>
  <si>
    <t>tt_search</t>
  </si>
  <si>
    <t>Vyhledávání</t>
  </si>
  <si>
    <t>Søg</t>
  </si>
  <si>
    <t>Suche</t>
  </si>
  <si>
    <t>Αναζήτηση</t>
  </si>
  <si>
    <t>Hae</t>
  </si>
  <si>
    <t>Chercher</t>
  </si>
  <si>
    <t>खोजें</t>
  </si>
  <si>
    <t>חיפוש</t>
  </si>
  <si>
    <t>Zoek</t>
  </si>
  <si>
    <t>Søk</t>
  </si>
  <si>
    <t>Vyhľadávanie</t>
  </si>
  <si>
    <t>Iskanje</t>
  </si>
  <si>
    <t>Pretraži</t>
  </si>
  <si>
    <t>ค้นหา</t>
  </si>
  <si>
    <t>Arama</t>
  </si>
  <si>
    <t>搜寻</t>
  </si>
  <si>
    <t>&gt;搜尋</t>
  </si>
  <si>
    <t>tt_news_category_20</t>
  </si>
  <si>
    <t>Annual Reports</t>
  </si>
  <si>
    <t>تقارير سنوية</t>
  </si>
  <si>
    <t>Годишни отчети</t>
  </si>
  <si>
    <t>Výroční zprávy</t>
  </si>
  <si>
    <t>Årsrapporter</t>
  </si>
  <si>
    <t>Geschäftsberichte</t>
  </si>
  <si>
    <t>Ετήσιες αναφορές</t>
  </si>
  <si>
    <t>Informes anuales</t>
  </si>
  <si>
    <t>Vuosiraportit</t>
  </si>
  <si>
    <t>Rapports annuels</t>
  </si>
  <si>
    <t>वार्षिक रिपोर्टें</t>
  </si>
  <si>
    <t>Éves beszámoló</t>
  </si>
  <si>
    <t>Laporan Tahunan</t>
  </si>
  <si>
    <t>Rapporti Annuali</t>
  </si>
  <si>
    <t>דוחות שנתיים</t>
  </si>
  <si>
    <t>年次報告書</t>
  </si>
  <si>
    <t>연차보고서</t>
  </si>
  <si>
    <t>Jaarrapportage</t>
  </si>
  <si>
    <t>Raporty roczne</t>
  </si>
  <si>
    <t>Relatórios anuais</t>
  </si>
  <si>
    <t>Годовые отчеты</t>
  </si>
  <si>
    <t>Výročné správy</t>
  </si>
  <si>
    <t>Letna poročila</t>
  </si>
  <si>
    <t>Godišnji izveštaj</t>
  </si>
  <si>
    <t>Årsredovisningar</t>
  </si>
  <si>
    <t>รายงานประจำปี</t>
  </si>
  <si>
    <t>Yıllık Raporlar</t>
  </si>
  <si>
    <t>Báo cáo thường niên</t>
  </si>
  <si>
    <t>年度报告</t>
  </si>
  <si>
    <t>&gt;年度報告</t>
  </si>
  <si>
    <t>tt_onboarding_settings_sign_up_tt</t>
  </si>
  <si>
    <t>Sign up with baha</t>
  </si>
  <si>
    <t>سجل الاشتراك في تطبيق TeleTrader</t>
  </si>
  <si>
    <t>Регистрация с TeleTrader</t>
  </si>
  <si>
    <t>Zaregistrujte se pomocí služby TeleTrader</t>
  </si>
  <si>
    <t>Tilmeld dig TeleTrader</t>
  </si>
  <si>
    <t>Über baha anmelden</t>
  </si>
  <si>
    <t>Εγγραφείτε στο TeleTrader</t>
  </si>
  <si>
    <t>Registrese con baha</t>
  </si>
  <si>
    <t>Rekisteröidy TeleTraderilla</t>
  </si>
  <si>
    <t>Inscription avec TeleTrader</t>
  </si>
  <si>
    <t>टेलीट्रेडर के साथ साइन-अप करें</t>
  </si>
  <si>
    <t>Regisztráció TeleTraderrel</t>
  </si>
  <si>
    <t>Daftar dengan TeleTrader</t>
  </si>
  <si>
    <t>Iscriviti con TeleTrader</t>
  </si>
  <si>
    <t>הירשם ל-TeleTrader</t>
  </si>
  <si>
    <t>TeleTraderでサインアップする</t>
  </si>
  <si>
    <t>TeleTrader로 가입</t>
  </si>
  <si>
    <t>Registreer bij TeleTrader</t>
  </si>
  <si>
    <t>Registrer deg hos TeleTrader</t>
  </si>
  <si>
    <t>Stwórz konto w TeleTrader</t>
  </si>
  <si>
    <t>Registe-se com TeleTrader</t>
  </si>
  <si>
    <t>Зарегистрироваться в baha</t>
  </si>
  <si>
    <t>Zaregistrujte sa cez aplikáciu TeleTrader</t>
  </si>
  <si>
    <t>Prijavite se s TeleTrader</t>
  </si>
  <si>
    <t>Registruj se se na TeleTrader</t>
  </si>
  <si>
    <t>Registrera dig med TeleTrader</t>
  </si>
  <si>
    <t>ลงทะเบียนใช้งานใน TeleTrader</t>
  </si>
  <si>
    <t>Teletrader ile kayıt ol</t>
  </si>
  <si>
    <t>Đăng ký với TeleTrader</t>
  </si>
  <si>
    <t>赶快注册TeleTrader</t>
  </si>
  <si>
    <t>copy_jabber_id</t>
  </si>
  <si>
    <t>Copy Jabber ID</t>
  </si>
  <si>
    <t>Копиране на Jabber идентификатор</t>
  </si>
  <si>
    <t>Copiar ID de Jabber</t>
  </si>
  <si>
    <t>Jabber-ID kopieren</t>
  </si>
  <si>
    <t>Copiar Identificador Jabber</t>
  </si>
  <si>
    <t>Copier le Jabber ID</t>
  </si>
  <si>
    <t>Copiar a ID de Jabber</t>
  </si>
  <si>
    <t>Jabber azonosító másolása</t>
  </si>
  <si>
    <t>Copia ID Jabber</t>
  </si>
  <si>
    <t>Jabber ID をコピー</t>
  </si>
  <si>
    <t>Jabber-ID kopiëren</t>
  </si>
  <si>
    <t>Skopiuj JID</t>
  </si>
  <si>
    <t>Копировать Jabber ID</t>
  </si>
  <si>
    <t>Копирај Џабер ИД</t>
  </si>
  <si>
    <t>the_app_is_out_of_date</t>
  </si>
  <si>
    <t>You are using an out of date version of this app.</t>
  </si>
  <si>
    <t>Използвате остаряла версия на приложението.</t>
  </si>
  <si>
    <t>Du verwendest eine veraltete Version dieser App.</t>
  </si>
  <si>
    <t>Estás usando una versión desactualizada de esta aplicación.</t>
  </si>
  <si>
    <t>Está a utilizar unha versión desactualizada de esta app.</t>
  </si>
  <si>
    <t>Az alkalmazás elavult verzióját használja.</t>
  </si>
  <si>
    <t>Stai usando una versione obsoleta di questa app.</t>
  </si>
  <si>
    <t>Je gebruikt een verouderde versie van deze app.</t>
  </si>
  <si>
    <t>Używasz przestarzałej wersji aplikacji.</t>
  </si>
  <si>
    <t>never_rate_app</t>
  </si>
  <si>
    <t>ابدا</t>
  </si>
  <si>
    <t>Ποτέ</t>
  </si>
  <si>
    <t>कभी नहीँ</t>
  </si>
  <si>
    <t>Tak pernah</t>
  </si>
  <si>
    <t>לעולם לא</t>
  </si>
  <si>
    <t>しない</t>
  </si>
  <si>
    <t>아니오</t>
  </si>
  <si>
    <t>Jangan sekali-kali</t>
  </si>
  <si>
    <t>Nikoli</t>
  </si>
  <si>
    <t>Nikad</t>
  </si>
  <si>
    <t>ไม่เคย</t>
  </si>
  <si>
    <t>Asla</t>
  </si>
  <si>
    <t>Không bao giờ</t>
  </si>
  <si>
    <t>决不再显示</t>
  </si>
  <si>
    <t>tt_losers</t>
  </si>
  <si>
    <t>Losers</t>
  </si>
  <si>
    <t>الخاسرون</t>
  </si>
  <si>
    <t>Губещи</t>
  </si>
  <si>
    <t>Ztrácející</t>
  </si>
  <si>
    <t>Tabere</t>
  </si>
  <si>
    <t>Verlierer</t>
  </si>
  <si>
    <t>Ηττημένοι</t>
  </si>
  <si>
    <t>Perdedores</t>
  </si>
  <si>
    <t>Häviäjät</t>
  </si>
  <si>
    <t>Perdants</t>
  </si>
  <si>
    <t>लूजर्स</t>
  </si>
  <si>
    <t>Vesztesek</t>
  </si>
  <si>
    <t>Rugi</t>
  </si>
  <si>
    <t>Ribassi</t>
  </si>
  <si>
    <t>מפסידנים</t>
  </si>
  <si>
    <t>値下り銘柄</t>
  </si>
  <si>
    <t>하락주</t>
  </si>
  <si>
    <t>Dalers</t>
  </si>
  <si>
    <t>Tapere</t>
  </si>
  <si>
    <t>Najgorsze</t>
  </si>
  <si>
    <t>Падающие акции</t>
  </si>
  <si>
    <t>Porazení</t>
  </si>
  <si>
    <t>Poraženci</t>
  </si>
  <si>
    <t>Gubitnici</t>
  </si>
  <si>
    <t>Förlorare</t>
  </si>
  <si>
    <t>หุ้นลด</t>
  </si>
  <si>
    <t>Kaybedenler</t>
  </si>
  <si>
    <t>Người thua cuộc</t>
  </si>
  <si>
    <t>下跌股票</t>
  </si>
  <si>
    <t>&gt;下跌股票</t>
  </si>
  <si>
    <t>omemo_fingerprint</t>
  </si>
  <si>
    <t>OMEMO fingerprint</t>
  </si>
  <si>
    <t>بصمة OMEMO</t>
  </si>
  <si>
    <t>Отпечатък OMEMO</t>
  </si>
  <si>
    <t>Empremta digital OMEMO</t>
  </si>
  <si>
    <t>OMEMO-Fingerabdruck</t>
  </si>
  <si>
    <t>Huella digital OMEMO</t>
  </si>
  <si>
    <t>Empreinte OMEMO</t>
  </si>
  <si>
    <t>Pegada OMEMO</t>
  </si>
  <si>
    <t>OMEMO ujjlenyomat</t>
  </si>
  <si>
    <t>Impronta OMEMO</t>
  </si>
  <si>
    <t>OMEMO フィンガープリント</t>
  </si>
  <si>
    <t>OMEMO 핑거프린트</t>
  </si>
  <si>
    <t>OMEMO-vingerafdruk</t>
  </si>
  <si>
    <t>Odcisk OMEMO</t>
  </si>
  <si>
    <t>Impressão digital OMEMO</t>
  </si>
  <si>
    <t>OMEMO отпечаток</t>
  </si>
  <si>
    <t>OMEMO identifikátor</t>
  </si>
  <si>
    <t>ОМЕМО отисак</t>
  </si>
  <si>
    <t>OMEMO-fingeravtryck</t>
  </si>
  <si>
    <t>Відбиток OMEMO</t>
  </si>
  <si>
    <t>Dấu vân tay OMEMO</t>
  </si>
  <si>
    <t>OMEMO 指紋</t>
  </si>
  <si>
    <t>conference_requires_password</t>
  </si>
  <si>
    <t>Group chat requires password</t>
  </si>
  <si>
    <t>تتطلب مجموعة المحادثة إدخال كلمة مرور</t>
  </si>
  <si>
    <t>Груповият разговор изисква парола</t>
  </si>
  <si>
    <t>El xat de grup requereix contrasenya</t>
  </si>
  <si>
    <t>Gruppenchat ist passwortgeschützt</t>
  </si>
  <si>
    <t>Esta conversación en grupo requiere contraseña</t>
  </si>
  <si>
    <t>Conversation de groupe demande un mot de passe</t>
  </si>
  <si>
    <t>A conversa en grupo require contrasinal</t>
  </si>
  <si>
    <t>A konferenciához jelszó szükséges</t>
  </si>
  <si>
    <t>La chat di gruppo richiede una password</t>
  </si>
  <si>
    <t>談話室にはパスワードが必要</t>
  </si>
  <si>
    <t>Wachtwoord vereist voor toegang tot groepsgesprek</t>
  </si>
  <si>
    <t>Konferencja wymaga hasła</t>
  </si>
  <si>
    <t>Esta conversa de grupo requer uma palavra-passe</t>
  </si>
  <si>
    <t>Конференция требует авторизации</t>
  </si>
  <si>
    <t>Групно ћаскање захтева лозинку</t>
  </si>
  <si>
    <t>clear_conversation_history</t>
  </si>
  <si>
    <t>Clear Conversation History</t>
  </si>
  <si>
    <t>حذف سجل المحفوظات للمحادثة</t>
  </si>
  <si>
    <t>Изчистване на историята на разговорите</t>
  </si>
  <si>
    <t>Neteja l\'historial de la conversa</t>
  </si>
  <si>
    <t>Unterhaltungsverlauf löschen</t>
  </si>
  <si>
    <t>Limpiar historial de conversación</t>
  </si>
  <si>
    <t>Vider l\'historique de la conversation</t>
  </si>
  <si>
    <t>Limpar historial de conversa</t>
  </si>
  <si>
    <t>Beszélgetés előzményének törlése</t>
  </si>
  <si>
    <t>Hapus Riwayat Percakapan</t>
  </si>
  <si>
    <t>Pulisci la cronologia della conversazione</t>
  </si>
  <si>
    <t>会話履歴をクリア</t>
  </si>
  <si>
    <t>대화 기록 삭제</t>
  </si>
  <si>
    <t>Gespreksgeschiedenis wissen</t>
  </si>
  <si>
    <t>Wyczyść historię konwersacji</t>
  </si>
  <si>
    <t>Limpar o histórico de conversas</t>
  </si>
  <si>
    <t>Vymazať históriu konverzácií</t>
  </si>
  <si>
    <t>Брисање историјата преписки</t>
  </si>
  <si>
    <t>Rensa konversationshistorik</t>
  </si>
  <si>
    <t>Очистити історію розмов</t>
  </si>
  <si>
    <t>Xoá lịch sử hội thoại</t>
  </si>
  <si>
    <t>清除會話記錄</t>
  </si>
  <si>
    <t>tt_onboarding_settings_logged_in</t>
  </si>
  <si>
    <t>Logged in!</t>
  </si>
  <si>
    <t>تم تسجيل دخولك!</t>
  </si>
  <si>
    <t>Вписан!</t>
  </si>
  <si>
    <t>Přihlášen!</t>
  </si>
  <si>
    <t>Logget ind!</t>
  </si>
  <si>
    <t>Eingeloggt!</t>
  </si>
  <si>
    <t>Συνδεδεμένοι!</t>
  </si>
  <si>
    <t>¡Ha iniciado sesión!</t>
  </si>
  <si>
    <t>Kirjautunut sisään!</t>
  </si>
  <si>
    <t>Connecté!</t>
  </si>
  <si>
    <t>में लॉग इन!</t>
  </si>
  <si>
    <t>Be van lépve</t>
  </si>
  <si>
    <t>Didaftarkan masuk!</t>
  </si>
  <si>
    <t>Collegato!</t>
  </si>
  <si>
    <t>מחובר!</t>
  </si>
  <si>
    <t>ログインできました!</t>
  </si>
  <si>
    <t>로그인되었습니다!</t>
  </si>
  <si>
    <t>Ingelogd!</t>
  </si>
  <si>
    <t>Innlogget!</t>
  </si>
  <si>
    <t>Zalogowany</t>
  </si>
  <si>
    <t>Com sessão iniciada</t>
  </si>
  <si>
    <t>Вошёл/ла!</t>
  </si>
  <si>
    <t>Prihlásený!</t>
  </si>
  <si>
    <t>Prijavljeni!</t>
  </si>
  <si>
    <t>Prijavljen!</t>
  </si>
  <si>
    <t>Inloggad!</t>
  </si>
  <si>
    <t>เข้าสู่ระบบ!</t>
  </si>
  <si>
    <t>Oturum açıldı!</t>
  </si>
  <si>
    <t>Đã đăng nhập!</t>
  </si>
  <si>
    <t>登入了！</t>
  </si>
  <si>
    <t>last_seen_mins</t>
  </si>
  <si>
    <t>last seen %d minutes ago</t>
  </si>
  <si>
    <t>آخر ظهور منذ %d دقيقة</t>
  </si>
  <si>
    <t>последно видян преди %d минути</t>
  </si>
  <si>
    <t>darrera connexió: fa %d minuts</t>
  </si>
  <si>
    <t>vor %d Minuten gesehen</t>
  </si>
  <si>
    <t>Visto última vez hace %d minutos</t>
  </si>
  <si>
    <t>en ligne il y a %d minutes</t>
  </si>
  <si>
    <t>visto hai 1%d minutos</t>
  </si>
  <si>
    <t>%d perce volt aktív</t>
  </si>
  <si>
    <t>terlihat %d menit lalu</t>
  </si>
  <si>
    <t>visto %d minuti fa</t>
  </si>
  <si>
    <t>%d 分前に会いました</t>
  </si>
  <si>
    <t>%d 분 전까지 접속했었음</t>
  </si>
  <si>
    <t>%d minuten geleden voor het laatst gezien</t>
  </si>
  <si>
    <t>widziany %d minut(y) temu</t>
  </si>
  <si>
    <t>visto %d minutos atrás</t>
  </si>
  <si>
    <t>Присутствие: %d мин. назад</t>
  </si>
  <si>
    <t>naposledy prihlásený pred %d minútami</t>
  </si>
  <si>
    <t>виђен/а пре %d минута</t>
  </si>
  <si>
    <t>senast sedd %d minuter sedan</t>
  </si>
  <si>
    <t>востаннє бачили %d хвилин тому</t>
  </si>
  <si>
    <t>thấy lần cuối %d phút trước</t>
  </si>
  <si>
    <t>%d 分鐘前查看過</t>
  </si>
  <si>
    <t>tt_historicytd</t>
  </si>
  <si>
    <t>Acumulado annual</t>
  </si>
  <si>
    <t>avatar_has_been_published</t>
  </si>
  <si>
    <t>Avatar has been published!</t>
  </si>
  <si>
    <t>تم نشر الصورة الرمزية !</t>
  </si>
  <si>
    <t>Аватарът беше публикуван!</t>
  </si>
  <si>
    <t>L\'avatar ha sigut publicat!</t>
  </si>
  <si>
    <t>Avatar wurde veröffentlicht!</t>
  </si>
  <si>
    <t>¡La imagen de perfil ha sido publicada!</t>
  </si>
  <si>
    <t>L\'avatar a été publié !</t>
  </si>
  <si>
    <t>Publicouse o avatar</t>
  </si>
  <si>
    <t>A önarckép publikálva lett!</t>
  </si>
  <si>
    <t>Avatar telah diterbitkan!</t>
  </si>
  <si>
    <t>Il tuo avatar è stato pubblicato!</t>
  </si>
  <si>
    <t>アバターを公開しました!</t>
  </si>
  <si>
    <t>아바타가 공개되었습니다</t>
  </si>
  <si>
    <t>Avatar is gepubliceerd!</t>
  </si>
  <si>
    <t>Avatar został pomyślnie opublikowany!</t>
  </si>
  <si>
    <t>O avatar foi publicado!</t>
  </si>
  <si>
    <t>Аватар загружен!</t>
  </si>
  <si>
    <t>Avatar sa publikoval!</t>
  </si>
  <si>
    <t>Аватар је објављен!</t>
  </si>
  <si>
    <t>Avatarbild har publicerats!</t>
  </si>
  <si>
    <t>Аватар опубліковано!</t>
  </si>
  <si>
    <t>Đã đăng tải ảnh đại diện!</t>
  </si>
  <si>
    <t>頭像已經發佈！</t>
  </si>
  <si>
    <t>tt_news_category_19</t>
  </si>
  <si>
    <t>Financial Calendar</t>
  </si>
  <si>
    <t>التقويم المالي</t>
  </si>
  <si>
    <t>Финансов календар</t>
  </si>
  <si>
    <t>Finanční kalendář</t>
  </si>
  <si>
    <t>Finansiel kalender</t>
  </si>
  <si>
    <t>Finanzkalender</t>
  </si>
  <si>
    <t>Calendario financiero</t>
  </si>
  <si>
    <t>Calendrier financier</t>
  </si>
  <si>
    <t>वित्तीय कैलेंडर</t>
  </si>
  <si>
    <t>Pénzügyi naptár</t>
  </si>
  <si>
    <t>Kalendar Keuangan</t>
  </si>
  <si>
    <t>Calendario Finanziario</t>
  </si>
  <si>
    <t>לוח שנה פיננסי</t>
  </si>
  <si>
    <t>経済カレンダー</t>
  </si>
  <si>
    <t>재무 캘린더</t>
  </si>
  <si>
    <t>Kalendar Kewangan</t>
  </si>
  <si>
    <t>Financiële Kalender</t>
  </si>
  <si>
    <t>Finanskalender</t>
  </si>
  <si>
    <t>Kalendarz finansowy</t>
  </si>
  <si>
    <t>Calendário financeiro</t>
  </si>
  <si>
    <t>Финансовый Календарь</t>
  </si>
  <si>
    <t>Finančný kalendár</t>
  </si>
  <si>
    <t>Finančni koledar</t>
  </si>
  <si>
    <t>Finansijski kalendar</t>
  </si>
  <si>
    <t>ปฏิทินการเงิน</t>
  </si>
  <si>
    <t>Mali Takvim</t>
  </si>
  <si>
    <t>Lịch tài chính</t>
  </si>
  <si>
    <t>财政年度</t>
  </si>
  <si>
    <t>&gt;財政年度</t>
  </si>
  <si>
    <t>tt_news_category_18</t>
  </si>
  <si>
    <t>Top News</t>
  </si>
  <si>
    <t>الأخبار المهمه</t>
  </si>
  <si>
    <t>Топ новини</t>
  </si>
  <si>
    <t>Nejlepší zprávy</t>
  </si>
  <si>
    <t>Topnyheder</t>
  </si>
  <si>
    <t>Κορυφαία νέα</t>
  </si>
  <si>
    <t>Noticia principal</t>
  </si>
  <si>
    <t>Informations à la Une</t>
  </si>
  <si>
    <t>मुख्य समाचार</t>
  </si>
  <si>
    <t>Top hírek</t>
  </si>
  <si>
    <t>Berita Utama</t>
  </si>
  <si>
    <t>Notizie Top</t>
  </si>
  <si>
    <t>חדשות מרכזיות</t>
  </si>
  <si>
    <t>トップ記事</t>
  </si>
  <si>
    <t>톱 뉴스</t>
  </si>
  <si>
    <t>Top nieuws</t>
  </si>
  <si>
    <t>Toppnyheter</t>
  </si>
  <si>
    <t>Top Story</t>
  </si>
  <si>
    <t>História em destaque</t>
  </si>
  <si>
    <t>Топ новости</t>
  </si>
  <si>
    <t>Top správy</t>
  </si>
  <si>
    <t>Najboljše novice</t>
  </si>
  <si>
    <t>Glavna vest</t>
  </si>
  <si>
    <t>ข่าวเด่น</t>
  </si>
  <si>
    <t>En Çok Okunan Haberler</t>
  </si>
  <si>
    <t>Tin tức hàng đầu</t>
  </si>
  <si>
    <t>焦点新闻</t>
  </si>
  <si>
    <t>&gt;焦點新聞</t>
  </si>
  <si>
    <t>account_status_incompatible_server</t>
  </si>
  <si>
    <t>Incompatible server</t>
  </si>
  <si>
    <t>لا يتوافق مع السيرفر</t>
  </si>
  <si>
    <t>Несъвместим сървър</t>
  </si>
  <si>
    <t>Servidor incompatible</t>
  </si>
  <si>
    <t>Inkompatibler Server</t>
  </si>
  <si>
    <t>Serveur incompatible</t>
  </si>
  <si>
    <t>Nem kompatibilis szerver</t>
  </si>
  <si>
    <t>Server tidak cocok</t>
  </si>
  <si>
    <t>Server non compatibile</t>
  </si>
  <si>
    <t>互換性のないサーバー</t>
  </si>
  <si>
    <t>호환되지 않는 서버</t>
  </si>
  <si>
    <t>Incompatibele server</t>
  </si>
  <si>
    <t>Serwer niekompatybilny</t>
  </si>
  <si>
    <t>Servidor incompatível</t>
  </si>
  <si>
    <t>Несовместимый сервер</t>
  </si>
  <si>
    <t>Nekompatibilný server</t>
  </si>
  <si>
    <t>Некомпатибилан сервер</t>
  </si>
  <si>
    <t>Inkompatibel server</t>
  </si>
  <si>
    <t>Несумісний сервер</t>
  </si>
  <si>
    <t>Máy chủ không tương thích</t>
  </si>
  <si>
    <t>伺服器不相容</t>
  </si>
  <si>
    <t>tt_news_category_17</t>
  </si>
  <si>
    <t>Analyst Recommendations</t>
  </si>
  <si>
    <t>توصيات المحللين</t>
  </si>
  <si>
    <t>Препоръки на анализатора</t>
  </si>
  <si>
    <t>Doporučení analytiků</t>
  </si>
  <si>
    <t>Anbefalinger fra analytiker</t>
  </si>
  <si>
    <t>Analystenempfehlungen</t>
  </si>
  <si>
    <t>Συστάσεις αναλυτών</t>
  </si>
  <si>
    <t>Recomendaciones de los analistas</t>
  </si>
  <si>
    <t>Analyytikoiden suositukset</t>
  </si>
  <si>
    <t>Recommendations des analystes</t>
  </si>
  <si>
    <t>विश्लेषक की सिफारिशें</t>
  </si>
  <si>
    <t>Elemző ajánlások</t>
  </si>
  <si>
    <t>Cadangan Penganalisa</t>
  </si>
  <si>
    <t>Raccomandazioni di Analisti</t>
  </si>
  <si>
    <t>המלצות של אנליסטים</t>
  </si>
  <si>
    <t>アナリストの提言（推奨）</t>
  </si>
  <si>
    <t>애널리스트 추천</t>
  </si>
  <si>
    <t>Analisten aanbevelingen</t>
  </si>
  <si>
    <t>Anbefalinger fra analytikere</t>
  </si>
  <si>
    <t>Recomendações dos analistas</t>
  </si>
  <si>
    <t>Рекомендации аналитиков</t>
  </si>
  <si>
    <t>Odporúčania analytikov</t>
  </si>
  <si>
    <t>Priporočila analitika</t>
  </si>
  <si>
    <t>Analytikerrekommendationer</t>
  </si>
  <si>
    <t>คำแนะนำจากนักวิเคราะห์</t>
  </si>
  <si>
    <t>Analist Tavsiyeleri</t>
  </si>
  <si>
    <t>Khuyến nghị phân tích</t>
  </si>
  <si>
    <t>分析师建议</t>
  </si>
  <si>
    <t>&gt;分析師建議</t>
  </si>
  <si>
    <t>tt_news_category_16</t>
  </si>
  <si>
    <t>Mutual Funds</t>
  </si>
  <si>
    <t>صناديق مشتركة</t>
  </si>
  <si>
    <t>Взаимни фондове</t>
  </si>
  <si>
    <t>Podílové fondy</t>
  </si>
  <si>
    <t>Gensidige fonde</t>
  </si>
  <si>
    <t>Αμοιβαία κεφάλαια</t>
  </si>
  <si>
    <t>Sijoitusrahastot</t>
  </si>
  <si>
    <t>Fonds communs</t>
  </si>
  <si>
    <t>म्यूचुअल फंड्स</t>
  </si>
  <si>
    <t>Alapok</t>
  </si>
  <si>
    <t>Fondi Comuni</t>
  </si>
  <si>
    <t>קרנות נאמנות</t>
  </si>
  <si>
    <t>Beleggingsfondsen</t>
  </si>
  <si>
    <t>Verdipapirfond</t>
  </si>
  <si>
    <t>Фонды взаимных инвестиций</t>
  </si>
  <si>
    <t>Podielové fondy</t>
  </si>
  <si>
    <t>Vzajemni skladi</t>
  </si>
  <si>
    <t>Investicioni fondovi</t>
  </si>
  <si>
    <t>Aktieandelsfonder</t>
  </si>
  <si>
    <t>Yatırım Fonları</t>
  </si>
  <si>
    <t>tt_analyzer_validrecommendation</t>
  </si>
  <si>
    <t>Valid recommendations</t>
  </si>
  <si>
    <t>توصيات صالحة</t>
  </si>
  <si>
    <t>Валидни препоръки</t>
  </si>
  <si>
    <t>Platná doporučení</t>
  </si>
  <si>
    <t>Gyldige anbefalinger</t>
  </si>
  <si>
    <t>Gültige Empfehlungen</t>
  </si>
  <si>
    <t>Έγκυρες προτάσεις</t>
  </si>
  <si>
    <t>Recomendaciones válidas</t>
  </si>
  <si>
    <t>Voimassa olevat suositukset</t>
  </si>
  <si>
    <t>Recommandations</t>
  </si>
  <si>
    <t>मान्य सिफारिशें</t>
  </si>
  <si>
    <t>Érvényes ajánlások</t>
  </si>
  <si>
    <t>Saran yang valid</t>
  </si>
  <si>
    <t>Racocomandazioni Validi</t>
  </si>
  <si>
    <t>המלצות תקפות</t>
  </si>
  <si>
    <t>アナリストによる特別推奨</t>
  </si>
  <si>
    <t>유효한 권장</t>
  </si>
  <si>
    <t>Cadangan yang sah</t>
  </si>
  <si>
    <t>Geldige aanbevelingen</t>
  </si>
  <si>
    <t>Rekomendacje</t>
  </si>
  <si>
    <t>Recomendações válidas</t>
  </si>
  <si>
    <t>Достоверные рекомендации</t>
  </si>
  <si>
    <t>Platné odporúčania</t>
  </si>
  <si>
    <t>Veljavna priporočila</t>
  </si>
  <si>
    <t>Validne preporuke</t>
  </si>
  <si>
    <t>Aktuella rekommendationer</t>
  </si>
  <si>
    <t>คำแนะนำที่ใช้ได้จริง</t>
  </si>
  <si>
    <t>Geçerli tavsiyeler</t>
  </si>
  <si>
    <t>Khuyến nghị hợp lệ</t>
  </si>
  <si>
    <t>有效的建议</t>
  </si>
  <si>
    <t>&gt;有效的建議</t>
  </si>
  <si>
    <t>tt_news_category_15</t>
  </si>
  <si>
    <t>Press Digest</t>
  </si>
  <si>
    <t>الموجز الإعلامي</t>
  </si>
  <si>
    <t>Натиснете Digest</t>
  </si>
  <si>
    <t>Stiskněte Digest</t>
  </si>
  <si>
    <t>Tryk på Digest</t>
  </si>
  <si>
    <t>Presseschau</t>
  </si>
  <si>
    <t>Resumen de prensa</t>
  </si>
  <si>
    <t>Revue de presse</t>
  </si>
  <si>
    <t>डाइजेस्ट को प्रेस करें</t>
  </si>
  <si>
    <t>Sajtókivonat</t>
  </si>
  <si>
    <t>Sorotan Pers</t>
  </si>
  <si>
    <t>Stampa</t>
  </si>
  <si>
    <t>ダイジェスト</t>
  </si>
  <si>
    <t>Sorotan Akhbar</t>
  </si>
  <si>
    <t>Pers</t>
  </si>
  <si>
    <t>Trykk på Digest</t>
  </si>
  <si>
    <t>Przegląd prasy</t>
  </si>
  <si>
    <t>Resumo da imprensa</t>
  </si>
  <si>
    <t>Обзор прессы</t>
  </si>
  <si>
    <t>Stlačte Digest</t>
  </si>
  <si>
    <t>Tisk Digest</t>
  </si>
  <si>
    <t>Tidningssammanfattning</t>
  </si>
  <si>
    <t>สรุปข่าว</t>
  </si>
  <si>
    <t>Basın Özeti</t>
  </si>
  <si>
    <t>Tài liệu báo chí</t>
  </si>
  <si>
    <t>新闻摘要</t>
  </si>
  <si>
    <t>&gt;新聞摘要</t>
  </si>
  <si>
    <t>filter_calendar_popup_text</t>
  </si>
  <si>
    <t>Slide to filter events.</t>
  </si>
  <si>
    <t>مرر لتصفية الأحداث.</t>
  </si>
  <si>
    <t>Плъзнете, за да филтрирате събития.</t>
  </si>
  <si>
    <t>Filtrovat události můžete posunutím.</t>
  </si>
  <si>
    <t>Skub for at filtrere begivenheder.</t>
  </si>
  <si>
    <t>Wischen zum Filtern der Events.</t>
  </si>
  <si>
    <t>Σύρετε για να φιλτράρετε συμβάντα.</t>
  </si>
  <si>
    <t>Deslice para filtrar eventos.</t>
  </si>
  <si>
    <t>Liu\'uta suodattaaksesi tapahtumia.</t>
  </si>
  <si>
    <t>Faites glisser pour filtrer les événements .</t>
  </si>
  <si>
    <t>फ़िल्टर घटनाओं के लिए स्लाइड करें</t>
  </si>
  <si>
    <t>Húzza oldalra az események szűréséhez</t>
  </si>
  <si>
    <t>Geser untuk memfilter acara.</t>
  </si>
  <si>
    <t>Scorri per filtrare i eventi</t>
  </si>
  <si>
    <t>החלק כדי לסנן אירועים</t>
  </si>
  <si>
    <t>スライドしてイベントをフィルタリングする</t>
  </si>
  <si>
    <t>사건을 필터링하려면 옆으로 미세요.</t>
  </si>
  <si>
    <t>Gelongsor untuk tapiskan acara.</t>
  </si>
  <si>
    <t>Schuif om gebeurtenissen te filteren.</t>
  </si>
  <si>
    <t>Skyv for å filtrere hendelser.</t>
  </si>
  <si>
    <t>Przesuń w bok aby filtrować wydarzenia.</t>
  </si>
  <si>
    <t>Deslize para filtrar eventos.</t>
  </si>
  <si>
    <t>Проведите по экрану для фильтрации событий.</t>
  </si>
  <si>
    <t>Posúvaním filtrujte udalosti.</t>
  </si>
  <si>
    <t>Pomaknite, da filtrirate dogodke.</t>
  </si>
  <si>
    <t>Povucite za promenu uslova prikaza</t>
  </si>
  <si>
    <t>Skjut för att filtrera händelser.</t>
  </si>
  <si>
    <t>สไลด์เพื่อกรองเหตุการณ์</t>
  </si>
  <si>
    <t>Etkinlikleri filtrelemek için kaydırın.</t>
  </si>
  <si>
    <t>Trượt để lọc các sự kiện.</t>
  </si>
  <si>
    <t>请滑动为了筛选事件。</t>
  </si>
  <si>
    <t>tt_edgar_total_stockholders</t>
  </si>
  <si>
    <t>Total Stockholders Equity</t>
  </si>
  <si>
    <t>مجموع حقوق المساهمين</t>
  </si>
  <si>
    <t>Общ капитал на акционерите</t>
  </si>
  <si>
    <t>Vlastní kapitál celkem</t>
  </si>
  <si>
    <t>Aktiekapital i alt</t>
  </si>
  <si>
    <t>Eigenkapital</t>
  </si>
  <si>
    <t>Σύνολο ιδίων κεφαλαίων</t>
  </si>
  <si>
    <t>Patrimonio total de los accionistas</t>
  </si>
  <si>
    <t>Osakkeenomistajien oma pääoma yhteensä</t>
  </si>
  <si>
    <t>Total des capitaux</t>
  </si>
  <si>
    <t>शेयरधारकों की कुल इक्विटी</t>
  </si>
  <si>
    <t>Jumlah Ekuitas Pemegang Saham</t>
  </si>
  <si>
    <t>Capitale netto</t>
  </si>
  <si>
    <t>סך כל ההון העצמי</t>
  </si>
  <si>
    <t>総株主資本</t>
  </si>
  <si>
    <t>자본총계</t>
  </si>
  <si>
    <t>Jumlah Ekuiti Pemegang Saham</t>
  </si>
  <si>
    <t>Totale aandeelhouders waarde</t>
  </si>
  <si>
    <t>Sum aksjonæreres egenkapital</t>
  </si>
  <si>
    <t>Kapitał własny ogółem</t>
  </si>
  <si>
    <t>Total de Património Líquido</t>
  </si>
  <si>
    <t>Сумма акционерного капитала</t>
  </si>
  <si>
    <t>Celkové vlastné imanie</t>
  </si>
  <si>
    <t>Skupni lastniški kapital</t>
  </si>
  <si>
    <t>Ukupan akcion.kapital</t>
  </si>
  <si>
    <t>Sammanlagt eget kapital</t>
  </si>
  <si>
    <t>รวมส่วนผู้ถือหุ้นทั้งหมดด</t>
  </si>
  <si>
    <t>Toplam Hissedar Özkaynağı</t>
  </si>
  <si>
    <t>Tổng vốn cổ đông</t>
  </si>
  <si>
    <t>股东权益总额</t>
  </si>
  <si>
    <t>tt_news_category_14</t>
  </si>
  <si>
    <t>Politics</t>
  </si>
  <si>
    <t>السياسة</t>
  </si>
  <si>
    <t>Политика</t>
  </si>
  <si>
    <t>Politika</t>
  </si>
  <si>
    <t>Politik</t>
  </si>
  <si>
    <t>Πολιτική</t>
  </si>
  <si>
    <t>Política</t>
  </si>
  <si>
    <t>Politiikka</t>
  </si>
  <si>
    <t>Politique</t>
  </si>
  <si>
    <t>राजनीति</t>
  </si>
  <si>
    <t>Politica</t>
  </si>
  <si>
    <t>פוליטיקה</t>
  </si>
  <si>
    <t>政治</t>
  </si>
  <si>
    <t>정치</t>
  </si>
  <si>
    <t>Politiek</t>
  </si>
  <si>
    <t>Politikk</t>
  </si>
  <si>
    <t>Polityka</t>
  </si>
  <si>
    <t>การเมือง</t>
  </si>
  <si>
    <t>Chính trị</t>
  </si>
  <si>
    <t>&gt;政治</t>
  </si>
  <si>
    <t>only_the_owner_can_change_group_chat_avatar</t>
  </si>
  <si>
    <t>Only the owner can change group chat avatar</t>
  </si>
  <si>
    <t>Само собственикът може да променя аватара на груповия разговор</t>
  </si>
  <si>
    <t>Només el propietari pot canviar l\'avatar del xat en grup</t>
  </si>
  <si>
    <t>Nur der Eigentümer kann den Gruppenchat-Avatar ändern</t>
  </si>
  <si>
    <t>Solo el propietario de la conversación puede cambiar el avatar</t>
  </si>
  <si>
    <t>Seul le propriétaire peut changer l\'avatar d\'un groupe de discussion</t>
  </si>
  <si>
    <t>Só o dono pode cambiar o avatar da conversa de grupo</t>
  </si>
  <si>
    <t>Csak a tulajdonos tudja megváltoztatni a csoport profilképét</t>
  </si>
  <si>
    <t>Solo il proprietario può cambiare l\'avatar della chat di gruppo</t>
  </si>
  <si>
    <t>Enkel de eigenaar kan de gespreksafbeelding wijzigen</t>
  </si>
  <si>
    <t>Tylko właściciel może zmienić awatar konwersacji</t>
  </si>
  <si>
    <t>Само власник може да промени аватар групног ћаскања</t>
  </si>
  <si>
    <t>choose_symbols_in_third_line</t>
  </si>
  <si>
    <t>Choose symbols in third line</t>
  </si>
  <si>
    <t>اختر الرموز في الصف الثالث</t>
  </si>
  <si>
    <t>Изберете символи в третия ред</t>
  </si>
  <si>
    <t>Vyberte symboly ve třetím řádku</t>
  </si>
  <si>
    <t>Vælg symboler på tredje linje</t>
  </si>
  <si>
    <t>Symbole für dritte Zeile auswählen</t>
  </si>
  <si>
    <t>Επιλέξτε σύμβολα στην τρίτη γραμμή</t>
  </si>
  <si>
    <t>Elegir símbolos en tercera línea</t>
  </si>
  <si>
    <t>Valitse symbolit kolmannella rivillä</t>
  </si>
  <si>
    <t>choisir les symboles dans la troisième ligne</t>
  </si>
  <si>
    <t>तीसरी लाइन में प्रतीक का चयन करें</t>
  </si>
  <si>
    <t>válasszon szimbólumot a harmadik sorban</t>
  </si>
  <si>
    <t>Pilih simbol di baris ketiga</t>
  </si>
  <si>
    <t>Scegli i simboli nella terza riga</t>
  </si>
  <si>
    <t>בחר סמלים בשורה השלישית</t>
  </si>
  <si>
    <t>3行目のシンボルを選択する</t>
  </si>
  <si>
    <t>세 번째 줄에서 기호 선택</t>
  </si>
  <si>
    <t>kies symbolen uit in de 3e lijn</t>
  </si>
  <si>
    <t>Velg symboler på tredje linje</t>
  </si>
  <si>
    <t>Wybierz symbole z trzeciej linii</t>
  </si>
  <si>
    <t>Escolha símbolos na terceira linha</t>
  </si>
  <si>
    <t>Выбрать символы из третьей строки</t>
  </si>
  <si>
    <t>Vyberte symboly v treťom riadku</t>
  </si>
  <si>
    <t>V tretji vrstici izberite simbole</t>
  </si>
  <si>
    <t>Izaberi simbole za treću liniju</t>
  </si>
  <si>
    <t>Välj symboler på tredje raden</t>
  </si>
  <si>
    <t>เลือกชื่อย่อหลักทรัพย์ในแถวที่สาม</t>
  </si>
  <si>
    <t>Üçüncü satırda sembol seçin</t>
  </si>
  <si>
    <t>Chọn công cụ trong dòng thứ ba</t>
  </si>
  <si>
    <t>选择三线股</t>
  </si>
  <si>
    <t>tt_news_category_13</t>
  </si>
  <si>
    <t>Economy</t>
  </si>
  <si>
    <t>الاقتصاد</t>
  </si>
  <si>
    <t>Икономика</t>
  </si>
  <si>
    <t>Ekonomika</t>
  </si>
  <si>
    <t>Økonomi</t>
  </si>
  <si>
    <t>Wirtschaft</t>
  </si>
  <si>
    <t>Οικονομία</t>
  </si>
  <si>
    <t>Economía</t>
  </si>
  <si>
    <t>Talous</t>
  </si>
  <si>
    <t>Économie</t>
  </si>
  <si>
    <t>अर्थव्यवस्था</t>
  </si>
  <si>
    <t>Gazdaság</t>
  </si>
  <si>
    <t>Ekonomi</t>
  </si>
  <si>
    <t>Economia</t>
  </si>
  <si>
    <t>כלכלה</t>
  </si>
  <si>
    <t>エコノミー</t>
  </si>
  <si>
    <t>경제</t>
  </si>
  <si>
    <t>Economie</t>
  </si>
  <si>
    <t>Ekonomia</t>
  </si>
  <si>
    <t>Экономика</t>
  </si>
  <si>
    <t>Hospodárstvo</t>
  </si>
  <si>
    <t>Gospodarstvo</t>
  </si>
  <si>
    <t>Ekonomija</t>
  </si>
  <si>
    <t>เศรษฐกิจ</t>
  </si>
  <si>
    <t>Kinh tế</t>
  </si>
  <si>
    <t>经济</t>
  </si>
  <si>
    <t>&gt;經濟</t>
  </si>
  <si>
    <t>tt_news_category_11</t>
  </si>
  <si>
    <t>マーケット</t>
  </si>
  <si>
    <t>tt_news_category_10</t>
  </si>
  <si>
    <t>Business</t>
  </si>
  <si>
    <t>الأعمال</t>
  </si>
  <si>
    <t>Бизнес</t>
  </si>
  <si>
    <t>Podnikání</t>
  </si>
  <si>
    <t>Forretning</t>
  </si>
  <si>
    <t>Geschäft</t>
  </si>
  <si>
    <t>Εργασία</t>
  </si>
  <si>
    <t>Negocio</t>
  </si>
  <si>
    <t>Liiketoiminta</t>
  </si>
  <si>
    <t>Entreprise</t>
  </si>
  <si>
    <t>व्यवसाय</t>
  </si>
  <si>
    <t>Üzleti</t>
  </si>
  <si>
    <t>Bisnis</t>
  </si>
  <si>
    <t>Gli Affari</t>
  </si>
  <si>
    <t>עסקים</t>
  </si>
  <si>
    <t>ビジネス</t>
  </si>
  <si>
    <t>영업</t>
  </si>
  <si>
    <t>Perniagaan</t>
  </si>
  <si>
    <t>Bedrijf</t>
  </si>
  <si>
    <t>Virksomhet</t>
  </si>
  <si>
    <t>Biznes</t>
  </si>
  <si>
    <t>O negócio</t>
  </si>
  <si>
    <t>Obchod</t>
  </si>
  <si>
    <t>Posel</t>
  </si>
  <si>
    <t>Posao</t>
  </si>
  <si>
    <t>Företag</t>
  </si>
  <si>
    <t>ธุรกิจ</t>
  </si>
  <si>
    <t>İşletme</t>
  </si>
  <si>
    <t>Kinh doanh</t>
  </si>
  <si>
    <t>商业</t>
  </si>
  <si>
    <t>kuwait</t>
  </si>
  <si>
    <t>Kuwait</t>
  </si>
  <si>
    <t>Koweit</t>
  </si>
  <si>
    <t>Кувейт</t>
  </si>
  <si>
    <t>Kuvait</t>
  </si>
  <si>
    <t>teletrader_ticker</t>
  </si>
  <si>
    <t>شريط تداول الأسهم</t>
  </si>
  <si>
    <t>Teller Saham</t>
  </si>
  <si>
    <t>טיקר על מניות</t>
  </si>
  <si>
    <t>AandelenTicker</t>
  </si>
  <si>
    <t>Ticker de ações</t>
  </si>
  <si>
    <t>tt_addsymboltowatchlist</t>
  </si>
  <si>
    <t>Add symbol to watchlist</t>
  </si>
  <si>
    <t>إضافة رمز إلى قائمة المتابعة</t>
  </si>
  <si>
    <t>Добавете символ към уочлист</t>
  </si>
  <si>
    <t>Přidat symbol do seznamu sledovaných</t>
  </si>
  <si>
    <t>Føj symbol til overvågningslisten</t>
  </si>
  <si>
    <t>Symbol hinzufügen</t>
  </si>
  <si>
    <t>Προσθήκη συμβόλου στη λίστα παρακολούθησης</t>
  </si>
  <si>
    <t>Agregar símbolo a lista de seguimiento</t>
  </si>
  <si>
    <t>Lisää symboli tarkkailulistalle</t>
  </si>
  <si>
    <t>Ajouter symbole dans la liste personnelle</t>
  </si>
  <si>
    <t>वॉचलिस्ट में प्रतीक जोड़ें</t>
  </si>
  <si>
    <t>Tambahkan simbol ke daftar pantauan</t>
  </si>
  <si>
    <t>Aggiungi simbolo alla watchlist</t>
  </si>
  <si>
    <t>הוסף סמל לרשימת המעקב</t>
  </si>
  <si>
    <t>ウォッチリストにシンボルを追加する</t>
  </si>
  <si>
    <t>보기목록에 기호 추가</t>
  </si>
  <si>
    <t>Tambah simbol kepada senarai pantau</t>
  </si>
  <si>
    <t>Voeg symbol toe aan Favorietenlijst</t>
  </si>
  <si>
    <t>Legg symbol til overvåkningslisten</t>
  </si>
  <si>
    <t>Adicionar símbolo à lista</t>
  </si>
  <si>
    <t>Pridajte symbol do sledovaného zoznamu</t>
  </si>
  <si>
    <t>Dodaj seznam na seznam opazovanja</t>
  </si>
  <si>
    <t>Dodaj simbol u Watch listu</t>
  </si>
  <si>
    <t>Lägg till symbol på bevakningslistan</t>
  </si>
  <si>
    <t>เพิ่มชื่อย่อหลักทรัพย์ในรายการหุ้นที่ติดตาม</t>
  </si>
  <si>
    <t>İzleme listesine sembol ekle</t>
  </si>
  <si>
    <t>Thêm công cụ vào danh mục theo dõi</t>
  </si>
  <si>
    <t>加入到收藏夹</t>
  </si>
  <si>
    <t>&gt;加入到收藏夾</t>
  </si>
  <si>
    <t>pref_font_size_summary</t>
  </si>
  <si>
    <t>The relative font size used within the app.</t>
  </si>
  <si>
    <t>Относителен размер на шрифта в приложението.</t>
  </si>
  <si>
    <t>La grandària relativa de la font utilitzada dins de l\'aplicació.</t>
  </si>
  <si>
    <t>Die verwendete relative Schriftgröße innerhalb der App.</t>
  </si>
  <si>
    <t>Tamaño de fuente usado en la aplicación.</t>
  </si>
  <si>
    <t>La taille de police relative utilisée dans l\'application.</t>
  </si>
  <si>
    <t>O tamaño de fonte relativo a esta app</t>
  </si>
  <si>
    <t>Az alkalmazásban használt relatív betűméret.</t>
  </si>
  <si>
    <t>La dimensione dei caratteri usata all\'interno dell\'app.</t>
  </si>
  <si>
    <t>このアプリで使用される相対フォントサイズ</t>
  </si>
  <si>
    <t>De relatieve lettergrootte in de app.</t>
  </si>
  <si>
    <t>Relatywny rozmiar czcionki używany wewnątrz aplikacji.</t>
  </si>
  <si>
    <t>App 中所使用的相對字型大小</t>
  </si>
  <si>
    <t>remove_user</t>
  </si>
  <si>
    <t>REMOVE</t>
  </si>
  <si>
    <t>ENTFERNEN</t>
  </si>
  <si>
    <t>ELIMINAR</t>
  </si>
  <si>
    <t>SUPPRIMER</t>
  </si>
  <si>
    <t>УБРАТЬ</t>
  </si>
  <si>
    <t>tt_select_indicator</t>
  </si>
  <si>
    <t>Indicator</t>
  </si>
  <si>
    <t>مؤشر</t>
  </si>
  <si>
    <t>Индикатор</t>
  </si>
  <si>
    <t>Indikátor</t>
  </si>
  <si>
    <t>Indikator</t>
  </si>
  <si>
    <t>Indicador</t>
  </si>
  <si>
    <t>Indikaattori</t>
  </si>
  <si>
    <t>Indicateur</t>
  </si>
  <si>
    <t>Indicatore</t>
  </si>
  <si>
    <t>אינדיקטור</t>
  </si>
  <si>
    <t>Ukazovateľ</t>
  </si>
  <si>
    <t>Kazalnik</t>
  </si>
  <si>
    <t>Izaberite indikator:</t>
  </si>
  <si>
    <t>Gösterge</t>
  </si>
  <si>
    <t>Chỉ báo</t>
  </si>
  <si>
    <t>magic_create_text</t>
  </si>
  <si>
    <t>We will guide you through the process of creating an account on conversations.im.¹\nWhen picking conversations.im as a provider you will be able to communicate with users of other providers by giving them your full Jabber ID.</t>
  </si>
  <si>
    <t>Ще преминем заедно с Вас през процеса за създаване на профил в conversations.im.¹\nАко изберете да използвате conversations.im, ще можете да общувате с потребители, използващи други сървъри, като им дадете своя пълен Jabber идентификатор.</t>
  </si>
  <si>
    <t>Us guiarem pel procés de creació d\'un compte a conversations.im.¹\nQuan trieu conversations.im com a proveïdor, podreu comunicar-vos amb els usuaris d\'altres proveïdors donant-los la vostra ID Jabber completa.</t>
  </si>
  <si>
    <t>Wir führen dich durch den Prozess der Kontoerstellung auf conversations.im.¹\nWenn du conversations.im als Provider wählst, kannst du mit Nutzern anderer Anbieter kommunizieren, indem du ihnen deine vollständige Jabber-ID gibst.</t>
  </si>
  <si>
    <t>Te guiaremos durante el proceso de creación de la cuenta en conversations.im.¹\nCuando selecciones conversations.im como proveedor podrás comunicarte con usuarios de otros servidores mediante tu identificador Jabber.</t>
  </si>
  <si>
    <t>Nous vous guiderons pendant toute la procédure de création d\'un compte utilisateur sur conversations.im.¹\nEn choisissant conversations.im comme fournisseur, vous pourrez communiquer avec les utilisateurs d\'autres fournisseurs en leur transmettant votre Jabber ID complet.</t>
  </si>
  <si>
    <t>Guiarémola a través do proceso de crear unha conta en conversations.im.\nCando escolla conversations.im como proveedor poderá comunicarse con outras usuarias de outros proveedores que lle proporcionen un ID Jabber completo.</t>
  </si>
  <si>
    <t>Végigvezetjük a fiók létrehozás folyamatán a conversations.im-en.¹ \ nHa a conversations.im-et választja szolgáltatójának, akkor képes lesz kommunikálni a más szolgáltatóknál lévő felhasználókkal, ha megadja nekik a teljes Jabber azonosítóját.</t>
  </si>
  <si>
    <t>Ti guideremo nel processo di creazione di un account su conversations.im.¹\nQuando scegli conversations.im come provider potrai comunicare con utenti di altri provider dando il tuo ID Jabber completo.</t>
  </si>
  <si>
    <t>conversations.imのアカウントを作成する手順をガイドします。\nプロバイダーとしてconversations.imを選択すると、あなたの完全なJabber IDを指定することによって、他のプロバイダーのユーザと通信することができるようになります。</t>
  </si>
  <si>
    <t>conversations. im 계정을 만드는 단계를 안내합니다. \n 제공자로 conversations. im을 선택하면 당신의 완전한 Jabber ID를 지정하여 다른 공급자의 사용자와 통신 할 수 있습니다.</t>
  </si>
  <si>
    <t>We zullen je helpen een account op conversations.im¹ aan te maken.\nWanneer je conversations.im als je provider kiest kan je met gebruikers van andere providers communiceren door hen je volledige Jabber-ID te geven.</t>
  </si>
  <si>
    <t>Przeprowadzimy Cię przez proces tworzenia konta na conversations.im.\nKiedy wybierzesz konto na serwerze conversations.im, będziesz mógł komunikować się z użytkownikami na innych serwerach podając im swój pełen Jabber ID.</t>
  </si>
  <si>
    <t>Мы поможем Вам создать аккаунт на conversations.im¹.\nВыбрав conversations.im в качестве провайдера, вы сможете общаться с пользователями других провайдеров, сообщив им свой полный Jabber ID.</t>
  </si>
  <si>
    <t>Водићемо вас кроз процес прављења налога на conversations.im.¹\nАко изаберете conversations.im за даваоца услуге моћи ћете да комуницирате са корисницима других сервера ако им дате ваш Џабер ИД.</t>
  </si>
  <si>
    <t>Du kommer nu att få hjälp med att skapa ett konto på conversations.im.¹\nNär conversations.im väljs som leverantör kommer du kunna kommunicera med användare hos andra leverantörer genom att ge dem ditt Jabber ID.</t>
  </si>
  <si>
    <t>Ми допоможемо вам крок за кроком створити обліковий запис на conversations.im.¹\nОбравши conversations.im постачальником послуг, ви зможете спілкуватися з користувачами інших постачальників, надавши їм ваш повний Jabber ID.</t>
  </si>
  <si>
    <t>我們將會引導你完成在 conversations.im¹ 上註冊帳號的過程。\n當獲得了 conversations.im 提供的帳號以後，你可以通過添加使用其他提供商的好友的完整 Jabber ID 來與他們聯絡。</t>
  </si>
  <si>
    <t>action_block_domain</t>
  </si>
  <si>
    <t>Block domain</t>
  </si>
  <si>
    <t>حجب دومين</t>
  </si>
  <si>
    <t>Блокиране на домейна</t>
  </si>
  <si>
    <t>Bloqueja el domini</t>
  </si>
  <si>
    <t>Domain sperren</t>
  </si>
  <si>
    <t>Bloquear dominio</t>
  </si>
  <si>
    <t>Bloquer le domaine</t>
  </si>
  <si>
    <t>Tartomány tiltása</t>
  </si>
  <si>
    <t>Blokir domain</t>
  </si>
  <si>
    <t>Blocca dominio</t>
  </si>
  <si>
    <t>ドメインをブロック</t>
  </si>
  <si>
    <t>도메인 차단</t>
  </si>
  <si>
    <t>Domein blokkeren</t>
  </si>
  <si>
    <t>Zablokuj domenę</t>
  </si>
  <si>
    <t>Bloquear domínio</t>
  </si>
  <si>
    <t>Заблокировать домен</t>
  </si>
  <si>
    <t>Zablokovať doménu</t>
  </si>
  <si>
    <t>Блокирај домен</t>
  </si>
  <si>
    <t>Blockera domän</t>
  </si>
  <si>
    <t>Заблокувати домен</t>
  </si>
  <si>
    <t>Chặn miền</t>
  </si>
  <si>
    <t>tt_value_in_usd</t>
  </si>
  <si>
    <t>Value in USD</t>
  </si>
  <si>
    <t>القيمة بالدولار الأمريكي</t>
  </si>
  <si>
    <t>Стойност в щатски долари</t>
  </si>
  <si>
    <t>Hodnota v USD</t>
  </si>
  <si>
    <t>Værdi i USD</t>
  </si>
  <si>
    <t>Wert in USD</t>
  </si>
  <si>
    <t>Αξία σε USD</t>
  </si>
  <si>
    <t>Valor en USD</t>
  </si>
  <si>
    <t>Arvo USD:na</t>
  </si>
  <si>
    <t>Valeur en USD</t>
  </si>
  <si>
    <t>अमरीकी डालर में मूल्य</t>
  </si>
  <si>
    <t>Érték USD-ben</t>
  </si>
  <si>
    <t>Nilai dalam USD</t>
  </si>
  <si>
    <t>Valore in USD</t>
  </si>
  <si>
    <t>ערך בדולר</t>
  </si>
  <si>
    <t>USD価格</t>
  </si>
  <si>
    <t>USD 가치</t>
  </si>
  <si>
    <t>Waarde in USD</t>
  </si>
  <si>
    <t>Verdi i USD</t>
  </si>
  <si>
    <t>Wartość w USD</t>
  </si>
  <si>
    <t>Valor em USD</t>
  </si>
  <si>
    <t>Стоимость в долларах</t>
  </si>
  <si>
    <t>Vrednost v USD</t>
  </si>
  <si>
    <t>Vrednost u USD</t>
  </si>
  <si>
    <t>Värde i USD</t>
  </si>
  <si>
    <t>มูลค่าเป็น USD</t>
  </si>
  <si>
    <t>ABD Doları cinsinden değer</t>
  </si>
  <si>
    <t>Giá trị bằng USD</t>
  </si>
  <si>
    <t>价值（美元）</t>
  </si>
  <si>
    <t>invalid_username</t>
  </si>
  <si>
    <t>This is not a valid username</t>
  </si>
  <si>
    <t>إسم المستخدم هذا ليس صالحاً</t>
  </si>
  <si>
    <t>Това не е правилно потребителско име</t>
  </si>
  <si>
    <t>Aquest no és un nom d\'usuari vàlid</t>
  </si>
  <si>
    <t>Ungültiger Benutzername</t>
  </si>
  <si>
    <t>Esto no es un usuario válido</t>
  </si>
  <si>
    <t>Cet identifiant n\'est pas valide</t>
  </si>
  <si>
    <t>Este non é un identificador válido</t>
  </si>
  <si>
    <t>Ez nem egy érvényes felhasználónév</t>
  </si>
  <si>
    <t>Username ini tidak valid</t>
  </si>
  <si>
    <t>Questo non è un nome utente valido</t>
  </si>
  <si>
    <t>これは有効なユーザー名ではありません</t>
  </si>
  <si>
    <t>이것은 올바른 사용자 이름이 아닙니다</t>
  </si>
  <si>
    <t>Dit is geen geldige gebruikersnaam</t>
  </si>
  <si>
    <t>Błędna nazwa użytkownika</t>
  </si>
  <si>
    <t>Este não é um nome de utilizador válido</t>
  </si>
  <si>
    <t>Недопустимое имя пользователя</t>
  </si>
  <si>
    <t>Toto nie je platné užívateľské meno</t>
  </si>
  <si>
    <t>Ово није исправно корисничко име</t>
  </si>
  <si>
    <t>Inte ett giltigt användanamn</t>
  </si>
  <si>
    <t>Таке ім\'я користувача не допустиме</t>
  </si>
  <si>
    <t>Đây không phải là tên người dùng hợp lệ</t>
  </si>
  <si>
    <t>該用戶名無效</t>
  </si>
  <si>
    <t>pref_clean_cache</t>
  </si>
  <si>
    <t>Clean cache</t>
  </si>
  <si>
    <t>تفريغ الذاكرة الوسيطة</t>
  </si>
  <si>
    <t>Изчистване на кеша</t>
  </si>
  <si>
    <t>Netejar la memòria cache</t>
  </si>
  <si>
    <t>Lösche Cache</t>
  </si>
  <si>
    <t>Limpiar caché</t>
  </si>
  <si>
    <t>Vider le cache</t>
  </si>
  <si>
    <t>Limpar caché</t>
  </si>
  <si>
    <t>Gyorsítótár törlése</t>
  </si>
  <si>
    <t>Svuota cache</t>
  </si>
  <si>
    <t>キャッシュをクリア</t>
  </si>
  <si>
    <t>Cache wissen</t>
  </si>
  <si>
    <t>Wyczyść cache</t>
  </si>
  <si>
    <t>Очистить кэш</t>
  </si>
  <si>
    <t>Очисти кеш</t>
  </si>
  <si>
    <t>Rensa cache</t>
  </si>
  <si>
    <t>Очистити кеш</t>
  </si>
  <si>
    <t>清理快取資料</t>
  </si>
  <si>
    <t>tt_chart_type</t>
  </si>
  <si>
    <t>Chart type</t>
  </si>
  <si>
    <t>نوع المخطط</t>
  </si>
  <si>
    <t>Тип графика</t>
  </si>
  <si>
    <t>Typ grafu</t>
  </si>
  <si>
    <t>Diagramtype</t>
  </si>
  <si>
    <t>Chart Typ</t>
  </si>
  <si>
    <t>Τύπος γραφήματος</t>
  </si>
  <si>
    <t>Tipo de gráfico</t>
  </si>
  <si>
    <t>Kaavion tyyppi</t>
  </si>
  <si>
    <t>Type de graphique</t>
  </si>
  <si>
    <t>चार्ट का प्रकार</t>
  </si>
  <si>
    <t>Grafikontípus</t>
  </si>
  <si>
    <t>Jenis Grafik</t>
  </si>
  <si>
    <t>Tipo del grafico</t>
  </si>
  <si>
    <t>סוג הגרף</t>
  </si>
  <si>
    <t>チャートタイプ</t>
  </si>
  <si>
    <t>차트 유형</t>
  </si>
  <si>
    <t>Jenis carta</t>
  </si>
  <si>
    <t>Grafiektype</t>
  </si>
  <si>
    <t>Typ wykresu</t>
  </si>
  <si>
    <t>Vrsta grafikona</t>
  </si>
  <si>
    <t>Diagramtyp</t>
  </si>
  <si>
    <t>ประเภทแผนภูมิ</t>
  </si>
  <si>
    <t>Grafik tipi</t>
  </si>
  <si>
    <t>Loại biểu đồ</t>
  </si>
  <si>
    <t>图表类别</t>
  </si>
  <si>
    <t>&gt;圖表類別</t>
  </si>
  <si>
    <t>block_stranger</t>
  </si>
  <si>
    <t>Block stranger</t>
  </si>
  <si>
    <t>حظر الغريب</t>
  </si>
  <si>
    <t>Блокиране на непознатия</t>
  </si>
  <si>
    <t>Bloqueja al desconegut</t>
  </si>
  <si>
    <t>Unbekannten sperren</t>
  </si>
  <si>
    <t>Bloquear desconocido</t>
  </si>
  <si>
    <t>Bloquer l\'inconnu</t>
  </si>
  <si>
    <t>Bloquear estraño</t>
  </si>
  <si>
    <t>Idegen blokkolása</t>
  </si>
  <si>
    <t>Blocca sconosciuto</t>
  </si>
  <si>
    <t>見知らぬ人をブロック</t>
  </si>
  <si>
    <t>Vreemde blokkeren</t>
  </si>
  <si>
    <t>Zablokuj nieznajomego</t>
  </si>
  <si>
    <t>Заблокировать неизвестный контакт</t>
  </si>
  <si>
    <t>Блокирај странца</t>
  </si>
  <si>
    <t>Blockera främling</t>
  </si>
  <si>
    <t>Заблокувати незнайомця</t>
  </si>
  <si>
    <t>封鎖陌生人</t>
  </si>
  <si>
    <t>tt_marketphase</t>
  </si>
  <si>
    <t>Marketphase</t>
  </si>
  <si>
    <t>مرحلة السوق</t>
  </si>
  <si>
    <t>Tržiště</t>
  </si>
  <si>
    <t>Markedsfase</t>
  </si>
  <si>
    <t>Marktphase</t>
  </si>
  <si>
    <t>Markkinointivaihe</t>
  </si>
  <si>
    <t>मार्केटफेज</t>
  </si>
  <si>
    <t>Fase Pasar</t>
  </si>
  <si>
    <t>Periodo del Mercato</t>
  </si>
  <si>
    <t>שלב שוק</t>
  </si>
  <si>
    <t>市況</t>
  </si>
  <si>
    <t>시장 국면</t>
  </si>
  <si>
    <t>Fasa Pasaran</t>
  </si>
  <si>
    <t>Marktfase</t>
  </si>
  <si>
    <t>Faza rynku</t>
  </si>
  <si>
    <t>Фаза рынка</t>
  </si>
  <si>
    <t>Fáza trhu</t>
  </si>
  <si>
    <t>Tržna faza</t>
  </si>
  <si>
    <t>Tržišna faza</t>
  </si>
  <si>
    <t>Marknadsfas</t>
  </si>
  <si>
    <t>วัฏจักรหุ้น</t>
  </si>
  <si>
    <t>Piyasa Aşaması</t>
  </si>
  <si>
    <t>Giai đoạn thị trường</t>
  </si>
  <si>
    <t>市场阶段</t>
  </si>
  <si>
    <t>&gt;市場階段</t>
  </si>
  <si>
    <t>no_pgp_key</t>
  </si>
  <si>
    <t>No OpenPGP Key found</t>
  </si>
  <si>
    <t>لم يتم العثور على أي مفتاح OpenPGP</t>
  </si>
  <si>
    <t>Не е открит OpenPGP ключ</t>
  </si>
  <si>
    <t>Kein OpenPGP-Schlüssel gefunden</t>
  </si>
  <si>
    <t>Clave OpenPGP no encontrada</t>
  </si>
  <si>
    <t>Aucune clef OpenPGP trouvée.</t>
  </si>
  <si>
    <t>Clave OpenPGP non atopada</t>
  </si>
  <si>
    <t>Nem talált OpenPGP kulcsot</t>
  </si>
  <si>
    <t>Geen OpenPGP-sleutel gevonden</t>
  </si>
  <si>
    <t>Nie znaleziono klucza OpenPGP</t>
  </si>
  <si>
    <t>Nenhuma chave OpenPGP encontrada</t>
  </si>
  <si>
    <t>Нет OpenPGP ключа</t>
  </si>
  <si>
    <t>Nenašiel sa žiadny OpenPGP kľúč</t>
  </si>
  <si>
    <t>Нема ОпенПГП кључа</t>
  </si>
  <si>
    <t>Ingen OpenPGP-nyckel funnen</t>
  </si>
  <si>
    <t>Không tìm thấy khoá OpenPGP</t>
  </si>
  <si>
    <t>未發現 OpenPGP 金鑰</t>
  </si>
  <si>
    <t>azerbaijan</t>
  </si>
  <si>
    <t>Azerbaijan</t>
  </si>
  <si>
    <t>Aserbaidschan</t>
  </si>
  <si>
    <t>Azerbaiyán</t>
  </si>
  <si>
    <t>Azerbaïdjan</t>
  </si>
  <si>
    <t>Азербайджан</t>
  </si>
  <si>
    <t>Azerbejdžan</t>
  </si>
  <si>
    <t>tt_comparison_remove</t>
  </si>
  <si>
    <t>Remove Comparison</t>
  </si>
  <si>
    <t>إزالة المقارنة</t>
  </si>
  <si>
    <t>Премахни сравнение</t>
  </si>
  <si>
    <t>Odebrat srovnání</t>
  </si>
  <si>
    <t>Fjern sammenligning</t>
  </si>
  <si>
    <t>Vergleich entfernen</t>
  </si>
  <si>
    <t>Κατάργηση σύγκρισης</t>
  </si>
  <si>
    <t>Eliminar Comparación</t>
  </si>
  <si>
    <t>Poista vertailu</t>
  </si>
  <si>
    <t>Supprimer la comparaison</t>
  </si>
  <si>
    <t>तुलना को हटा दें</t>
  </si>
  <si>
    <t>Összehasonlítás eltávolítása</t>
  </si>
  <si>
    <t>Keluarkan Perbandingan</t>
  </si>
  <si>
    <t>Elimina Comparazione</t>
  </si>
  <si>
    <t>הסר את ההשוואה</t>
  </si>
  <si>
    <t>比較削除</t>
  </si>
  <si>
    <t>비교 삭제</t>
  </si>
  <si>
    <t>Verwijder vergelijking</t>
  </si>
  <si>
    <t>Usuń porównanie</t>
  </si>
  <si>
    <t>Remover comparação</t>
  </si>
  <si>
    <t>Удалить сравнение</t>
  </si>
  <si>
    <t>Odstrániť porovnanie</t>
  </si>
  <si>
    <t>Odstranite primerjavo</t>
  </si>
  <si>
    <t>Izbaci poređenje</t>
  </si>
  <si>
    <t>Ta bort jämförelsen</t>
  </si>
  <si>
    <t>ลบการเปรียบเทียบ</t>
  </si>
  <si>
    <t>Karşılaştırmayı kaldır</t>
  </si>
  <si>
    <t>Xóa so sánh</t>
  </si>
  <si>
    <t>去除比较</t>
  </si>
  <si>
    <t>&gt;去除比較</t>
  </si>
  <si>
    <t>pref_input_options</t>
  </si>
  <si>
    <t>Input</t>
  </si>
  <si>
    <t>Въвеждане</t>
  </si>
  <si>
    <t>Entrada</t>
  </si>
  <si>
    <t>Eingabe</t>
  </si>
  <si>
    <t>Saisie</t>
  </si>
  <si>
    <t>Bevitel</t>
  </si>
  <si>
    <t>Masukan</t>
  </si>
  <si>
    <t>入力</t>
  </si>
  <si>
    <t>입력</t>
  </si>
  <si>
    <t>Invoer</t>
  </si>
  <si>
    <t>Ustawienia wprowadzania</t>
  </si>
  <si>
    <t>Introdução</t>
  </si>
  <si>
    <t>Ввод</t>
  </si>
  <si>
    <t>Унос</t>
  </si>
  <si>
    <t>Введення</t>
  </si>
  <si>
    <t>輸入</t>
  </si>
  <si>
    <t>tt_hour</t>
  </si>
  <si>
    <t>hour</t>
  </si>
  <si>
    <t>час</t>
  </si>
  <si>
    <t>hodina</t>
  </si>
  <si>
    <t>time</t>
  </si>
  <si>
    <t>Stunde</t>
  </si>
  <si>
    <t>ώρα</t>
  </si>
  <si>
    <t>hora</t>
  </si>
  <si>
    <t>tunti</t>
  </si>
  <si>
    <t>heure</t>
  </si>
  <si>
    <t>घंटा</t>
  </si>
  <si>
    <t>óra</t>
  </si>
  <si>
    <t>ora</t>
  </si>
  <si>
    <t>uur</t>
  </si>
  <si>
    <t>godzina</t>
  </si>
  <si>
    <t>ura</t>
  </si>
  <si>
    <t>sat</t>
  </si>
  <si>
    <t>timme</t>
  </si>
  <si>
    <t>tt_pf_select_yahoo_portfolio</t>
  </si>
  <si>
    <t>Select Yahoo portfolio to import</t>
  </si>
  <si>
    <t>حدد محفظة Yahoo للاستيراد</t>
  </si>
  <si>
    <t>Избор на Yahoo портфолио за импортиране</t>
  </si>
  <si>
    <t>Vyberte portfolio Yahoo pro import</t>
  </si>
  <si>
    <t>Vælg Yahoo-portefølje, der skal importeres</t>
  </si>
  <si>
    <t>Wählen Sie das Yahoo-Depot</t>
  </si>
  <si>
    <t>Επιλέξτε το χαρτοφυλάκιο Yahoo για εισαγωγή</t>
  </si>
  <si>
    <t>Seleccione la cartera de Yahoo para importar</t>
  </si>
  <si>
    <t>Valitse tuotava Yahoo-salkku</t>
  </si>
  <si>
    <t>Sélectionner le portefeuille Yahoo à importer</t>
  </si>
  <si>
    <t>इम्पोर्ट करने के लिए याहू पोर्टफोलियो का चयन करें</t>
  </si>
  <si>
    <t>Válassza ki Yahoo portfólióját importáláshoz</t>
  </si>
  <si>
    <t>Pilih portfolio Yahoo untuk diimport</t>
  </si>
  <si>
    <t>Seleziona il portafoglio Yahoo da importare</t>
  </si>
  <si>
    <t>בחר תיק יאהו לייבוא</t>
  </si>
  <si>
    <t>インポートするにはYahoo ポートフォリオを選択して下さい</t>
  </si>
  <si>
    <t>가져올 야후 포트폴리오 선택</t>
  </si>
  <si>
    <t>Selecteer Yahoo portefeuille om te importeren</t>
  </si>
  <si>
    <t>Velg Yahoo-portefølje for import</t>
  </si>
  <si>
    <t>Wybierz portfel Yahoo do zaimportowania</t>
  </si>
  <si>
    <t>Selecione portfólio Yahoo para importar</t>
  </si>
  <si>
    <t>Выбрать Yahoo портфель для импорта</t>
  </si>
  <si>
    <t>Vyberte Yahoo portfólio, ktoré chcete importovať</t>
  </si>
  <si>
    <t>Za uvoz izberite Yahoo portfelj</t>
  </si>
  <si>
    <t>Izaberi Yahoo portfolio za import</t>
  </si>
  <si>
    <t>Välj Yahoo-portfölj att importera</t>
  </si>
  <si>
    <t>เลือกนำเข้าพอร์ต Yahoo</t>
  </si>
  <si>
    <t>Aktarmak için Yahoo portföyünü seçiniz</t>
  </si>
  <si>
    <t>Chọn danh mục đầu tư của Yahoo để nhập</t>
  </si>
  <si>
    <t>选择要输出的Yahoo投资组合</t>
  </si>
  <si>
    <t>&gt;選擇要輸出的Yahoo投資組合</t>
  </si>
  <si>
    <t>sm_iPad</t>
  </si>
  <si>
    <t>tt_allsources</t>
  </si>
  <si>
    <t>All sources</t>
  </si>
  <si>
    <t>Всички източници</t>
  </si>
  <si>
    <t>Todas las fuentes</t>
  </si>
  <si>
    <t>Všechny zdroje</t>
  </si>
  <si>
    <t>Alle kilder</t>
  </si>
  <si>
    <t>Alle Quellen</t>
  </si>
  <si>
    <t>Όλες οι πηγές</t>
  </si>
  <si>
    <t>Kaikki lähteet</t>
  </si>
  <si>
    <t>Toutes les sources</t>
  </si>
  <si>
    <t>כל המקורות</t>
  </si>
  <si>
    <t>Minden Sources</t>
  </si>
  <si>
    <t>Seluruh sumber</t>
  </si>
  <si>
    <t>Alla källor</t>
  </si>
  <si>
    <t>すべてのソース</t>
  </si>
  <si>
    <t>Tất cả các nguồn</t>
  </si>
  <si>
    <t>Semua sumber</t>
  </si>
  <si>
    <t>Alle bronnen</t>
  </si>
  <si>
    <t>Wszystkie źródła</t>
  </si>
  <si>
    <t>Todas as fontes</t>
  </si>
  <si>
    <t>Все источники</t>
  </si>
  <si>
    <t>Všetky zdroje</t>
  </si>
  <si>
    <t>Vsi viri</t>
  </si>
  <si>
    <t>Svi izvori</t>
  </si>
  <si>
    <t>所有来源</t>
  </si>
  <si>
    <t>no_more_history_on_server</t>
  </si>
  <si>
    <t>No more history on server</t>
  </si>
  <si>
    <t>لا مزيد من المحفوظات بالسرفر</t>
  </si>
  <si>
    <t>Няма повече история на сървъра</t>
  </si>
  <si>
    <t>No hi ha més histories al servidor</t>
  </si>
  <si>
    <t>Keine weiteren Nachrichten vorhanden</t>
  </si>
  <si>
    <t>No hay más historial en el servidor</t>
  </si>
  <si>
    <t>Plus d\'historique sur le serveur</t>
  </si>
  <si>
    <t>Non hai máis historial no servidor</t>
  </si>
  <si>
    <t>Nincs több előzmény a szerveren</t>
  </si>
  <si>
    <t>Tidak ada data lagi di server</t>
  </si>
  <si>
    <t>Fine cronologia sul server</t>
  </si>
  <si>
    <t>サーバーにこれ以上履歴はありません</t>
  </si>
  <si>
    <t>서버에 더이상 기록이 없습니다</t>
  </si>
  <si>
    <t>Geen verdere geschiedenis op server</t>
  </si>
  <si>
    <t>Koniec historii na serwerze</t>
  </si>
  <si>
    <t>Não existe mais histórico no servidor</t>
  </si>
  <si>
    <t>На сервере больше нет истории</t>
  </si>
  <si>
    <t>Na serveri nie je žiadna ďalšia história</t>
  </si>
  <si>
    <t>Нема више историјата на серверу</t>
  </si>
  <si>
    <t>Ingen mer historik på server</t>
  </si>
  <si>
    <t>Більше немає історії на сервері</t>
  </si>
  <si>
    <t>Không còn lịch sử nào trên máy chủ</t>
  </si>
  <si>
    <t>伺服器上沒有更多歷史記錄</t>
  </si>
  <si>
    <t>tt_start_main_app</t>
  </si>
  <si>
    <t>Start app</t>
  </si>
  <si>
    <t>بدء التطبيق</t>
  </si>
  <si>
    <t>Стартирай приложението</t>
  </si>
  <si>
    <t>Spusťte aplikaci</t>
  </si>
  <si>
    <t>App starten</t>
  </si>
  <si>
    <t>Ξεκινήστε την εφαρμογή</t>
  </si>
  <si>
    <t>Iniciar App</t>
  </si>
  <si>
    <t>Käynnistä sovellus</t>
  </si>
  <si>
    <t>Démarrer l\'application</t>
  </si>
  <si>
    <t>ऐप को शुरू करें</t>
  </si>
  <si>
    <t>Alkalmazás indítása</t>
  </si>
  <si>
    <t>Mulai aplikasi</t>
  </si>
  <si>
    <t>התחל אפליקציה</t>
  </si>
  <si>
    <t>アプリを始める</t>
  </si>
  <si>
    <t>앱 시작</t>
  </si>
  <si>
    <t>Mulakan aplikasi</t>
  </si>
  <si>
    <t>Start appen</t>
  </si>
  <si>
    <t>Uruchom aplikację</t>
  </si>
  <si>
    <t>Iniciar aplicação</t>
  </si>
  <si>
    <t>Запустить приложение</t>
  </si>
  <si>
    <t>Spustiť aplikáciu</t>
  </si>
  <si>
    <t>Zaženite aplikacijo</t>
  </si>
  <si>
    <t>Pokreni aplikaciju</t>
  </si>
  <si>
    <t>Starta appen</t>
  </si>
  <si>
    <t>เริ่มใช้แอป</t>
  </si>
  <si>
    <t>Uygulamayı başlat</t>
  </si>
  <si>
    <t>Bắt đầu ứng dụng</t>
  </si>
  <si>
    <t>打开应用程序</t>
  </si>
  <si>
    <t>tt_ok</t>
  </si>
  <si>
    <t>Okay</t>
  </si>
  <si>
    <t>Εντάξει</t>
  </si>
  <si>
    <t>ठीक है</t>
  </si>
  <si>
    <t>בסדר</t>
  </si>
  <si>
    <t>Akkoord</t>
  </si>
  <si>
    <t>v redu</t>
  </si>
  <si>
    <t>ตกลง</t>
  </si>
  <si>
    <t>可以</t>
  </si>
  <si>
    <t>&gt;可以</t>
  </si>
  <si>
    <t>gibraltar</t>
  </si>
  <si>
    <t>Gibraltar</t>
  </si>
  <si>
    <t>Гибралтар</t>
  </si>
  <si>
    <t>mtm_accept_servername</t>
  </si>
  <si>
    <t>Accept Mismatching Server Name?</t>
  </si>
  <si>
    <t>Приемане на несъвпадащото име на сървъра?</t>
  </si>
  <si>
    <t>Voleu acceptar el nom del servidor associat?</t>
  </si>
  <si>
    <t>Nicht übereinstimmenden Servernamen akzeptieren?</t>
  </si>
  <si>
    <t>¿Aceptar nombre del servidor no coincidente?</t>
  </si>
  <si>
    <t>Accepter un nom de serveur qui ne correspond pas ?</t>
  </si>
  <si>
    <t>¿Aceptar un nome de servidor que non coincida?</t>
  </si>
  <si>
    <t>Elfogadja a nem megfelelő kiszolgáló nevét?</t>
  </si>
  <si>
    <t>Accetti il nome del server non corrispondente?</t>
  </si>
  <si>
    <t>Verkeerde servernaam aanvaarden?</t>
  </si>
  <si>
    <t>Czy zaakceptować niepasującą nazwę serwera?</t>
  </si>
  <si>
    <t>tt_linear</t>
  </si>
  <si>
    <t>Linear</t>
  </si>
  <si>
    <t>خطي</t>
  </si>
  <si>
    <t>Линеен</t>
  </si>
  <si>
    <t>Lineární</t>
  </si>
  <si>
    <t>Lineær</t>
  </si>
  <si>
    <t>Γραμμικό</t>
  </si>
  <si>
    <t>Lineaarinen</t>
  </si>
  <si>
    <t>Linéaire</t>
  </si>
  <si>
    <t>लाइनर</t>
  </si>
  <si>
    <t>ליניארי</t>
  </si>
  <si>
    <t>リニアー</t>
  </si>
  <si>
    <t>선형</t>
  </si>
  <si>
    <t>Liniowy</t>
  </si>
  <si>
    <t>Линейное/Линейный</t>
  </si>
  <si>
    <t>Lineárny</t>
  </si>
  <si>
    <t>Linearno</t>
  </si>
  <si>
    <t>Linearna</t>
  </si>
  <si>
    <t>Linjär</t>
  </si>
  <si>
    <t>เชิงเส้น</t>
  </si>
  <si>
    <t>Doğrusal</t>
  </si>
  <si>
    <t>Tuyến tính</t>
  </si>
  <si>
    <t>线性</t>
  </si>
  <si>
    <t>&gt;線性</t>
  </si>
  <si>
    <t>back</t>
  </si>
  <si>
    <t>zurück</t>
  </si>
  <si>
    <t>vissza</t>
  </si>
  <si>
    <t>indietro</t>
  </si>
  <si>
    <t>terug</t>
  </si>
  <si>
    <t>wstecz</t>
  </si>
  <si>
    <t>tt_aktie</t>
  </si>
  <si>
    <t>سهم</t>
  </si>
  <si>
    <t>Titolo</t>
  </si>
  <si>
    <t>Hisse Senedi</t>
  </si>
  <si>
    <t>share_your_experience_by_rating_us_on_the_play_store</t>
  </si>
  <si>
    <t>Share your experience by rating us on the Play Store</t>
  </si>
  <si>
    <t>قم بمشاركة تجربتك من خلال ترك تقييم لنا على متجر التطبيقات</t>
  </si>
  <si>
    <t>Споделете опита си, като ни оцените в Play Store</t>
  </si>
  <si>
    <t>Sdílejte své zkušenosti tím, že nás ohodnotíte na Play Store</t>
  </si>
  <si>
    <t>Del din oplevelse ved at bedømme os i Play Store</t>
  </si>
  <si>
    <t>Teilen Sie Ihre Erfahrung mit der App und bewerten uns im Play Store</t>
  </si>
  <si>
    <t>Μοιραστείτε την εμπειρία σας βαθμολογώντας μας στο Play Store</t>
  </si>
  <si>
    <t>Comparta su experiencia clasficándonos en Play Store</t>
  </si>
  <si>
    <t>Jaa kokemuksesi arvioimalla meitä Play Kaupassa</t>
  </si>
  <si>
    <t>Racontez votre expérience en nous notant dans le Play Store</t>
  </si>
  <si>
    <t>प्ले स्टोर पर हमें रेटिंग देकर अपने अनुभव को साझा करें</t>
  </si>
  <si>
    <t>Kérjük ossze meg velünk tapasztalatait azáltal, hogy étékel minket a Play Áruházban</t>
  </si>
  <si>
    <t>Bagikan pengalaman Anda dengan memberi peringkat kami di Play Store</t>
  </si>
  <si>
    <t>Condividi la tua esperienza valutandoci sul Play Store</t>
  </si>
  <si>
    <t>שתף את החוויה שלך על ידי הדירוג שלך אותנו ב-Play Store</t>
  </si>
  <si>
    <t>Play ストアで評価して体験を共有する</t>
  </si>
  <si>
    <t>플레이스토어에 저희 앱을 평가하고 당신의 경험을 공유하세요</t>
  </si>
  <si>
    <t>Tunjukkan pengalaman anda dengan memberi penilaian di Play Store</t>
  </si>
  <si>
    <t>Deel Uw ervaring door ons te beoordelen in de Play Store</t>
  </si>
  <si>
    <t>Del opplevelsen din ved å vurdere oss i Play Store</t>
  </si>
  <si>
    <t>podziel się z nami swoim doświadczeniem oceniając nas w sklepie Play</t>
  </si>
  <si>
    <t>Partilhe a sua experiência, avaliando-nos na Play Store</t>
  </si>
  <si>
    <t>Поделитесь своим опытом, оценив нас в Play Store</t>
  </si>
  <si>
    <t>Podeľte sa o svoje zážitky tak, že nás ohodnotíte v Play Store</t>
  </si>
  <si>
    <t>Delite svoje izkušnje, tako da nas ocenite v trgovini Play Store</t>
  </si>
  <si>
    <t>Podelite Vaše iskustvo sa našom aplikacijom i ocenite nas u Play Store</t>
  </si>
  <si>
    <t>Dela din upplevelse genom att betygsätta oss i Play Store</t>
  </si>
  <si>
    <t>แชร์ความรู้สึกในการใช้แอปด้วยการให้คะแนนใน Play Store</t>
  </si>
  <si>
    <t>Bizi Play Store\'da değerlendirerek deneyiminizi paylaşın</t>
  </si>
  <si>
    <t>Chia sẻ trải nghiệm của bạn bằng cách đánh giá chúng tôi trên Play Store</t>
  </si>
  <si>
    <t>与其他人分享经验， 在 Play Store 给我们打分</t>
  </si>
  <si>
    <t>account_status_unauthorized</t>
  </si>
  <si>
    <t>Unauthorized</t>
  </si>
  <si>
    <t>غير مصرح له</t>
  </si>
  <si>
    <t>Неупълномощен</t>
  </si>
  <si>
    <t>No autoritzat</t>
  </si>
  <si>
    <t>Ungültige Zugangsdaten</t>
  </si>
  <si>
    <t>No autorizado</t>
  </si>
  <si>
    <t>Non autorisé</t>
  </si>
  <si>
    <t>Non autorizado</t>
  </si>
  <si>
    <t>Nem engedélyezett</t>
  </si>
  <si>
    <t>Tidak mendapat izin</t>
  </si>
  <si>
    <t>Non autorizzato</t>
  </si>
  <si>
    <t>許可されていません</t>
  </si>
  <si>
    <t>승인되지 않음</t>
  </si>
  <si>
    <t>Niet gemachtigd</t>
  </si>
  <si>
    <t>Błąd uwierzytelnienia</t>
  </si>
  <si>
    <t>Não autorizado</t>
  </si>
  <si>
    <t>Неавторизован</t>
  </si>
  <si>
    <t>Neschválený</t>
  </si>
  <si>
    <t>Неовлашћен</t>
  </si>
  <si>
    <t>Otillåten</t>
  </si>
  <si>
    <t>Не авторизовано</t>
  </si>
  <si>
    <t>Chưa xác minh</t>
  </si>
  <si>
    <t>未授權</t>
  </si>
  <si>
    <t>openkeychain_not_installed</t>
  </si>
  <si>
    <t>Please install OpenKeychain</t>
  </si>
  <si>
    <t>قم بتثبيت OpenKeychain من فضلك</t>
  </si>
  <si>
    <t>Моля, инсталирайте OpenKeychain</t>
  </si>
  <si>
    <t>Instal·leu l\'OpenKeychain</t>
  </si>
  <si>
    <t>Bitte OpenKeychain installieren</t>
  </si>
  <si>
    <t>Por favor, instala OpenKeyChain</t>
  </si>
  <si>
    <t>Veuillez installer OpenKeychain</t>
  </si>
  <si>
    <t>Por favor instale OpenKeychain</t>
  </si>
  <si>
    <t>Kérlek telepítsd az OpenKeychain-t</t>
  </si>
  <si>
    <t>Harap install OpenKeychain</t>
  </si>
  <si>
    <t>Per favore installa OpenKeychain</t>
  </si>
  <si>
    <t>OpenKeychain をインストールしてください</t>
  </si>
  <si>
    <t>OpenKeychain을 설치하세요</t>
  </si>
  <si>
    <t>Gelieve OpenKeychain te installeren</t>
  </si>
  <si>
    <t>Proszę zainstalować OpenKeychain</t>
  </si>
  <si>
    <t>Por favor instale o OpenKeychain</t>
  </si>
  <si>
    <t>Пожалуйста, установите OpenKeychain</t>
  </si>
  <si>
    <t>Инсталирајте Отворени кључарник</t>
  </si>
  <si>
    <t>Installera OpenKeychain</t>
  </si>
  <si>
    <t>Lütfen OpenKeyChain\'i yükleyin</t>
  </si>
  <si>
    <t>Будь ласка, встановіть OpenKeychain</t>
  </si>
  <si>
    <t>Xin cài đặt OpenKeychain</t>
  </si>
  <si>
    <t>請安裝 OpenKeychain 以解密</t>
  </si>
  <si>
    <t>no_chats_empty_list</t>
  </si>
  <si>
    <t>No chats</t>
  </si>
  <si>
    <t>Keine Chats</t>
  </si>
  <si>
    <t>Sin chats</t>
  </si>
  <si>
    <t>Aucun chat</t>
  </si>
  <si>
    <t>Nincs cset</t>
  </si>
  <si>
    <t>Нет чатов</t>
  </si>
  <si>
    <t>Nema poruka</t>
  </si>
  <si>
    <t>tt_create_new_limit</t>
  </si>
  <si>
    <t>Crear un nuevo límite</t>
  </si>
  <si>
    <t>Tambah Isyarat</t>
  </si>
  <si>
    <t>Aggiungi avviso</t>
  </si>
  <si>
    <t>アラートを追加する</t>
  </si>
  <si>
    <t>Voeg notificatie toe</t>
  </si>
  <si>
    <t>Adicionar alerta</t>
  </si>
  <si>
    <t>Uyarı ekle</t>
  </si>
  <si>
    <t>download</t>
  </si>
  <si>
    <t>Download app right now!</t>
  </si>
  <si>
    <t>نزل التطبيق الآن!</t>
  </si>
  <si>
    <t>Изтегли приложението сега!</t>
  </si>
  <si>
    <t>Stáhněte si aplikaci právě teď!</t>
  </si>
  <si>
    <t>Download app lige nu!</t>
  </si>
  <si>
    <t>App jetzt downloaden!</t>
  </si>
  <si>
    <t>Κατεβάστε την εφαρμογή τώρα!</t>
  </si>
  <si>
    <t>¡Descargue la aplicación ahora mismo!</t>
  </si>
  <si>
    <t>Lataa sovellus heti!</t>
  </si>
  <si>
    <t>Téléchargez l\'appli dès maintenant !</t>
  </si>
  <si>
    <t>ऐप को अभी डाउनलोड करें!</t>
  </si>
  <si>
    <t>Töltse le az applikációt most!</t>
  </si>
  <si>
    <t>Unduh aplikasi sekarang!</t>
  </si>
  <si>
    <t>Scaricca app adesso!</t>
  </si>
  <si>
    <t>הורד את האפליקציה ברגע זה!</t>
  </si>
  <si>
    <t>今すぐアプリをダウンロード！</t>
  </si>
  <si>
    <t>지금 바로 앱을 다운로드하세요!</t>
  </si>
  <si>
    <t>Muat turun aplikasi sekarang!</t>
  </si>
  <si>
    <t>Download de app nu!</t>
  </si>
  <si>
    <t>Last ned app akkurat nå!</t>
  </si>
  <si>
    <t>Pobierz!</t>
  </si>
  <si>
    <t>Descarregue a app agora mesmo!</t>
  </si>
  <si>
    <t>Загрузите приложение прямо сейчас!</t>
  </si>
  <si>
    <t>Stiahnite si aplikáciu práve teraz!</t>
  </si>
  <si>
    <t>Prenesite aplikacijo takoj!</t>
  </si>
  <si>
    <t>Instaliraj aplikaciju odmah!</t>
  </si>
  <si>
    <t>Ladda ner appen nu!</t>
  </si>
  <si>
    <t>ดาวน์โหลดแอปตอนนี้เลย!</t>
  </si>
  <si>
    <t>Hemen uygulamayı indirin!</t>
  </si>
  <si>
    <t>Tải ứng dụng ngay!</t>
  </si>
  <si>
    <t>现在下载应用程序！</t>
  </si>
  <si>
    <t>crypto_markets</t>
  </si>
  <si>
    <t>Crypto Markets</t>
  </si>
  <si>
    <t>أسواق العملات المشفرة</t>
  </si>
  <si>
    <t>Krypto trhy</t>
  </si>
  <si>
    <t>Kryptomarkeder</t>
  </si>
  <si>
    <t>Κρυπτοαγορές</t>
  </si>
  <si>
    <t>Critpomercados</t>
  </si>
  <si>
    <t>Kryptomarkkinat</t>
  </si>
  <si>
    <t>Cryptomarchés</t>
  </si>
  <si>
    <t>क्रिप्टो बाजार</t>
  </si>
  <si>
    <t>Kriptopiac</t>
  </si>
  <si>
    <t>Pasaran Crypto</t>
  </si>
  <si>
    <t>Mercati di Criptovalute</t>
  </si>
  <si>
    <t>שוק של מטבעות מבוזרים</t>
  </si>
  <si>
    <t>クリプトマーケット</t>
  </si>
  <si>
    <t>가상화페 시장</t>
  </si>
  <si>
    <t>Crypto-markten</t>
  </si>
  <si>
    <t>Rynek Kryptowalut</t>
  </si>
  <si>
    <t>Criptomercados</t>
  </si>
  <si>
    <t>Крипто Рынки</t>
  </si>
  <si>
    <t>Trhy s kryptomenami</t>
  </si>
  <si>
    <t>Kripto trgi</t>
  </si>
  <si>
    <t>Crypto Marketi</t>
  </si>
  <si>
    <t>Kryptomarknader</t>
  </si>
  <si>
    <t>ตลาดหุ้นเงินคริปโต</t>
  </si>
  <si>
    <t>Kripto Piyasalar</t>
  </si>
  <si>
    <t>Thị trường tiền mã hóa</t>
  </si>
  <si>
    <t>密码货币市场</t>
  </si>
  <si>
    <t>watchlist_popup_body</t>
  </si>
  <si>
    <t>The stocks you follow are listed here. Tap on any stock to learn more.</t>
  </si>
  <si>
    <t>يتم إدراج الأسهم التي تتبعها هنا. اضغط على أي سهم لمعرفة المزيد.</t>
  </si>
  <si>
    <t>Акциите, които следвате, са изброени тук. Докоснете всяка акция, за да научите повече.</t>
  </si>
  <si>
    <t>Tady jsou uvedeny akcie, které sledujete. Klepnutím na libovolnou akci se dozvíte více.</t>
  </si>
  <si>
    <t>De aktier, du følger, vises her. Tryk på en vilkårlig aktie for at lære mere.</t>
  </si>
  <si>
    <t>Die Aktien die Sie verfolgen sind hier aufgelistet. Berühren Sie eine Aktie oder einen Analysten um mehr zu erfahren.</t>
  </si>
  <si>
    <t>Οι μετοχές που ακολουθείτε παρατίθενται εδώ. Πατήστε σε οποιαδήποτε μετοχή για να μάθετε περισσότερα.</t>
  </si>
  <si>
    <t>Las acciones que usted sigue están aquí. Seleccione cualquiera para obtener más información.</t>
  </si>
  <si>
    <t>Seuraamasi osakkeet on lueteltu tässä. Napauta mitä tahansa osaketta saadaksesi lisätietoa.</t>
  </si>
  <si>
    <t>Les actions que vous suivez sont listées ici. Tapez sur une action pour en savoir plus.</t>
  </si>
  <si>
    <t>आपके द्वारा फॉलो किए जा रहे स्टॉक यहां सूचीबद्ध हैं। अधिक जानने के लिए किसी भी स्टॉक पर टैप करें।</t>
  </si>
  <si>
    <t>A kiválasztott részvénye itt listázva van. Koppintson több információért bármelyik részvényre vagy elemzésre.</t>
  </si>
  <si>
    <t>Saham yang Anda ikuti tercantum di sini. Ketuk setiap stok untuk mempelajari lebih lanjut .</t>
  </si>
  <si>
    <t>I simboli che tu segui sono qui. Tocca qualsiasi per vedere di più.</t>
  </si>
  <si>
    <t>המניות שאתה עוקב אחריהן מופיעות כאן. לחץ על כל מניה למידע נוסף.</t>
  </si>
  <si>
    <t>あなたがフォローしている株式ここに記載されています。タップすると詳細を表示します。</t>
  </si>
  <si>
    <t>여기에 팔로우한 주식이 표시됩니다. 더 알아보려면 아무 주식이나 터치하세요.</t>
  </si>
  <si>
    <t>Saham yang anda ikuti disenaraikan di sini. Ketik pada mana-mana stok untuk ketahui lebih lanjut.</t>
  </si>
  <si>
    <t>De aandelen die u volgt, worden hier vermeld. Tik op een aandeel voor meer informatie.</t>
  </si>
  <si>
    <t>Aksjene du følger vises her. Trykk på vilkårlig aksje for å finne ut mer.</t>
  </si>
  <si>
    <t>Spółki obserwowane znajdują się tutaj. Naciśnij na dowolną akcję bądź analityka po więcej informacji.</t>
  </si>
  <si>
    <t>As ações que segue aqui. Toque em qualquer ação para saber mais.</t>
  </si>
  <si>
    <t>Акции, за которыми Вы следите, перечислены здесь. Нажмите на любую акцию или аналитику для дополнительной информации.</t>
  </si>
  <si>
    <t>Akcie, ktoré sledujete, sú uvedené tu. Ak ťuknete na ľubovoľnú akciu, dozviete sa viac.</t>
  </si>
  <si>
    <t>Zaloge, ki jim sledite, so navedene tukaj. Dotaknite se katere koli zaloge, če želite izvedeti več.</t>
  </si>
  <si>
    <t>Akcije koje pratiš su izlistane ovde. Klikni na akciju za još podataka.</t>
  </si>
  <si>
    <t>De aktier du följer listas här. Klicka på valfri aktie för att läsa mer.</t>
  </si>
  <si>
    <t>รายการหุ้นที่คุณติดตามอยู่ที่นี่ แตะที่หุ้นเพื่อดูข้อมูลเพิ่ม</t>
  </si>
  <si>
    <t>Takip ettiğiniz hisse senetleri burada listelenir. Daha fazla bilgi edinmek için herhangi bir hisse senedine dokunun.</t>
  </si>
  <si>
    <t>Các cổ phiếu bạn theo dõi được liệt kê ở đây. Chạm vào bất kỳ cổ phiếu nào để tìm hiểu thêm.</t>
  </si>
  <si>
    <t>你关注的股票就在这里。点触任何的股票为了学到更多。</t>
  </si>
  <si>
    <t>tt_success</t>
  </si>
  <si>
    <t>سوق الأسهم</t>
  </si>
  <si>
    <t>TeleTrader</t>
  </si>
  <si>
    <t>Marchés boursiers</t>
  </si>
  <si>
    <t>Pasar Saham</t>
  </si>
  <si>
    <t>Mercati Azionari</t>
  </si>
  <si>
    <t>주식시장</t>
  </si>
  <si>
    <t>Pasaran Saham</t>
  </si>
  <si>
    <t>Aandelenmarkt</t>
  </si>
  <si>
    <t>Hisse Senedi Piyasaları</t>
  </si>
  <si>
    <t>股票市场</t>
  </si>
  <si>
    <t>&gt;股票市場</t>
  </si>
  <si>
    <t>pref_validate_hostname</t>
  </si>
  <si>
    <t>Validate hostname with DNSSEC</t>
  </si>
  <si>
    <t>التحقق من صحة إسم المضيف بواسطة DNSSEC</t>
  </si>
  <si>
    <t>Проверка на името на сървъра чрез DNSSEC</t>
  </si>
  <si>
    <t>Valideu el nom del servidor amb DNSSEC</t>
  </si>
  <si>
    <t>Überprüfe den Hostnamen mit DNSSEC</t>
  </si>
  <si>
    <t>Validar hostname con DNSSEC</t>
  </si>
  <si>
    <t>Valider le nom de domaine avec DNSSEC</t>
  </si>
  <si>
    <t>Validar servidor con DNSSEC</t>
  </si>
  <si>
    <t>Gazdanév validálása DNSSEC-el</t>
  </si>
  <si>
    <t>Convalida hostname con DNSSEC</t>
  </si>
  <si>
    <t>DNSSEC でホスト名を検証</t>
  </si>
  <si>
    <t>Valideer hostnaam met DNSSEC</t>
  </si>
  <si>
    <t>Potwierdź nazwę hosta za pomocą DNSSEC</t>
  </si>
  <si>
    <t>Проверить имя сервера с помощью DNSSEC</t>
  </si>
  <si>
    <t>Перевіряти адресу з допомогою DNSSEC</t>
  </si>
  <si>
    <t>scroll_list_popup_text</t>
  </si>
  <si>
    <t>Scroll to see more events.</t>
  </si>
  <si>
    <t>انتقل لمشاهدة المزيد من الأحداث.</t>
  </si>
  <si>
    <t>Превъртете, за да видите още събития.</t>
  </si>
  <si>
    <t>Posunutím zobrazíte další události.</t>
  </si>
  <si>
    <t>Rul for at se flere begivenheder.</t>
  </si>
  <si>
    <t>Scrollen um mehr Events zu sehen.</t>
  </si>
  <si>
    <t>Κάντε κύλιση για να δείτε περισσότερα συμβάντα.</t>
  </si>
  <si>
    <t>Deslice para ver más eventos.</t>
  </si>
  <si>
    <t>Selaa nähdäksesi lisää tapahtumia.</t>
  </si>
  <si>
    <t>Faites défiler pour voir plus d\'événements</t>
  </si>
  <si>
    <t>अधिक घटनाएँ देखने के लिए स्क्रॉल करें।</t>
  </si>
  <si>
    <t>Görgessen további eseményekért.</t>
  </si>
  <si>
    <t>Gulir untuk melihat lebih banyak acara.</t>
  </si>
  <si>
    <t>Far scorrere qui per trovare altri eventi.</t>
  </si>
  <si>
    <t>גלול כדי לראות אירועים נוספים.</t>
  </si>
  <si>
    <t>スクロールさらにイベントを表示</t>
  </si>
  <si>
    <t>더 많은 사건을 확인하려면 스크롤을 내리세요.</t>
  </si>
  <si>
    <t>Tatal untuk melihat lebih banyak acara.</t>
  </si>
  <si>
    <t>Scroll om meer evenementen te zien.</t>
  </si>
  <si>
    <t>Bla for å se flere hendelser.</t>
  </si>
  <si>
    <t>Przesuń w dół aby zobaczyć więcej wydarzeń.</t>
  </si>
  <si>
    <t>Rolar para ver mais eventos.</t>
  </si>
  <si>
    <t>Пролистайте, чтобы посмотреть больше событий.</t>
  </si>
  <si>
    <t>Prejdite na ďalšie udalosti.</t>
  </si>
  <si>
    <t>Pomaknite se, če si želite ogledati več dogodkov.</t>
  </si>
  <si>
    <t>Povucite da vidite još događaja.</t>
  </si>
  <si>
    <t>Rulla för att se fler händelser.</t>
  </si>
  <si>
    <t>เลื่อนเพื่อดูกิจกรรมเพิ่มเติม</t>
  </si>
  <si>
    <t>Daha fazla etkinlik görmek için kaydrırın..</t>
  </si>
  <si>
    <t>Cuộn để xem nhiều sự kiện hơn.</t>
  </si>
  <si>
    <t>滚动为了看更多的事件。</t>
  </si>
  <si>
    <t>tt_no</t>
  </si>
  <si>
    <t>لا</t>
  </si>
  <si>
    <t>Ne</t>
  </si>
  <si>
    <t>Nej</t>
  </si>
  <si>
    <t>Οχι</t>
  </si>
  <si>
    <t>Ei</t>
  </si>
  <si>
    <t>जी नहीं</t>
  </si>
  <si>
    <t>Tidak</t>
  </si>
  <si>
    <t>לא</t>
  </si>
  <si>
    <t>아니요</t>
  </si>
  <si>
    <t>Nei</t>
  </si>
  <si>
    <t>Não</t>
  </si>
  <si>
    <t>Nr</t>
  </si>
  <si>
    <t>ไม่</t>
  </si>
  <si>
    <t>Hayır</t>
  </si>
  <si>
    <t>Không</t>
  </si>
  <si>
    <t>没有</t>
  </si>
  <si>
    <t>tt_edgar_cash_flow_from_operating_activities</t>
  </si>
  <si>
    <t>CF from Operating Act.</t>
  </si>
  <si>
    <t>التدفق النقدي من الأنشطة التشغيلية</t>
  </si>
  <si>
    <t>CF от действащ акт.</t>
  </si>
  <si>
    <t>CF z provozního zákona.</t>
  </si>
  <si>
    <t>CF fra driftsloven.</t>
  </si>
  <si>
    <t>Cash Flow aus laufender Geschäftstätigkeit</t>
  </si>
  <si>
    <t>CF από το Operating Act.</t>
  </si>
  <si>
    <t>CF de la act. operativa</t>
  </si>
  <si>
    <t>Varsinaisen toiminnan kassavirta</t>
  </si>
  <si>
    <t>Flux de trésorerie générés par l\'exploitation</t>
  </si>
  <si>
    <t>ऑपरेटिंग एक्ट से सी.एफ.</t>
  </si>
  <si>
    <t>CF dari Undang-undang Operasi.</t>
  </si>
  <si>
    <t>Totale flussi di cassa da attività operative</t>
  </si>
  <si>
    <t>תזירם מזומנים מביצוע פעולות</t>
  </si>
  <si>
    <t>営業活動からのキャッシュフロー</t>
  </si>
  <si>
    <t>영업활동으로 인한 현금흐름</t>
  </si>
  <si>
    <t>CF dari Akta Operasi.</t>
  </si>
  <si>
    <t>CF vanuit Operationele Act.</t>
  </si>
  <si>
    <t>Przepływy pieniężne z działalności operacyjnej</t>
  </si>
  <si>
    <t>CF do ato de funcionamento.</t>
  </si>
  <si>
    <t>ДП от операционной деят.</t>
  </si>
  <si>
    <t>Peňažné toky zo zákona o prevádzke.</t>
  </si>
  <si>
    <t>CF iz zakona o poslovanju.</t>
  </si>
  <si>
    <t>Tok gotovine iz operat.akt.</t>
  </si>
  <si>
    <t>CF från Operating Act.</t>
  </si>
  <si>
    <t>กระแสเงินสดจากกิจกรรมดำเนินงาน</t>
  </si>
  <si>
    <t>İşletme faaliyetlerinden nakit akışı</t>
  </si>
  <si>
    <t>Dòng tiền từ hoạt động kinh doanh</t>
  </si>
  <si>
    <t>经营活动的现金流</t>
  </si>
  <si>
    <t>tt_pf_portfolio</t>
  </si>
  <si>
    <t>المحفظة</t>
  </si>
  <si>
    <t>Портфолио</t>
  </si>
  <si>
    <t>Portefølje</t>
  </si>
  <si>
    <t>Depot</t>
  </si>
  <si>
    <t>Χαρτοφυλάκιο</t>
  </si>
  <si>
    <t>Cartera</t>
  </si>
  <si>
    <t>Salkku</t>
  </si>
  <si>
    <t>Portfólió</t>
  </si>
  <si>
    <t>Portafoglio</t>
  </si>
  <si>
    <t>תיק השקעות</t>
  </si>
  <si>
    <t>Portfel</t>
  </si>
  <si>
    <t>Портфель</t>
  </si>
  <si>
    <t>Portfólio</t>
  </si>
  <si>
    <t>Portfelj</t>
  </si>
  <si>
    <t>Portfolijo</t>
  </si>
  <si>
    <t>Portfölj</t>
  </si>
  <si>
    <t>Portföy</t>
  </si>
  <si>
    <t>Đầu tư ảo</t>
  </si>
  <si>
    <t>&gt;投資組合</t>
  </si>
  <si>
    <t>shared_image_with_x</t>
  </si>
  <si>
    <t>Shared image with %s</t>
  </si>
  <si>
    <t>Изображението е споделено с %s</t>
  </si>
  <si>
    <t>Imatge compartida amb %s</t>
  </si>
  <si>
    <t>Bild mit %s geteilt</t>
  </si>
  <si>
    <t>Imagen compartida con %s</t>
  </si>
  <si>
    <t>Imaxe compartida con %s</t>
  </si>
  <si>
    <t>%s partnerrel képet osztott meg</t>
  </si>
  <si>
    <t>Immagine condivisa con %s</t>
  </si>
  <si>
    <t>이미지를 %s와 공유함</t>
  </si>
  <si>
    <t>Afbeelding gedeeld met %s</t>
  </si>
  <si>
    <t>Dzielenie obrazu z %s</t>
  </si>
  <si>
    <t>Imagem partilhada com %s</t>
  </si>
  <si>
    <t>Изображение отправлено %s</t>
  </si>
  <si>
    <t>Подељена слика са %s</t>
  </si>
  <si>
    <t>Delade bild med %s</t>
  </si>
  <si>
    <t>Поділився зображенням з %s</t>
  </si>
  <si>
    <t>Chia sẻ hình với %s</t>
  </si>
  <si>
    <t>用 %s 分享圖片</t>
  </si>
  <si>
    <t>tt_commodities_metals</t>
  </si>
  <si>
    <t>madenler</t>
  </si>
  <si>
    <t>tt_pf_hide_details</t>
  </si>
  <si>
    <t>Hide Details</t>
  </si>
  <si>
    <t>إخفاء التفاصيل</t>
  </si>
  <si>
    <t>Скрий детайли</t>
  </si>
  <si>
    <t>Skrýt podrobnosti</t>
  </si>
  <si>
    <t>Skjul detaljer</t>
  </si>
  <si>
    <t>Details ausblenden</t>
  </si>
  <si>
    <t>Απόκρυψη λεπτομερειών</t>
  </si>
  <si>
    <t>Ocultar detalles</t>
  </si>
  <si>
    <t>Piilota yksityiskohdat</t>
  </si>
  <si>
    <t>Masquer les détails</t>
  </si>
  <si>
    <t>जानकारी को छिपाएँ</t>
  </si>
  <si>
    <t>Részletek elrejtése</t>
  </si>
  <si>
    <t>Sembunyikan Detail</t>
  </si>
  <si>
    <t>Nascondi i dettagli</t>
  </si>
  <si>
    <t>הסתר פרטים</t>
  </si>
  <si>
    <t>詳細の非表示</t>
  </si>
  <si>
    <t>세부사항 숨기기</t>
  </si>
  <si>
    <t>Sembunyikan Butiran</t>
  </si>
  <si>
    <t>Verberg details</t>
  </si>
  <si>
    <t>Ukryj szczegóły</t>
  </si>
  <si>
    <t>Ocultar detalhes</t>
  </si>
  <si>
    <t>Скрыть детали</t>
  </si>
  <si>
    <t>Skryť detaily</t>
  </si>
  <si>
    <t>Skrij podrobnosti</t>
  </si>
  <si>
    <t>Sakrijte detalje</t>
  </si>
  <si>
    <t>Dölj detaljer</t>
  </si>
  <si>
    <t>ซ่อนรายละเอียด</t>
  </si>
  <si>
    <t>Detayları Gizle</t>
  </si>
  <si>
    <t>Ẩn chi tiết</t>
  </si>
  <si>
    <t>隐藏详情</t>
  </si>
  <si>
    <t>&gt;隱藏詳情</t>
  </si>
  <si>
    <t>action_copy_location</t>
  </si>
  <si>
    <t>Copy Location</t>
  </si>
  <si>
    <t>Копиране на местоположението</t>
  </si>
  <si>
    <t>Copiar ubicació</t>
  </si>
  <si>
    <t>Standort kopieren</t>
  </si>
  <si>
    <t>Copiar ubicación</t>
  </si>
  <si>
    <t>Copier la position</t>
  </si>
  <si>
    <t>Copiar Localización</t>
  </si>
  <si>
    <t>Hely Másolása</t>
  </si>
  <si>
    <t>Copia la posizione</t>
  </si>
  <si>
    <t>場所をコピー</t>
  </si>
  <si>
    <t>Locatie kopiëren</t>
  </si>
  <si>
    <t>Skopiuj lokalizację</t>
  </si>
  <si>
    <t>Копировать местоположение</t>
  </si>
  <si>
    <t>Копирај локацију</t>
  </si>
  <si>
    <t>rwanda</t>
  </si>
  <si>
    <t>Rwanda</t>
  </si>
  <si>
    <t>Ruanda</t>
  </si>
  <si>
    <t>Руанда</t>
  </si>
  <si>
    <t>sierra_leone</t>
  </si>
  <si>
    <t>Sierra Leone</t>
  </si>
  <si>
    <t>Sierra Leona</t>
  </si>
  <si>
    <t>Сьерра-Леоне</t>
  </si>
  <si>
    <t>Siera Leone</t>
  </si>
  <si>
    <t>tt_nominal_value</t>
  </si>
  <si>
    <t>Nominal value</t>
  </si>
  <si>
    <t>قيمة رمزية</t>
  </si>
  <si>
    <t>Номинална стойност</t>
  </si>
  <si>
    <t>Nominální hodnota</t>
  </si>
  <si>
    <t>Nominel værdi</t>
  </si>
  <si>
    <t>Nominalwert</t>
  </si>
  <si>
    <t>Ονομαστική αξία</t>
  </si>
  <si>
    <t>Valor nominal</t>
  </si>
  <si>
    <t>Nimellisarvo</t>
  </si>
  <si>
    <t>Valeur nominale</t>
  </si>
  <si>
    <t>सांकेतिक मूल्य</t>
  </si>
  <si>
    <t>Nominális érték</t>
  </si>
  <si>
    <t>Nilai nominal</t>
  </si>
  <si>
    <t>Valore nominale</t>
  </si>
  <si>
    <t>ערך נומינלי</t>
  </si>
  <si>
    <t>額面価額</t>
  </si>
  <si>
    <t>명목가치</t>
  </si>
  <si>
    <t>Nominale waarde</t>
  </si>
  <si>
    <t>Nominell verdi</t>
  </si>
  <si>
    <t>Wartość nominalna</t>
  </si>
  <si>
    <t>Номинальная стоимость</t>
  </si>
  <si>
    <t>Nominálna hodnota</t>
  </si>
  <si>
    <t>Nominalna vrednost</t>
  </si>
  <si>
    <t>Nominellt värde</t>
  </si>
  <si>
    <t>มูลค่าที่กำหนดไว้</t>
  </si>
  <si>
    <t>Nominal değer</t>
  </si>
  <si>
    <t>Giá trị danh nghĩa</t>
  </si>
  <si>
    <t>面值</t>
  </si>
  <si>
    <t>tt_analysis_sell</t>
  </si>
  <si>
    <t>Vendere</t>
  </si>
  <si>
    <t>trending_show_all</t>
  </si>
  <si>
    <t>SHOW ALL</t>
  </si>
  <si>
    <t>عرض الكل</t>
  </si>
  <si>
    <t>ПОКАЖИ ВСИЧКО</t>
  </si>
  <si>
    <t>ZOBRAZIT VŠE</t>
  </si>
  <si>
    <t>VIS ALT</t>
  </si>
  <si>
    <t>Alles anzeigen</t>
  </si>
  <si>
    <t>ΠΡΟΒΟΛΗ ΟΛΩΝ</t>
  </si>
  <si>
    <t>Mostrar todo</t>
  </si>
  <si>
    <t>NÄYTÄ KAIKKI</t>
  </si>
  <si>
    <t>TOUT AFFICHER</t>
  </si>
  <si>
    <t>सभी को प्रदर्शित करें</t>
  </si>
  <si>
    <t>Mutasson mindent</t>
  </si>
  <si>
    <t>TAMPILKAN SEMUA</t>
  </si>
  <si>
    <t>MOSTRA TUTTO</t>
  </si>
  <si>
    <t>הצג הכל</t>
  </si>
  <si>
    <t>すべて表示</t>
  </si>
  <si>
    <t>모두 보기</t>
  </si>
  <si>
    <t>TUNJUKKAN KESEMUANYA</t>
  </si>
  <si>
    <t>Alles weergeven</t>
  </si>
  <si>
    <t>Pokaż wszystko</t>
  </si>
  <si>
    <t>MOSTRAR TODAS</t>
  </si>
  <si>
    <t>ПОКАЗАТЬ ВСЕ</t>
  </si>
  <si>
    <t>UKÁZAŤ VŠETKO</t>
  </si>
  <si>
    <t>POKAŽI VSE</t>
  </si>
  <si>
    <t>PRIKAŽI SVE</t>
  </si>
  <si>
    <t>VISA ALLT</t>
  </si>
  <si>
    <t>แสดงทั้งหมด</t>
  </si>
  <si>
    <t>TÜMÜNÜ GÖSTER</t>
  </si>
  <si>
    <t>HIỆN TẤT CẢ</t>
  </si>
  <si>
    <t>显示所有的</t>
  </si>
  <si>
    <t>topics</t>
  </si>
  <si>
    <t>Topics</t>
  </si>
  <si>
    <t>مواضيع</t>
  </si>
  <si>
    <t>Теми</t>
  </si>
  <si>
    <t>Motivy</t>
  </si>
  <si>
    <t>Emner</t>
  </si>
  <si>
    <t>Themen</t>
  </si>
  <si>
    <t>Θέματα</t>
  </si>
  <si>
    <t>Temas</t>
  </si>
  <si>
    <t>Aiheet</t>
  </si>
  <si>
    <t>Rubriques</t>
  </si>
  <si>
    <t>विषय</t>
  </si>
  <si>
    <t>Topikok</t>
  </si>
  <si>
    <t>Topik</t>
  </si>
  <si>
    <t>Temi</t>
  </si>
  <si>
    <t>נושאים</t>
  </si>
  <si>
    <t>トピックス</t>
  </si>
  <si>
    <t>주제</t>
  </si>
  <si>
    <t>Onderwerpen</t>
  </si>
  <si>
    <t>tematy</t>
  </si>
  <si>
    <t>Tópicos</t>
  </si>
  <si>
    <t>Темы</t>
  </si>
  <si>
    <t>Témy</t>
  </si>
  <si>
    <t>Teme</t>
  </si>
  <si>
    <t>Ämnen</t>
  </si>
  <si>
    <t>หัวข้อ</t>
  </si>
  <si>
    <t>Konular</t>
  </si>
  <si>
    <t>Chủ đề</t>
  </si>
  <si>
    <t>论题</t>
  </si>
  <si>
    <t>encryption_choice_pgp</t>
  </si>
  <si>
    <t>OpenPGP</t>
  </si>
  <si>
    <t>ОпенПГП</t>
  </si>
  <si>
    <t>conference_creation_failed</t>
  </si>
  <si>
    <t>Group chat creation failed!</t>
  </si>
  <si>
    <t>فشلت عملية إنشاء مجموعة المحادثة !</t>
  </si>
  <si>
    <t>Неуспешно създаване на групов разговор!</t>
  </si>
  <si>
    <t>No s\'ha pogut crear el xat de grup</t>
  </si>
  <si>
    <t>Erstellen des Gruppenchats fehlgeschlagen!</t>
  </si>
  <si>
    <t>¡La creación de la conversación en grupo ha fallado!</t>
  </si>
  <si>
    <t>La création d\'un groupe de discussion a échoué!</t>
  </si>
  <si>
    <t>Fallou a creación da conversa en grupo</t>
  </si>
  <si>
    <t>Konferencia létrehozás meghiúsult!</t>
  </si>
  <si>
    <t>Creazione della chat di gruppo fallita!</t>
  </si>
  <si>
    <t>談話室の作成に失敗しました。</t>
  </si>
  <si>
    <t>Aanmaken van groepsgesprek mislukt!</t>
  </si>
  <si>
    <t>Błąd utworzenia konferencji</t>
  </si>
  <si>
    <t>Criação de conversa em grupo falhou!</t>
  </si>
  <si>
    <t>Не удалось создать конференцию!</t>
  </si>
  <si>
    <t>Прављење групног ћаскања није успело!</t>
  </si>
  <si>
    <t>notify_paused</t>
  </si>
  <si>
    <t>Notifications paused</t>
  </si>
  <si>
    <t>الإشعارات موقفة</t>
  </si>
  <si>
    <t>Известията са спрени временно</t>
  </si>
  <si>
    <t>S\'han pausat les notificacions</t>
  </si>
  <si>
    <t>Benachrichtigungen pausiert</t>
  </si>
  <si>
    <t>Notificaciones pausadas</t>
  </si>
  <si>
    <t>Notifications en pause</t>
  </si>
  <si>
    <t>Notificacións pausadas</t>
  </si>
  <si>
    <t>Értesítések szüneteltetve</t>
  </si>
  <si>
    <t>Notifiche in pausa</t>
  </si>
  <si>
    <t>通知は一時停止</t>
  </si>
  <si>
    <t>알림 일시중지됨</t>
  </si>
  <si>
    <t>Meldingen gepauzeerd</t>
  </si>
  <si>
    <t>Powiadomienia wstrzymane</t>
  </si>
  <si>
    <t>Notificações interrompidas</t>
  </si>
  <si>
    <t>Уведомления приостановлены</t>
  </si>
  <si>
    <t>Обавештења паузирана</t>
  </si>
  <si>
    <t>Notifieringar pausade</t>
  </si>
  <si>
    <t>Сповіщення призупинено</t>
  </si>
  <si>
    <t>Đã dừng thông báo</t>
  </si>
  <si>
    <t>暫停通知</t>
  </si>
  <si>
    <t>sharing_files_please_wait</t>
  </si>
  <si>
    <t>Sharing files. Please wait…</t>
  </si>
  <si>
    <t>جاري إرسال الملفات. الرجاء الإنتظار ...</t>
  </si>
  <si>
    <t>Споделяне на файлове. Моля, изчакайте…</t>
  </si>
  <si>
    <t>S\'estan compartint els fitxers. Espereu...</t>
  </si>
  <si>
    <t>Teile Dateien. Bitte warten…</t>
  </si>
  <si>
    <t>Compartiendo ficheros. Por favor, espera...</t>
  </si>
  <si>
    <t>Partage des fichiers. Veuillez patienter...</t>
  </si>
  <si>
    <t>Compartindo ficheiros. Por favor agarde...</t>
  </si>
  <si>
    <t>Fájlok megosztása. Kérlek várj...</t>
  </si>
  <si>
    <t>Membagikan berkas. Mohon tunggu…</t>
  </si>
  <si>
    <t>Condivisione file. Attendere prego...</t>
  </si>
  <si>
    <t>フィルを共有しています。しばらくお待ちください…</t>
  </si>
  <si>
    <t>파일을 공유중입니다. 기다리세요...</t>
  </si>
  <si>
    <t>Bestanden delen. Even geduld…</t>
  </si>
  <si>
    <t>Udostępnianie plików. Proszę czekać...</t>
  </si>
  <si>
    <t>Partilhando os ficheiros. Por favor aguarde...</t>
  </si>
  <si>
    <t>Обмен файлами. Пожалуйста, подождите…</t>
  </si>
  <si>
    <t>Делим фајлове, сачекајте…</t>
  </si>
  <si>
    <t>Delar filer. Vänta...</t>
  </si>
  <si>
    <t>Поширюю файли. Зачекайте, будь ласка…</t>
  </si>
  <si>
    <t>Đang chia sẻ các tập tin. Xin chờ...</t>
  </si>
  <si>
    <t>正在分享檔案中，請稍候…</t>
  </si>
  <si>
    <t>permission_failed</t>
  </si>
  <si>
    <t>To use this feature please restart Storage permissions manually!</t>
  </si>
  <si>
    <t>Um dieses Feature zu verwenden, erteilen Sie bitte die Berechtigung für den Speicherzugriff manuell!</t>
  </si>
  <si>
    <t>¡Para usar esta función por favor reactiva el permiso de guardado manualmente!</t>
  </si>
  <si>
    <t>Pour utiliser cette fonctionnalité, redémarrer manuellement les autorisations de stockage!</t>
  </si>
  <si>
    <t>A funkció használatának érdekében a Tárhely engedélyezést indítsa újra!</t>
  </si>
  <si>
    <t>Для использования этой функции, пожалуйста, измените разрешение доступа к хранилищу вручную!</t>
  </si>
  <si>
    <t>Da bi ste koristili ovu opciju molimo vas omogućite pristup folderima ručno!</t>
  </si>
  <si>
    <t>send_corrected_message</t>
  </si>
  <si>
    <t>Send corrected message</t>
  </si>
  <si>
    <t>إبعث الرسالةَ مُصححة</t>
  </si>
  <si>
    <t>Изпращане на поправеното съобщение</t>
  </si>
  <si>
    <t>Envia el missatge corregit</t>
  </si>
  <si>
    <t>Korrigierte Nachricht senden</t>
  </si>
  <si>
    <t>Enviar mensaje corregido</t>
  </si>
  <si>
    <t>Envoyer le message corrigé</t>
  </si>
  <si>
    <t>Enviar mensaxe correxida</t>
  </si>
  <si>
    <t>Kijavított üzenet küldése</t>
  </si>
  <si>
    <t>Kirim perbaikan pesan</t>
  </si>
  <si>
    <t>Invia messaggio corretto</t>
  </si>
  <si>
    <t>修正したメッセージを送信</t>
  </si>
  <si>
    <t>정정한 메세지 전송</t>
  </si>
  <si>
    <t>Gecorrigeerd bericht versturen</t>
  </si>
  <si>
    <t>Wyślij poprawioną wiadomość</t>
  </si>
  <si>
    <t>Enviar mensagem corrigida</t>
  </si>
  <si>
    <t>Отправить исправленное сообщение</t>
  </si>
  <si>
    <t>Пошаљи исправљену поруку</t>
  </si>
  <si>
    <t>Skicka korrigerat meddelande</t>
  </si>
  <si>
    <t>Відправити виправлене повідомлення</t>
  </si>
  <si>
    <t>發送更正後的訊息</t>
  </si>
  <si>
    <t>type_web</t>
  </si>
  <si>
    <t>Web browser</t>
  </si>
  <si>
    <t>متصفح الواب</t>
  </si>
  <si>
    <t>Браузър</t>
  </si>
  <si>
    <t>Navegador web</t>
  </si>
  <si>
    <t>Webbrowser</t>
  </si>
  <si>
    <t>Navegador</t>
  </si>
  <si>
    <t>Navigateur Internet</t>
  </si>
  <si>
    <t>Böngésző</t>
  </si>
  <si>
    <t>Browser web</t>
  </si>
  <si>
    <t>Web ブラウザー</t>
  </si>
  <si>
    <t>웹 브라우저</t>
  </si>
  <si>
    <t>Przeglądarka</t>
  </si>
  <si>
    <t>Веб браузер</t>
  </si>
  <si>
    <t>Веб прегледач</t>
  </si>
  <si>
    <t>Webbläsare</t>
  </si>
  <si>
    <t>Браузер</t>
  </si>
  <si>
    <t>流覽器</t>
  </si>
  <si>
    <t>set</t>
  </si>
  <si>
    <t>Задаване</t>
  </si>
  <si>
    <t>Aplica</t>
  </si>
  <si>
    <t>Einstellen</t>
  </si>
  <si>
    <t>Establecer</t>
  </si>
  <si>
    <t>Établir</t>
  </si>
  <si>
    <t>Beállít</t>
  </si>
  <si>
    <t>Atur</t>
  </si>
  <si>
    <t>Instellen</t>
  </si>
  <si>
    <t>Установить</t>
  </si>
  <si>
    <t>Постави</t>
  </si>
  <si>
    <t>Sätt</t>
  </si>
  <si>
    <t>Đặt</t>
  </si>
  <si>
    <t>tt_hotstocks</t>
  </si>
  <si>
    <t>Hot Stocks</t>
  </si>
  <si>
    <t>الأسهم الساخنة</t>
  </si>
  <si>
    <t>Горещи акции</t>
  </si>
  <si>
    <t>Žhavé akcie</t>
  </si>
  <si>
    <t>Hotte Aktier</t>
  </si>
  <si>
    <t>Καυτές μετοχές</t>
  </si>
  <si>
    <t>Kuumat osakkeet</t>
  </si>
  <si>
    <t>Hot stocks</t>
  </si>
  <si>
    <t>लोकप्रिय स्टॉक्स</t>
  </si>
  <si>
    <t>Saham Laris</t>
  </si>
  <si>
    <t>Titoli Hot</t>
  </si>
  <si>
    <t>מניות חמות</t>
  </si>
  <si>
    <t>활황주</t>
  </si>
  <si>
    <t>Populaire aandelen</t>
  </si>
  <si>
    <t>Hete aksjer</t>
  </si>
  <si>
    <t>Горячие акции</t>
  </si>
  <si>
    <t>Horúce akcie</t>
  </si>
  <si>
    <t>Vroče zaloge</t>
  </si>
  <si>
    <t>Akcije u fokusu</t>
  </si>
  <si>
    <t>Heta aktier</t>
  </si>
  <si>
    <t>Popüler Stoklar</t>
  </si>
  <si>
    <t>Cổ phiếu nóng</t>
  </si>
  <si>
    <t>热门股票</t>
  </si>
  <si>
    <t>&gt;熱門股票</t>
  </si>
  <si>
    <t>tt_high</t>
  </si>
  <si>
    <t>High</t>
  </si>
  <si>
    <t>Високи</t>
  </si>
  <si>
    <t>Vysoký</t>
  </si>
  <si>
    <t>Høj</t>
  </si>
  <si>
    <t>Hoch</t>
  </si>
  <si>
    <t>Υψηλό</t>
  </si>
  <si>
    <t>Alto</t>
  </si>
  <si>
    <t>Korkea</t>
  </si>
  <si>
    <t>Haut</t>
  </si>
  <si>
    <t>उच्च</t>
  </si>
  <si>
    <t>Tinggi</t>
  </si>
  <si>
    <t>גבוה</t>
  </si>
  <si>
    <t>高値</t>
  </si>
  <si>
    <t>높음</t>
  </si>
  <si>
    <t>Hoog</t>
  </si>
  <si>
    <t>Høy</t>
  </si>
  <si>
    <t>Máx</t>
  </si>
  <si>
    <t>Visok</t>
  </si>
  <si>
    <t>Hög</t>
  </si>
  <si>
    <t>Yüksek</t>
  </si>
  <si>
    <t>高的</t>
  </si>
  <si>
    <t>&gt;高的</t>
  </si>
  <si>
    <t>login_phone_changed</t>
  </si>
  <si>
    <t>Phone changed.</t>
  </si>
  <si>
    <t>تم تغيير الهاتف</t>
  </si>
  <si>
    <t>Телефонът е променен.</t>
  </si>
  <si>
    <t>Telefon se změnil.</t>
  </si>
  <si>
    <t>Telefon ændret.</t>
  </si>
  <si>
    <t>Το τηλέφωνο άλλαξε.</t>
  </si>
  <si>
    <t>El número de telefono fue modificado.</t>
  </si>
  <si>
    <t>Puhelin vaihtunut.</t>
  </si>
  <si>
    <t>Changement de téléphone.</t>
  </si>
  <si>
    <t>फोन बदल दिया गया है।</t>
  </si>
  <si>
    <t>Telefon módosítva.</t>
  </si>
  <si>
    <t>Nomor telepon berubah.</t>
  </si>
  <si>
    <t>Il telefono è stato cambiato.</t>
  </si>
  <si>
    <t>הטלפון השתנה.</t>
  </si>
  <si>
    <t>スマートフォンが変更されました。</t>
  </si>
  <si>
    <t>전화 번호 변경 됨.</t>
  </si>
  <si>
    <t>Telefon ditukar.</t>
  </si>
  <si>
    <t>Telefoonnummer gewijzigd.</t>
  </si>
  <si>
    <t>Telefonen ble endret.</t>
  </si>
  <si>
    <t>Numer telefonu został zmieniony.</t>
  </si>
  <si>
    <t>Telefone alterado.</t>
  </si>
  <si>
    <t>Телефон изменен.</t>
  </si>
  <si>
    <t>Telefón bol zmenený.</t>
  </si>
  <si>
    <t>Telefon se je spremenil.</t>
  </si>
  <si>
    <t>Telefonen har ändrats.</t>
  </si>
  <si>
    <t>เปลี่ยนโทรศัพท์แล้ว</t>
  </si>
  <si>
    <t>Telefon değişti.</t>
  </si>
  <si>
    <t>Điện thoại đã thay đổi.</t>
  </si>
  <si>
    <t>电话已更改。</t>
  </si>
  <si>
    <t>tt_unknown_error</t>
  </si>
  <si>
    <t>An unknown error has occurred. Please try again</t>
  </si>
  <si>
    <t>حدث خطأ غير معروف. حاول مرة أ\\خرى</t>
  </si>
  <si>
    <t>Възникна неизвестна грешка. Моля, опитайте отново</t>
  </si>
  <si>
    <t>Nastala neznámá chyba. Zkuste to prosím znovu</t>
  </si>
  <si>
    <t>Der er opstået en ukendt fejl. Prøv igen</t>
  </si>
  <si>
    <t>Ein unbekannter Fehler ist aufgetreten. Bitte versuchen Sie die Aktion noch einmal.</t>
  </si>
  <si>
    <t>Προέκυψε άγνωστο σφάλμα. Δοκιμάστε ξανα</t>
  </si>
  <si>
    <t>Se ha producido un error desconocido. Por favor, inténtelo de nuevo.</t>
  </si>
  <si>
    <t>Tuntematon virhe on tapahtunut. Yritä uudelleen</t>
  </si>
  <si>
    <t>Une erreur s\'est produite, veuillez réessayer.</t>
  </si>
  <si>
    <t>एक अज्ञात त्रुटि घटित हुई है। कृपया दोबारा कोशिश करें</t>
  </si>
  <si>
    <t>Ismeretlen hiba történt. Kérjük próbálja újból néhány perc múlva!</t>
  </si>
  <si>
    <t>Masalah yang tidak diketahui telah terjadi. Sila cuba semula</t>
  </si>
  <si>
    <t>L\'errore sconosciuto. Per favore prova di nuovo.</t>
  </si>
  <si>
    <t>אירעה שגיאה לא ידועה. אנא נסה שוב</t>
  </si>
  <si>
    <t>原因不明のエラーです。再度試みてください</t>
  </si>
  <si>
    <t>알 수 없는 오류가 발생했습니다. 다시 시도하세요</t>
  </si>
  <si>
    <t>Masalah yang tidak diketahui telah berlaku. Sila cuba semula</t>
  </si>
  <si>
    <t>Een onkende fout is opgetreden. Probeer nogmaals aub</t>
  </si>
  <si>
    <t>En ukjent feil har oppstått. Prøv igjen</t>
  </si>
  <si>
    <t>Wystąpił nieznany błąd.Proszę spróbować ponownie</t>
  </si>
  <si>
    <t>Um erro desconhecido ocorreu. Por favor, tente novamente.</t>
  </si>
  <si>
    <t>Произошла неизвестная ошибка. Пожалуйста, попробуйте еще раз.</t>
  </si>
  <si>
    <t>Vyskytla sa neznáma chyba. Skúste to znova</t>
  </si>
  <si>
    <t>Prišlo je do neznane napake. Prosim poskusite ponovno</t>
  </si>
  <si>
    <t>Pojavila se nepoznata greška. Molimo pokušajte ponovo.</t>
  </si>
  <si>
    <t>Ett okänt fel har uppstått. Var god försök igen</t>
  </si>
  <si>
    <t>เกิดความขัดข้องที่ไม่ทราบสาเหตุ โปรดลองอีกครั้ง</t>
  </si>
  <si>
    <t>Bilinmeyen bir hata oluştu. Lütfen tekrar deneyin</t>
  </si>
  <si>
    <t>Đã xảy ra lỗi không xác định. Vui lòng thử lại</t>
  </si>
  <si>
    <t>出现未知错误。请重试。</t>
  </si>
  <si>
    <t>&gt;出現未知錯誤。請重試。</t>
  </si>
  <si>
    <t>tt_edgar_cash_flow_from_financing</t>
  </si>
  <si>
    <t>CF from Financing Act.</t>
  </si>
  <si>
    <t>التدفق النقدي من الأنشطة التمويلية</t>
  </si>
  <si>
    <t>CF от Закона за финансиране.</t>
  </si>
  <si>
    <t>CF ze zákona o financování.</t>
  </si>
  <si>
    <t>CF fra finansieringsloven.</t>
  </si>
  <si>
    <t>Cash Flow aus Finanzierungstätigkeit</t>
  </si>
  <si>
    <t>CF από το Financing Act.</t>
  </si>
  <si>
    <t>CF de la act. financiera</t>
  </si>
  <si>
    <t>Rahoituksen rahavirrat</t>
  </si>
  <si>
    <t>Flux de trésorerie générés par le financement</t>
  </si>
  <si>
    <t>फाइनेंसिंग एक्ट से सी.एफ.</t>
  </si>
  <si>
    <t>CF dari Akta Pembiayaan.</t>
  </si>
  <si>
    <t>Totale flussi di cassa da attività finanziarie</t>
  </si>
  <si>
    <t>תזרים מזומנים מפעולות מימון</t>
  </si>
  <si>
    <t>財務活動からのキャッシュフロー</t>
  </si>
  <si>
    <t>재무활동으로 인한 현금흐름</t>
  </si>
  <si>
    <t>CF vanuit Financiӫle act.</t>
  </si>
  <si>
    <t>Przepływy pieniężne z działalności finansowej</t>
  </si>
  <si>
    <t>CF do ato Financiamento.</t>
  </si>
  <si>
    <t>ДП от финансовой деят.</t>
  </si>
  <si>
    <t>Peňažné toky zo zákona o financovaní.</t>
  </si>
  <si>
    <t>CF iz zakona o financiranju.</t>
  </si>
  <si>
    <t>Tok gotovine iz finan. akt.</t>
  </si>
  <si>
    <t>CF från Financing Act.</t>
  </si>
  <si>
    <t>กระแสเงินสดจากกิจกรรมจัดหาเงิน</t>
  </si>
  <si>
    <t>Finansman faaliyetlerinden nakit akışı</t>
  </si>
  <si>
    <t>Dòng tiền từ hoạt động tài chính.</t>
  </si>
  <si>
    <t>金融活动的现金流</t>
  </si>
  <si>
    <t>tt_formatting_millionnumber</t>
  </si>
  <si>
    <t>%0.1f Mil.</t>
  </si>
  <si>
    <t>%0.1f مليون</t>
  </si>
  <si>
    <t>%0.1f Мил.</t>
  </si>
  <si>
    <t>%0.1f Mio.</t>
  </si>
  <si>
    <t>%0.1 f millo.</t>
  </si>
  <si>
    <t>mill</t>
  </si>
  <si>
    <t>%0.1f मिल.</t>
  </si>
  <si>
    <t>%0.1f mio.</t>
  </si>
  <si>
    <t>%0.1f Jut.</t>
  </si>
  <si>
    <t>%0.1f מיל.</t>
  </si>
  <si>
    <t>%0.1f mill.</t>
  </si>
  <si>
    <t>% 0.1f mln.</t>
  </si>
  <si>
    <t>%0.1f Milhão</t>
  </si>
  <si>
    <t>%0.1 млн</t>
  </si>
  <si>
    <t>%0.1f mil.</t>
  </si>
  <si>
    <t>%0.1f ล้าน</t>
  </si>
  <si>
    <t>%0.1f Milyon</t>
  </si>
  <si>
    <t>%0.1f triệu</t>
  </si>
  <si>
    <t>%0.1f百万</t>
  </si>
  <si>
    <t>&gt;%0.1f 百萬</t>
  </si>
  <si>
    <t>madagascar</t>
  </si>
  <si>
    <t>Madagascar</t>
  </si>
  <si>
    <t>Madagaskar</t>
  </si>
  <si>
    <t>Мадагаскар</t>
  </si>
  <si>
    <t>tt_security_type_16</t>
  </si>
  <si>
    <t>Zinssatz</t>
  </si>
  <si>
    <t>שער ריבית</t>
  </si>
  <si>
    <t>Obrestna mera</t>
  </si>
  <si>
    <t>create</t>
  </si>
  <si>
    <t>Create</t>
  </si>
  <si>
    <t>أضف</t>
  </si>
  <si>
    <t>Създаване</t>
  </si>
  <si>
    <t>Crea</t>
  </si>
  <si>
    <t>Erstellen</t>
  </si>
  <si>
    <t>Crear</t>
  </si>
  <si>
    <t>Létrehoz</t>
  </si>
  <si>
    <t>Buat</t>
  </si>
  <si>
    <t>作成</t>
  </si>
  <si>
    <t>만들기</t>
  </si>
  <si>
    <t>Aanmaken</t>
  </si>
  <si>
    <t>Utwórz</t>
  </si>
  <si>
    <t>Criar</t>
  </si>
  <si>
    <t>Создать</t>
  </si>
  <si>
    <t>Vytvoriť</t>
  </si>
  <si>
    <t>Направи</t>
  </si>
  <si>
    <t>Skapa</t>
  </si>
  <si>
    <t>Створити</t>
  </si>
  <si>
    <t>Tạo</t>
  </si>
  <si>
    <t>創建</t>
  </si>
  <si>
    <t>not_valid_hostname</t>
  </si>
  <si>
    <t>This is not a valid hostname</t>
  </si>
  <si>
    <t>إسم السيرفر هذا ليس صالحاً</t>
  </si>
  <si>
    <t>Това не е правилно име на сървър</t>
  </si>
  <si>
    <t>Aquest no és un nom de host vàlid</t>
  </si>
  <si>
    <t>Dies ist kein gültiger Hostname</t>
  </si>
  <si>
    <t>Éste no es un hostame válido</t>
  </si>
  <si>
    <t>Ce nom d\'hôte n\'est pas valide</t>
  </si>
  <si>
    <t>Este non é un servidor válido</t>
  </si>
  <si>
    <t>Ez nem egy érvényes gazdanév</t>
  </si>
  <si>
    <t>Questo non è un nome host valido</t>
  </si>
  <si>
    <t>これは有効なホスト名ではありません</t>
  </si>
  <si>
    <t>올바른 호스트 이름이 아닙니다</t>
  </si>
  <si>
    <t>Dit is geen geldige hostnaam</t>
  </si>
  <si>
    <t>To nie jest prawidłowa nazwa hosta</t>
  </si>
  <si>
    <t>Este não é um hostname válido</t>
  </si>
  <si>
    <t>Это недопустимое имя сервера</t>
  </si>
  <si>
    <t>Ово није исправно име домаћина</t>
  </si>
  <si>
    <t>Inte ett giltigt servernamn</t>
  </si>
  <si>
    <t>Це не дійсне ім\'я хосту</t>
  </si>
  <si>
    <t>Đây không phải là tên máy chủ hợp lệ</t>
  </si>
  <si>
    <t>該主機名稱無效</t>
  </si>
  <si>
    <t>mtm_accept_cert</t>
  </si>
  <si>
    <t>Accept Unknown Certificate?</t>
  </si>
  <si>
    <t>تقبُّل الشهادات المجهولة ؟</t>
  </si>
  <si>
    <t>Приемане на непознатия сертификат?</t>
  </si>
  <si>
    <t>Voleu acceptar un certificat desconegut?</t>
  </si>
  <si>
    <t>Unbekanntes Zertifikat akzeptieren?</t>
  </si>
  <si>
    <t>¿Aceptar certificado desconocido?</t>
  </si>
  <si>
    <t>Accepter les certificats inconnus ?</t>
  </si>
  <si>
    <t>¿Aceptar certificado descoñecido?</t>
  </si>
  <si>
    <t>Ismeretlen tanúsítvány elfogadása?</t>
  </si>
  <si>
    <t>Accetti il certificato sconosciuto?</t>
  </si>
  <si>
    <t>Onbekend certificaat aanvaarden?</t>
  </si>
  <si>
    <t>Zaakceptować nieznany certyfikat?</t>
  </si>
  <si>
    <t>Принять Неизвестный Сертификат?</t>
  </si>
  <si>
    <t>seychelles</t>
  </si>
  <si>
    <t>Seychelles</t>
  </si>
  <si>
    <t>Seychellen</t>
  </si>
  <si>
    <t>Les Seychelles</t>
  </si>
  <si>
    <t>Сейшельские Острова</t>
  </si>
  <si>
    <t>Sejšelska ostrva</t>
  </si>
  <si>
    <t>tt_security_type_11</t>
  </si>
  <si>
    <t>Right</t>
  </si>
  <si>
    <t>Bezugsrecht</t>
  </si>
  <si>
    <t>Droit</t>
  </si>
  <si>
    <t>Helyes</t>
  </si>
  <si>
    <t>Benar</t>
  </si>
  <si>
    <t>Giusto</t>
  </si>
  <si>
    <t>正しい</t>
  </si>
  <si>
    <t>Betul</t>
  </si>
  <si>
    <t>Prawo</t>
  </si>
  <si>
    <t>Direita</t>
  </si>
  <si>
    <t>Право</t>
  </si>
  <si>
    <t>Rätt</t>
  </si>
  <si>
    <t>Doğru</t>
  </si>
  <si>
    <t>正确</t>
  </si>
  <si>
    <t>tt_security_type_10</t>
  </si>
  <si>
    <t>Option or Futures Underlying</t>
  </si>
  <si>
    <t>الخيار أو العقود الآجلة الأساسية</t>
  </si>
  <si>
    <t>Опция или основни фючърси</t>
  </si>
  <si>
    <t>Podkladové opce nebo futures</t>
  </si>
  <si>
    <t>Muligheder eller Futures underliggende</t>
  </si>
  <si>
    <t>Optionen- od. Futures-Basiswert</t>
  </si>
  <si>
    <t>Υποκείμενα συμβόλαια δικαιωμάτων ή μελλοντικά</t>
  </si>
  <si>
    <t>Taustalla oleva optio tai futuurit</t>
  </si>
  <si>
    <t>Actif sous-jacents des options/ futures</t>
  </si>
  <si>
    <t>विकल्प या अंतर्निहित वायदा</t>
  </si>
  <si>
    <t>Opciók vagy Határidős mögöttes</t>
  </si>
  <si>
    <t>Pilihan atau Kontrak berjangka</t>
  </si>
  <si>
    <t>Opzione o Futuro prodotto sottostante</t>
  </si>
  <si>
    <t>נכס בסיס של אופציה או חוים עתידיים</t>
  </si>
  <si>
    <t>옵션 또는 선물 기초</t>
  </si>
  <si>
    <t>Pilihan atau Niaga Hadapan</t>
  </si>
  <si>
    <t>Onderliggende waarde Optie of Future</t>
  </si>
  <si>
    <t>Underliggende opsjoner eller futures</t>
  </si>
  <si>
    <t>Instrument bazowy</t>
  </si>
  <si>
    <t>Opção ou futuros subjacentes</t>
  </si>
  <si>
    <t>Базовый инструмент, лежащий в основе опционного или фьючерсного контракта</t>
  </si>
  <si>
    <t>Opcia alebo podkladové prognózy</t>
  </si>
  <si>
    <t>Možnost ali prihodnje podloge</t>
  </si>
  <si>
    <t>Opcije ili fjučersi</t>
  </si>
  <si>
    <t>Alternativ eller terminer underliggande</t>
  </si>
  <si>
    <t>หุ้นอ้างอิงออปชันหรือฟิวเจอร์ส</t>
  </si>
  <si>
    <t>Seçenek veya Vade Öncelikli</t>
  </si>
  <si>
    <t>Hợp đồng quyền chọn hoặc tương lai</t>
  </si>
  <si>
    <t>选择权或期货标的</t>
  </si>
  <si>
    <t>&gt;選擇權或期貨標的</t>
  </si>
  <si>
    <t>ecuador</t>
  </si>
  <si>
    <t>Ecuador</t>
  </si>
  <si>
    <t>Ekuador</t>
  </si>
  <si>
    <t>Équateur</t>
  </si>
  <si>
    <t>Эквадор</t>
  </si>
  <si>
    <t>Ekvador</t>
  </si>
  <si>
    <t>tt_upperlimit</t>
  </si>
  <si>
    <t>Obere Grenze</t>
  </si>
  <si>
    <t>Límite superior</t>
  </si>
  <si>
    <t>Hoogste limiet</t>
  </si>
  <si>
    <t>Верхний предел колебания</t>
  </si>
  <si>
    <t>&gt;上限</t>
  </si>
  <si>
    <t>please_wait_for_keys_to_be_fetched</t>
  </si>
  <si>
    <t>Please wait for keys to be fetched</t>
  </si>
  <si>
    <t>الرجاء الإنتظار ريثما يتم جلب المفاتيح</t>
  </si>
  <si>
    <t>Моля, изчакайте получаването на ключовете</t>
  </si>
  <si>
    <t>Espereu que es puguin obtenir les claus</t>
  </si>
  <si>
    <t>Bitte warten bis Schlüssel abgerufen werden …</t>
  </si>
  <si>
    <t>Por favor, espera a que las claves sean recuperadas</t>
  </si>
  <si>
    <t>Veuillez attendre que les clefs soient récupérées</t>
  </si>
  <si>
    <t>Por favor agarde mentras se obteñen as chaves</t>
  </si>
  <si>
    <t>Kérjük várjon a kulcsok lekérésére</t>
  </si>
  <si>
    <t>Attendi la ricezione delle chiavi</t>
  </si>
  <si>
    <t>キーが取得されるのをお待ちください</t>
  </si>
  <si>
    <t>De sleutels worden opgehaald. Even geduld.</t>
  </si>
  <si>
    <t>Proszę czekać na ściągnięcie kluczy</t>
  </si>
  <si>
    <t>Подождите получения ключей</t>
  </si>
  <si>
    <t>Сачекајте на добављање кључева</t>
  </si>
  <si>
    <t>Vänta medans nycklar hämtas</t>
  </si>
  <si>
    <t>Зачекайте поки ключі отримуються</t>
  </si>
  <si>
    <t>取得金鑰中，請稍後</t>
  </si>
  <si>
    <t>event_details</t>
  </si>
  <si>
    <t>Event Details</t>
  </si>
  <si>
    <t>تفاصيل الحدث</t>
  </si>
  <si>
    <t>Подробности за събитието</t>
  </si>
  <si>
    <t>Podrobnosti o události</t>
  </si>
  <si>
    <t>Detaljer om begivenheder</t>
  </si>
  <si>
    <t>Event-Details</t>
  </si>
  <si>
    <t>Λεπτομέρειες εκδήλωσης</t>
  </si>
  <si>
    <t>Detalles del evento</t>
  </si>
  <si>
    <t>Tapahtuman yksityiskohdat</t>
  </si>
  <si>
    <t>Détails de l\'évènement</t>
  </si>
  <si>
    <t>घटना के विवरण</t>
  </si>
  <si>
    <t>Esemény részletei</t>
  </si>
  <si>
    <t>Detail Acara</t>
  </si>
  <si>
    <t>Dettagli dell\'evento</t>
  </si>
  <si>
    <t>פרטי האירוע</t>
  </si>
  <si>
    <t>イベント詳細</t>
  </si>
  <si>
    <t>사건 상세 정보</t>
  </si>
  <si>
    <t>Butiran Acara</t>
  </si>
  <si>
    <t>evenement details</t>
  </si>
  <si>
    <t>Hendelsesdetaljer</t>
  </si>
  <si>
    <t>Szczegóły wydarzenia</t>
  </si>
  <si>
    <t>Detalhes do evento</t>
  </si>
  <si>
    <t>Подробности события</t>
  </si>
  <si>
    <t>Podrobnosti o dogodku</t>
  </si>
  <si>
    <t>Detalji događaja</t>
  </si>
  <si>
    <t>Händelsedetaljer</t>
  </si>
  <si>
    <t>รายละเอียดกิจกรรม</t>
  </si>
  <si>
    <t>Etkinlik Ayrıntıları</t>
  </si>
  <si>
    <t>Chi tiết sự kiện</t>
  </si>
  <si>
    <t>事件详情</t>
  </si>
  <si>
    <t>i_don_t_like_it</t>
  </si>
  <si>
    <t>I DON\'T LIKE IT</t>
  </si>
  <si>
    <t>اعجبني - لم يعجبني</t>
  </si>
  <si>
    <t>НЕ МИ ХАРЕСВА</t>
  </si>
  <si>
    <t>NELÍBÍ SE MI TO</t>
  </si>
  <si>
    <t>JEG KAN IKKE LIDE DET</t>
  </si>
  <si>
    <t>Das gefällt mir nicht</t>
  </si>
  <si>
    <t>ΔΕΝ ΜΟΥ ΑΡΕΣΕΙ</t>
  </si>
  <si>
    <t>No me gusta</t>
  </si>
  <si>
    <t>EN PIDÄ SIITÄ</t>
  </si>
  <si>
    <t>JE N\'AIME PAS</t>
  </si>
  <si>
    <t>मुझे यह पसंद नहीं आया</t>
  </si>
  <si>
    <t>Nem tetszik</t>
  </si>
  <si>
    <t>SAYA TIDAK SUKA ITU</t>
  </si>
  <si>
    <t>NON MI PIACE</t>
  </si>
  <si>
    <t>אני לא אוהב את זה</t>
  </si>
  <si>
    <t>好きではない</t>
  </si>
  <si>
    <t>원하지 않습니다</t>
  </si>
  <si>
    <t>SAYA TIDAK SUKA IA</t>
  </si>
  <si>
    <t>Dat bevalt me niet</t>
  </si>
  <si>
    <t>JEG LIKER DET IKKE</t>
  </si>
  <si>
    <t>Nie lubię tego</t>
  </si>
  <si>
    <t>NÃO GOSTO</t>
  </si>
  <si>
    <t>МНЕ НЕ НРАВИТСЯ</t>
  </si>
  <si>
    <t>NEPÁČI SA MI TO</t>
  </si>
  <si>
    <t>NI MI VŠEČ</t>
  </si>
  <si>
    <t>NE SVIĐA MI SE</t>
  </si>
  <si>
    <t>JAG GILLAR INTE DET</t>
  </si>
  <si>
    <t>ฉันไม่ชอบสิ่งนี้</t>
  </si>
  <si>
    <t>SEVMEDİM</t>
  </si>
  <si>
    <t>TÔI KHÔNG THÍCH</t>
  </si>
  <si>
    <t>我不喜欢它</t>
  </si>
  <si>
    <t>tt_settings</t>
  </si>
  <si>
    <t>Podešavanja</t>
  </si>
  <si>
    <t>tt_symbolsearch</t>
  </si>
  <si>
    <t>small</t>
  </si>
  <si>
    <t>Petita</t>
  </si>
  <si>
    <t>Petite</t>
  </si>
  <si>
    <t>Pequena</t>
  </si>
  <si>
    <t>Mała</t>
  </si>
  <si>
    <t>tt_market_options_menu_edit</t>
  </si>
  <si>
    <t>Edit Symbol List</t>
  </si>
  <si>
    <t>تحرير قائمة الرموز</t>
  </si>
  <si>
    <t>Редактирай списъка със символи</t>
  </si>
  <si>
    <t>Upravit seznam symbolů</t>
  </si>
  <si>
    <t>Rediger symbolliste</t>
  </si>
  <si>
    <t>Wertpapierliste bearbeiten</t>
  </si>
  <si>
    <t>Επεξεργασία λίστας συμβόλων</t>
  </si>
  <si>
    <t>Editar Lista de Símbolos</t>
  </si>
  <si>
    <t>Muokkaa symboliluetteloa</t>
  </si>
  <si>
    <t>Editer la liste des symboles</t>
  </si>
  <si>
    <t>प्रतीक सूची को एडिट करें</t>
  </si>
  <si>
    <t>Szimbólum lista szerkesztése</t>
  </si>
  <si>
    <t>Edit Daftar Simbol</t>
  </si>
  <si>
    <t>Modifica lista dei simboli</t>
  </si>
  <si>
    <t>ערוך את רשימת הסמלים</t>
  </si>
  <si>
    <t>記号一覧表編集</t>
  </si>
  <si>
    <t>기호 목록 편집</t>
  </si>
  <si>
    <t>Sunting Senarai Simbol</t>
  </si>
  <si>
    <t>Pas Symboollijst aan</t>
  </si>
  <si>
    <t>Edytuj listę symboli</t>
  </si>
  <si>
    <t>Editar lista de símbolos</t>
  </si>
  <si>
    <t>Редактировать список элементов</t>
  </si>
  <si>
    <t>Upraviť zoznam symbolov</t>
  </si>
  <si>
    <t>Uredi seznam simbolov</t>
  </si>
  <si>
    <t>Promena simbol liste</t>
  </si>
  <si>
    <t>Redigera symbollista</t>
  </si>
  <si>
    <t>แก้ไขรายการชื่อย่อหลักทรัพย์</t>
  </si>
  <si>
    <t>Sembol Listesini Düzenle</t>
  </si>
  <si>
    <t>Chỉnh sửa danh sách công cụ</t>
  </si>
  <si>
    <t>编辑指示清单</t>
  </si>
  <si>
    <t>&gt;編輯指示清單</t>
  </si>
  <si>
    <t>tt_pf_amount</t>
  </si>
  <si>
    <t>Amount</t>
  </si>
  <si>
    <t>المبلغ</t>
  </si>
  <si>
    <t>Количество</t>
  </si>
  <si>
    <t>Částka</t>
  </si>
  <si>
    <t>Beløb</t>
  </si>
  <si>
    <t>Betrag</t>
  </si>
  <si>
    <t>Ποσό</t>
  </si>
  <si>
    <t>Importe</t>
  </si>
  <si>
    <t>Määrä</t>
  </si>
  <si>
    <t>Montant</t>
  </si>
  <si>
    <t>धनराशि</t>
  </si>
  <si>
    <t>Összeg</t>
  </si>
  <si>
    <t>quantità</t>
  </si>
  <si>
    <t>כמות</t>
  </si>
  <si>
    <t>金額</t>
  </si>
  <si>
    <t>금액</t>
  </si>
  <si>
    <t>Bedrag</t>
  </si>
  <si>
    <t>Beløp</t>
  </si>
  <si>
    <t>Ilość</t>
  </si>
  <si>
    <t>Quantia</t>
  </si>
  <si>
    <t>Колличество</t>
  </si>
  <si>
    <t>Čiastka</t>
  </si>
  <si>
    <t>Znesek</t>
  </si>
  <si>
    <t>Iznos</t>
  </si>
  <si>
    <t>Belopp</t>
  </si>
  <si>
    <t>จำนวน</t>
  </si>
  <si>
    <t>Miktar</t>
  </si>
  <si>
    <t>Số lượng</t>
  </si>
  <si>
    <t>金额</t>
  </si>
  <si>
    <t>&gt;金額</t>
  </si>
  <si>
    <t>account_status_online</t>
  </si>
  <si>
    <t>متصل</t>
  </si>
  <si>
    <t>На линия</t>
  </si>
  <si>
    <t>En línia</t>
  </si>
  <si>
    <t>Conectado</t>
  </si>
  <si>
    <t>Kapcsolódva</t>
  </si>
  <si>
    <t>オンライン</t>
  </si>
  <si>
    <t>접속중</t>
  </si>
  <si>
    <t>Połączono</t>
  </si>
  <si>
    <t>В сети</t>
  </si>
  <si>
    <t>На вези</t>
  </si>
  <si>
    <t>У мережі</t>
  </si>
  <si>
    <t>Trực tuyến</t>
  </si>
  <si>
    <t>線上</t>
  </si>
  <si>
    <t>tt_fundprofile_agio</t>
  </si>
  <si>
    <t>Issue surcharge</t>
  </si>
  <si>
    <t>رسوم الصرف الإضافية</t>
  </si>
  <si>
    <t>Изчисли доплащане</t>
  </si>
  <si>
    <t>Vydat příplatek</t>
  </si>
  <si>
    <t>Udstedelsesgebyr</t>
  </si>
  <si>
    <t>Ausgabeaufschlag</t>
  </si>
  <si>
    <t>Επιβάρυνση ζητήματος</t>
  </si>
  <si>
    <t>Recargo de emisión</t>
  </si>
  <si>
    <t>Myönnä lisämaksu</t>
  </si>
  <si>
    <t>Instaurer une surcharge</t>
  </si>
  <si>
    <t>सरचार्ज को जारी करें</t>
  </si>
  <si>
    <t>Kibocsátási felár</t>
  </si>
  <si>
    <t>Keluarkan biaya tambahan</t>
  </si>
  <si>
    <t>היטל על הנפקה</t>
  </si>
  <si>
    <t>実費</t>
  </si>
  <si>
    <t>발행 부가금</t>
  </si>
  <si>
    <t>Keluarkan surcaj</t>
  </si>
  <si>
    <t>Meerkosten</t>
  </si>
  <si>
    <t>Utstedelsesgebyr</t>
  </si>
  <si>
    <t>Opłata</t>
  </si>
  <si>
    <t>Emitir sobretaxa</t>
  </si>
  <si>
    <t>Установить дополнительную плату</t>
  </si>
  <si>
    <t>Vystaviť príplatok</t>
  </si>
  <si>
    <t>Izdajte doplačilo</t>
  </si>
  <si>
    <t>Emisiona doplata</t>
  </si>
  <si>
    <t>Emissionsavgift</t>
  </si>
  <si>
    <t>ค่าธรรมเนียมการออกหลักทรัพย์</t>
  </si>
  <si>
    <t>Ek ücret uygula</t>
  </si>
  <si>
    <t>Phụ phí phát hành</t>
  </si>
  <si>
    <t>前置手续费</t>
  </si>
  <si>
    <t>&gt;前置手續費</t>
  </si>
  <si>
    <t>tt_teletrader_news</t>
  </si>
  <si>
    <t>baha news</t>
  </si>
  <si>
    <t>bahamas</t>
  </si>
  <si>
    <t>Bahamas</t>
  </si>
  <si>
    <t>Багамские Острова</t>
  </si>
  <si>
    <t>Bahami</t>
  </si>
  <si>
    <t>invalid_jid</t>
  </si>
  <si>
    <t>This is not a valid Jabber ID</t>
  </si>
  <si>
    <t>حساب جابر غير صالح</t>
  </si>
  <si>
    <t>Това не е правилен Jabber идентификатор</t>
  </si>
  <si>
    <t>Aquesta identificació de Jabber no és vàlida</t>
  </si>
  <si>
    <t>Ungültige Jabber-ID</t>
  </si>
  <si>
    <t>El identificador no es un identificador Jabber válido</t>
  </si>
  <si>
    <t>O identificador non é un identificador de Jabber válido</t>
  </si>
  <si>
    <t>Nem érvényes Jabber azonosító</t>
  </si>
  <si>
    <t>Jabber ID tidak valid</t>
  </si>
  <si>
    <t>Questo non è un ID Jabber valido</t>
  </si>
  <si>
    <t>これは有効な Jabber ID ではありません</t>
  </si>
  <si>
    <t>올바른 Jabber ID가 아닙니다</t>
  </si>
  <si>
    <t>Dit is geen geldige Jabber-ID</t>
  </si>
  <si>
    <t>Wprowadzono niepoprawny Jabber ID</t>
  </si>
  <si>
    <t>Esse não é um ID Jabber válido</t>
  </si>
  <si>
    <t>Недопустимый Jabber ID</t>
  </si>
  <si>
    <t>Toto nie je platné Jabber ID</t>
  </si>
  <si>
    <t>Ово није исправан Џабер ИД</t>
  </si>
  <si>
    <t>Detta är inte ett korrekt Jabber-ID</t>
  </si>
  <si>
    <t>Це не є дійсним Jabber ID</t>
  </si>
  <si>
    <t>ID Jabber này không hợp lệ</t>
  </si>
  <si>
    <t>該 Jabber ID 無效</t>
  </si>
  <si>
    <t>presence_online</t>
  </si>
  <si>
    <t>En liña</t>
  </si>
  <si>
    <t>Elérhető</t>
  </si>
  <si>
    <t>Dostępny</t>
  </si>
  <si>
    <t>error_trustkey_general</t>
  </si>
  <si>
    <t>Conversations is unable to send encrypted messages to %1$s. This may be due to your contact using an outdated server or client that can not handle OMEMO.</t>
  </si>
  <si>
    <t>Conversations не може да изпраща шифровани съобщения до %1$s. Възможно е Вашият контакт да използва остарял сървър или клиент, който не може да работи с OMEMO.</t>
  </si>
  <si>
    <t>Les converses no poden enviar missatges xifrats a 1%1$s . Això pot ser degut al vostre contacte mitjançant un servidor o client obsolet que no pot gestionar OMEMO.</t>
  </si>
  <si>
    <t>Conversations ist nicht in der Lage, verschlüsselte Nachrichten an %1$s zu senden. Dies kann daran liegen, dass dein Kontakt einen veralteten Server oder Client verwendet, der mit OMEMO nicht umgehen kann.</t>
  </si>
  <si>
    <t>Conversations no puede enviar mensajes cifrados a %1$s. Esto puede deberse a que tu contacto está usando un servidor o un cliente desactualizado que no puede manejar las claves OMEMO.</t>
  </si>
  <si>
    <t>Conversations n\'est pas capable d\'envoyer un message chiffré à %1$s. Ceci peut être lié au fait que votre contact utilise un serveur obsolète ou un client qui ne gère par OMEMO.</t>
  </si>
  <si>
    <t>Conversations non pode enviar mensaxes cifradas a %1$s Isto pode deberse a que o seu contacto utiliza un servidor ou cliente obsoleto que non pode manexar OMEMO.</t>
  </si>
  <si>
    <t>A Conversations nem tud titkosított üzeneteket küldeni neki: %1$s. Ez a kapcsolattól függhet, mivel az elavult kiszolgáló vagy ügyfél nem tudja kezelni az OMEMO-t.</t>
  </si>
  <si>
    <t>Conversations non riesce a inviare messaggi criptati a %1$s. Potrebbe essere dovuto al tuo contatto che usa un server obsoleto o un client che non supporta OMEMO.</t>
  </si>
  <si>
    <t>Conversations は %1$s に暗号化メッセージを送れません。この連絡先が利用しているサーバーが古すぎるか、クライアントが OMEMO を扱えません。</t>
  </si>
  <si>
    <t>Conversations kan geen versleutelde berichten sturen naar %1$s. Dit komt mogelijk omdat je contact gebruik maakt van een verouderde server, of een cliënt die geen ondersteuning biedt voor OMEMO.</t>
  </si>
  <si>
    <t>Conversations nie mogło wysłać zaszyfrowanej wiadomości do %1$s. Możliwe, że kontakt używa starego serwera lub klienta który nie wspiera OMEMO.</t>
  </si>
  <si>
    <t>Konuşmalar, şifreli mesajlar %1$s\'ye gönderemiyor. Bu, OMEMO\'yu ele alamayan eski bir sunucu veya istemciyi kullanarak temasınızdan kaynaklanıyor olabilir.</t>
  </si>
  <si>
    <t>bt_news</t>
  </si>
  <si>
    <t>baha breaking news</t>
  </si>
  <si>
    <t>Актуални новини</t>
  </si>
  <si>
    <t>Aktuální zprávy</t>
  </si>
  <si>
    <t>Συμβαίνει τώρα</t>
  </si>
  <si>
    <t>Uusimmat uutiset</t>
  </si>
  <si>
    <t>ब्रेकिंग द न्यूज</t>
  </si>
  <si>
    <t>Siste nytt</t>
  </si>
  <si>
    <t>Najnovšie správy</t>
  </si>
  <si>
    <t>Razbijanje novic</t>
  </si>
  <si>
    <t>Senaste nyheter</t>
  </si>
  <si>
    <t>Tin nóng hổi</t>
  </si>
  <si>
    <t>baha breaking news——最新新闻）</t>
  </si>
  <si>
    <t>cambodia</t>
  </si>
  <si>
    <t>Cambodia</t>
  </si>
  <si>
    <t>Kambodscha</t>
  </si>
  <si>
    <t>Camboya</t>
  </si>
  <si>
    <t>Cambodge</t>
  </si>
  <si>
    <t>Камбоджа</t>
  </si>
  <si>
    <t>Kambodža</t>
  </si>
  <si>
    <t>title_activity_choose_contact</t>
  </si>
  <si>
    <t>Choose Contact</t>
  </si>
  <si>
    <t>إختيار جهة إتصال</t>
  </si>
  <si>
    <t>Изберете контакт</t>
  </si>
  <si>
    <t>Tria el contacte</t>
  </si>
  <si>
    <t>Kontakt auswählen</t>
  </si>
  <si>
    <t>Seleccionar Contacto</t>
  </si>
  <si>
    <t>Choisir un contact</t>
  </si>
  <si>
    <t>Escoller Contacto</t>
  </si>
  <si>
    <t>Válassz névjegyet</t>
  </si>
  <si>
    <t>Scegli un contatto</t>
  </si>
  <si>
    <t>連絡先を選択</t>
  </si>
  <si>
    <t>Contact kiezen</t>
  </si>
  <si>
    <t>Wybierz kontakt</t>
  </si>
  <si>
    <t>Escolher contacto</t>
  </si>
  <si>
    <t>Выберите контакт</t>
  </si>
  <si>
    <t>Изабери контакт</t>
  </si>
  <si>
    <t>tt_distance_to_knock_out_level</t>
  </si>
  <si>
    <t>Distance Knock-Out</t>
  </si>
  <si>
    <t>التخلص من المسافة</t>
  </si>
  <si>
    <t>Нокаут разстояние</t>
  </si>
  <si>
    <t>Vzdálenost Knock-Out</t>
  </si>
  <si>
    <t>Afstand Knock-Out</t>
  </si>
  <si>
    <t>Abstand Knock-Out</t>
  </si>
  <si>
    <t>Knock-Out Απόστασης</t>
  </si>
  <si>
    <t>Distanciar knock-out</t>
  </si>
  <si>
    <t>Distance jusqu\'à la désactivation</t>
  </si>
  <si>
    <t>दूरी नॉक-आउट</t>
  </si>
  <si>
    <t>Távolság a kiütésig</t>
  </si>
  <si>
    <t>Ketuk Jarak Keluar</t>
  </si>
  <si>
    <t>Distanza Knock-Out</t>
  </si>
  <si>
    <t>מרחק חסם יציאה</t>
  </si>
  <si>
    <t>ディスタンスノックアウト</t>
  </si>
  <si>
    <t>거리 조기종료</t>
  </si>
  <si>
    <t>Ketuk Keluar Jarak</t>
  </si>
  <si>
    <t>Knockout-avstand</t>
  </si>
  <si>
    <t>Odległość od bariery</t>
  </si>
  <si>
    <t>Distância de Knock-Out</t>
  </si>
  <si>
    <t>Pасстояние до уровня нокаута</t>
  </si>
  <si>
    <t>Vzdialenosť k vyradeniu</t>
  </si>
  <si>
    <t>Odmik na daljavo</t>
  </si>
  <si>
    <t>Razlika do Knock-Out</t>
  </si>
  <si>
    <t>Avstånd Knock-Out</t>
  </si>
  <si>
    <t>ระยะห่างจาก Knock-Out</t>
  </si>
  <si>
    <t>Knock-Out için uzaklık</t>
  </si>
  <si>
    <t>Khoảng cách loại</t>
  </si>
  <si>
    <t>到敲出期权的距离</t>
  </si>
  <si>
    <t>tt_pf_sell_quote</t>
  </si>
  <si>
    <t>Sell quote</t>
  </si>
  <si>
    <t>عرض سعر البيع</t>
  </si>
  <si>
    <t>Котировки продава</t>
  </si>
  <si>
    <t>Prodat nabídku</t>
  </si>
  <si>
    <t>Slagstilbud</t>
  </si>
  <si>
    <t>Verkaufskurs</t>
  </si>
  <si>
    <t>Προσφορά πώλησης</t>
  </si>
  <si>
    <t>Vender cotizaciones</t>
  </si>
  <si>
    <t>Myy tarjous</t>
  </si>
  <si>
    <t>बोली को बेचें</t>
  </si>
  <si>
    <t>Eladási árfolyam</t>
  </si>
  <si>
    <t>Sebut Harga Jual</t>
  </si>
  <si>
    <t>Quotazione di vendita</t>
  </si>
  <si>
    <t>הצעת מכירה</t>
  </si>
  <si>
    <t>売値</t>
  </si>
  <si>
    <t>매도 시세</t>
  </si>
  <si>
    <t>Verkoop quote</t>
  </si>
  <si>
    <t>Salgskurs</t>
  </si>
  <si>
    <t>Notowania sprzedaży</t>
  </si>
  <si>
    <t>Vender cotação</t>
  </si>
  <si>
    <t>Стоимость котировки</t>
  </si>
  <si>
    <t>Predajná ponuka</t>
  </si>
  <si>
    <t>Prodaj ponudbo</t>
  </si>
  <si>
    <t>Säljnotering</t>
  </si>
  <si>
    <t>Satış teklifi</t>
  </si>
  <si>
    <t>Báo giá bán</t>
  </si>
  <si>
    <t>销售报价</t>
  </si>
  <si>
    <t>&gt;銷售報價</t>
  </si>
  <si>
    <t>romania</t>
  </si>
  <si>
    <t>Romania</t>
  </si>
  <si>
    <t>Rumänien</t>
  </si>
  <si>
    <t>Rumanía</t>
  </si>
  <si>
    <t>Roumanie</t>
  </si>
  <si>
    <t>Румыния</t>
  </si>
  <si>
    <t>Rumunija</t>
  </si>
  <si>
    <t>contact_asks_for_presence_subscription</t>
  </si>
  <si>
    <t>Contact asks for presence subscription</t>
  </si>
  <si>
    <t>لقد طلب منك مراسِك الإشتراك في حالات حضورك</t>
  </si>
  <si>
    <t>Контакт моли за абонамент за присъствието</t>
  </si>
  <si>
    <t>El contacte demana la subscripció a la presència</t>
  </si>
  <si>
    <t>Kontakt möchte Online-Status abbonieren</t>
  </si>
  <si>
    <t>El contacto solicita ver tus actualizaciones de estado</t>
  </si>
  <si>
    <t>Le contact demande la notification de présence</t>
  </si>
  <si>
    <t>O contacto pide a suscrición de presenza</t>
  </si>
  <si>
    <t>Ismerősöd állapot frissítéseket kér</t>
  </si>
  <si>
    <t>Il contatto chiede la sottoscrizione della presenza</t>
  </si>
  <si>
    <t>連絡先が、参加サブスクリプションを問い合わせしています</t>
  </si>
  <si>
    <t>연락처가 참가 구독을 문의합니다</t>
  </si>
  <si>
    <t>De contactpersoon vraagt om aanwezigheidsupdates</t>
  </si>
  <si>
    <t>Kontakt prosi o udostępnienie statusu</t>
  </si>
  <si>
    <t>Контакт запрашивает подписку</t>
  </si>
  <si>
    <t>Контакт пита за претплату на ажурирање присутности</t>
  </si>
  <si>
    <t>Kontakt ber om tillgänglighetsuppdateringar</t>
  </si>
  <si>
    <t>Контакт просить надати підписку на присутність</t>
  </si>
  <si>
    <t>連絡人請求線上訂閱</t>
  </si>
  <si>
    <t>enter_registration_code</t>
  </si>
  <si>
    <t>Enter the activation code that you received through SMS message.</t>
  </si>
  <si>
    <t>Geben Sie den Aktivierungscode ein den Sie als SMS-Nachricht bekommen haben.</t>
  </si>
  <si>
    <t>Introduce el código de activación que has recibido por mensaje SMS.</t>
  </si>
  <si>
    <t>Entrez le code d\'activation que vous avez reçu par SMS.</t>
  </si>
  <si>
    <t>Adja meg aktiváló kódját, amit SMS-ben kapott.</t>
  </si>
  <si>
    <t>Введите код активации, который Вы получили в СМС сообщении.</t>
  </si>
  <si>
    <t>Upišite aktivacioni kod koji ste dobili SMS porukom.</t>
  </si>
  <si>
    <t>action_add_account_with_certificate</t>
  </si>
  <si>
    <t>Add account with certificate</t>
  </si>
  <si>
    <t>أضف حساباً مرفوقاً بشهادة</t>
  </si>
  <si>
    <t>Добавяне на профил със сертификат</t>
  </si>
  <si>
    <t>Afegiu un compte amb el certificat</t>
  </si>
  <si>
    <t>Konto mit Zertifikat hinzufügen</t>
  </si>
  <si>
    <t>Añadir cuenta con certificado</t>
  </si>
  <si>
    <t>Compte avec certificat</t>
  </si>
  <si>
    <t>Engadir conta con certificado</t>
  </si>
  <si>
    <t>Fiók hozzáadása tanúsítvánnyal</t>
  </si>
  <si>
    <t>Aggiungi account con certificato</t>
  </si>
  <si>
    <t>アカウントに証明書を追加</t>
  </si>
  <si>
    <t>인증서가 있는 계정 추가</t>
  </si>
  <si>
    <t>Account met certificaat toevoegen</t>
  </si>
  <si>
    <t>Dodaj konto przy pomocy certyfikatu</t>
  </si>
  <si>
    <t>Adicionar conta com certificado</t>
  </si>
  <si>
    <t>Добавить аккаунт с сертификатом</t>
  </si>
  <si>
    <t>Pridať účet s certifikátom</t>
  </si>
  <si>
    <t>Додај налог сертификатом</t>
  </si>
  <si>
    <t>Lägg till konto med certifikat</t>
  </si>
  <si>
    <t>Додати обліковку з сертифікатом</t>
  </si>
  <si>
    <t>Thêm tài khoản với chứng nhận</t>
  </si>
  <si>
    <t>使用證書添加帳戶</t>
  </si>
  <si>
    <t>fetching_mam_prefs</t>
  </si>
  <si>
    <t>Fetching archiving preferences. Please wait…</t>
  </si>
  <si>
    <t>Получаване на настройките за архивирането. Моля, изчакайте…</t>
  </si>
  <si>
    <t>S\'estan obtenint les preferències d\'arxivat. Espereu ...</t>
  </si>
  <si>
    <t>Archivierungseinstellungen werden abgerufen. Bitte warten …</t>
  </si>
  <si>
    <t>Buscando preferencias de archivado. Por favor, espera...</t>
  </si>
  <si>
    <t>Récupération des paramètres d\'archivage en cours...</t>
  </si>
  <si>
    <t>Obtendo os axustes de gardado. Por favor agarde...</t>
  </si>
  <si>
    <t>Archiválási beállítások betöltése. Kérem várjon...</t>
  </si>
  <si>
    <t>Raccolta preferenze di archiviazione. Attendere prego...</t>
  </si>
  <si>
    <t>アーカイブの設定を取得しています。しばらくお待ちください…</t>
  </si>
  <si>
    <t>보관 설정을 얻고 있습니다. 잠시 기다려주십시오 ...</t>
  </si>
  <si>
    <t>Ophalen van archiefvoorkeuren. Even geduld…</t>
  </si>
  <si>
    <t>Pobieranie preferencji archiwizacji. Proszę czekać...</t>
  </si>
  <si>
    <t>Obtendo as preferências de arquivamento. Por favor espere...</t>
  </si>
  <si>
    <t>Получение настроек архивирования. Пожалуйста, подождите…</t>
  </si>
  <si>
    <t>Добављам поставке архивисања, сачекајте…</t>
  </si>
  <si>
    <t>Hämtar arkiveringsinställningar, vänta...</t>
  </si>
  <si>
    <t>Отримую налаштування збереженя. Будь ласка, зачекайте…</t>
  </si>
  <si>
    <t>正在獲取壓縮設置。請稍後...</t>
  </si>
  <si>
    <t>central_african_republic</t>
  </si>
  <si>
    <t>Central African Republic</t>
  </si>
  <si>
    <t>Zentralafrikanische Republik</t>
  </si>
  <si>
    <t>República Centroafricana</t>
  </si>
  <si>
    <t>République Centrafricaine</t>
  </si>
  <si>
    <t>Центральноафриканская Республика</t>
  </si>
  <si>
    <t>Centralna Afrička Republika</t>
  </si>
  <si>
    <t>tt_edgar_earnings_per_share_diluted</t>
  </si>
  <si>
    <t>EPS (diluted)</t>
  </si>
  <si>
    <t>الأرباح للسهم (مخفف)</t>
  </si>
  <si>
    <t>EPS (разреден)</t>
  </si>
  <si>
    <t>EPS (zředěný)</t>
  </si>
  <si>
    <t>EPS (fortyndet)</t>
  </si>
  <si>
    <t>Ergebnis je Aktie (verwässert)</t>
  </si>
  <si>
    <t>EPS (αραιωμένο)</t>
  </si>
  <si>
    <t>Beneficio por acción (diluido)</t>
  </si>
  <si>
    <t>EPS (laimennusvaikutuksella)</t>
  </si>
  <si>
    <t>Résultat dilué par action</t>
  </si>
  <si>
    <t>ईपीएस (तनुकृत)</t>
  </si>
  <si>
    <t>EPS (dicairkan)</t>
  </si>
  <si>
    <t>EPS (diluito)</t>
  </si>
  <si>
    <t>רווח למניה (מדולל)</t>
  </si>
  <si>
    <t>EPS (希薄化後)</t>
  </si>
  <si>
    <t>EPS(희석)</t>
  </si>
  <si>
    <t>Winst per aandeel (verwaterd)</t>
  </si>
  <si>
    <t>EPS (utvannet)</t>
  </si>
  <si>
    <t>Zysk na akcję (rozwodniony)</t>
  </si>
  <si>
    <t>EPS (diluído)</t>
  </si>
  <si>
    <t>Разводнённая прибыль на акцию</t>
  </si>
  <si>
    <t>EPS (zoslabený)</t>
  </si>
  <si>
    <t>EPS (razredčen)</t>
  </si>
  <si>
    <t>Dobit po akciji (razvodnjena)</t>
  </si>
  <si>
    <t>EPS (diluerad)</t>
  </si>
  <si>
    <t>กำไรต่อหุ้น (ปรับลด)</t>
  </si>
  <si>
    <t>HBK (seyreltilmiş)</t>
  </si>
  <si>
    <t>EPS (pha loãng)</t>
  </si>
  <si>
    <t>摊薄每股盈利</t>
  </si>
  <si>
    <t>try_again_in_x</t>
  </si>
  <si>
    <t>Please try again in %s</t>
  </si>
  <si>
    <t>Моля, опитайте отново след %s</t>
  </si>
  <si>
    <t>Bitte versuche es erneut in %s</t>
  </si>
  <si>
    <t>Por favor, inténtalo en %s</t>
  </si>
  <si>
    <t>Inténteo de novo en %s</t>
  </si>
  <si>
    <t>Kérjük próbálja meg %s múlva</t>
  </si>
  <si>
    <t>Riprova in %s</t>
  </si>
  <si>
    <t>Probeer het opnieuw over %s</t>
  </si>
  <si>
    <t>Spróbuj ponownie po %s</t>
  </si>
  <si>
    <t>tt_add_new_template</t>
  </si>
  <si>
    <t>Add New Template</t>
  </si>
  <si>
    <t>إضافة قالب جديد</t>
  </si>
  <si>
    <t>Добави нов шаблон</t>
  </si>
  <si>
    <t>Přidat novou šablonu</t>
  </si>
  <si>
    <t>Tilføj ny skabelon</t>
  </si>
  <si>
    <t>Neues Template</t>
  </si>
  <si>
    <t>Προσθήκη νέου προτύπου</t>
  </si>
  <si>
    <t>Añadir nueva plantilla</t>
  </si>
  <si>
    <t>Lisää uusi malli</t>
  </si>
  <si>
    <t>Ajouter une nouvelle template</t>
  </si>
  <si>
    <t>नया टेम्पलेट जोड़ें</t>
  </si>
  <si>
    <t>Új sablon hozzáadása</t>
  </si>
  <si>
    <t>Tambahkan Template Baru</t>
  </si>
  <si>
    <t>Aggiungi nuovo modello</t>
  </si>
  <si>
    <t>הוסף תבנית חדשה</t>
  </si>
  <si>
    <t>新しいテンプレートを追加</t>
  </si>
  <si>
    <t>새 템플릿 추가</t>
  </si>
  <si>
    <t>Tambah Templat Baru</t>
  </si>
  <si>
    <t>Voeg een niew Sjabloon toe</t>
  </si>
  <si>
    <t>Legg til ny mal</t>
  </si>
  <si>
    <t>Dodaj nowy szablon</t>
  </si>
  <si>
    <t>Adicionar novo modelo</t>
  </si>
  <si>
    <t>Добавить новый шаблон</t>
  </si>
  <si>
    <t>Pridať novú šablónu</t>
  </si>
  <si>
    <t>Dodaj novo predlogo</t>
  </si>
  <si>
    <t>Dodaj novi obrazac</t>
  </si>
  <si>
    <t>Lägg till en ny mall</t>
  </si>
  <si>
    <t>เพิ่มเท็มเพล็ตใหม่</t>
  </si>
  <si>
    <t>Yeni Şablon Ekle</t>
  </si>
  <si>
    <t>Thêm mẫu mới</t>
  </si>
  <si>
    <t>添加新模板</t>
  </si>
  <si>
    <t>&gt;添加新模板</t>
  </si>
  <si>
    <t>open_x_file</t>
  </si>
  <si>
    <t>Open %s</t>
  </si>
  <si>
    <t>فتح %s</t>
  </si>
  <si>
    <t>Отваряне на %s</t>
  </si>
  <si>
    <t>Obert %s</t>
  </si>
  <si>
    <t>%s öffnen</t>
  </si>
  <si>
    <t>Abrir %s</t>
  </si>
  <si>
    <t>Ouvrir %s</t>
  </si>
  <si>
    <t>%s megnyitása</t>
  </si>
  <si>
    <t>Buka %s</t>
  </si>
  <si>
    <t>Apri %s</t>
  </si>
  <si>
    <t>%s を開く</t>
  </si>
  <si>
    <t>%s 열기</t>
  </si>
  <si>
    <t>%s openen</t>
  </si>
  <si>
    <t>Otwórz %s</t>
  </si>
  <si>
    <t>Открыть %s</t>
  </si>
  <si>
    <t>Otvoriť %s</t>
  </si>
  <si>
    <t>Отвори %s</t>
  </si>
  <si>
    <t>Öppna %s</t>
  </si>
  <si>
    <t>Відкрити %s</t>
  </si>
  <si>
    <t>Mở %s</t>
  </si>
  <si>
    <t>打開 %s</t>
  </si>
  <si>
    <t>change_password_on_server</t>
  </si>
  <si>
    <t>Change password on server</t>
  </si>
  <si>
    <t>تغيير كلمة المرور في سيرفر</t>
  </si>
  <si>
    <t>Промяна на паролата в сървъра</t>
  </si>
  <si>
    <t>Canvia la contrasenya al servidor</t>
  </si>
  <si>
    <t>Cambiar contraseña en servidor</t>
  </si>
  <si>
    <t>Changer de mot de passe sur le serveur</t>
  </si>
  <si>
    <t>Cambiar o contrasinal no servidor</t>
  </si>
  <si>
    <t>Jelszó megváltoztatása a szerveren</t>
  </si>
  <si>
    <t>Ganti password di server</t>
  </si>
  <si>
    <t>Cambia la password sul server</t>
  </si>
  <si>
    <t>サーバーのパスワードを変更</t>
  </si>
  <si>
    <t>서버에서 비밀번호 변경</t>
  </si>
  <si>
    <t>Wachtwoord op server veranderen</t>
  </si>
  <si>
    <t>Zmień hasło na serwerze</t>
  </si>
  <si>
    <t>Altere a senha no servidor</t>
  </si>
  <si>
    <t>Изменить пароль на сервере</t>
  </si>
  <si>
    <t>Zmeniť heslo na serveri</t>
  </si>
  <si>
    <t>Промени лозинку на серверу</t>
  </si>
  <si>
    <t>Byt lösenord på server</t>
  </si>
  <si>
    <t>Змінити пароль на сервері</t>
  </si>
  <si>
    <t>Đổi mật k trên máy chủ</t>
  </si>
  <si>
    <t>在伺服器上改變密碼</t>
  </si>
  <si>
    <t>tt_paladium</t>
  </si>
  <si>
    <t>session_expired_please_log_in_again</t>
  </si>
  <si>
    <t>Your session has expired. Please login again.</t>
  </si>
  <si>
    <t>انتهت صلاحية جلسة العمل الخاصة بك. يُرجى تسجيل الدخول مرة أخرى.</t>
  </si>
  <si>
    <t>Сесията ви е изтекла. Моля, влезте отново.</t>
  </si>
  <si>
    <t>Vaše relace vypršela. Přihlaste se prosím znovu.</t>
  </si>
  <si>
    <t>Din session er udløbet. Log ind igen.</t>
  </si>
  <si>
    <t>Deine Sitzung ist abgelaufen. Bitte erneut einloggen.</t>
  </si>
  <si>
    <t>Η συνεδρία σας έχει λήξει. Συνδεθείτε ξανά.</t>
  </si>
  <si>
    <t>Su sesión ha expirado. Por favor inicie sesión de nuevo.</t>
  </si>
  <si>
    <t>Istuntosi on vanhentunut. Ole hyvä ja kirjaudu sisään uudelleen.</t>
  </si>
  <si>
    <t>Votre session a expiré. Veuillez vous connecter à nouveau.</t>
  </si>
  <si>
    <t>आपका सत्र समाप्त हो गया है। कृपया दोबारा लॉग-इन करें।</t>
  </si>
  <si>
    <t>Munkamenete lejárt, kérjük lépjen be újra.</t>
  </si>
  <si>
    <t>Sesi anda telah berakhir. Silahkan login kembali.</t>
  </si>
  <si>
    <t>Sessione scaduta. Per favore esegui l\'accesso di nuovo.</t>
  </si>
  <si>
    <t>התוקף של הסשן שלך פג. נא להתחבר שוב.</t>
  </si>
  <si>
    <t>セッションが期限切れです。もう一度ログインして下さい。</t>
  </si>
  <si>
    <t>세션이 만료되었습니다. 다시 로그인하세요.</t>
  </si>
  <si>
    <t>Sesi anda telah tamat tempoh. Sila log masuk semula.</t>
  </si>
  <si>
    <t>Uw sessie is verlopen. Log alsjeblieft nogmaals in.</t>
  </si>
  <si>
    <t>Økten din har utløpt. Logg inn igjen.</t>
  </si>
  <si>
    <t>Sesja wygasła. Zaloguj się ponownie.</t>
  </si>
  <si>
    <t>Sua sessão expirou. Por favor faça login novamente.</t>
  </si>
  <si>
    <t>Время вашей сессии истекло. Пожалуйста, войдите снова.</t>
  </si>
  <si>
    <t>Vaša relácia vypršala. Prihláste sa znova.</t>
  </si>
  <si>
    <t>Vaša seja je potekla. Prosimo, prijavite se še enkrat.</t>
  </si>
  <si>
    <t>Sesija je istekla, molimo prijavite se ponovo.</t>
  </si>
  <si>
    <t>Din session löpt ut. Logga in igen.</t>
  </si>
  <si>
    <t>เซสชั่นหมดอายุแล้ว โปรดเข้าสู่ระบบอีกครั้ง</t>
  </si>
  <si>
    <t>Oturumunuz sona erdi. Lütfen tekrar giriş yapın.</t>
  </si>
  <si>
    <t>Phiên của bạn đã hết hạn. Vui lòng đăng nhập lại.</t>
  </si>
  <si>
    <t>您在服务器上的本次登录因闲置不用而到期。请再登入。</t>
  </si>
  <si>
    <t>block_entire_domain</t>
  </si>
  <si>
    <t>Block entire domain</t>
  </si>
  <si>
    <t>حظر إسم النطاق كاملا</t>
  </si>
  <si>
    <t>Блокиране на целия домейн</t>
  </si>
  <si>
    <t>Bloqueja tot el domini</t>
  </si>
  <si>
    <t>Gesamte Domain sperren</t>
  </si>
  <si>
    <t>Bloquear el dominio completo</t>
  </si>
  <si>
    <t>Bloquer le domaine entier</t>
  </si>
  <si>
    <t>Bloquear o dominio ao completo</t>
  </si>
  <si>
    <t>Egész domain blokkolása</t>
  </si>
  <si>
    <t>Blocca intero dominio</t>
  </si>
  <si>
    <t>ドメイン全体をブロック</t>
  </si>
  <si>
    <t>Volledig domein blokkeren</t>
  </si>
  <si>
    <t>Zablokuj całą domenę</t>
  </si>
  <si>
    <t>Заблокировать весь домен</t>
  </si>
  <si>
    <t>Блокирај читав домен</t>
  </si>
  <si>
    <t>Blockera hel domän</t>
  </si>
  <si>
    <t>Заблокувати весь домен</t>
  </si>
  <si>
    <t>封鎖整個網域</t>
  </si>
  <si>
    <t>tt_variable_amount</t>
  </si>
  <si>
    <t>Min. Trading volume</t>
  </si>
  <si>
    <t>الحد الأدنى لحجم التداول</t>
  </si>
  <si>
    <t>Мин. обем на търговия</t>
  </si>
  <si>
    <t>Minimální objem obchodu</t>
  </si>
  <si>
    <t>Min. Handelsvolumen</t>
  </si>
  <si>
    <t>kl. Handelsvolumen</t>
  </si>
  <si>
    <t>Ελάχ. Όγκος συναλλαγών</t>
  </si>
  <si>
    <t>Volumen mín. de trading</t>
  </si>
  <si>
    <t>Min. kaupankäynnin volyymi</t>
  </si>
  <si>
    <t>Volume d\'échanges min.</t>
  </si>
  <si>
    <t>व्यापार की न्यूनतम मात्रा</t>
  </si>
  <si>
    <t>Min. kereskedési volumen</t>
  </si>
  <si>
    <t>Omset minimum</t>
  </si>
  <si>
    <t>נפח מסחר לדקה</t>
  </si>
  <si>
    <t>最小取引量</t>
  </si>
  <si>
    <t>최소 거래량</t>
  </si>
  <si>
    <t>Jumlah dagangan minima</t>
  </si>
  <si>
    <t>Minimale handelsvolume</t>
  </si>
  <si>
    <t>Min. handelsvolum</t>
  </si>
  <si>
    <t>Minimalny wolumen obrotu</t>
  </si>
  <si>
    <t>Min. Volume de negócios</t>
  </si>
  <si>
    <t>Mин. Tорговый объём</t>
  </si>
  <si>
    <t>Min. objem obchodovania</t>
  </si>
  <si>
    <t>Min. Obseg trgovanja</t>
  </si>
  <si>
    <t>Min. Handelsvolym</t>
  </si>
  <si>
    <t>ปริมาณการซื้อขายขั้นต่ำ</t>
  </si>
  <si>
    <t>Min. İşlem hacmi</t>
  </si>
  <si>
    <t>Khối lượng giao dịch tối thiểu</t>
  </si>
  <si>
    <t>最低交易量</t>
  </si>
  <si>
    <t>tt_settlement_price</t>
  </si>
  <si>
    <t>Settlement Price</t>
  </si>
  <si>
    <t>سعر التسوية</t>
  </si>
  <si>
    <t>Цена на сетълмент</t>
  </si>
  <si>
    <t>Vypořádací cena</t>
  </si>
  <si>
    <t>Afregningspris</t>
  </si>
  <si>
    <t>Settlement-Preis</t>
  </si>
  <si>
    <t>Τιμή διακανονισμού</t>
  </si>
  <si>
    <t>Precio de liquidación</t>
  </si>
  <si>
    <t>Tilityshinta</t>
  </si>
  <si>
    <t>Cours de compensation</t>
  </si>
  <si>
    <t>निपटान मूल्य</t>
  </si>
  <si>
    <t>Harga Penyelesaian</t>
  </si>
  <si>
    <t>Prezzo di Regolamento</t>
  </si>
  <si>
    <t>מחיר הסדר</t>
  </si>
  <si>
    <t>清算値段</t>
  </si>
  <si>
    <t>결산 가격</t>
  </si>
  <si>
    <t>Settlement prijs</t>
  </si>
  <si>
    <t>Oppgjørspris</t>
  </si>
  <si>
    <t>Cena rozliczenia</t>
  </si>
  <si>
    <t>Preço de liquidação</t>
  </si>
  <si>
    <t>Расчётная цена</t>
  </si>
  <si>
    <t>Zúčtovacia cena</t>
  </si>
  <si>
    <t>Cena poravnave</t>
  </si>
  <si>
    <t>Saldirana cena</t>
  </si>
  <si>
    <t>Förlikningspris</t>
  </si>
  <si>
    <t>ราคาที่ใช้ชำระราคาทุกสิ้นวัน</t>
  </si>
  <si>
    <t>Uzlaşma Fiyatı</t>
  </si>
  <si>
    <t>Giá thanh toán</t>
  </si>
  <si>
    <t>结算价格</t>
  </si>
  <si>
    <t>qatar</t>
  </si>
  <si>
    <t>Qatar</t>
  </si>
  <si>
    <t>Katar</t>
  </si>
  <si>
    <t>Catar</t>
  </si>
  <si>
    <t>Катар</t>
  </si>
  <si>
    <t>tt_logged_in</t>
  </si>
  <si>
    <t>{1} logged in!</t>
  </si>
  <si>
    <t>{1} سجّل الدخول!</t>
  </si>
  <si>
    <t>{1} влязохте!</t>
  </si>
  <si>
    <t>{1} přihlášeni!</t>
  </si>
  <si>
    <t>{1} logget ind!</t>
  </si>
  <si>
    <t>{1} eingeloggt!</t>
  </si>
  <si>
    <t>{1} συνδεθήκατε!</t>
  </si>
  <si>
    <t>¡Ha iniciado sesion!</t>
  </si>
  <si>
    <t>{1} kirjautunut sisään!</t>
  </si>
  <si>
    <t>{1} लॉग-इन किया!</t>
  </si>
  <si>
    <t>{1} bejelentkezett!</t>
  </si>
  <si>
    <t>{1} daftar masuk!</t>
  </si>
  <si>
    <t>connesso!</t>
  </si>
  <si>
    <t>{1} מחובר!</t>
  </si>
  <si>
    <t>{1} 사용자가 로그인했습니다!</t>
  </si>
  <si>
    <t>{1} innlogget!</t>
  </si>
  <si>
    <t>{1} zalogowany!</t>
  </si>
  <si>
    <t>{1}выполнил вход</t>
  </si>
  <si>
    <t>{1} je prihlásený!</t>
  </si>
  <si>
    <t>{1} prijavljeni!</t>
  </si>
  <si>
    <t>{1} ulogovan</t>
  </si>
  <si>
    <t>{1} inloggad!</t>
  </si>
  <si>
    <t>{1} ลงชื่อเข้าใช้แล้ว!</t>
  </si>
  <si>
    <t>{1} oturum açıldı!</t>
  </si>
  <si>
    <t>{1} đã đăng nhập!</t>
  </si>
  <si>
    <t>{1}登入！</t>
  </si>
  <si>
    <t>&gt;{1} 登入!</t>
  </si>
  <si>
    <t>using_account</t>
  </si>
  <si>
    <t>using account %s</t>
  </si>
  <si>
    <t>أنت تستعمل حساب %s</t>
  </si>
  <si>
    <t>използвайки профила %s</t>
  </si>
  <si>
    <t>Utlitzant el compte %s</t>
  </si>
  <si>
    <t>Verwendetes Konto: %s</t>
  </si>
  <si>
    <t>Usando cuenta %s</t>
  </si>
  <si>
    <t>avec le compte %s</t>
  </si>
  <si>
    <t>utilizando a conta %s</t>
  </si>
  <si>
    <t>használt fiók: %s</t>
  </si>
  <si>
    <t>menggunakan akun %s</t>
  </si>
  <si>
    <t>usando l’account %s</t>
  </si>
  <si>
    <t>アカウント %s を使用</t>
  </si>
  <si>
    <t>met account %s</t>
  </si>
  <si>
    <t>używając konta %s</t>
  </si>
  <si>
    <t>используется аккаунт %s</t>
  </si>
  <si>
    <t>Používa sa účet %s</t>
  </si>
  <si>
    <t>преко налога %s</t>
  </si>
  <si>
    <t>använder konto %s</t>
  </si>
  <si>
    <t>використовується обліковий запис %s</t>
  </si>
  <si>
    <t>đang dùng tài khoản %s</t>
  </si>
  <si>
    <t>用帳戶 %s</t>
  </si>
  <si>
    <t>pref_enter_is_send_summary</t>
  </si>
  <si>
    <t>Use enter key to send message</t>
  </si>
  <si>
    <t>استخدام مفتاح الدخول لإرسال رسالة</t>
  </si>
  <si>
    <t>Натискането на клавиша Enter изпраща съобщението</t>
  </si>
  <si>
    <t>Utilitza el botó enter per enviar el missatge</t>
  </si>
  <si>
    <t>Eingabe-Taste (Enter) zum Versenden einer Nachricht verwenden</t>
  </si>
  <si>
    <t>Usar la tecla intro para enviar el mensaje</t>
  </si>
  <si>
    <t>Utiliser la touche Entrée pour envoyer un message.</t>
  </si>
  <si>
    <t>Utilizar a tecla Enter para enviar mensaxe</t>
  </si>
  <si>
    <t>Használja az Enter-t üzenet küldésre</t>
  </si>
  <si>
    <t>Gunakan enter untuk mengrim pesan</t>
  </si>
  <si>
    <t>Il tasto invio spedisce il messaggio</t>
  </si>
  <si>
    <t>Enter キーをメッセージの送信に使用します</t>
  </si>
  <si>
    <t>엔터 키로 메세지를 보냅니다</t>
  </si>
  <si>
    <t>Gebruik de enter-toets om berichten te versturen</t>
  </si>
  <si>
    <t>Używaj klawisza Enter do wysyłania wiadomości</t>
  </si>
  <si>
    <t>Use o enter para enviar a mensagem</t>
  </si>
  <si>
    <t>Клавиша \"Enter\" отправляет сообщение</t>
  </si>
  <si>
    <t>Použiť klávesu enter na odoslanie správy</t>
  </si>
  <si>
    <t>Користи Ентер тастер за слање порука</t>
  </si>
  <si>
    <t>Använd enter-knappen för att skicka meddelande</t>
  </si>
  <si>
    <t>Використовуйте клавішу enter для відправлення повідомлення</t>
  </si>
  <si>
    <t>Bấm nút Enter để gửi tin nhắn</t>
  </si>
  <si>
    <t>用 Enter 鍵來發送訊息</t>
  </si>
  <si>
    <t>tt_pf_currency</t>
  </si>
  <si>
    <t>Portfolio currency</t>
  </si>
  <si>
    <t>عملة المحفظة</t>
  </si>
  <si>
    <t>Валута на портфолиото</t>
  </si>
  <si>
    <t>Měna portfolia</t>
  </si>
  <si>
    <t>Porteføljevaluta</t>
  </si>
  <si>
    <t>Depotwährung</t>
  </si>
  <si>
    <t>Νόμισμα χαρτοφυλακίου</t>
  </si>
  <si>
    <t>Divisa de la cartera</t>
  </si>
  <si>
    <t>Salkun valuutta</t>
  </si>
  <si>
    <t>Portefeuille de devises</t>
  </si>
  <si>
    <t>पोर्टफोलियो मुद्रा</t>
  </si>
  <si>
    <t>Portfólió devizaneme</t>
  </si>
  <si>
    <t>Mata Uang Portfolio</t>
  </si>
  <si>
    <t>Valuta del portafoglio</t>
  </si>
  <si>
    <t>מטבע של תיק השקעות</t>
  </si>
  <si>
    <t>ポートフォリオの通貨</t>
  </si>
  <si>
    <t>포트폴리오 통화</t>
  </si>
  <si>
    <t>Mata Wang Portfolio</t>
  </si>
  <si>
    <t>Portefeuille valuta</t>
  </si>
  <si>
    <t>Waluta portfela</t>
  </si>
  <si>
    <t>Divisa da carteira</t>
  </si>
  <si>
    <t>Валютный портфель</t>
  </si>
  <si>
    <t>Mena portfólia</t>
  </si>
  <si>
    <t>Valuta portfelja</t>
  </si>
  <si>
    <t>Valuta portolija</t>
  </si>
  <si>
    <t>Portföljvaluta</t>
  </si>
  <si>
    <t>สกุลเงินในพอร์ต</t>
  </si>
  <si>
    <t>Portföy para birimi</t>
  </si>
  <si>
    <t>Tiền tệ trong danh mục đầu tư</t>
  </si>
  <si>
    <t>投资组合币别</t>
  </si>
  <si>
    <t>&gt;投資組合幣別</t>
  </si>
  <si>
    <t>french_polynesia</t>
  </si>
  <si>
    <t>French Polynesia</t>
  </si>
  <si>
    <t>Französisch-Polynesien</t>
  </si>
  <si>
    <t>Polinesia Francesa</t>
  </si>
  <si>
    <t>Polynésie Française</t>
  </si>
  <si>
    <t>Французская Полинезия</t>
  </si>
  <si>
    <t>Francuska Polonezija</t>
  </si>
  <si>
    <t>crash_report_message</t>
  </si>
  <si>
    <t>By sending in stack traces you are helping the ongoing development of Conversations\n</t>
  </si>
  <si>
    <t>بموافقتك على ارسال تقارير الأخطاء ستساعد مبرمجي التطبيق على تحسين جودة التطبيق\n</t>
  </si>
  <si>
    <t>Изпращайки ни проследявания на стека, Вие помагате за непрекъснатото развитие на Conversations\n</t>
  </si>
  <si>
    <t>Amb l\'enviament de bolcats de pila ajudeu al desenvolupament del Conversations\n</t>
  </si>
  <si>
    <t>Durch das Einsenden von Fehlerberichten hilfst du bei der stetigen Verbesserung von Conversations.\n</t>
  </si>
  <si>
    <t>Si envías informes de fallos ayudas al desarrollo de Conversations\n</t>
  </si>
  <si>
    <t>En envoyant des logs, vous aidez le développement de Conversations.\n\n</t>
  </si>
  <si>
    <t>Enviando a recompilación de fallos axudas ao desenvolvemento de Conversations\n</t>
  </si>
  <si>
    <t>Veremkövetések beküldésével segítesz a Conversations folyamatos fejlesztésében\n&amp;lt;b&amp;gt;Figyelem:&amp;lt;/ b&amp;gt; Ez a XMPP fiókodat fogja használni az adatküldéshez.</t>
  </si>
  <si>
    <t>Dengan mengirimkan laporan kesalahan Anda membantu pengembangan Conversations\n&amp;lt;b&amp;gt;Perhatian:&amp;lt;/&amp;gt;Conversations akan menggunakan akun XMPP Anda untuk mengirim laporan kesalahan untuk pengembang.</t>
  </si>
  <si>
    <t>Se scegli di inviare una segnalazione dell’errore aiuterai lo sviluppo di Conversations\n</t>
  </si>
  <si>
    <t>Conversations の継続的な開発を支援するために、スタックトレースをお送りください。\n</t>
  </si>
  <si>
    <t>Stack trace 정보를 보냄으로서 Conversations의 개발에 기여할 수 있습니다. 경고: 이것은 Stack trace 정보를 개발자에게 보내기 위해 당신의 XMPP 계정을 사용할 것입니다.</t>
  </si>
  <si>
    <t>Door het versturen van crashrapportages help je de ontwikkeling van Conversations.\n\n</t>
  </si>
  <si>
    <t>Wysyłając ślady stosu pomagasz rozwijać Conversations\n</t>
  </si>
  <si>
    <t>Ao enviar os stack traces você ajudará o desenvolvimento do aplicativo\n</t>
  </si>
  <si>
    <t>Отправляя отчёты об ошибках, вы помогаете исправить и улучшить Conversations\n</t>
  </si>
  <si>
    <t>Zaslaním detailov o dôvode zlyhania pomáhate ďalšiemu vývoju aplikácie Conversations\n</t>
  </si>
  <si>
    <t>Слањем контратрага помажете текући развој Конверзације\n</t>
  </si>
  <si>
    <t>Genom att skicka in stack traces hjälper du utvecklarna av Conversations\n</t>
  </si>
  <si>
    <t>Надсилаючи траси стеків виклику Ви допомагаєте розробці Розмов, яка продовжується.\n</t>
  </si>
  <si>
    <t>Bằng việc gửi báo cáo hoạt động, bạn đang hỗ trợ nhóm phát triển của Conversations\n</t>
  </si>
  <si>
    <t>發送堆疊跟蹤資訊到 Conversations 的開發人員\n&lt;b警告:&lt;/b 該操作將用您的 XMPP 帳戶發送堆疊跟蹤給開發人員。</t>
  </si>
  <si>
    <t>aggregate_items</t>
  </si>
  <si>
    <t>Group same positions</t>
  </si>
  <si>
    <t>تجميع نفس المواضع</t>
  </si>
  <si>
    <t>Групирай едни и същи позиции</t>
  </si>
  <si>
    <t>Seskupit stejné pozice</t>
  </si>
  <si>
    <t>Gruppér samme positioner</t>
  </si>
  <si>
    <t>Gleiche Positionen gruppieren</t>
  </si>
  <si>
    <t>Ομαδοποιήστε τις ίδιες θέσεις</t>
  </si>
  <si>
    <t>Agrupar mismas posiciones</t>
  </si>
  <si>
    <t>Ryhmittele samat positiot</t>
  </si>
  <si>
    <t>Groupe les mêmes positions</t>
  </si>
  <si>
    <t>समूह समान स्थिति</t>
  </si>
  <si>
    <t>Ugyanolyan pozíciók csoportosítása</t>
  </si>
  <si>
    <t>Kumpulkan posisi yang sama</t>
  </si>
  <si>
    <t>Raggruppa le stesse posizioni</t>
  </si>
  <si>
    <t>קבץ את אותן פוזיציות</t>
  </si>
  <si>
    <t>同じポジションを分類する</t>
  </si>
  <si>
    <t>동일한 포지션으로 그룹화</t>
  </si>
  <si>
    <t>groepeer dezelfde posities</t>
  </si>
  <si>
    <t>Gruppere samme posisjoner</t>
  </si>
  <si>
    <t>Grupuj te same pozycje</t>
  </si>
  <si>
    <t>Agrupar as mesmas posições</t>
  </si>
  <si>
    <t>Сгруппируйте одинаковые позиции</t>
  </si>
  <si>
    <t>Zoskupte rovnaké pozície</t>
  </si>
  <si>
    <t>Združite iste pozicije</t>
  </si>
  <si>
    <t>Grupiši iste pozicije</t>
  </si>
  <si>
    <t>Gruppera samma positioner</t>
  </si>
  <si>
    <t>จัดกลุ่มตำแหน่งที่เหมือนกัน</t>
  </si>
  <si>
    <t>Aynı pozisyonları grupla</t>
  </si>
  <si>
    <t>Ghép nhóm các vị trí giống nhau</t>
  </si>
  <si>
    <t>同项归并</t>
  </si>
  <si>
    <t>tt_fondsdaten</t>
  </si>
  <si>
    <t>Fund data</t>
  </si>
  <si>
    <t>بيانات الصندوق</t>
  </si>
  <si>
    <t>Данни за фонда</t>
  </si>
  <si>
    <t>Údaje o fondu</t>
  </si>
  <si>
    <t>Fondsdata</t>
  </si>
  <si>
    <t>Fondsdaten</t>
  </si>
  <si>
    <t>Δεδομένα κεφαλαίου</t>
  </si>
  <si>
    <t>Datos del fondo</t>
  </si>
  <si>
    <t>Rahastotiedot</t>
  </si>
  <si>
    <t>निधि डेटा</t>
  </si>
  <si>
    <t>Alap adatai</t>
  </si>
  <si>
    <t>Data dana</t>
  </si>
  <si>
    <t>Dati del Fondo</t>
  </si>
  <si>
    <t>נתוני הקרן</t>
  </si>
  <si>
    <t>ファンドデータ</t>
  </si>
  <si>
    <t>펀드 데이터</t>
  </si>
  <si>
    <t>Fondsinformatie</t>
  </si>
  <si>
    <t>Fondets data</t>
  </si>
  <si>
    <t>Dane funduszu</t>
  </si>
  <si>
    <t>Dados do fundo</t>
  </si>
  <si>
    <t>Данные фонда</t>
  </si>
  <si>
    <t>Údaje o fonde</t>
  </si>
  <si>
    <t>Podatki sklada</t>
  </si>
  <si>
    <t>Podaci fonda</t>
  </si>
  <si>
    <t>Fonduppgifter</t>
  </si>
  <si>
    <t>ข้อมูลกองทุน</t>
  </si>
  <si>
    <t>Fon verisi</t>
  </si>
  <si>
    <t>Dữ liệu quỹ</t>
  </si>
  <si>
    <t>基金数据</t>
  </si>
  <si>
    <t>&gt;基金數據</t>
  </si>
  <si>
    <t>cuba</t>
  </si>
  <si>
    <t>Cuba</t>
  </si>
  <si>
    <t>Kuba</t>
  </si>
  <si>
    <t>Куба</t>
  </si>
  <si>
    <t>tt_pf_show_details</t>
  </si>
  <si>
    <t>Position Details</t>
  </si>
  <si>
    <t>تفاصيل المركز المالي</t>
  </si>
  <si>
    <t>Детайли за позицията</t>
  </si>
  <si>
    <t>Detaily pozice</t>
  </si>
  <si>
    <t>Position Detaljer</t>
  </si>
  <si>
    <t>Λεπτομέρειες θέσης</t>
  </si>
  <si>
    <t>Detalles de posición</t>
  </si>
  <si>
    <t>Position tiedot</t>
  </si>
  <si>
    <t>Infos sur la position</t>
  </si>
  <si>
    <t>अवस्थिति का विवरण</t>
  </si>
  <si>
    <t>Részletek megjelenítése</t>
  </si>
  <si>
    <t>Detail Posisi</t>
  </si>
  <si>
    <t>Dettagli di Posizione</t>
  </si>
  <si>
    <t>פרטי פוזיציה</t>
  </si>
  <si>
    <t>ポジション詳細</t>
  </si>
  <si>
    <t>포지션 세부정보</t>
  </si>
  <si>
    <t>Butiran Posisi</t>
  </si>
  <si>
    <t>Positie details</t>
  </si>
  <si>
    <t>Posisjonsdetaljer</t>
  </si>
  <si>
    <t>Szczegóły pozycji</t>
  </si>
  <si>
    <t>Detalhes de posição</t>
  </si>
  <si>
    <t>Информация о позиции</t>
  </si>
  <si>
    <t>Informácie o pozícii</t>
  </si>
  <si>
    <t>Podrobnosti o položaju</t>
  </si>
  <si>
    <t>Detalji pozicije</t>
  </si>
  <si>
    <t>Positionsdetaljer</t>
  </si>
  <si>
    <t>รายละเอียดตำแหน่ง</t>
  </si>
  <si>
    <t>Pozisyon Detayları</t>
  </si>
  <si>
    <t>Chi tiết vị trí</t>
  </si>
  <si>
    <t>持仓明细</t>
  </si>
  <si>
    <t>&gt;位置資料</t>
  </si>
  <si>
    <t>secure_password_generated</t>
  </si>
  <si>
    <t>A secure password has been generated</t>
  </si>
  <si>
    <t>تم توليد كلمة سرية آمنة جديدة</t>
  </si>
  <si>
    <t>Беше създадена сигурна парола</t>
  </si>
  <si>
    <t>S\'ha generat una contrasenya segura</t>
  </si>
  <si>
    <t>Ein sicheres Passwort wurde erstellt</t>
  </si>
  <si>
    <t>Se ha generado una contraseña segura</t>
  </si>
  <si>
    <t>Un mot de passe fort a été généré</t>
  </si>
  <si>
    <t>Xerouse un contrasinal seguro</t>
  </si>
  <si>
    <t>Egy biztonságos jelszó lett létrehozva</t>
  </si>
  <si>
    <t>Password aman berhasil dibuat</t>
  </si>
  <si>
    <t>È stata generata una password sicura</t>
  </si>
  <si>
    <t>安全なパスワードが生成されました</t>
  </si>
  <si>
    <t>안전한 비밀번호가 생성되었습니다</t>
  </si>
  <si>
    <t>Een veilig wachtwoord is aangemaakt</t>
  </si>
  <si>
    <t>Zostało wygenerowane bezpieczne hasło</t>
  </si>
  <si>
    <t>Foi gerada uma palavra-passe segura</t>
  </si>
  <si>
    <t>Пароль был сгенерирован</t>
  </si>
  <si>
    <t>Безбедна лозинка је направљена</t>
  </si>
  <si>
    <t>Ett säkert lösenord har genererats</t>
  </si>
  <si>
    <t>Згенеровано надійний пароль</t>
  </si>
  <si>
    <t>安全密碼已生成</t>
  </si>
  <si>
    <t>angola</t>
  </si>
  <si>
    <t>Angola</t>
  </si>
  <si>
    <t>Ангола</t>
  </si>
  <si>
    <t>write_message_hint</t>
  </si>
  <si>
    <t>Write message...</t>
  </si>
  <si>
    <t>Nachricht schreiben…</t>
  </si>
  <si>
    <t>Escribir mensaje...</t>
  </si>
  <si>
    <t>Écrire un message...</t>
  </si>
  <si>
    <t>Üzenet írása...</t>
  </si>
  <si>
    <t>Написать сообщение...</t>
  </si>
  <si>
    <t>Napiši prouku...</t>
  </si>
  <si>
    <t>pref_broadcast_last_activity_summary</t>
  </si>
  <si>
    <t>Let all your contacts know when you use Conversations</t>
  </si>
  <si>
    <t>دع جهات الاتصال الخاصة بك تعرف عندما تستخدم تطبيق المحادثات Conversations</t>
  </si>
  <si>
    <t>Така всичките Ви контакти ще знаят кога използвате Conversations</t>
  </si>
  <si>
    <t>Permet que tots els contactes sàpiguen quan utilitzis Conversations</t>
  </si>
  <si>
    <t>Informiere deine Kontakte, wann du Conversations nutzt</t>
  </si>
  <si>
    <t>Informar a tus contactos cuando usas Conversations</t>
  </si>
  <si>
    <t>Informer tous vos contacts lorsque vous utitlisez Conversations</t>
  </si>
  <si>
    <t>Permitirlle aos contactos saber cando está a usar Conversations</t>
  </si>
  <si>
    <t>Minden ismerősöd tudja meg, hogy mikor használod a Conversations-t</t>
  </si>
  <si>
    <t>Fai sapere ai tuoi contatti quando usi Conversations</t>
  </si>
  <si>
    <t>Conversations を使用するとき、すべての連絡先に知らせましょう</t>
  </si>
  <si>
    <t>Conversations를 사용하면 모든 친구들에게 알림</t>
  </si>
  <si>
    <t>Laat al je contacten weten wanneer je Conversations gebruikt</t>
  </si>
  <si>
    <t>Powiadamiaj kontakty o tym, że używasz Conversations</t>
  </si>
  <si>
    <t>Извещать контакты когда вы используете Conversations</t>
  </si>
  <si>
    <t>Обзнаните контакту кад користите Конверзацију</t>
  </si>
  <si>
    <t>Låt alla dina kontakter veta när du använder Conversations</t>
  </si>
  <si>
    <t>Дозвольте всім Вашим контактам знати, коли Ви використовуєте Розмови</t>
  </si>
  <si>
    <t>讓你的所有連絡人知道你使用Conversations的時間</t>
  </si>
  <si>
    <t>share_as_http</t>
  </si>
  <si>
    <t>Share as HTTP link</t>
  </si>
  <si>
    <t>شاركه كرابط HTTP</t>
  </si>
  <si>
    <t>Споделяне като връзка в Интернет</t>
  </si>
  <si>
    <t>Comparteix com a enllaç HTTP</t>
  </si>
  <si>
    <t>Als HTTP Link teilen</t>
  </si>
  <si>
    <t>Compartir como link HTTP</t>
  </si>
  <si>
    <t>Partager par lien HTTP</t>
  </si>
  <si>
    <t>Compartir como ligazón HTTP</t>
  </si>
  <si>
    <t>Megosztás HTTP linkkel</t>
  </si>
  <si>
    <t>Condividi come link HTTP</t>
  </si>
  <si>
    <t>HTTP リンクとして共有</t>
  </si>
  <si>
    <t>HTTP 링크로 공유</t>
  </si>
  <si>
    <t>Delen als HTTP-link</t>
  </si>
  <si>
    <t>Udostępnij przez link HTTP</t>
  </si>
  <si>
    <t>Отправить HTTP ссылку</t>
  </si>
  <si>
    <t>Подели као ХТТП везу</t>
  </si>
  <si>
    <t>Dela som HTTP länk</t>
  </si>
  <si>
    <t>Поділитися посиланням HTTP</t>
  </si>
  <si>
    <t>分享網頁連結</t>
  </si>
  <si>
    <t>disable_encryption</t>
  </si>
  <si>
    <t>Disable encryption</t>
  </si>
  <si>
    <t>تعطيل التعمية</t>
  </si>
  <si>
    <t>Изключване на шифроването</t>
  </si>
  <si>
    <t>Desactiva el xifratge</t>
  </si>
  <si>
    <t>Verschlüsselung deaktivieren</t>
  </si>
  <si>
    <t>Deshabilitar cifrado</t>
  </si>
  <si>
    <t>Désactiver le chiffrement</t>
  </si>
  <si>
    <t>Desactivar a encriptación</t>
  </si>
  <si>
    <t>A titkosítás letiltása</t>
  </si>
  <si>
    <t>Disattiva la cifratura</t>
  </si>
  <si>
    <t>暗号化をしない</t>
  </si>
  <si>
    <t>Versleuteling uitschakelen</t>
  </si>
  <si>
    <t>Wyłącz szyfrowanie</t>
  </si>
  <si>
    <t>Отключить шифрование</t>
  </si>
  <si>
    <t>remove_chat_message_instructions</t>
  </si>
  <si>
    <t>Remove Chat Message:</t>
  </si>
  <si>
    <t>Chat-Nachricht entfernen:</t>
  </si>
  <si>
    <t>Eliminar mensaje de chat:</t>
  </si>
  <si>
    <t>Supprimer Message de Chat:</t>
  </si>
  <si>
    <t>Cset üzenet eltávolítása:</t>
  </si>
  <si>
    <t>Убрать сообщение чата:</t>
  </si>
  <si>
    <t>Obriši čet poruku:</t>
  </si>
  <si>
    <t>pref_show_dynamic_tags_summary</t>
  </si>
  <si>
    <t>Display read-only tags underneath contacts</t>
  </si>
  <si>
    <t>عرض علامات للقراءة فقط أسفل بيانات جهات الإتصال</t>
  </si>
  <si>
    <t>Показване на етикети, предназначени само за четене под контактите</t>
  </si>
  <si>
    <t>Mostra etiquetes de nomès lectura per sota dels noms dels contactes</t>
  </si>
  <si>
    <t>Schreibgeschütze Tags unterhalb der Kontakte anzeigen</t>
  </si>
  <si>
    <t>Mostrar información en forma de etiquetas debajo de los contactos</t>
  </si>
  <si>
    <t>Afficher des tags en lecture seule en dessous des contacts.</t>
  </si>
  <si>
    <t>Mostrar etiquetas de só lectura baixo os contactos</t>
  </si>
  <si>
    <t>Információs címkék megjelenítése a partnerek alatt</t>
  </si>
  <si>
    <t>Tampilan read-only tag di bawah kontak</t>
  </si>
  <si>
    <t>Mostra tag in sola lettura sotto i contatti</t>
  </si>
  <si>
    <t>連絡先の下に、読み取り専用タグを表示します</t>
  </si>
  <si>
    <t>연락처 밑에 읽기 전용 태그 표시</t>
  </si>
  <si>
    <t>Toon enkel-lezen tags onder contacten</t>
  </si>
  <si>
    <t>Wyświetlaj etykiety pod kontaktami</t>
  </si>
  <si>
    <t>Mostrar tags read-only debaixo dos contactos</t>
  </si>
  <si>
    <t>Отображать теги только для чтения под контактами</t>
  </si>
  <si>
    <t>Zobraziť etikety na čítanie pod kontakty</t>
  </si>
  <si>
    <t>Приказ ознака испод контаката</t>
  </si>
  <si>
    <t>Visa skrivskyddade taggar under kontakter</t>
  </si>
  <si>
    <t>Показувати мітки \"лише для читання\" під контактами</t>
  </si>
  <si>
    <t>Hiện nhãn chỉ đọc bên dưới các liên hệ</t>
  </si>
  <si>
    <t>在連絡人下方顯示唯讀標籤</t>
  </si>
  <si>
    <t>mgmt_account_publish_avatar</t>
  </si>
  <si>
    <t>Publish avatar</t>
  </si>
  <si>
    <t>نشر الصورة الرمزية</t>
  </si>
  <si>
    <t>Публикуване на аватар</t>
  </si>
  <si>
    <t>Publica l\'avatar</t>
  </si>
  <si>
    <t>Avatar veröffentlichen</t>
  </si>
  <si>
    <t>Publier un avatar</t>
  </si>
  <si>
    <t>Publicar avatar</t>
  </si>
  <si>
    <t>Önarckép megadása</t>
  </si>
  <si>
    <t>Publikasikan avatar</t>
  </si>
  <si>
    <t>Pubblica avatar</t>
  </si>
  <si>
    <t>アバターを公開</t>
  </si>
  <si>
    <t>아바타 공개</t>
  </si>
  <si>
    <t>Avatar publiceren</t>
  </si>
  <si>
    <t>Publikuj awatar</t>
  </si>
  <si>
    <t>Publicar o avatar</t>
  </si>
  <si>
    <t>Разместить аватар</t>
  </si>
  <si>
    <t>Zverejniť avatar</t>
  </si>
  <si>
    <t>Објави аватар</t>
  </si>
  <si>
    <t>Publicera avatarbild</t>
  </si>
  <si>
    <t>Опублікувати аватар</t>
  </si>
  <si>
    <t>Đăng ảnh đại diện</t>
  </si>
  <si>
    <t>發佈頭像</t>
  </si>
  <si>
    <t>tt_edgar_total_liabilities</t>
  </si>
  <si>
    <t>Total Liabilities</t>
  </si>
  <si>
    <t>مجموع الخصوم</t>
  </si>
  <si>
    <t>Общи задължения</t>
  </si>
  <si>
    <t>Pasiva celkem</t>
  </si>
  <si>
    <t>Total passiver</t>
  </si>
  <si>
    <t>Passiva, gesamt</t>
  </si>
  <si>
    <t>Σύνολο υποχρεώσεων</t>
  </si>
  <si>
    <t>Pasivo total</t>
  </si>
  <si>
    <t>Velat yhteensä</t>
  </si>
  <si>
    <t>Total des passifs</t>
  </si>
  <si>
    <t>कुल देयताएँ</t>
  </si>
  <si>
    <t>Jumlah Liabilitas</t>
  </si>
  <si>
    <t>Totale passività</t>
  </si>
  <si>
    <t>סה"כ התחייבויות</t>
  </si>
  <si>
    <t>負債合計</t>
  </si>
  <si>
    <t>부채총액</t>
  </si>
  <si>
    <t>Jumlah Liabiliti</t>
  </si>
  <si>
    <t>Totale Passiva / aansprakelijkheid</t>
  </si>
  <si>
    <t>Sum forpliktelser</t>
  </si>
  <si>
    <t>Zobowiązania ogółem</t>
  </si>
  <si>
    <t>Passivo total</t>
  </si>
  <si>
    <t>Общая сумма обязательств</t>
  </si>
  <si>
    <t>Celkové pasíva</t>
  </si>
  <si>
    <t>Skupne obveznosti</t>
  </si>
  <si>
    <t>Ukupne obaveze</t>
  </si>
  <si>
    <t>Sammanlagda skulder</t>
  </si>
  <si>
    <t>ยอดรวมหนี้สิน</t>
  </si>
  <si>
    <t>Toplam Yükümlülükler</t>
  </si>
  <si>
    <t>Tổng nợ phải trả</t>
  </si>
  <si>
    <t>负债总计</t>
  </si>
  <si>
    <t>tt_news_language</t>
  </si>
  <si>
    <t>News language</t>
  </si>
  <si>
    <t>Език на новините</t>
  </si>
  <si>
    <t>Jazyk zpráv</t>
  </si>
  <si>
    <t>Nyhedssprog</t>
  </si>
  <si>
    <t>Nachrichtensprache</t>
  </si>
  <si>
    <t>Γλώσσα ειδήσεων</t>
  </si>
  <si>
    <t>Idioma de las noticias</t>
  </si>
  <si>
    <t>Uutisten kieli</t>
  </si>
  <si>
    <t>Nouvelle langue</t>
  </si>
  <si>
    <t>Új nyelvek</t>
  </si>
  <si>
    <t>Bahasa berita</t>
  </si>
  <si>
    <t>La lingua delle notizie</t>
  </si>
  <si>
    <t>ニュースの言語</t>
  </si>
  <si>
    <t>뉴스 언어</t>
  </si>
  <si>
    <t>Nieuwstaal</t>
  </si>
  <si>
    <t>Nyhetsspråk</t>
  </si>
  <si>
    <t>Język wiadomości</t>
  </si>
  <si>
    <t>Idioma das notícias</t>
  </si>
  <si>
    <t>Limba știrilor</t>
  </si>
  <si>
    <t>Язык новостей</t>
  </si>
  <si>
    <t>Jazyk správ</t>
  </si>
  <si>
    <t>Jezk novic</t>
  </si>
  <si>
    <t>Jezik vesti</t>
  </si>
  <si>
    <t>Haber dili</t>
  </si>
  <si>
    <t>资讯语言</t>
  </si>
  <si>
    <t>tt_reorder_watchlists</t>
  </si>
  <si>
    <t>Reorder watchlists</t>
  </si>
  <si>
    <t>Пренареждане на списъците за наблюдение</t>
  </si>
  <si>
    <t>Změnit pořadí seznamu sledovaných</t>
  </si>
  <si>
    <t>Omarranger overvågningslister</t>
  </si>
  <si>
    <t>Αναδιάταξη λιστών παρακολούθησης</t>
  </si>
  <si>
    <t>Reordenar las listas de seguimiento</t>
  </si>
  <si>
    <t>Järjestä seurantalista uudelleen</t>
  </si>
  <si>
    <t>Réorganiser les listes de surveillance</t>
  </si>
  <si>
    <t>Figyelőlisták újrarendezése</t>
  </si>
  <si>
    <t>Urutkan ulang daftar tonton</t>
  </si>
  <si>
    <t>Riordina le liste degli oggetti osservati</t>
  </si>
  <si>
    <t>警戒リストを並べ替える</t>
  </si>
  <si>
    <t>Susun semula senarai pantau</t>
  </si>
  <si>
    <t>Lijsten herindelen</t>
  </si>
  <si>
    <t>Omorganiser overvåkningsliste</t>
  </si>
  <si>
    <t>Zmień kolejność list, które obserwujesz</t>
  </si>
  <si>
    <t>Reorganizar listas de observação</t>
  </si>
  <si>
    <t>Rearanjează listele de urmărire</t>
  </si>
  <si>
    <t>Изменить порядок списков наблюдения</t>
  </si>
  <si>
    <t>Nahraté zoznamy sledovaných položiek</t>
  </si>
  <si>
    <t>Preuredite sezname nadzora</t>
  </si>
  <si>
    <t>Ombeställa Bevaknings-lista</t>
  </si>
  <si>
    <t>İzleme listelerini yeniden sırala</t>
  </si>
  <si>
    <t>重新排列观察列表</t>
  </si>
  <si>
    <t>delete_portfolio</t>
  </si>
  <si>
    <t>Delete Portfolio</t>
  </si>
  <si>
    <t>Изтриване на портфолио</t>
  </si>
  <si>
    <t>Vymazat portfolio</t>
  </si>
  <si>
    <t>Slet portefølje</t>
  </si>
  <si>
    <t>Διαγραφή χαρτοφυλακίου</t>
  </si>
  <si>
    <t>Eliminar cartera</t>
  </si>
  <si>
    <t>Poista salkku</t>
  </si>
  <si>
    <t>Supprimer le portefeuille</t>
  </si>
  <si>
    <t>Portfólió törlése</t>
  </si>
  <si>
    <t>Hapus Portofolio</t>
  </si>
  <si>
    <t>Elimina portafogli</t>
  </si>
  <si>
    <t>ポートフォリオを削除</t>
  </si>
  <si>
    <t>Padam Portfolio</t>
  </si>
  <si>
    <t>Portfolio verwijderen</t>
  </si>
  <si>
    <t>Slett portefølje</t>
  </si>
  <si>
    <t>Usuń portfel</t>
  </si>
  <si>
    <t>Excluir portfólio</t>
  </si>
  <si>
    <t>Șterge Portofoliul</t>
  </si>
  <si>
    <t>Удалить портфель</t>
  </si>
  <si>
    <t>Odstrániť portfólio</t>
  </si>
  <si>
    <t>Izbriši portfelj</t>
  </si>
  <si>
    <t>Ta bort Mapp</t>
  </si>
  <si>
    <t>Portföyü sil</t>
  </si>
  <si>
    <t>删除投资组合</t>
  </si>
  <si>
    <t>reorder_portfolios</t>
  </si>
  <si>
    <t>Reorder portfolios</t>
  </si>
  <si>
    <t>Пренареждане на портфолиа</t>
  </si>
  <si>
    <t>Změnit pořadí portfolií</t>
  </si>
  <si>
    <t>Omarranger porteføljer</t>
  </si>
  <si>
    <t>Αναδιάταξη χαρτοφυλακίων</t>
  </si>
  <si>
    <t>Reordenar carteras</t>
  </si>
  <si>
    <t>Järjestä salkku uudelleen</t>
  </si>
  <si>
    <t>Réorganiser les portefeuilles</t>
  </si>
  <si>
    <t>Portfóliók újrarendezése</t>
  </si>
  <si>
    <t>Urutkan ulang portofolio</t>
  </si>
  <si>
    <t>Riordina i portafogli</t>
  </si>
  <si>
    <t>ポートフォリオを並べ替える</t>
  </si>
  <si>
    <t>Susun semula portfolio</t>
  </si>
  <si>
    <t>Portfolio\'s herindelen</t>
  </si>
  <si>
    <t>Omorganiser porteføljer</t>
  </si>
  <si>
    <t>Zmień kolejność portfeli</t>
  </si>
  <si>
    <t>Reorganizar portfólios</t>
  </si>
  <si>
    <t>Rearanjează portofoliile</t>
  </si>
  <si>
    <t>Изменить порядок портфелей</t>
  </si>
  <si>
    <t>Nahraté portfóliá</t>
  </si>
  <si>
    <t>Preuredite portfelje</t>
  </si>
  <si>
    <t>Ombeställa mappar</t>
  </si>
  <si>
    <t>Portföyleri yeniden sırala</t>
  </si>
  <si>
    <t>重新排列投资组合</t>
  </si>
  <si>
    <t>raiffeisen_dialog_header</t>
  </si>
  <si>
    <t>Raiffeisen RESEARCH</t>
  </si>
  <si>
    <t>raiffeisen_dialog_body</t>
  </si>
  <si>
    <t>ALL-ROUND VIEW OF STOCK ITEMS \n The “Raiffeisen RESEARCH Stock Single Stock Scoring” is a purely quantitative model in which a 360 ° view of the attractiveness of a company\'s stock compared to a broad universe of different ratios is possible using twelve different indicators (factors) Shares is made possible. \n A portfolio of shares that, viewed historically, had a high total value (score for short) on a given date performed better on average in a subsequent comparison period than one consisting of shares with a low score. A company can have a score between 1 and 100.</t>
  </si>
  <si>
    <t>RUNDUMSICHT AUF AKTIENTITEL\nBeim „Raiffeisen RESEARCH Aktieneinzeltitel-Scoring“ handelt es sich um ein rein quantitatives Modell, in dem mittels zwölf möglichst unterschiedlicher Kennzahlen (Faktoren) ein 360°-Blick auf die Attraktivität der Aktie eines Unternehmens im Vergleich zu einem breiten Universum verschiedener Aktien ermöglicht wird.\n Ein Portfolio aus Aktien die, historisch betrachtet, an einem Stichtag einen hohen Gesamtwert (kurz: Score) aufwiesen, ist in einem darauffolgenden Vergleichszeitraum im Schnitt besser gelaufen, als eines bestehend aus Aktien mit einem niedrigen Score. Ein Unternehmen kann einen Score zwischen 1 und 100 aufweisen.</t>
  </si>
  <si>
    <t>raiffeisen_dialog_footer</t>
  </si>
  <si>
    <t>Further information from Raiffeisen</t>
  </si>
  <si>
    <t>Veitere Informationene von Raiffeisen</t>
  </si>
  <si>
    <t>pro_info_market_depth_primary_header</t>
  </si>
  <si>
    <t>The view \"market depth\" is an advanced feature available for professional users.</t>
  </si>
  <si>
    <t>طريقة العرض \"عمق السوق \" هي ميزة متقدمة للمستخدمين المحترفين.</t>
  </si>
  <si>
    <t>Изгледът „дълбочина на пазара“ е допълнителна функция, достъпна за професионални потребители.</t>
  </si>
  <si>
    <t>Náhled „hloubka trhu“ je pokročilá funkce dostupná profesionálním uživatelům.</t>
  </si>
  <si>
    <t>Visningen "markedsdybde" er en avanceret funktion, der er tilgængelig for professionelle brugere.</t>
  </si>
  <si>
    <t>Die Ansicht \"Market Tiefe\" ist eine erweiterte Funktion für professionelle Benutzer.</t>
  </si>
  <si>
    <t>Η προβολή \"βάθος αγοράς\" είναι μια προηγμένη λειτουργία που είναι διαθέσιμη σε επαγγελματίες χρήστες.</t>
  </si>
  <si>
    <t>La vista \"profundidad de mercado\" es una función avanzada disponible para usuarios profesionales.</t>
  </si>
  <si>
    <t>\"Markkinoiden syvyys\" -näkymä on lisäominaisuus, joka on vain ammattilaiskäyttäjien käytettävissä.</t>
  </si>
  <si>
    <t>La visualisation de la \« profondeur du marché \» est une fonctionnalité avancée disponible pour les utilisateurs professionnels.</t>
  </si>
  <si>
    <t>A \"piaci mélység\" nézet a professzionális felhasználók számára elérhető speciális funkció.</t>
  </si>
  <si>
    <t>Tampilan \"kedalaman pasar\" adalah fitur lanjutan yang tersedia untuk pengguna profesional.</t>
  </si>
  <si>
    <t>La visualizzazione \"profondità del mercato\" è una funzionalità avanzata per utenti professionisti.</t>
  </si>
  <si>
    <t>「市場の深さ」ビューは、プロのユーザーが利用できる高度な機能です。</t>
  </si>
  <si>
    <t>View \"Market Depth\"은 전문 사용자가 사용할 수있는 고급 기능입니다.</t>
  </si>
  <si>
    <t>Pandangan \"kedalaman pasaran\" adalah ciri lanjutan yang tersedia untuk pengguna profesional.</t>
  </si>
  <si>
    <t>Het overzicht "Marktdiepte" is een geavanceerde functie voor professionele gebruikers.</t>
  </si>
  <si>
    <t>Visningen \"markedsinnsikt\" er en avansert funksjon tilgjengelig for profesjonelle brukere.</t>
  </si>
  <si>
    <t>Podgląd, w którym widzisz stronę „głębokość rynku”, to funkcja zaawansowana, dostępna dla użytkowników profesjonalnych.</t>
  </si>
  <si>
    <t>A visualização \"profundidade do mercado\" é um recurso avançado disponível para usuários profissionais.</t>
  </si>
  <si>
    <t>Vizionarea „adâncimea pieței” este o caracteristică avansată disponibilă pentru utilizatorii profesioniști.</t>
  </si>
  <si>
    <t>Просмотр «глубины рынка» — это расширенная функция, доступная для профессиональных пользователей.</t>
  </si>
  <si>
    <t>Zobrazenie \"hĺbky trhu\" je pokročilá funkcia, ktorá je dostupná pre profesionálnych používateľov.</t>
  </si>
  <si>
    <t>Pogled \"globina trga\" je napredna funkcija, ki je na voljo profesionalnim uporabnikom.</t>
  </si>
  <si>
    <t>Pogled \"Dubina tržišta\" je napredna funkcija za profesionalne korisnike.</t>
  </si>
  <si>
    <t>Vyn ”marknadsdjup” är en avancerad funktion som är tillgänglig för Professionella Användare.</t>
  </si>
  <si>
    <t>\"Market derinliği\" görünümü, profesyonel kullanıcılara yönelik gelişmiş bir özelliktir.</t>
  </si>
  <si>
    <t>“市场深度”视图是专业用户可用的高级功能。</t>
  </si>
  <si>
    <t>pro_info_bid_ask_primary_header</t>
  </si>
  <si>
    <t>The view \"bid/ask\" is an advanced feature available for professional users.</t>
  </si>
  <si>
    <t>طريقة العرض \"BID / ASK\" هي ميزة متقدمة متاحة للمستخدمين المحترفين.</t>
  </si>
  <si>
    <t>Изгледът „оферта/искане“ е допълнителна функция, достъпна за професионални потребители.</t>
  </si>
  <si>
    <t>Náhled „nabídka/poptávka“ je pokročilá funkce dostupná profesionálním uživatelům.</t>
  </si>
  <si>
    <t>Visningen "bud/spørg" er en avanceret funktion, der er tilgængelig for professionelle brugere.</t>
  </si>
  <si>
    <t>Die Ansicht \"BID / ASK\" ist eine erweiterte Funktion für professionelle Benutzer.</t>
  </si>
  <si>
    <t>Η προβολή \"προσφορά/ζήτηση\" είναι μια προηγμένη λειτουργία που είναι διαθέσιμη σε επαγγελματίες χρήστες.</t>
  </si>
  <si>
    <t>La vista \"oferta/demanda\" es una función avanzada disponible para usuarios profesionales.</t>
  </si>
  <si>
    <t>\"Tarjoa/pyydä\"-näkymä on lisäominaisuus, joka on vain ammattilaiskäyttäjien käytettävissä.</t>
  </si>
  <si>
    <t>La vue \"bid/ask\" (écart acheteur-vendeur) est une fonctionnalité avancée disponible pour les utilisateurs professionnels.</t>
  </si>
  <si>
    <t>A \"bid/ask\" (ajánlati ár/eladási ár) nézet egy, a professzionális felhasználók számára elérhető speciális funkció.</t>
  </si>
  <si>
    <t>Tampilan \"bid/ask\" adalah fitur lanjutan yang tersedia untuk pengguna profesional.</t>
  </si>
  <si>
    <t>La visualizzazione \"offri/chiedi\" è una funzionalità avanzata disponibile per utenti professionisti.</t>
  </si>
  <si>
    <t>「入札/提示」ビューは、プロのユーザーが利用できる高度な機能です。</t>
  </si>
  <si>
    <t>view \"bid / ask\"는 전문 사용자가 사용할 수있는 고급 기능입니다.</t>
  </si>
  <si>
    <t>Pandangan \"bida/tanya\" adalah ciri lanjutan yang tersedia untuk pengguna profesional.</t>
  </si>
  <si>
    <t>Het overzicht "Bieden/vragen" is een geavanceerde functie voor professionele gebruikers.</t>
  </si>
  <si>
    <t>Visningen \"by/spør\" er en avansert funksjon tilgjengelig for profesjonelle brukere.</t>
  </si>
  <si>
    <t>Podgląd, w którym widzisz stronę „aukcja”, to funkcja zaawansowana, dostępna dla użytkowników profesjonalnych.</t>
  </si>
  <si>
    <t>A visualização \"fazer um lance/perguntar\" é um recurso avançado disponível para usuários profissionais.</t>
  </si>
  <si>
    <t>Vizionarea „licitează/cere” este o caracteristică avansată disponibilă pentru utilizatorii profesioniști.</t>
  </si>
  <si>
    <t>Вид «сделать ставку/спросить» — это расширенная функция, доступная для профессиональных пользователей.</t>
  </si>
  <si>
    <t>Zobrazenie \"ponuka/žiadosť\" je pokročilá funkcia, ktorá je dostupná pre profesionálnych používateľov.</t>
  </si>
  <si>
    <t>Pogled »ponudi / povprašaj« je napredna funkcija, ki je na voljo profesionalnim uporabnikom.</t>
  </si>
  <si>
    <t>Pogled \"ponuda/tražnja\" je napredna funkcija za profesionalne korisnike.</t>
  </si>
  <si>
    <t>Vyn ”bjuda/fråga” är en avancerad funktion som är tillgänglig för Professionella användare.</t>
  </si>
  <si>
    <t>\"Alım/satım\" görünümü, profesyonel kullanıcılara yönelik gelişmiş bir özelliktir.</t>
  </si>
  <si>
    <t>“出价/要价”视图是专业用户可用的高级功能。</t>
  </si>
  <si>
    <t>pro_info_secondary_header</t>
  </si>
  <si>
    <t>If you are a professional user of the WebStation or WorkStation, please login now.</t>
  </si>
  <si>
    <t>Ако сте професионален потребител на „WebStation“ или „WorkStation“, моля, влезте сега.</t>
  </si>
  <si>
    <t>Jestliže jste profesionálním uživatelem \'WebStation\' nebo \'WorkStation\', nyní se prosím přihlaste.</t>
  </si>
  <si>
    <t>Hvis du er en professionel bruger af \'WebStation\' eller \'WorkStation\', log på nu.</t>
  </si>
  <si>
    <t>Εάν είστε επαγγελματίας χρήστης του \"WebStation\" ή του \"WorkStation\", συνδεθείτε τώρα.</t>
  </si>
  <si>
    <t>Si usted es un usuario profesional de \"WebStation\" o de \"WorkStation\", por favor inicie sesión ahora.</t>
  </si>
  <si>
    <t>Jos olet WebStationin tai WorkStationin ammattilaiskäyttäjä, kirjaudu sisään.</t>
  </si>
  <si>
    <t>Si vous êtes un utilisateur professionnel de la \'WebStation\' ou de la \'WorkStation\', veuillez vous connecter maintenant.</t>
  </si>
  <si>
    <t>Ha Ön a \"WebStation\" vagy a \"WorkStation\" professzionális felhasználója, kérjük, jelentkezzen be most.</t>
  </si>
  <si>
    <t>Jika Anda adalah pengguna profesional \'WebStation\' atau \'WorkStation\', harap login sekarang.</t>
  </si>
  <si>
    <t>Se sei un utente professionista della \"Stazione web\" o della \"postazione di lavoro\", accedi adesso.</t>
  </si>
  <si>
    <t>「WebStation」または「WorkStation」のプロのユーザーであるなら、今すぐログインしてください。</t>
  </si>
  <si>
    <t>Sekiranya anda pengguna profesional \"WebStation\" atau \"WorkStation\", sila log masuk sekarang.</t>
  </si>
  <si>
    <t>Log nu in als u een professionele gebruiker bent vna "WebStation" of "WorkStation".</t>
  </si>
  <si>
    <t>Dersom du er en profesjonell bruker av \'WebStation\' eller \'WorkStation\', kan du logge inn nå.</t>
  </si>
  <si>
    <t>Jeśli jesteś profesjonalnym użytkownikiem „WebStation” lub „WorkStation”, prosimy, zaloguj się teraz.</t>
  </si>
  <si>
    <t>Se você é um usuário profissional da \"Estação da Web\" ou da \"Estação de trabalho\", faça login agora.</t>
  </si>
  <si>
    <t>Dacă ești un utilizator profesionist al \„WebStation\” sau al \„WorkStation\”, te rugăm să te autentifici acum.</t>
  </si>
  <si>
    <t>Если вы профессиональный пользователь WebStation или WorkStation, пожалуйста, выполните вход сейчас.</t>
  </si>
  <si>
    <t>Ak ste profesionálny používateľ \"webovej stanice\" alebo \"Pracovnej stanice\", prihláste sa teraz.</t>
  </si>
  <si>
    <t>Če ste poklicni uporabnik \"WebStation\" ali \"WorkStation\", se prijavite zdaj.</t>
  </si>
  <si>
    <t>Ako ste profesionalni korisnik \"Webstation\" ili \"Workastation\", prijavite se sada.</t>
  </si>
  <si>
    <t>Om du är en professionell användare av ”Webstation”, eller ”Workstation”, vänligen logga in nu.</t>
  </si>
  <si>
    <t>Profesyonel bir \"Webstation\" veya \"Workstation\" kullanıcısıysanız, lütfen şimdi oturum açın.</t>
  </si>
  <si>
    <t>如果您是“WebStation”或“WorkStation”的专业用户，请立即登录。</t>
  </si>
  <si>
    <t>pro_info_footer_1</t>
  </si>
  <si>
    <t>If you are interested in our solutions for professionals,</t>
  </si>
  <si>
    <t>Ако се интересувате от нашите решения за професионалисти,</t>
  </si>
  <si>
    <t>Jestliže máte zájem o naše řešení pro profesionály,</t>
  </si>
  <si>
    <t>Hvis du er interesseret i vores løsninger til professionelle,</t>
  </si>
  <si>
    <t>Εάν σας ενδιαφέρουν οι λύσεις μας για επαγγελματίες,</t>
  </si>
  <si>
    <t>Si está interesado en nuestras soluciones para profesionales,</t>
  </si>
  <si>
    <t>Jos olet kiinnostunut ammattilaisille tarjoamistamme ratkaisuista,</t>
  </si>
  <si>
    <t>Si vous êtes intéressé par nos solutions pour professionnels,</t>
  </si>
  <si>
    <t>Ha érdeklik a szakembereknek szánt megoldásaink,</t>
  </si>
  <si>
    <t>Jika Anda tertarik dengan solusi kami untuk para profesional,</t>
  </si>
  <si>
    <t>Se sei interessato alle nostre soluzioni per professionisti,</t>
  </si>
  <si>
    <t>プロ向けのソリューションに興味がある方は、</t>
  </si>
  <si>
    <t>Sekiranya anda berminat dengan penyelesaian kami untuk profesional,</t>
  </si>
  <si>
    <t>Als u geïnteresseerd bent in onze oplossingen voor professionals,</t>
  </si>
  <si>
    <t>Dersom du er interessert i våre løsninger for fagpersoner,</t>
  </si>
  <si>
    <t>Jeśli jesteś zainteresowany naszymi rozwiązaniami dla profesjonalistów,</t>
  </si>
  <si>
    <t>Se tiver interesse em nossas soluções para profissionais,</t>
  </si>
  <si>
    <t>Dacă ești interesat în soluțiile noastre pentru profesioniști,</t>
  </si>
  <si>
    <t>Если вас интересуют наши решения для профессионалов,</t>
  </si>
  <si>
    <t>Ak máte záujem o naše riešenia pre profesionálov,</t>
  </si>
  <si>
    <t>Če vas zanimajo naše rešitve za strokovnjake,</t>
  </si>
  <si>
    <t>posetite baha.com ili kontaktirajte nas direktno.</t>
  </si>
  <si>
    <t>Om du är intresserad av våra lösningar för Professionella,</t>
  </si>
  <si>
    <t>Profesyonellere yönelik çözümlerimizle ilgileniyorsanız,</t>
  </si>
  <si>
    <t>如果您希望了解我们为专业人士提供的解决方案，</t>
  </si>
  <si>
    <t>pro_info_footer_2</t>
  </si>
  <si>
    <t>please visit baha.com or contact us directly.</t>
  </si>
  <si>
    <t>моля, посетете baha.com или свържете се с нас директно.</t>
  </si>
  <si>
    <t>navštivte prosím server baha.com nebo nás přímo kontaktujte.</t>
  </si>
  <si>
    <t>besøg baha.com eller kontakt os direkte.</t>
  </si>
  <si>
    <t>παρακαλούμε επισκεφθείτε το baha.com ή επικοινωνύηστε μαζί μας άμεσα.</t>
  </si>
  <si>
    <t>por favor, visite baha.com o comuníquese con nosotros directamente.</t>
  </si>
  <si>
    <t>käy osoitteessa baha.com tai ota meihin suoraan yhteyttä.</t>
  </si>
  <si>
    <t>veuillez vous rendre sur baha.com ou contactez-nous directement.</t>
  </si>
  <si>
    <t>kérjük, látogasson el a baha.com oldalra, vagy lépjen velünk kapcsolatba közvetlenül.</t>
  </si>
  <si>
    <t>kunjungi baha.com atau hubungi kami secara langsung.</t>
  </si>
  <si>
    <t>visita il sito baha.com o mettiti direttamente in contatto con noi.</t>
  </si>
  <si>
    <t>baha.comにアクセスするか、直接当社までご連絡ください。</t>
  </si>
  <si>
    <t>Baha.com을 방문하거나 직접 문의하십시오.</t>
  </si>
  <si>
    <t>sila lawati baha.com atau hubungi kami.</t>
  </si>
  <si>
    <t>ga dan naar baha.com of neem direct contact met ons op.</t>
  </si>
  <si>
    <t>kan du besøke baha.com eller kontakte oss direkte.</t>
  </si>
  <si>
    <t>prosimy, odwiedź adres baha.com albo skontaktuj się z nami bezpośrednio.</t>
  </si>
  <si>
    <t>acesse baha.com ou entre em contato conosco diretamente.</t>
  </si>
  <si>
    <t>te rugăm să vizitezi baha.com sau să ne contactezi direct.</t>
  </si>
  <si>
    <t>посетите сайт baha.com или свяжитесь с нами напрямую.</t>
  </si>
  <si>
    <t>navštívte lokalitu baha.com alebo nás priamo kontaktujte.</t>
  </si>
  <si>
    <t>prosimo da obiščite baha.com ali nas kontaktirajte neposredno.</t>
  </si>
  <si>
    <t>vänligen besök baha.com eller kontakta oss direkt.</t>
  </si>
  <si>
    <t>lütfen baha.com adresini ziyaret edin veya bizimle doğrudan iletişime geçin.</t>
  </si>
  <si>
    <t>请访问baha.com或直接联系我们。</t>
  </si>
  <si>
    <t>our_terms_and_conditions</t>
  </si>
  <si>
    <t>our terms and conditions</t>
  </si>
  <si>
    <t>vores vilkår og betingelser</t>
  </si>
  <si>
    <t>Sie unsere AGB</t>
  </si>
  <si>
    <t>nuestros términos y condiciones</t>
  </si>
  <si>
    <t>käyttöehtomme</t>
  </si>
  <si>
    <t>nos conditions générales</t>
  </si>
  <si>
    <t>elfogadja felhasználói feltételeket</t>
  </si>
  <si>
    <t>syarat dan ketentuan kami</t>
  </si>
  <si>
    <t>nostri termini e le condizioni</t>
  </si>
  <si>
    <t>저희의 약관에</t>
  </si>
  <si>
    <t>terma dan syarat kami</t>
  </si>
  <si>
    <t>onze voorwaarden</t>
  </si>
  <si>
    <t>våre vilkår og betingelser</t>
  </si>
  <si>
    <t>nasze warunki</t>
  </si>
  <si>
    <t>os nossos termos e condições</t>
  </si>
  <si>
    <t>наши условия</t>
  </si>
  <si>
    <t>naše termine i uslove</t>
  </si>
  <si>
    <t>våra villkor</t>
  </si>
  <si>
    <t>şartlar ve koşulları</t>
  </si>
  <si>
    <t>我们的条款和条件</t>
  </si>
  <si>
    <t>baha_com</t>
  </si>
  <si>
    <t xml:space="preserve">baha.com </t>
  </si>
  <si>
    <t>contact_us</t>
  </si>
  <si>
    <t>contact us</t>
  </si>
  <si>
    <t>свържете се с нас</t>
  </si>
  <si>
    <t>kontaktujte</t>
  </si>
  <si>
    <t>kontakt os</t>
  </si>
  <si>
    <t>kontaktieren Sie uns</t>
  </si>
  <si>
    <t>comuníquese</t>
  </si>
  <si>
    <t>ota meihin</t>
  </si>
  <si>
    <t>contactez-nous</t>
  </si>
  <si>
    <t>lépjen velünk kapcsolatba</t>
  </si>
  <si>
    <t>hubungi kami</t>
  </si>
  <si>
    <t>contatto</t>
  </si>
  <si>
    <t>連絡</t>
  </si>
  <si>
    <t>문의하십시오</t>
  </si>
  <si>
    <t>contact met ons</t>
  </si>
  <si>
    <t>kontakte oss</t>
  </si>
  <si>
    <t>skontaktuj się z nami</t>
  </si>
  <si>
    <t>contato conosco</t>
  </si>
  <si>
    <t>ne contactezi</t>
  </si>
  <si>
    <t>свяжитесь с нами</t>
  </si>
  <si>
    <t>kontaktirajte nas</t>
  </si>
  <si>
    <t>kontakta oss</t>
  </si>
  <si>
    <t>iletişime</t>
  </si>
  <si>
    <t>联系我们</t>
  </si>
  <si>
    <t>rf_score_first_line</t>
  </si>
  <si>
    <t>Raiffeisen Einzeltitel Scoring</t>
  </si>
  <si>
    <t>rf_score_second_line</t>
  </si>
  <si>
    <t xml:space="preserve">More info </t>
  </si>
  <si>
    <t>add_to_calendar</t>
  </si>
  <si>
    <t>Add to Calendar</t>
  </si>
  <si>
    <t>futures_options</t>
  </si>
  <si>
    <t>Futures/Options</t>
  </si>
  <si>
    <t>id</t>
  </si>
  <si>
    <t>paywall</t>
  </si>
  <si>
    <t>account_type_member</t>
  </si>
  <si>
    <t>please_subscribe_for_push</t>
  </si>
  <si>
    <t>Please subscribe for push feature</t>
  </si>
  <si>
    <t>L'email non è stata modificata. Riprova.</t>
  </si>
  <si>
    <t>views_left</t>
  </si>
  <si>
    <t>views left -</t>
  </si>
  <si>
    <t>subscribe_page_3_header</t>
  </si>
  <si>
    <t>PLUS</t>
  </si>
  <si>
    <t>subsription_page_3_item_9</t>
  </si>
  <si>
    <t>DAX Indices Real-Time</t>
  </si>
  <si>
    <t>subsription_page_3_item_8</t>
  </si>
  <si>
    <t>Real-Time prices</t>
  </si>
  <si>
    <t>subsription_page_3_item_7</t>
  </si>
  <si>
    <t>Advanced Screener</t>
  </si>
  <si>
    <t>subsription_page_3_item_6</t>
  </si>
  <si>
    <t>Ad-Free</t>
  </si>
  <si>
    <t>subsription_page_3_item_5</t>
  </si>
  <si>
    <t>subsription_page_3_item_4</t>
  </si>
  <si>
    <t>Alarms</t>
  </si>
  <si>
    <t>subsription_page_3_item_3</t>
  </si>
  <si>
    <t>subsription_page_3_item_2</t>
  </si>
  <si>
    <t>subsription_page_3_item_1</t>
  </si>
  <si>
    <t>Unlimited Views</t>
  </si>
  <si>
    <t>Vous pouvez toujours modifier les notifications ultérieurement dans les paramètres de l'application.</t>
  </si>
  <si>
    <t>Puoi sempre modificare le notifiche in un secondo momento nelle impostazioni dell'app.</t>
  </si>
  <si>
    <t>Gli spazi all'inizio/alla fine non sono consentiti nella password.</t>
  </si>
  <si>
    <t>subscribe_page_1_header</t>
  </si>
  <si>
    <t>NON-MEMBER</t>
  </si>
  <si>
    <t>Zet uit</t>
  </si>
  <si>
    <t>%s прекратил набор</t>
  </si>
  <si>
    <t>Times &amp; Sales (Дати и продажби)</t>
  </si>
  <si>
    <t>Timpuri &amp; Vânzări</t>
  </si>
  <si>
    <t>Gånger&amp;amp;,Försäljning</t>
  </si>
  <si>
    <t>L'alerte ne peut pas être ajoutée,</t>
  </si>
  <si>
    <t>L'allarme non può essere aggiunto,</t>
  </si>
  <si>
    <t>subsription_page_4_item_13</t>
  </si>
  <si>
    <t>S&amp;amp;P 500 Real-Time</t>
  </si>
  <si>
    <t>subsription_page_4_item_12</t>
  </si>
  <si>
    <t>DOW Real-Time</t>
  </si>
  <si>
    <t>subsription_page_4_item_11</t>
  </si>
  <si>
    <t>XETRA Real-Time</t>
  </si>
  <si>
    <t>subsription_page_4_item_10</t>
  </si>
  <si>
    <t>German Regional Exchanges Real-Time</t>
  </si>
  <si>
    <t>Le format du téléphone n'est pas valide.</t>
  </si>
  <si>
    <t>plus_prize_month</t>
  </si>
  <si>
    <t>$9.99/month</t>
  </si>
  <si>
    <t>not_for_now</t>
  </si>
  <si>
    <t>Not for now, let me think about it.</t>
  </si>
  <si>
    <t>Новини / Бъдете информирани с най-новите и бързи новини.</t>
  </si>
  <si>
    <t>Favorietenlijst</t>
  </si>
  <si>
    <t>account_type_plus</t>
  </si>
  <si>
    <t>Plus Member</t>
  </si>
  <si>
    <t>subscribe_page_4_header</t>
  </si>
  <si>
    <t>PREMIUM</t>
  </si>
  <si>
    <t>save_year</t>
  </si>
  <si>
    <t>Save $20/year (16%)</t>
  </si>
  <si>
    <t>membership_options_header</t>
  </si>
  <si>
    <t>Membership options for StockMarkets</t>
  </si>
  <si>
    <t>Server could not authenticate as \&amp;quot;%s\&amp;quot;. The certificate is only valid for:</t>
  </si>
  <si>
    <t>Nederlandse</t>
  </si>
  <si>
    <t>free_limit_reached</t>
  </si>
  <si>
    <t>Free limit reached, please login</t>
  </si>
  <si>
    <t>subscriptions</t>
  </si>
  <si>
    <t>Subscriptions</t>
  </si>
  <si>
    <t>subsription_page_1_item_4</t>
  </si>
  <si>
    <t>subsription_page_1_item_3</t>
  </si>
  <si>
    <t>subsription_page_1_item_2</t>
  </si>
  <si>
    <t>subsription_page_1_item_1</t>
  </si>
  <si>
    <t>20 views / month</t>
  </si>
  <si>
    <t>Процентът на Уилямс (Williams '% R)</t>
  </si>
  <si>
    <t>subscribe_now</t>
  </si>
  <si>
    <t>subscribe now</t>
  </si>
  <si>
    <t>account_type</t>
  </si>
  <si>
    <t>Account type:</t>
  </si>
  <si>
    <t>Druk</t>
  </si>
  <si>
    <t>forced_login_header</t>
  </si>
  <si>
    <t>Looks like you are enjoying StockMarkets!</t>
  </si>
  <si>
    <t>login_now</t>
  </si>
  <si>
    <t>login now</t>
  </si>
  <si>
    <t>Ceci est un service gratuit fourni par l'application StockMarkets : apps.baha.com</t>
  </si>
  <si>
    <t>Sélectionnez source d'actualités</t>
  </si>
  <si>
    <t>free realtime portfolio tracker + alerts, stock, crypto, trade &amp; commodity data</t>
  </si>
  <si>
    <t>forced_login_text</t>
  </si>
  <si>
    <t>You have reached the end of the free preview for his month. Create an account today, and benefit from added features, such as portfolio and watchlists, and additional usage.</t>
  </si>
  <si>
    <t>Favorietenlij</t>
  </si>
  <si>
    <t>Valuta nell'AppGallery</t>
  </si>
  <si>
    <t>AppGallery'de değerlendir</t>
  </si>
  <si>
    <t>Pazara Genel Bakışımıza veya İzleme Listelerinize doğrudan HUAWEI Assistant feed'inizden erişin!</t>
  </si>
  <si>
    <t>%R William\</t>
  </si>
  <si>
    <t>account_type_premium</t>
  </si>
  <si>
    <t>Premium Member</t>
  </si>
  <si>
    <t>%1$s+ %2$dis eddig olvasta</t>
  </si>
  <si>
    <t>The baha iPhone App is available for free in the &amp;lt;a href=\"{1}\"&amp;gt;App Store&amp;lt;/a&amp;gt;.</t>
  </si>
  <si>
    <t>Приложението TeleTrader за iPhone е безплатно в &amp; lt,a href=\"{1} \"&amp; gt,App Store&amp; lt,/a&amp; gt,.</t>
  </si>
  <si>
    <t>Aplikace TeleTrader pro iPhone je k dispozici zdarma v &amp;lt,a href=\"{1}\"&amp;gt,App Store&amp;lt,/a&amp;gt,.</t>
  </si>
  <si>
    <t>TeleTrader iPhone-appen er tilgængelig gratis i &amp;lt,a href=\"{1}\"&amp;gt,App Store&amp;lt,/a&amp;gt,.</t>
  </si>
  <si>
    <t>subsription_page_4_item_9</t>
  </si>
  <si>
    <t>subsription_page_4_item_8</t>
  </si>
  <si>
    <t>subsription_page_4_item_7</t>
  </si>
  <si>
    <t>subsription_page_4_item_6</t>
  </si>
  <si>
    <t>subsription_page_4_item_5</t>
  </si>
  <si>
    <t>subsription_page_4_item_4</t>
  </si>
  <si>
    <t>subsription_page_4_item_3</t>
  </si>
  <si>
    <t>subsription_page_4_item_2</t>
  </si>
  <si>
    <t>subsription_page_4_item_1</t>
  </si>
  <si>
    <t>subscribe_page_2_header</t>
  </si>
  <si>
    <t>MEMBER</t>
  </si>
  <si>
    <t>subscribe</t>
  </si>
  <si>
    <t>Subscribe</t>
  </si>
  <si>
    <t>member_limit_reached</t>
  </si>
  <si>
    <t>Member limit reached, please subscribe</t>
  </si>
  <si>
    <t>Le format du courriel n'est pas valide.</t>
  </si>
  <si>
    <t>Il formato dell'email non è valido.</t>
  </si>
  <si>
    <t>please_login_for_push</t>
  </si>
  <si>
    <t>Please login for push feature</t>
  </si>
  <si>
    <t>Благодарим ви за регистрацията на потребителски акаунт в приложението TeleTrader iPhone! Потребителският достъп, който сте създали, е валиден както на вашия iPhone, така и на финансовия портал на TeleTrader.com на адрес http://www.teletrader.com/. Може да се използва и с TeleTrader Mobile (http://m.teletrader.com) в уеб браузъра на всеки смартфон. &amp;lt,br/&amp;gt,&amp;lt,br/&gt;gt Освен акции се покриват стоки като метали (злато, сребро, платина, паладий) и енергия, селскостопански или животински продукти, също облигации и фондове. Включихме данни в реално време от Tradegate и Lang &amp;amp, Schwarz, както и най-важните валути. Цялото приложение разполага с push цени на живо, което означава, че докато е налична интернет връзка, няма да е необходимо ръчно презареждане на данните.&amp;lt,br/&amp;gt,&amp;lt,br/&amp;gt Персонални уочлисти виртуални портфолиа и сигнали могат да бъдат задавани и използвани едновременно на всички платформи. В допълнение можете да качвате TeleTrader Professional работни пространства в приложението за iPhone и TeleTrader Mobile и да ги разглеждате на мобилния си телефон. С услугата за известяване могат да бъдат определени лимити и известията ще бъдат изпращани автоматично от Apple Push, имейл и текстово съобщение и ежедневно повтарящи се списъци с ценни книжа могат да бъдат изпращани автоматично по имейл.&amp;lt,br/&amp;gt,&amp;lt,br/&amp;gt,Вашето потребителско име: [userName]&amp;lt,br/&amp;gt,&amp;lt,br/&amp;gt,С уважение,&amp;lt,br/&amp;gt,Екипът на Финансовия портал на TeleTrader &amp;lt,br/&amp;gt,</t>
  </si>
  <si>
    <t>Vielen Dank für Ihre Registrierung in der baha iPhone App! Der von Ihnen erstellte Benutzerzugang ist sowohl am iPhone als auch am baha Finanzportal unter http://www.baha.com/ gültig. Genauso kann dieser mit baha Mobile (http://m.baha.com) auf allen Smartphones im Webbrowser verwendet werden. &amp;lt;br/&amp;gt;&amp;lt;br/&amp;gt;Neben weltweiten Aktientiteln sind insbesondere Rohstoffe wie Edelmetalle (Gold, Silber, Platin, Palladium) oder Energie, Landwirtschats- od. Tierprodukte aber auch Anleihen und Fonds abgedeckt. Weiters haben wir Echtzeitdaten von Tradegate und Lang &amp; Schwarz sowie von den wichtigsten Währungen inkludiert. Die gesamte Applikation ist mit Push Kursen hinterlegt, d.h. solange eine Internetverbindung besteht ist kein manuelles neu Laden der Daten notwendig.&amp;lt;br/&amp;gt;&amp;lt;br/&amp;gt;Persönliche Kurslisten, virtuelle Depots und Limits können auf allen Plattformen gemeinsam genutzt werden. Zusätzlich können Sie &amp;lt;a href=\"http://professional.baha.com\"&amp;gt;baha Professional&amp;lt;/a&amp;gt; Arbeitsbereiche in die iPhone App und auf Mobile hochladen. Mit dem Limit-Service können Kursalarme per Apple Push, E-Mail und SMS und täglich wiederkehrend Wertpapierlisten per E-Mail automatisch verschickt werden.&amp;lt;br/&amp;gt;&amp;lt;br/&amp;gt;Ihr Benutzername: [userName]&amp;lt;br/&amp;gt;&amp;lt;br/&amp;gt;Mit besten Grüßen&amp;lt;br/&amp;gt;Ihr baha Finanzportal Team &amp;lt;br/&amp;gt;</t>
  </si>
  <si>
    <t>forced_subscribe_header_2</t>
  </si>
  <si>
    <t>StockMarkets!</t>
  </si>
  <si>
    <t>forced_subscribe_header_1</t>
  </si>
  <si>
    <t>Looks like you are enjoying</t>
  </si>
  <si>
    <t>La [b]cote de cryptographie[/b] [b]Mountain-View Data[/b] (MVD) est attribuée dans les [b]montagnes[/b]. Les devises avec les meilleures prévisions d'évolution reçoivent la note la plus élevée de [b]5 montagnes[/b], suivies des notes ++ et +. Grâce à un programme de notation développé par Mountain-View Data, un grand nombre de données de cryptomonnaie peuvent être observées, analysées, comparées et traitées mensuellement. [p/] Les données [b]qualitatives[/b] et [b]quantitatives[/b] des monnaies numériques sont importantes pour le calcul du MVD Crypto Rating : [ul] [li]Analyse du livre blanc - quel est l'objectif principal de la cryptomonnaie ?[/li] [li]Analyse des données de prix actuelles et des fluctuations de prix[/li] [li]Mécanisme de blockchain derrière une monnaie numérique[/li] [li]Calcul du rendement, de la volatilité, du ratio de Sharpe[/li] [li]Cessibilité / acceptation de la monnaie sur le marché des monnaies virtuelles[/li] [li]Forums publics et degré de participation de développement dans la communauté GitHub[/li] [li]Tendances du marché des monnaies virtuelles, distorsions du marché, etc.[/li] [/ul]</t>
  </si>
  <si>
    <t>La [b]valutazione della moneta Cripto[/b] (MVD) [b]nei dati di Mountain-View[/b] è ricompensata in [b]montagne[/b]. Le valute con le migliori previsioni di sviluppo ricevono la più lata valutazione con [b]5 montagne[/b], seguita dai voti ++ e +. Grazie al programma di valutazione sviluppato dai dati di Mountain-View, gran parte dei dati sulle criptovalute può essere osservata, analizzata confrontata ed elaborata su base mensile. [p/] Per il calcolo della valutazione delle criptovalute MVD sono importanti i dati [b]qualitativi[/b] e [b]quantitativi[/b] delle valute digitali: [ul] [li]Analisi del Libro bianco, qual è l'obiettivo principale delle cripto-valute?[/li] [li]Analisi dei dati relativi ai prezzi attuali e alle fluttuazioni dei prezzi[/li] [li]Meccanismo di blockchain che si nasconde dietro una valuta digitale[/li] [li]Calcolo delle prestazioni, volatilità, l'Indice di Sharpe[/li] [li]La scambiabilità / L'accettazione della valuta nel mercato delle valute virtuali[/li] [li]Forum pubblici e livello della partecipazione evolutiva alla comunità GitHub[/li] [li]Le tendenze nel mercato delle valute virtuali, le distorsioni del mercato, ecc.[/li] [/ul]</t>
  </si>
  <si>
    <t>De [b]Mountain-View Data[/b] (MVD) [b]Crypto Rating[/b] wordt gegeven in [b]bergen[/b]. De valuta's met de best voorspellingen qua ontwikkelingen krijgen de hoogste waardering van [b]5 bergen[/b], gevolg door ++ en +. Als gevolg van een door Mountain-View Data ontwikkeld beoordelingsprogramma, is het mogelijk om maandelijks een groot aantal gegevens van cryptovaluta te observeren, analyseren, vergelijken en te verwerken. [p/] Significant voor de berekening van de MVD Crypto Rating zijn de [b]kwalitatieve[/b] en [b]kwantitatieve[/b] gegevens van digitale valuta: [ul][li]analyse van het witboek - wat is het hoofdoel van cryptovaluta?[/li] [li]Analyse van de huidige prijsgegevens en prijsfluctuaties.[/li] [li]Het blockchain-mechanisme achter een digitale valuta.[/li] [li]De berekening van de prestaties, volatiliteit, Sharpe-ratio.[/li] [li]Verhandelbaarheid / acceptatie van de valuta in de markt voor virtuele valuata[/li] [li]Openbare fora en de mate van deelname in ontwikkeling in de GitHUb-gemeenschap[/li] [li]Trends in de virtuele valuatamarkt, verstoringen in de markt, et cetera.[/li][/ul]</t>
  </si>
  <si>
    <t>Kryptoocena [b]Mountain-View Data[/b] (MVD) [b]jest przyznawana w [b]jednostce „mountain” (góry)[/b]. Waluty z najlepszą prognozą rozwoju otrzymują najwyższą ocenę [b]5 mountains (gór)[/b], a dodatkowo ++ lub +. Dzięki programowi oceny opracowanemu przez Mountain-View Data, duża liczba danych dotyczących kryptowalut może być obserwowana, analizowana, porównywana i przetwarzana co miesiąc. [p/] Ważne z punktu widzenia obliczania kryptooceny MVD są [b]jakościowe[/b] i [b]ilościowe[/b] dane cyfrowych walut: [ul] [li]Analiza oficjalnego dokumentu – jaki jest główny cel kryptowaluty?[/li] [li]Analiza aktualnych danych dotyczących cen i ich wahań[/li] [li]Mechanizm Blockchain stojący za cyfrową walutą[/li] [li]Obliczanie wyników, zmienności, wskaźnika Sharpe'a[/li] [li]Zbywalność/akceptacja waluty na rynku walut wirtualnych[/li] [li]Fora publiczne i stopień uczestnictwa w rozwoju społeczności GitHub[/li] [li]Trendy na rynku walut wirtualnych, zakłócenia rynku itp.[/li] [/ul]</t>
  </si>
  <si>
    <t>membership_options_text</t>
  </si>
  <si>
    <t>Become a member and subscribe now to get unlimited views, Real-Time Push Data, DAX Indices Real-Time data and much more</t>
  </si>
  <si>
    <t>L'email è stata modificata.</t>
  </si>
  <si>
    <t>plus_prize_year</t>
  </si>
  <si>
    <t>$99.99/year</t>
  </si>
  <si>
    <t>subsription_page_3_item_10</t>
  </si>
  <si>
    <t>account_type_non_member</t>
  </si>
  <si>
    <t>Non-Member</t>
  </si>
  <si>
    <t>Actualités en anglais lorsque la langue choisie pour les actualités n'est pas disponible</t>
  </si>
  <si>
    <t>subscribe_options_text</t>
  </si>
  <si>
    <t>You have reached your free monthly usage limit. Subscribe now to get unlimited views, DAX Indices Real-Time data and much more.</t>
  </si>
  <si>
    <t>subsription_page_2_item_7</t>
  </si>
  <si>
    <t>subsription_page_2_item_6</t>
  </si>
  <si>
    <t>subsription_page_2_item_5</t>
  </si>
  <si>
    <t>subsription_page_2_item_4</t>
  </si>
  <si>
    <t>subsription_page_2_item_3</t>
  </si>
  <si>
    <t>सभी स्रोत</t>
  </si>
  <si>
    <t>subsription_page_2_item_2</t>
  </si>
  <si>
    <t>subsription_page_2_item_1</t>
  </si>
  <si>
    <t>appstore_full_description</t>
  </si>
  <si>
    <t>All your US &amp; international market information needs covered in one innovative app. Get access to free live quotes and push prices from markets around the world, including quality news from our newsroom, company profiles, full screen real-time charts, stock screener, currency converter and much more. Full personalization possible with custom watchlists, portfolios and price-based push alerts.
  REAL-TIME DATA &amp; LIVE SEARCH
  - Live quotes with push prices - no manual reloading of the data is necessary!
  - Powerful live search featuring our huge data universe - look up your individual symbols
  - Current news updates for global events
  - Covers markets around the world (stocks, futures, indices, commodities, currencies…)
  PRE-DEFINED MARKET OVERVIEWS &amp; EXTENSIVE DETAIL PAGES
  - Overviews of most popular symbols for Markets, Commodities, Indices, Currencies, Interest Rates, Hot Stocks
  - Extensive detail view for each symbol based on symbol type (stock, commodity, currency etc.)
  - Arbitrage lists: View a symbol on different markets
  - Company profiles &amp; company news for stocks
  - Related futures/options for a symbol
  PORTFOLIO
  - Create multiple personal portfolios to keep track of your gains and losses
  - Define the starting capital, portfolio currency, fees, deposits and redemptions
  - Add / remove symbols with simulated buy/sell transactions (incl. fees &amp; comments)
  - Show profit/loss per position and for complete portfolio
  - Share your portfolio with our other mobile apps (e.g. for iPad)
  PERSONAL WATCHLISTS
  - Customizable price lists for monitoring your assets
  - Real-time prices with many display options (Last &amp; Change%, Performance View, QuoteBoard, Chart View and more)
  REAL-TIME PUSH ALERTS
  - Automatically triggered price-based notifications (upper/lower price limit)
  - Daily e-mail notifications about a customised list of securities
  - Alerts sent automatically by Apple Push to your home screen
  - E-mail alerts and text messages (free sign-in required) also available
  ADVANCED REAL-TIME CHARTING &amp; TECHNICAL ANALYSIS
  - Track price movements on our interactive full screen charts
  - Candlesticks, OHLC Bars, Mountain or Line charts (incl. Volume)
  - Timeframes: Daily, Weekly, Monthly or Intraday (1 / 5 / 10 / 15 / 30 / 60 Minutes)
  - Linear, percentage or logarithmic scaling available
  - Additional features like zooming, crosshair, chart templates, comparison of a security with its benchmark
  - Supports the most popular indicators for technical analysis, like Moving Average, ADX, Average True Range, Bollinger Bands, CCI, Directional Movement Plus/Minus, DM System, Envelopes, Highest High, Lowest Low, Ichimoku, MACD, Momentum, Money Flow Index, OBV, Price Change, Parabolic SAR, ROC, TRIX, Volatility, RSI and many more
  STOCK SCREENER
  - Easy picking of the most promising securities out of thousands
  - Covering the world's major stock exchanges
  - Performance filters (Change %, Performance 1 Week, 1 Month, 3 Months, 6 Months,1 Year, 3 Years, 5 Years, 10 Years)
  - Fundamental filters like market cap, EBIT, EBITDA, net income &amp; turnover
  CURRENCY CONVERTER
  - Easy-to-use calculator using current rates from major world currencies (also includes Bitcoin Currency Converter)
  - Can be used online and offline
  MARKET COVERAGE
  - Major Stock markets &amp; Indices, like Nasdaq, Dow Jones, S&amp;P 500, S&amp;P 100, FTSE 100, DAX, EuroStoxx 50, Nikkei 225 etc.
  - Commodities markets, incl. precious metals (gold, silver, platinum, palladium, copper), energy, agricultural and livestock products
  - Futures / Options markets, for example CME, CBOT etc.
  - Major Currency pairs, such as EUR/USD, GBP/USD, USD/JPY etc. as well as Bitcoin rates (BTC/USD)
  - Interest Rates, Bonds, ETFs
  - Financial News from our innovative Newsroom
  - Free real-time data (where available) and delayed/EOD data
  - Additional real-time data packages from your TeleTrader Terminal accounts</t>
  </si>
  <si>
    <t>"Горячие акции"</t>
  </si>
  <si>
    <t>Idioma de noticias</t>
  </si>
  <si>
    <t>Langue des actualités</t>
  </si>
  <si>
    <t>Hírek nyelve</t>
  </si>
  <si>
    <t>Lingua delle notizie</t>
  </si>
  <si>
    <t>ニュース言語</t>
  </si>
  <si>
    <t>Nieuws taal</t>
  </si>
  <si>
    <t>Linguagem de notícias</t>
  </si>
  <si>
    <t>新聞語言</t>
  </si>
</sst>
</file>

<file path=xl/styles.xml><?xml version="1.0" encoding="utf-8"?>
<styleSheet xmlns="http://schemas.openxmlformats.org/spreadsheetml/2006/main" xmlns:x14ac="http://schemas.microsoft.com/office/spreadsheetml/2009/9/ac" xmlns:mc="http://schemas.openxmlformats.org/markup-compatibility/2006">
  <fonts count="16">
    <font>
      <sz val="11.0"/>
      <color rgb="FF000000"/>
      <name val="Arial"/>
    </font>
    <font>
      <color theme="1"/>
      <name val="Calibri"/>
    </font>
    <font>
      <b/>
      <color theme="1"/>
      <name val="Calibri"/>
    </font>
    <font>
      <sz val="11.0"/>
      <color rgb="FF000000"/>
      <name val="Calibri"/>
    </font>
    <font>
      <sz val="11.0"/>
      <color rgb="FF333333"/>
      <name val="宋体"/>
    </font>
    <font>
      <u/>
      <color rgb="FF0000FF"/>
    </font>
    <font>
      <color rgb="FF000000"/>
      <name val="Roboto"/>
    </font>
    <font>
      <color rgb="FF6A8759"/>
      <name val="&quot;JetBrains Mono&quot;"/>
    </font>
    <font>
      <color rgb="FF080808"/>
      <name val="Consolas"/>
    </font>
    <font>
      <sz val="11.0"/>
      <color rgb="FF000000"/>
      <name val="&quot;Songti SC&quot;"/>
    </font>
    <font>
      <color rgb="FF080808"/>
      <name val="&quot;Malgun Gothic&quot;"/>
    </font>
    <font>
      <sz val="11.0"/>
      <color rgb="FF000000"/>
      <name val="Times"/>
    </font>
    <font>
      <color rgb="FF000000"/>
    </font>
    <font/>
    <font>
      <color rgb="FF080808"/>
      <name val="&quot;Courier New&quot;"/>
    </font>
    <font>
      <sz val="11.0"/>
      <color rgb="FF080808"/>
      <name val="&quot;JetBrains Mono&quot;"/>
    </font>
  </fonts>
  <fills count="11">
    <fill>
      <patternFill patternType="none"/>
    </fill>
    <fill>
      <patternFill patternType="lightGray"/>
    </fill>
    <fill>
      <patternFill patternType="solid">
        <fgColor rgb="FFDD7E6B"/>
        <bgColor rgb="FFDD7E6B"/>
      </patternFill>
    </fill>
    <fill>
      <patternFill patternType="solid">
        <fgColor rgb="FFEAD1DC"/>
        <bgColor rgb="FFEAD1DC"/>
      </patternFill>
    </fill>
    <fill>
      <patternFill patternType="solid">
        <fgColor rgb="FF6FA8DC"/>
        <bgColor rgb="FF6FA8DC"/>
      </patternFill>
    </fill>
    <fill>
      <patternFill patternType="solid">
        <fgColor rgb="FFCFE2F3"/>
        <bgColor rgb="FFCFE2F3"/>
      </patternFill>
    </fill>
    <fill>
      <patternFill patternType="solid">
        <fgColor rgb="FFEFEFEF"/>
        <bgColor rgb="FFEFEFEF"/>
      </patternFill>
    </fill>
    <fill>
      <patternFill patternType="solid">
        <fgColor rgb="FFFF0000"/>
        <bgColor rgb="FFFF0000"/>
      </patternFill>
    </fill>
    <fill>
      <patternFill patternType="solid">
        <fgColor rgb="FFFFFFFF"/>
        <bgColor rgb="FFFFFFFF"/>
      </patternFill>
    </fill>
    <fill>
      <patternFill patternType="solid">
        <fgColor theme="0"/>
        <bgColor theme="0"/>
      </patternFill>
    </fill>
    <fill>
      <patternFill patternType="solid">
        <fgColor rgb="FFFFFF00"/>
        <bgColor rgb="FFFFFF00"/>
      </patternFill>
    </fill>
  </fills>
  <borders count="3">
    <border/>
    <border>
      <left style="thin">
        <color rgb="FF000000"/>
      </left>
      <right style="thin">
        <color rgb="FF000000"/>
      </right>
      <top style="thin">
        <color rgb="FF000000"/>
      </top>
      <bottom style="thin">
        <color rgb="FF000000"/>
      </bottom>
    </border>
    <border>
      <left style="medium">
        <color rgb="FFC1C1C1"/>
      </left>
      <right style="medium">
        <color rgb="FFC1C1C1"/>
      </right>
      <top style="medium">
        <color rgb="FFC1C1C1"/>
      </top>
      <bottom style="medium">
        <color rgb="FFC1C1C1"/>
      </bottom>
    </border>
  </borders>
  <cellStyleXfs count="1">
    <xf borderId="0" fillId="0" fontId="0" numFmtId="0" applyAlignment="1" applyFont="1"/>
  </cellStyleXfs>
  <cellXfs count="46">
    <xf borderId="0" fillId="0" fontId="0" numFmtId="0" xfId="0" applyAlignment="1" applyFont="1">
      <alignment readingOrder="0" shrinkToFit="0" vertical="bottom" wrapText="0"/>
    </xf>
    <xf borderId="0" fillId="0" fontId="1" numFmtId="0" xfId="0" applyFont="1"/>
    <xf borderId="0" fillId="0" fontId="2" numFmtId="0" xfId="0" applyFont="1"/>
    <xf borderId="0" fillId="2" fontId="2" numFmtId="0" xfId="0" applyFill="1" applyFont="1"/>
    <xf borderId="0" fillId="3" fontId="2" numFmtId="0" xfId="0" applyFill="1" applyFont="1"/>
    <xf borderId="0" fillId="4" fontId="1" numFmtId="0" xfId="0" applyFill="1" applyFont="1"/>
    <xf borderId="0" fillId="2" fontId="1" numFmtId="0" xfId="0" applyFont="1"/>
    <xf borderId="0" fillId="5" fontId="1" numFmtId="0" xfId="0" applyFill="1" applyFont="1"/>
    <xf borderId="0" fillId="0" fontId="1" numFmtId="0" xfId="0" applyAlignment="1" applyFont="1">
      <alignment readingOrder="0"/>
    </xf>
    <xf borderId="0" fillId="6" fontId="1" numFmtId="0" xfId="0" applyFill="1" applyFont="1"/>
    <xf borderId="0" fillId="2" fontId="1" numFmtId="0" xfId="0" applyAlignment="1" applyFont="1">
      <alignment readingOrder="0"/>
    </xf>
    <xf borderId="0" fillId="0" fontId="3" numFmtId="0" xfId="0" applyAlignment="1" applyFont="1">
      <alignment horizontal="left" readingOrder="0" shrinkToFit="0" vertical="bottom" wrapText="0"/>
    </xf>
    <xf borderId="0" fillId="7" fontId="1" numFmtId="0" xfId="0" applyFill="1" applyFont="1"/>
    <xf borderId="0" fillId="0" fontId="1" numFmtId="0" xfId="0" applyAlignment="1" applyFont="1">
      <alignment readingOrder="0"/>
    </xf>
    <xf borderId="0" fillId="0" fontId="3" numFmtId="0" xfId="0" applyAlignment="1" applyFont="1">
      <alignment readingOrder="0" shrinkToFit="0" vertical="bottom" wrapText="0"/>
    </xf>
    <xf borderId="0" fillId="5" fontId="1" numFmtId="0" xfId="0" applyAlignment="1" applyFont="1">
      <alignment horizontal="right"/>
    </xf>
    <xf borderId="0" fillId="0" fontId="4" numFmtId="0" xfId="0" applyAlignment="1" applyFont="1">
      <alignment readingOrder="0" shrinkToFit="0" vertical="bottom" wrapText="0"/>
    </xf>
    <xf borderId="0" fillId="0" fontId="3" numFmtId="0" xfId="0" applyAlignment="1" applyFont="1">
      <alignment horizontal="left" readingOrder="0" shrinkToFit="0" vertical="bottom" wrapText="0"/>
    </xf>
    <xf borderId="0" fillId="5" fontId="5" numFmtId="0" xfId="0" applyFont="1"/>
    <xf borderId="0" fillId="8" fontId="6" numFmtId="0" xfId="0" applyAlignment="1" applyFill="1" applyFont="1">
      <alignment readingOrder="0"/>
    </xf>
    <xf borderId="0" fillId="5" fontId="1" numFmtId="0" xfId="0" applyAlignment="1" applyFont="1">
      <alignment readingOrder="0"/>
    </xf>
    <xf borderId="0" fillId="9" fontId="1" numFmtId="0" xfId="0" applyAlignment="1" applyFill="1" applyFont="1">
      <alignment readingOrder="0"/>
    </xf>
    <xf borderId="0" fillId="10" fontId="3" numFmtId="0" xfId="0" applyAlignment="1" applyFill="1" applyFont="1">
      <alignment readingOrder="0" shrinkToFit="0" vertical="bottom" wrapText="0"/>
    </xf>
    <xf borderId="0" fillId="2" fontId="7" numFmtId="0" xfId="0" applyAlignment="1" applyFont="1">
      <alignment readingOrder="0"/>
    </xf>
    <xf borderId="0" fillId="8" fontId="8" numFmtId="0" xfId="0" applyAlignment="1" applyFont="1">
      <alignment readingOrder="0"/>
    </xf>
    <xf borderId="0" fillId="9" fontId="3" numFmtId="0" xfId="0" applyAlignment="1" applyFont="1">
      <alignment readingOrder="0" vertical="bottom"/>
    </xf>
    <xf borderId="0" fillId="0" fontId="3" numFmtId="0" xfId="0" applyAlignment="1" applyFont="1">
      <alignment readingOrder="0" vertical="bottom"/>
    </xf>
    <xf borderId="1" fillId="9" fontId="3" numFmtId="0" xfId="0" applyAlignment="1" applyBorder="1" applyFont="1">
      <alignment readingOrder="0" vertical="bottom"/>
    </xf>
    <xf borderId="2" fillId="9" fontId="9" numFmtId="0" xfId="0" applyAlignment="1" applyBorder="1" applyFont="1">
      <alignment readingOrder="0" vertical="bottom"/>
    </xf>
    <xf borderId="0" fillId="8" fontId="10" numFmtId="0" xfId="0" applyAlignment="1" applyFont="1">
      <alignment readingOrder="0"/>
    </xf>
    <xf borderId="0" fillId="0" fontId="8" numFmtId="0" xfId="0" applyAlignment="1" applyFont="1">
      <alignment readingOrder="0"/>
    </xf>
    <xf borderId="2" fillId="9" fontId="3" numFmtId="0" xfId="0" applyAlignment="1" applyBorder="1" applyFont="1">
      <alignment readingOrder="0" vertical="bottom"/>
    </xf>
    <xf borderId="0" fillId="2" fontId="1" numFmtId="0" xfId="0" applyAlignment="1" applyFont="1">
      <alignment readingOrder="0"/>
    </xf>
    <xf borderId="0" fillId="9" fontId="1" numFmtId="0" xfId="0" applyAlignment="1" applyFont="1">
      <alignment readingOrder="0"/>
    </xf>
    <xf borderId="2" fillId="9" fontId="0" numFmtId="0" xfId="0" applyAlignment="1" applyBorder="1" applyFont="1">
      <alignment readingOrder="0" vertical="bottom"/>
    </xf>
    <xf borderId="1" fillId="0" fontId="3" numFmtId="0" xfId="0" applyAlignment="1" applyBorder="1" applyFont="1">
      <alignment readingOrder="0" vertical="bottom"/>
    </xf>
    <xf borderId="1" fillId="8" fontId="3" numFmtId="0" xfId="0" applyAlignment="1" applyBorder="1" applyFont="1">
      <alignment readingOrder="0" vertical="top"/>
    </xf>
    <xf borderId="0" fillId="8" fontId="3" numFmtId="0" xfId="0" applyAlignment="1" applyFont="1">
      <alignment horizontal="left" readingOrder="0"/>
    </xf>
    <xf borderId="1" fillId="8" fontId="3" numFmtId="0" xfId="0" applyAlignment="1" applyBorder="1" applyFont="1">
      <alignment readingOrder="0" vertical="bottom"/>
    </xf>
    <xf borderId="2" fillId="9" fontId="11" numFmtId="0" xfId="0" applyAlignment="1" applyBorder="1" applyFont="1">
      <alignment readingOrder="0" vertical="bottom"/>
    </xf>
    <xf borderId="0" fillId="0" fontId="12" numFmtId="0" xfId="0" applyAlignment="1" applyFont="1">
      <alignment readingOrder="0"/>
    </xf>
    <xf borderId="0" fillId="0" fontId="13" numFmtId="0" xfId="0" applyAlignment="1" applyFont="1">
      <alignment readingOrder="0"/>
    </xf>
    <xf borderId="0" fillId="0" fontId="13" numFmtId="0" xfId="0" applyAlignment="1" applyFont="1">
      <alignment readingOrder="0"/>
    </xf>
    <xf borderId="0" fillId="2" fontId="13" numFmtId="0" xfId="0" applyFont="1"/>
    <xf borderId="0" fillId="8" fontId="14" numFmtId="0" xfId="0" applyAlignment="1" applyFont="1">
      <alignment readingOrder="0"/>
    </xf>
    <xf borderId="0" fillId="8" fontId="1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baha.com" TargetMode="External"/><Relationship Id="rId22" Type="http://schemas.openxmlformats.org/officeDocument/2006/relationships/hyperlink" Target="http://baha.com" TargetMode="External"/><Relationship Id="rId21" Type="http://schemas.openxmlformats.org/officeDocument/2006/relationships/hyperlink" Target="http://baha.com" TargetMode="External"/><Relationship Id="rId24" Type="http://schemas.openxmlformats.org/officeDocument/2006/relationships/hyperlink" Target="http://baha.com" TargetMode="External"/><Relationship Id="rId23" Type="http://schemas.openxmlformats.org/officeDocument/2006/relationships/hyperlink" Target="http://baha.com" TargetMode="External"/><Relationship Id="rId1" Type="http://schemas.openxmlformats.org/officeDocument/2006/relationships/hyperlink" Target="http://baha.com" TargetMode="External"/><Relationship Id="rId2" Type="http://schemas.openxmlformats.org/officeDocument/2006/relationships/hyperlink" Target="http://baha.com" TargetMode="External"/><Relationship Id="rId3" Type="http://schemas.openxmlformats.org/officeDocument/2006/relationships/hyperlink" Target="http://baha.com" TargetMode="External"/><Relationship Id="rId4" Type="http://schemas.openxmlformats.org/officeDocument/2006/relationships/hyperlink" Target="http://baha.com" TargetMode="External"/><Relationship Id="rId9" Type="http://schemas.openxmlformats.org/officeDocument/2006/relationships/hyperlink" Target="http://baha.com" TargetMode="External"/><Relationship Id="rId26" Type="http://schemas.openxmlformats.org/officeDocument/2006/relationships/hyperlink" Target="http://baha.com" TargetMode="External"/><Relationship Id="rId25" Type="http://schemas.openxmlformats.org/officeDocument/2006/relationships/hyperlink" Target="http://baha.com" TargetMode="External"/><Relationship Id="rId27" Type="http://schemas.openxmlformats.org/officeDocument/2006/relationships/drawing" Target="../drawings/drawing1.xml"/><Relationship Id="rId5" Type="http://schemas.openxmlformats.org/officeDocument/2006/relationships/hyperlink" Target="http://baha.com" TargetMode="External"/><Relationship Id="rId6" Type="http://schemas.openxmlformats.org/officeDocument/2006/relationships/hyperlink" Target="http://baha.com" TargetMode="External"/><Relationship Id="rId7" Type="http://schemas.openxmlformats.org/officeDocument/2006/relationships/hyperlink" Target="http://baha.com" TargetMode="External"/><Relationship Id="rId8" Type="http://schemas.openxmlformats.org/officeDocument/2006/relationships/hyperlink" Target="http://baha.com" TargetMode="External"/><Relationship Id="rId11" Type="http://schemas.openxmlformats.org/officeDocument/2006/relationships/hyperlink" Target="http://baha.com" TargetMode="External"/><Relationship Id="rId10" Type="http://schemas.openxmlformats.org/officeDocument/2006/relationships/hyperlink" Target="http://baha.com" TargetMode="External"/><Relationship Id="rId13" Type="http://schemas.openxmlformats.org/officeDocument/2006/relationships/hyperlink" Target="http://baha.com" TargetMode="External"/><Relationship Id="rId12" Type="http://schemas.openxmlformats.org/officeDocument/2006/relationships/hyperlink" Target="http://baha.com" TargetMode="External"/><Relationship Id="rId15" Type="http://schemas.openxmlformats.org/officeDocument/2006/relationships/hyperlink" Target="http://baha.com" TargetMode="External"/><Relationship Id="rId14" Type="http://schemas.openxmlformats.org/officeDocument/2006/relationships/hyperlink" Target="http://baha.com" TargetMode="External"/><Relationship Id="rId17" Type="http://schemas.openxmlformats.org/officeDocument/2006/relationships/hyperlink" Target="http://baha.com" TargetMode="External"/><Relationship Id="rId16" Type="http://schemas.openxmlformats.org/officeDocument/2006/relationships/hyperlink" Target="http://baha.com" TargetMode="External"/><Relationship Id="rId19" Type="http://schemas.openxmlformats.org/officeDocument/2006/relationships/hyperlink" Target="http://baha.com" TargetMode="External"/><Relationship Id="rId18" Type="http://schemas.openxmlformats.org/officeDocument/2006/relationships/hyperlink" Target="http://baha.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1" width="12.0"/>
    <col customWidth="1" min="2" max="2" width="35.75"/>
    <col customWidth="1" min="3" max="3" width="49.0"/>
    <col customWidth="1" min="4" max="4" width="13.88"/>
    <col customWidth="1" min="5" max="5" width="14.5"/>
    <col customWidth="1" min="6" max="6" width="9.5"/>
    <col customWidth="1" min="7" max="7" width="15.38"/>
    <col customWidth="1" min="8" max="8" width="13.13"/>
    <col customWidth="1" min="9" max="9" width="17.75"/>
    <col customWidth="1" min="10" max="10" width="14.38"/>
    <col customWidth="1" min="11" max="11" width="13.88"/>
    <col customWidth="1" min="12" max="12" width="17.75"/>
    <col customWidth="1" min="13" max="13" width="53.75"/>
    <col customWidth="1" min="14" max="15" width="7.63"/>
    <col customWidth="1" min="16" max="16" width="16.0"/>
    <col customWidth="1" min="17" max="17" width="15.25"/>
    <col customWidth="1" min="18" max="18" width="18.13"/>
    <col customWidth="1" min="19" max="19" width="7.63"/>
    <col customWidth="1" min="20" max="20" width="14.25"/>
    <col customWidth="1" min="21" max="21" width="15.63"/>
    <col customWidth="1" min="22" max="22" width="11.25"/>
    <col customWidth="1" min="23" max="23" width="9.63"/>
    <col customWidth="1" min="24" max="24" width="12.38"/>
    <col customWidth="1" min="25" max="25" width="15.63"/>
    <col customWidth="1" min="26" max="26" width="25.25"/>
    <col customWidth="1" min="27" max="27" width="15.13"/>
    <col customWidth="1" min="28" max="28" width="21.63"/>
    <col customWidth="1" min="29" max="29" width="20.5"/>
    <col customWidth="1" min="30" max="30" width="7.63"/>
    <col customWidth="1" min="31" max="31" width="16.13"/>
    <col customWidth="1" min="32" max="32" width="17.63"/>
    <col customWidth="1" min="33" max="33" width="7.63"/>
    <col customWidth="1" min="34" max="34" width="20.63"/>
    <col customWidth="1" min="35" max="37" width="7.63"/>
    <col customWidth="1" min="38" max="38" width="8.75"/>
  </cols>
  <sheetData>
    <row r="1">
      <c r="A1" s="1" t="s">
        <v>0</v>
      </c>
      <c r="B1" s="2" t="s">
        <v>1</v>
      </c>
      <c r="C1" s="2" t="s">
        <v>2</v>
      </c>
      <c r="D1" s="3" t="s">
        <v>3</v>
      </c>
      <c r="E1" s="4" t="s">
        <v>4</v>
      </c>
      <c r="F1" s="5" t="s">
        <v>5</v>
      </c>
      <c r="G1" s="4" t="s">
        <v>6</v>
      </c>
      <c r="H1" s="4" t="s">
        <v>7</v>
      </c>
      <c r="I1" s="4" t="s">
        <v>8</v>
      </c>
      <c r="J1" s="6" t="s">
        <v>9</v>
      </c>
      <c r="K1" s="4" t="s">
        <v>10</v>
      </c>
      <c r="L1" s="4" t="s">
        <v>11</v>
      </c>
      <c r="M1" s="4" t="s">
        <v>12</v>
      </c>
      <c r="N1" s="5" t="s">
        <v>13</v>
      </c>
      <c r="O1" s="6" t="s">
        <v>14</v>
      </c>
      <c r="P1" s="4" t="s">
        <v>15</v>
      </c>
      <c r="Q1" s="4" t="s">
        <v>16</v>
      </c>
      <c r="R1" s="4" t="s">
        <v>17</v>
      </c>
      <c r="S1" s="6" t="s">
        <v>18</v>
      </c>
      <c r="T1" s="4" t="s">
        <v>19</v>
      </c>
      <c r="U1" s="4" t="s">
        <v>20</v>
      </c>
      <c r="V1" s="4" t="s">
        <v>21</v>
      </c>
      <c r="W1" s="4" t="s">
        <v>22</v>
      </c>
      <c r="X1" s="4" t="s">
        <v>23</v>
      </c>
      <c r="Y1" s="4" t="s">
        <v>24</v>
      </c>
      <c r="Z1" s="4" t="s">
        <v>25</v>
      </c>
      <c r="AA1" s="4" t="s">
        <v>26</v>
      </c>
      <c r="AB1" s="4" t="s">
        <v>27</v>
      </c>
      <c r="AC1" s="4" t="s">
        <v>28</v>
      </c>
      <c r="AD1" s="6" t="s">
        <v>29</v>
      </c>
      <c r="AE1" s="4" t="s">
        <v>30</v>
      </c>
      <c r="AF1" s="4" t="s">
        <v>31</v>
      </c>
      <c r="AG1" s="6" t="s">
        <v>32</v>
      </c>
      <c r="AH1" s="4" t="s">
        <v>33</v>
      </c>
      <c r="AI1" s="5" t="s">
        <v>34</v>
      </c>
      <c r="AJ1" s="6" t="s">
        <v>35</v>
      </c>
      <c r="AK1" s="4" t="s">
        <v>36</v>
      </c>
      <c r="AL1" s="6" t="s">
        <v>37</v>
      </c>
    </row>
    <row r="2" hidden="1">
      <c r="A2" s="1" t="s">
        <v>38</v>
      </c>
      <c r="B2" s="1" t="s">
        <v>39</v>
      </c>
      <c r="C2" s="1" t="s">
        <v>40</v>
      </c>
      <c r="D2" s="7" t="str">
        <f>IFERROR(__xludf.DUMMYFUNCTION("GOOGLETRANSLATE(C2, ""en"", ""ar"")"),"كوريا، جمهورية (الجنوب)")</f>
        <v>كوريا، جمهورية (الجنوب)</v>
      </c>
      <c r="E2" s="7" t="str">
        <f>IFERROR(__xludf.DUMMYFUNCTION("GOOGLETRANSLATE(C2, ""en"", ""bg"")"),"Корея, Република (Юг)")</f>
        <v>Корея, Република (Юг)</v>
      </c>
      <c r="F2" s="6" t="s">
        <v>41</v>
      </c>
      <c r="G2" s="7" t="str">
        <f>IFERROR(__xludf.DUMMYFUNCTION("GOOGLETRANSLATE(C2, ""en"", ""cs"")"),"Korea, South)")</f>
        <v>Korea, South)</v>
      </c>
      <c r="H2" s="7" t="str">
        <f>IFERROR(__xludf.DUMMYFUNCTION("GOOGLETRANSLATE(C2, ""en"", ""da"")"),"Korea, Republikken (Syd)")</f>
        <v>Korea, Republikken (Syd)</v>
      </c>
      <c r="I2" s="1" t="s">
        <v>42</v>
      </c>
      <c r="J2" s="6" t="str">
        <f>IFERROR(__xludf.DUMMYFUNCTION("GOOGLETRANSLATE(C2, ""en"", ""el"")"),"Κορέα, Δημοκρατία του (Νότου)")</f>
        <v>Κορέα, Δημοκρατία του (Νότου)</v>
      </c>
      <c r="K2" s="1" t="s">
        <v>43</v>
      </c>
      <c r="L2" s="7" t="str">
        <f>IFERROR(__xludf.DUMMYFUNCTION("GOOGLETRANSLATE(C2, ""en"", ""fi"")"),"Korea, (etelän)")</f>
        <v>Korea, (etelän)</v>
      </c>
      <c r="M2" s="1" t="s">
        <v>44</v>
      </c>
      <c r="N2" s="6" t="s">
        <v>41</v>
      </c>
      <c r="O2" s="6" t="s">
        <v>41</v>
      </c>
      <c r="P2" s="1" t="s">
        <v>40</v>
      </c>
      <c r="Q2" s="7" t="str">
        <f>IFERROR(__xludf.DUMMYFUNCTION("GOOGLETRANSLATE(C2, ""en"", ""in"")"),"Korea, Republik (Selatan)")</f>
        <v>Korea, Republik (Selatan)</v>
      </c>
      <c r="R2" s="7" t="str">
        <f>IFERROR(__xludf.DUMMYFUNCTION("GOOGLETRANSLATE(C2, ""en"", ""it"")"),"Corea, Repubblica di (sud)")</f>
        <v>Corea, Repubblica di (sud)</v>
      </c>
      <c r="S2" s="6" t="s">
        <v>41</v>
      </c>
      <c r="T2" s="7" t="str">
        <f>IFERROR(__xludf.DUMMYFUNCTION("GOOGLETRANSLATE(C2, ""en"", ""ja"")"),"韓国、共和国（南）")</f>
        <v>韓国、共和国（南）</v>
      </c>
      <c r="U2" s="7" t="str">
        <f>IFERROR(__xludf.DUMMYFUNCTION("GOOGLETRANSLATE(C2, ""en"", ""ko"")"),"한국, (남쪽)")</f>
        <v>한국, (남쪽)</v>
      </c>
      <c r="V2" s="7" t="str">
        <f>IFERROR(__xludf.DUMMYFUNCTION("GOOGLETRANSLATE(C2, ""en"", ""ms"")"),"Korea, Republik (Selatan)")</f>
        <v>Korea, Republik (Selatan)</v>
      </c>
      <c r="W2" s="7" t="str">
        <f>IFERROR(__xludf.DUMMYFUNCTION("GOOGLETRANSLATE(C2, ""en"", ""nl"")"),"Korea, Republiek (Zuid)")</f>
        <v>Korea, Republiek (Zuid)</v>
      </c>
      <c r="X2" s="7" t="str">
        <f>IFERROR(__xludf.DUMMYFUNCTION("GOOGLETRANSLATE(C2, ""en"", ""no"")"),"Korea, Republikken (Sør)")</f>
        <v>Korea, Republikken (Sør)</v>
      </c>
      <c r="Y2" s="7" t="str">
        <f>IFERROR(__xludf.DUMMYFUNCTION("GOOGLETRANSLATE(C2, ""en"", ""pl"")"),"Korea, Republika (południe)")</f>
        <v>Korea, Republika (południe)</v>
      </c>
      <c r="Z2" s="7" t="str">
        <f>IFERROR(__xludf.DUMMYFUNCTION("GOOGLETRANSLATE(C2, ""en"", ""pt"")"),"Coréia, República do (Sul)")</f>
        <v>Coréia, República do (Sul)</v>
      </c>
      <c r="AA2" s="7" t="str">
        <f>IFERROR(__xludf.DUMMYFUNCTION("GOOGLETRANSLATE(C2, ""en"", ""ro"")"),"Coreea, Republica (sud)")</f>
        <v>Coreea, Republica (sud)</v>
      </c>
      <c r="AB2" s="1" t="s">
        <v>45</v>
      </c>
      <c r="AC2" s="7" t="str">
        <f>IFERROR(__xludf.DUMMYFUNCTION("GOOGLETRANSLATE(C2, ""en"", ""sk"")"),"Kórea, (juh)")</f>
        <v>Kórea, (juh)</v>
      </c>
      <c r="AD2" s="6" t="s">
        <v>41</v>
      </c>
      <c r="AE2" s="1" t="s">
        <v>46</v>
      </c>
      <c r="AF2" s="7" t="str">
        <f>IFERROR(__xludf.DUMMYFUNCTION("GOOGLETRANSLATE(C2, ""en"", ""sv"")"),"Korea, Republiken (söder)")</f>
        <v>Korea, Republiken (söder)</v>
      </c>
      <c r="AG2" s="6" t="s">
        <v>41</v>
      </c>
      <c r="AH2" s="7" t="str">
        <f>IFERROR(__xludf.DUMMYFUNCTION("GOOGLETRANSLATE(C2, ""en"", ""tr"")"),"Kore, Cumhuriyeti (Güney)")</f>
        <v>Kore, Cumhuriyeti (Güney)</v>
      </c>
      <c r="AI2" s="6" t="s">
        <v>41</v>
      </c>
      <c r="AJ2" s="6" t="s">
        <v>41</v>
      </c>
      <c r="AK2" s="7" t="str">
        <f>IFERROR(__xludf.DUMMYFUNCTION("GOOGLETRANSLATE(C2, ""en"", ""zh"")"),"韩国（南）共和国")</f>
        <v>韩国（南）共和国</v>
      </c>
      <c r="AL2" s="6" t="s">
        <v>41</v>
      </c>
    </row>
    <row r="3" hidden="1">
      <c r="A3" s="1" t="s">
        <v>38</v>
      </c>
      <c r="B3" s="1" t="s">
        <v>47</v>
      </c>
      <c r="C3" s="1" t="s">
        <v>48</v>
      </c>
      <c r="D3" s="7" t="str">
        <f>IFERROR(__xludf.DUMMYFUNCTION("GOOGLETRANSLATE(C3, ""en"", ""ar"")"),"Baha Chat Code:")</f>
        <v>Baha Chat Code:</v>
      </c>
      <c r="E3" s="7" t="str">
        <f>IFERROR(__xludf.DUMMYFUNCTION("GOOGLETRANSLATE(C3, ""en"", ""bg"")"),"Baha Chat код:")</f>
        <v>Baha Chat код:</v>
      </c>
      <c r="F3" s="6" t="s">
        <v>41</v>
      </c>
      <c r="G3" s="7" t="str">
        <f>IFERROR(__xludf.DUMMYFUNCTION("GOOGLETRANSLATE(C3, ""en"", ""cs"")"),"Baha Chat Code:")</f>
        <v>Baha Chat Code:</v>
      </c>
      <c r="H3" s="7" t="str">
        <f>IFERROR(__xludf.DUMMYFUNCTION("GOOGLETRANSLATE(C3, ""en"", ""da"")"),"Baha Chat Code:")</f>
        <v>Baha Chat Code:</v>
      </c>
      <c r="I3" s="7" t="str">
        <f>IFERROR(__xludf.DUMMYFUNCTION("GOOGLETRANSLATE(C3, ""en"", ""de"")"),"BAHA-Chat-Code:")</f>
        <v>BAHA-Chat-Code:</v>
      </c>
      <c r="J3" s="6" t="str">
        <f>IFERROR(__xludf.DUMMYFUNCTION("GOOGLETRANSLATE(C3, ""en"", ""el"")"),"Baha Κωδικός συνομιλίας:")</f>
        <v>Baha Κωδικός συνομιλίας:</v>
      </c>
      <c r="K3" s="7" t="str">
        <f>IFERROR(__xludf.DUMMYFUNCTION("GOOGLETRANSLATE(C3, ""en"", ""es"")"),"Código de Chat Baha:")</f>
        <v>Código de Chat Baha:</v>
      </c>
      <c r="L3" s="7" t="str">
        <f>IFERROR(__xludf.DUMMYFUNCTION("GOOGLETRANSLATE(C3, ""en"", ""fi"")"),"Baha Chat Code:")</f>
        <v>Baha Chat Code:</v>
      </c>
      <c r="M3" s="7" t="str">
        <f>IFERROR(__xludf.DUMMYFUNCTION("GOOGLETRANSLATE(C3, ""en"", ""fr"")"),"Code de discussion Baha:")</f>
        <v>Code de discussion Baha:</v>
      </c>
      <c r="N3" s="6" t="s">
        <v>41</v>
      </c>
      <c r="O3" s="6" t="s">
        <v>41</v>
      </c>
      <c r="P3" s="7" t="str">
        <f>IFERROR(__xludf.DUMMYFUNCTION("GOOGLETRANSLATE(C3, ""en"", ""hu"")"),"BAHA Chat kód:")</f>
        <v>BAHA Chat kód:</v>
      </c>
      <c r="Q3" s="7" t="str">
        <f>IFERROR(__xludf.DUMMYFUNCTION("GOOGLETRANSLATE(C3, ""en"", ""in"")"),"Kode Obrolan Baha:")</f>
        <v>Kode Obrolan Baha:</v>
      </c>
      <c r="R3" s="7" t="str">
        <f>IFERROR(__xludf.DUMMYFUNCTION("GOOGLETRANSLATE(C3, ""en"", ""it"")"),"BAHA CATE CODICE:")</f>
        <v>BAHA CATE CODICE:</v>
      </c>
      <c r="S3" s="6" t="s">
        <v>41</v>
      </c>
      <c r="T3" s="7" t="str">
        <f>IFERROR(__xludf.DUMMYFUNCTION("GOOGLETRANSLATE(C3, ""en"", ""ja"")"),"バハチャットコード：")</f>
        <v>バハチャットコード：</v>
      </c>
      <c r="U3" s="7" t="str">
        <f>IFERROR(__xludf.DUMMYFUNCTION("GOOGLETRANSLATE(C3, ""en"", ""ko"")"),"바하 채팅 코드 :")</f>
        <v>바하 채팅 코드 :</v>
      </c>
      <c r="V3" s="7" t="str">
        <f>IFERROR(__xludf.DUMMYFUNCTION("GOOGLETRANSLATE(C3, ""en"", ""ms"")"),"Kod Chat Baha:")</f>
        <v>Kod Chat Baha:</v>
      </c>
      <c r="W3" s="7" t="str">
        <f>IFERROR(__xludf.DUMMYFUNCTION("GOOGLETRANSLATE(C3, ""en"", ""nl"")"),"BAHA-chatcode:")</f>
        <v>BAHA-chatcode:</v>
      </c>
      <c r="X3" s="7" t="str">
        <f>IFERROR(__xludf.DUMMYFUNCTION("GOOGLETRANSLATE(C3, ""en"", ""no"")"),"Baha chat kode:")</f>
        <v>Baha chat kode:</v>
      </c>
      <c r="Y3" s="7" t="str">
        <f>IFERROR(__xludf.DUMMYFUNCTION("GOOGLETRANSLATE(C3, ""en"", ""pl"")"),"Kod Chat Baha:")</f>
        <v>Kod Chat Baha:</v>
      </c>
      <c r="Z3" s="7" t="str">
        <f>IFERROR(__xludf.DUMMYFUNCTION("GOOGLETRANSLATE(C3, ""en"", ""pt"")"),"Código de bate-papo BAHA:")</f>
        <v>Código de bate-papo BAHA:</v>
      </c>
      <c r="AA3" s="7" t="str">
        <f>IFERROR(__xludf.DUMMYFUNCTION("GOOGLETRANSLATE(C3, ""en"", ""ro"")"),"Codul de chat Baha:")</f>
        <v>Codul de chat Baha:</v>
      </c>
      <c r="AB3" s="7" t="str">
        <f>IFERROR(__xludf.DUMMYFUNCTION("GOOGLETRANSLATE(C3, ""en"", ""ru"")"),"Баха код чата:")</f>
        <v>Баха код чата:</v>
      </c>
      <c r="AC3" s="7" t="str">
        <f>IFERROR(__xludf.DUMMYFUNCTION("GOOGLETRANSLATE(C3, ""en"", ""sk"")"),"BAHA CHAT CODE:")</f>
        <v>BAHA CHAT CODE:</v>
      </c>
      <c r="AD3" s="6" t="s">
        <v>41</v>
      </c>
      <c r="AE3" s="7" t="str">
        <f>IFERROR(__xludf.DUMMYFUNCTION("GOOGLETRANSLATE(C3, ""en"", ""sr"")"),"Баха Цхат Код:")</f>
        <v>Баха Цхат Код:</v>
      </c>
      <c r="AF3" s="7" t="str">
        <f>IFERROR(__xludf.DUMMYFUNCTION("GOOGLETRANSLATE(C3, ""en"", ""sv"")"),"Baha chattkod:")</f>
        <v>Baha chattkod:</v>
      </c>
      <c r="AG3" s="6" t="s">
        <v>41</v>
      </c>
      <c r="AH3" s="7" t="str">
        <f>IFERROR(__xludf.DUMMYFUNCTION("GOOGLETRANSLATE(C3, ""en"", ""tr"")"),"BAHA Sohbet Kodu:")</f>
        <v>BAHA Sohbet Kodu:</v>
      </c>
      <c r="AI3" s="6" t="s">
        <v>41</v>
      </c>
      <c r="AJ3" s="6" t="s">
        <v>41</v>
      </c>
      <c r="AK3" s="7" t="str">
        <f>IFERROR(__xludf.DUMMYFUNCTION("GOOGLETRANSLATE(C3, ""en"", ""zh"")"),"巴哈聊天代码：")</f>
        <v>巴哈聊天代码：</v>
      </c>
      <c r="AL3" s="6" t="s">
        <v>41</v>
      </c>
    </row>
    <row r="4" hidden="1">
      <c r="A4" s="1" t="s">
        <v>38</v>
      </c>
      <c r="B4" s="1" t="s">
        <v>49</v>
      </c>
      <c r="C4" s="1" t="s">
        <v>50</v>
      </c>
      <c r="D4" s="8" t="s">
        <v>51</v>
      </c>
      <c r="E4" s="1" t="s">
        <v>52</v>
      </c>
      <c r="F4" s="6" t="s">
        <v>53</v>
      </c>
      <c r="G4" s="7" t="str">
        <f>IFERROR(__xludf.DUMMYFUNCTION("GOOGLETRANSLATE(C4, ""en"", ""cs"")"),"Jsi si jistá?")</f>
        <v>Jsi si jistá?</v>
      </c>
      <c r="H4" s="7" t="str">
        <f>IFERROR(__xludf.DUMMYFUNCTION("GOOGLETRANSLATE(C4, ""en"", ""da"")"),"Er du sikker?")</f>
        <v>Er du sikker?</v>
      </c>
      <c r="I4" s="1" t="s">
        <v>54</v>
      </c>
      <c r="J4" s="6" t="str">
        <f>IFERROR(__xludf.DUMMYFUNCTION("GOOGLETRANSLATE(C4, ""en"", ""el"")"),"Είσαι σίγουρος?")</f>
        <v>Είσαι σίγουρος?</v>
      </c>
      <c r="K4" s="1" t="s">
        <v>55</v>
      </c>
      <c r="L4" s="7" t="str">
        <f>IFERROR(__xludf.DUMMYFUNCTION("GOOGLETRANSLATE(C4, ""en"", ""fi"")"),"Oletko varma?")</f>
        <v>Oletko varma?</v>
      </c>
      <c r="M4" s="1" t="s">
        <v>56</v>
      </c>
      <c r="N4" s="6" t="s">
        <v>57</v>
      </c>
      <c r="O4" s="6" t="s">
        <v>41</v>
      </c>
      <c r="P4" s="1" t="s">
        <v>58</v>
      </c>
      <c r="Q4" s="9" t="s">
        <v>59</v>
      </c>
      <c r="R4" s="1" t="s">
        <v>60</v>
      </c>
      <c r="S4" s="6" t="s">
        <v>41</v>
      </c>
      <c r="T4" s="1" t="s">
        <v>61</v>
      </c>
      <c r="U4" s="1" t="s">
        <v>62</v>
      </c>
      <c r="V4" s="7" t="str">
        <f>IFERROR(__xludf.DUMMYFUNCTION("GOOGLETRANSLATE(C4, ""en"", ""ms"")"),"Adakah anda pasti?")</f>
        <v>Adakah anda pasti?</v>
      </c>
      <c r="W4" s="1" t="s">
        <v>63</v>
      </c>
      <c r="X4" s="7" t="str">
        <f>IFERROR(__xludf.DUMMYFUNCTION("GOOGLETRANSLATE(C4, ""en"", ""no"")"),"Er du sikker?")</f>
        <v>Er du sikker?</v>
      </c>
      <c r="Y4" s="1" t="s">
        <v>64</v>
      </c>
      <c r="Z4" s="1" t="s">
        <v>65</v>
      </c>
      <c r="AA4" s="7" t="str">
        <f>IFERROR(__xludf.DUMMYFUNCTION("GOOGLETRANSLATE(C4, ""en"", ""ro"")"),"Esti sigur?")</f>
        <v>Esti sigur?</v>
      </c>
      <c r="AB4" s="1" t="s">
        <v>66</v>
      </c>
      <c r="AC4" s="1" t="s">
        <v>67</v>
      </c>
      <c r="AD4" s="6" t="s">
        <v>41</v>
      </c>
      <c r="AE4" s="1" t="s">
        <v>68</v>
      </c>
      <c r="AF4" s="1" t="s">
        <v>69</v>
      </c>
      <c r="AG4" s="6" t="s">
        <v>41</v>
      </c>
      <c r="AH4" s="7" t="str">
        <f>IFERROR(__xludf.DUMMYFUNCTION("GOOGLETRANSLATE(C4, ""en"", ""tr"")"),"Emin misiniz?")</f>
        <v>Emin misiniz?</v>
      </c>
      <c r="AI4" s="6" t="s">
        <v>70</v>
      </c>
      <c r="AJ4" s="6" t="s">
        <v>71</v>
      </c>
      <c r="AK4" s="7" t="str">
        <f>IFERROR(__xludf.DUMMYFUNCTION("GOOGLETRANSLATE(C4, ""en"", ""zh"")"),"你确定吗？")</f>
        <v>你确定吗？</v>
      </c>
      <c r="AL4" s="6" t="s">
        <v>72</v>
      </c>
    </row>
    <row r="5" hidden="1">
      <c r="A5" s="1" t="s">
        <v>38</v>
      </c>
      <c r="B5" s="1" t="s">
        <v>73</v>
      </c>
      <c r="C5" s="1" t="s">
        <v>74</v>
      </c>
      <c r="D5" s="7" t="str">
        <f>IFERROR(__xludf.DUMMYFUNCTION("GOOGLETRANSLATE(C5, ""en"", ""ar"")"),"chechryption omemo")</f>
        <v>chechryption omemo</v>
      </c>
      <c r="E5" s="1" t="s">
        <v>75</v>
      </c>
      <c r="F5" s="6" t="s">
        <v>76</v>
      </c>
      <c r="G5" s="7" t="str">
        <f>IFERROR(__xludf.DUMMYFUNCTION("GOOGLETRANSLATE(C5, ""en"", ""cs"")"),"Omemo šifrování")</f>
        <v>Omemo šifrování</v>
      </c>
      <c r="H5" s="7" t="str">
        <f>IFERROR(__xludf.DUMMYFUNCTION("GOOGLETRANSLATE(C5, ""en"", ""da"")"),"Omemo Encryption.")</f>
        <v>Omemo Encryption.</v>
      </c>
      <c r="I5" s="1" t="s">
        <v>77</v>
      </c>
      <c r="J5" s="6" t="str">
        <f>IFERROR(__xludf.DUMMYFUNCTION("GOOGLETRANSLATE(C5, ""en"", ""el"")"),"Κρυπτογράφηση Omemo")</f>
        <v>Κρυπτογράφηση Omemo</v>
      </c>
      <c r="K5" s="1" t="s">
        <v>78</v>
      </c>
      <c r="L5" s="7" t="str">
        <f>IFERROR(__xludf.DUMMYFUNCTION("GOOGLETRANSLATE(C5, ""en"", ""fi"")"),"Omemo salaus")</f>
        <v>Omemo salaus</v>
      </c>
      <c r="M5" s="1" t="s">
        <v>79</v>
      </c>
      <c r="N5" s="6" t="s">
        <v>80</v>
      </c>
      <c r="O5" s="6" t="s">
        <v>41</v>
      </c>
      <c r="P5" s="1" t="s">
        <v>81</v>
      </c>
      <c r="Q5" s="7" t="str">
        <f>IFERROR(__xludf.DUMMYFUNCTION("GOOGLETRANSLATE(C5, ""en"", ""in"")"),"Enkripsi Omemo.")</f>
        <v>Enkripsi Omemo.</v>
      </c>
      <c r="R5" s="1" t="s">
        <v>82</v>
      </c>
      <c r="S5" s="6" t="s">
        <v>41</v>
      </c>
      <c r="T5" s="1" t="s">
        <v>83</v>
      </c>
      <c r="U5" s="7" t="str">
        <f>IFERROR(__xludf.DUMMYFUNCTION("GOOGLETRANSLATE(C5, ""en"", ""ko"")"),"오믈 모종 암호화")</f>
        <v>오믈 모종 암호화</v>
      </c>
      <c r="V5" s="7" t="str">
        <f>IFERROR(__xludf.DUMMYFUNCTION("GOOGLETRANSLATE(C5, ""en"", ""ms"")"),"Omemo Encryption.")</f>
        <v>Omemo Encryption.</v>
      </c>
      <c r="W5" s="1" t="s">
        <v>84</v>
      </c>
      <c r="X5" s="7" t="str">
        <f>IFERROR(__xludf.DUMMYFUNCTION("GOOGLETRANSLATE(C5, ""en"", ""no"")"),"OMEMO kryptering")</f>
        <v>OMEMO kryptering</v>
      </c>
      <c r="Y5" s="1" t="s">
        <v>85</v>
      </c>
      <c r="Z5" s="7" t="str">
        <f>IFERROR(__xludf.DUMMYFUNCTION("GOOGLETRANSLATE(C5, ""en"", ""pt"")"),"Criptografia OMEMO.")</f>
        <v>Criptografia OMEMO.</v>
      </c>
      <c r="AA5" s="7" t="str">
        <f>IFERROR(__xludf.DUMMYFUNCTION("GOOGLETRANSLATE(C5, ""en"", ""ro"")"),"Omemo Criptare")</f>
        <v>Omemo Criptare</v>
      </c>
      <c r="AB5" s="1" t="s">
        <v>86</v>
      </c>
      <c r="AC5" s="7" t="str">
        <f>IFERROR(__xludf.DUMMYFUNCTION("GOOGLETRANSLATE(C5, ""en"", ""sk"")"),"Šifrovanie OMEMO")</f>
        <v>Šifrovanie OMEMO</v>
      </c>
      <c r="AD5" s="6" t="s">
        <v>41</v>
      </c>
      <c r="AE5" s="7" t="str">
        <f>IFERROR(__xludf.DUMMYFUNCTION("GOOGLETRANSLATE(C5, ""en"", ""sr"")"),"ОМЕМО енкрипција")</f>
        <v>ОМЕМО енкрипција</v>
      </c>
      <c r="AF5" s="7" t="str">
        <f>IFERROR(__xludf.DUMMYFUNCTION("GOOGLETRANSLATE(C5, ""en"", ""sv"")"),"Omemo kryptering")</f>
        <v>Omemo kryptering</v>
      </c>
      <c r="AG5" s="6" t="s">
        <v>41</v>
      </c>
      <c r="AH5" s="7" t="str">
        <f>IFERROR(__xludf.DUMMYFUNCTION("GOOGLETRANSLATE(C5, ""en"", ""tr"")"),"Omemo Şifreleme")</f>
        <v>Omemo Şifreleme</v>
      </c>
      <c r="AI5" s="6" t="s">
        <v>41</v>
      </c>
      <c r="AJ5" s="6" t="s">
        <v>41</v>
      </c>
      <c r="AK5" s="7" t="str">
        <f>IFERROR(__xludf.DUMMYFUNCTION("GOOGLETRANSLATE(C5, ""en"", ""zh"")"),"omemo加密")</f>
        <v>omemo加密</v>
      </c>
      <c r="AL5" s="6" t="s">
        <v>87</v>
      </c>
    </row>
    <row r="6" hidden="1">
      <c r="A6" s="1" t="s">
        <v>38</v>
      </c>
      <c r="B6" s="1" t="s">
        <v>88</v>
      </c>
      <c r="C6" s="1" t="s">
        <v>89</v>
      </c>
      <c r="D6" s="7" t="str">
        <f>IFERROR(__xludf.DUMMYFUNCTION("GOOGLETRANSLATE(C6, ""en"", ""ar"")"),"الاتجاهات")</f>
        <v>الاتجاهات</v>
      </c>
      <c r="E6" s="1" t="s">
        <v>90</v>
      </c>
      <c r="F6" s="6" t="s">
        <v>91</v>
      </c>
      <c r="G6" s="7" t="str">
        <f>IFERROR(__xludf.DUMMYFUNCTION("GOOGLETRANSLATE(C6, ""en"", ""cs"")"),"Pokyny")</f>
        <v>Pokyny</v>
      </c>
      <c r="H6" s="7" t="str">
        <f>IFERROR(__xludf.DUMMYFUNCTION("GOOGLETRANSLATE(C6, ""en"", ""da"")"),"Retninger.")</f>
        <v>Retninger.</v>
      </c>
      <c r="I6" s="1" t="s">
        <v>92</v>
      </c>
      <c r="J6" s="6" t="str">
        <f>IFERROR(__xludf.DUMMYFUNCTION("GOOGLETRANSLATE(C6, ""en"", ""el"")"),"Κατευθύνσεις")</f>
        <v>Κατευθύνσεις</v>
      </c>
      <c r="K6" s="1" t="s">
        <v>93</v>
      </c>
      <c r="L6" s="7" t="str">
        <f>IFERROR(__xludf.DUMMYFUNCTION("GOOGLETRANSLATE(C6, ""en"", ""fi"")"),"Ohjeet")</f>
        <v>Ohjeet</v>
      </c>
      <c r="M6" s="1" t="s">
        <v>94</v>
      </c>
      <c r="N6" s="6" t="s">
        <v>95</v>
      </c>
      <c r="O6" s="6" t="s">
        <v>41</v>
      </c>
      <c r="P6" s="1" t="s">
        <v>96</v>
      </c>
      <c r="Q6" s="7" t="str">
        <f>IFERROR(__xludf.DUMMYFUNCTION("GOOGLETRANSLATE(C6, ""en"", ""in"")"),"Arah.")</f>
        <v>Arah.</v>
      </c>
      <c r="R6" s="1" t="s">
        <v>97</v>
      </c>
      <c r="S6" s="6" t="s">
        <v>41</v>
      </c>
      <c r="T6" s="7" t="str">
        <f>IFERROR(__xludf.DUMMYFUNCTION("GOOGLETRANSLATE(C6, ""en"", ""ja"")"),"行き方")</f>
        <v>行き方</v>
      </c>
      <c r="U6" s="7" t="str">
        <f>IFERROR(__xludf.DUMMYFUNCTION("GOOGLETRANSLATE(C6, ""en"", ""ko"")"),"지도")</f>
        <v>지도</v>
      </c>
      <c r="V6" s="7" t="str">
        <f>IFERROR(__xludf.DUMMYFUNCTION("GOOGLETRANSLATE(C6, ""en"", ""ms"")"),"Arahan")</f>
        <v>Arahan</v>
      </c>
      <c r="W6" s="1" t="s">
        <v>98</v>
      </c>
      <c r="X6" s="7" t="str">
        <f>IFERROR(__xludf.DUMMYFUNCTION("GOOGLETRANSLATE(C6, ""en"", ""no"")"),"Veibeskrivelse")</f>
        <v>Veibeskrivelse</v>
      </c>
      <c r="Y6" s="1" t="s">
        <v>99</v>
      </c>
      <c r="Z6" s="7" t="str">
        <f>IFERROR(__xludf.DUMMYFUNCTION("GOOGLETRANSLATE(C6, ""en"", ""pt"")"),"instruções")</f>
        <v>instruções</v>
      </c>
      <c r="AA6" s="7" t="str">
        <f>IFERROR(__xludf.DUMMYFUNCTION("GOOGLETRANSLATE(C6, ""en"", ""ro"")"),"Directii")</f>
        <v>Directii</v>
      </c>
      <c r="AB6" s="7" t="str">
        <f>IFERROR(__xludf.DUMMYFUNCTION("GOOGLETRANSLATE(C6, ""en"", ""ru"")"),"Направления")</f>
        <v>Направления</v>
      </c>
      <c r="AC6" s="7" t="str">
        <f>IFERROR(__xludf.DUMMYFUNCTION("GOOGLETRANSLATE(C6, ""en"", ""sk"")"),"Smery")</f>
        <v>Smery</v>
      </c>
      <c r="AD6" s="6" t="s">
        <v>41</v>
      </c>
      <c r="AE6" s="1" t="s">
        <v>100</v>
      </c>
      <c r="AF6" s="7" t="str">
        <f>IFERROR(__xludf.DUMMYFUNCTION("GOOGLETRANSLATE(C6, ""en"", ""sv"")"),"Anvisningar")</f>
        <v>Anvisningar</v>
      </c>
      <c r="AG6" s="6" t="s">
        <v>41</v>
      </c>
      <c r="AH6" s="7" t="str">
        <f>IFERROR(__xludf.DUMMYFUNCTION("GOOGLETRANSLATE(C6, ""en"", ""tr"")"),"Talimatlar")</f>
        <v>Talimatlar</v>
      </c>
      <c r="AI6" s="6" t="s">
        <v>41</v>
      </c>
      <c r="AJ6" s="6" t="s">
        <v>41</v>
      </c>
      <c r="AK6" s="7" t="str">
        <f>IFERROR(__xludf.DUMMYFUNCTION("GOOGLETRANSLATE(C6, ""en"", ""zh"")"),"方向")</f>
        <v>方向</v>
      </c>
      <c r="AL6" s="6" t="s">
        <v>41</v>
      </c>
    </row>
    <row r="7" hidden="1">
      <c r="A7" s="1" t="s">
        <v>38</v>
      </c>
      <c r="B7" s="1" t="s">
        <v>101</v>
      </c>
      <c r="C7" s="1" t="s">
        <v>102</v>
      </c>
      <c r="D7" s="7" t="str">
        <f>IFERROR(__xludf.DUMMYFUNCTION("GOOGLETRANSLATE(C7, ""en"", ""ar"")"),"بوليفيا")</f>
        <v>بوليفيا</v>
      </c>
      <c r="E7" s="7" t="str">
        <f>IFERROR(__xludf.DUMMYFUNCTION("GOOGLETRANSLATE(C7, ""en"", ""bg"")"),"Боливия")</f>
        <v>Боливия</v>
      </c>
      <c r="F7" s="6" t="s">
        <v>41</v>
      </c>
      <c r="G7" s="7" t="str">
        <f>IFERROR(__xludf.DUMMYFUNCTION("GOOGLETRANSLATE(C7, ""en"", ""cs"")"),"Bolívie")</f>
        <v>Bolívie</v>
      </c>
      <c r="H7" s="7" t="str">
        <f>IFERROR(__xludf.DUMMYFUNCTION("GOOGLETRANSLATE(C7, ""en"", ""da"")"),"Bolivia.")</f>
        <v>Bolivia.</v>
      </c>
      <c r="I7" s="1" t="s">
        <v>103</v>
      </c>
      <c r="J7" s="6" t="str">
        <f>IFERROR(__xludf.DUMMYFUNCTION("GOOGLETRANSLATE(C7, ""en"", ""el"")"),"Βολιβία")</f>
        <v>Βολιβία</v>
      </c>
      <c r="K7" s="1" t="s">
        <v>102</v>
      </c>
      <c r="L7" s="7" t="str">
        <f>IFERROR(__xludf.DUMMYFUNCTION("GOOGLETRANSLATE(C7, ""en"", ""fi"")"),"Bolivia")</f>
        <v>Bolivia</v>
      </c>
      <c r="M7" s="1" t="s">
        <v>104</v>
      </c>
      <c r="N7" s="6" t="s">
        <v>41</v>
      </c>
      <c r="O7" s="6" t="s">
        <v>41</v>
      </c>
      <c r="P7" s="1" t="s">
        <v>102</v>
      </c>
      <c r="Q7" s="7" t="str">
        <f>IFERROR(__xludf.DUMMYFUNCTION("GOOGLETRANSLATE(C7, ""en"", ""in"")"),"Bolivia")</f>
        <v>Bolivia</v>
      </c>
      <c r="R7" s="7" t="str">
        <f>IFERROR(__xludf.DUMMYFUNCTION("GOOGLETRANSLATE(C7, ""en"", ""it"")"),"Bolivia")</f>
        <v>Bolivia</v>
      </c>
      <c r="S7" s="6" t="s">
        <v>41</v>
      </c>
      <c r="T7" s="7" t="str">
        <f>IFERROR(__xludf.DUMMYFUNCTION("GOOGLETRANSLATE(C7, ""en"", ""ja"")"),"ボリビア")</f>
        <v>ボリビア</v>
      </c>
      <c r="U7" s="7" t="str">
        <f>IFERROR(__xludf.DUMMYFUNCTION("GOOGLETRANSLATE(C7, ""en"", ""ko"")"),"볼리비아")</f>
        <v>볼리비아</v>
      </c>
      <c r="V7" s="7" t="str">
        <f>IFERROR(__xludf.DUMMYFUNCTION("GOOGLETRANSLATE(C7, ""en"", ""ms"")"),"Bolivia")</f>
        <v>Bolivia</v>
      </c>
      <c r="W7" s="7" t="str">
        <f>IFERROR(__xludf.DUMMYFUNCTION("GOOGLETRANSLATE(C7, ""en"", ""nl"")"),"Bolivia")</f>
        <v>Bolivia</v>
      </c>
      <c r="X7" s="7" t="str">
        <f>IFERROR(__xludf.DUMMYFUNCTION("GOOGLETRANSLATE(C7, ""en"", ""no"")"),"Bolivia")</f>
        <v>Bolivia</v>
      </c>
      <c r="Y7" s="7" t="str">
        <f>IFERROR(__xludf.DUMMYFUNCTION("GOOGLETRANSLATE(C7, ""en"", ""pl"")"),"Boliwia")</f>
        <v>Boliwia</v>
      </c>
      <c r="Z7" s="7" t="str">
        <f>IFERROR(__xludf.DUMMYFUNCTION("GOOGLETRANSLATE(C7, ""en"", ""pt"")"),"Bolívia")</f>
        <v>Bolívia</v>
      </c>
      <c r="AA7" s="7" t="str">
        <f>IFERROR(__xludf.DUMMYFUNCTION("GOOGLETRANSLATE(C7, ""en"", ""ro"")"),"Bolivia")</f>
        <v>Bolivia</v>
      </c>
      <c r="AB7" s="1" t="s">
        <v>105</v>
      </c>
      <c r="AC7" s="7" t="str">
        <f>IFERROR(__xludf.DUMMYFUNCTION("GOOGLETRANSLATE(C7, ""en"", ""sk"")"),"Bomba")</f>
        <v>Bomba</v>
      </c>
      <c r="AD7" s="6" t="s">
        <v>41</v>
      </c>
      <c r="AE7" s="1" t="s">
        <v>102</v>
      </c>
      <c r="AF7" s="7" t="str">
        <f>IFERROR(__xludf.DUMMYFUNCTION("GOOGLETRANSLATE(C7, ""en"", ""sv"")"),"Bolivi")</f>
        <v>Bolivi</v>
      </c>
      <c r="AG7" s="6" t="s">
        <v>41</v>
      </c>
      <c r="AH7" s="7" t="str">
        <f>IFERROR(__xludf.DUMMYFUNCTION("GOOGLETRANSLATE(C7, ""en"", ""tr"")"),"Bolivya")</f>
        <v>Bolivya</v>
      </c>
      <c r="AI7" s="6" t="s">
        <v>41</v>
      </c>
      <c r="AJ7" s="6" t="s">
        <v>41</v>
      </c>
      <c r="AK7" s="7" t="str">
        <f>IFERROR(__xludf.DUMMYFUNCTION("GOOGLETRANSLATE(C7, ""en"", ""zh"")"),"玻利维亚")</f>
        <v>玻利维亚</v>
      </c>
      <c r="AL7" s="6" t="s">
        <v>41</v>
      </c>
    </row>
    <row r="8" hidden="1">
      <c r="A8" s="1" t="s">
        <v>38</v>
      </c>
      <c r="B8" s="1" t="s">
        <v>106</v>
      </c>
      <c r="C8" s="1" t="s">
        <v>107</v>
      </c>
      <c r="D8" s="8" t="s">
        <v>108</v>
      </c>
      <c r="E8" s="1" t="s">
        <v>109</v>
      </c>
      <c r="F8" s="6" t="s">
        <v>110</v>
      </c>
      <c r="G8" s="7" t="str">
        <f>IFERROR(__xludf.DUMMYFUNCTION("GOOGLETRANSLATE(C8, ""en"", ""cs"")"),"Spojení")</f>
        <v>Spojení</v>
      </c>
      <c r="H8" s="7" t="str">
        <f>IFERROR(__xludf.DUMMYFUNCTION("GOOGLETRANSLATE(C8, ""en"", ""da"")"),"Forbindelse")</f>
        <v>Forbindelse</v>
      </c>
      <c r="I8" s="1" t="s">
        <v>111</v>
      </c>
      <c r="J8" s="6" t="str">
        <f>IFERROR(__xludf.DUMMYFUNCTION("GOOGLETRANSLATE(C8, ""en"", ""el"")"),"Σύνδεση")</f>
        <v>Σύνδεση</v>
      </c>
      <c r="K8" s="1" t="s">
        <v>112</v>
      </c>
      <c r="L8" s="7" t="str">
        <f>IFERROR(__xludf.DUMMYFUNCTION("GOOGLETRANSLATE(C8, ""en"", ""fi"")"),"Yhteys")</f>
        <v>Yhteys</v>
      </c>
      <c r="M8" s="1" t="s">
        <v>113</v>
      </c>
      <c r="N8" s="6" t="s">
        <v>112</v>
      </c>
      <c r="O8" s="6" t="s">
        <v>41</v>
      </c>
      <c r="P8" s="1" t="s">
        <v>114</v>
      </c>
      <c r="Q8" s="9" t="s">
        <v>115</v>
      </c>
      <c r="R8" s="1" t="s">
        <v>116</v>
      </c>
      <c r="S8" s="6" t="s">
        <v>41</v>
      </c>
      <c r="T8" s="1" t="s">
        <v>117</v>
      </c>
      <c r="U8" s="1" t="s">
        <v>118</v>
      </c>
      <c r="V8" s="7" t="str">
        <f>IFERROR(__xludf.DUMMYFUNCTION("GOOGLETRANSLATE(C8, ""en"", ""ms"")"),"Sambungan")</f>
        <v>Sambungan</v>
      </c>
      <c r="W8" s="1" t="s">
        <v>119</v>
      </c>
      <c r="X8" s="7" t="str">
        <f>IFERROR(__xludf.DUMMYFUNCTION("GOOGLETRANSLATE(C8, ""en"", ""no"")"),"Forbindelse")</f>
        <v>Forbindelse</v>
      </c>
      <c r="Y8" s="1" t="s">
        <v>120</v>
      </c>
      <c r="Z8" s="1" t="s">
        <v>121</v>
      </c>
      <c r="AA8" s="7" t="str">
        <f>IFERROR(__xludf.DUMMYFUNCTION("GOOGLETRANSLATE(C8, ""en"", ""ro"")"),"Conexiune")</f>
        <v>Conexiune</v>
      </c>
      <c r="AB8" s="1" t="s">
        <v>122</v>
      </c>
      <c r="AC8" s="7" t="str">
        <f>IFERROR(__xludf.DUMMYFUNCTION("GOOGLETRANSLATE(C8, ""en"", ""sk"")"),"Pripojenie")</f>
        <v>Pripojenie</v>
      </c>
      <c r="AD8" s="6" t="s">
        <v>41</v>
      </c>
      <c r="AE8" s="1" t="s">
        <v>123</v>
      </c>
      <c r="AF8" s="1" t="s">
        <v>124</v>
      </c>
      <c r="AG8" s="6" t="s">
        <v>41</v>
      </c>
      <c r="AH8" s="7" t="str">
        <f>IFERROR(__xludf.DUMMYFUNCTION("GOOGLETRANSLATE(C8, ""en"", ""tr"")"),"Bağ")</f>
        <v>Bağ</v>
      </c>
      <c r="AI8" s="6" t="s">
        <v>125</v>
      </c>
      <c r="AJ8" s="6" t="s">
        <v>41</v>
      </c>
      <c r="AK8" s="7" t="str">
        <f>IFERROR(__xludf.DUMMYFUNCTION("GOOGLETRANSLATE(C8, ""en"", ""zh"")"),"联系")</f>
        <v>联系</v>
      </c>
      <c r="AL8" s="6" t="s">
        <v>126</v>
      </c>
    </row>
    <row r="9">
      <c r="A9" s="1" t="s">
        <v>127</v>
      </c>
      <c r="B9" s="1" t="s">
        <v>128</v>
      </c>
      <c r="C9" s="1" t="s">
        <v>129</v>
      </c>
      <c r="D9" s="8" t="s">
        <v>130</v>
      </c>
      <c r="E9" s="1" t="s">
        <v>131</v>
      </c>
      <c r="F9" s="6" t="s">
        <v>132</v>
      </c>
      <c r="G9" s="1" t="s">
        <v>133</v>
      </c>
      <c r="H9" s="1" t="s">
        <v>134</v>
      </c>
      <c r="I9" s="1" t="s">
        <v>135</v>
      </c>
      <c r="J9" s="6" t="s">
        <v>136</v>
      </c>
      <c r="K9" s="1" t="s">
        <v>137</v>
      </c>
      <c r="L9" s="1" t="s">
        <v>138</v>
      </c>
      <c r="M9" s="1" t="s">
        <v>139</v>
      </c>
      <c r="N9" s="6" t="s">
        <v>132</v>
      </c>
      <c r="O9" s="6" t="s">
        <v>140</v>
      </c>
      <c r="P9" s="1" t="s">
        <v>141</v>
      </c>
      <c r="Q9" s="1" t="s">
        <v>142</v>
      </c>
      <c r="R9" s="1" t="s">
        <v>143</v>
      </c>
      <c r="S9" s="10" t="s">
        <v>144</v>
      </c>
      <c r="T9" s="1" t="s">
        <v>145</v>
      </c>
      <c r="U9" s="1" t="s">
        <v>146</v>
      </c>
      <c r="V9" s="1" t="s">
        <v>147</v>
      </c>
      <c r="W9" s="1" t="s">
        <v>148</v>
      </c>
      <c r="X9" s="1" t="s">
        <v>149</v>
      </c>
      <c r="Y9" s="1" t="s">
        <v>150</v>
      </c>
      <c r="Z9" s="1" t="s">
        <v>151</v>
      </c>
      <c r="AA9" s="1" t="s">
        <v>152</v>
      </c>
      <c r="AB9" s="1" t="s">
        <v>153</v>
      </c>
      <c r="AC9" s="1" t="s">
        <v>154</v>
      </c>
      <c r="AD9" s="6" t="s">
        <v>155</v>
      </c>
      <c r="AE9" s="1" t="s">
        <v>156</v>
      </c>
      <c r="AF9" s="1" t="s">
        <v>157</v>
      </c>
      <c r="AG9" s="6" t="s">
        <v>158</v>
      </c>
      <c r="AH9" s="1" t="s">
        <v>159</v>
      </c>
      <c r="AI9" s="6" t="s">
        <v>132</v>
      </c>
      <c r="AJ9" s="6" t="s">
        <v>160</v>
      </c>
      <c r="AK9" s="1" t="s">
        <v>161</v>
      </c>
      <c r="AL9" s="6" t="s">
        <v>132</v>
      </c>
    </row>
    <row r="10" hidden="1">
      <c r="A10" s="1" t="s">
        <v>38</v>
      </c>
      <c r="B10" s="1" t="s">
        <v>162</v>
      </c>
      <c r="C10" s="1" t="s">
        <v>163</v>
      </c>
      <c r="D10" s="8" t="s">
        <v>164</v>
      </c>
      <c r="E10" s="1" t="s">
        <v>165</v>
      </c>
      <c r="F10" s="6" t="s">
        <v>166</v>
      </c>
      <c r="G10" s="7" t="str">
        <f>IFERROR(__xludf.DUMMYFUNCTION("GOOGLETRANSLATE(C10, ""en"", ""cs"")"),"Toto zařízení bylo ověřeno")</f>
        <v>Toto zařízení bylo ověřeno</v>
      </c>
      <c r="H10" s="7" t="str">
        <f>IFERROR(__xludf.DUMMYFUNCTION("GOOGLETRANSLATE(C10, ""en"", ""da"")"),"Denne enhed er blevet verificeret")</f>
        <v>Denne enhed er blevet verificeret</v>
      </c>
      <c r="I10" s="1" t="s">
        <v>167</v>
      </c>
      <c r="J10" s="6" t="s">
        <v>41</v>
      </c>
      <c r="K10" s="1" t="s">
        <v>168</v>
      </c>
      <c r="L10" s="7" t="str">
        <f>IFERROR(__xludf.DUMMYFUNCTION("GOOGLETRANSLATE(C10, ""en"", ""fi"")"),"Tämä laite on vahvistettu")</f>
        <v>Tämä laite on vahvistettu</v>
      </c>
      <c r="M10" s="1" t="s">
        <v>169</v>
      </c>
      <c r="N10" s="6" t="s">
        <v>170</v>
      </c>
      <c r="O10" s="6" t="s">
        <v>41</v>
      </c>
      <c r="P10" s="1" t="s">
        <v>171</v>
      </c>
      <c r="Q10" s="7" t="str">
        <f>IFERROR(__xludf.DUMMYFUNCTION("GOOGLETRANSLATE(C10, ""en"", ""in"")"),"Perangkat ini telah diverifikasi")</f>
        <v>Perangkat ini telah diverifikasi</v>
      </c>
      <c r="R10" s="1" t="s">
        <v>172</v>
      </c>
      <c r="S10" s="6" t="s">
        <v>41</v>
      </c>
      <c r="T10" s="1" t="s">
        <v>173</v>
      </c>
      <c r="U10" s="1" t="s">
        <v>174</v>
      </c>
      <c r="V10" s="7" t="str">
        <f>IFERROR(__xludf.DUMMYFUNCTION("GOOGLETRANSLATE(C10, ""en"", ""ms"")"),"Peranti ini telah disahkan")</f>
        <v>Peranti ini telah disahkan</v>
      </c>
      <c r="W10" s="1" t="s">
        <v>175</v>
      </c>
      <c r="X10" s="7" t="str">
        <f>IFERROR(__xludf.DUMMYFUNCTION("GOOGLETRANSLATE(C10, ""en"", ""no"")"),"Denne enheten er verifisert")</f>
        <v>Denne enheten er verifisert</v>
      </c>
      <c r="Y10" s="1" t="s">
        <v>176</v>
      </c>
      <c r="Z10" s="7" t="str">
        <f>IFERROR(__xludf.DUMMYFUNCTION("GOOGLETRANSLATE(C10, ""en"", ""pt"")"),"Este dispositivo foi verificado")</f>
        <v>Este dispositivo foi verificado</v>
      </c>
      <c r="AA10" s="7" t="str">
        <f>IFERROR(__xludf.DUMMYFUNCTION("GOOGLETRANSLATE(C10, ""en"", ""ro"")"),"Acest dispozitiv a fost verificat")</f>
        <v>Acest dispozitiv a fost verificat</v>
      </c>
      <c r="AB10" s="1" t="s">
        <v>177</v>
      </c>
      <c r="AC10" s="7" t="str">
        <f>IFERROR(__xludf.DUMMYFUNCTION("GOOGLETRANSLATE(C10, ""en"", ""sk"")"),"Toto zariadenie bolo overené")</f>
        <v>Toto zariadenie bolo overené</v>
      </c>
      <c r="AD10" s="6" t="s">
        <v>41</v>
      </c>
      <c r="AE10" s="1" t="s">
        <v>178</v>
      </c>
      <c r="AF10" s="1" t="s">
        <v>179</v>
      </c>
      <c r="AG10" s="6" t="s">
        <v>41</v>
      </c>
      <c r="AH10" s="7" t="str">
        <f>IFERROR(__xludf.DUMMYFUNCTION("GOOGLETRANSLATE(C10, ""en"", ""tr"")"),"Bu cihaz doğrulandı")</f>
        <v>Bu cihaz doğrulandı</v>
      </c>
      <c r="AI10" s="6" t="s">
        <v>180</v>
      </c>
      <c r="AJ10" s="6" t="s">
        <v>41</v>
      </c>
      <c r="AK10" s="7" t="str">
        <f>IFERROR(__xludf.DUMMYFUNCTION("GOOGLETRANSLATE(C10, ""en"", ""zh"")"),"此设备已被验证")</f>
        <v>此设备已被验证</v>
      </c>
      <c r="AL10" s="6" t="s">
        <v>181</v>
      </c>
    </row>
    <row r="11">
      <c r="A11" s="1" t="s">
        <v>127</v>
      </c>
      <c r="B11" s="1" t="s">
        <v>182</v>
      </c>
      <c r="C11" s="1" t="s">
        <v>183</v>
      </c>
      <c r="D11" s="8" t="s">
        <v>184</v>
      </c>
      <c r="E11" s="1" t="s">
        <v>185</v>
      </c>
      <c r="F11" s="6" t="s">
        <v>132</v>
      </c>
      <c r="G11" s="1" t="s">
        <v>186</v>
      </c>
      <c r="H11" s="1" t="s">
        <v>187</v>
      </c>
      <c r="I11" s="1" t="s">
        <v>188</v>
      </c>
      <c r="J11" s="6" t="s">
        <v>189</v>
      </c>
      <c r="K11" s="1" t="s">
        <v>190</v>
      </c>
      <c r="L11" s="1" t="s">
        <v>191</v>
      </c>
      <c r="M11" s="1" t="s">
        <v>192</v>
      </c>
      <c r="N11" s="6" t="s">
        <v>132</v>
      </c>
      <c r="O11" s="6" t="s">
        <v>193</v>
      </c>
      <c r="P11" s="1" t="s">
        <v>194</v>
      </c>
      <c r="Q11" s="1" t="s">
        <v>195</v>
      </c>
      <c r="R11" s="1" t="s">
        <v>196</v>
      </c>
      <c r="S11" s="10" t="s">
        <v>197</v>
      </c>
      <c r="T11" s="1" t="s">
        <v>198</v>
      </c>
      <c r="U11" s="1" t="s">
        <v>199</v>
      </c>
      <c r="V11" s="1" t="s">
        <v>200</v>
      </c>
      <c r="W11" s="1" t="s">
        <v>201</v>
      </c>
      <c r="X11" s="1" t="s">
        <v>202</v>
      </c>
      <c r="Y11" s="1" t="s">
        <v>203</v>
      </c>
      <c r="Z11" s="1" t="s">
        <v>204</v>
      </c>
      <c r="AA11" s="1" t="s">
        <v>205</v>
      </c>
      <c r="AB11" s="1" t="s">
        <v>206</v>
      </c>
      <c r="AC11" s="1" t="s">
        <v>207</v>
      </c>
      <c r="AD11" s="6" t="s">
        <v>208</v>
      </c>
      <c r="AE11" s="1" t="s">
        <v>209</v>
      </c>
      <c r="AF11" s="1" t="s">
        <v>210</v>
      </c>
      <c r="AG11" s="6" t="s">
        <v>211</v>
      </c>
      <c r="AH11" s="1" t="s">
        <v>212</v>
      </c>
      <c r="AI11" s="6" t="s">
        <v>132</v>
      </c>
      <c r="AJ11" s="6" t="s">
        <v>213</v>
      </c>
      <c r="AK11" s="1" t="s">
        <v>214</v>
      </c>
      <c r="AL11" s="6" t="s">
        <v>215</v>
      </c>
    </row>
    <row r="12" hidden="1">
      <c r="A12" s="1" t="s">
        <v>38</v>
      </c>
      <c r="B12" s="1" t="s">
        <v>216</v>
      </c>
      <c r="C12" s="1" t="s">
        <v>217</v>
      </c>
      <c r="D12" s="8" t="s">
        <v>218</v>
      </c>
      <c r="E12" s="1" t="s">
        <v>219</v>
      </c>
      <c r="F12" s="6" t="s">
        <v>220</v>
      </c>
      <c r="G12" s="7" t="str">
        <f>IFERROR(__xludf.DUMMYFUNCTION("GOOGLETRANSLATE(C12, ""en"", ""cs"")"),"Zpráva zkopírována do schránky")</f>
        <v>Zpráva zkopírována do schránky</v>
      </c>
      <c r="H12" s="7" t="str">
        <f>IFERROR(__xludf.DUMMYFUNCTION("GOOGLETRANSLATE(C12, ""en"", ""da"")"),"Meddelelse kopieret til udklipsholder")</f>
        <v>Meddelelse kopieret til udklipsholder</v>
      </c>
      <c r="I12" s="1" t="s">
        <v>221</v>
      </c>
      <c r="J12" s="6" t="str">
        <f>IFERROR(__xludf.DUMMYFUNCTION("GOOGLETRANSLATE(C12, ""en"", ""el"")"),"Μήνυμα αντιγράφηκε στο πρόχειρο")</f>
        <v>Μήνυμα αντιγράφηκε στο πρόχειρο</v>
      </c>
      <c r="K12" s="1" t="s">
        <v>222</v>
      </c>
      <c r="L12" s="7" t="str">
        <f>IFERROR(__xludf.DUMMYFUNCTION("GOOGLETRANSLATE(C12, ""en"", ""fi"")"),"Viesti kopioitu leikepöydälle")</f>
        <v>Viesti kopioitu leikepöydälle</v>
      </c>
      <c r="M12" s="1" t="s">
        <v>223</v>
      </c>
      <c r="N12" s="6" t="s">
        <v>224</v>
      </c>
      <c r="O12" s="6" t="s">
        <v>132</v>
      </c>
      <c r="P12" s="1" t="s">
        <v>225</v>
      </c>
      <c r="Q12" s="7" t="str">
        <f>IFERROR(__xludf.DUMMYFUNCTION("GOOGLETRANSLATE(C12, ""en"", ""in"")"),"Pesan disalin ke clipboard")</f>
        <v>Pesan disalin ke clipboard</v>
      </c>
      <c r="R12" s="1" t="s">
        <v>226</v>
      </c>
      <c r="S12" s="6" t="s">
        <v>132</v>
      </c>
      <c r="T12" s="1" t="s">
        <v>227</v>
      </c>
      <c r="U12" s="7" t="str">
        <f>IFERROR(__xludf.DUMMYFUNCTION("GOOGLETRANSLATE(C12, ""en"", ""ko"")"),"메시지가 클립 보드에 복사되었습니다")</f>
        <v>메시지가 클립 보드에 복사되었습니다</v>
      </c>
      <c r="V12" s="7" t="str">
        <f>IFERROR(__xludf.DUMMYFUNCTION("GOOGLETRANSLATE(C12, ""en"", ""ms"")"),"Mesej disalin ke papan klip")</f>
        <v>Mesej disalin ke papan klip</v>
      </c>
      <c r="W12" s="1" t="s">
        <v>228</v>
      </c>
      <c r="X12" s="7" t="str">
        <f>IFERROR(__xludf.DUMMYFUNCTION("GOOGLETRANSLATE(C12, ""en"", ""no"")"),"Melding kopiert til utklippstavlen")</f>
        <v>Melding kopiert til utklippstavlen</v>
      </c>
      <c r="Y12" s="1" t="s">
        <v>229</v>
      </c>
      <c r="Z12" s="7" t="str">
        <f>IFERROR(__xludf.DUMMYFUNCTION("GOOGLETRANSLATE(C12, ""en"", ""pt"")"),"Mensagem copiada para a área de transferência")</f>
        <v>Mensagem copiada para a área de transferência</v>
      </c>
      <c r="AA12" s="7" t="str">
        <f>IFERROR(__xludf.DUMMYFUNCTION("GOOGLETRANSLATE(C12, ""en"", ""ro"")"),"Mesaj copiat în clipboard")</f>
        <v>Mesaj copiat în clipboard</v>
      </c>
      <c r="AB12" s="1" t="s">
        <v>230</v>
      </c>
      <c r="AC12" s="7" t="str">
        <f>IFERROR(__xludf.DUMMYFUNCTION("GOOGLETRANSLATE(C12, ""en"", ""sk"")"),"Správa skopírovaná do schránky")</f>
        <v>Správa skopírovaná do schránky</v>
      </c>
      <c r="AD12" s="6" t="s">
        <v>132</v>
      </c>
      <c r="AE12" s="1" t="s">
        <v>231</v>
      </c>
      <c r="AF12" s="7" t="str">
        <f>IFERROR(__xludf.DUMMYFUNCTION("GOOGLETRANSLATE(C12, ""en"", ""sv"")"),"Meddelande kopieras till Urklipp")</f>
        <v>Meddelande kopieras till Urklipp</v>
      </c>
      <c r="AG12" s="6" t="s">
        <v>132</v>
      </c>
      <c r="AH12" s="7" t="str">
        <f>IFERROR(__xludf.DUMMYFUNCTION("GOOGLETRANSLATE(C12, ""en"", ""tr"")"),"Panoya kopyalanan mesaj")</f>
        <v>Panoya kopyalanan mesaj</v>
      </c>
      <c r="AI12" s="6" t="s">
        <v>132</v>
      </c>
      <c r="AJ12" s="6" t="s">
        <v>132</v>
      </c>
      <c r="AK12" s="7" t="str">
        <f>IFERROR(__xludf.DUMMYFUNCTION("GOOGLETRANSLATE(C12, ""en"", ""zh"")"),"邮件复制到剪贴板")</f>
        <v>邮件复制到剪贴板</v>
      </c>
      <c r="AL12" s="6" t="s">
        <v>132</v>
      </c>
    </row>
    <row r="13">
      <c r="A13" s="1" t="s">
        <v>127</v>
      </c>
      <c r="B13" s="1" t="s">
        <v>232</v>
      </c>
      <c r="C13" s="1" t="s">
        <v>233</v>
      </c>
      <c r="D13" s="8" t="s">
        <v>234</v>
      </c>
      <c r="E13" s="1" t="s">
        <v>233</v>
      </c>
      <c r="F13" s="6" t="s">
        <v>132</v>
      </c>
      <c r="G13" s="1" t="s">
        <v>233</v>
      </c>
      <c r="H13" s="1" t="s">
        <v>235</v>
      </c>
      <c r="I13" s="1" t="s">
        <v>233</v>
      </c>
      <c r="J13" s="6" t="s">
        <v>233</v>
      </c>
      <c r="K13" s="1" t="s">
        <v>233</v>
      </c>
      <c r="L13" s="1" t="s">
        <v>236</v>
      </c>
      <c r="M13" s="1" t="s">
        <v>237</v>
      </c>
      <c r="N13" s="6" t="s">
        <v>132</v>
      </c>
      <c r="O13" s="6" t="s">
        <v>233</v>
      </c>
      <c r="P13" s="1" t="s">
        <v>233</v>
      </c>
      <c r="Q13" s="1" t="s">
        <v>233</v>
      </c>
      <c r="R13" s="1" t="s">
        <v>233</v>
      </c>
      <c r="S13" s="10" t="s">
        <v>238</v>
      </c>
      <c r="T13" s="1" t="s">
        <v>239</v>
      </c>
      <c r="U13" s="1" t="s">
        <v>240</v>
      </c>
      <c r="V13" s="1" t="s">
        <v>233</v>
      </c>
      <c r="W13" s="1" t="s">
        <v>233</v>
      </c>
      <c r="X13" s="1" t="s">
        <v>236</v>
      </c>
      <c r="Y13" s="1" t="s">
        <v>236</v>
      </c>
      <c r="Z13" s="1" t="s">
        <v>233</v>
      </c>
      <c r="AA13" s="1" t="s">
        <v>233</v>
      </c>
      <c r="AB13" s="1" t="s">
        <v>233</v>
      </c>
      <c r="AC13" s="1" t="s">
        <v>241</v>
      </c>
      <c r="AD13" s="6" t="s">
        <v>242</v>
      </c>
      <c r="AE13" s="1" t="s">
        <v>233</v>
      </c>
      <c r="AF13" s="1" t="s">
        <v>236</v>
      </c>
      <c r="AG13" s="6" t="s">
        <v>233</v>
      </c>
      <c r="AH13" s="1" t="s">
        <v>243</v>
      </c>
      <c r="AI13" s="6" t="s">
        <v>132</v>
      </c>
      <c r="AJ13" s="6" t="s">
        <v>244</v>
      </c>
      <c r="AK13" s="1" t="s">
        <v>245</v>
      </c>
      <c r="AL13" s="6" t="s">
        <v>246</v>
      </c>
    </row>
    <row r="14" hidden="1">
      <c r="A14" s="1" t="s">
        <v>38</v>
      </c>
      <c r="B14" s="1" t="s">
        <v>247</v>
      </c>
      <c r="C14" s="1" t="s">
        <v>248</v>
      </c>
      <c r="D14" s="7" t="str">
        <f>IFERROR(__xludf.DUMMYFUNCTION("GOOGLETRANSLATE(C14, ""en"", ""ar"")"),"تلميح: في بعض الحالات، يمكن إصلاح ذلك عن طريق إضافة بعض قوائم جهات الاتصال الخاصة بك.")</f>
        <v>تلميح: في بعض الحالات، يمكن إصلاح ذلك عن طريق إضافة بعض قوائم جهات الاتصال الخاصة بك.</v>
      </c>
      <c r="E14" s="1" t="s">
        <v>249</v>
      </c>
      <c r="F14" s="6" t="s">
        <v>250</v>
      </c>
      <c r="G14" s="7" t="str">
        <f>IFERROR(__xludf.DUMMYFUNCTION("GOOGLETRANSLATE(C14, ""en"", ""cs"")"),"Tip: V některých případech to může být opraveno přidáním vašich kontaktních seznamů.")</f>
        <v>Tip: V některých případech to může být opraveno přidáním vašich kontaktních seznamů.</v>
      </c>
      <c r="H14" s="7" t="str">
        <f>IFERROR(__xludf.DUMMYFUNCTION("GOOGLETRANSLATE(C14, ""en"", ""da"")"),"Tip: I nogle tilfælde kan dette fastsættes ved at tilføje hinanden dine kontaktlister.")</f>
        <v>Tip: I nogle tilfælde kan dette fastsættes ved at tilføje hinanden dine kontaktlister.</v>
      </c>
      <c r="I14" s="1" t="s">
        <v>251</v>
      </c>
      <c r="J14" s="6" t="str">
        <f>IFERROR(__xludf.DUMMYFUNCTION("GOOGLETRANSLATE(C14, ""en"", ""el"")"),"Συμβουλή: Σε ορισμένες περιπτώσεις αυτό μπορεί να διορθωθεί προσθέτοντας το ένα το άλλο, οι λίστες επαφών σας.")</f>
        <v>Συμβουλή: Σε ορισμένες περιπτώσεις αυτό μπορεί να διορθωθεί προσθέτοντας το ένα το άλλο, οι λίστες επαφών σας.</v>
      </c>
      <c r="K14" s="1" t="s">
        <v>252</v>
      </c>
      <c r="L14" s="7" t="str">
        <f>IFERROR(__xludf.DUMMYFUNCTION("GOOGLETRANSLATE(C14, ""en"", ""fi"")"),"Vihje: Joissakin tapauksissa tämä voidaan kiinnittää lisäämällä toisiaan yhteystietoluettelossasi.")</f>
        <v>Vihje: Joissakin tapauksissa tämä voidaan kiinnittää lisäämällä toisiaan yhteystietoluettelossasi.</v>
      </c>
      <c r="M14" s="1" t="s">
        <v>253</v>
      </c>
      <c r="N14" s="6" t="s">
        <v>254</v>
      </c>
      <c r="O14" s="6" t="s">
        <v>132</v>
      </c>
      <c r="P14" s="1" t="s">
        <v>255</v>
      </c>
      <c r="Q14" s="7" t="str">
        <f>IFERROR(__xludf.DUMMYFUNCTION("GOOGLETRANSLATE(C14, ""en"", ""in"")"),"Petunjuk: Dalam beberapa kasus ini dapat diperbaiki dengan menambahkan satu sama lain daftar kontak Anda.")</f>
        <v>Petunjuk: Dalam beberapa kasus ini dapat diperbaiki dengan menambahkan satu sama lain daftar kontak Anda.</v>
      </c>
      <c r="R14" s="1" t="s">
        <v>256</v>
      </c>
      <c r="S14" s="6" t="s">
        <v>132</v>
      </c>
      <c r="T14" s="1" t="s">
        <v>257</v>
      </c>
      <c r="U14" s="7" t="str">
        <f>IFERROR(__xludf.DUMMYFUNCTION("GOOGLETRANSLATE(C14, ""en"", ""ko"")"),"힌트 : 경우에 따라 대화 상대 목록을 서로 추가하여 수정할 수 있습니다.")</f>
        <v>힌트 : 경우에 따라 대화 상대 목록을 서로 추가하여 수정할 수 있습니다.</v>
      </c>
      <c r="V14" s="7" t="str">
        <f>IFERROR(__xludf.DUMMYFUNCTION("GOOGLETRANSLATE(C14, ""en"", ""ms"")"),"Petunjuk: Dalam sesetengah kes ini boleh diperbaiki dengan menambah satu sama lain senarai kenalan anda.")</f>
        <v>Petunjuk: Dalam sesetengah kes ini boleh diperbaiki dengan menambah satu sama lain senarai kenalan anda.</v>
      </c>
      <c r="W14" s="1" t="s">
        <v>258</v>
      </c>
      <c r="X14" s="7" t="str">
        <f>IFERROR(__xludf.DUMMYFUNCTION("GOOGLETRANSLATE(C14, ""en"", ""no"")"),"Tips: I noen tilfeller kan dette løses ved å legge til hverandre dine kontaktlister.")</f>
        <v>Tips: I noen tilfeller kan dette løses ved å legge til hverandre dine kontaktlister.</v>
      </c>
      <c r="Y14" s="1" t="s">
        <v>259</v>
      </c>
      <c r="Z14" s="7" t="str">
        <f>IFERROR(__xludf.DUMMYFUNCTION("GOOGLETRANSLATE(C14, ""en"", ""pt"")"),"DICA: Em alguns casos, isso pode ser corrigido adicionando uns aos outros suas listas de contatos.")</f>
        <v>DICA: Em alguns casos, isso pode ser corrigido adicionando uns aos outros suas listas de contatos.</v>
      </c>
      <c r="AA14" s="7" t="str">
        <f>IFERROR(__xludf.DUMMYFUNCTION("GOOGLETRANSLATE(C14, ""en"", ""ro"")"),"Sugestie: În unele cazuri, acest lucru poate fi fixat prin adăugarea reciprocă a listelor de contacte.")</f>
        <v>Sugestie: În unele cazuri, acest lucru poate fi fixat prin adăugarea reciprocă a listelor de contacte.</v>
      </c>
      <c r="AB14" s="7" t="str">
        <f>IFERROR(__xludf.DUMMYFUNCTION("GOOGLETRANSLATE(C14, ""en"", ""ru"")"),"Подсказка: в некоторых случаях это может быть исправлено, добавив друг друга списки контактов.")</f>
        <v>Подсказка: в некоторых случаях это может быть исправлено, добавив друг друга списки контактов.</v>
      </c>
      <c r="AC14" s="7" t="str">
        <f>IFERROR(__xludf.DUMMYFUNCTION("GOOGLETRANSLATE(C14, ""en"", ""sk"")"),"Tip: V niektorých prípadoch to môže byť stanovené pridaním ďalších kontaktných zoznamov.")</f>
        <v>Tip: V niektorých prípadoch to môže byť stanovené pridaním ďalších kontaktných zoznamov.</v>
      </c>
      <c r="AD14" s="6" t="s">
        <v>132</v>
      </c>
      <c r="AE14" s="7" t="str">
        <f>IFERROR(__xludf.DUMMYFUNCTION("GOOGLETRANSLATE(C14, ""en"", ""sr"")"),"Савет: У неким се случајевима то може поправити додавањем једни друге ваше контактне листе.")</f>
        <v>Савет: У неким се случајевима то може поправити додавањем једни друге ваше контактне листе.</v>
      </c>
      <c r="AF14" s="7" t="str">
        <f>IFERROR(__xludf.DUMMYFUNCTION("GOOGLETRANSLATE(C14, ""en"", ""sv"")"),"Tips: I vissa fall kan det fixas genom att lägga till varandra dina kontaktlistor.")</f>
        <v>Tips: I vissa fall kan det fixas genom att lägga till varandra dina kontaktlistor.</v>
      </c>
      <c r="AG14" s="6" t="s">
        <v>132</v>
      </c>
      <c r="AH14" s="7" t="str">
        <f>IFERROR(__xludf.DUMMYFUNCTION("GOOGLETRANSLATE(C14, ""en"", ""tr"")"),"İpucu: Bazı durumlarda, bu, iletişim listelerinizi birbirini ekleyerek düzeltilebilir.")</f>
        <v>İpucu: Bazı durumlarda, bu, iletişim listelerinizi birbirini ekleyerek düzeltilebilir.</v>
      </c>
      <c r="AI14" s="6" t="s">
        <v>132</v>
      </c>
      <c r="AJ14" s="6" t="s">
        <v>132</v>
      </c>
      <c r="AK14" s="7" t="str">
        <f>IFERROR(__xludf.DUMMYFUNCTION("GOOGLETRANSLATE(C14, ""en"", ""zh"")"),"提示：在某些情况下，可以通过添加彼此的联系人列表来修复。")</f>
        <v>提示：在某些情况下，可以通过添加彼此的联系人列表来修复。</v>
      </c>
      <c r="AL14" s="6" t="s">
        <v>132</v>
      </c>
    </row>
    <row r="15" hidden="1">
      <c r="A15" s="1" t="s">
        <v>38</v>
      </c>
      <c r="B15" s="1" t="s">
        <v>260</v>
      </c>
      <c r="C15" s="1" t="s">
        <v>261</v>
      </c>
      <c r="D15" s="8" t="s">
        <v>262</v>
      </c>
      <c r="E15" s="1" t="s">
        <v>263</v>
      </c>
      <c r="F15" s="6" t="s">
        <v>264</v>
      </c>
      <c r="G15" s="7" t="str">
        <f>IFERROR(__xludf.DUMMYFUNCTION("GOOGLETRANSLATE(C15, ""en"", ""cs"")"),"Kontakt není ve vašem seznamu. Chcete to přidat?")</f>
        <v>Kontakt není ve vašem seznamu. Chcete to přidat?</v>
      </c>
      <c r="H15" s="7" t="str">
        <f>IFERROR(__xludf.DUMMYFUNCTION("GOOGLETRANSLATE(C15, ""en"", ""da"")"),"Kontakten er ikke i din roster. Vil du gerne tilføje det?")</f>
        <v>Kontakten er ikke i din roster. Vil du gerne tilføje det?</v>
      </c>
      <c r="I15" s="1" t="s">
        <v>265</v>
      </c>
      <c r="J15" s="6" t="str">
        <f>IFERROR(__xludf.DUMMYFUNCTION("GOOGLETRANSLATE(C15, ""en"", ""el"")"),"Η επαφή δεν είναι στο ρόστερ σας. Θα θέλατε να το προσθέσετε;")</f>
        <v>Η επαφή δεν είναι στο ρόστερ σας. Θα θέλατε να το προσθέσετε;</v>
      </c>
      <c r="K15" s="1" t="s">
        <v>266</v>
      </c>
      <c r="L15" s="7" t="str">
        <f>IFERROR(__xludf.DUMMYFUNCTION("GOOGLETRANSLATE(C15, ""en"", ""fi"")"),"Yhteys ei ole luettelossasi. Haluatko lisätä sen?")</f>
        <v>Yhteys ei ole luettelossasi. Haluatko lisätä sen?</v>
      </c>
      <c r="M15" s="1" t="s">
        <v>267</v>
      </c>
      <c r="N15" s="6" t="s">
        <v>268</v>
      </c>
      <c r="O15" s="6" t="s">
        <v>132</v>
      </c>
      <c r="P15" s="1" t="s">
        <v>269</v>
      </c>
      <c r="Q15" s="9" t="s">
        <v>270</v>
      </c>
      <c r="R15" s="1" t="s">
        <v>271</v>
      </c>
      <c r="S15" s="6" t="s">
        <v>132</v>
      </c>
      <c r="T15" s="1" t="s">
        <v>272</v>
      </c>
      <c r="U15" s="1" t="s">
        <v>273</v>
      </c>
      <c r="V15" s="7" t="str">
        <f>IFERROR(__xludf.DUMMYFUNCTION("GOOGLETRANSLATE(C15, ""en"", ""ms"")"),"Kenalan itu tidak dalam senarai anda. Adakah anda ingin menambahnya?")</f>
        <v>Kenalan itu tidak dalam senarai anda. Adakah anda ingin menambahnya?</v>
      </c>
      <c r="W15" s="1" t="s">
        <v>274</v>
      </c>
      <c r="X15" s="7" t="str">
        <f>IFERROR(__xludf.DUMMYFUNCTION("GOOGLETRANSLATE(C15, ""en"", ""no"")"),"Kontakten er ikke i din liste. Vil du legge til det?")</f>
        <v>Kontakten er ikke i din liste. Vil du legge til det?</v>
      </c>
      <c r="Y15" s="1" t="s">
        <v>275</v>
      </c>
      <c r="Z15" s="1" t="s">
        <v>276</v>
      </c>
      <c r="AA15" s="7" t="str">
        <f>IFERROR(__xludf.DUMMYFUNCTION("GOOGLETRANSLATE(C15, ""en"", ""ro"")"),"Contactul nu este în lista dvs. Doriți să o adăugați?")</f>
        <v>Contactul nu este în lista dvs. Doriți să o adăugați?</v>
      </c>
      <c r="AB15" s="1" t="s">
        <v>277</v>
      </c>
      <c r="AC15" s="1" t="s">
        <v>278</v>
      </c>
      <c r="AD15" s="6" t="s">
        <v>132</v>
      </c>
      <c r="AE15" s="1" t="s">
        <v>279</v>
      </c>
      <c r="AF15" s="1" t="s">
        <v>280</v>
      </c>
      <c r="AG15" s="6" t="s">
        <v>132</v>
      </c>
      <c r="AH15" s="7" t="str">
        <f>IFERROR(__xludf.DUMMYFUNCTION("GOOGLETRANSLATE(C15, ""en"", ""tr"")"),"Temas listenizde değil. Eklemek ister misiniz?")</f>
        <v>Temas listenizde değil. Eklemek ister misiniz?</v>
      </c>
      <c r="AI15" s="6" t="s">
        <v>281</v>
      </c>
      <c r="AJ15" s="6" t="s">
        <v>282</v>
      </c>
      <c r="AK15" s="7" t="str">
        <f>IFERROR(__xludf.DUMMYFUNCTION("GOOGLETRANSLATE(C15, ""en"", ""zh"")"),"联系人不在您的名单中。你想添加它吗？")</f>
        <v>联系人不在您的名单中。你想添加它吗？</v>
      </c>
      <c r="AL15" s="6" t="s">
        <v>283</v>
      </c>
    </row>
    <row r="16">
      <c r="A16" s="1" t="s">
        <v>127</v>
      </c>
      <c r="B16" s="1" t="s">
        <v>284</v>
      </c>
      <c r="C16" s="1" t="s">
        <v>285</v>
      </c>
      <c r="D16" s="8" t="s">
        <v>286</v>
      </c>
      <c r="E16" s="1" t="s">
        <v>287</v>
      </c>
      <c r="F16" s="6" t="s">
        <v>132</v>
      </c>
      <c r="G16" s="1" t="s">
        <v>288</v>
      </c>
      <c r="H16" s="1" t="s">
        <v>289</v>
      </c>
      <c r="I16" s="1" t="s">
        <v>290</v>
      </c>
      <c r="J16" s="6" t="s">
        <v>285</v>
      </c>
      <c r="K16" s="1" t="s">
        <v>291</v>
      </c>
      <c r="L16" s="1" t="s">
        <v>292</v>
      </c>
      <c r="M16" s="1" t="s">
        <v>293</v>
      </c>
      <c r="N16" s="6" t="s">
        <v>132</v>
      </c>
      <c r="O16" s="6" t="s">
        <v>294</v>
      </c>
      <c r="P16" s="1" t="s">
        <v>295</v>
      </c>
      <c r="Q16" s="1" t="s">
        <v>296</v>
      </c>
      <c r="R16" s="1" t="s">
        <v>285</v>
      </c>
      <c r="S16" s="10" t="s">
        <v>297</v>
      </c>
      <c r="T16" s="1" t="s">
        <v>298</v>
      </c>
      <c r="U16" s="1" t="s">
        <v>299</v>
      </c>
      <c r="V16" s="1" t="s">
        <v>300</v>
      </c>
      <c r="W16" s="1" t="s">
        <v>301</v>
      </c>
      <c r="X16" s="1" t="s">
        <v>302</v>
      </c>
      <c r="Y16" s="11" t="s">
        <v>303</v>
      </c>
      <c r="Z16" s="1" t="s">
        <v>304</v>
      </c>
      <c r="AA16" s="1" t="s">
        <v>305</v>
      </c>
      <c r="AB16" s="1" t="s">
        <v>306</v>
      </c>
      <c r="AC16" s="1" t="s">
        <v>307</v>
      </c>
      <c r="AD16" s="6" t="s">
        <v>308</v>
      </c>
      <c r="AE16" s="1" t="s">
        <v>309</v>
      </c>
      <c r="AF16" s="1" t="s">
        <v>310</v>
      </c>
      <c r="AG16" s="6" t="s">
        <v>311</v>
      </c>
      <c r="AH16" s="1" t="s">
        <v>312</v>
      </c>
      <c r="AI16" s="6" t="s">
        <v>132</v>
      </c>
      <c r="AJ16" s="6" t="s">
        <v>313</v>
      </c>
      <c r="AK16" s="1" t="s">
        <v>314</v>
      </c>
      <c r="AL16" s="6" t="s">
        <v>132</v>
      </c>
    </row>
    <row r="17" hidden="1">
      <c r="A17" s="1" t="s">
        <v>38</v>
      </c>
      <c r="B17" s="1" t="s">
        <v>315</v>
      </c>
      <c r="C17" s="1" t="s">
        <v>316</v>
      </c>
      <c r="D17" s="7" t="str">
        <f>IFERROR(__xludf.DUMMYFUNCTION("GOOGLETRANSLATE(C17, ""en"", ""ar"")"),"الصور المشتركة مع٪ s")</f>
        <v>الصور المشتركة مع٪ s</v>
      </c>
      <c r="E17" s="1" t="s">
        <v>317</v>
      </c>
      <c r="F17" s="6" t="s">
        <v>318</v>
      </c>
      <c r="G17" s="7" t="str">
        <f>IFERROR(__xludf.DUMMYFUNCTION("GOOGLETRANSLATE(C17, ""en"", ""cs"")"),"Sdílené snímky s% s")</f>
        <v>Sdílené snímky s% s</v>
      </c>
      <c r="H17" s="7" t="str">
        <f>IFERROR(__xludf.DUMMYFUNCTION("GOOGLETRANSLATE(C17, ""en"", ""da"")"),"Delte billeder med% s")</f>
        <v>Delte billeder med% s</v>
      </c>
      <c r="I17" s="1" t="s">
        <v>319</v>
      </c>
      <c r="J17" s="6" t="str">
        <f>IFERROR(__xludf.DUMMYFUNCTION("GOOGLETRANSLATE(C17, ""en"", ""el"")"),"Κοινές εικόνες με% S")</f>
        <v>Κοινές εικόνες με% S</v>
      </c>
      <c r="K17" s="1" t="s">
        <v>320</v>
      </c>
      <c r="L17" s="7" t="str">
        <f>IFERROR(__xludf.DUMMYFUNCTION("GOOGLETRANSLATE(C17, ""en"", ""fi"")"),"Jaetut kuvat% s: llä")</f>
        <v>Jaetut kuvat% s: llä</v>
      </c>
      <c r="M17" s="1" t="s">
        <v>321</v>
      </c>
      <c r="N17" s="6" t="s">
        <v>322</v>
      </c>
      <c r="O17" s="6" t="s">
        <v>132</v>
      </c>
      <c r="P17" s="1" t="s">
        <v>323</v>
      </c>
      <c r="Q17" s="7" t="str">
        <f>IFERROR(__xludf.DUMMYFUNCTION("GOOGLETRANSLATE(C17, ""en"", ""in"")"),"Gambar bersama dengan% s")</f>
        <v>Gambar bersama dengan% s</v>
      </c>
      <c r="R17" s="1" t="s">
        <v>324</v>
      </c>
      <c r="S17" s="6" t="s">
        <v>132</v>
      </c>
      <c r="T17" s="1" t="s">
        <v>325</v>
      </c>
      <c r="U17" s="1" t="s">
        <v>326</v>
      </c>
      <c r="V17" s="7" t="str">
        <f>IFERROR(__xludf.DUMMYFUNCTION("GOOGLETRANSLATE(C17, ""en"", ""ms"")"),"Imej yang dikongsi dengan% s")</f>
        <v>Imej yang dikongsi dengan% s</v>
      </c>
      <c r="W17" s="1" t="s">
        <v>327</v>
      </c>
      <c r="X17" s="7" t="str">
        <f>IFERROR(__xludf.DUMMYFUNCTION("GOOGLETRANSLATE(C17, ""en"", ""no"")"),"Delte bilder med% s")</f>
        <v>Delte bilder med% s</v>
      </c>
      <c r="Y17" s="1" t="s">
        <v>328</v>
      </c>
      <c r="Z17" s="1" t="s">
        <v>329</v>
      </c>
      <c r="AA17" s="7" t="str">
        <f>IFERROR(__xludf.DUMMYFUNCTION("GOOGLETRANSLATE(C17, ""en"", ""ro"")"),"Imagini partajate cu% s")</f>
        <v>Imagini partajate cu% s</v>
      </c>
      <c r="AB17" s="1" t="s">
        <v>330</v>
      </c>
      <c r="AC17" s="7" t="str">
        <f>IFERROR(__xludf.DUMMYFUNCTION("GOOGLETRANSLATE(C17, ""en"", ""sk"")"),"Zdieľané obrázky s% s")</f>
        <v>Zdieľané obrázky s% s</v>
      </c>
      <c r="AD17" s="6" t="s">
        <v>132</v>
      </c>
      <c r="AE17" s="1" t="s">
        <v>331</v>
      </c>
      <c r="AF17" s="1" t="s">
        <v>332</v>
      </c>
      <c r="AG17" s="6" t="s">
        <v>132</v>
      </c>
      <c r="AH17" s="7" t="str">
        <f>IFERROR(__xludf.DUMMYFUNCTION("GOOGLETRANSLATE(C17, ""en"", ""tr"")"),"% S ile paylaşılan görüntüler")</f>
        <v>% S ile paylaşılan görüntüler</v>
      </c>
      <c r="AI17" s="6" t="s">
        <v>333</v>
      </c>
      <c r="AJ17" s="6" t="s">
        <v>132</v>
      </c>
      <c r="AK17" s="7" t="str">
        <f>IFERROR(__xludf.DUMMYFUNCTION("GOOGLETRANSLATE(C17, ""en"", ""zh"")"),"具有％s的共享图像")</f>
        <v>具有％s的共享图像</v>
      </c>
      <c r="AL17" s="6" t="s">
        <v>334</v>
      </c>
    </row>
    <row r="18">
      <c r="A18" s="1" t="s">
        <v>127</v>
      </c>
      <c r="B18" s="1" t="s">
        <v>335</v>
      </c>
      <c r="C18" s="1" t="s">
        <v>336</v>
      </c>
      <c r="D18" s="8" t="s">
        <v>337</v>
      </c>
      <c r="E18" s="1" t="s">
        <v>338</v>
      </c>
      <c r="F18" s="6" t="s">
        <v>132</v>
      </c>
      <c r="G18" s="1" t="s">
        <v>339</v>
      </c>
      <c r="H18" s="1" t="s">
        <v>340</v>
      </c>
      <c r="I18" s="1" t="s">
        <v>341</v>
      </c>
      <c r="J18" s="6" t="s">
        <v>342</v>
      </c>
      <c r="K18" s="1" t="s">
        <v>343</v>
      </c>
      <c r="L18" s="1" t="s">
        <v>344</v>
      </c>
      <c r="M18" s="1" t="s">
        <v>345</v>
      </c>
      <c r="N18" s="6" t="s">
        <v>132</v>
      </c>
      <c r="O18" s="6" t="s">
        <v>346</v>
      </c>
      <c r="P18" s="1" t="s">
        <v>347</v>
      </c>
      <c r="Q18" s="1" t="s">
        <v>348</v>
      </c>
      <c r="R18" s="1" t="s">
        <v>349</v>
      </c>
      <c r="S18" s="10" t="s">
        <v>350</v>
      </c>
      <c r="T18" s="1" t="s">
        <v>351</v>
      </c>
      <c r="U18" s="1" t="s">
        <v>352</v>
      </c>
      <c r="V18" s="1" t="s">
        <v>353</v>
      </c>
      <c r="W18" s="1" t="s">
        <v>354</v>
      </c>
      <c r="X18" s="1" t="s">
        <v>355</v>
      </c>
      <c r="Y18" s="1" t="s">
        <v>356</v>
      </c>
      <c r="Z18" s="1" t="s">
        <v>357</v>
      </c>
      <c r="AA18" s="1" t="s">
        <v>358</v>
      </c>
      <c r="AB18" s="1" t="s">
        <v>359</v>
      </c>
      <c r="AC18" s="1" t="s">
        <v>360</v>
      </c>
      <c r="AD18" s="6" t="s">
        <v>361</v>
      </c>
      <c r="AE18" s="1" t="s">
        <v>362</v>
      </c>
      <c r="AF18" s="1" t="s">
        <v>363</v>
      </c>
      <c r="AG18" s="6" t="s">
        <v>364</v>
      </c>
      <c r="AH18" s="1" t="s">
        <v>365</v>
      </c>
      <c r="AI18" s="6" t="s">
        <v>132</v>
      </c>
      <c r="AJ18" s="6" t="s">
        <v>366</v>
      </c>
      <c r="AK18" s="1" t="s">
        <v>367</v>
      </c>
      <c r="AL18" s="6" t="s">
        <v>132</v>
      </c>
    </row>
    <row r="19">
      <c r="A19" s="1" t="s">
        <v>127</v>
      </c>
      <c r="B19" s="1" t="s">
        <v>368</v>
      </c>
      <c r="C19" s="1" t="s">
        <v>369</v>
      </c>
      <c r="D19" s="8" t="s">
        <v>370</v>
      </c>
      <c r="E19" s="1" t="s">
        <v>371</v>
      </c>
      <c r="F19" s="6" t="s">
        <v>132</v>
      </c>
      <c r="G19" s="1" t="s">
        <v>372</v>
      </c>
      <c r="H19" s="1" t="s">
        <v>373</v>
      </c>
      <c r="I19" s="1" t="s">
        <v>374</v>
      </c>
      <c r="J19" s="6" t="s">
        <v>375</v>
      </c>
      <c r="K19" s="1" t="s">
        <v>376</v>
      </c>
      <c r="L19" s="1" t="s">
        <v>377</v>
      </c>
      <c r="M19" s="1" t="s">
        <v>378</v>
      </c>
      <c r="N19" s="6" t="s">
        <v>132</v>
      </c>
      <c r="O19" s="6" t="s">
        <v>379</v>
      </c>
      <c r="P19" s="1" t="s">
        <v>380</v>
      </c>
      <c r="Q19" s="1" t="s">
        <v>381</v>
      </c>
      <c r="R19" s="1" t="s">
        <v>382</v>
      </c>
      <c r="S19" s="10" t="s">
        <v>383</v>
      </c>
      <c r="T19" s="1" t="s">
        <v>384</v>
      </c>
      <c r="U19" s="1" t="s">
        <v>385</v>
      </c>
      <c r="V19" s="1" t="s">
        <v>386</v>
      </c>
      <c r="W19" s="1" t="s">
        <v>387</v>
      </c>
      <c r="X19" s="1" t="s">
        <v>388</v>
      </c>
      <c r="Y19" s="1" t="s">
        <v>389</v>
      </c>
      <c r="Z19" s="1" t="s">
        <v>390</v>
      </c>
      <c r="AA19" s="1" t="s">
        <v>391</v>
      </c>
      <c r="AB19" s="1" t="s">
        <v>392</v>
      </c>
      <c r="AC19" s="1" t="s">
        <v>393</v>
      </c>
      <c r="AD19" s="6" t="s">
        <v>394</v>
      </c>
      <c r="AE19" s="1" t="s">
        <v>395</v>
      </c>
      <c r="AF19" s="1" t="s">
        <v>396</v>
      </c>
      <c r="AG19" s="6" t="s">
        <v>397</v>
      </c>
      <c r="AH19" s="1" t="s">
        <v>398</v>
      </c>
      <c r="AI19" s="6" t="s">
        <v>132</v>
      </c>
      <c r="AJ19" s="6" t="s">
        <v>399</v>
      </c>
      <c r="AK19" s="1" t="s">
        <v>384</v>
      </c>
      <c r="AL19" s="6" t="s">
        <v>400</v>
      </c>
    </row>
    <row r="20" ht="15.75" customHeight="1">
      <c r="A20" s="1" t="s">
        <v>127</v>
      </c>
      <c r="B20" s="1" t="s">
        <v>401</v>
      </c>
      <c r="C20" s="1" t="s">
        <v>402</v>
      </c>
      <c r="D20" s="8" t="s">
        <v>403</v>
      </c>
      <c r="E20" s="1" t="s">
        <v>404</v>
      </c>
      <c r="F20" s="6" t="s">
        <v>132</v>
      </c>
      <c r="G20" s="1" t="s">
        <v>405</v>
      </c>
      <c r="H20" s="1" t="s">
        <v>406</v>
      </c>
      <c r="I20" s="1" t="s">
        <v>407</v>
      </c>
      <c r="J20" s="6" t="s">
        <v>408</v>
      </c>
      <c r="K20" s="1" t="s">
        <v>409</v>
      </c>
      <c r="L20" s="1" t="s">
        <v>410</v>
      </c>
      <c r="M20" s="1" t="s">
        <v>411</v>
      </c>
      <c r="N20" s="6" t="s">
        <v>132</v>
      </c>
      <c r="O20" s="6" t="s">
        <v>412</v>
      </c>
      <c r="P20" s="1" t="s">
        <v>413</v>
      </c>
      <c r="Q20" s="1" t="s">
        <v>414</v>
      </c>
      <c r="R20" s="1" t="s">
        <v>415</v>
      </c>
      <c r="S20" s="10" t="s">
        <v>416</v>
      </c>
      <c r="T20" s="1" t="s">
        <v>417</v>
      </c>
      <c r="U20" s="1" t="s">
        <v>418</v>
      </c>
      <c r="V20" s="1" t="s">
        <v>419</v>
      </c>
      <c r="W20" s="1" t="s">
        <v>420</v>
      </c>
      <c r="X20" s="1" t="s">
        <v>406</v>
      </c>
      <c r="Y20" s="1" t="s">
        <v>421</v>
      </c>
      <c r="Z20" s="1" t="s">
        <v>422</v>
      </c>
      <c r="AA20" s="1" t="s">
        <v>423</v>
      </c>
      <c r="AB20" s="1" t="s">
        <v>424</v>
      </c>
      <c r="AC20" s="1" t="s">
        <v>425</v>
      </c>
      <c r="AD20" s="6" t="s">
        <v>426</v>
      </c>
      <c r="AE20" s="1" t="s">
        <v>427</v>
      </c>
      <c r="AF20" s="1" t="s">
        <v>428</v>
      </c>
      <c r="AG20" s="6" t="s">
        <v>429</v>
      </c>
      <c r="AH20" s="1" t="s">
        <v>430</v>
      </c>
      <c r="AI20" s="6" t="s">
        <v>132</v>
      </c>
      <c r="AJ20" s="6" t="s">
        <v>431</v>
      </c>
      <c r="AK20" s="1" t="s">
        <v>432</v>
      </c>
      <c r="AL20" s="6" t="s">
        <v>433</v>
      </c>
    </row>
    <row r="21" ht="15.75" hidden="1" customHeight="1">
      <c r="A21" s="1" t="s">
        <v>38</v>
      </c>
      <c r="B21" s="1" t="s">
        <v>434</v>
      </c>
      <c r="C21" s="1" t="s">
        <v>435</v>
      </c>
      <c r="D21" s="7" t="str">
        <f>IFERROR(__xludf.DUMMYFUNCTION("GOOGLETRANSLATE(C21, ""en"", ""ar"")"),"الإمارات العربية المتحدة")</f>
        <v>الإمارات العربية المتحدة</v>
      </c>
      <c r="E21" s="7" t="str">
        <f>IFERROR(__xludf.DUMMYFUNCTION("GOOGLETRANSLATE(C21, ""en"", ""bg"")"),"Обединени арабски емирства")</f>
        <v>Обединени арабски емирства</v>
      </c>
      <c r="F21" s="6" t="s">
        <v>132</v>
      </c>
      <c r="G21" s="7" t="str">
        <f>IFERROR(__xludf.DUMMYFUNCTION("GOOGLETRANSLATE(C21, ""en"", ""cs"")"),"Spojené arabské emiráty")</f>
        <v>Spojené arabské emiráty</v>
      </c>
      <c r="H21" s="7" t="str">
        <f>IFERROR(__xludf.DUMMYFUNCTION("GOOGLETRANSLATE(C21, ""en"", ""da"")"),"Forenede Arabiske Emirater")</f>
        <v>Forenede Arabiske Emirater</v>
      </c>
      <c r="I21" s="1" t="s">
        <v>436</v>
      </c>
      <c r="J21" s="6" t="s">
        <v>132</v>
      </c>
      <c r="K21" s="1" t="s">
        <v>437</v>
      </c>
      <c r="L21" s="7" t="str">
        <f>IFERROR(__xludf.DUMMYFUNCTION("GOOGLETRANSLATE(C21, ""en"", ""fi"")"),"Yhdistyneet Arabiemiirikunnat")</f>
        <v>Yhdistyneet Arabiemiirikunnat</v>
      </c>
      <c r="M21" s="1" t="s">
        <v>438</v>
      </c>
      <c r="N21" s="6" t="s">
        <v>132</v>
      </c>
      <c r="O21" s="6" t="s">
        <v>132</v>
      </c>
      <c r="P21" s="1" t="s">
        <v>435</v>
      </c>
      <c r="Q21" s="7" t="str">
        <f>IFERROR(__xludf.DUMMYFUNCTION("GOOGLETRANSLATE(C21, ""en"", ""in"")"),"Uni Emirat Arab")</f>
        <v>Uni Emirat Arab</v>
      </c>
      <c r="R21" s="7" t="str">
        <f>IFERROR(__xludf.DUMMYFUNCTION("GOOGLETRANSLATE(C21, ""en"", ""it"")"),"Emirati Arabi Uniti")</f>
        <v>Emirati Arabi Uniti</v>
      </c>
      <c r="S21" s="6" t="s">
        <v>132</v>
      </c>
      <c r="T21" s="7" t="str">
        <f>IFERROR(__xludf.DUMMYFUNCTION("GOOGLETRANSLATE(C21, ""en"", ""ja"")"),"アラブ首長国連邦")</f>
        <v>アラブ首長国連邦</v>
      </c>
      <c r="U21" s="7" t="str">
        <f>IFERROR(__xludf.DUMMYFUNCTION("GOOGLETRANSLATE(C21, ""en"", ""ko"")"),"아랍 에미리트")</f>
        <v>아랍 에미리트</v>
      </c>
      <c r="V21" s="7" t="str">
        <f>IFERROR(__xludf.DUMMYFUNCTION("GOOGLETRANSLATE(C21, ""en"", ""ms"")"),"Emiriah Arab Bersatu")</f>
        <v>Emiriah Arab Bersatu</v>
      </c>
      <c r="W21" s="7" t="str">
        <f>IFERROR(__xludf.DUMMYFUNCTION("GOOGLETRANSLATE(C21, ""en"", ""nl"")"),"Verenigde Arabische Emiraten")</f>
        <v>Verenigde Arabische Emiraten</v>
      </c>
      <c r="X21" s="7" t="str">
        <f>IFERROR(__xludf.DUMMYFUNCTION("GOOGLETRANSLATE(C21, ""en"", ""no"")"),"De forente arabiske emirater")</f>
        <v>De forente arabiske emirater</v>
      </c>
      <c r="Y21" s="7" t="str">
        <f>IFERROR(__xludf.DUMMYFUNCTION("GOOGLETRANSLATE(C21, ""en"", ""pl"")"),"Zjednoczone Emiraty Arabskie")</f>
        <v>Zjednoczone Emiraty Arabskie</v>
      </c>
      <c r="Z21" s="7" t="str">
        <f>IFERROR(__xludf.DUMMYFUNCTION("GOOGLETRANSLATE(C21, ""en"", ""pt"")"),"Emirados Árabes Unidos")</f>
        <v>Emirados Árabes Unidos</v>
      </c>
      <c r="AA21" s="7" t="str">
        <f>IFERROR(__xludf.DUMMYFUNCTION("GOOGLETRANSLATE(C21, ""en"", ""ro"")"),"Emiratele Arabe Unite")</f>
        <v>Emiratele Arabe Unite</v>
      </c>
      <c r="AB21" s="1" t="s">
        <v>439</v>
      </c>
      <c r="AC21" s="7" t="str">
        <f>IFERROR(__xludf.DUMMYFUNCTION("GOOGLETRANSLATE(C21, ""en"", ""sk"")"),"Spojené Arabské Emiráty")</f>
        <v>Spojené Arabské Emiráty</v>
      </c>
      <c r="AD21" s="6" t="s">
        <v>132</v>
      </c>
      <c r="AE21" s="1" t="s">
        <v>440</v>
      </c>
      <c r="AF21" s="7" t="str">
        <f>IFERROR(__xludf.DUMMYFUNCTION("GOOGLETRANSLATE(C21, ""en"", ""sv"")"),"Förenade arabemiraten")</f>
        <v>Förenade arabemiraten</v>
      </c>
      <c r="AG21" s="6" t="s">
        <v>132</v>
      </c>
      <c r="AH21" s="7" t="str">
        <f>IFERROR(__xludf.DUMMYFUNCTION("GOOGLETRANSLATE(C21, ""en"", ""tr"")"),"Birleşik Arap Emirlikleri")</f>
        <v>Birleşik Arap Emirlikleri</v>
      </c>
      <c r="AI21" s="6" t="s">
        <v>132</v>
      </c>
      <c r="AJ21" s="6" t="s">
        <v>132</v>
      </c>
      <c r="AK21" s="7" t="str">
        <f>IFERROR(__xludf.DUMMYFUNCTION("GOOGLETRANSLATE(C21, ""en"", ""zh"")"),"阿拉伯联合酋长国")</f>
        <v>阿拉伯联合酋长国</v>
      </c>
      <c r="AL21" s="6" t="s">
        <v>132</v>
      </c>
    </row>
    <row r="22" ht="15.75" hidden="1" customHeight="1">
      <c r="A22" s="1" t="s">
        <v>38</v>
      </c>
      <c r="B22" s="1" t="s">
        <v>441</v>
      </c>
      <c r="C22" s="1" t="s">
        <v>442</v>
      </c>
      <c r="D22" s="7" t="str">
        <f>IFERROR(__xludf.DUMMYFUNCTION("GOOGLETRANSLATE(C22, ""en"", ""ar"")"),"ماليزيا")</f>
        <v>ماليزيا</v>
      </c>
      <c r="E22" s="7" t="str">
        <f>IFERROR(__xludf.DUMMYFUNCTION("GOOGLETRANSLATE(C22, ""en"", ""bg"")"),"Малайзия")</f>
        <v>Малайзия</v>
      </c>
      <c r="F22" s="6" t="s">
        <v>132</v>
      </c>
      <c r="G22" s="7" t="str">
        <f>IFERROR(__xludf.DUMMYFUNCTION("GOOGLETRANSLATE(C22, ""en"", ""cs"")"),"Malajsie")</f>
        <v>Malajsie</v>
      </c>
      <c r="H22" s="7" t="str">
        <f>IFERROR(__xludf.DUMMYFUNCTION("GOOGLETRANSLATE(C22, ""en"", ""da"")"),"Malaysia.")</f>
        <v>Malaysia.</v>
      </c>
      <c r="I22" s="1" t="s">
        <v>443</v>
      </c>
      <c r="J22" s="6" t="s">
        <v>132</v>
      </c>
      <c r="K22" s="1" t="s">
        <v>444</v>
      </c>
      <c r="L22" s="7" t="str">
        <f>IFERROR(__xludf.DUMMYFUNCTION("GOOGLETRANSLATE(C22, ""en"", ""fi"")"),"Malesia")</f>
        <v>Malesia</v>
      </c>
      <c r="M22" s="1" t="s">
        <v>445</v>
      </c>
      <c r="N22" s="6" t="s">
        <v>132</v>
      </c>
      <c r="O22" s="6" t="s">
        <v>132</v>
      </c>
      <c r="P22" s="1" t="s">
        <v>442</v>
      </c>
      <c r="Q22" s="7" t="str">
        <f>IFERROR(__xludf.DUMMYFUNCTION("GOOGLETRANSLATE(C22, ""en"", ""in"")"),"Malaysia")</f>
        <v>Malaysia</v>
      </c>
      <c r="R22" s="7" t="str">
        <f>IFERROR(__xludf.DUMMYFUNCTION("GOOGLETRANSLATE(C22, ""en"", ""it"")"),"Malaysia")</f>
        <v>Malaysia</v>
      </c>
      <c r="S22" s="6" t="s">
        <v>132</v>
      </c>
      <c r="T22" s="7" t="str">
        <f>IFERROR(__xludf.DUMMYFUNCTION("GOOGLETRANSLATE(C22, ""en"", ""ja"")"),"マレーシア")</f>
        <v>マレーシア</v>
      </c>
      <c r="U22" s="7" t="str">
        <f>IFERROR(__xludf.DUMMYFUNCTION("GOOGLETRANSLATE(C22, ""en"", ""ko"")"),"말레이시아")</f>
        <v>말레이시아</v>
      </c>
      <c r="V22" s="7" t="str">
        <f>IFERROR(__xludf.DUMMYFUNCTION("GOOGLETRANSLATE(C22, ""en"", ""ms"")"),"Malaysia")</f>
        <v>Malaysia</v>
      </c>
      <c r="W22" s="7" t="str">
        <f>IFERROR(__xludf.DUMMYFUNCTION("GOOGLETRANSLATE(C22, ""en"", ""nl"")"),"Maleisië")</f>
        <v>Maleisië</v>
      </c>
      <c r="X22" s="7" t="str">
        <f>IFERROR(__xludf.DUMMYFUNCTION("GOOGLETRANSLATE(C22, ""en"", ""no"")"),"Malaysia.")</f>
        <v>Malaysia.</v>
      </c>
      <c r="Y22" s="7" t="str">
        <f>IFERROR(__xludf.DUMMYFUNCTION("GOOGLETRANSLATE(C22, ""en"", ""pl"")"),"Malezja")</f>
        <v>Malezja</v>
      </c>
      <c r="Z22" s="7" t="str">
        <f>IFERROR(__xludf.DUMMYFUNCTION("GOOGLETRANSLATE(C22, ""en"", ""pt"")"),"Malásia")</f>
        <v>Malásia</v>
      </c>
      <c r="AA22" s="7" t="str">
        <f>IFERROR(__xludf.DUMMYFUNCTION("GOOGLETRANSLATE(C22, ""en"", ""ro"")"),"Malaezia")</f>
        <v>Malaezia</v>
      </c>
      <c r="AB22" s="1" t="s">
        <v>446</v>
      </c>
      <c r="AC22" s="7" t="str">
        <f>IFERROR(__xludf.DUMMYFUNCTION("GOOGLETRANSLATE(C22, ""en"", ""sk"")"),"Malajzia")</f>
        <v>Malajzia</v>
      </c>
      <c r="AD22" s="6" t="s">
        <v>132</v>
      </c>
      <c r="AE22" s="1" t="s">
        <v>447</v>
      </c>
      <c r="AF22" s="7" t="str">
        <f>IFERROR(__xludf.DUMMYFUNCTION("GOOGLETRANSLATE(C22, ""en"", ""sv"")"),"Malaysia")</f>
        <v>Malaysia</v>
      </c>
      <c r="AG22" s="6" t="s">
        <v>132</v>
      </c>
      <c r="AH22" s="7" t="str">
        <f>IFERROR(__xludf.DUMMYFUNCTION("GOOGLETRANSLATE(C22, ""en"", ""tr"")"),"Malezya")</f>
        <v>Malezya</v>
      </c>
      <c r="AI22" s="6" t="s">
        <v>132</v>
      </c>
      <c r="AJ22" s="6" t="s">
        <v>132</v>
      </c>
      <c r="AK22" s="7" t="str">
        <f>IFERROR(__xludf.DUMMYFUNCTION("GOOGLETRANSLATE(C22, ""en"", ""zh"")"),"马来西亚")</f>
        <v>马来西亚</v>
      </c>
      <c r="AL22" s="6" t="s">
        <v>132</v>
      </c>
    </row>
    <row r="23" ht="15.75" customHeight="1">
      <c r="A23" s="1" t="s">
        <v>127</v>
      </c>
      <c r="B23" s="1" t="s">
        <v>448</v>
      </c>
      <c r="C23" s="12" t="s">
        <v>132</v>
      </c>
      <c r="D23" s="7" t="str">
        <f>IFERROR(__xludf.DUMMYFUNCTION("GOOGLETRANSLATE(C23, ""en"", ""ar"")"),"#VALUE!")</f>
        <v>#VALUE!</v>
      </c>
      <c r="E23" s="7" t="str">
        <f>IFERROR(__xludf.DUMMYFUNCTION("GOOGLETRANSLATE(C23, ""en"", ""bg"")"),"#VALUE!")</f>
        <v>#VALUE!</v>
      </c>
      <c r="F23" s="6" t="s">
        <v>132</v>
      </c>
      <c r="G23" s="7" t="str">
        <f>IFERROR(__xludf.DUMMYFUNCTION("GOOGLETRANSLATE(C23, ""en"", ""cs"")"),"#VALUE!")</f>
        <v>#VALUE!</v>
      </c>
      <c r="H23" s="7" t="str">
        <f>IFERROR(__xludf.DUMMYFUNCTION("GOOGLETRANSLATE(C23, ""en"", ""da"")"),"#VALUE!")</f>
        <v>#VALUE!</v>
      </c>
      <c r="I23" s="7" t="str">
        <f>IFERROR(__xludf.DUMMYFUNCTION("GOOGLETRANSLATE(C23, ""en"", ""de"")"),"#VALUE!")</f>
        <v>#VALUE!</v>
      </c>
      <c r="J23" s="6" t="s">
        <v>132</v>
      </c>
      <c r="K23" s="7" t="str">
        <f>IFERROR(__xludf.DUMMYFUNCTION("GOOGLETRANSLATE(C23, ""en"", ""es"")"),"#VALUE!")</f>
        <v>#VALUE!</v>
      </c>
      <c r="L23" s="7" t="str">
        <f>IFERROR(__xludf.DUMMYFUNCTION("GOOGLETRANSLATE(C23, ""en"", ""fi"")"),"#VALUE!")</f>
        <v>#VALUE!</v>
      </c>
      <c r="M23" s="7" t="str">
        <f>IFERROR(__xludf.DUMMYFUNCTION("GOOGLETRANSLATE(C23, ""en"", ""fr"")"),"#VALUE!")</f>
        <v>#VALUE!</v>
      </c>
      <c r="N23" s="6" t="s">
        <v>132</v>
      </c>
      <c r="O23" s="6" t="s">
        <v>132</v>
      </c>
      <c r="P23" s="7" t="str">
        <f>IFERROR(__xludf.DUMMYFUNCTION("GOOGLETRANSLATE(C23, ""en"", ""hu"")"),"#VALUE!")</f>
        <v>#VALUE!</v>
      </c>
      <c r="Q23" s="7" t="str">
        <f>IFERROR(__xludf.DUMMYFUNCTION("GOOGLETRANSLATE(C23, ""en"", ""in"")"),"#VALUE!")</f>
        <v>#VALUE!</v>
      </c>
      <c r="R23" s="7" t="str">
        <f>IFERROR(__xludf.DUMMYFUNCTION("GOOGLETRANSLATE(C23, ""en"", ""it"")"),"#VALUE!")</f>
        <v>#VALUE!</v>
      </c>
      <c r="S23" s="6" t="s">
        <v>132</v>
      </c>
      <c r="T23" s="7" t="str">
        <f>IFERROR(__xludf.DUMMYFUNCTION("GOOGLETRANSLATE(C23, ""en"", ""ja"")"),"#VALUE!")</f>
        <v>#VALUE!</v>
      </c>
      <c r="U23" s="7" t="str">
        <f>IFERROR(__xludf.DUMMYFUNCTION("GOOGLETRANSLATE(C23, ""en"", ""ko"")"),"#VALUE!")</f>
        <v>#VALUE!</v>
      </c>
      <c r="V23" s="7" t="str">
        <f>IFERROR(__xludf.DUMMYFUNCTION("GOOGLETRANSLATE(C23, ""en"", ""ms"")"),"#VALUE!")</f>
        <v>#VALUE!</v>
      </c>
      <c r="W23" s="7" t="str">
        <f>IFERROR(__xludf.DUMMYFUNCTION("GOOGLETRANSLATE(C23, ""en"", ""nl"")"),"#VALUE!")</f>
        <v>#VALUE!</v>
      </c>
      <c r="X23" s="7" t="str">
        <f>IFERROR(__xludf.DUMMYFUNCTION("GOOGLETRANSLATE(C23, ""en"", ""no"")"),"#VALUE!")</f>
        <v>#VALUE!</v>
      </c>
      <c r="Y23" s="7" t="str">
        <f>IFERROR(__xludf.DUMMYFUNCTION("GOOGLETRANSLATE(C23, ""en"", ""pl"")"),"#VALUE!")</f>
        <v>#VALUE!</v>
      </c>
      <c r="Z23" s="7" t="str">
        <f>IFERROR(__xludf.DUMMYFUNCTION("GOOGLETRANSLATE(C23, ""en"", ""pt"")"),"#VALUE!")</f>
        <v>#VALUE!</v>
      </c>
      <c r="AA23" s="7" t="str">
        <f>IFERROR(__xludf.DUMMYFUNCTION("GOOGLETRANSLATE(C23, ""en"", ""ro"")"),"#VALUE!")</f>
        <v>#VALUE!</v>
      </c>
      <c r="AB23" s="7" t="str">
        <f>IFERROR(__xludf.DUMMYFUNCTION("GOOGLETRANSLATE(C23, ""en"", ""ru"")"),"#VALUE!")</f>
        <v>#VALUE!</v>
      </c>
      <c r="AC23" s="7" t="str">
        <f>IFERROR(__xludf.DUMMYFUNCTION("GOOGLETRANSLATE(C23, ""en"", ""sk"")"),"#VALUE!")</f>
        <v>#VALUE!</v>
      </c>
      <c r="AD23" s="6" t="s">
        <v>132</v>
      </c>
      <c r="AE23" s="7" t="str">
        <f>IFERROR(__xludf.DUMMYFUNCTION("GOOGLETRANSLATE(C23, ""en"", ""sr"")"),"#VALUE!")</f>
        <v>#VALUE!</v>
      </c>
      <c r="AF23" s="7" t="str">
        <f>IFERROR(__xludf.DUMMYFUNCTION("GOOGLETRANSLATE(C23, ""en"", ""sv"")"),"#VALUE!")</f>
        <v>#VALUE!</v>
      </c>
      <c r="AG23" s="6" t="s">
        <v>132</v>
      </c>
      <c r="AH23" s="7" t="str">
        <f>IFERROR(__xludf.DUMMYFUNCTION("GOOGLETRANSLATE(C23, ""en"", ""tr"")"),"#VALUE!")</f>
        <v>#VALUE!</v>
      </c>
      <c r="AI23" s="6" t="s">
        <v>132</v>
      </c>
      <c r="AJ23" s="6" t="s">
        <v>132</v>
      </c>
      <c r="AK23" s="7" t="str">
        <f>IFERROR(__xludf.DUMMYFUNCTION("GOOGLETRANSLATE(C23, ""en"", ""zh"")"),"#VALUE!")</f>
        <v>#VALUE!</v>
      </c>
      <c r="AL23" s="6" t="s">
        <v>132</v>
      </c>
    </row>
    <row r="24" ht="15.75" hidden="1" customHeight="1">
      <c r="A24" s="1" t="s">
        <v>38</v>
      </c>
      <c r="B24" s="1" t="s">
        <v>449</v>
      </c>
      <c r="C24" s="1" t="s">
        <v>450</v>
      </c>
      <c r="D24" s="7" t="str">
        <f>IFERROR(__xludf.DUMMYFUNCTION("GOOGLETRANSLATE(C24, ""en"", ""ar"")"),"إعلانات المفتاح العام المفقود")</f>
        <v>إعلانات المفتاح العام المفقود</v>
      </c>
      <c r="E24" s="1" t="s">
        <v>451</v>
      </c>
      <c r="F24" s="6" t="s">
        <v>452</v>
      </c>
      <c r="G24" s="7" t="str">
        <f>IFERROR(__xludf.DUMMYFUNCTION("GOOGLETRANSLATE(C24, ""en"", ""cs"")"),"Chybějící veřejné klíčové oznámení")</f>
        <v>Chybějící veřejné klíčové oznámení</v>
      </c>
      <c r="H24" s="7" t="str">
        <f>IFERROR(__xludf.DUMMYFUNCTION("GOOGLETRANSLATE(C24, ""en"", ""da"")"),"Manglende offentlige nøgle meddelelser")</f>
        <v>Manglende offentlige nøgle meddelelser</v>
      </c>
      <c r="I24" s="1" t="s">
        <v>453</v>
      </c>
      <c r="J24" s="6" t="s">
        <v>132</v>
      </c>
      <c r="K24" s="1" t="s">
        <v>454</v>
      </c>
      <c r="L24" s="7" t="str">
        <f>IFERROR(__xludf.DUMMYFUNCTION("GOOGLETRANSLATE(C24, ""en"", ""fi"")"),"Puuttuvat julkisen avaimen ilmoitukset")</f>
        <v>Puuttuvat julkisen avaimen ilmoitukset</v>
      </c>
      <c r="M24" s="1" t="s">
        <v>455</v>
      </c>
      <c r="N24" s="6" t="s">
        <v>456</v>
      </c>
      <c r="O24" s="6" t="s">
        <v>132</v>
      </c>
      <c r="P24" s="1" t="s">
        <v>457</v>
      </c>
      <c r="Q24" s="9" t="s">
        <v>458</v>
      </c>
      <c r="R24" s="1" t="s">
        <v>459</v>
      </c>
      <c r="S24" s="6" t="s">
        <v>132</v>
      </c>
      <c r="T24" s="1" t="s">
        <v>460</v>
      </c>
      <c r="U24" s="1" t="s">
        <v>461</v>
      </c>
      <c r="V24" s="7" t="str">
        <f>IFERROR(__xludf.DUMMYFUNCTION("GOOGLETRANSLATE(C24, ""en"", ""ms"")"),"Pengumuman utama awam yang hilang")</f>
        <v>Pengumuman utama awam yang hilang</v>
      </c>
      <c r="W24" s="1" t="s">
        <v>462</v>
      </c>
      <c r="X24" s="7" t="str">
        <f>IFERROR(__xludf.DUMMYFUNCTION("GOOGLETRANSLATE(C24, ""en"", ""no"")"),"Mangler offentlige nøkkelmeldinger")</f>
        <v>Mangler offentlige nøkkelmeldinger</v>
      </c>
      <c r="Y24" s="1" t="s">
        <v>463</v>
      </c>
      <c r="Z24" s="1" t="s">
        <v>464</v>
      </c>
      <c r="AA24" s="7" t="str">
        <f>IFERROR(__xludf.DUMMYFUNCTION("GOOGLETRANSLATE(C24, ""en"", ""ro"")"),"Lipsesc anunțurile cheie publice")</f>
        <v>Lipsesc anunțurile cheie publice</v>
      </c>
      <c r="AB24" s="1" t="s">
        <v>465</v>
      </c>
      <c r="AC24" s="1" t="s">
        <v>466</v>
      </c>
      <c r="AD24" s="6" t="s">
        <v>132</v>
      </c>
      <c r="AE24" s="1" t="s">
        <v>467</v>
      </c>
      <c r="AF24" s="1" t="s">
        <v>468</v>
      </c>
      <c r="AG24" s="6" t="s">
        <v>132</v>
      </c>
      <c r="AH24" s="7" t="str">
        <f>IFERROR(__xludf.DUMMYFUNCTION("GOOGLETRANSLATE(C24, ""en"", ""tr"")"),"Kayıp Herkese Açık Duyurular")</f>
        <v>Kayıp Herkese Açık Duyurular</v>
      </c>
      <c r="AI24" s="6" t="s">
        <v>469</v>
      </c>
      <c r="AJ24" s="6" t="s">
        <v>470</v>
      </c>
      <c r="AK24" s="7" t="str">
        <f>IFERROR(__xludf.DUMMYFUNCTION("GOOGLETRANSLATE(C24, ""en"", ""zh"")"),"缺少公钥公告")</f>
        <v>缺少公钥公告</v>
      </c>
      <c r="AL24" s="6" t="s">
        <v>471</v>
      </c>
    </row>
    <row r="25" ht="15.75" customHeight="1">
      <c r="A25" s="1" t="s">
        <v>127</v>
      </c>
      <c r="B25" s="1" t="s">
        <v>472</v>
      </c>
      <c r="C25" s="1" t="s">
        <v>473</v>
      </c>
      <c r="D25" s="8" t="s">
        <v>474</v>
      </c>
      <c r="E25" s="1" t="s">
        <v>475</v>
      </c>
      <c r="F25" s="6" t="s">
        <v>132</v>
      </c>
      <c r="G25" s="1" t="s">
        <v>476</v>
      </c>
      <c r="H25" s="1" t="s">
        <v>477</v>
      </c>
      <c r="I25" s="1" t="s">
        <v>478</v>
      </c>
      <c r="J25" s="6" t="s">
        <v>479</v>
      </c>
      <c r="K25" s="1" t="s">
        <v>480</v>
      </c>
      <c r="L25" s="1" t="s">
        <v>481</v>
      </c>
      <c r="M25" s="1" t="s">
        <v>482</v>
      </c>
      <c r="N25" s="6" t="s">
        <v>132</v>
      </c>
      <c r="O25" s="6" t="s">
        <v>483</v>
      </c>
      <c r="P25" s="1" t="s">
        <v>484</v>
      </c>
      <c r="Q25" s="1" t="s">
        <v>485</v>
      </c>
      <c r="R25" s="1" t="s">
        <v>486</v>
      </c>
      <c r="S25" s="10" t="s">
        <v>487</v>
      </c>
      <c r="T25" s="1" t="s">
        <v>473</v>
      </c>
      <c r="U25" s="1" t="s">
        <v>488</v>
      </c>
      <c r="V25" s="1" t="s">
        <v>489</v>
      </c>
      <c r="W25" s="1" t="s">
        <v>490</v>
      </c>
      <c r="X25" s="1" t="s">
        <v>491</v>
      </c>
      <c r="Y25" s="1" t="s">
        <v>492</v>
      </c>
      <c r="Z25" s="1" t="s">
        <v>493</v>
      </c>
      <c r="AA25" s="1" t="s">
        <v>494</v>
      </c>
      <c r="AB25" s="1" t="s">
        <v>495</v>
      </c>
      <c r="AC25" s="1" t="s">
        <v>496</v>
      </c>
      <c r="AD25" s="6" t="s">
        <v>497</v>
      </c>
      <c r="AE25" s="1" t="s">
        <v>498</v>
      </c>
      <c r="AF25" s="1" t="s">
        <v>499</v>
      </c>
      <c r="AG25" s="6" t="s">
        <v>500</v>
      </c>
      <c r="AH25" s="1" t="s">
        <v>501</v>
      </c>
      <c r="AI25" s="6" t="s">
        <v>132</v>
      </c>
      <c r="AJ25" s="6" t="s">
        <v>502</v>
      </c>
      <c r="AK25" s="1" t="s">
        <v>503</v>
      </c>
      <c r="AL25" s="6" t="s">
        <v>132</v>
      </c>
    </row>
    <row r="26" ht="15.75" customHeight="1">
      <c r="A26" s="1" t="s">
        <v>127</v>
      </c>
      <c r="B26" s="1" t="s">
        <v>504</v>
      </c>
      <c r="C26" s="1" t="s">
        <v>505</v>
      </c>
      <c r="D26" s="8" t="s">
        <v>506</v>
      </c>
      <c r="E26" s="1" t="s">
        <v>507</v>
      </c>
      <c r="F26" s="6" t="s">
        <v>132</v>
      </c>
      <c r="G26" s="1" t="s">
        <v>508</v>
      </c>
      <c r="H26" s="1" t="s">
        <v>509</v>
      </c>
      <c r="I26" s="1" t="s">
        <v>510</v>
      </c>
      <c r="J26" s="6" t="s">
        <v>511</v>
      </c>
      <c r="K26" s="1" t="s">
        <v>512</v>
      </c>
      <c r="L26" s="1" t="s">
        <v>513</v>
      </c>
      <c r="M26" s="1" t="s">
        <v>514</v>
      </c>
      <c r="N26" s="6" t="s">
        <v>132</v>
      </c>
      <c r="O26" s="6" t="s">
        <v>515</v>
      </c>
      <c r="P26" s="1" t="s">
        <v>516</v>
      </c>
      <c r="Q26" s="1" t="s">
        <v>517</v>
      </c>
      <c r="R26" s="1" t="s">
        <v>518</v>
      </c>
      <c r="S26" s="10" t="s">
        <v>519</v>
      </c>
      <c r="T26" s="1" t="s">
        <v>520</v>
      </c>
      <c r="U26" s="1" t="s">
        <v>521</v>
      </c>
      <c r="V26" s="1" t="s">
        <v>522</v>
      </c>
      <c r="W26" s="1" t="s">
        <v>523</v>
      </c>
      <c r="X26" s="1" t="s">
        <v>524</v>
      </c>
      <c r="Y26" s="1" t="s">
        <v>525</v>
      </c>
      <c r="Z26" s="1" t="s">
        <v>526</v>
      </c>
      <c r="AA26" s="1" t="s">
        <v>527</v>
      </c>
      <c r="AB26" s="1" t="s">
        <v>528</v>
      </c>
      <c r="AC26" s="1" t="s">
        <v>529</v>
      </c>
      <c r="AD26" s="6" t="s">
        <v>530</v>
      </c>
      <c r="AE26" s="1" t="s">
        <v>531</v>
      </c>
      <c r="AF26" s="1" t="s">
        <v>532</v>
      </c>
      <c r="AG26" s="6" t="s">
        <v>533</v>
      </c>
      <c r="AH26" s="1" t="s">
        <v>534</v>
      </c>
      <c r="AI26" s="6" t="s">
        <v>132</v>
      </c>
      <c r="AJ26" s="6" t="s">
        <v>535</v>
      </c>
      <c r="AK26" s="1" t="s">
        <v>536</v>
      </c>
      <c r="AL26" s="6" t="s">
        <v>132</v>
      </c>
    </row>
    <row r="27" ht="15.75" customHeight="1">
      <c r="A27" s="1" t="s">
        <v>127</v>
      </c>
      <c r="B27" s="1" t="s">
        <v>537</v>
      </c>
      <c r="C27" s="1" t="s">
        <v>538</v>
      </c>
      <c r="D27" s="8" t="s">
        <v>539</v>
      </c>
      <c r="E27" s="1" t="s">
        <v>540</v>
      </c>
      <c r="F27" s="6" t="s">
        <v>132</v>
      </c>
      <c r="G27" s="1" t="s">
        <v>541</v>
      </c>
      <c r="H27" s="1" t="s">
        <v>538</v>
      </c>
      <c r="I27" s="1" t="s">
        <v>538</v>
      </c>
      <c r="J27" s="6" t="s">
        <v>538</v>
      </c>
      <c r="K27" s="1" t="s">
        <v>542</v>
      </c>
      <c r="L27" s="1" t="s">
        <v>538</v>
      </c>
      <c r="M27" s="1" t="s">
        <v>543</v>
      </c>
      <c r="N27" s="6" t="s">
        <v>132</v>
      </c>
      <c r="O27" s="6" t="s">
        <v>544</v>
      </c>
      <c r="P27" s="1" t="s">
        <v>538</v>
      </c>
      <c r="Q27" s="1" t="s">
        <v>545</v>
      </c>
      <c r="R27" s="1" t="s">
        <v>538</v>
      </c>
      <c r="S27" s="10" t="s">
        <v>546</v>
      </c>
      <c r="T27" s="1" t="s">
        <v>547</v>
      </c>
      <c r="U27" s="1" t="s">
        <v>548</v>
      </c>
      <c r="V27" s="1" t="s">
        <v>549</v>
      </c>
      <c r="W27" s="1" t="s">
        <v>538</v>
      </c>
      <c r="X27" s="1" t="s">
        <v>538</v>
      </c>
      <c r="Y27" s="1" t="s">
        <v>538</v>
      </c>
      <c r="Z27" s="1" t="s">
        <v>542</v>
      </c>
      <c r="AA27" s="1" t="s">
        <v>550</v>
      </c>
      <c r="AB27" s="1" t="s">
        <v>551</v>
      </c>
      <c r="AC27" s="1" t="s">
        <v>552</v>
      </c>
      <c r="AD27" s="6" t="s">
        <v>553</v>
      </c>
      <c r="AE27" s="1" t="s">
        <v>538</v>
      </c>
      <c r="AF27" s="1" t="s">
        <v>538</v>
      </c>
      <c r="AG27" s="6" t="s">
        <v>554</v>
      </c>
      <c r="AH27" s="1" t="s">
        <v>555</v>
      </c>
      <c r="AI27" s="6" t="s">
        <v>132</v>
      </c>
      <c r="AJ27" s="6" t="s">
        <v>556</v>
      </c>
      <c r="AK27" s="1" t="s">
        <v>557</v>
      </c>
      <c r="AL27" s="6" t="s">
        <v>132</v>
      </c>
    </row>
    <row r="28" ht="15.75" customHeight="1">
      <c r="A28" s="1" t="s">
        <v>127</v>
      </c>
      <c r="B28" s="1" t="s">
        <v>558</v>
      </c>
      <c r="C28" s="1" t="s">
        <v>559</v>
      </c>
      <c r="D28" s="8" t="s">
        <v>560</v>
      </c>
      <c r="E28" s="1" t="s">
        <v>561</v>
      </c>
      <c r="F28" s="6" t="s">
        <v>132</v>
      </c>
      <c r="G28" s="1" t="s">
        <v>562</v>
      </c>
      <c r="H28" s="1" t="s">
        <v>563</v>
      </c>
      <c r="I28" s="1" t="s">
        <v>564</v>
      </c>
      <c r="J28" s="6" t="s">
        <v>565</v>
      </c>
      <c r="K28" s="1" t="s">
        <v>566</v>
      </c>
      <c r="L28" s="1" t="s">
        <v>567</v>
      </c>
      <c r="M28" s="1" t="s">
        <v>568</v>
      </c>
      <c r="N28" s="6" t="s">
        <v>132</v>
      </c>
      <c r="O28" s="6" t="s">
        <v>569</v>
      </c>
      <c r="P28" s="1" t="s">
        <v>570</v>
      </c>
      <c r="Q28" s="1" t="s">
        <v>571</v>
      </c>
      <c r="R28" s="1" t="s">
        <v>572</v>
      </c>
      <c r="S28" s="10" t="s">
        <v>573</v>
      </c>
      <c r="T28" s="1" t="s">
        <v>574</v>
      </c>
      <c r="U28" s="1" t="s">
        <v>575</v>
      </c>
      <c r="V28" s="1" t="s">
        <v>576</v>
      </c>
      <c r="W28" s="1" t="s">
        <v>577</v>
      </c>
      <c r="X28" s="1" t="s">
        <v>578</v>
      </c>
      <c r="Y28" s="1" t="s">
        <v>579</v>
      </c>
      <c r="Z28" s="1" t="s">
        <v>580</v>
      </c>
      <c r="AA28" s="1" t="s">
        <v>581</v>
      </c>
      <c r="AB28" s="1" t="s">
        <v>582</v>
      </c>
      <c r="AC28" s="1" t="s">
        <v>583</v>
      </c>
      <c r="AD28" s="6" t="s">
        <v>584</v>
      </c>
      <c r="AE28" s="1" t="s">
        <v>584</v>
      </c>
      <c r="AF28" s="1" t="s">
        <v>585</v>
      </c>
      <c r="AG28" s="6" t="s">
        <v>586</v>
      </c>
      <c r="AH28" s="1" t="s">
        <v>587</v>
      </c>
      <c r="AI28" s="6" t="s">
        <v>132</v>
      </c>
      <c r="AJ28" s="6" t="s">
        <v>588</v>
      </c>
      <c r="AK28" s="1" t="s">
        <v>589</v>
      </c>
      <c r="AL28" s="6" t="s">
        <v>132</v>
      </c>
    </row>
    <row r="29" ht="15.75" customHeight="1">
      <c r="A29" s="1" t="s">
        <v>127</v>
      </c>
      <c r="B29" s="1" t="s">
        <v>590</v>
      </c>
      <c r="C29" s="1" t="s">
        <v>591</v>
      </c>
      <c r="D29" s="8" t="s">
        <v>592</v>
      </c>
      <c r="E29" s="1" t="s">
        <v>593</v>
      </c>
      <c r="F29" s="6" t="s">
        <v>132</v>
      </c>
      <c r="G29" s="1" t="s">
        <v>594</v>
      </c>
      <c r="H29" s="1" t="s">
        <v>595</v>
      </c>
      <c r="I29" s="1" t="s">
        <v>596</v>
      </c>
      <c r="J29" s="6" t="s">
        <v>597</v>
      </c>
      <c r="K29" s="1" t="s">
        <v>598</v>
      </c>
      <c r="L29" s="1" t="s">
        <v>599</v>
      </c>
      <c r="M29" s="1" t="s">
        <v>600</v>
      </c>
      <c r="N29" s="6" t="s">
        <v>132</v>
      </c>
      <c r="O29" s="6" t="s">
        <v>601</v>
      </c>
      <c r="P29" s="1" t="s">
        <v>602</v>
      </c>
      <c r="Q29" s="1" t="s">
        <v>603</v>
      </c>
      <c r="R29" s="1" t="s">
        <v>604</v>
      </c>
      <c r="S29" s="10" t="s">
        <v>605</v>
      </c>
      <c r="T29" s="1" t="s">
        <v>606</v>
      </c>
      <c r="U29" s="1" t="s">
        <v>607</v>
      </c>
      <c r="V29" s="1" t="s">
        <v>608</v>
      </c>
      <c r="W29" s="1" t="s">
        <v>609</v>
      </c>
      <c r="X29" s="1" t="s">
        <v>610</v>
      </c>
      <c r="Y29" s="1" t="s">
        <v>611</v>
      </c>
      <c r="Z29" s="1" t="s">
        <v>612</v>
      </c>
      <c r="AA29" s="1" t="s">
        <v>613</v>
      </c>
      <c r="AB29" s="1" t="s">
        <v>614</v>
      </c>
      <c r="AC29" s="1" t="s">
        <v>615</v>
      </c>
      <c r="AD29" s="6" t="s">
        <v>616</v>
      </c>
      <c r="AE29" s="1" t="s">
        <v>617</v>
      </c>
      <c r="AF29" s="1" t="s">
        <v>618</v>
      </c>
      <c r="AG29" s="6" t="s">
        <v>619</v>
      </c>
      <c r="AH29" s="1" t="s">
        <v>620</v>
      </c>
      <c r="AI29" s="6" t="s">
        <v>132</v>
      </c>
      <c r="AJ29" s="6" t="s">
        <v>621</v>
      </c>
      <c r="AK29" s="1" t="s">
        <v>622</v>
      </c>
      <c r="AL29" s="6" t="s">
        <v>623</v>
      </c>
    </row>
    <row r="30" ht="15.75" customHeight="1">
      <c r="A30" s="1" t="s">
        <v>127</v>
      </c>
      <c r="B30" s="1" t="s">
        <v>624</v>
      </c>
      <c r="C30" s="1" t="s">
        <v>625</v>
      </c>
      <c r="D30" s="8" t="s">
        <v>626</v>
      </c>
      <c r="E30" s="1" t="s">
        <v>627</v>
      </c>
      <c r="F30" s="6" t="s">
        <v>132</v>
      </c>
      <c r="G30" s="1" t="s">
        <v>628</v>
      </c>
      <c r="H30" s="1" t="s">
        <v>629</v>
      </c>
      <c r="I30" s="1" t="s">
        <v>630</v>
      </c>
      <c r="J30" s="6" t="s">
        <v>631</v>
      </c>
      <c r="K30" s="1" t="s">
        <v>632</v>
      </c>
      <c r="L30" s="1" t="s">
        <v>633</v>
      </c>
      <c r="M30" s="1" t="s">
        <v>634</v>
      </c>
      <c r="N30" s="6" t="s">
        <v>132</v>
      </c>
      <c r="O30" s="6" t="s">
        <v>635</v>
      </c>
      <c r="P30" s="1" t="s">
        <v>636</v>
      </c>
      <c r="Q30" s="1" t="s">
        <v>637</v>
      </c>
      <c r="R30" s="1" t="s">
        <v>638</v>
      </c>
      <c r="S30" s="10" t="s">
        <v>639</v>
      </c>
      <c r="T30" s="1" t="s">
        <v>640</v>
      </c>
      <c r="U30" s="1" t="s">
        <v>641</v>
      </c>
      <c r="V30" s="1" t="s">
        <v>637</v>
      </c>
      <c r="W30" s="1" t="s">
        <v>642</v>
      </c>
      <c r="X30" s="1" t="s">
        <v>629</v>
      </c>
      <c r="Y30" s="1" t="s">
        <v>643</v>
      </c>
      <c r="Z30" s="1" t="s">
        <v>644</v>
      </c>
      <c r="AA30" s="1" t="s">
        <v>645</v>
      </c>
      <c r="AB30" s="1" t="s">
        <v>646</v>
      </c>
      <c r="AC30" s="1" t="s">
        <v>647</v>
      </c>
      <c r="AD30" s="6" t="s">
        <v>648</v>
      </c>
      <c r="AE30" s="1" t="s">
        <v>628</v>
      </c>
      <c r="AF30" s="1" t="s">
        <v>649</v>
      </c>
      <c r="AG30" s="6" t="s">
        <v>650</v>
      </c>
      <c r="AH30" s="1" t="s">
        <v>651</v>
      </c>
      <c r="AI30" s="6" t="s">
        <v>132</v>
      </c>
      <c r="AJ30" s="6" t="s">
        <v>652</v>
      </c>
      <c r="AK30" s="1" t="s">
        <v>653</v>
      </c>
      <c r="AL30" s="6" t="s">
        <v>132</v>
      </c>
    </row>
    <row r="31" ht="15.75" customHeight="1">
      <c r="A31" s="1" t="s">
        <v>127</v>
      </c>
      <c r="B31" s="1" t="s">
        <v>654</v>
      </c>
      <c r="C31" s="1" t="s">
        <v>655</v>
      </c>
      <c r="D31" s="8" t="s">
        <v>656</v>
      </c>
      <c r="E31" s="1" t="s">
        <v>657</v>
      </c>
      <c r="F31" s="6" t="s">
        <v>132</v>
      </c>
      <c r="G31" s="1" t="s">
        <v>658</v>
      </c>
      <c r="H31" s="1" t="s">
        <v>659</v>
      </c>
      <c r="I31" s="1" t="s">
        <v>660</v>
      </c>
      <c r="J31" s="6" t="s">
        <v>661</v>
      </c>
      <c r="K31" s="1" t="s">
        <v>662</v>
      </c>
      <c r="L31" s="1" t="s">
        <v>663</v>
      </c>
      <c r="M31" s="1" t="s">
        <v>664</v>
      </c>
      <c r="N31" s="6" t="s">
        <v>132</v>
      </c>
      <c r="O31" s="6" t="s">
        <v>665</v>
      </c>
      <c r="P31" s="1" t="s">
        <v>666</v>
      </c>
      <c r="Q31" s="1" t="s">
        <v>667</v>
      </c>
      <c r="R31" s="1" t="s">
        <v>668</v>
      </c>
      <c r="S31" s="10" t="s">
        <v>669</v>
      </c>
      <c r="T31" s="1" t="s">
        <v>670</v>
      </c>
      <c r="U31" s="1" t="s">
        <v>671</v>
      </c>
      <c r="V31" s="1" t="s">
        <v>672</v>
      </c>
      <c r="W31" s="1" t="s">
        <v>673</v>
      </c>
      <c r="X31" s="1" t="s">
        <v>674</v>
      </c>
      <c r="Y31" s="1" t="s">
        <v>675</v>
      </c>
      <c r="Z31" s="1" t="s">
        <v>676</v>
      </c>
      <c r="AA31" s="1" t="s">
        <v>677</v>
      </c>
      <c r="AB31" s="1" t="s">
        <v>678</v>
      </c>
      <c r="AC31" s="1" t="s">
        <v>679</v>
      </c>
      <c r="AD31" s="6" t="s">
        <v>680</v>
      </c>
      <c r="AE31" s="1" t="s">
        <v>681</v>
      </c>
      <c r="AF31" s="1" t="s">
        <v>682</v>
      </c>
      <c r="AG31" s="6" t="s">
        <v>683</v>
      </c>
      <c r="AH31" s="1" t="s">
        <v>684</v>
      </c>
      <c r="AI31" s="6" t="s">
        <v>132</v>
      </c>
      <c r="AJ31" s="6" t="s">
        <v>685</v>
      </c>
      <c r="AK31" s="1" t="s">
        <v>686</v>
      </c>
      <c r="AL31" s="6" t="s">
        <v>132</v>
      </c>
    </row>
    <row r="32" ht="15.75" hidden="1" customHeight="1">
      <c r="A32" s="1" t="s">
        <v>38</v>
      </c>
      <c r="B32" s="1" t="s">
        <v>687</v>
      </c>
      <c r="C32" s="1" t="s">
        <v>688</v>
      </c>
      <c r="D32" s="8" t="s">
        <v>689</v>
      </c>
      <c r="E32" s="1" t="s">
        <v>690</v>
      </c>
      <c r="F32" s="6" t="s">
        <v>691</v>
      </c>
      <c r="G32" s="7" t="str">
        <f>IFERROR(__xludf.DUMMYFUNCTION("GOOGLETRANSLATE(C32, ""en"", ""cs"")"),"Dnes")</f>
        <v>Dnes</v>
      </c>
      <c r="H32" s="7" t="str">
        <f>IFERROR(__xludf.DUMMYFUNCTION("GOOGLETRANSLATE(C32, ""en"", ""da"")"),"I dag")</f>
        <v>I dag</v>
      </c>
      <c r="I32" s="1" t="s">
        <v>692</v>
      </c>
      <c r="J32" s="6" t="s">
        <v>132</v>
      </c>
      <c r="K32" s="1" t="s">
        <v>693</v>
      </c>
      <c r="L32" s="7" t="str">
        <f>IFERROR(__xludf.DUMMYFUNCTION("GOOGLETRANSLATE(C32, ""en"", ""fi"")"),"Tänään")</f>
        <v>Tänään</v>
      </c>
      <c r="M32" s="1" t="s">
        <v>694</v>
      </c>
      <c r="N32" s="6" t="s">
        <v>695</v>
      </c>
      <c r="O32" s="6" t="s">
        <v>132</v>
      </c>
      <c r="P32" s="1" t="s">
        <v>696</v>
      </c>
      <c r="Q32" s="7" t="str">
        <f>IFERROR(__xludf.DUMMYFUNCTION("GOOGLETRANSLATE(C32, ""en"", ""in"")"),"Hari ini")</f>
        <v>Hari ini</v>
      </c>
      <c r="R32" s="1" t="s">
        <v>697</v>
      </c>
      <c r="S32" s="6" t="s">
        <v>132</v>
      </c>
      <c r="T32" s="1" t="s">
        <v>698</v>
      </c>
      <c r="U32" s="7" t="str">
        <f>IFERROR(__xludf.DUMMYFUNCTION("GOOGLETRANSLATE(C32, ""en"", ""ko"")"),"오늘")</f>
        <v>오늘</v>
      </c>
      <c r="V32" s="7" t="str">
        <f>IFERROR(__xludf.DUMMYFUNCTION("GOOGLETRANSLATE(C32, ""en"", ""ms"")"),"Hari ini")</f>
        <v>Hari ini</v>
      </c>
      <c r="W32" s="1" t="s">
        <v>699</v>
      </c>
      <c r="X32" s="7" t="str">
        <f>IFERROR(__xludf.DUMMYFUNCTION("GOOGLETRANSLATE(C32, ""en"", ""no"")"),"I dag")</f>
        <v>I dag</v>
      </c>
      <c r="Y32" s="1" t="s">
        <v>700</v>
      </c>
      <c r="Z32" s="7" t="str">
        <f>IFERROR(__xludf.DUMMYFUNCTION("GOOGLETRANSLATE(C32, ""en"", ""pt"")"),"Hoje")</f>
        <v>Hoje</v>
      </c>
      <c r="AA32" s="7" t="str">
        <f>IFERROR(__xludf.DUMMYFUNCTION("GOOGLETRANSLATE(C32, ""en"", ""ro"")"),"Azi")</f>
        <v>Azi</v>
      </c>
      <c r="AB32" s="1" t="s">
        <v>701</v>
      </c>
      <c r="AC32" s="7" t="str">
        <f>IFERROR(__xludf.DUMMYFUNCTION("GOOGLETRANSLATE(C32, ""en"", ""sk"")"),"Dnešok")</f>
        <v>Dnešok</v>
      </c>
      <c r="AD32" s="6" t="s">
        <v>132</v>
      </c>
      <c r="AE32" s="1" t="s">
        <v>702</v>
      </c>
      <c r="AF32" s="7" t="str">
        <f>IFERROR(__xludf.DUMMYFUNCTION("GOOGLETRANSLATE(C32, ""en"", ""sv"")"),"I dag")</f>
        <v>I dag</v>
      </c>
      <c r="AG32" s="6" t="s">
        <v>132</v>
      </c>
      <c r="AH32" s="7" t="str">
        <f>IFERROR(__xludf.DUMMYFUNCTION("GOOGLETRANSLATE(C32, ""en"", ""tr"")"),"Bugün")</f>
        <v>Bugün</v>
      </c>
      <c r="AI32" s="6" t="s">
        <v>703</v>
      </c>
      <c r="AJ32" s="6" t="s">
        <v>132</v>
      </c>
      <c r="AK32" s="7" t="str">
        <f>IFERROR(__xludf.DUMMYFUNCTION("GOOGLETRANSLATE(C32, ""en"", ""zh"")"),"今天")</f>
        <v>今天</v>
      </c>
      <c r="AL32" s="6" t="s">
        <v>132</v>
      </c>
    </row>
    <row r="33" ht="15.75" customHeight="1">
      <c r="A33" s="1" t="s">
        <v>127</v>
      </c>
      <c r="B33" s="1" t="s">
        <v>704</v>
      </c>
      <c r="C33" s="1" t="s">
        <v>705</v>
      </c>
      <c r="D33" s="8" t="s">
        <v>706</v>
      </c>
      <c r="E33" s="1" t="s">
        <v>707</v>
      </c>
      <c r="F33" s="6" t="s">
        <v>132</v>
      </c>
      <c r="G33" s="1" t="s">
        <v>708</v>
      </c>
      <c r="H33" s="1" t="s">
        <v>709</v>
      </c>
      <c r="I33" s="1" t="s">
        <v>710</v>
      </c>
      <c r="J33" s="6" t="s">
        <v>711</v>
      </c>
      <c r="K33" s="1" t="s">
        <v>712</v>
      </c>
      <c r="L33" s="1" t="s">
        <v>713</v>
      </c>
      <c r="M33" s="1" t="s">
        <v>714</v>
      </c>
      <c r="N33" s="6" t="s">
        <v>132</v>
      </c>
      <c r="O33" s="6" t="s">
        <v>715</v>
      </c>
      <c r="P33" s="1" t="s">
        <v>716</v>
      </c>
      <c r="Q33" s="1" t="s">
        <v>717</v>
      </c>
      <c r="R33" s="1" t="s">
        <v>718</v>
      </c>
      <c r="S33" s="10" t="s">
        <v>719</v>
      </c>
      <c r="T33" s="1" t="s">
        <v>720</v>
      </c>
      <c r="U33" s="1" t="s">
        <v>721</v>
      </c>
      <c r="V33" s="1" t="s">
        <v>722</v>
      </c>
      <c r="W33" s="1" t="s">
        <v>723</v>
      </c>
      <c r="X33" s="1" t="s">
        <v>724</v>
      </c>
      <c r="Y33" s="1" t="s">
        <v>725</v>
      </c>
      <c r="Z33" s="1" t="s">
        <v>726</v>
      </c>
      <c r="AA33" s="1" t="s">
        <v>727</v>
      </c>
      <c r="AB33" s="1" t="s">
        <v>728</v>
      </c>
      <c r="AC33" s="1" t="s">
        <v>729</v>
      </c>
      <c r="AD33" s="6" t="s">
        <v>730</v>
      </c>
      <c r="AE33" s="1" t="s">
        <v>731</v>
      </c>
      <c r="AF33" s="1" t="s">
        <v>732</v>
      </c>
      <c r="AG33" s="6" t="s">
        <v>733</v>
      </c>
      <c r="AH33" s="1" t="s">
        <v>734</v>
      </c>
      <c r="AI33" s="6" t="s">
        <v>132</v>
      </c>
      <c r="AJ33" s="6" t="s">
        <v>735</v>
      </c>
      <c r="AK33" s="1" t="s">
        <v>736</v>
      </c>
      <c r="AL33" s="6" t="s">
        <v>132</v>
      </c>
    </row>
    <row r="34" ht="15.75" customHeight="1">
      <c r="A34" s="1" t="s">
        <v>127</v>
      </c>
      <c r="B34" s="1" t="s">
        <v>737</v>
      </c>
      <c r="C34" s="1" t="s">
        <v>738</v>
      </c>
      <c r="D34" s="8" t="s">
        <v>739</v>
      </c>
      <c r="E34" s="1" t="s">
        <v>740</v>
      </c>
      <c r="F34" s="6" t="s">
        <v>132</v>
      </c>
      <c r="G34" s="1" t="s">
        <v>741</v>
      </c>
      <c r="H34" s="1" t="s">
        <v>742</v>
      </c>
      <c r="I34" s="1" t="s">
        <v>743</v>
      </c>
      <c r="J34" s="6" t="s">
        <v>744</v>
      </c>
      <c r="K34" s="1" t="s">
        <v>745</v>
      </c>
      <c r="L34" s="1" t="s">
        <v>746</v>
      </c>
      <c r="M34" s="1" t="s">
        <v>747</v>
      </c>
      <c r="N34" s="6" t="s">
        <v>132</v>
      </c>
      <c r="O34" s="6" t="s">
        <v>748</v>
      </c>
      <c r="P34" s="1" t="s">
        <v>749</v>
      </c>
      <c r="Q34" s="1" t="s">
        <v>750</v>
      </c>
      <c r="R34" s="1" t="s">
        <v>751</v>
      </c>
      <c r="S34" s="10" t="s">
        <v>752</v>
      </c>
      <c r="T34" s="1" t="s">
        <v>753</v>
      </c>
      <c r="U34" s="1" t="s">
        <v>754</v>
      </c>
      <c r="V34" s="1" t="s">
        <v>755</v>
      </c>
      <c r="W34" s="1" t="s">
        <v>756</v>
      </c>
      <c r="X34" s="1" t="s">
        <v>750</v>
      </c>
      <c r="Y34" s="1" t="s">
        <v>757</v>
      </c>
      <c r="Z34" s="1" t="s">
        <v>745</v>
      </c>
      <c r="AA34" s="1" t="s">
        <v>747</v>
      </c>
      <c r="AB34" s="1" t="s">
        <v>758</v>
      </c>
      <c r="AC34" s="1" t="s">
        <v>749</v>
      </c>
      <c r="AD34" s="6" t="s">
        <v>759</v>
      </c>
      <c r="AE34" s="1" t="s">
        <v>750</v>
      </c>
      <c r="AF34" s="1" t="s">
        <v>742</v>
      </c>
      <c r="AG34" s="6" t="s">
        <v>760</v>
      </c>
      <c r="AH34" s="1" t="s">
        <v>761</v>
      </c>
      <c r="AI34" s="6" t="s">
        <v>132</v>
      </c>
      <c r="AJ34" s="6" t="s">
        <v>762</v>
      </c>
      <c r="AK34" s="1" t="s">
        <v>763</v>
      </c>
      <c r="AL34" s="6" t="s">
        <v>764</v>
      </c>
    </row>
    <row r="35" ht="15.75" customHeight="1">
      <c r="A35" s="1" t="s">
        <v>127</v>
      </c>
      <c r="B35" s="1" t="s">
        <v>765</v>
      </c>
      <c r="C35" s="1" t="s">
        <v>766</v>
      </c>
      <c r="D35" s="8" t="s">
        <v>767</v>
      </c>
      <c r="E35" s="1" t="s">
        <v>768</v>
      </c>
      <c r="F35" s="6" t="s">
        <v>132</v>
      </c>
      <c r="G35" s="1" t="s">
        <v>769</v>
      </c>
      <c r="H35" s="1" t="s">
        <v>770</v>
      </c>
      <c r="I35" s="1" t="s">
        <v>771</v>
      </c>
      <c r="J35" s="6" t="s">
        <v>772</v>
      </c>
      <c r="K35" s="1" t="s">
        <v>773</v>
      </c>
      <c r="L35" s="1" t="s">
        <v>774</v>
      </c>
      <c r="M35" s="1" t="s">
        <v>775</v>
      </c>
      <c r="N35" s="6" t="s">
        <v>132</v>
      </c>
      <c r="O35" s="6" t="s">
        <v>776</v>
      </c>
      <c r="P35" s="1" t="s">
        <v>777</v>
      </c>
      <c r="Q35" s="1" t="s">
        <v>778</v>
      </c>
      <c r="R35" s="1" t="s">
        <v>779</v>
      </c>
      <c r="S35" s="10" t="s">
        <v>780</v>
      </c>
      <c r="T35" s="1" t="s">
        <v>781</v>
      </c>
      <c r="U35" s="1" t="s">
        <v>782</v>
      </c>
      <c r="V35" s="1" t="s">
        <v>783</v>
      </c>
      <c r="W35" s="1" t="s">
        <v>784</v>
      </c>
      <c r="X35" s="1" t="s">
        <v>785</v>
      </c>
      <c r="Y35" s="1" t="s">
        <v>786</v>
      </c>
      <c r="Z35" s="1" t="s">
        <v>787</v>
      </c>
      <c r="AA35" s="1" t="s">
        <v>788</v>
      </c>
      <c r="AB35" s="1" t="s">
        <v>789</v>
      </c>
      <c r="AC35" s="1" t="s">
        <v>790</v>
      </c>
      <c r="AD35" s="6" t="s">
        <v>791</v>
      </c>
      <c r="AE35" s="1" t="s">
        <v>792</v>
      </c>
      <c r="AF35" s="1" t="s">
        <v>793</v>
      </c>
      <c r="AG35" s="6" t="s">
        <v>794</v>
      </c>
      <c r="AH35" s="1" t="s">
        <v>795</v>
      </c>
      <c r="AI35" s="6" t="s">
        <v>132</v>
      </c>
      <c r="AJ35" s="6" t="s">
        <v>796</v>
      </c>
      <c r="AK35" s="1" t="s">
        <v>797</v>
      </c>
      <c r="AL35" s="6" t="s">
        <v>132</v>
      </c>
    </row>
    <row r="36" ht="15.75" hidden="1" customHeight="1">
      <c r="A36" s="1" t="s">
        <v>38</v>
      </c>
      <c r="B36" s="1" t="s">
        <v>798</v>
      </c>
      <c r="C36" s="1" t="s">
        <v>799</v>
      </c>
      <c r="D36" s="7" t="str">
        <f>IFERROR(__xludf.DUMMYFUNCTION("GOOGLETRANSLATE(C36, ""en"", ""ar"")"),"جزر كايمان")</f>
        <v>جزر كايمان</v>
      </c>
      <c r="E36" s="7" t="str">
        <f>IFERROR(__xludf.DUMMYFUNCTION("GOOGLETRANSLATE(C36, ""en"", ""bg"")"),"Кайманови острови")</f>
        <v>Кайманови острови</v>
      </c>
      <c r="F36" s="6" t="s">
        <v>132</v>
      </c>
      <c r="G36" s="7" t="str">
        <f>IFERROR(__xludf.DUMMYFUNCTION("GOOGLETRANSLATE(C36, ""en"", ""cs"")"),"Kajmanské ostrovy")</f>
        <v>Kajmanské ostrovy</v>
      </c>
      <c r="H36" s="7" t="str">
        <f>IFERROR(__xludf.DUMMYFUNCTION("GOOGLETRANSLATE(C36, ""en"", ""da"")"),"Caymanøerne")</f>
        <v>Caymanøerne</v>
      </c>
      <c r="I36" s="1" t="s">
        <v>800</v>
      </c>
      <c r="J36" s="6" t="s">
        <v>132</v>
      </c>
      <c r="K36" s="1" t="s">
        <v>801</v>
      </c>
      <c r="L36" s="7" t="str">
        <f>IFERROR(__xludf.DUMMYFUNCTION("GOOGLETRANSLATE(C36, ""en"", ""fi"")"),"Caymansaaret")</f>
        <v>Caymansaaret</v>
      </c>
      <c r="M36" s="1" t="s">
        <v>802</v>
      </c>
      <c r="N36" s="6" t="s">
        <v>132</v>
      </c>
      <c r="O36" s="6" t="s">
        <v>132</v>
      </c>
      <c r="P36" s="1" t="s">
        <v>799</v>
      </c>
      <c r="Q36" s="7" t="str">
        <f>IFERROR(__xludf.DUMMYFUNCTION("GOOGLETRANSLATE(C36, ""en"", ""in"")"),"Pulau cayman")</f>
        <v>Pulau cayman</v>
      </c>
      <c r="R36" s="7" t="str">
        <f>IFERROR(__xludf.DUMMYFUNCTION("GOOGLETRANSLATE(C36, ""en"", ""it"")"),"Isole Cayman")</f>
        <v>Isole Cayman</v>
      </c>
      <c r="S36" s="6" t="s">
        <v>132</v>
      </c>
      <c r="T36" s="7" t="str">
        <f>IFERROR(__xludf.DUMMYFUNCTION("GOOGLETRANSLATE(C36, ""en"", ""ja"")"),"ケイマン諸島")</f>
        <v>ケイマン諸島</v>
      </c>
      <c r="U36" s="7" t="str">
        <f>IFERROR(__xludf.DUMMYFUNCTION("GOOGLETRANSLATE(C36, ""en"", ""ko"")"),"케이맨 제도")</f>
        <v>케이맨 제도</v>
      </c>
      <c r="V36" s="7" t="str">
        <f>IFERROR(__xludf.DUMMYFUNCTION("GOOGLETRANSLATE(C36, ""en"", ""ms"")"),"Pulau Cayman")</f>
        <v>Pulau Cayman</v>
      </c>
      <c r="W36" s="7" t="str">
        <f>IFERROR(__xludf.DUMMYFUNCTION("GOOGLETRANSLATE(C36, ""en"", ""nl"")"),"Kaaiman Eilanden")</f>
        <v>Kaaiman Eilanden</v>
      </c>
      <c r="X36" s="7" t="str">
        <f>IFERROR(__xludf.DUMMYFUNCTION("GOOGLETRANSLATE(C36, ""en"", ""no"")"),"Caymanøyene")</f>
        <v>Caymanøyene</v>
      </c>
      <c r="Y36" s="7" t="str">
        <f>IFERROR(__xludf.DUMMYFUNCTION("GOOGLETRANSLATE(C36, ""en"", ""pl"")"),"Kajmany")</f>
        <v>Kajmany</v>
      </c>
      <c r="Z36" s="7" t="str">
        <f>IFERROR(__xludf.DUMMYFUNCTION("GOOGLETRANSLATE(C36, ""en"", ""pt"")"),"Ilhas Cayman")</f>
        <v>Ilhas Cayman</v>
      </c>
      <c r="AA36" s="7" t="str">
        <f>IFERROR(__xludf.DUMMYFUNCTION("GOOGLETRANSLATE(C36, ""en"", ""ro"")"),"Insulele Cayman")</f>
        <v>Insulele Cayman</v>
      </c>
      <c r="AB36" s="1" t="s">
        <v>803</v>
      </c>
      <c r="AC36" s="7" t="str">
        <f>IFERROR(__xludf.DUMMYFUNCTION("GOOGLETRANSLATE(C36, ""en"", ""sk"")"),"Kajmanské ostrovy")</f>
        <v>Kajmanské ostrovy</v>
      </c>
      <c r="AD36" s="6" t="s">
        <v>132</v>
      </c>
      <c r="AE36" s="1" t="s">
        <v>804</v>
      </c>
      <c r="AF36" s="7" t="str">
        <f>IFERROR(__xludf.DUMMYFUNCTION("GOOGLETRANSLATE(C36, ""en"", ""sv"")"),"Caymanöarna")</f>
        <v>Caymanöarna</v>
      </c>
      <c r="AG36" s="6" t="s">
        <v>132</v>
      </c>
      <c r="AH36" s="7" t="str">
        <f>IFERROR(__xludf.DUMMYFUNCTION("GOOGLETRANSLATE(C36, ""en"", ""tr"")"),"Cayman Adaları")</f>
        <v>Cayman Adaları</v>
      </c>
      <c r="AI36" s="6" t="s">
        <v>132</v>
      </c>
      <c r="AJ36" s="6" t="s">
        <v>132</v>
      </c>
      <c r="AK36" s="7" t="str">
        <f>IFERROR(__xludf.DUMMYFUNCTION("GOOGLETRANSLATE(C36, ""en"", ""zh"")"),"开曼群岛")</f>
        <v>开曼群岛</v>
      </c>
      <c r="AL36" s="6" t="s">
        <v>132</v>
      </c>
    </row>
    <row r="37" ht="15.75" hidden="1" customHeight="1">
      <c r="A37" s="1" t="s">
        <v>38</v>
      </c>
      <c r="B37" s="1" t="s">
        <v>805</v>
      </c>
      <c r="C37" s="1" t="s">
        <v>806</v>
      </c>
      <c r="D37" s="8" t="s">
        <v>807</v>
      </c>
      <c r="E37" s="1" t="s">
        <v>808</v>
      </c>
      <c r="F37" s="6" t="s">
        <v>809</v>
      </c>
      <c r="G37" s="7" t="str">
        <f>IFERROR(__xludf.DUMMYFUNCTION("GOOGLETRANSLATE(C37, ""en"", ""cs"")"),"Jabber ID neodpovídá certifikátu")</f>
        <v>Jabber ID neodpovídá certifikátu</v>
      </c>
      <c r="H37" s="7" t="str">
        <f>IFERROR(__xludf.DUMMYFUNCTION("GOOGLETRANSLATE(C37, ""en"", ""da"")"),"Jabber ID matcher ikke certifikat")</f>
        <v>Jabber ID matcher ikke certifikat</v>
      </c>
      <c r="I37" s="1" t="s">
        <v>810</v>
      </c>
      <c r="J37" s="6" t="s">
        <v>132</v>
      </c>
      <c r="K37" s="1" t="s">
        <v>811</v>
      </c>
      <c r="L37" s="7" t="str">
        <f>IFERROR(__xludf.DUMMYFUNCTION("GOOGLETRANSLATE(C37, ""en"", ""fi"")"),"Jabber ID ei vastaa todistusta")</f>
        <v>Jabber ID ei vastaa todistusta</v>
      </c>
      <c r="M37" s="1" t="s">
        <v>812</v>
      </c>
      <c r="N37" s="6" t="s">
        <v>813</v>
      </c>
      <c r="O37" s="6" t="s">
        <v>132</v>
      </c>
      <c r="P37" s="1" t="s">
        <v>814</v>
      </c>
      <c r="Q37" s="7" t="str">
        <f>IFERROR(__xludf.DUMMYFUNCTION("GOOGLETRANSLATE(C37, ""en"", ""in"")"),"ID Jabber tidak cocok dengan sertifikat")</f>
        <v>ID Jabber tidak cocok dengan sertifikat</v>
      </c>
      <c r="R37" s="1" t="s">
        <v>815</v>
      </c>
      <c r="S37" s="6" t="s">
        <v>132</v>
      </c>
      <c r="T37" s="1" t="s">
        <v>816</v>
      </c>
      <c r="U37" s="1" t="s">
        <v>817</v>
      </c>
      <c r="V37" s="7" t="str">
        <f>IFERROR(__xludf.DUMMYFUNCTION("GOOGLETRANSLATE(C37, ""en"", ""ms"")"),"Jabber ID tidak sepadan dengan sijil")</f>
        <v>Jabber ID tidak sepadan dengan sijil</v>
      </c>
      <c r="W37" s="1" t="s">
        <v>818</v>
      </c>
      <c r="X37" s="7" t="str">
        <f>IFERROR(__xludf.DUMMYFUNCTION("GOOGLETRANSLATE(C37, ""en"", ""no"")"),"Jabber ID samsvarer ikke med sertifikat")</f>
        <v>Jabber ID samsvarer ikke med sertifikat</v>
      </c>
      <c r="Y37" s="1" t="s">
        <v>819</v>
      </c>
      <c r="Z37" s="1" t="s">
        <v>820</v>
      </c>
      <c r="AA37" s="7" t="str">
        <f>IFERROR(__xludf.DUMMYFUNCTION("GOOGLETRANSLATE(C37, ""en"", ""ro"")"),"ID-ul Jabber nu se potrivește cu certificatul")</f>
        <v>ID-ul Jabber nu se potrivește cu certificatul</v>
      </c>
      <c r="AB37" s="1" t="s">
        <v>821</v>
      </c>
      <c r="AC37" s="7" t="str">
        <f>IFERROR(__xludf.DUMMYFUNCTION("GOOGLETRANSLATE(C37, ""en"", ""sk"")"),"Jabber ID nezodpovedá certifikátu")</f>
        <v>Jabber ID nezodpovedá certifikátu</v>
      </c>
      <c r="AD37" s="6" t="s">
        <v>132</v>
      </c>
      <c r="AE37" s="1" t="s">
        <v>822</v>
      </c>
      <c r="AF37" s="1" t="s">
        <v>823</v>
      </c>
      <c r="AG37" s="6" t="s">
        <v>132</v>
      </c>
      <c r="AH37" s="7" t="str">
        <f>IFERROR(__xludf.DUMMYFUNCTION("GOOGLETRANSLATE(C37, ""en"", ""tr"")"),"Jabber kimliği sertifikaya uymuyor")</f>
        <v>Jabber kimliği sertifikaya uymuyor</v>
      </c>
      <c r="AI37" s="6" t="s">
        <v>824</v>
      </c>
      <c r="AJ37" s="6" t="s">
        <v>825</v>
      </c>
      <c r="AK37" s="7" t="str">
        <f>IFERROR(__xludf.DUMMYFUNCTION("GOOGLETRANSLATE(C37, ""en"", ""zh"")"),"Jabber ID与证书不匹配")</f>
        <v>Jabber ID与证书不匹配</v>
      </c>
      <c r="AL37" s="6" t="s">
        <v>826</v>
      </c>
    </row>
    <row r="38" ht="15.75" hidden="1" customHeight="1">
      <c r="A38" s="1" t="s">
        <v>38</v>
      </c>
      <c r="B38" s="1" t="s">
        <v>827</v>
      </c>
      <c r="C38" s="1" t="s">
        <v>828</v>
      </c>
      <c r="D38" s="8" t="s">
        <v>829</v>
      </c>
      <c r="E38" s="1" t="s">
        <v>830</v>
      </c>
      <c r="F38" s="6" t="s">
        <v>831</v>
      </c>
      <c r="G38" s="7" t="str">
        <f>IFERROR(__xludf.DUMMYFUNCTION("GOOGLETRANSLATE(C38, ""en"", ""cs"")"),"Oznámení budou ve tichých hodinách umlčeno")</f>
        <v>Oznámení budou ve tichých hodinách umlčeno</v>
      </c>
      <c r="H38" s="7" t="str">
        <f>IFERROR(__xludf.DUMMYFUNCTION("GOOGLETRANSLATE(C38, ""en"", ""da"")"),"Meddelelser vil blive tavs i stille timer")</f>
        <v>Meddelelser vil blive tavs i stille timer</v>
      </c>
      <c r="I38" s="1" t="s">
        <v>832</v>
      </c>
      <c r="J38" s="6" t="s">
        <v>132</v>
      </c>
      <c r="K38" s="1" t="s">
        <v>833</v>
      </c>
      <c r="L38" s="7" t="str">
        <f>IFERROR(__xludf.DUMMYFUNCTION("GOOGLETRANSLATE(C38, ""en"", ""fi"")"),"Ilmoitukset hiljennetään hiljaisten tuntien aikana")</f>
        <v>Ilmoitukset hiljennetään hiljaisten tuntien aikana</v>
      </c>
      <c r="M38" s="1" t="s">
        <v>834</v>
      </c>
      <c r="N38" s="6" t="s">
        <v>835</v>
      </c>
      <c r="O38" s="6" t="s">
        <v>132</v>
      </c>
      <c r="P38" s="1" t="s">
        <v>836</v>
      </c>
      <c r="Q38" s="9" t="s">
        <v>837</v>
      </c>
      <c r="R38" s="1" t="s">
        <v>838</v>
      </c>
      <c r="S38" s="6" t="s">
        <v>132</v>
      </c>
      <c r="T38" s="1" t="s">
        <v>839</v>
      </c>
      <c r="U38" s="1" t="s">
        <v>840</v>
      </c>
      <c r="V38" s="7" t="str">
        <f>IFERROR(__xludf.DUMMYFUNCTION("GOOGLETRANSLATE(C38, ""en"", ""ms"")"),"Pemberitahuan akan dibungkam semasa waktu yang tenang")</f>
        <v>Pemberitahuan akan dibungkam semasa waktu yang tenang</v>
      </c>
      <c r="W38" s="1" t="s">
        <v>841</v>
      </c>
      <c r="X38" s="7" t="str">
        <f>IFERROR(__xludf.DUMMYFUNCTION("GOOGLETRANSLATE(C38, ""en"", ""no"")"),"Varsler vil bli tavlet i rolige timer")</f>
        <v>Varsler vil bli tavlet i rolige timer</v>
      </c>
      <c r="Y38" s="1" t="s">
        <v>842</v>
      </c>
      <c r="Z38" s="1" t="s">
        <v>843</v>
      </c>
      <c r="AA38" s="7" t="str">
        <f>IFERROR(__xludf.DUMMYFUNCTION("GOOGLETRANSLATE(C38, ""en"", ""ro"")"),"Notificările vor fi tăiate în timpul orelor liniștite")</f>
        <v>Notificările vor fi tăiate în timpul orelor liniștite</v>
      </c>
      <c r="AB38" s="1" t="s">
        <v>844</v>
      </c>
      <c r="AC38" s="1" t="s">
        <v>845</v>
      </c>
      <c r="AD38" s="6" t="s">
        <v>132</v>
      </c>
      <c r="AE38" s="1" t="s">
        <v>846</v>
      </c>
      <c r="AF38" s="1" t="s">
        <v>847</v>
      </c>
      <c r="AG38" s="6" t="s">
        <v>132</v>
      </c>
      <c r="AH38" s="7" t="str">
        <f>IFERROR(__xludf.DUMMYFUNCTION("GOOGLETRANSLATE(C38, ""en"", ""tr"")"),"Sessiz saatler sırasında bildirimler susturulacak")</f>
        <v>Sessiz saatler sırasında bildirimler susturulacak</v>
      </c>
      <c r="AI38" s="6" t="s">
        <v>848</v>
      </c>
      <c r="AJ38" s="6" t="s">
        <v>849</v>
      </c>
      <c r="AK38" s="7" t="str">
        <f>IFERROR(__xludf.DUMMYFUNCTION("GOOGLETRANSLATE(C38, ""en"", ""zh"")"),"通知将在安静的时间内沉默")</f>
        <v>通知将在安静的时间内沉默</v>
      </c>
      <c r="AL38" s="6" t="s">
        <v>850</v>
      </c>
    </row>
    <row r="39" ht="15.75" customHeight="1">
      <c r="A39" s="1" t="s">
        <v>127</v>
      </c>
      <c r="B39" s="1" t="s">
        <v>851</v>
      </c>
      <c r="C39" s="1" t="s">
        <v>852</v>
      </c>
      <c r="D39" s="8" t="s">
        <v>853</v>
      </c>
      <c r="E39" s="1" t="s">
        <v>854</v>
      </c>
      <c r="F39" s="6" t="s">
        <v>132</v>
      </c>
      <c r="G39" s="1" t="s">
        <v>855</v>
      </c>
      <c r="H39" s="1" t="s">
        <v>856</v>
      </c>
      <c r="I39" s="1" t="s">
        <v>857</v>
      </c>
      <c r="J39" s="6" t="s">
        <v>858</v>
      </c>
      <c r="K39" s="1" t="s">
        <v>859</v>
      </c>
      <c r="L39" s="1" t="s">
        <v>860</v>
      </c>
      <c r="M39" s="1" t="s">
        <v>861</v>
      </c>
      <c r="N39" s="6" t="s">
        <v>132</v>
      </c>
      <c r="O39" s="6" t="s">
        <v>862</v>
      </c>
      <c r="P39" s="1" t="s">
        <v>863</v>
      </c>
      <c r="Q39" s="1" t="s">
        <v>864</v>
      </c>
      <c r="R39" s="1" t="s">
        <v>865</v>
      </c>
      <c r="S39" s="10" t="s">
        <v>866</v>
      </c>
      <c r="T39" s="1" t="s">
        <v>867</v>
      </c>
      <c r="U39" s="1" t="s">
        <v>868</v>
      </c>
      <c r="V39" s="1" t="s">
        <v>869</v>
      </c>
      <c r="W39" s="1" t="s">
        <v>870</v>
      </c>
      <c r="X39" s="1" t="s">
        <v>856</v>
      </c>
      <c r="Y39" s="1" t="s">
        <v>871</v>
      </c>
      <c r="Z39" s="1" t="s">
        <v>872</v>
      </c>
      <c r="AA39" s="1" t="s">
        <v>865</v>
      </c>
      <c r="AB39" s="1" t="s">
        <v>873</v>
      </c>
      <c r="AC39" s="1" t="s">
        <v>874</v>
      </c>
      <c r="AD39" s="6" t="s">
        <v>865</v>
      </c>
      <c r="AE39" s="1" t="s">
        <v>865</v>
      </c>
      <c r="AF39" s="1" t="s">
        <v>875</v>
      </c>
      <c r="AG39" s="6" t="s">
        <v>876</v>
      </c>
      <c r="AH39" s="1" t="s">
        <v>877</v>
      </c>
      <c r="AI39" s="6" t="s">
        <v>132</v>
      </c>
      <c r="AJ39" s="6" t="s">
        <v>878</v>
      </c>
      <c r="AK39" s="1" t="s">
        <v>879</v>
      </c>
      <c r="AL39" s="6" t="s">
        <v>132</v>
      </c>
    </row>
    <row r="40" ht="15.75" hidden="1" customHeight="1">
      <c r="A40" s="1" t="s">
        <v>38</v>
      </c>
      <c r="B40" s="1" t="s">
        <v>880</v>
      </c>
      <c r="C40" s="1" t="s">
        <v>881</v>
      </c>
      <c r="D40" s="7" t="str">
        <f>IFERROR(__xludf.DUMMYFUNCTION("GOOGLETRANSLATE(C40, ""en"", ""ar"")"),"عنوان صفحة انترنت")</f>
        <v>عنوان صفحة انترنت</v>
      </c>
      <c r="E40" s="1" t="s">
        <v>882</v>
      </c>
      <c r="F40" s="6" t="s">
        <v>883</v>
      </c>
      <c r="G40" s="7" t="str">
        <f>IFERROR(__xludf.DUMMYFUNCTION("GOOGLETRANSLATE(C40, ""en"", ""cs"")"),"webová adresa")</f>
        <v>webová adresa</v>
      </c>
      <c r="H40" s="7" t="str">
        <f>IFERROR(__xludf.DUMMYFUNCTION("GOOGLETRANSLATE(C40, ""en"", ""da"")"),"web adresse")</f>
        <v>web adresse</v>
      </c>
      <c r="I40" s="1" t="s">
        <v>884</v>
      </c>
      <c r="J40" s="6" t="s">
        <v>132</v>
      </c>
      <c r="K40" s="1" t="s">
        <v>885</v>
      </c>
      <c r="L40" s="7" t="str">
        <f>IFERROR(__xludf.DUMMYFUNCTION("GOOGLETRANSLATE(C40, ""en"", ""fi"")"),"nettiosoite")</f>
        <v>nettiosoite</v>
      </c>
      <c r="M40" s="1" t="s">
        <v>886</v>
      </c>
      <c r="N40" s="6" t="s">
        <v>887</v>
      </c>
      <c r="O40" s="6" t="s">
        <v>132</v>
      </c>
      <c r="P40" s="1" t="s">
        <v>888</v>
      </c>
      <c r="Q40" s="7" t="str">
        <f>IFERROR(__xludf.DUMMYFUNCTION("GOOGLETRANSLATE(C40, ""en"", ""in"")"),"alamat web")</f>
        <v>alamat web</v>
      </c>
      <c r="R40" s="1" t="s">
        <v>889</v>
      </c>
      <c r="S40" s="6" t="s">
        <v>132</v>
      </c>
      <c r="T40" s="7" t="str">
        <f>IFERROR(__xludf.DUMMYFUNCTION("GOOGLETRANSLATE(C40, ""en"", ""ja"")"),"ウェブアドレス")</f>
        <v>ウェブアドレス</v>
      </c>
      <c r="U40" s="7" t="str">
        <f>IFERROR(__xludf.DUMMYFUNCTION("GOOGLETRANSLATE(C40, ""en"", ""ko"")"),"웹 주소")</f>
        <v>웹 주소</v>
      </c>
      <c r="V40" s="7" t="str">
        <f>IFERROR(__xludf.DUMMYFUNCTION("GOOGLETRANSLATE(C40, ""en"", ""ms"")"),"Alamat web.")</f>
        <v>Alamat web.</v>
      </c>
      <c r="W40" s="1" t="s">
        <v>890</v>
      </c>
      <c r="X40" s="7" t="str">
        <f>IFERROR(__xludf.DUMMYFUNCTION("GOOGLETRANSLATE(C40, ""en"", ""no"")"),"nettadresse")</f>
        <v>nettadresse</v>
      </c>
      <c r="Y40" s="1" t="s">
        <v>891</v>
      </c>
      <c r="Z40" s="1" t="s">
        <v>892</v>
      </c>
      <c r="AA40" s="7" t="str">
        <f>IFERROR(__xludf.DUMMYFUNCTION("GOOGLETRANSLATE(C40, ""en"", ""ro"")"),"adresa de internet")</f>
        <v>adresa de internet</v>
      </c>
      <c r="AB40" s="7" t="str">
        <f>IFERROR(__xludf.DUMMYFUNCTION("GOOGLETRANSLATE(C40, ""en"", ""ru"")"),"веб-адрес")</f>
        <v>веб-адрес</v>
      </c>
      <c r="AC40" s="7" t="str">
        <f>IFERROR(__xludf.DUMMYFUNCTION("GOOGLETRANSLATE(C40, ""en"", ""sk"")"),"webová adresa")</f>
        <v>webová adresa</v>
      </c>
      <c r="AD40" s="6" t="s">
        <v>132</v>
      </c>
      <c r="AE40" s="1" t="s">
        <v>893</v>
      </c>
      <c r="AF40" s="7" t="str">
        <f>IFERROR(__xludf.DUMMYFUNCTION("GOOGLETRANSLATE(C40, ""en"", ""sv"")"),"webbadress")</f>
        <v>webbadress</v>
      </c>
      <c r="AG40" s="6" t="s">
        <v>132</v>
      </c>
      <c r="AH40" s="7" t="str">
        <f>IFERROR(__xludf.DUMMYFUNCTION("GOOGLETRANSLATE(C40, ""en"", ""tr"")"),"internet adresi")</f>
        <v>internet adresi</v>
      </c>
      <c r="AI40" s="6" t="s">
        <v>132</v>
      </c>
      <c r="AJ40" s="6" t="s">
        <v>132</v>
      </c>
      <c r="AK40" s="7" t="str">
        <f>IFERROR(__xludf.DUMMYFUNCTION("GOOGLETRANSLATE(C40, ""en"", ""zh"")"),"网址")</f>
        <v>网址</v>
      </c>
      <c r="AL40" s="6" t="s">
        <v>132</v>
      </c>
    </row>
    <row r="41" ht="15.75" customHeight="1">
      <c r="A41" s="1" t="s">
        <v>127</v>
      </c>
      <c r="B41" s="1" t="s">
        <v>894</v>
      </c>
      <c r="C41" s="1" t="s">
        <v>895</v>
      </c>
      <c r="D41" s="8" t="s">
        <v>896</v>
      </c>
      <c r="E41" s="1" t="s">
        <v>895</v>
      </c>
      <c r="F41" s="6" t="s">
        <v>132</v>
      </c>
      <c r="G41" s="1" t="s">
        <v>895</v>
      </c>
      <c r="H41" s="1" t="s">
        <v>895</v>
      </c>
      <c r="I41" s="1" t="s">
        <v>895</v>
      </c>
      <c r="J41" s="6" t="s">
        <v>895</v>
      </c>
      <c r="K41" s="1" t="s">
        <v>895</v>
      </c>
      <c r="L41" s="1" t="s">
        <v>897</v>
      </c>
      <c r="M41" s="1" t="s">
        <v>895</v>
      </c>
      <c r="N41" s="6" t="s">
        <v>132</v>
      </c>
      <c r="O41" s="6" t="s">
        <v>898</v>
      </c>
      <c r="P41" s="1" t="s">
        <v>895</v>
      </c>
      <c r="Q41" s="1" t="s">
        <v>895</v>
      </c>
      <c r="R41" s="1" t="s">
        <v>895</v>
      </c>
      <c r="S41" s="10" t="s">
        <v>899</v>
      </c>
      <c r="T41" s="1" t="s">
        <v>900</v>
      </c>
      <c r="U41" s="1" t="s">
        <v>895</v>
      </c>
      <c r="V41" s="1" t="s">
        <v>895</v>
      </c>
      <c r="W41" s="1" t="s">
        <v>895</v>
      </c>
      <c r="X41" s="1" t="s">
        <v>895</v>
      </c>
      <c r="Y41" s="1" t="s">
        <v>895</v>
      </c>
      <c r="Z41" s="1" t="s">
        <v>895</v>
      </c>
      <c r="AA41" s="1" t="s">
        <v>895</v>
      </c>
      <c r="AB41" s="1" t="s">
        <v>901</v>
      </c>
      <c r="AC41" s="1" t="s">
        <v>895</v>
      </c>
      <c r="AD41" s="6" t="s">
        <v>895</v>
      </c>
      <c r="AE41" s="1" t="s">
        <v>895</v>
      </c>
      <c r="AF41" s="1" t="s">
        <v>895</v>
      </c>
      <c r="AG41" s="6" t="s">
        <v>895</v>
      </c>
      <c r="AH41" s="1" t="s">
        <v>895</v>
      </c>
      <c r="AI41" s="6" t="s">
        <v>132</v>
      </c>
      <c r="AJ41" s="6" t="s">
        <v>902</v>
      </c>
      <c r="AK41" s="1" t="s">
        <v>903</v>
      </c>
      <c r="AL41" s="6" t="s">
        <v>904</v>
      </c>
    </row>
    <row r="42" ht="15.75" customHeight="1">
      <c r="A42" s="1" t="s">
        <v>127</v>
      </c>
      <c r="B42" s="1" t="s">
        <v>905</v>
      </c>
      <c r="C42" s="1" t="s">
        <v>906</v>
      </c>
      <c r="D42" s="8" t="s">
        <v>907</v>
      </c>
      <c r="E42" s="1" t="s">
        <v>908</v>
      </c>
      <c r="F42" s="6" t="s">
        <v>132</v>
      </c>
      <c r="G42" s="1" t="s">
        <v>909</v>
      </c>
      <c r="H42" s="1" t="s">
        <v>910</v>
      </c>
      <c r="I42" s="1" t="s">
        <v>906</v>
      </c>
      <c r="J42" s="6" t="s">
        <v>911</v>
      </c>
      <c r="K42" s="1" t="s">
        <v>912</v>
      </c>
      <c r="L42" s="1" t="s">
        <v>913</v>
      </c>
      <c r="M42" s="1" t="s">
        <v>906</v>
      </c>
      <c r="N42" s="6" t="s">
        <v>132</v>
      </c>
      <c r="O42" s="6" t="s">
        <v>914</v>
      </c>
      <c r="P42" s="1" t="s">
        <v>915</v>
      </c>
      <c r="Q42" s="1" t="s">
        <v>916</v>
      </c>
      <c r="R42" s="1" t="s">
        <v>917</v>
      </c>
      <c r="S42" s="10" t="s">
        <v>918</v>
      </c>
      <c r="T42" s="1" t="s">
        <v>919</v>
      </c>
      <c r="U42" s="1" t="s">
        <v>920</v>
      </c>
      <c r="V42" s="1" t="s">
        <v>916</v>
      </c>
      <c r="W42" s="1" t="s">
        <v>921</v>
      </c>
      <c r="X42" s="1" t="s">
        <v>922</v>
      </c>
      <c r="Y42" s="1" t="s">
        <v>923</v>
      </c>
      <c r="Z42" s="1" t="s">
        <v>924</v>
      </c>
      <c r="AA42" s="1" t="s">
        <v>925</v>
      </c>
      <c r="AB42" s="1" t="s">
        <v>926</v>
      </c>
      <c r="AC42" s="1" t="s">
        <v>927</v>
      </c>
      <c r="AD42" s="6" t="s">
        <v>928</v>
      </c>
      <c r="AE42" s="1" t="s">
        <v>928</v>
      </c>
      <c r="AF42" s="1" t="s">
        <v>922</v>
      </c>
      <c r="AG42" s="6" t="s">
        <v>929</v>
      </c>
      <c r="AH42" s="1" t="s">
        <v>930</v>
      </c>
      <c r="AI42" s="6"/>
      <c r="AJ42" s="6" t="s">
        <v>931</v>
      </c>
      <c r="AK42" s="1" t="s">
        <v>932</v>
      </c>
      <c r="AL42" s="6" t="s">
        <v>933</v>
      </c>
    </row>
    <row r="43" ht="15.75" hidden="1" customHeight="1">
      <c r="A43" s="1" t="s">
        <v>38</v>
      </c>
      <c r="B43" s="1" t="s">
        <v>934</v>
      </c>
      <c r="C43" s="1" t="s">
        <v>935</v>
      </c>
      <c r="D43" s="8" t="s">
        <v>936</v>
      </c>
      <c r="E43" s="1" t="s">
        <v>937</v>
      </c>
      <c r="F43" s="6" t="s">
        <v>938</v>
      </c>
      <c r="G43" s="7" t="str">
        <f>IFERROR(__xludf.DUMMYFUNCTION("GOOGLETRANSLATE(C43, ""en"", ""cs"")"),"Přejděte na Dno")</f>
        <v>Přejděte na Dno</v>
      </c>
      <c r="H43" s="7" t="str">
        <f>IFERROR(__xludf.DUMMYFUNCTION("GOOGLETRANSLATE(C43, ""en"", ""da"")"),"Rul til bunden")</f>
        <v>Rul til bunden</v>
      </c>
      <c r="I43" s="1" t="s">
        <v>939</v>
      </c>
      <c r="J43" s="6" t="s">
        <v>132</v>
      </c>
      <c r="K43" s="1" t="s">
        <v>940</v>
      </c>
      <c r="L43" s="7" t="str">
        <f>IFERROR(__xludf.DUMMYFUNCTION("GOOGLETRANSLATE(C43, ""en"", ""fi"")"),"Selaa pohjaan")</f>
        <v>Selaa pohjaan</v>
      </c>
      <c r="M43" s="1" t="s">
        <v>941</v>
      </c>
      <c r="N43" s="6" t="s">
        <v>942</v>
      </c>
      <c r="O43" s="6" t="s">
        <v>132</v>
      </c>
      <c r="P43" s="1" t="s">
        <v>943</v>
      </c>
      <c r="Q43" s="7" t="str">
        <f>IFERROR(__xludf.DUMMYFUNCTION("GOOGLETRANSLATE(C43, ""en"", ""in"")"),"Gulir ke Bawah")</f>
        <v>Gulir ke Bawah</v>
      </c>
      <c r="R43" s="1" t="s">
        <v>944</v>
      </c>
      <c r="S43" s="6" t="s">
        <v>132</v>
      </c>
      <c r="T43" s="7" t="str">
        <f>IFERROR(__xludf.DUMMYFUNCTION("GOOGLETRANSLATE(C43, ""en"", ""ja"")"),"ボトムまでスクロールします")</f>
        <v>ボトムまでスクロールします</v>
      </c>
      <c r="U43" s="7" t="str">
        <f>IFERROR(__xludf.DUMMYFUNCTION("GOOGLETRANSLATE(C43, ""en"", ""ko"")"),"아래로 스크롤하십시오")</f>
        <v>아래로 스크롤하십시오</v>
      </c>
      <c r="V43" s="7" t="str">
        <f>IFERROR(__xludf.DUMMYFUNCTION("GOOGLETRANSLATE(C43, ""en"", ""ms"")"),"Tatal ke bawah")</f>
        <v>Tatal ke bawah</v>
      </c>
      <c r="W43" s="1" t="s">
        <v>945</v>
      </c>
      <c r="X43" s="7" t="str">
        <f>IFERROR(__xludf.DUMMYFUNCTION("GOOGLETRANSLATE(C43, ""en"", ""no"")"),"Bla til bunnen")</f>
        <v>Bla til bunnen</v>
      </c>
      <c r="Y43" s="1" t="s">
        <v>946</v>
      </c>
      <c r="Z43" s="7" t="str">
        <f>IFERROR(__xludf.DUMMYFUNCTION("GOOGLETRANSLATE(C43, ""en"", ""pt"")"),"Rolar para baixo")</f>
        <v>Rolar para baixo</v>
      </c>
      <c r="AA43" s="7" t="str">
        <f>IFERROR(__xludf.DUMMYFUNCTION("GOOGLETRANSLATE(C43, ""en"", ""ro"")"),"Defilați la partea de jos")</f>
        <v>Defilați la partea de jos</v>
      </c>
      <c r="AB43" s="7" t="str">
        <f>IFERROR(__xludf.DUMMYFUNCTION("GOOGLETRANSLATE(C43, ""en"", ""ru"")"),"Прокрутите до нижней части")</f>
        <v>Прокрутите до нижней части</v>
      </c>
      <c r="AC43" s="7" t="str">
        <f>IFERROR(__xludf.DUMMYFUNCTION("GOOGLETRANSLATE(C43, ""en"", ""sk"")"),"Prejdite na dno")</f>
        <v>Prejdite na dno</v>
      </c>
      <c r="AD43" s="6" t="s">
        <v>132</v>
      </c>
      <c r="AE43" s="7" t="str">
        <f>IFERROR(__xludf.DUMMYFUNCTION("GOOGLETRANSLATE(C43, ""en"", ""sr"")"),"Дођите до дна")</f>
        <v>Дођите до дна</v>
      </c>
      <c r="AF43" s="7" t="str">
        <f>IFERROR(__xludf.DUMMYFUNCTION("GOOGLETRANSLATE(C43, ""en"", ""sv"")"),"Bläddra till botten")</f>
        <v>Bläddra till botten</v>
      </c>
      <c r="AG43" s="6" t="s">
        <v>132</v>
      </c>
      <c r="AH43" s="7" t="str">
        <f>IFERROR(__xludf.DUMMYFUNCTION("GOOGLETRANSLATE(C43, ""en"", ""tr"")"),"Altına ilerleyin")</f>
        <v>Altına ilerleyin</v>
      </c>
      <c r="AI43" s="6" t="s">
        <v>132</v>
      </c>
      <c r="AJ43" s="6" t="s">
        <v>132</v>
      </c>
      <c r="AK43" s="7" t="str">
        <f>IFERROR(__xludf.DUMMYFUNCTION("GOOGLETRANSLATE(C43, ""en"", ""zh"")"),"滚动到底部")</f>
        <v>滚动到底部</v>
      </c>
      <c r="AL43" s="6" t="s">
        <v>132</v>
      </c>
    </row>
    <row r="44" ht="15.75" hidden="1" customHeight="1">
      <c r="A44" s="1" t="s">
        <v>38</v>
      </c>
      <c r="B44" s="1" t="s">
        <v>947</v>
      </c>
      <c r="C44" s="1" t="s">
        <v>948</v>
      </c>
      <c r="D44" s="7" t="str">
        <f>IFERROR(__xludf.DUMMYFUNCTION("GOOGLETRANSLATE(C44, ""en"", ""ar"")"),"لا يدعم جهازك تعطيل توفير البيانات للمحادثات.")</f>
        <v>لا يدعم جهازك تعطيل توفير البيانات للمحادثات.</v>
      </c>
      <c r="E44" s="1" t="s">
        <v>949</v>
      </c>
      <c r="F44" s="6" t="s">
        <v>950</v>
      </c>
      <c r="G44" s="7" t="str">
        <f>IFERROR(__xludf.DUMMYFUNCTION("GOOGLETRANSLATE(C44, ""en"", ""cs"")"),"Vaše zařízení nepodporuje zakázání spořiče dat pro konverzace.")</f>
        <v>Vaše zařízení nepodporuje zakázání spořiče dat pro konverzace.</v>
      </c>
      <c r="H44" s="7" t="str">
        <f>IFERROR(__xludf.DUMMYFUNCTION("GOOGLETRANSLATE(C44, ""en"", ""da"")"),"Din enhed understøtter ikke at deaktivere datasparer til samtaler.")</f>
        <v>Din enhed understøtter ikke at deaktivere datasparer til samtaler.</v>
      </c>
      <c r="I44" s="1" t="s">
        <v>951</v>
      </c>
      <c r="J44" s="6" t="s">
        <v>132</v>
      </c>
      <c r="K44" s="1" t="s">
        <v>952</v>
      </c>
      <c r="L44" s="7" t="str">
        <f>IFERROR(__xludf.DUMMYFUNCTION("GOOGLETRANSLATE(C44, ""en"", ""fi"")"),"Laite ei tue tietojen säästäjän poistamista keskusteluihin.")</f>
        <v>Laite ei tue tietojen säästäjän poistamista keskusteluihin.</v>
      </c>
      <c r="M44" s="1" t="s">
        <v>953</v>
      </c>
      <c r="N44" s="6" t="s">
        <v>954</v>
      </c>
      <c r="O44" s="6" t="s">
        <v>132</v>
      </c>
      <c r="P44" s="1" t="s">
        <v>955</v>
      </c>
      <c r="Q44" s="7" t="str">
        <f>IFERROR(__xludf.DUMMYFUNCTION("GOOGLETRANSLATE(C44, ""en"", ""in"")"),"Perangkat Anda tidak mendukung penonaktifan data untuk percakapan.")</f>
        <v>Perangkat Anda tidak mendukung penonaktifan data untuk percakapan.</v>
      </c>
      <c r="R44" s="1" t="s">
        <v>956</v>
      </c>
      <c r="S44" s="6" t="s">
        <v>132</v>
      </c>
      <c r="T44" s="1" t="s">
        <v>957</v>
      </c>
      <c r="U44" s="1" t="s">
        <v>958</v>
      </c>
      <c r="V44" s="7" t="str">
        <f>IFERROR(__xludf.DUMMYFUNCTION("GOOGLETRANSLATE(C44, ""en"", ""ms"")"),"Peranti anda tidak menyokong melumpuhkan penjimat data untuk perbualan.")</f>
        <v>Peranti anda tidak menyokong melumpuhkan penjimat data untuk perbualan.</v>
      </c>
      <c r="W44" s="1" t="s">
        <v>959</v>
      </c>
      <c r="X44" s="7" t="str">
        <f>IFERROR(__xludf.DUMMYFUNCTION("GOOGLETRANSLATE(C44, ""en"", ""no"")"),"Enheten støtter ikke deaktivering av datasparer for samtaler.")</f>
        <v>Enheten støtter ikke deaktivering av datasparer for samtaler.</v>
      </c>
      <c r="Y44" s="1" t="s">
        <v>960</v>
      </c>
      <c r="Z44" s="7" t="str">
        <f>IFERROR(__xludf.DUMMYFUNCTION("GOOGLETRANSLATE(C44, ""en"", ""pt"")"),"Seu dispositivo não suporta desabilitar a poupança de dados para conversas.")</f>
        <v>Seu dispositivo não suporta desabilitar a poupança de dados para conversas.</v>
      </c>
      <c r="AA44" s="7" t="str">
        <f>IFERROR(__xludf.DUMMYFUNCTION("GOOGLETRANSLATE(C44, ""en"", ""ro"")"),"Dispozitivul dvs. nu acceptă dezactivarea economizorului de date pentru conversații.")</f>
        <v>Dispozitivul dvs. nu acceptă dezactivarea economizorului de date pentru conversații.</v>
      </c>
      <c r="AB44" s="1" t="s">
        <v>961</v>
      </c>
      <c r="AC44" s="7" t="str">
        <f>IFERROR(__xludf.DUMMYFUNCTION("GOOGLETRANSLATE(C44, ""en"", ""sk"")"),"Vaše zariadenie nepodporuje zakázanie šetriča údajov pre konverzácie.")</f>
        <v>Vaše zariadenie nepodporuje zakázanie šetriča údajov pre konverzácie.</v>
      </c>
      <c r="AD44" s="6" t="s">
        <v>132</v>
      </c>
      <c r="AE44" s="1" t="s">
        <v>962</v>
      </c>
      <c r="AF44" s="1" t="s">
        <v>963</v>
      </c>
      <c r="AG44" s="6" t="s">
        <v>132</v>
      </c>
      <c r="AH44" s="7" t="str">
        <f>IFERROR(__xludf.DUMMYFUNCTION("GOOGLETRANSLATE(C44, ""en"", ""tr"")"),"Cihazınız, konuşmalar için veri tasarrufunu devre dışı bırakmayı desteklemiyor.")</f>
        <v>Cihazınız, konuşmalar için veri tasarrufunu devre dışı bırakmayı desteklemiyor.</v>
      </c>
      <c r="AI44" s="6" t="s">
        <v>964</v>
      </c>
      <c r="AJ44" s="6" t="s">
        <v>132</v>
      </c>
      <c r="AK44" s="7" t="str">
        <f>IFERROR(__xludf.DUMMYFUNCTION("GOOGLETRANSLATE(C44, ""en"", ""zh"")"),"您的设备不支持禁用数据保护程序进行对话。")</f>
        <v>您的设备不支持禁用数据保护程序进行对话。</v>
      </c>
      <c r="AL44" s="6" t="s">
        <v>965</v>
      </c>
    </row>
    <row r="45" ht="15.75" customHeight="1">
      <c r="A45" s="1" t="s">
        <v>127</v>
      </c>
      <c r="B45" s="1" t="s">
        <v>966</v>
      </c>
      <c r="C45" s="1" t="s">
        <v>967</v>
      </c>
      <c r="D45" s="8" t="s">
        <v>968</v>
      </c>
      <c r="E45" s="1" t="s">
        <v>969</v>
      </c>
      <c r="F45" s="6" t="s">
        <v>132</v>
      </c>
      <c r="G45" s="1" t="s">
        <v>970</v>
      </c>
      <c r="H45" s="1" t="s">
        <v>971</v>
      </c>
      <c r="I45" s="1" t="s">
        <v>972</v>
      </c>
      <c r="J45" s="6" t="s">
        <v>973</v>
      </c>
      <c r="K45" s="1" t="s">
        <v>974</v>
      </c>
      <c r="L45" s="1" t="s">
        <v>975</v>
      </c>
      <c r="M45" s="1" t="s">
        <v>976</v>
      </c>
      <c r="N45" s="6" t="s">
        <v>132</v>
      </c>
      <c r="O45" s="6" t="s">
        <v>977</v>
      </c>
      <c r="P45" s="1" t="s">
        <v>978</v>
      </c>
      <c r="Q45" s="1" t="s">
        <v>979</v>
      </c>
      <c r="R45" s="1" t="s">
        <v>980</v>
      </c>
      <c r="S45" s="10" t="s">
        <v>981</v>
      </c>
      <c r="T45" s="1" t="s">
        <v>982</v>
      </c>
      <c r="U45" s="1" t="s">
        <v>983</v>
      </c>
      <c r="V45" s="1" t="s">
        <v>984</v>
      </c>
      <c r="W45" s="1" t="s">
        <v>985</v>
      </c>
      <c r="X45" s="1" t="s">
        <v>986</v>
      </c>
      <c r="Y45" s="1" t="s">
        <v>987</v>
      </c>
      <c r="Z45" s="1" t="s">
        <v>988</v>
      </c>
      <c r="AA45" s="1" t="s">
        <v>989</v>
      </c>
      <c r="AB45" s="1" t="s">
        <v>990</v>
      </c>
      <c r="AC45" s="1" t="s">
        <v>991</v>
      </c>
      <c r="AD45" s="6" t="s">
        <v>992</v>
      </c>
      <c r="AE45" s="1" t="s">
        <v>993</v>
      </c>
      <c r="AF45" s="1" t="s">
        <v>994</v>
      </c>
      <c r="AG45" s="6" t="s">
        <v>995</v>
      </c>
      <c r="AH45" s="1" t="s">
        <v>996</v>
      </c>
      <c r="AI45" s="6" t="s">
        <v>132</v>
      </c>
      <c r="AJ45" s="6" t="s">
        <v>997</v>
      </c>
      <c r="AK45" s="1" t="s">
        <v>998</v>
      </c>
      <c r="AL45" s="6" t="s">
        <v>999</v>
      </c>
    </row>
    <row r="46" ht="15.75" hidden="1" customHeight="1">
      <c r="A46" s="1" t="s">
        <v>38</v>
      </c>
      <c r="B46" s="1" t="s">
        <v>1000</v>
      </c>
      <c r="C46" s="1" t="s">
        <v>1001</v>
      </c>
      <c r="D46" s="7" t="str">
        <f>IFERROR(__xludf.DUMMYFUNCTION("GOOGLETRANSLATE(C46, ""en"", ""ar"")"),"\ u0020minute غير متصل")</f>
        <v>\ u0020minute غير متصل</v>
      </c>
      <c r="E46" s="7" t="str">
        <f>IFERROR(__xludf.DUMMYFUNCTION("GOOGLETRANSLATE(C46, ""en"", ""bg"")"),"u0020minute офлайн. \ T")</f>
        <v>u0020minute офлайн. \ T</v>
      </c>
      <c r="F46" s="6" t="s">
        <v>132</v>
      </c>
      <c r="G46" s="7" t="str">
        <f>IFERROR(__xludf.DUMMYFUNCTION("GOOGLETRANSLATE(C46, ""en"", ""cs"")"),"U0020Minute offline. \ t")</f>
        <v>U0020Minute offline. \ t</v>
      </c>
      <c r="H46" s="7" t="str">
        <f>IFERROR(__xludf.DUMMYFUNCTION("GOOGLETRANSLATE(C46, ""en"", ""da"")"),"\ u0020minute offline.")</f>
        <v>\ u0020minute offline.</v>
      </c>
      <c r="I46" s="1" t="s">
        <v>1002</v>
      </c>
      <c r="J46" s="6" t="s">
        <v>132</v>
      </c>
      <c r="K46" s="1" t="s">
        <v>1003</v>
      </c>
      <c r="L46" s="7" t="str">
        <f>IFERROR(__xludf.DUMMYFUNCTION("GOOGLETRANSLATE(C46, ""en"", ""fi"")"),"\ u0020mine offline")</f>
        <v>\ u0020mine offline</v>
      </c>
      <c r="M46" s="1" t="s">
        <v>1004</v>
      </c>
      <c r="N46" s="6" t="s">
        <v>132</v>
      </c>
      <c r="O46" s="6" t="s">
        <v>132</v>
      </c>
      <c r="P46" s="1" t="s">
        <v>1005</v>
      </c>
      <c r="Q46" s="7" t="str">
        <f>IFERROR(__xludf.DUMMYFUNCTION("GOOGLETRANSLATE(C46, ""en"", ""in"")"),"\ u0020minute offline.")</f>
        <v>\ u0020minute offline.</v>
      </c>
      <c r="R46" s="7" t="str">
        <f>IFERROR(__xludf.DUMMYFUNCTION("GOOGLETRANSLATE(C46, ""en"", ""it"")"),"\ u0020minute offline.")</f>
        <v>\ u0020minute offline.</v>
      </c>
      <c r="S46" s="6" t="s">
        <v>132</v>
      </c>
      <c r="T46" s="7" t="str">
        <f>IFERROR(__xludf.DUMMYFUNCTION("GOOGLETRANSLATE(C46, ""en"", ""ja"")"),"\ U0020minuteオフライン")</f>
        <v>\ U0020minuteオフライン</v>
      </c>
      <c r="U46" s="7" t="str">
        <f>IFERROR(__xludf.DUMMYFUNCTION("GOOGLETRANSLATE(C46, ""en"", ""ko"")"),"\ U0020Minute 오프라인")</f>
        <v>\ U0020Minute 오프라인</v>
      </c>
      <c r="V46" s="7" t="str">
        <f>IFERROR(__xludf.DUMMYFUNCTION("GOOGLETRANSLATE(C46, ""en"", ""ms"")"),"\ u0020minute offline.")</f>
        <v>\ u0020minute offline.</v>
      </c>
      <c r="W46" s="7" t="str">
        <f>IFERROR(__xludf.DUMMYFUNCTION("GOOGLETRANSLATE(C46, ""en"", ""nl"")"),"\ u0020minute offline")</f>
        <v>\ u0020minute offline</v>
      </c>
      <c r="X46" s="7" t="str">
        <f>IFERROR(__xludf.DUMMYFUNCTION("GOOGLETRANSLATE(C46, ""en"", ""no"")"),"\ u0020minute offline.")</f>
        <v>\ u0020minute offline.</v>
      </c>
      <c r="Y46" s="7" t="str">
        <f>IFERROR(__xludf.DUMMYFUNCTION("GOOGLETRANSLATE(C46, ""en"", ""pl"")"),"U0020minte offline.")</f>
        <v>U0020minte offline.</v>
      </c>
      <c r="Z46" s="7" t="str">
        <f>IFERROR(__xludf.DUMMYFUNCTION("GOOGLETRANSLATE(C46, ""en"", ""pt"")"),"\ u0020Minute offline.")</f>
        <v>\ u0020Minute offline.</v>
      </c>
      <c r="AA46" s="7" t="str">
        <f>IFERROR(__xludf.DUMMYFUNCTION("GOOGLETRANSLATE(C46, ""en"", ""ro"")"),"\ u0020minute offline")</f>
        <v>\ u0020minute offline</v>
      </c>
      <c r="AB46" s="1" t="s">
        <v>1006</v>
      </c>
      <c r="AC46" s="7" t="str">
        <f>IFERROR(__xludf.DUMMYFUNCTION("GOOGLETRANSLATE(C46, ""en"", ""sk"")"),"u0020Minute offline")</f>
        <v>u0020Minute offline</v>
      </c>
      <c r="AD46" s="6" t="s">
        <v>132</v>
      </c>
      <c r="AE46" s="1" t="s">
        <v>1007</v>
      </c>
      <c r="AF46" s="7" t="str">
        <f>IFERROR(__xludf.DUMMYFUNCTION("GOOGLETRANSLATE(C46, ""en"", ""sv"")"),"\ u0020minute offline")</f>
        <v>\ u0020minute offline</v>
      </c>
      <c r="AG46" s="6" t="s">
        <v>132</v>
      </c>
      <c r="AH46" s="7" t="str">
        <f>IFERROR(__xludf.DUMMYFUNCTION("GOOGLETRANSLATE(C46, ""en"", ""tr"")"),"\ u0020mine çevrimdışı")</f>
        <v>\ u0020mine çevrimdışı</v>
      </c>
      <c r="AI46" s="6" t="s">
        <v>132</v>
      </c>
      <c r="AJ46" s="6" t="s">
        <v>132</v>
      </c>
      <c r="AK46" s="7" t="str">
        <f>IFERROR(__xludf.DUMMYFUNCTION("GOOGLETRANSLATE(C46, ""en"", ""zh"")"),"\ U0020minute离线")</f>
        <v>\ U0020minute离线</v>
      </c>
      <c r="AL46" s="6" t="s">
        <v>132</v>
      </c>
    </row>
    <row r="47" ht="15.75" hidden="1" customHeight="1">
      <c r="A47" s="1" t="s">
        <v>38</v>
      </c>
      <c r="B47" s="1" t="s">
        <v>1008</v>
      </c>
      <c r="C47" s="1" t="s">
        <v>1009</v>
      </c>
      <c r="D47" s="7" t="str">
        <f>IFERROR(__xludf.DUMMYFUNCTION("GOOGLETRANSLATE(C47, ""en"", ""ar"")"),"التطبيق الذي استخدمته لتحديد هذه الصورة لم يوفر لنا أذونات كافية لقراءة الملف. \ n \ n")</f>
        <v>التطبيق الذي استخدمته لتحديد هذه الصورة لم يوفر لنا أذونات كافية لقراءة الملف. \ n \ n</v>
      </c>
      <c r="E47" s="1" t="s">
        <v>1010</v>
      </c>
      <c r="F47" s="6" t="s">
        <v>1011</v>
      </c>
      <c r="G47" s="7" t="str">
        <f>IFERROR(__xludf.DUMMYFUNCTION("GOOGLETRANSLATE(C47, ""en"", ""cs"")"),"Aplikace, kterou jste použili k výběru tohoto snímku, neposkytl nám dostatečnou oprávnění ke čtení souboru. N \ n")</f>
        <v>Aplikace, kterou jste použili k výběru tohoto snímku, neposkytl nám dostatečnou oprávnění ke čtení souboru. N \ n</v>
      </c>
      <c r="H47" s="7" t="str">
        <f>IFERROR(__xludf.DUMMYFUNCTION("GOOGLETRANSLATE(C47, ""en"", ""da"")"),"Appen du brugte til at vælge dette billede gav os ikke tilstrækkelige tilladelser til at læse filen. \ N \ n")</f>
        <v>Appen du brugte til at vælge dette billede gav os ikke tilstrækkelige tilladelser til at læse filen. \ N \ n</v>
      </c>
      <c r="I47" s="1" t="s">
        <v>1012</v>
      </c>
      <c r="J47" s="6" t="s">
        <v>132</v>
      </c>
      <c r="K47" s="1" t="s">
        <v>1013</v>
      </c>
      <c r="L47" s="7" t="str">
        <f>IFERROR(__xludf.DUMMYFUNCTION("GOOGLETRANSLATE(C47, ""en"", ""fi"")"),"Tämän kuvan valitsemasi sovellus ei toimittanut meille tarpeeksi oikeuksia lukea tiedostoa. \ N \ n")</f>
        <v>Tämän kuvan valitsemasi sovellus ei toimittanut meille tarpeeksi oikeuksia lukea tiedostoa. \ N \ n</v>
      </c>
      <c r="M47" s="1" t="s">
        <v>1014</v>
      </c>
      <c r="N47" s="6" t="s">
        <v>1015</v>
      </c>
      <c r="O47" s="6" t="s">
        <v>132</v>
      </c>
      <c r="P47" s="1" t="s">
        <v>1016</v>
      </c>
      <c r="Q47" s="9" t="s">
        <v>1017</v>
      </c>
      <c r="R47" s="1" t="s">
        <v>1018</v>
      </c>
      <c r="S47" s="6" t="s">
        <v>132</v>
      </c>
      <c r="T47" s="1" t="s">
        <v>1019</v>
      </c>
      <c r="U47" s="1" t="s">
        <v>1020</v>
      </c>
      <c r="V47" s="7" t="str">
        <f>IFERROR(__xludf.DUMMYFUNCTION("GOOGLETRANSLATE(C47, ""en"", ""ms"")"),"Aplikasi yang anda gunakan untuk memilih imej ini tidak memberi kami keizinan yang cukup untuk membaca fail. \ N \ n")</f>
        <v>Aplikasi yang anda gunakan untuk memilih imej ini tidak memberi kami keizinan yang cukup untuk membaca fail. \ N \ n</v>
      </c>
      <c r="W47" s="1" t="s">
        <v>1021</v>
      </c>
      <c r="X47" s="7" t="str">
        <f>IFERROR(__xludf.DUMMYFUNCTION("GOOGLETRANSLATE(C47, ""en"", ""no"")"),"Appen du brukte til å velge dette bildet, ga oss ikke nok tillatelser til å lese filen. \ N \ n")</f>
        <v>Appen du brukte til å velge dette bildet, ga oss ikke nok tillatelser til å lese filen. \ N \ n</v>
      </c>
      <c r="Y47" s="1" t="s">
        <v>1022</v>
      </c>
      <c r="Z47" s="1" t="s">
        <v>1023</v>
      </c>
      <c r="AA47" s="7" t="str">
        <f>IFERROR(__xludf.DUMMYFUNCTION("GOOGLETRANSLATE(C47, ""en"", ""ro"")"),"Aplicația pe care ați folosit-o pentru a selecta această imagine nu ne-a oferit suficiente permisiuni pentru a citi fișierul. \ N \ n")</f>
        <v>Aplicația pe care ați folosit-o pentru a selecta această imagine nu ne-a oferit suficiente permisiuni pentru a citi fișierul. \ N \ n</v>
      </c>
      <c r="AB47" s="1" t="s">
        <v>1024</v>
      </c>
      <c r="AC47" s="1" t="s">
        <v>1025</v>
      </c>
      <c r="AD47" s="6" t="s">
        <v>132</v>
      </c>
      <c r="AE47" s="1" t="s">
        <v>1026</v>
      </c>
      <c r="AF47" s="1" t="s">
        <v>1027</v>
      </c>
      <c r="AG47" s="6" t="s">
        <v>132</v>
      </c>
      <c r="AH47" s="7" t="str">
        <f>IFERROR(__xludf.DUMMYFUNCTION("GOOGLETRANSLATE(C47, ""en"", ""tr"")"),"Bu görüntüyü seçtiğiniz uygulama, dosyayı okumak için yeterince izin vermedi. \ N \ n")</f>
        <v>Bu görüntüyü seçtiğiniz uygulama, dosyayı okumak için yeterince izin vermedi. \ N \ n</v>
      </c>
      <c r="AI47" s="6" t="s">
        <v>1028</v>
      </c>
      <c r="AJ47" s="6" t="s">
        <v>1029</v>
      </c>
      <c r="AK47" s="7" t="str">
        <f>IFERROR(__xludf.DUMMYFUNCTION("GOOGLETRANSLATE(C47, ""en"", ""zh"")"),"您用于选择此图像的应用程序没有为我们提供足够的权限来读取该文件。\ n \ n")</f>
        <v>您用于选择此图像的应用程序没有为我们提供足够的权限来读取该文件。\ n \ n</v>
      </c>
      <c r="AL47" s="6" t="s">
        <v>1030</v>
      </c>
    </row>
    <row r="48" ht="15.75" hidden="1" customHeight="1">
      <c r="A48" s="1" t="s">
        <v>38</v>
      </c>
      <c r="B48" s="1" t="s">
        <v>1031</v>
      </c>
      <c r="C48" s="1" t="s">
        <v>1032</v>
      </c>
      <c r="D48" s="7" t="str">
        <f>IFERROR(__xludf.DUMMYFUNCTION("GOOGLETRANSLATE(C48, ""en"", ""ar"")"),"بيتكيرن")</f>
        <v>بيتكيرن</v>
      </c>
      <c r="E48" s="7" t="str">
        <f>IFERROR(__xludf.DUMMYFUNCTION("GOOGLETRANSLATE(C48, ""en"", ""bg"")"),"Pitcairn")</f>
        <v>Pitcairn</v>
      </c>
      <c r="F48" s="6" t="s">
        <v>132</v>
      </c>
      <c r="G48" s="7" t="str">
        <f>IFERROR(__xludf.DUMMYFUNCTION("GOOGLETRANSLATE(C48, ""en"", ""cs"")"),"Pitcairn.")</f>
        <v>Pitcairn.</v>
      </c>
      <c r="H48" s="7" t="str">
        <f>IFERROR(__xludf.DUMMYFUNCTION("GOOGLETRANSLATE(C48, ""en"", ""da"")"),"Pitcairn.")</f>
        <v>Pitcairn.</v>
      </c>
      <c r="I48" s="1" t="s">
        <v>1032</v>
      </c>
      <c r="J48" s="6" t="s">
        <v>132</v>
      </c>
      <c r="K48" s="1" t="s">
        <v>1032</v>
      </c>
      <c r="L48" s="7" t="str">
        <f>IFERROR(__xludf.DUMMYFUNCTION("GOOGLETRANSLATE(C48, ""en"", ""fi"")"),"Pitcairn")</f>
        <v>Pitcairn</v>
      </c>
      <c r="M48" s="1" t="s">
        <v>1032</v>
      </c>
      <c r="N48" s="6" t="s">
        <v>132</v>
      </c>
      <c r="O48" s="6" t="s">
        <v>132</v>
      </c>
      <c r="P48" s="1" t="s">
        <v>1032</v>
      </c>
      <c r="Q48" s="7" t="str">
        <f>IFERROR(__xludf.DUMMYFUNCTION("GOOGLETRANSLATE(C48, ""en"", ""in"")"),"Pitcairn.")</f>
        <v>Pitcairn.</v>
      </c>
      <c r="R48" s="7" t="str">
        <f>IFERROR(__xludf.DUMMYFUNCTION("GOOGLETRANSLATE(C48, ""en"", ""it"")"),"Pitcairn.")</f>
        <v>Pitcairn.</v>
      </c>
      <c r="S48" s="6" t="s">
        <v>132</v>
      </c>
      <c r="T48" s="7" t="str">
        <f>IFERROR(__xludf.DUMMYFUNCTION("GOOGLETRANSLATE(C48, ""en"", ""ja"")"),"PitCairn")</f>
        <v>PitCairn</v>
      </c>
      <c r="U48" s="7" t="str">
        <f>IFERROR(__xludf.DUMMYFUNCTION("GOOGLETRANSLATE(C48, ""en"", ""ko"")"),"핏 케어")</f>
        <v>핏 케어</v>
      </c>
      <c r="V48" s="7" t="str">
        <f>IFERROR(__xludf.DUMMYFUNCTION("GOOGLETRANSLATE(C48, ""en"", ""ms"")"),"Pitcairn.")</f>
        <v>Pitcairn.</v>
      </c>
      <c r="W48" s="7" t="str">
        <f>IFERROR(__xludf.DUMMYFUNCTION("GOOGLETRANSLATE(C48, ""en"", ""nl"")"),"Pitcairn")</f>
        <v>Pitcairn</v>
      </c>
      <c r="X48" s="7" t="str">
        <f>IFERROR(__xludf.DUMMYFUNCTION("GOOGLETRANSLATE(C48, ""en"", ""no"")"),"Pitcairn.")</f>
        <v>Pitcairn.</v>
      </c>
      <c r="Y48" s="7" t="str">
        <f>IFERROR(__xludf.DUMMYFUNCTION("GOOGLETRANSLATE(C48, ""en"", ""pl"")"),"Pitcairn.")</f>
        <v>Pitcairn.</v>
      </c>
      <c r="Z48" s="7" t="str">
        <f>IFERROR(__xludf.DUMMYFUNCTION("GOOGLETRANSLATE(C48, ""en"", ""pt"")"),"Pitcairn.")</f>
        <v>Pitcairn.</v>
      </c>
      <c r="AA48" s="7" t="str">
        <f>IFERROR(__xludf.DUMMYFUNCTION("GOOGLETRANSLATE(C48, ""en"", ""ro"")"),"Pitcairn.")</f>
        <v>Pitcairn.</v>
      </c>
      <c r="AB48" s="1" t="s">
        <v>1033</v>
      </c>
      <c r="AC48" s="7" t="str">
        <f>IFERROR(__xludf.DUMMYFUNCTION("GOOGLETRANSLATE(C48, ""en"", ""sk"")"),"Pitcairn")</f>
        <v>Pitcairn</v>
      </c>
      <c r="AD48" s="6" t="s">
        <v>132</v>
      </c>
      <c r="AE48" s="1" t="s">
        <v>1034</v>
      </c>
      <c r="AF48" s="7" t="str">
        <f>IFERROR(__xludf.DUMMYFUNCTION("GOOGLETRANSLATE(C48, ""en"", ""sv"")"),"Pitcairn")</f>
        <v>Pitcairn</v>
      </c>
      <c r="AG48" s="6" t="s">
        <v>132</v>
      </c>
      <c r="AH48" s="7" t="str">
        <f>IFERROR(__xludf.DUMMYFUNCTION("GOOGLETRANSLATE(C48, ""en"", ""tr"")"),"Pitcairn")</f>
        <v>Pitcairn</v>
      </c>
      <c r="AI48" s="6" t="s">
        <v>132</v>
      </c>
      <c r="AJ48" s="6" t="s">
        <v>132</v>
      </c>
      <c r="AK48" s="7" t="str">
        <f>IFERROR(__xludf.DUMMYFUNCTION("GOOGLETRANSLATE(C48, ""en"", ""zh"")"),"Pitcairn.")</f>
        <v>Pitcairn.</v>
      </c>
      <c r="AL48" s="6" t="s">
        <v>132</v>
      </c>
    </row>
    <row r="49" ht="15.75" customHeight="1">
      <c r="A49" s="1" t="s">
        <v>127</v>
      </c>
      <c r="B49" s="1" t="s">
        <v>1035</v>
      </c>
      <c r="C49" s="1" t="s">
        <v>1036</v>
      </c>
      <c r="D49" s="8" t="s">
        <v>1037</v>
      </c>
      <c r="E49" s="1" t="s">
        <v>1038</v>
      </c>
      <c r="F49" s="6" t="s">
        <v>132</v>
      </c>
      <c r="G49" s="1" t="s">
        <v>1038</v>
      </c>
      <c r="H49" s="1" t="s">
        <v>1039</v>
      </c>
      <c r="I49" s="1" t="s">
        <v>1036</v>
      </c>
      <c r="J49" s="6" t="s">
        <v>1038</v>
      </c>
      <c r="K49" s="1" t="s">
        <v>1038</v>
      </c>
      <c r="L49" s="1" t="s">
        <v>1038</v>
      </c>
      <c r="M49" s="1" t="s">
        <v>1038</v>
      </c>
      <c r="N49" s="6" t="s">
        <v>132</v>
      </c>
      <c r="O49" s="6" t="s">
        <v>1040</v>
      </c>
      <c r="P49" s="1" t="s">
        <v>1038</v>
      </c>
      <c r="Q49" s="1" t="s">
        <v>1041</v>
      </c>
      <c r="R49" s="1" t="s">
        <v>1038</v>
      </c>
      <c r="S49" s="10" t="s">
        <v>1042</v>
      </c>
      <c r="T49" s="1" t="s">
        <v>1038</v>
      </c>
      <c r="U49" s="1" t="s">
        <v>1043</v>
      </c>
      <c r="V49" s="1" t="s">
        <v>1044</v>
      </c>
      <c r="W49" s="1" t="s">
        <v>1045</v>
      </c>
      <c r="X49" s="1" t="s">
        <v>1046</v>
      </c>
      <c r="Y49" s="1" t="s">
        <v>1038</v>
      </c>
      <c r="Z49" s="1" t="s">
        <v>1047</v>
      </c>
      <c r="AA49" s="1" t="s">
        <v>1048</v>
      </c>
      <c r="AB49" s="1" t="s">
        <v>1049</v>
      </c>
      <c r="AC49" s="1" t="s">
        <v>1050</v>
      </c>
      <c r="AD49" s="6" t="s">
        <v>1038</v>
      </c>
      <c r="AE49" s="1" t="s">
        <v>1038</v>
      </c>
      <c r="AF49" s="1" t="s">
        <v>1046</v>
      </c>
      <c r="AG49" s="6" t="s">
        <v>1051</v>
      </c>
      <c r="AH49" s="1" t="s">
        <v>1052</v>
      </c>
      <c r="AI49" s="6" t="s">
        <v>132</v>
      </c>
      <c r="AJ49" s="6" t="s">
        <v>1053</v>
      </c>
      <c r="AK49" s="1" t="s">
        <v>1054</v>
      </c>
      <c r="AL49" s="6" t="s">
        <v>1055</v>
      </c>
    </row>
    <row r="50" ht="15.75" customHeight="1">
      <c r="A50" s="1" t="s">
        <v>127</v>
      </c>
      <c r="B50" s="1" t="s">
        <v>1056</v>
      </c>
      <c r="C50" s="1" t="s">
        <v>1057</v>
      </c>
      <c r="D50" s="8" t="s">
        <v>1058</v>
      </c>
      <c r="E50" s="1" t="s">
        <v>1059</v>
      </c>
      <c r="F50" s="6" t="s">
        <v>132</v>
      </c>
      <c r="G50" s="1" t="s">
        <v>1060</v>
      </c>
      <c r="H50" s="1" t="s">
        <v>1061</v>
      </c>
      <c r="I50" s="1" t="s">
        <v>1057</v>
      </c>
      <c r="J50" s="6" t="s">
        <v>1062</v>
      </c>
      <c r="K50" s="1" t="s">
        <v>1063</v>
      </c>
      <c r="L50" s="1" t="s">
        <v>1064</v>
      </c>
      <c r="M50" s="1" t="s">
        <v>1065</v>
      </c>
      <c r="N50" s="6" t="s">
        <v>132</v>
      </c>
      <c r="O50" s="6" t="s">
        <v>1066</v>
      </c>
      <c r="P50" s="1" t="s">
        <v>1067</v>
      </c>
      <c r="Q50" s="1" t="s">
        <v>1068</v>
      </c>
      <c r="R50" s="1" t="s">
        <v>1069</v>
      </c>
      <c r="S50" s="10" t="s">
        <v>1070</v>
      </c>
      <c r="T50" s="1" t="s">
        <v>1071</v>
      </c>
      <c r="U50" s="1" t="s">
        <v>1072</v>
      </c>
      <c r="V50" s="1" t="s">
        <v>1073</v>
      </c>
      <c r="W50" s="1" t="s">
        <v>1074</v>
      </c>
      <c r="X50" s="1" t="s">
        <v>1075</v>
      </c>
      <c r="Y50" s="1" t="s">
        <v>1076</v>
      </c>
      <c r="Z50" s="1" t="s">
        <v>1077</v>
      </c>
      <c r="AA50" s="1" t="s">
        <v>1078</v>
      </c>
      <c r="AB50" s="1" t="s">
        <v>1079</v>
      </c>
      <c r="AC50" s="1" t="s">
        <v>1080</v>
      </c>
      <c r="AD50" s="6" t="s">
        <v>1081</v>
      </c>
      <c r="AE50" s="1" t="s">
        <v>1082</v>
      </c>
      <c r="AF50" s="1" t="s">
        <v>1075</v>
      </c>
      <c r="AG50" s="6" t="s">
        <v>1083</v>
      </c>
      <c r="AH50" s="1" t="s">
        <v>1084</v>
      </c>
      <c r="AI50" s="6" t="s">
        <v>132</v>
      </c>
      <c r="AJ50" s="6" t="s">
        <v>1085</v>
      </c>
      <c r="AK50" s="1" t="s">
        <v>1086</v>
      </c>
      <c r="AL50" s="6" t="s">
        <v>132</v>
      </c>
    </row>
    <row r="51" ht="15.75" customHeight="1">
      <c r="A51" s="1" t="s">
        <v>127</v>
      </c>
      <c r="B51" s="1" t="s">
        <v>1087</v>
      </c>
      <c r="C51" s="1" t="s">
        <v>1088</v>
      </c>
      <c r="D51" s="8" t="s">
        <v>1089</v>
      </c>
      <c r="E51" s="1" t="s">
        <v>1090</v>
      </c>
      <c r="F51" s="6" t="s">
        <v>132</v>
      </c>
      <c r="G51" s="1" t="s">
        <v>1091</v>
      </c>
      <c r="H51" s="1" t="s">
        <v>1092</v>
      </c>
      <c r="I51" s="1" t="s">
        <v>1093</v>
      </c>
      <c r="J51" s="6" t="s">
        <v>1094</v>
      </c>
      <c r="K51" s="1" t="s">
        <v>1095</v>
      </c>
      <c r="L51" s="1" t="s">
        <v>1096</v>
      </c>
      <c r="M51" s="1" t="s">
        <v>1097</v>
      </c>
      <c r="N51" s="6" t="s">
        <v>132</v>
      </c>
      <c r="O51" s="6" t="s">
        <v>1098</v>
      </c>
      <c r="P51" s="1" t="s">
        <v>1099</v>
      </c>
      <c r="Q51" s="1" t="s">
        <v>1100</v>
      </c>
      <c r="R51" s="1" t="s">
        <v>1101</v>
      </c>
      <c r="S51" s="10" t="s">
        <v>1102</v>
      </c>
      <c r="T51" s="1" t="s">
        <v>1103</v>
      </c>
      <c r="U51" s="1" t="s">
        <v>1104</v>
      </c>
      <c r="V51" s="1" t="s">
        <v>1100</v>
      </c>
      <c r="W51" s="1" t="s">
        <v>1092</v>
      </c>
      <c r="X51" s="1" t="s">
        <v>1092</v>
      </c>
      <c r="Y51" s="1" t="s">
        <v>1105</v>
      </c>
      <c r="Z51" s="1" t="s">
        <v>1106</v>
      </c>
      <c r="AA51" s="1" t="s">
        <v>1107</v>
      </c>
      <c r="AB51" s="1" t="s">
        <v>1108</v>
      </c>
      <c r="AC51" s="1" t="s">
        <v>1109</v>
      </c>
      <c r="AD51" s="6" t="s">
        <v>1110</v>
      </c>
      <c r="AE51" s="1" t="s">
        <v>1110</v>
      </c>
      <c r="AF51" s="1" t="s">
        <v>1092</v>
      </c>
      <c r="AG51" s="6" t="s">
        <v>1111</v>
      </c>
      <c r="AH51" s="1" t="s">
        <v>1112</v>
      </c>
      <c r="AI51" s="6" t="s">
        <v>132</v>
      </c>
      <c r="AJ51" s="6" t="s">
        <v>1113</v>
      </c>
      <c r="AK51" s="1" t="s">
        <v>1114</v>
      </c>
      <c r="AL51" s="6" t="s">
        <v>1115</v>
      </c>
    </row>
    <row r="52" ht="15.75" hidden="1" customHeight="1">
      <c r="A52" s="1" t="s">
        <v>38</v>
      </c>
      <c r="B52" s="1" t="s">
        <v>1116</v>
      </c>
      <c r="C52" s="1" t="s">
        <v>1117</v>
      </c>
      <c r="D52" s="7" t="str">
        <f>IFERROR(__xludf.DUMMYFUNCTION("GOOGLETRANSLATE(C52, ""en"", ""ar"")"),"إظهار الإخطارات رؤساء")</f>
        <v>إظهار الإخطارات رؤساء</v>
      </c>
      <c r="E52" s="1" t="s">
        <v>1118</v>
      </c>
      <c r="F52" s="6" t="s">
        <v>1119</v>
      </c>
      <c r="G52" s="7" t="str">
        <f>IFERROR(__xludf.DUMMYFUNCTION("GOOGLETRANSLATE(C52, ""en"", ""cs"")"),"Zobrazit nápisy Heads-Up")</f>
        <v>Zobrazit nápisy Heads-Up</v>
      </c>
      <c r="H52" s="7" t="str">
        <f>IFERROR(__xludf.DUMMYFUNCTION("GOOGLETRANSLATE(C52, ""en"", ""da"")"),"Vis heads-up notifikationer")</f>
        <v>Vis heads-up notifikationer</v>
      </c>
      <c r="I52" s="1" t="s">
        <v>1120</v>
      </c>
      <c r="J52" s="6" t="s">
        <v>132</v>
      </c>
      <c r="K52" s="1" t="s">
        <v>1121</v>
      </c>
      <c r="L52" s="7" t="str">
        <f>IFERROR(__xludf.DUMMYFUNCTION("GOOGLETRANSLATE(C52, ""en"", ""fi"")"),"Näytä Heads-Up-ilmoitukset")</f>
        <v>Näytä Heads-Up-ilmoitukset</v>
      </c>
      <c r="M52" s="1" t="s">
        <v>1122</v>
      </c>
      <c r="N52" s="6" t="s">
        <v>1123</v>
      </c>
      <c r="O52" s="6" t="s">
        <v>132</v>
      </c>
      <c r="P52" s="1" t="s">
        <v>1124</v>
      </c>
      <c r="Q52" s="7" t="str">
        <f>IFERROR(__xludf.DUMMYFUNCTION("GOOGLETRANSLATE(C52, ""en"", ""in"")"),"Menunjukkan pemberitahuan heads-up")</f>
        <v>Menunjukkan pemberitahuan heads-up</v>
      </c>
      <c r="R52" s="1" t="s">
        <v>1125</v>
      </c>
      <c r="S52" s="6" t="s">
        <v>132</v>
      </c>
      <c r="T52" s="1" t="s">
        <v>1126</v>
      </c>
      <c r="U52" s="7" t="str">
        <f>IFERROR(__xludf.DUMMYFUNCTION("GOOGLETRANSLATE(C52, ""en"", ""ko"")"),"헤드 업 알림 표시")</f>
        <v>헤드 업 알림 표시</v>
      </c>
      <c r="V52" s="7" t="str">
        <f>IFERROR(__xludf.DUMMYFUNCTION("GOOGLETRANSLATE(C52, ""en"", ""ms"")"),"Tunjukkan pemberitahuan kepala")</f>
        <v>Tunjukkan pemberitahuan kepala</v>
      </c>
      <c r="W52" s="1" t="s">
        <v>1127</v>
      </c>
      <c r="X52" s="7" t="str">
        <f>IFERROR(__xludf.DUMMYFUNCTION("GOOGLETRANSLATE(C52, ""en"", ""no"")"),"Vis heads-up varsler")</f>
        <v>Vis heads-up varsler</v>
      </c>
      <c r="Y52" s="1" t="s">
        <v>1128</v>
      </c>
      <c r="Z52" s="7" t="str">
        <f>IFERROR(__xludf.DUMMYFUNCTION("GOOGLETRANSLATE(C52, ""en"", ""pt"")"),"Mostrar notificações heads-up")</f>
        <v>Mostrar notificações heads-up</v>
      </c>
      <c r="AA52" s="7" t="str">
        <f>IFERROR(__xludf.DUMMYFUNCTION("GOOGLETRANSLATE(C52, ""en"", ""ro"")"),"Afișați notificările heads-up")</f>
        <v>Afișați notificările heads-up</v>
      </c>
      <c r="AB52" s="1" t="s">
        <v>1129</v>
      </c>
      <c r="AC52" s="7" t="str">
        <f>IFERROR(__xludf.DUMMYFUNCTION("GOOGLETRANSLATE(C52, ""en"", ""sk"")"),"Zobraziť notifikácie")</f>
        <v>Zobraziť notifikácie</v>
      </c>
      <c r="AD52" s="6" t="s">
        <v>132</v>
      </c>
      <c r="AE52" s="7" t="str">
        <f>IFERROR(__xludf.DUMMYFUNCTION("GOOGLETRANSLATE(C52, ""en"", ""sr"")"),"Покажите главне обавештења")</f>
        <v>Покажите главне обавештења</v>
      </c>
      <c r="AF52" s="7" t="str">
        <f>IFERROR(__xludf.DUMMYFUNCTION("GOOGLETRANSLATE(C52, ""en"", ""sv"")"),"Visa heads-up-meddelanden")</f>
        <v>Visa heads-up-meddelanden</v>
      </c>
      <c r="AG52" s="6" t="s">
        <v>132</v>
      </c>
      <c r="AH52" s="7" t="str">
        <f>IFERROR(__xludf.DUMMYFUNCTION("GOOGLETRANSLATE(C52, ""en"", ""tr"")"),"Heads-up bildirimlerini göster")</f>
        <v>Heads-up bildirimlerini göster</v>
      </c>
      <c r="AI52" s="6" t="s">
        <v>1130</v>
      </c>
      <c r="AJ52" s="6" t="s">
        <v>132</v>
      </c>
      <c r="AK52" s="7" t="str">
        <f>IFERROR(__xludf.DUMMYFUNCTION("GOOGLETRANSLATE(C52, ""en"", ""zh"")"),"显示头部通知")</f>
        <v>显示头部通知</v>
      </c>
      <c r="AL52" s="6" t="s">
        <v>1131</v>
      </c>
    </row>
    <row r="53" ht="15.75" customHeight="1">
      <c r="A53" s="1" t="s">
        <v>127</v>
      </c>
      <c r="B53" s="1" t="s">
        <v>1132</v>
      </c>
      <c r="C53" s="1" t="s">
        <v>1133</v>
      </c>
      <c r="D53" s="8" t="s">
        <v>1134</v>
      </c>
      <c r="E53" s="1" t="s">
        <v>1135</v>
      </c>
      <c r="F53" s="6" t="s">
        <v>132</v>
      </c>
      <c r="G53" s="1" t="s">
        <v>1136</v>
      </c>
      <c r="H53" s="1" t="s">
        <v>1137</v>
      </c>
      <c r="I53" s="1" t="s">
        <v>1138</v>
      </c>
      <c r="J53" s="6" t="s">
        <v>1139</v>
      </c>
      <c r="K53" s="1" t="s">
        <v>1140</v>
      </c>
      <c r="L53" s="1" t="s">
        <v>1141</v>
      </c>
      <c r="M53" s="1" t="s">
        <v>1142</v>
      </c>
      <c r="N53" s="6" t="s">
        <v>132</v>
      </c>
      <c r="O53" s="6" t="s">
        <v>1143</v>
      </c>
      <c r="P53" s="1" t="s">
        <v>1144</v>
      </c>
      <c r="Q53" s="1" t="s">
        <v>1145</v>
      </c>
      <c r="R53" s="1" t="s">
        <v>1146</v>
      </c>
      <c r="S53" s="10" t="s">
        <v>1147</v>
      </c>
      <c r="T53" s="1" t="s">
        <v>1148</v>
      </c>
      <c r="U53" s="1" t="s">
        <v>1149</v>
      </c>
      <c r="V53" s="1" t="s">
        <v>1150</v>
      </c>
      <c r="W53" s="1" t="s">
        <v>1151</v>
      </c>
      <c r="X53" s="1" t="s">
        <v>1152</v>
      </c>
      <c r="Y53" s="1" t="s">
        <v>1153</v>
      </c>
      <c r="Z53" s="1" t="s">
        <v>1154</v>
      </c>
      <c r="AA53" s="1" t="s">
        <v>1155</v>
      </c>
      <c r="AB53" s="1" t="s">
        <v>1156</v>
      </c>
      <c r="AC53" s="1" t="s">
        <v>1157</v>
      </c>
      <c r="AD53" s="6" t="s">
        <v>1158</v>
      </c>
      <c r="AE53" s="1" t="s">
        <v>1159</v>
      </c>
      <c r="AF53" s="1" t="s">
        <v>1160</v>
      </c>
      <c r="AG53" s="6" t="s">
        <v>1161</v>
      </c>
      <c r="AH53" s="1" t="s">
        <v>1162</v>
      </c>
      <c r="AI53" s="6" t="s">
        <v>132</v>
      </c>
      <c r="AJ53" s="6" t="s">
        <v>1163</v>
      </c>
      <c r="AK53" s="1" t="s">
        <v>1164</v>
      </c>
      <c r="AL53" s="6" t="s">
        <v>132</v>
      </c>
    </row>
    <row r="54" ht="15.75" hidden="1" customHeight="1">
      <c r="A54" s="1" t="s">
        <v>38</v>
      </c>
      <c r="B54" s="1" t="s">
        <v>1165</v>
      </c>
      <c r="C54" s="1" t="s">
        <v>1166</v>
      </c>
      <c r="D54" s="8" t="s">
        <v>1167</v>
      </c>
      <c r="E54" s="1" t="s">
        <v>1168</v>
      </c>
      <c r="F54" s="6" t="s">
        <v>1169</v>
      </c>
      <c r="G54" s="7" t="str">
        <f>IFERROR(__xludf.DUMMYFUNCTION("GOOGLETRANSLATE(C54, ""en"", ""cs"")"),"Vyberte účastníky")</f>
        <v>Vyberte účastníky</v>
      </c>
      <c r="H54" s="7" t="str">
        <f>IFERROR(__xludf.DUMMYFUNCTION("GOOGLETRANSLATE(C54, ""en"", ""da"")"),"Vælg deltagere")</f>
        <v>Vælg deltagere</v>
      </c>
      <c r="I54" s="1" t="s">
        <v>1170</v>
      </c>
      <c r="J54" s="6" t="s">
        <v>132</v>
      </c>
      <c r="K54" s="1" t="s">
        <v>1171</v>
      </c>
      <c r="L54" s="7" t="str">
        <f>IFERROR(__xludf.DUMMYFUNCTION("GOOGLETRANSLATE(C54, ""en"", ""fi"")"),"Valitse osallistujat")</f>
        <v>Valitse osallistujat</v>
      </c>
      <c r="M54" s="1" t="s">
        <v>1172</v>
      </c>
      <c r="N54" s="6" t="s">
        <v>1173</v>
      </c>
      <c r="O54" s="6" t="s">
        <v>132</v>
      </c>
      <c r="P54" s="1" t="s">
        <v>1174</v>
      </c>
      <c r="Q54" s="9" t="s">
        <v>1175</v>
      </c>
      <c r="R54" s="1" t="s">
        <v>1176</v>
      </c>
      <c r="S54" s="6" t="s">
        <v>132</v>
      </c>
      <c r="T54" s="1" t="s">
        <v>1177</v>
      </c>
      <c r="U54" s="1" t="s">
        <v>1178</v>
      </c>
      <c r="V54" s="7" t="str">
        <f>IFERROR(__xludf.DUMMYFUNCTION("GOOGLETRANSLATE(C54, ""en"", ""ms"")"),"Pilih peserta")</f>
        <v>Pilih peserta</v>
      </c>
      <c r="W54" s="1" t="s">
        <v>1179</v>
      </c>
      <c r="X54" s="7" t="str">
        <f>IFERROR(__xludf.DUMMYFUNCTION("GOOGLETRANSLATE(C54, ""en"", ""no"")"),"Velg deltakere")</f>
        <v>Velg deltakere</v>
      </c>
      <c r="Y54" s="1" t="s">
        <v>1180</v>
      </c>
      <c r="Z54" s="1" t="s">
        <v>1181</v>
      </c>
      <c r="AA54" s="7" t="str">
        <f>IFERROR(__xludf.DUMMYFUNCTION("GOOGLETRANSLATE(C54, ""en"", ""ro"")"),"Alegeți participanții")</f>
        <v>Alegeți participanții</v>
      </c>
      <c r="AB54" s="1" t="s">
        <v>1182</v>
      </c>
      <c r="AC54" s="7" t="str">
        <f>IFERROR(__xludf.DUMMYFUNCTION("GOOGLETRANSLATE(C54, ""en"", ""sk"")"),"Vyberte si účastníkov")</f>
        <v>Vyberte si účastníkov</v>
      </c>
      <c r="AD54" s="6" t="s">
        <v>132</v>
      </c>
      <c r="AE54" s="1" t="s">
        <v>1183</v>
      </c>
      <c r="AF54" s="1" t="s">
        <v>1184</v>
      </c>
      <c r="AG54" s="6" t="s">
        <v>132</v>
      </c>
      <c r="AH54" s="7" t="str">
        <f>IFERROR(__xludf.DUMMYFUNCTION("GOOGLETRANSLATE(C54, ""en"", ""tr"")"),"Katılımcıları seçin")</f>
        <v>Katılımcıları seçin</v>
      </c>
      <c r="AI54" s="6" t="s">
        <v>1185</v>
      </c>
      <c r="AJ54" s="6" t="s">
        <v>132</v>
      </c>
      <c r="AK54" s="7" t="str">
        <f>IFERROR(__xludf.DUMMYFUNCTION("GOOGLETRANSLATE(C54, ""en"", ""zh"")"),"选择参与者")</f>
        <v>选择参与者</v>
      </c>
      <c r="AL54" s="6" t="s">
        <v>1186</v>
      </c>
    </row>
    <row r="55" ht="15.75" hidden="1" customHeight="1">
      <c r="A55" s="1" t="s">
        <v>38</v>
      </c>
      <c r="B55" s="1" t="s">
        <v>1187</v>
      </c>
      <c r="C55" s="1" t="s">
        <v>1188</v>
      </c>
      <c r="D55" s="8" t="s">
        <v>1189</v>
      </c>
      <c r="E55" s="1" t="s">
        <v>1190</v>
      </c>
      <c r="F55" s="6" t="s">
        <v>1191</v>
      </c>
      <c r="G55" s="7" t="str">
        <f>IFERROR(__xludf.DUMMYFUNCTION("GOOGLETRANSLATE(C55, ""en"", ""cs"")"),"Vyjednávání TLS selhalo")</f>
        <v>Vyjednávání TLS selhalo</v>
      </c>
      <c r="H55" s="7" t="str">
        <f>IFERROR(__xludf.DUMMYFUNCTION("GOOGLETRANSLATE(C55, ""en"", ""da"")"),"TLS-forhandlinger mislykkedes")</f>
        <v>TLS-forhandlinger mislykkedes</v>
      </c>
      <c r="I55" s="1" t="s">
        <v>1192</v>
      </c>
      <c r="J55" s="6" t="s">
        <v>132</v>
      </c>
      <c r="K55" s="1" t="s">
        <v>1193</v>
      </c>
      <c r="L55" s="7" t="str">
        <f>IFERROR(__xludf.DUMMYFUNCTION("GOOGLETRANSLATE(C55, ""en"", ""fi"")"),"TLS-neuvottelu epäonnistui")</f>
        <v>TLS-neuvottelu epäonnistui</v>
      </c>
      <c r="M55" s="1" t="s">
        <v>1194</v>
      </c>
      <c r="N55" s="6" t="s">
        <v>1195</v>
      </c>
      <c r="O55" s="6" t="s">
        <v>132</v>
      </c>
      <c r="P55" s="1" t="s">
        <v>1196</v>
      </c>
      <c r="Q55" s="7" t="str">
        <f>IFERROR(__xludf.DUMMYFUNCTION("GOOGLETRANSLATE(C55, ""en"", ""in"")"),"Negosiasi TLS gagal")</f>
        <v>Negosiasi TLS gagal</v>
      </c>
      <c r="R55" s="1" t="s">
        <v>1197</v>
      </c>
      <c r="S55" s="6" t="s">
        <v>132</v>
      </c>
      <c r="T55" s="1" t="s">
        <v>1198</v>
      </c>
      <c r="U55" s="7" t="str">
        <f>IFERROR(__xludf.DUMMYFUNCTION("GOOGLETRANSLATE(C55, ""en"", ""ko"")"),"TLS 협상이 실패했습니다")</f>
        <v>TLS 협상이 실패했습니다</v>
      </c>
      <c r="V55" s="7" t="str">
        <f>IFERROR(__xludf.DUMMYFUNCTION("GOOGLETRANSLATE(C55, ""en"", ""ms"")"),"Rundingan TLS gagal")</f>
        <v>Rundingan TLS gagal</v>
      </c>
      <c r="W55" s="1" t="s">
        <v>1199</v>
      </c>
      <c r="X55" s="7" t="str">
        <f>IFERROR(__xludf.DUMMYFUNCTION("GOOGLETRANSLATE(C55, ""en"", ""no"")"),"TLS-forhandling mislyktes")</f>
        <v>TLS-forhandling mislyktes</v>
      </c>
      <c r="Y55" s="1" t="s">
        <v>1200</v>
      </c>
      <c r="Z55" s="7" t="str">
        <f>IFERROR(__xludf.DUMMYFUNCTION("GOOGLETRANSLATE(C55, ""en"", ""pt"")"),"Negociação TLS falhou")</f>
        <v>Negociação TLS falhou</v>
      </c>
      <c r="AA55" s="7" t="str">
        <f>IFERROR(__xludf.DUMMYFUNCTION("GOOGLETRANSLATE(C55, ""en"", ""ro"")"),"Negocierea TLS a eșuat")</f>
        <v>Negocierea TLS a eșuat</v>
      </c>
      <c r="AB55" s="1" t="s">
        <v>1201</v>
      </c>
      <c r="AC55" s="7" t="str">
        <f>IFERROR(__xludf.DUMMYFUNCTION("GOOGLETRANSLATE(C55, ""en"", ""sk"")"),"TLS rokovania zlyhalo")</f>
        <v>TLS rokovania zlyhalo</v>
      </c>
      <c r="AD55" s="6" t="s">
        <v>132</v>
      </c>
      <c r="AE55" s="1" t="s">
        <v>1202</v>
      </c>
      <c r="AF55" s="7" t="str">
        <f>IFERROR(__xludf.DUMMYFUNCTION("GOOGLETRANSLATE(C55, ""en"", ""sv"")"),"TLS-förhandling misslyckades")</f>
        <v>TLS-förhandling misslyckades</v>
      </c>
      <c r="AG55" s="6" t="s">
        <v>132</v>
      </c>
      <c r="AH55" s="7" t="str">
        <f>IFERROR(__xludf.DUMMYFUNCTION("GOOGLETRANSLATE(C55, ""en"", ""tr"")"),"TLS müzakere başarısız oldu")</f>
        <v>TLS müzakere başarısız oldu</v>
      </c>
      <c r="AI55" s="6" t="s">
        <v>1203</v>
      </c>
      <c r="AJ55" s="6" t="s">
        <v>132</v>
      </c>
      <c r="AK55" s="7" t="str">
        <f>IFERROR(__xludf.DUMMYFUNCTION("GOOGLETRANSLATE(C55, ""en"", ""zh"")"),"TLS协商失败了")</f>
        <v>TLS协商失败了</v>
      </c>
      <c r="AL55" s="6" t="s">
        <v>132</v>
      </c>
    </row>
    <row r="56" ht="15.75" customHeight="1">
      <c r="A56" s="1" t="s">
        <v>127</v>
      </c>
      <c r="B56" s="1" t="s">
        <v>1204</v>
      </c>
      <c r="C56" s="1" t="s">
        <v>1205</v>
      </c>
      <c r="D56" s="8" t="s">
        <v>1206</v>
      </c>
      <c r="E56" s="1" t="s">
        <v>1207</v>
      </c>
      <c r="F56" s="6" t="s">
        <v>132</v>
      </c>
      <c r="G56" s="1" t="s">
        <v>1208</v>
      </c>
      <c r="H56" s="1" t="s">
        <v>1209</v>
      </c>
      <c r="I56" s="1" t="s">
        <v>1210</v>
      </c>
      <c r="J56" s="6" t="s">
        <v>1211</v>
      </c>
      <c r="K56" s="1" t="s">
        <v>1212</v>
      </c>
      <c r="L56" s="1" t="s">
        <v>1213</v>
      </c>
      <c r="M56" s="1" t="s">
        <v>1214</v>
      </c>
      <c r="N56" s="6" t="s">
        <v>132</v>
      </c>
      <c r="O56" s="6" t="s">
        <v>1215</v>
      </c>
      <c r="P56" s="1" t="s">
        <v>1216</v>
      </c>
      <c r="Q56" s="1" t="s">
        <v>1217</v>
      </c>
      <c r="R56" s="1" t="s">
        <v>1218</v>
      </c>
      <c r="S56" s="10" t="s">
        <v>1219</v>
      </c>
      <c r="T56" s="1" t="s">
        <v>1220</v>
      </c>
      <c r="U56" s="1" t="s">
        <v>1221</v>
      </c>
      <c r="V56" s="1" t="s">
        <v>1217</v>
      </c>
      <c r="W56" s="1" t="s">
        <v>1205</v>
      </c>
      <c r="X56" s="1" t="s">
        <v>1209</v>
      </c>
      <c r="Y56" s="1" t="s">
        <v>1222</v>
      </c>
      <c r="Z56" s="1" t="s">
        <v>1223</v>
      </c>
      <c r="AA56" s="1" t="s">
        <v>1224</v>
      </c>
      <c r="AB56" s="1" t="s">
        <v>1225</v>
      </c>
      <c r="AC56" s="1" t="s">
        <v>1226</v>
      </c>
      <c r="AD56" s="6" t="s">
        <v>1227</v>
      </c>
      <c r="AE56" s="1" t="s">
        <v>1228</v>
      </c>
      <c r="AF56" s="1" t="s">
        <v>1229</v>
      </c>
      <c r="AG56" s="6" t="s">
        <v>1230</v>
      </c>
      <c r="AH56" s="1" t="s">
        <v>1231</v>
      </c>
      <c r="AI56" s="6" t="s">
        <v>132</v>
      </c>
      <c r="AJ56" s="6" t="s">
        <v>1232</v>
      </c>
      <c r="AK56" s="1" t="s">
        <v>1233</v>
      </c>
      <c r="AL56" s="6" t="s">
        <v>1234</v>
      </c>
    </row>
    <row r="57" ht="15.75" customHeight="1">
      <c r="A57" s="1" t="s">
        <v>127</v>
      </c>
      <c r="B57" s="1" t="s">
        <v>1235</v>
      </c>
      <c r="C57" s="1" t="s">
        <v>1236</v>
      </c>
      <c r="D57" s="8" t="s">
        <v>1237</v>
      </c>
      <c r="E57" s="1" t="s">
        <v>1238</v>
      </c>
      <c r="F57" s="6" t="s">
        <v>132</v>
      </c>
      <c r="G57" s="1" t="s">
        <v>1239</v>
      </c>
      <c r="H57" s="1" t="s">
        <v>1240</v>
      </c>
      <c r="I57" s="1" t="s">
        <v>1241</v>
      </c>
      <c r="J57" s="6" t="s">
        <v>1242</v>
      </c>
      <c r="K57" s="1" t="s">
        <v>1243</v>
      </c>
      <c r="L57" s="1" t="s">
        <v>1244</v>
      </c>
      <c r="M57" s="1" t="s">
        <v>1245</v>
      </c>
      <c r="N57" s="6" t="s">
        <v>132</v>
      </c>
      <c r="O57" s="6" t="s">
        <v>1246</v>
      </c>
      <c r="P57" s="1" t="s">
        <v>1247</v>
      </c>
      <c r="Q57" s="1" t="s">
        <v>1248</v>
      </c>
      <c r="R57" s="1" t="s">
        <v>1249</v>
      </c>
      <c r="S57" s="10" t="s">
        <v>1250</v>
      </c>
      <c r="T57" s="1" t="s">
        <v>1251</v>
      </c>
      <c r="U57" s="1" t="s">
        <v>1252</v>
      </c>
      <c r="V57" s="1" t="s">
        <v>1248</v>
      </c>
      <c r="W57" s="1" t="s">
        <v>1253</v>
      </c>
      <c r="X57" s="1" t="s">
        <v>1254</v>
      </c>
      <c r="Y57" s="1" t="s">
        <v>1255</v>
      </c>
      <c r="Z57" s="1" t="s">
        <v>1256</v>
      </c>
      <c r="AA57" s="1" t="s">
        <v>1257</v>
      </c>
      <c r="AB57" s="1" t="s">
        <v>1258</v>
      </c>
      <c r="AC57" s="1" t="s">
        <v>1259</v>
      </c>
      <c r="AD57" s="6" t="s">
        <v>1260</v>
      </c>
      <c r="AE57" s="1" t="s">
        <v>1261</v>
      </c>
      <c r="AF57" s="1" t="s">
        <v>1262</v>
      </c>
      <c r="AG57" s="6" t="s">
        <v>1263</v>
      </c>
      <c r="AH57" s="1" t="s">
        <v>1264</v>
      </c>
      <c r="AI57" s="6" t="s">
        <v>132</v>
      </c>
      <c r="AJ57" s="6" t="s">
        <v>1265</v>
      </c>
      <c r="AK57" s="1" t="s">
        <v>1266</v>
      </c>
      <c r="AL57" s="6" t="s">
        <v>1267</v>
      </c>
    </row>
    <row r="58" ht="15.75" customHeight="1">
      <c r="A58" s="1" t="s">
        <v>127</v>
      </c>
      <c r="B58" s="1" t="s">
        <v>1268</v>
      </c>
      <c r="C58" s="1" t="s">
        <v>1269</v>
      </c>
      <c r="D58" s="8" t="s">
        <v>1270</v>
      </c>
      <c r="E58" s="1" t="s">
        <v>1271</v>
      </c>
      <c r="F58" s="6" t="s">
        <v>132</v>
      </c>
      <c r="G58" s="1" t="s">
        <v>1272</v>
      </c>
      <c r="H58" s="1" t="s">
        <v>1273</v>
      </c>
      <c r="I58" s="1" t="s">
        <v>1274</v>
      </c>
      <c r="J58" s="6" t="s">
        <v>1275</v>
      </c>
      <c r="K58" s="1" t="s">
        <v>1276</v>
      </c>
      <c r="L58" s="1" t="s">
        <v>1277</v>
      </c>
      <c r="M58" s="1" t="s">
        <v>1278</v>
      </c>
      <c r="N58" s="6" t="s">
        <v>132</v>
      </c>
      <c r="O58" s="6" t="s">
        <v>1279</v>
      </c>
      <c r="P58" s="1" t="s">
        <v>1280</v>
      </c>
      <c r="Q58" s="1" t="s">
        <v>1281</v>
      </c>
      <c r="R58" s="1" t="s">
        <v>1282</v>
      </c>
      <c r="S58" s="10" t="s">
        <v>1283</v>
      </c>
      <c r="T58" s="1" t="s">
        <v>1284</v>
      </c>
      <c r="U58" s="1" t="s">
        <v>1285</v>
      </c>
      <c r="V58" s="1" t="s">
        <v>1286</v>
      </c>
      <c r="W58" s="1" t="s">
        <v>1287</v>
      </c>
      <c r="X58" s="1" t="s">
        <v>1288</v>
      </c>
      <c r="Y58" s="1" t="s">
        <v>1289</v>
      </c>
      <c r="Z58" s="1" t="s">
        <v>1290</v>
      </c>
      <c r="AA58" s="1" t="s">
        <v>1291</v>
      </c>
      <c r="AB58" s="1" t="s">
        <v>1292</v>
      </c>
      <c r="AC58" s="1" t="s">
        <v>1293</v>
      </c>
      <c r="AD58" s="6" t="s">
        <v>1294</v>
      </c>
      <c r="AE58" s="1" t="s">
        <v>1295</v>
      </c>
      <c r="AF58" s="1" t="s">
        <v>1296</v>
      </c>
      <c r="AG58" s="6" t="s">
        <v>1297</v>
      </c>
      <c r="AH58" s="1" t="s">
        <v>1298</v>
      </c>
      <c r="AI58" s="6" t="s">
        <v>132</v>
      </c>
      <c r="AJ58" s="6" t="s">
        <v>1299</v>
      </c>
      <c r="AK58" s="1" t="s">
        <v>1300</v>
      </c>
      <c r="AL58" s="6" t="s">
        <v>1301</v>
      </c>
    </row>
    <row r="59" ht="15.75" customHeight="1">
      <c r="A59" s="1" t="s">
        <v>127</v>
      </c>
      <c r="B59" s="1" t="s">
        <v>1302</v>
      </c>
      <c r="C59" s="1" t="s">
        <v>1303</v>
      </c>
      <c r="D59" s="8" t="s">
        <v>1304</v>
      </c>
      <c r="E59" s="1" t="s">
        <v>1305</v>
      </c>
      <c r="F59" s="6" t="s">
        <v>132</v>
      </c>
      <c r="G59" s="1" t="s">
        <v>1306</v>
      </c>
      <c r="H59" s="1" t="s">
        <v>1307</v>
      </c>
      <c r="I59" s="1" t="s">
        <v>1308</v>
      </c>
      <c r="J59" s="6" t="s">
        <v>1309</v>
      </c>
      <c r="K59" s="1" t="s">
        <v>1310</v>
      </c>
      <c r="L59" s="1" t="s">
        <v>1311</v>
      </c>
      <c r="M59" s="1" t="s">
        <v>1312</v>
      </c>
      <c r="N59" s="6" t="s">
        <v>132</v>
      </c>
      <c r="O59" s="6" t="s">
        <v>1313</v>
      </c>
      <c r="P59" s="1" t="s">
        <v>1314</v>
      </c>
      <c r="Q59" s="1" t="s">
        <v>1315</v>
      </c>
      <c r="R59" s="1" t="s">
        <v>1316</v>
      </c>
      <c r="S59" s="10" t="s">
        <v>1317</v>
      </c>
      <c r="T59" s="1" t="s">
        <v>1318</v>
      </c>
      <c r="U59" s="1" t="s">
        <v>1319</v>
      </c>
      <c r="V59" s="1" t="s">
        <v>1320</v>
      </c>
      <c r="W59" s="1" t="s">
        <v>1321</v>
      </c>
      <c r="X59" s="1" t="s">
        <v>1322</v>
      </c>
      <c r="Y59" s="1" t="s">
        <v>1323</v>
      </c>
      <c r="Z59" s="1" t="s">
        <v>1324</v>
      </c>
      <c r="AA59" s="1" t="s">
        <v>1325</v>
      </c>
      <c r="AB59" s="1" t="s">
        <v>1326</v>
      </c>
      <c r="AC59" s="1" t="s">
        <v>1327</v>
      </c>
      <c r="AD59" s="6" t="s">
        <v>1328</v>
      </c>
      <c r="AE59" s="1" t="s">
        <v>1329</v>
      </c>
      <c r="AF59" s="1" t="s">
        <v>1330</v>
      </c>
      <c r="AG59" s="6" t="s">
        <v>1331</v>
      </c>
      <c r="AH59" s="1" t="s">
        <v>1332</v>
      </c>
      <c r="AI59" s="6" t="s">
        <v>132</v>
      </c>
      <c r="AJ59" s="6" t="s">
        <v>1333</v>
      </c>
      <c r="AK59" s="1" t="s">
        <v>1334</v>
      </c>
      <c r="AL59" s="6" t="s">
        <v>132</v>
      </c>
    </row>
    <row r="60" ht="15.75" customHeight="1">
      <c r="A60" s="1" t="s">
        <v>127</v>
      </c>
      <c r="B60" s="1" t="s">
        <v>1335</v>
      </c>
      <c r="C60" s="1" t="s">
        <v>1336</v>
      </c>
      <c r="D60" s="8" t="s">
        <v>1337</v>
      </c>
      <c r="E60" s="1" t="s">
        <v>1338</v>
      </c>
      <c r="F60" s="6" t="s">
        <v>132</v>
      </c>
      <c r="G60" s="1" t="s">
        <v>1339</v>
      </c>
      <c r="H60" s="1" t="s">
        <v>1340</v>
      </c>
      <c r="I60" s="1" t="s">
        <v>1341</v>
      </c>
      <c r="J60" s="6" t="s">
        <v>1342</v>
      </c>
      <c r="K60" s="1" t="s">
        <v>1343</v>
      </c>
      <c r="L60" s="1" t="s">
        <v>1344</v>
      </c>
      <c r="M60" s="1" t="s">
        <v>1345</v>
      </c>
      <c r="N60" s="6" t="s">
        <v>132</v>
      </c>
      <c r="O60" s="6" t="s">
        <v>1346</v>
      </c>
      <c r="P60" s="1" t="s">
        <v>1347</v>
      </c>
      <c r="Q60" s="1" t="s">
        <v>1348</v>
      </c>
      <c r="R60" s="1" t="s">
        <v>1349</v>
      </c>
      <c r="S60" s="10" t="s">
        <v>1350</v>
      </c>
      <c r="T60" s="1" t="s">
        <v>1351</v>
      </c>
      <c r="U60" s="1" t="s">
        <v>1352</v>
      </c>
      <c r="V60" s="1" t="s">
        <v>1353</v>
      </c>
      <c r="W60" s="1" t="s">
        <v>1354</v>
      </c>
      <c r="X60" s="1" t="s">
        <v>1355</v>
      </c>
      <c r="Y60" s="1" t="s">
        <v>1356</v>
      </c>
      <c r="Z60" s="1" t="s">
        <v>1357</v>
      </c>
      <c r="AA60" s="1" t="s">
        <v>1358</v>
      </c>
      <c r="AB60" s="1" t="s">
        <v>1359</v>
      </c>
      <c r="AC60" s="1" t="s">
        <v>1360</v>
      </c>
      <c r="AD60" s="6" t="s">
        <v>1361</v>
      </c>
      <c r="AE60" s="1" t="s">
        <v>1362</v>
      </c>
      <c r="AF60" s="1" t="s">
        <v>1363</v>
      </c>
      <c r="AG60" s="6" t="s">
        <v>1364</v>
      </c>
      <c r="AH60" s="1" t="s">
        <v>1365</v>
      </c>
      <c r="AI60" s="6" t="s">
        <v>132</v>
      </c>
      <c r="AJ60" s="6" t="s">
        <v>1366</v>
      </c>
      <c r="AK60" s="1" t="s">
        <v>1367</v>
      </c>
      <c r="AL60" s="6" t="s">
        <v>132</v>
      </c>
    </row>
    <row r="61" ht="15.75" hidden="1" customHeight="1">
      <c r="A61" s="1" t="s">
        <v>38</v>
      </c>
      <c r="B61" s="1" t="s">
        <v>1368</v>
      </c>
      <c r="C61" s="1" t="s">
        <v>1369</v>
      </c>
      <c r="D61" s="8" t="s">
        <v>1370</v>
      </c>
      <c r="E61" s="1" t="s">
        <v>1371</v>
      </c>
      <c r="F61" s="6" t="s">
        <v>1372</v>
      </c>
      <c r="G61" s="7" t="str">
        <f>IFERROR(__xludf.DUMMYFUNCTION("GOOGLETRANSLATE(C61, ""en"", ""cs"")"),"Nemohl uložit avatar na disk")</f>
        <v>Nemohl uložit avatar na disk</v>
      </c>
      <c r="H61" s="7" t="str">
        <f>IFERROR(__xludf.DUMMYFUNCTION("GOOGLETRANSLATE(C61, ""en"", ""da"")"),"Kunne ikke gemme avatar til disk")</f>
        <v>Kunne ikke gemme avatar til disk</v>
      </c>
      <c r="I61" s="1" t="s">
        <v>1373</v>
      </c>
      <c r="J61" s="6" t="s">
        <v>132</v>
      </c>
      <c r="K61" s="1" t="s">
        <v>1374</v>
      </c>
      <c r="L61" s="7" t="str">
        <f>IFERROR(__xludf.DUMMYFUNCTION("GOOGLETRANSLATE(C61, ""en"", ""fi"")"),"Avatar ei voi tallentaa levylle")</f>
        <v>Avatar ei voi tallentaa levylle</v>
      </c>
      <c r="M61" s="1" t="s">
        <v>1375</v>
      </c>
      <c r="N61" s="6" t="s">
        <v>1376</v>
      </c>
      <c r="O61" s="6" t="s">
        <v>132</v>
      </c>
      <c r="P61" s="1" t="s">
        <v>1377</v>
      </c>
      <c r="Q61" s="9" t="s">
        <v>1378</v>
      </c>
      <c r="R61" s="1" t="s">
        <v>1379</v>
      </c>
      <c r="S61" s="6" t="s">
        <v>132</v>
      </c>
      <c r="T61" s="1" t="s">
        <v>1380</v>
      </c>
      <c r="U61" s="1" t="s">
        <v>1381</v>
      </c>
      <c r="V61" s="7" t="str">
        <f>IFERROR(__xludf.DUMMYFUNCTION("GOOGLETRANSLATE(C61, ""en"", ""ms"")"),"Tidak dapat menyelamatkan avatar ke cakera")</f>
        <v>Tidak dapat menyelamatkan avatar ke cakera</v>
      </c>
      <c r="W61" s="1" t="s">
        <v>1382</v>
      </c>
      <c r="X61" s="7" t="str">
        <f>IFERROR(__xludf.DUMMYFUNCTION("GOOGLETRANSLATE(C61, ""en"", ""no"")"),"Kunne ikke lagre avatar til disk")</f>
        <v>Kunne ikke lagre avatar til disk</v>
      </c>
      <c r="Y61" s="1" t="s">
        <v>1383</v>
      </c>
      <c r="Z61" s="1" t="s">
        <v>1384</v>
      </c>
      <c r="AA61" s="7" t="str">
        <f>IFERROR(__xludf.DUMMYFUNCTION("GOOGLETRANSLATE(C61, ""en"", ""ro"")"),"Nu a putut salva Avatar la disc")</f>
        <v>Nu a putut salva Avatar la disc</v>
      </c>
      <c r="AB61" s="1" t="s">
        <v>1385</v>
      </c>
      <c r="AC61" s="1" t="s">
        <v>1386</v>
      </c>
      <c r="AD61" s="6" t="s">
        <v>132</v>
      </c>
      <c r="AE61" s="1" t="s">
        <v>1387</v>
      </c>
      <c r="AF61" s="1" t="s">
        <v>1388</v>
      </c>
      <c r="AG61" s="6" t="s">
        <v>132</v>
      </c>
      <c r="AH61" s="7" t="str">
        <f>IFERROR(__xludf.DUMMYFUNCTION("GOOGLETRANSLATE(C61, ""en"", ""tr"")"),"Avatarı diske kaydedemedi")</f>
        <v>Avatarı diske kaydedemedi</v>
      </c>
      <c r="AI61" s="6" t="s">
        <v>1389</v>
      </c>
      <c r="AJ61" s="6" t="s">
        <v>1390</v>
      </c>
      <c r="AK61" s="7" t="str">
        <f>IFERROR(__xludf.DUMMYFUNCTION("GOOGLETRANSLATE(C61, ""en"", ""zh"")"),"无法将化身保存到磁盘")</f>
        <v>无法将化身保存到磁盘</v>
      </c>
      <c r="AL61" s="6" t="s">
        <v>1391</v>
      </c>
    </row>
    <row r="62" ht="15.75" customHeight="1">
      <c r="A62" s="1" t="s">
        <v>127</v>
      </c>
      <c r="B62" s="1" t="s">
        <v>1392</v>
      </c>
      <c r="C62" s="1" t="s">
        <v>1393</v>
      </c>
      <c r="D62" s="8" t="s">
        <v>1394</v>
      </c>
      <c r="E62" s="1" t="s">
        <v>1395</v>
      </c>
      <c r="F62" s="6" t="s">
        <v>132</v>
      </c>
      <c r="G62" s="1" t="s">
        <v>1396</v>
      </c>
      <c r="H62" s="1" t="s">
        <v>1397</v>
      </c>
      <c r="I62" s="1" t="s">
        <v>1398</v>
      </c>
      <c r="J62" s="6" t="s">
        <v>1399</v>
      </c>
      <c r="K62" s="1" t="s">
        <v>1400</v>
      </c>
      <c r="L62" s="1" t="s">
        <v>1401</v>
      </c>
      <c r="M62" s="1" t="s">
        <v>1402</v>
      </c>
      <c r="N62" s="6" t="s">
        <v>132</v>
      </c>
      <c r="O62" s="6" t="s">
        <v>1403</v>
      </c>
      <c r="P62" s="1" t="s">
        <v>1404</v>
      </c>
      <c r="Q62" s="1" t="s">
        <v>1405</v>
      </c>
      <c r="R62" s="1" t="s">
        <v>1406</v>
      </c>
      <c r="S62" s="10" t="s">
        <v>1407</v>
      </c>
      <c r="T62" s="1" t="s">
        <v>1408</v>
      </c>
      <c r="U62" s="1" t="s">
        <v>1409</v>
      </c>
      <c r="V62" s="1" t="s">
        <v>1405</v>
      </c>
      <c r="W62" s="1" t="s">
        <v>1410</v>
      </c>
      <c r="X62" s="1" t="s">
        <v>1411</v>
      </c>
      <c r="Y62" s="1" t="s">
        <v>1412</v>
      </c>
      <c r="Z62" s="1" t="s">
        <v>1413</v>
      </c>
      <c r="AA62" s="1" t="s">
        <v>1414</v>
      </c>
      <c r="AB62" s="1" t="s">
        <v>1415</v>
      </c>
      <c r="AC62" s="1" t="s">
        <v>1416</v>
      </c>
      <c r="AD62" s="6" t="s">
        <v>1417</v>
      </c>
      <c r="AE62" s="1" t="s">
        <v>1418</v>
      </c>
      <c r="AF62" s="1" t="s">
        <v>1419</v>
      </c>
      <c r="AG62" s="6" t="s">
        <v>1420</v>
      </c>
      <c r="AH62" s="1" t="s">
        <v>1421</v>
      </c>
      <c r="AI62" s="6" t="s">
        <v>132</v>
      </c>
      <c r="AJ62" s="6" t="s">
        <v>1422</v>
      </c>
      <c r="AK62" s="1" t="s">
        <v>1423</v>
      </c>
      <c r="AL62" s="6" t="s">
        <v>1424</v>
      </c>
    </row>
    <row r="63" ht="15.75" customHeight="1">
      <c r="A63" s="1" t="s">
        <v>127</v>
      </c>
      <c r="B63" s="1" t="s">
        <v>1425</v>
      </c>
      <c r="C63" s="1" t="s">
        <v>1426</v>
      </c>
      <c r="D63" s="8" t="s">
        <v>1427</v>
      </c>
      <c r="E63" s="1" t="s">
        <v>1428</v>
      </c>
      <c r="F63" s="6" t="s">
        <v>132</v>
      </c>
      <c r="G63" s="1" t="s">
        <v>1429</v>
      </c>
      <c r="H63" s="1" t="s">
        <v>1430</v>
      </c>
      <c r="I63" s="1" t="s">
        <v>1426</v>
      </c>
      <c r="J63" s="6" t="s">
        <v>1431</v>
      </c>
      <c r="K63" s="1" t="s">
        <v>1432</v>
      </c>
      <c r="L63" s="1" t="s">
        <v>1433</v>
      </c>
      <c r="M63" s="1" t="s">
        <v>1426</v>
      </c>
      <c r="N63" s="6" t="s">
        <v>132</v>
      </c>
      <c r="O63" s="6" t="s">
        <v>1434</v>
      </c>
      <c r="P63" s="1" t="s">
        <v>1435</v>
      </c>
      <c r="Q63" s="1" t="s">
        <v>1436</v>
      </c>
      <c r="R63" s="1" t="s">
        <v>1437</v>
      </c>
      <c r="S63" s="10" t="s">
        <v>1438</v>
      </c>
      <c r="T63" s="1" t="s">
        <v>1439</v>
      </c>
      <c r="U63" s="1" t="s">
        <v>1440</v>
      </c>
      <c r="V63" s="1" t="s">
        <v>1441</v>
      </c>
      <c r="W63" s="1" t="s">
        <v>1442</v>
      </c>
      <c r="X63" s="1" t="s">
        <v>1443</v>
      </c>
      <c r="Y63" s="1" t="s">
        <v>1444</v>
      </c>
      <c r="Z63" s="1" t="s">
        <v>1445</v>
      </c>
      <c r="AA63" s="1" t="s">
        <v>1446</v>
      </c>
      <c r="AB63" s="1" t="s">
        <v>1447</v>
      </c>
      <c r="AC63" s="1" t="s">
        <v>1448</v>
      </c>
      <c r="AD63" s="6" t="s">
        <v>1449</v>
      </c>
      <c r="AE63" s="1" t="s">
        <v>1450</v>
      </c>
      <c r="AF63" s="1" t="s">
        <v>1451</v>
      </c>
      <c r="AG63" s="6" t="s">
        <v>1452</v>
      </c>
      <c r="AH63" s="1" t="s">
        <v>1453</v>
      </c>
      <c r="AI63" s="6" t="s">
        <v>132</v>
      </c>
      <c r="AJ63" s="6" t="s">
        <v>1454</v>
      </c>
      <c r="AK63" s="1" t="s">
        <v>1455</v>
      </c>
      <c r="AL63" s="6" t="s">
        <v>1456</v>
      </c>
    </row>
    <row r="64" ht="15.75" hidden="1" customHeight="1">
      <c r="A64" s="1" t="s">
        <v>38</v>
      </c>
      <c r="B64" s="1" t="s">
        <v>1457</v>
      </c>
      <c r="C64" s="1" t="s">
        <v>1458</v>
      </c>
      <c r="D64" s="8" t="s">
        <v>1459</v>
      </c>
      <c r="E64" s="1" t="s">
        <v>1460</v>
      </c>
      <c r="F64" s="6" t="s">
        <v>1461</v>
      </c>
      <c r="G64" s="7" t="str">
        <f>IFERROR(__xludf.DUMMYFUNCTION("GOOGLETRANSLATE(C64, ""en"", ""cs"")"),"Dočasně zakázáno")</f>
        <v>Dočasně zakázáno</v>
      </c>
      <c r="H64" s="7" t="str">
        <f>IFERROR(__xludf.DUMMYFUNCTION("GOOGLETRANSLATE(C64, ""en"", ""da"")"),"Midlertidigt deaktiveret")</f>
        <v>Midlertidigt deaktiveret</v>
      </c>
      <c r="I64" s="1" t="s">
        <v>1462</v>
      </c>
      <c r="J64" s="6" t="s">
        <v>132</v>
      </c>
      <c r="K64" s="1" t="s">
        <v>1463</v>
      </c>
      <c r="L64" s="7" t="str">
        <f>IFERROR(__xludf.DUMMYFUNCTION("GOOGLETRANSLATE(C64, ""en"", ""fi"")"),"Väliaikaisesti poistettu käytöstä")</f>
        <v>Väliaikaisesti poistettu käytöstä</v>
      </c>
      <c r="M64" s="1" t="s">
        <v>1464</v>
      </c>
      <c r="N64" s="6" t="s">
        <v>1465</v>
      </c>
      <c r="O64" s="6" t="s">
        <v>132</v>
      </c>
      <c r="P64" s="1" t="s">
        <v>1466</v>
      </c>
      <c r="Q64" s="9" t="s">
        <v>1467</v>
      </c>
      <c r="R64" s="1" t="s">
        <v>1468</v>
      </c>
      <c r="S64" s="6" t="s">
        <v>132</v>
      </c>
      <c r="T64" s="1" t="s">
        <v>1469</v>
      </c>
      <c r="U64" s="1" t="s">
        <v>1470</v>
      </c>
      <c r="V64" s="7" t="str">
        <f>IFERROR(__xludf.DUMMYFUNCTION("GOOGLETRANSLATE(C64, ""en"", ""ms"")"),"Sementara dilumpuhkan")</f>
        <v>Sementara dilumpuhkan</v>
      </c>
      <c r="W64" s="1" t="s">
        <v>1471</v>
      </c>
      <c r="X64" s="7" t="str">
        <f>IFERROR(__xludf.DUMMYFUNCTION("GOOGLETRANSLATE(C64, ""en"", ""no"")"),"Midlertidig deaktivert")</f>
        <v>Midlertidig deaktivert</v>
      </c>
      <c r="Y64" s="1" t="s">
        <v>1472</v>
      </c>
      <c r="Z64" s="1" t="s">
        <v>1473</v>
      </c>
      <c r="AA64" s="7" t="str">
        <f>IFERROR(__xludf.DUMMYFUNCTION("GOOGLETRANSLATE(C64, ""en"", ""ro"")"),"Temporar dezactivat")</f>
        <v>Temporar dezactivat</v>
      </c>
      <c r="AB64" s="1" t="s">
        <v>1474</v>
      </c>
      <c r="AC64" s="1" t="s">
        <v>1475</v>
      </c>
      <c r="AD64" s="6" t="s">
        <v>132</v>
      </c>
      <c r="AE64" s="1" t="s">
        <v>1476</v>
      </c>
      <c r="AF64" s="1" t="s">
        <v>1477</v>
      </c>
      <c r="AG64" s="6" t="s">
        <v>132</v>
      </c>
      <c r="AH64" s="7" t="str">
        <f>IFERROR(__xludf.DUMMYFUNCTION("GOOGLETRANSLATE(C64, ""en"", ""tr"")"),"Geçici olarak engelli")</f>
        <v>Geçici olarak engelli</v>
      </c>
      <c r="AI64" s="6" t="s">
        <v>1478</v>
      </c>
      <c r="AJ64" s="6" t="s">
        <v>1479</v>
      </c>
      <c r="AK64" s="7" t="str">
        <f>IFERROR(__xludf.DUMMYFUNCTION("GOOGLETRANSLATE(C64, ""en"", ""zh"")"),"暂时禁用")</f>
        <v>暂时禁用</v>
      </c>
      <c r="AL64" s="6" t="s">
        <v>1480</v>
      </c>
    </row>
    <row r="65" ht="15.75" hidden="1" customHeight="1">
      <c r="A65" s="1" t="s">
        <v>38</v>
      </c>
      <c r="B65" s="1" t="s">
        <v>1481</v>
      </c>
      <c r="C65" s="1" t="s">
        <v>1482</v>
      </c>
      <c r="D65" s="7" t="str">
        <f>IFERROR(__xludf.DUMMYFUNCTION("GOOGLETRANSLATE(C65, ""en"", ""ar"")"),"أيسلندا")</f>
        <v>أيسلندا</v>
      </c>
      <c r="E65" s="7" t="str">
        <f>IFERROR(__xludf.DUMMYFUNCTION("GOOGLETRANSLATE(C65, ""en"", ""bg"")"),"Исландия")</f>
        <v>Исландия</v>
      </c>
      <c r="F65" s="6" t="s">
        <v>132</v>
      </c>
      <c r="G65" s="7" t="str">
        <f>IFERROR(__xludf.DUMMYFUNCTION("GOOGLETRANSLATE(C65, ""en"", ""cs"")"),"Island")</f>
        <v>Island</v>
      </c>
      <c r="H65" s="7" t="str">
        <f>IFERROR(__xludf.DUMMYFUNCTION("GOOGLETRANSLATE(C65, ""en"", ""da"")"),"Island.")</f>
        <v>Island.</v>
      </c>
      <c r="I65" s="1" t="s">
        <v>1483</v>
      </c>
      <c r="J65" s="6" t="s">
        <v>132</v>
      </c>
      <c r="K65" s="1" t="s">
        <v>1484</v>
      </c>
      <c r="L65" s="7" t="str">
        <f>IFERROR(__xludf.DUMMYFUNCTION("GOOGLETRANSLATE(C65, ""en"", ""fi"")"),"Islanti")</f>
        <v>Islanti</v>
      </c>
      <c r="M65" s="1" t="s">
        <v>1485</v>
      </c>
      <c r="N65" s="6" t="s">
        <v>132</v>
      </c>
      <c r="O65" s="6" t="s">
        <v>132</v>
      </c>
      <c r="P65" s="1" t="s">
        <v>1482</v>
      </c>
      <c r="Q65" s="7" t="str">
        <f>IFERROR(__xludf.DUMMYFUNCTION("GOOGLETRANSLATE(C65, ""en"", ""in"")"),"Islandia")</f>
        <v>Islandia</v>
      </c>
      <c r="R65" s="7" t="str">
        <f>IFERROR(__xludf.DUMMYFUNCTION("GOOGLETRANSLATE(C65, ""en"", ""it"")"),"Islanda")</f>
        <v>Islanda</v>
      </c>
      <c r="S65" s="6" t="s">
        <v>132</v>
      </c>
      <c r="T65" s="7" t="str">
        <f>IFERROR(__xludf.DUMMYFUNCTION("GOOGLETRANSLATE(C65, ""en"", ""ja"")"),"アイスランド")</f>
        <v>アイスランド</v>
      </c>
      <c r="U65" s="7" t="str">
        <f>IFERROR(__xludf.DUMMYFUNCTION("GOOGLETRANSLATE(C65, ""en"", ""ko"")"),"아이슬란드")</f>
        <v>아이슬란드</v>
      </c>
      <c r="V65" s="7" t="str">
        <f>IFERROR(__xludf.DUMMYFUNCTION("GOOGLETRANSLATE(C65, ""en"", ""ms"")"),"Iceland")</f>
        <v>Iceland</v>
      </c>
      <c r="W65" s="7" t="str">
        <f>IFERROR(__xludf.DUMMYFUNCTION("GOOGLETRANSLATE(C65, ""en"", ""nl"")"),"IJsland")</f>
        <v>IJsland</v>
      </c>
      <c r="X65" s="7" t="str">
        <f>IFERROR(__xludf.DUMMYFUNCTION("GOOGLETRANSLATE(C65, ""en"", ""no"")"),"Island")</f>
        <v>Island</v>
      </c>
      <c r="Y65" s="7" t="str">
        <f>IFERROR(__xludf.DUMMYFUNCTION("GOOGLETRANSLATE(C65, ""en"", ""pl"")"),"Islandia")</f>
        <v>Islandia</v>
      </c>
      <c r="Z65" s="7" t="str">
        <f>IFERROR(__xludf.DUMMYFUNCTION("GOOGLETRANSLATE(C65, ""en"", ""pt"")"),"Islândia")</f>
        <v>Islândia</v>
      </c>
      <c r="AA65" s="7" t="str">
        <f>IFERROR(__xludf.DUMMYFUNCTION("GOOGLETRANSLATE(C65, ""en"", ""ro"")"),"Islanda")</f>
        <v>Islanda</v>
      </c>
      <c r="AB65" s="1" t="s">
        <v>1486</v>
      </c>
      <c r="AC65" s="7" t="str">
        <f>IFERROR(__xludf.DUMMYFUNCTION("GOOGLETRANSLATE(C65, ""en"", ""sk"")"),"Island")</f>
        <v>Island</v>
      </c>
      <c r="AD65" s="6" t="s">
        <v>132</v>
      </c>
      <c r="AE65" s="1" t="s">
        <v>1483</v>
      </c>
      <c r="AF65" s="7" t="str">
        <f>IFERROR(__xludf.DUMMYFUNCTION("GOOGLETRANSLATE(C65, ""en"", ""sv"")"),"Island")</f>
        <v>Island</v>
      </c>
      <c r="AG65" s="6" t="s">
        <v>132</v>
      </c>
      <c r="AH65" s="7" t="str">
        <f>IFERROR(__xludf.DUMMYFUNCTION("GOOGLETRANSLATE(C65, ""en"", ""tr"")"),"İzlanda")</f>
        <v>İzlanda</v>
      </c>
      <c r="AI65" s="6" t="s">
        <v>132</v>
      </c>
      <c r="AJ65" s="6" t="s">
        <v>132</v>
      </c>
      <c r="AK65" s="7" t="str">
        <f>IFERROR(__xludf.DUMMYFUNCTION("GOOGLETRANSLATE(C65, ""en"", ""zh"")"),"冰岛")</f>
        <v>冰岛</v>
      </c>
      <c r="AL65" s="6" t="s">
        <v>132</v>
      </c>
    </row>
    <row r="66" ht="15.75" hidden="1" customHeight="1">
      <c r="A66" s="1" t="s">
        <v>38</v>
      </c>
      <c r="B66" s="1" t="s">
        <v>1487</v>
      </c>
      <c r="C66" s="1" t="s">
        <v>1488</v>
      </c>
      <c r="D66" s="8" t="s">
        <v>1489</v>
      </c>
      <c r="E66" s="1" t="s">
        <v>1490</v>
      </c>
      <c r="F66" s="6" t="s">
        <v>1491</v>
      </c>
      <c r="G66" s="7" t="str">
        <f>IFERROR(__xludf.DUMMYFUNCTION("GOOGLETRANSLATE(C66, ""en"", ""cs"")"),"Chyba při převodu obrazového souboru")</f>
        <v>Chyba při převodu obrazového souboru</v>
      </c>
      <c r="H66" s="7" t="str">
        <f>IFERROR(__xludf.DUMMYFUNCTION("GOOGLETRANSLATE(C66, ""en"", ""da"")"),"Fejl under konvertering af billedfilen")</f>
        <v>Fejl under konvertering af billedfilen</v>
      </c>
      <c r="I66" s="1" t="s">
        <v>1492</v>
      </c>
      <c r="J66" s="6" t="s">
        <v>132</v>
      </c>
      <c r="K66" s="1" t="s">
        <v>1493</v>
      </c>
      <c r="L66" s="7" t="str">
        <f>IFERROR(__xludf.DUMMYFUNCTION("GOOGLETRANSLATE(C66, ""en"", ""fi"")"),"Virhe kuvatiedoston muuntamisen aikana")</f>
        <v>Virhe kuvatiedoston muuntamisen aikana</v>
      </c>
      <c r="M66" s="1" t="s">
        <v>1494</v>
      </c>
      <c r="N66" s="6" t="s">
        <v>1495</v>
      </c>
      <c r="O66" s="6" t="s">
        <v>132</v>
      </c>
      <c r="P66" s="1" t="s">
        <v>1496</v>
      </c>
      <c r="Q66" s="9" t="s">
        <v>1497</v>
      </c>
      <c r="R66" s="1" t="s">
        <v>1498</v>
      </c>
      <c r="S66" s="6" t="s">
        <v>132</v>
      </c>
      <c r="T66" s="1" t="s">
        <v>1499</v>
      </c>
      <c r="U66" s="1" t="s">
        <v>1500</v>
      </c>
      <c r="V66" s="7" t="str">
        <f>IFERROR(__xludf.DUMMYFUNCTION("GOOGLETRANSLATE(C66, ""en"", ""ms"")"),"Ralat semasa menukar fail imej")</f>
        <v>Ralat semasa menukar fail imej</v>
      </c>
      <c r="W66" s="1" t="s">
        <v>1501</v>
      </c>
      <c r="X66" s="7" t="str">
        <f>IFERROR(__xludf.DUMMYFUNCTION("GOOGLETRANSLATE(C66, ""en"", ""no"")"),"Feil ved konvertering av bildefilen")</f>
        <v>Feil ved konvertering av bildefilen</v>
      </c>
      <c r="Y66" s="1" t="s">
        <v>1502</v>
      </c>
      <c r="Z66" s="1" t="s">
        <v>1503</v>
      </c>
      <c r="AA66" s="7" t="str">
        <f>IFERROR(__xludf.DUMMYFUNCTION("GOOGLETRANSLATE(C66, ""en"", ""ro"")"),"Eroare la conversia fișierului imagine")</f>
        <v>Eroare la conversia fișierului imagine</v>
      </c>
      <c r="AB66" s="1" t="s">
        <v>1504</v>
      </c>
      <c r="AC66" s="1" t="s">
        <v>1505</v>
      </c>
      <c r="AD66" s="6" t="s">
        <v>132</v>
      </c>
      <c r="AE66" s="1" t="s">
        <v>1506</v>
      </c>
      <c r="AF66" s="1" t="s">
        <v>1507</v>
      </c>
      <c r="AG66" s="6" t="s">
        <v>132</v>
      </c>
      <c r="AH66" s="7" t="str">
        <f>IFERROR(__xludf.DUMMYFUNCTION("GOOGLETRANSLATE(C66, ""en"", ""tr"")"),"Görüntü dosyasını dönüştürürken hata oluştu")</f>
        <v>Görüntü dosyasını dönüştürürken hata oluştu</v>
      </c>
      <c r="AI66" s="6" t="s">
        <v>1508</v>
      </c>
      <c r="AJ66" s="6" t="s">
        <v>1509</v>
      </c>
      <c r="AK66" s="7" t="str">
        <f>IFERROR(__xludf.DUMMYFUNCTION("GOOGLETRANSLATE(C66, ""en"", ""zh"")"),"转换图像文件时出错")</f>
        <v>转换图像文件时出错</v>
      </c>
      <c r="AL66" s="6" t="s">
        <v>1510</v>
      </c>
    </row>
    <row r="67" ht="15.75" hidden="1" customHeight="1">
      <c r="A67" s="1" t="s">
        <v>38</v>
      </c>
      <c r="B67" s="1" t="s">
        <v>1511</v>
      </c>
      <c r="C67" s="1" t="s">
        <v>1512</v>
      </c>
      <c r="D67" s="8" t="s">
        <v>1513</v>
      </c>
      <c r="E67" s="1" t="s">
        <v>1514</v>
      </c>
      <c r="F67" s="6" t="s">
        <v>1512</v>
      </c>
      <c r="G67" s="7" t="str">
        <f>IFERROR(__xludf.DUMMYFUNCTION("GOOGLETRANSLATE(C67, ""en"", ""cs"")"),"Všeobecné")</f>
        <v>Všeobecné</v>
      </c>
      <c r="H67" s="7" t="str">
        <f>IFERROR(__xludf.DUMMYFUNCTION("GOOGLETRANSLATE(C67, ""en"", ""da"")"),"Generel")</f>
        <v>Generel</v>
      </c>
      <c r="I67" s="1" t="s">
        <v>1515</v>
      </c>
      <c r="J67" s="6" t="s">
        <v>132</v>
      </c>
      <c r="K67" s="1" t="s">
        <v>1512</v>
      </c>
      <c r="L67" s="7" t="str">
        <f>IFERROR(__xludf.DUMMYFUNCTION("GOOGLETRANSLATE(C67, ""en"", ""fi"")"),"Yleinen")</f>
        <v>Yleinen</v>
      </c>
      <c r="M67" s="1" t="s">
        <v>1516</v>
      </c>
      <c r="N67" s="6" t="s">
        <v>1517</v>
      </c>
      <c r="O67" s="6" t="s">
        <v>132</v>
      </c>
      <c r="P67" s="1" t="s">
        <v>1518</v>
      </c>
      <c r="Q67" s="9" t="s">
        <v>1519</v>
      </c>
      <c r="R67" s="1" t="s">
        <v>1520</v>
      </c>
      <c r="S67" s="6" t="s">
        <v>132</v>
      </c>
      <c r="T67" s="1" t="s">
        <v>1521</v>
      </c>
      <c r="U67" s="1" t="s">
        <v>1522</v>
      </c>
      <c r="V67" s="7" t="str">
        <f>IFERROR(__xludf.DUMMYFUNCTION("GOOGLETRANSLATE(C67, ""en"", ""ms"")"),"Am")</f>
        <v>Am</v>
      </c>
      <c r="W67" s="1" t="s">
        <v>1523</v>
      </c>
      <c r="X67" s="7" t="str">
        <f>IFERROR(__xludf.DUMMYFUNCTION("GOOGLETRANSLATE(C67, ""en"", ""no"")"),"Generell")</f>
        <v>Generell</v>
      </c>
      <c r="Y67" s="1" t="s">
        <v>1524</v>
      </c>
      <c r="Z67" s="1" t="s">
        <v>1525</v>
      </c>
      <c r="AA67" s="7" t="str">
        <f>IFERROR(__xludf.DUMMYFUNCTION("GOOGLETRANSLATE(C67, ""en"", ""ro"")"),"General")</f>
        <v>General</v>
      </c>
      <c r="AB67" s="1" t="s">
        <v>1526</v>
      </c>
      <c r="AC67" s="1" t="s">
        <v>1527</v>
      </c>
      <c r="AD67" s="6" t="s">
        <v>132</v>
      </c>
      <c r="AE67" s="1" t="s">
        <v>1528</v>
      </c>
      <c r="AF67" s="1" t="s">
        <v>1529</v>
      </c>
      <c r="AG67" s="6" t="s">
        <v>132</v>
      </c>
      <c r="AH67" s="7" t="str">
        <f>IFERROR(__xludf.DUMMYFUNCTION("GOOGLETRANSLATE(C67, ""en"", ""tr"")"),"Genel")</f>
        <v>Genel</v>
      </c>
      <c r="AI67" s="6" t="s">
        <v>1530</v>
      </c>
      <c r="AJ67" s="6" t="s">
        <v>1531</v>
      </c>
      <c r="AK67" s="7" t="str">
        <f>IFERROR(__xludf.DUMMYFUNCTION("GOOGLETRANSLATE(C67, ""en"", ""zh"")"),"一般的")</f>
        <v>一般的</v>
      </c>
      <c r="AL67" s="6" t="s">
        <v>1532</v>
      </c>
    </row>
    <row r="68" ht="15.75" customHeight="1">
      <c r="A68" s="1" t="s">
        <v>127</v>
      </c>
      <c r="B68" s="1" t="s">
        <v>1533</v>
      </c>
      <c r="C68" s="1" t="s">
        <v>1534</v>
      </c>
      <c r="D68" s="8" t="s">
        <v>1535</v>
      </c>
      <c r="E68" s="1" t="s">
        <v>1536</v>
      </c>
      <c r="F68" s="6" t="s">
        <v>132</v>
      </c>
      <c r="G68" s="1" t="s">
        <v>1537</v>
      </c>
      <c r="H68" s="1" t="s">
        <v>1538</v>
      </c>
      <c r="I68" s="1" t="s">
        <v>1539</v>
      </c>
      <c r="J68" s="6" t="s">
        <v>1540</v>
      </c>
      <c r="K68" s="1" t="s">
        <v>1541</v>
      </c>
      <c r="L68" s="1" t="s">
        <v>1542</v>
      </c>
      <c r="M68" s="1" t="s">
        <v>1543</v>
      </c>
      <c r="N68" s="6" t="s">
        <v>132</v>
      </c>
      <c r="O68" s="6" t="s">
        <v>1544</v>
      </c>
      <c r="P68" s="1" t="s">
        <v>1545</v>
      </c>
      <c r="Q68" s="1" t="s">
        <v>1546</v>
      </c>
      <c r="R68" s="1" t="s">
        <v>1547</v>
      </c>
      <c r="S68" s="10" t="s">
        <v>1548</v>
      </c>
      <c r="T68" s="1" t="s">
        <v>1549</v>
      </c>
      <c r="U68" s="1" t="s">
        <v>1550</v>
      </c>
      <c r="V68" s="1" t="s">
        <v>1551</v>
      </c>
      <c r="W68" s="1" t="s">
        <v>1552</v>
      </c>
      <c r="X68" s="1" t="s">
        <v>1553</v>
      </c>
      <c r="Y68" s="1" t="s">
        <v>1554</v>
      </c>
      <c r="Z68" s="1" t="s">
        <v>1555</v>
      </c>
      <c r="AA68" s="1" t="s">
        <v>1556</v>
      </c>
      <c r="AB68" s="1" t="s">
        <v>1557</v>
      </c>
      <c r="AC68" s="1" t="s">
        <v>1558</v>
      </c>
      <c r="AD68" s="6" t="s">
        <v>1559</v>
      </c>
      <c r="AE68" s="1" t="s">
        <v>1560</v>
      </c>
      <c r="AF68" s="1" t="s">
        <v>1561</v>
      </c>
      <c r="AG68" s="6" t="s">
        <v>1562</v>
      </c>
      <c r="AH68" s="1" t="s">
        <v>1563</v>
      </c>
      <c r="AI68" s="6" t="s">
        <v>132</v>
      </c>
      <c r="AJ68" s="6" t="s">
        <v>1564</v>
      </c>
      <c r="AK68" s="1" t="s">
        <v>1565</v>
      </c>
      <c r="AL68" s="6" t="s">
        <v>1566</v>
      </c>
    </row>
    <row r="69" ht="15.75" customHeight="1">
      <c r="A69" s="1" t="s">
        <v>127</v>
      </c>
      <c r="B69" s="1" t="s">
        <v>1567</v>
      </c>
      <c r="C69" s="1" t="s">
        <v>1568</v>
      </c>
      <c r="D69" s="8" t="s">
        <v>1569</v>
      </c>
      <c r="E69" s="1" t="s">
        <v>1570</v>
      </c>
      <c r="F69" s="6" t="s">
        <v>132</v>
      </c>
      <c r="G69" s="1" t="s">
        <v>1571</v>
      </c>
      <c r="H69" s="1" t="s">
        <v>1572</v>
      </c>
      <c r="I69" s="1" t="s">
        <v>1573</v>
      </c>
      <c r="J69" s="6" t="s">
        <v>1574</v>
      </c>
      <c r="K69" s="1" t="s">
        <v>1575</v>
      </c>
      <c r="L69" s="1" t="s">
        <v>1576</v>
      </c>
      <c r="M69" s="1" t="s">
        <v>1577</v>
      </c>
      <c r="N69" s="6" t="s">
        <v>132</v>
      </c>
      <c r="O69" s="6" t="s">
        <v>1578</v>
      </c>
      <c r="P69" s="1" t="s">
        <v>1579</v>
      </c>
      <c r="Q69" s="1" t="s">
        <v>1580</v>
      </c>
      <c r="R69" s="1" t="s">
        <v>1581</v>
      </c>
      <c r="S69" s="10" t="s">
        <v>1582</v>
      </c>
      <c r="T69" s="1" t="s">
        <v>1583</v>
      </c>
      <c r="U69" s="1" t="s">
        <v>1584</v>
      </c>
      <c r="V69" s="1" t="s">
        <v>1585</v>
      </c>
      <c r="W69" s="1" t="s">
        <v>1586</v>
      </c>
      <c r="X69" s="1" t="s">
        <v>1587</v>
      </c>
      <c r="Y69" s="1" t="s">
        <v>1588</v>
      </c>
      <c r="Z69" s="1" t="s">
        <v>1589</v>
      </c>
      <c r="AA69" s="1" t="s">
        <v>1590</v>
      </c>
      <c r="AB69" s="1" t="s">
        <v>1591</v>
      </c>
      <c r="AC69" s="1" t="s">
        <v>1592</v>
      </c>
      <c r="AD69" s="6" t="s">
        <v>1593</v>
      </c>
      <c r="AE69" s="1" t="s">
        <v>1594</v>
      </c>
      <c r="AF69" s="1" t="s">
        <v>1595</v>
      </c>
      <c r="AG69" s="6" t="s">
        <v>1596</v>
      </c>
      <c r="AH69" s="1" t="s">
        <v>1597</v>
      </c>
      <c r="AI69" s="6" t="s">
        <v>132</v>
      </c>
      <c r="AJ69" s="6" t="s">
        <v>1598</v>
      </c>
      <c r="AK69" s="1" t="s">
        <v>1583</v>
      </c>
      <c r="AL69" s="6" t="s">
        <v>1599</v>
      </c>
    </row>
    <row r="70" ht="15.75" hidden="1" customHeight="1">
      <c r="A70" s="1" t="s">
        <v>38</v>
      </c>
      <c r="B70" s="1" t="s">
        <v>1600</v>
      </c>
      <c r="C70" s="1" t="s">
        <v>1601</v>
      </c>
      <c r="D70" s="8" t="s">
        <v>1602</v>
      </c>
      <c r="E70" s="1" t="s">
        <v>1603</v>
      </c>
      <c r="F70" s="6" t="s">
        <v>1604</v>
      </c>
      <c r="G70" s="7" t="str">
        <f>IFERROR(__xludf.DUMMYFUNCTION("GOOGLETRANSLATE(C70, ""en"", ""cs"")"),"Smazat vybrané klíče")</f>
        <v>Smazat vybrané klíče</v>
      </c>
      <c r="H70" s="7" t="str">
        <f>IFERROR(__xludf.DUMMYFUNCTION("GOOGLETRANSLATE(C70, ""en"", ""da"")"),"Slet valgte tasterne")</f>
        <v>Slet valgte tasterne</v>
      </c>
      <c r="I70" s="1" t="s">
        <v>1605</v>
      </c>
      <c r="J70" s="6" t="s">
        <v>132</v>
      </c>
      <c r="K70" s="1" t="s">
        <v>1606</v>
      </c>
      <c r="L70" s="7" t="str">
        <f>IFERROR(__xludf.DUMMYFUNCTION("GOOGLETRANSLATE(C70, ""en"", ""fi"")"),"Poista valitut näppäimet")</f>
        <v>Poista valitut näppäimet</v>
      </c>
      <c r="M70" s="1" t="s">
        <v>1607</v>
      </c>
      <c r="N70" s="6" t="s">
        <v>1608</v>
      </c>
      <c r="O70" s="6" t="s">
        <v>132</v>
      </c>
      <c r="P70" s="1" t="s">
        <v>1609</v>
      </c>
      <c r="Q70" s="7" t="str">
        <f>IFERROR(__xludf.DUMMYFUNCTION("GOOGLETRANSLATE(C70, ""en"", ""in"")"),"Hapus tombol yang dipilih")</f>
        <v>Hapus tombol yang dipilih</v>
      </c>
      <c r="R70" s="1" t="s">
        <v>1610</v>
      </c>
      <c r="S70" s="6" t="s">
        <v>132</v>
      </c>
      <c r="T70" s="1" t="s">
        <v>1611</v>
      </c>
      <c r="U70" s="7" t="str">
        <f>IFERROR(__xludf.DUMMYFUNCTION("GOOGLETRANSLATE(C70, ""en"", ""ko"")"),"선택한 키를 삭제하십시오")</f>
        <v>선택한 키를 삭제하십시오</v>
      </c>
      <c r="V70" s="7" t="str">
        <f>IFERROR(__xludf.DUMMYFUNCTION("GOOGLETRANSLATE(C70, ""en"", ""ms"")"),"Padamkan kunci yang dipilih.")</f>
        <v>Padamkan kunci yang dipilih.</v>
      </c>
      <c r="W70" s="1" t="s">
        <v>1612</v>
      </c>
      <c r="X70" s="7" t="str">
        <f>IFERROR(__xludf.DUMMYFUNCTION("GOOGLETRANSLATE(C70, ""en"", ""no"")"),"Slett valgte taster")</f>
        <v>Slett valgte taster</v>
      </c>
      <c r="Y70" s="1" t="s">
        <v>1613</v>
      </c>
      <c r="Z70" s="1" t="s">
        <v>1614</v>
      </c>
      <c r="AA70" s="7" t="str">
        <f>IFERROR(__xludf.DUMMYFUNCTION("GOOGLETRANSLATE(C70, ""en"", ""ro"")"),"Ștergeți tastele selectate")</f>
        <v>Ștergeți tastele selectate</v>
      </c>
      <c r="AB70" s="1" t="s">
        <v>1615</v>
      </c>
      <c r="AC70" s="7" t="str">
        <f>IFERROR(__xludf.DUMMYFUNCTION("GOOGLETRANSLATE(C70, ""en"", ""sk"")"),"Odstrániť vybraté klávesy")</f>
        <v>Odstrániť vybraté klávesy</v>
      </c>
      <c r="AD70" s="6" t="s">
        <v>132</v>
      </c>
      <c r="AE70" s="1" t="s">
        <v>1616</v>
      </c>
      <c r="AF70" s="1" t="s">
        <v>1617</v>
      </c>
      <c r="AG70" s="6" t="s">
        <v>132</v>
      </c>
      <c r="AH70" s="7" t="str">
        <f>IFERROR(__xludf.DUMMYFUNCTION("GOOGLETRANSLATE(C70, ""en"", ""tr"")"),"Seçilen tuşları silin")</f>
        <v>Seçilen tuşları silin</v>
      </c>
      <c r="AI70" s="6" t="s">
        <v>1618</v>
      </c>
      <c r="AJ70" s="6" t="s">
        <v>132</v>
      </c>
      <c r="AK70" s="7" t="str">
        <f>IFERROR(__xludf.DUMMYFUNCTION("GOOGLETRANSLATE(C70, ""en"", ""zh"")"),"删除所选密钥")</f>
        <v>删除所选密钥</v>
      </c>
      <c r="AL70" s="6" t="s">
        <v>1619</v>
      </c>
    </row>
    <row r="71" ht="15.75" hidden="1" customHeight="1">
      <c r="A71" s="1" t="s">
        <v>38</v>
      </c>
      <c r="B71" s="1" t="s">
        <v>1620</v>
      </c>
      <c r="C71" s="1" t="s">
        <v>1621</v>
      </c>
      <c r="D71" s="8" t="s">
        <v>1622</v>
      </c>
      <c r="E71" s="1" t="s">
        <v>1623</v>
      </c>
      <c r="F71" s="6" t="s">
        <v>1624</v>
      </c>
      <c r="G71" s="7" t="str">
        <f>IFERROR(__xludf.DUMMYFUNCTION("GOOGLETRANSLATE(C71, ""en"", ""cs"")"),"Sdílet jako XMPP URI")</f>
        <v>Sdílet jako XMPP URI</v>
      </c>
      <c r="H71" s="7" t="str">
        <f>IFERROR(__xludf.DUMMYFUNCTION("GOOGLETRANSLATE(C71, ""en"", ""da"")"),"Del som XMPP URI")</f>
        <v>Del som XMPP URI</v>
      </c>
      <c r="I71" s="1" t="s">
        <v>1625</v>
      </c>
      <c r="J71" s="6" t="s">
        <v>132</v>
      </c>
      <c r="K71" s="1" t="s">
        <v>1626</v>
      </c>
      <c r="L71" s="7" t="str">
        <f>IFERROR(__xludf.DUMMYFUNCTION("GOOGLETRANSLATE(C71, ""en"", ""fi"")"),"Jaa XMPP Uri")</f>
        <v>Jaa XMPP Uri</v>
      </c>
      <c r="M71" s="1" t="s">
        <v>1627</v>
      </c>
      <c r="N71" s="6" t="s">
        <v>1628</v>
      </c>
      <c r="O71" s="6" t="s">
        <v>132</v>
      </c>
      <c r="P71" s="1" t="s">
        <v>1629</v>
      </c>
      <c r="Q71" s="7" t="str">
        <f>IFERROR(__xludf.DUMMYFUNCTION("GOOGLETRANSLATE(C71, ""en"", ""in"")"),"Bagikan sebagai XMPP URI")</f>
        <v>Bagikan sebagai XMPP URI</v>
      </c>
      <c r="R71" s="1" t="s">
        <v>1630</v>
      </c>
      <c r="S71" s="6" t="s">
        <v>132</v>
      </c>
      <c r="T71" s="1" t="s">
        <v>1631</v>
      </c>
      <c r="U71" s="1" t="s">
        <v>1632</v>
      </c>
      <c r="V71" s="7" t="str">
        <f>IFERROR(__xludf.DUMMYFUNCTION("GOOGLETRANSLATE(C71, ""en"", ""ms"")"),"Kongsi sebagai xmpp uri")</f>
        <v>Kongsi sebagai xmpp uri</v>
      </c>
      <c r="W71" s="1" t="s">
        <v>1633</v>
      </c>
      <c r="X71" s="7" t="str">
        <f>IFERROR(__xludf.DUMMYFUNCTION("GOOGLETRANSLATE(C71, ""en"", ""no"")"),"Del som XMPP URI")</f>
        <v>Del som XMPP URI</v>
      </c>
      <c r="Y71" s="1" t="s">
        <v>1634</v>
      </c>
      <c r="Z71" s="7" t="str">
        <f>IFERROR(__xludf.DUMMYFUNCTION("GOOGLETRANSLATE(C71, ""en"", ""pt"")"),"Compartilhe como uri xmpp")</f>
        <v>Compartilhe como uri xmpp</v>
      </c>
      <c r="AA71" s="7" t="str">
        <f>IFERROR(__xludf.DUMMYFUNCTION("GOOGLETRANSLATE(C71, ""en"", ""ro"")"),"Trimiteți ca URI XMPP")</f>
        <v>Trimiteți ca URI XMPP</v>
      </c>
      <c r="AB71" s="1" t="s">
        <v>1635</v>
      </c>
      <c r="AC71" s="7" t="str">
        <f>IFERROR(__xludf.DUMMYFUNCTION("GOOGLETRANSLATE(C71, ""en"", ""sk"")"),"Zdieľať ako XMPP URI")</f>
        <v>Zdieľať ako XMPP URI</v>
      </c>
      <c r="AD71" s="6" t="s">
        <v>132</v>
      </c>
      <c r="AE71" s="1" t="s">
        <v>1636</v>
      </c>
      <c r="AF71" s="1" t="s">
        <v>1637</v>
      </c>
      <c r="AG71" s="6" t="s">
        <v>132</v>
      </c>
      <c r="AH71" s="7" t="str">
        <f>IFERROR(__xludf.DUMMYFUNCTION("GOOGLETRANSLATE(C71, ""en"", ""tr"")"),"XMPP URI olarak paylaşın")</f>
        <v>XMPP URI olarak paylaşın</v>
      </c>
      <c r="AI71" s="6" t="s">
        <v>1638</v>
      </c>
      <c r="AJ71" s="6" t="s">
        <v>132</v>
      </c>
      <c r="AK71" s="7" t="str">
        <f>IFERROR(__xludf.DUMMYFUNCTION("GOOGLETRANSLATE(C71, ""en"", ""zh"")"),"分享为XMPP URI")</f>
        <v>分享为XMPP URI</v>
      </c>
      <c r="AL71" s="6" t="s">
        <v>1639</v>
      </c>
    </row>
    <row r="72" ht="15.75" hidden="1" customHeight="1">
      <c r="A72" s="1" t="s">
        <v>38</v>
      </c>
      <c r="B72" s="1" t="s">
        <v>1640</v>
      </c>
      <c r="C72" s="1" t="s">
        <v>1641</v>
      </c>
      <c r="D72" s="7" t="str">
        <f>IFERROR(__xludf.DUMMYFUNCTION("GOOGLETRANSLATE(C72, ""en"", ""ar"")"),"رسائل")</f>
        <v>رسائل</v>
      </c>
      <c r="E72" s="1" t="s">
        <v>1642</v>
      </c>
      <c r="F72" s="6" t="s">
        <v>132</v>
      </c>
      <c r="G72" s="7" t="str">
        <f>IFERROR(__xludf.DUMMYFUNCTION("GOOGLETRANSLATE(C72, ""en"", ""cs"")"),"Zprávy")</f>
        <v>Zprávy</v>
      </c>
      <c r="H72" s="7" t="str">
        <f>IFERROR(__xludf.DUMMYFUNCTION("GOOGLETRANSLATE(C72, ""en"", ""da"")"),"Beskeder")</f>
        <v>Beskeder</v>
      </c>
      <c r="I72" s="1" t="s">
        <v>1643</v>
      </c>
      <c r="J72" s="6" t="s">
        <v>132</v>
      </c>
      <c r="K72" s="1" t="s">
        <v>1644</v>
      </c>
      <c r="L72" s="7" t="str">
        <f>IFERROR(__xludf.DUMMYFUNCTION("GOOGLETRANSLATE(C72, ""en"", ""fi"")"),"Viestit")</f>
        <v>Viestit</v>
      </c>
      <c r="M72" s="1" t="s">
        <v>1641</v>
      </c>
      <c r="N72" s="6" t="s">
        <v>1645</v>
      </c>
      <c r="O72" s="6" t="s">
        <v>132</v>
      </c>
      <c r="P72" s="1" t="s">
        <v>1646</v>
      </c>
      <c r="Q72" s="7" t="str">
        <f>IFERROR(__xludf.DUMMYFUNCTION("GOOGLETRANSLATE(C72, ""en"", ""in"")"),"Pesan")</f>
        <v>Pesan</v>
      </c>
      <c r="R72" s="1" t="s">
        <v>1647</v>
      </c>
      <c r="S72" s="6" t="s">
        <v>132</v>
      </c>
      <c r="T72" s="7" t="str">
        <f>IFERROR(__xludf.DUMMYFUNCTION("GOOGLETRANSLATE(C72, ""en"", ""ja"")"),"メッセージ")</f>
        <v>メッセージ</v>
      </c>
      <c r="U72" s="7" t="str">
        <f>IFERROR(__xludf.DUMMYFUNCTION("GOOGLETRANSLATE(C72, ""en"", ""ko"")"),"메시지")</f>
        <v>메시지</v>
      </c>
      <c r="V72" s="7" t="str">
        <f>IFERROR(__xludf.DUMMYFUNCTION("GOOGLETRANSLATE(C72, ""en"", ""ms"")"),"Mesej")</f>
        <v>Mesej</v>
      </c>
      <c r="W72" s="1" t="s">
        <v>1648</v>
      </c>
      <c r="X72" s="7" t="str">
        <f>IFERROR(__xludf.DUMMYFUNCTION("GOOGLETRANSLATE(C72, ""en"", ""no"")"),"Meldinger")</f>
        <v>Meldinger</v>
      </c>
      <c r="Y72" s="1" t="s">
        <v>1649</v>
      </c>
      <c r="Z72" s="7" t="str">
        <f>IFERROR(__xludf.DUMMYFUNCTION("GOOGLETRANSLATE(C72, ""en"", ""pt"")"),"Mensagens")</f>
        <v>Mensagens</v>
      </c>
      <c r="AA72" s="7" t="str">
        <f>IFERROR(__xludf.DUMMYFUNCTION("GOOGLETRANSLATE(C72, ""en"", ""ro"")"),"Mesaje")</f>
        <v>Mesaje</v>
      </c>
      <c r="AB72" s="7" t="str">
        <f>IFERROR(__xludf.DUMMYFUNCTION("GOOGLETRANSLATE(C72, ""en"", ""ru"")"),"Сообщения")</f>
        <v>Сообщения</v>
      </c>
      <c r="AC72" s="7" t="str">
        <f>IFERROR(__xludf.DUMMYFUNCTION("GOOGLETRANSLATE(C72, ""en"", ""sk"")"),"Správa")</f>
        <v>Správa</v>
      </c>
      <c r="AD72" s="6" t="s">
        <v>132</v>
      </c>
      <c r="AE72" s="1" t="s">
        <v>1650</v>
      </c>
      <c r="AF72" s="7" t="str">
        <f>IFERROR(__xludf.DUMMYFUNCTION("GOOGLETRANSLATE(C72, ""en"", ""sv"")"),"Budskap")</f>
        <v>Budskap</v>
      </c>
      <c r="AG72" s="6" t="s">
        <v>132</v>
      </c>
      <c r="AH72" s="7" t="str">
        <f>IFERROR(__xludf.DUMMYFUNCTION("GOOGLETRANSLATE(C72, ""en"", ""tr"")"),"Mesaj")</f>
        <v>Mesaj</v>
      </c>
      <c r="AI72" s="6" t="s">
        <v>132</v>
      </c>
      <c r="AJ72" s="6" t="s">
        <v>132</v>
      </c>
      <c r="AK72" s="7" t="str">
        <f>IFERROR(__xludf.DUMMYFUNCTION("GOOGLETRANSLATE(C72, ""en"", ""zh"")"),"消息")</f>
        <v>消息</v>
      </c>
      <c r="AL72" s="6" t="s">
        <v>132</v>
      </c>
    </row>
    <row r="73" ht="15.75" customHeight="1">
      <c r="A73" s="1" t="s">
        <v>127</v>
      </c>
      <c r="B73" s="1" t="s">
        <v>1651</v>
      </c>
      <c r="C73" s="1" t="s">
        <v>1652</v>
      </c>
      <c r="D73" s="8" t="s">
        <v>1653</v>
      </c>
      <c r="E73" s="1" t="s">
        <v>1654</v>
      </c>
      <c r="F73" s="6" t="s">
        <v>132</v>
      </c>
      <c r="G73" s="1" t="s">
        <v>1655</v>
      </c>
      <c r="H73" s="1" t="s">
        <v>1656</v>
      </c>
      <c r="I73" s="1" t="s">
        <v>1657</v>
      </c>
      <c r="J73" s="6" t="s">
        <v>1658</v>
      </c>
      <c r="K73" s="1" t="s">
        <v>1659</v>
      </c>
      <c r="L73" s="1" t="s">
        <v>1660</v>
      </c>
      <c r="M73" s="1" t="s">
        <v>1661</v>
      </c>
      <c r="N73" s="6" t="s">
        <v>132</v>
      </c>
      <c r="O73" s="6" t="s">
        <v>1662</v>
      </c>
      <c r="P73" s="1" t="s">
        <v>1663</v>
      </c>
      <c r="Q73" s="1" t="s">
        <v>1664</v>
      </c>
      <c r="R73" s="1" t="s">
        <v>1665</v>
      </c>
      <c r="S73" s="10" t="s">
        <v>1666</v>
      </c>
      <c r="T73" s="1" t="s">
        <v>1667</v>
      </c>
      <c r="U73" s="1" t="s">
        <v>1668</v>
      </c>
      <c r="V73" s="1" t="s">
        <v>1669</v>
      </c>
      <c r="W73" s="1" t="s">
        <v>1652</v>
      </c>
      <c r="X73" s="1" t="s">
        <v>1670</v>
      </c>
      <c r="Y73" s="1" t="s">
        <v>1671</v>
      </c>
      <c r="Z73" s="1" t="s">
        <v>1659</v>
      </c>
      <c r="AA73" s="1" t="s">
        <v>1672</v>
      </c>
      <c r="AB73" s="1" t="s">
        <v>1673</v>
      </c>
      <c r="AC73" s="1" t="s">
        <v>1674</v>
      </c>
      <c r="AD73" s="6" t="s">
        <v>1675</v>
      </c>
      <c r="AE73" s="1" t="s">
        <v>1676</v>
      </c>
      <c r="AF73" s="1" t="s">
        <v>1677</v>
      </c>
      <c r="AG73" s="6" t="s">
        <v>1678</v>
      </c>
      <c r="AH73" s="1" t="s">
        <v>1679</v>
      </c>
      <c r="AI73" s="6" t="s">
        <v>132</v>
      </c>
      <c r="AJ73" s="6" t="s">
        <v>1680</v>
      </c>
      <c r="AK73" s="1" t="s">
        <v>1681</v>
      </c>
      <c r="AL73" s="6" t="s">
        <v>1682</v>
      </c>
    </row>
    <row r="74" ht="15.75" hidden="1" customHeight="1">
      <c r="A74" s="1" t="s">
        <v>38</v>
      </c>
      <c r="B74" s="1" t="s">
        <v>1683</v>
      </c>
      <c r="C74" s="1" t="s">
        <v>1684</v>
      </c>
      <c r="D74" s="7" t="str">
        <f>IFERROR(__xludf.DUMMYFUNCTION("GOOGLETRANSLATE(C74, ""en"", ""ar"")"),"انضم وترك دردشات المجموعة وفقا لمعلومات الانضمام التلقائي في الإشارات المرجعية الخاصة بك.")</f>
        <v>انضم وترك دردشات المجموعة وفقا لمعلومات الانضمام التلقائي في الإشارات المرجعية الخاصة بك.</v>
      </c>
      <c r="E74" s="7" t="str">
        <f>IFERROR(__xludf.DUMMYFUNCTION("GOOGLETRANSLATE(C74, ""en"", ""bg"")"),"Присъединете се и оставяйте групови разговори според флага за автоматично присъединяване в отметките си.")</f>
        <v>Присъединете се и оставяйте групови разговори според флага за автоматично присъединяване в отметките си.</v>
      </c>
      <c r="F74" s="6" t="s">
        <v>132</v>
      </c>
      <c r="G74" s="7" t="str">
        <f>IFERROR(__xludf.DUMMYFUNCTION("GOOGLETRANSLATE(C74, ""en"", ""cs"")"),"Připojte se a ponechte skupinové chaty podle vlajky automatického spojení ve vašich záložkách.")</f>
        <v>Připojte se a ponechte skupinové chaty podle vlajky automatického spojení ve vašich záložkách.</v>
      </c>
      <c r="H74" s="7" t="str">
        <f>IFERROR(__xludf.DUMMYFUNCTION("GOOGLETRANSLATE(C74, ""en"", ""da"")"),"Deltag og lad Group chats i henhold til Auto-Deltag flag i dine bogmærker.")</f>
        <v>Deltag og lad Group chats i henhold til Auto-Deltag flag i dine bogmærker.</v>
      </c>
      <c r="I74" s="7" t="str">
        <f>IFERROR(__xludf.DUMMYFUNCTION("GOOGLETRANSLATE(C74, ""en"", ""de"")"),"Verbinden Sie sich an und verlassen Sie Gruppenchats entsprechend der Auto-Anschlus-Flagge in Ihren Lesezeichen.")</f>
        <v>Verbinden Sie sich an und verlassen Sie Gruppenchats entsprechend der Auto-Anschlus-Flagge in Ihren Lesezeichen.</v>
      </c>
      <c r="J74" s="6" t="s">
        <v>132</v>
      </c>
      <c r="K74" s="7" t="str">
        <f>IFERROR(__xludf.DUMMYFUNCTION("GOOGLETRANSLATE(C74, ""en"", ""es"")"),"Únete y deja chats de grupo de acuerdo con la bandera de unirse automáticamente en sus marcadores.")</f>
        <v>Únete y deja chats de grupo de acuerdo con la bandera de unirse automáticamente en sus marcadores.</v>
      </c>
      <c r="L74" s="7" t="str">
        <f>IFERROR(__xludf.DUMMYFUNCTION("GOOGLETRANSLATE(C74, ""en"", ""fi"")"),"Liity ja jätä ryhmäkeskusteluja kirjanmerkkeihin automaattisesti liittyvän lipun mukaan.")</f>
        <v>Liity ja jätä ryhmäkeskusteluja kirjanmerkkeihin automaattisesti liittyvän lipun mukaan.</v>
      </c>
      <c r="M74" s="7" t="str">
        <f>IFERROR(__xludf.DUMMYFUNCTION("GOOGLETRANSLATE(C74, ""en"", ""fr"")"),"Inscrivez-vous et laissez des chats de groupe en fonction du drapeau de la jointure automatique dans vos favoris.")</f>
        <v>Inscrivez-vous et laissez des chats de groupe en fonction du drapeau de la jointure automatique dans vos favoris.</v>
      </c>
      <c r="N74" s="6" t="s">
        <v>132</v>
      </c>
      <c r="O74" s="6" t="s">
        <v>132</v>
      </c>
      <c r="P74" s="7" t="str">
        <f>IFERROR(__xludf.DUMMYFUNCTION("GOOGLETRANSLATE(C74, ""en"", ""hu"")"),"Csatlakozzon és hagyja el a csoportos beszélgetéseket az automatikus csatlakozású zászló szerint a könyvjelzőkben.")</f>
        <v>Csatlakozzon és hagyja el a csoportos beszélgetéseket az automatikus csatlakozású zászló szerint a könyvjelzőkben.</v>
      </c>
      <c r="Q74" s="7" t="str">
        <f>IFERROR(__xludf.DUMMYFUNCTION("GOOGLETRANSLATE(C74, ""en"", ""in"")"),"Bergabunglah dan tinggalkan obrolan grup sesuai dengan bendera bergabung otomatis di bookmark Anda.")</f>
        <v>Bergabunglah dan tinggalkan obrolan grup sesuai dengan bendera bergabung otomatis di bookmark Anda.</v>
      </c>
      <c r="R74" s="7" t="str">
        <f>IFERROR(__xludf.DUMMYFUNCTION("GOOGLETRANSLATE(C74, ""en"", ""it"")"),"Iscriviti e lascia chiacchierare le chiacchiere in base alla bandiera Auto-Join nei tuoi segnalibri.")</f>
        <v>Iscriviti e lascia chiacchierare le chiacchiere in base alla bandiera Auto-Join nei tuoi segnalibri.</v>
      </c>
      <c r="S74" s="6" t="s">
        <v>132</v>
      </c>
      <c r="T74" s="7" t="str">
        <f>IFERROR(__xludf.DUMMYFUNCTION("GOOGLETRANSLATE(C74, ""en"", ""ja"")"),"ブックマークの自動結合フラグに従ってグループチャットを参加させてまとめる。")</f>
        <v>ブックマークの自動結合フラグに従ってグループチャットを参加させてまとめる。</v>
      </c>
      <c r="U74" s="7" t="str">
        <f>IFERROR(__xludf.DUMMYFUNCTION("GOOGLETRANSLATE(C74, ""en"", ""ko"")"),"북마크의 자동 조인 플래그에 따라 그룹 채팅을 가입하고 둡니다.")</f>
        <v>북마크의 자동 조인 플래그에 따라 그룹 채팅을 가입하고 둡니다.</v>
      </c>
      <c r="V74" s="7" t="str">
        <f>IFERROR(__xludf.DUMMYFUNCTION("GOOGLETRANSLATE(C74, ""en"", ""ms"")"),"Sertai dan meninggalkan sembang kumpulan mengikut bendera Auto-Sertai dalam penanda buku anda.")</f>
        <v>Sertai dan meninggalkan sembang kumpulan mengikut bendera Auto-Sertai dalam penanda buku anda.</v>
      </c>
      <c r="W74" s="7" t="str">
        <f>IFERROR(__xludf.DUMMYFUNCTION("GOOGLETRANSLATE(C74, ""en"", ""nl"")"),"Word lid en verlaat Group Chats volgens Auto-Join-vlag in uw bladwijzers.")</f>
        <v>Word lid en verlaat Group Chats volgens Auto-Join-vlag in uw bladwijzers.</v>
      </c>
      <c r="X74" s="7" t="str">
        <f>IFERROR(__xludf.DUMMYFUNCTION("GOOGLETRANSLATE(C74, ""en"", ""no"")"),"Bli med og la gruppekobling i henhold til Auto-Blieklokker i bokmerkene dine.")</f>
        <v>Bli med og la gruppekobling i henhold til Auto-Blieklokker i bokmerkene dine.</v>
      </c>
      <c r="Y74" s="7" t="str">
        <f>IFERROR(__xludf.DUMMYFUNCTION("GOOGLETRANSLATE(C74, ""en"", ""pl"")"),"Dołącz i zostaw rozmowy grupowe zgodnie z flagą Auto-Dołącz w zakładkach.")</f>
        <v>Dołącz i zostaw rozmowy grupowe zgodnie z flagą Auto-Dołącz w zakładkach.</v>
      </c>
      <c r="Z74" s="7" t="str">
        <f>IFERROR(__xludf.DUMMYFUNCTION("GOOGLETRANSLATE(C74, ""en"", ""pt"")"),"Junte-se e deixe os bate-papos em grupo de acordo com a bandeira de junção automática em seus favoritos.")</f>
        <v>Junte-se e deixe os bate-papos em grupo de acordo com a bandeira de junção automática em seus favoritos.</v>
      </c>
      <c r="AA74" s="7" t="str">
        <f>IFERROR(__xludf.DUMMYFUNCTION("GOOGLETRANSLATE(C74, ""en"", ""ro"")"),"Alăturați-vă și lăsați chat-urile de grup în funcție de semnalul auto-îmbinare în marcajele dvs.")</f>
        <v>Alăturați-vă și lăsați chat-urile de grup în funcție de semnalul auto-îmbinare în marcajele dvs.</v>
      </c>
      <c r="AB74" s="7" t="str">
        <f>IFERROR(__xludf.DUMMYFUNCTION("GOOGLETRANSLATE(C74, ""en"", ""ru"")"),"Присоединяйтесь и оставьте групповые чаты в соответствии с флагом Auto-join в закладках.")</f>
        <v>Присоединяйтесь и оставьте групповые чаты в соответствии с флагом Auto-join в закладках.</v>
      </c>
      <c r="AC74" s="7" t="str">
        <f>IFERROR(__xludf.DUMMYFUNCTION("GOOGLETRANSLATE(C74, ""en"", ""sk"")"),"Pripojte sa a opustíte skupinové chaty podľa príznaku automatického pripojenia v záložkách.")</f>
        <v>Pripojte sa a opustíte skupinové chaty podľa príznaku automatického pripojenia v záložkách.</v>
      </c>
      <c r="AD74" s="6" t="s">
        <v>132</v>
      </c>
      <c r="AE74" s="7" t="str">
        <f>IFERROR(__xludf.DUMMYFUNCTION("GOOGLETRANSLATE(C74, ""en"", ""sr"")"),"Придружите се и оставите групне разговоре према аутоматском заставу у ознакама.")</f>
        <v>Придружите се и оставите групне разговоре према аутоматском заставу у ознакама.</v>
      </c>
      <c r="AF74" s="7" t="str">
        <f>IFERROR(__xludf.DUMMYFUNCTION("GOOGLETRANSLATE(C74, ""en"", ""sv"")"),"Gå med och lämna gruppchattar enligt Auto-Bliong Flag i dina bokmärken.")</f>
        <v>Gå med och lämna gruppchattar enligt Auto-Bliong Flag i dina bokmärken.</v>
      </c>
      <c r="AG74" s="6" t="s">
        <v>132</v>
      </c>
      <c r="AH74" s="7" t="str">
        <f>IFERROR(__xludf.DUMMYFUNCTION("GOOGLETRANSLATE(C74, ""en"", ""tr"")"),"Yer imlerinizdeki Auto-Join bayrağına göre grup sohbetlerine katılın ve bırakın.")</f>
        <v>Yer imlerinizdeki Auto-Join bayrağına göre grup sohbetlerine katılın ve bırakın.</v>
      </c>
      <c r="AI74" s="6" t="s">
        <v>132</v>
      </c>
      <c r="AJ74" s="6" t="s">
        <v>132</v>
      </c>
      <c r="AK74" s="7" t="str">
        <f>IFERROR(__xludf.DUMMYFUNCTION("GOOGLETRANSLATE(C74, ""en"", ""zh"")"),"根据书签中的自动加入标志加入并留下小组聊天。")</f>
        <v>根据书签中的自动加入标志加入并留下小组聊天。</v>
      </c>
      <c r="AL74" s="6" t="s">
        <v>132</v>
      </c>
    </row>
    <row r="75" ht="15.75" hidden="1" customHeight="1">
      <c r="A75" s="1" t="s">
        <v>38</v>
      </c>
      <c r="B75" s="1" t="s">
        <v>1685</v>
      </c>
      <c r="C75" s="1" t="s">
        <v>1686</v>
      </c>
      <c r="D75" s="8" t="s">
        <v>1687</v>
      </c>
      <c r="E75" s="1" t="s">
        <v>1688</v>
      </c>
      <c r="F75" s="6" t="s">
        <v>1689</v>
      </c>
      <c r="G75" s="7" t="str">
        <f>IFERROR(__xludf.DUMMYFUNCTION("GOOGLETRANSLATE(C75, ""en"", ""cs"")"),"Chráněné aplikace")</f>
        <v>Chráněné aplikace</v>
      </c>
      <c r="H75" s="7" t="str">
        <f>IFERROR(__xludf.DUMMYFUNCTION("GOOGLETRANSLATE(C75, ""en"", ""da"")"),"Beskyttede apps.")</f>
        <v>Beskyttede apps.</v>
      </c>
      <c r="I75" s="1" t="s">
        <v>1690</v>
      </c>
      <c r="J75" s="6" t="s">
        <v>132</v>
      </c>
      <c r="K75" s="1" t="s">
        <v>1691</v>
      </c>
      <c r="L75" s="7" t="str">
        <f>IFERROR(__xludf.DUMMYFUNCTION("GOOGLETRANSLATE(C75, ""en"", ""fi"")"),"Suojatut sovellukset")</f>
        <v>Suojatut sovellukset</v>
      </c>
      <c r="M75" s="1" t="s">
        <v>1692</v>
      </c>
      <c r="N75" s="6" t="s">
        <v>1693</v>
      </c>
      <c r="O75" s="6" t="s">
        <v>132</v>
      </c>
      <c r="P75" s="1" t="s">
        <v>1694</v>
      </c>
      <c r="Q75" s="7" t="str">
        <f>IFERROR(__xludf.DUMMYFUNCTION("GOOGLETRANSLATE(C75, ""en"", ""in"")"),"Aplikasi yang dilindungi")</f>
        <v>Aplikasi yang dilindungi</v>
      </c>
      <c r="R75" s="1" t="s">
        <v>1695</v>
      </c>
      <c r="S75" s="6" t="s">
        <v>132</v>
      </c>
      <c r="T75" s="7" t="str">
        <f>IFERROR(__xludf.DUMMYFUNCTION("GOOGLETRANSLATE(C75, ""en"", ""ja"")"),"保護されたアプリ")</f>
        <v>保護されたアプリ</v>
      </c>
      <c r="U75" s="7" t="str">
        <f>IFERROR(__xludf.DUMMYFUNCTION("GOOGLETRANSLATE(C75, ""en"", ""ko"")"),"보호 된 앱")</f>
        <v>보호 된 앱</v>
      </c>
      <c r="V75" s="7" t="str">
        <f>IFERROR(__xludf.DUMMYFUNCTION("GOOGLETRANSLATE(C75, ""en"", ""ms"")"),"Aplikasi yang dilindungi.")</f>
        <v>Aplikasi yang dilindungi.</v>
      </c>
      <c r="W75" s="1" t="s">
        <v>1696</v>
      </c>
      <c r="X75" s="7" t="str">
        <f>IFERROR(__xludf.DUMMYFUNCTION("GOOGLETRANSLATE(C75, ""en"", ""no"")"),"Beskyttede apper")</f>
        <v>Beskyttede apper</v>
      </c>
      <c r="Y75" s="1" t="s">
        <v>1697</v>
      </c>
      <c r="Z75" s="7" t="str">
        <f>IFERROR(__xludf.DUMMYFUNCTION("GOOGLETRANSLATE(C75, ""en"", ""pt"")"),"Aplicativos protegidos")</f>
        <v>Aplicativos protegidos</v>
      </c>
      <c r="AA75" s="7" t="str">
        <f>IFERROR(__xludf.DUMMYFUNCTION("GOOGLETRANSLATE(C75, ""en"", ""ro"")"),"Aplicații protejate")</f>
        <v>Aplicații protejate</v>
      </c>
      <c r="AB75" s="7" t="str">
        <f>IFERROR(__xludf.DUMMYFUNCTION("GOOGLETRANSLATE(C75, ""en"", ""ru"")"),"Защищенные приложения")</f>
        <v>Защищенные приложения</v>
      </c>
      <c r="AC75" s="7" t="str">
        <f>IFERROR(__xludf.DUMMYFUNCTION("GOOGLETRANSLATE(C75, ""en"", ""sk"")"),"Chránené aplikácie")</f>
        <v>Chránené aplikácie</v>
      </c>
      <c r="AD75" s="6" t="s">
        <v>132</v>
      </c>
      <c r="AE75" s="7" t="str">
        <f>IFERROR(__xludf.DUMMYFUNCTION("GOOGLETRANSLATE(C75, ""en"", ""sr"")"),"Заштићене апликације")</f>
        <v>Заштићене апликације</v>
      </c>
      <c r="AF75" s="7" t="str">
        <f>IFERROR(__xludf.DUMMYFUNCTION("GOOGLETRANSLATE(C75, ""en"", ""sv"")"),"Skyddade appar")</f>
        <v>Skyddade appar</v>
      </c>
      <c r="AG75" s="6" t="s">
        <v>132</v>
      </c>
      <c r="AH75" s="7" t="str">
        <f>IFERROR(__xludf.DUMMYFUNCTION("GOOGLETRANSLATE(C75, ""en"", ""tr"")"),"Korumalı Uygulamalar")</f>
        <v>Korumalı Uygulamalar</v>
      </c>
      <c r="AI75" s="6" t="s">
        <v>132</v>
      </c>
      <c r="AJ75" s="6" t="s">
        <v>132</v>
      </c>
      <c r="AK75" s="7" t="str">
        <f>IFERROR(__xludf.DUMMYFUNCTION("GOOGLETRANSLATE(C75, ""en"", ""zh"")"),"受保护的应用程序")</f>
        <v>受保护的应用程序</v>
      </c>
      <c r="AL75" s="6" t="s">
        <v>132</v>
      </c>
    </row>
    <row r="76" ht="15.75" customHeight="1">
      <c r="A76" s="1" t="s">
        <v>127</v>
      </c>
      <c r="B76" s="1" t="s">
        <v>1698</v>
      </c>
      <c r="C76" s="1" t="s">
        <v>1699</v>
      </c>
      <c r="D76" s="8" t="s">
        <v>1700</v>
      </c>
      <c r="E76" s="1" t="s">
        <v>1701</v>
      </c>
      <c r="F76" s="6" t="s">
        <v>132</v>
      </c>
      <c r="G76" s="1" t="s">
        <v>1699</v>
      </c>
      <c r="H76" s="1" t="s">
        <v>1699</v>
      </c>
      <c r="I76" s="1" t="s">
        <v>1699</v>
      </c>
      <c r="J76" s="6" t="s">
        <v>1702</v>
      </c>
      <c r="K76" s="1" t="s">
        <v>1703</v>
      </c>
      <c r="L76" s="1" t="s">
        <v>1704</v>
      </c>
      <c r="M76" s="1" t="s">
        <v>1705</v>
      </c>
      <c r="N76" s="6" t="s">
        <v>132</v>
      </c>
      <c r="O76" s="6" t="s">
        <v>1706</v>
      </c>
      <c r="P76" s="1" t="s">
        <v>1707</v>
      </c>
      <c r="Q76" s="1" t="s">
        <v>1708</v>
      </c>
      <c r="R76" s="1" t="s">
        <v>1699</v>
      </c>
      <c r="S76" s="10" t="s">
        <v>1709</v>
      </c>
      <c r="T76" s="1" t="s">
        <v>1710</v>
      </c>
      <c r="U76" s="1" t="s">
        <v>1711</v>
      </c>
      <c r="V76" s="1" t="s">
        <v>1708</v>
      </c>
      <c r="W76" s="1" t="s">
        <v>1699</v>
      </c>
      <c r="X76" s="1" t="s">
        <v>1712</v>
      </c>
      <c r="Y76" s="1" t="s">
        <v>1713</v>
      </c>
      <c r="Z76" s="1" t="s">
        <v>1703</v>
      </c>
      <c r="AA76" s="1" t="s">
        <v>1699</v>
      </c>
      <c r="AB76" s="1" t="s">
        <v>1701</v>
      </c>
      <c r="AC76" s="1" t="s">
        <v>1699</v>
      </c>
      <c r="AD76" s="6" t="s">
        <v>1714</v>
      </c>
      <c r="AE76" s="1" t="s">
        <v>1699</v>
      </c>
      <c r="AF76" s="1" t="s">
        <v>1712</v>
      </c>
      <c r="AG76" s="6" t="s">
        <v>1715</v>
      </c>
      <c r="AH76" s="1" t="s">
        <v>1716</v>
      </c>
      <c r="AI76" s="6" t="s">
        <v>132</v>
      </c>
      <c r="AJ76" s="6" t="s">
        <v>1717</v>
      </c>
      <c r="AK76" s="1" t="s">
        <v>1718</v>
      </c>
      <c r="AL76" s="6" t="s">
        <v>1719</v>
      </c>
    </row>
    <row r="77" ht="15.75" hidden="1" customHeight="1">
      <c r="A77" s="1" t="s">
        <v>38</v>
      </c>
      <c r="B77" s="1" t="s">
        <v>1720</v>
      </c>
      <c r="C77" s="1" t="s">
        <v>1721</v>
      </c>
      <c r="D77" s="8" t="s">
        <v>1722</v>
      </c>
      <c r="E77" s="1" t="s">
        <v>1723</v>
      </c>
      <c r="F77" s="6" t="s">
        <v>1724</v>
      </c>
      <c r="G77" s="7" t="str">
        <f>IFERROR(__xludf.DUMMYFUNCTION("GOOGLETRANSLATE(C77, ""en"", ""cs"")"),"Server odmítl vaši publikaci")</f>
        <v>Server odmítl vaši publikaci</v>
      </c>
      <c r="H77" s="7" t="str">
        <f>IFERROR(__xludf.DUMMYFUNCTION("GOOGLETRANSLATE(C77, ""en"", ""da"")"),"Serveren afviste din publikation")</f>
        <v>Serveren afviste din publikation</v>
      </c>
      <c r="I77" s="1" t="s">
        <v>1725</v>
      </c>
      <c r="J77" s="6" t="s">
        <v>132</v>
      </c>
      <c r="K77" s="1" t="s">
        <v>1726</v>
      </c>
      <c r="L77" s="7" t="str">
        <f>IFERROR(__xludf.DUMMYFUNCTION("GOOGLETRANSLATE(C77, ""en"", ""fi"")"),"Palvelin hylkäsi julkaisun")</f>
        <v>Palvelin hylkäsi julkaisun</v>
      </c>
      <c r="M77" s="1" t="s">
        <v>1727</v>
      </c>
      <c r="N77" s="6" t="s">
        <v>1728</v>
      </c>
      <c r="O77" s="6" t="s">
        <v>132</v>
      </c>
      <c r="P77" s="1" t="s">
        <v>1729</v>
      </c>
      <c r="Q77" s="9" t="s">
        <v>1730</v>
      </c>
      <c r="R77" s="1" t="s">
        <v>1731</v>
      </c>
      <c r="S77" s="6" t="s">
        <v>132</v>
      </c>
      <c r="T77" s="1" t="s">
        <v>1732</v>
      </c>
      <c r="U77" s="1" t="s">
        <v>1733</v>
      </c>
      <c r="V77" s="7" t="str">
        <f>IFERROR(__xludf.DUMMYFUNCTION("GOOGLETRANSLATE(C77, ""en"", ""ms"")"),"Pelayan menolak penerbitan anda")</f>
        <v>Pelayan menolak penerbitan anda</v>
      </c>
      <c r="W77" s="1" t="s">
        <v>1734</v>
      </c>
      <c r="X77" s="7" t="str">
        <f>IFERROR(__xludf.DUMMYFUNCTION("GOOGLETRANSLATE(C77, ""en"", ""no"")"),"Serveren avviste publikasjonen din")</f>
        <v>Serveren avviste publikasjonen din</v>
      </c>
      <c r="Y77" s="1" t="s">
        <v>1735</v>
      </c>
      <c r="Z77" s="1" t="s">
        <v>1736</v>
      </c>
      <c r="AA77" s="7" t="str">
        <f>IFERROR(__xludf.DUMMYFUNCTION("GOOGLETRANSLATE(C77, ""en"", ""ro"")"),"Serverul a respins publicația dvs.")</f>
        <v>Serverul a respins publicația dvs.</v>
      </c>
      <c r="AB77" s="1" t="s">
        <v>1737</v>
      </c>
      <c r="AC77" s="1" t="s">
        <v>1738</v>
      </c>
      <c r="AD77" s="6" t="s">
        <v>132</v>
      </c>
      <c r="AE77" s="1" t="s">
        <v>1739</v>
      </c>
      <c r="AF77" s="1" t="s">
        <v>1740</v>
      </c>
      <c r="AG77" s="6" t="s">
        <v>132</v>
      </c>
      <c r="AH77" s="7" t="str">
        <f>IFERROR(__xludf.DUMMYFUNCTION("GOOGLETRANSLATE(C77, ""en"", ""tr"")"),"Sunucu yayınınızı reddetti")</f>
        <v>Sunucu yayınınızı reddetti</v>
      </c>
      <c r="AI77" s="6" t="s">
        <v>1741</v>
      </c>
      <c r="AJ77" s="6" t="s">
        <v>1742</v>
      </c>
      <c r="AK77" s="7" t="str">
        <f>IFERROR(__xludf.DUMMYFUNCTION("GOOGLETRANSLATE(C77, ""en"", ""zh"")"),"服务器拒绝了您的出版物")</f>
        <v>服务器拒绝了您的出版物</v>
      </c>
      <c r="AL77" s="6" t="s">
        <v>1743</v>
      </c>
    </row>
    <row r="78" ht="15.75" customHeight="1">
      <c r="A78" s="1" t="s">
        <v>127</v>
      </c>
      <c r="B78" s="1" t="s">
        <v>1744</v>
      </c>
      <c r="C78" s="1" t="s">
        <v>1745</v>
      </c>
      <c r="D78" s="8" t="s">
        <v>1746</v>
      </c>
      <c r="E78" s="1" t="s">
        <v>1747</v>
      </c>
      <c r="F78" s="6" t="s">
        <v>132</v>
      </c>
      <c r="G78" s="1" t="s">
        <v>1748</v>
      </c>
      <c r="H78" s="1" t="s">
        <v>1749</v>
      </c>
      <c r="I78" s="1" t="s">
        <v>1748</v>
      </c>
      <c r="J78" s="6" t="s">
        <v>1750</v>
      </c>
      <c r="K78" s="1" t="s">
        <v>1751</v>
      </c>
      <c r="L78" s="1" t="s">
        <v>1752</v>
      </c>
      <c r="M78" s="1" t="s">
        <v>1753</v>
      </c>
      <c r="N78" s="6" t="s">
        <v>132</v>
      </c>
      <c r="O78" s="6" t="s">
        <v>1754</v>
      </c>
      <c r="P78" s="1" t="s">
        <v>1752</v>
      </c>
      <c r="Q78" s="1" t="s">
        <v>1755</v>
      </c>
      <c r="R78" s="1" t="s">
        <v>1756</v>
      </c>
      <c r="S78" s="10" t="s">
        <v>1757</v>
      </c>
      <c r="T78" s="1" t="s">
        <v>1758</v>
      </c>
      <c r="U78" s="1" t="s">
        <v>1759</v>
      </c>
      <c r="V78" s="1" t="s">
        <v>1755</v>
      </c>
      <c r="W78" s="1" t="s">
        <v>1748</v>
      </c>
      <c r="X78" s="1" t="s">
        <v>1749</v>
      </c>
      <c r="Y78" s="1" t="s">
        <v>1760</v>
      </c>
      <c r="Z78" s="1" t="s">
        <v>1752</v>
      </c>
      <c r="AA78" s="1" t="s">
        <v>1748</v>
      </c>
      <c r="AB78" s="1" t="s">
        <v>1761</v>
      </c>
      <c r="AC78" s="1" t="s">
        <v>1752</v>
      </c>
      <c r="AD78" s="6" t="s">
        <v>1762</v>
      </c>
      <c r="AE78" s="1" t="s">
        <v>1762</v>
      </c>
      <c r="AF78" s="1" t="s">
        <v>1749</v>
      </c>
      <c r="AG78" s="6" t="s">
        <v>1763</v>
      </c>
      <c r="AH78" s="1" t="s">
        <v>1764</v>
      </c>
      <c r="AI78" s="6" t="s">
        <v>132</v>
      </c>
      <c r="AJ78" s="6" t="s">
        <v>1765</v>
      </c>
      <c r="AK78" s="1" t="s">
        <v>1766</v>
      </c>
      <c r="AL78" s="6" t="s">
        <v>1767</v>
      </c>
    </row>
    <row r="79" ht="15.75" customHeight="1">
      <c r="A79" s="1" t="s">
        <v>127</v>
      </c>
      <c r="B79" s="1" t="s">
        <v>1768</v>
      </c>
      <c r="C79" s="1" t="s">
        <v>1769</v>
      </c>
      <c r="D79" s="8" t="s">
        <v>1770</v>
      </c>
      <c r="E79" s="1" t="s">
        <v>1769</v>
      </c>
      <c r="F79" s="6" t="s">
        <v>132</v>
      </c>
      <c r="G79" s="1" t="s">
        <v>1769</v>
      </c>
      <c r="H79" s="1" t="s">
        <v>1771</v>
      </c>
      <c r="I79" s="1" t="s">
        <v>1772</v>
      </c>
      <c r="J79" s="6" t="s">
        <v>1769</v>
      </c>
      <c r="K79" s="1" t="s">
        <v>1773</v>
      </c>
      <c r="L79" s="1" t="s">
        <v>1769</v>
      </c>
      <c r="M79" s="1" t="s">
        <v>1769</v>
      </c>
      <c r="N79" s="6" t="s">
        <v>132</v>
      </c>
      <c r="O79" s="6" t="s">
        <v>1774</v>
      </c>
      <c r="P79" s="1" t="s">
        <v>1769</v>
      </c>
      <c r="Q79" s="1" t="s">
        <v>1769</v>
      </c>
      <c r="R79" s="1" t="s">
        <v>1775</v>
      </c>
      <c r="S79" s="10" t="s">
        <v>1776</v>
      </c>
      <c r="T79" s="1" t="s">
        <v>1769</v>
      </c>
      <c r="U79" s="1" t="s">
        <v>1769</v>
      </c>
      <c r="V79" s="1" t="s">
        <v>1769</v>
      </c>
      <c r="W79" s="1" t="s">
        <v>1777</v>
      </c>
      <c r="X79" s="1" t="s">
        <v>1778</v>
      </c>
      <c r="Y79" s="1" t="s">
        <v>1779</v>
      </c>
      <c r="Z79" s="1" t="s">
        <v>1780</v>
      </c>
      <c r="AA79" s="1" t="s">
        <v>1769</v>
      </c>
      <c r="AB79" s="1" t="s">
        <v>1781</v>
      </c>
      <c r="AC79" s="1" t="s">
        <v>1769</v>
      </c>
      <c r="AD79" s="6" t="s">
        <v>1769</v>
      </c>
      <c r="AE79" s="1" t="s">
        <v>1782</v>
      </c>
      <c r="AF79" s="1" t="s">
        <v>1769</v>
      </c>
      <c r="AG79" s="6" t="s">
        <v>1769</v>
      </c>
      <c r="AH79" s="1" t="s">
        <v>1783</v>
      </c>
      <c r="AI79" s="6" t="s">
        <v>132</v>
      </c>
      <c r="AJ79" s="6" t="s">
        <v>1784</v>
      </c>
      <c r="AK79" s="1" t="s">
        <v>1785</v>
      </c>
      <c r="AL79" s="6" t="s">
        <v>132</v>
      </c>
    </row>
    <row r="80" ht="15.75" hidden="1" customHeight="1">
      <c r="A80" s="1" t="s">
        <v>38</v>
      </c>
      <c r="B80" s="1" t="s">
        <v>1786</v>
      </c>
      <c r="C80" s="1" t="s">
        <v>1787</v>
      </c>
      <c r="D80" s="7" t="str">
        <f>IFERROR(__xludf.DUMMYFUNCTION("GOOGLETRANSLATE(C80, ""en"", ""ar"")"),"آخر عبر الإنترنت أمس")</f>
        <v>آخر عبر الإنترنت أمس</v>
      </c>
      <c r="E80" s="7" t="str">
        <f>IFERROR(__xludf.DUMMYFUNCTION("GOOGLETRANSLATE(C80, ""en"", ""bg"")"),"Последно онлайн вчера")</f>
        <v>Последно онлайн вчера</v>
      </c>
      <c r="F80" s="6" t="s">
        <v>132</v>
      </c>
      <c r="G80" s="7" t="str">
        <f>IFERROR(__xludf.DUMMYFUNCTION("GOOGLETRANSLATE(C80, ""en"", ""cs"")"),"Poslední online včera")</f>
        <v>Poslední online včera</v>
      </c>
      <c r="H80" s="7" t="str">
        <f>IFERROR(__xludf.DUMMYFUNCTION("GOOGLETRANSLATE(C80, ""en"", ""da"")"),"Sidste online i går")</f>
        <v>Sidste online i går</v>
      </c>
      <c r="I80" s="1" t="s">
        <v>1788</v>
      </c>
      <c r="J80" s="6" t="s">
        <v>132</v>
      </c>
      <c r="K80" s="1" t="s">
        <v>1789</v>
      </c>
      <c r="L80" s="7" t="str">
        <f>IFERROR(__xludf.DUMMYFUNCTION("GOOGLETRANSLATE(C80, ""en"", ""fi"")"),"Viimeinen verkossa eilen")</f>
        <v>Viimeinen verkossa eilen</v>
      </c>
      <c r="M80" s="1" t="s">
        <v>1790</v>
      </c>
      <c r="N80" s="6" t="s">
        <v>132</v>
      </c>
      <c r="O80" s="6" t="s">
        <v>132</v>
      </c>
      <c r="P80" s="1" t="s">
        <v>1791</v>
      </c>
      <c r="Q80" s="7" t="str">
        <f>IFERROR(__xludf.DUMMYFUNCTION("GOOGLETRANSLATE(C80, ""en"", ""in"")"),"Online terakhir kemarin")</f>
        <v>Online terakhir kemarin</v>
      </c>
      <c r="R80" s="7" t="str">
        <f>IFERROR(__xludf.DUMMYFUNCTION("GOOGLETRANSLATE(C80, ""en"", ""it"")"),"Ultimo online ieri")</f>
        <v>Ultimo online ieri</v>
      </c>
      <c r="S80" s="6" t="s">
        <v>132</v>
      </c>
      <c r="T80" s="7" t="str">
        <f>IFERROR(__xludf.DUMMYFUNCTION("GOOGLETRANSLATE(C80, ""en"", ""ja"")"),"昨日最後にオンライン")</f>
        <v>昨日最後にオンライン</v>
      </c>
      <c r="U80" s="7" t="str">
        <f>IFERROR(__xludf.DUMMYFUNCTION("GOOGLETRANSLATE(C80, ""en"", ""ko"")"),"어제 마지막 온라인")</f>
        <v>어제 마지막 온라인</v>
      </c>
      <c r="V80" s="7" t="str">
        <f>IFERROR(__xludf.DUMMYFUNCTION("GOOGLETRANSLATE(C80, ""en"", ""ms"")"),"Dalam talian lepas semalam")</f>
        <v>Dalam talian lepas semalam</v>
      </c>
      <c r="W80" s="7" t="str">
        <f>IFERROR(__xludf.DUMMYFUNCTION("GOOGLETRANSLATE(C80, ""en"", ""nl"")"),"Gisteren online")</f>
        <v>Gisteren online</v>
      </c>
      <c r="X80" s="7" t="str">
        <f>IFERROR(__xludf.DUMMYFUNCTION("GOOGLETRANSLATE(C80, ""en"", ""no"")"),"Siste på nettet i går")</f>
        <v>Siste på nettet i går</v>
      </c>
      <c r="Y80" s="7" t="str">
        <f>IFERROR(__xludf.DUMMYFUNCTION("GOOGLETRANSLATE(C80, ""en"", ""pl"")"),"Ostatnio online wczoraj.")</f>
        <v>Ostatnio online wczoraj.</v>
      </c>
      <c r="Z80" s="7" t="str">
        <f>IFERROR(__xludf.DUMMYFUNCTION("GOOGLETRANSLATE(C80, ""en"", ""pt"")"),"Ontem online pela última vez")</f>
        <v>Ontem online pela última vez</v>
      </c>
      <c r="AA80" s="7" t="str">
        <f>IFERROR(__xludf.DUMMYFUNCTION("GOOGLETRANSLATE(C80, ""en"", ""ro"")"),"Ultima online ieri")</f>
        <v>Ultima online ieri</v>
      </c>
      <c r="AB80" s="1" t="s">
        <v>1792</v>
      </c>
      <c r="AC80" s="7" t="str">
        <f>IFERROR(__xludf.DUMMYFUNCTION("GOOGLETRANSLATE(C80, ""en"", ""sk"")"),"Posledný online včera")</f>
        <v>Posledný online včera</v>
      </c>
      <c r="AD80" s="6" t="s">
        <v>132</v>
      </c>
      <c r="AE80" s="1" t="s">
        <v>1793</v>
      </c>
      <c r="AF80" s="7" t="str">
        <f>IFERROR(__xludf.DUMMYFUNCTION("GOOGLETRANSLATE(C80, ""en"", ""sv"")"),"Senast online igår")</f>
        <v>Senast online igår</v>
      </c>
      <c r="AG80" s="6" t="s">
        <v>132</v>
      </c>
      <c r="AH80" s="7" t="str">
        <f>IFERROR(__xludf.DUMMYFUNCTION("GOOGLETRANSLATE(C80, ""en"", ""tr"")"),"Dün çevrimiçi çevrimiçi")</f>
        <v>Dün çevrimiçi çevrimiçi</v>
      </c>
      <c r="AI80" s="6" t="s">
        <v>132</v>
      </c>
      <c r="AJ80" s="6" t="s">
        <v>132</v>
      </c>
      <c r="AK80" s="7" t="str">
        <f>IFERROR(__xludf.DUMMYFUNCTION("GOOGLETRANSLATE(C80, ""en"", ""zh"")"),"昨天上次在线")</f>
        <v>昨天上次在线</v>
      </c>
      <c r="AL80" s="6" t="s">
        <v>132</v>
      </c>
    </row>
    <row r="81" ht="15.75" customHeight="1">
      <c r="A81" s="1" t="s">
        <v>127</v>
      </c>
      <c r="B81" s="1" t="s">
        <v>1794</v>
      </c>
      <c r="C81" s="1" t="s">
        <v>1795</v>
      </c>
      <c r="D81" s="8" t="s">
        <v>1796</v>
      </c>
      <c r="E81" s="1" t="s">
        <v>1797</v>
      </c>
      <c r="F81" s="6" t="s">
        <v>132</v>
      </c>
      <c r="G81" s="1" t="s">
        <v>1798</v>
      </c>
      <c r="H81" s="1" t="s">
        <v>1799</v>
      </c>
      <c r="I81" s="1" t="s">
        <v>1800</v>
      </c>
      <c r="J81" s="6" t="s">
        <v>1801</v>
      </c>
      <c r="K81" s="1" t="s">
        <v>1802</v>
      </c>
      <c r="L81" s="1" t="s">
        <v>1803</v>
      </c>
      <c r="M81" s="1" t="s">
        <v>1804</v>
      </c>
      <c r="N81" s="6" t="s">
        <v>132</v>
      </c>
      <c r="O81" s="6" t="s">
        <v>1805</v>
      </c>
      <c r="P81" s="1" t="s">
        <v>1806</v>
      </c>
      <c r="Q81" s="1" t="s">
        <v>1807</v>
      </c>
      <c r="R81" s="1" t="s">
        <v>1808</v>
      </c>
      <c r="S81" s="10" t="s">
        <v>1809</v>
      </c>
      <c r="T81" s="1" t="s">
        <v>1810</v>
      </c>
      <c r="U81" s="1" t="s">
        <v>1811</v>
      </c>
      <c r="V81" s="1" t="s">
        <v>1807</v>
      </c>
      <c r="W81" s="1" t="s">
        <v>1812</v>
      </c>
      <c r="X81" s="1" t="s">
        <v>1813</v>
      </c>
      <c r="Y81" s="1" t="s">
        <v>1814</v>
      </c>
      <c r="Z81" s="1" t="s">
        <v>1815</v>
      </c>
      <c r="AA81" s="1" t="s">
        <v>1816</v>
      </c>
      <c r="AB81" s="1" t="s">
        <v>1817</v>
      </c>
      <c r="AC81" s="1" t="s">
        <v>1798</v>
      </c>
      <c r="AD81" s="6" t="s">
        <v>1818</v>
      </c>
      <c r="AE81" s="1" t="s">
        <v>1819</v>
      </c>
      <c r="AF81" s="1" t="s">
        <v>1813</v>
      </c>
      <c r="AG81" s="6" t="s">
        <v>1820</v>
      </c>
      <c r="AH81" s="1" t="s">
        <v>1821</v>
      </c>
      <c r="AI81" s="6" t="s">
        <v>132</v>
      </c>
      <c r="AJ81" s="6" t="s">
        <v>1822</v>
      </c>
      <c r="AK81" s="1" t="s">
        <v>1823</v>
      </c>
      <c r="AL81" s="6" t="s">
        <v>132</v>
      </c>
    </row>
    <row r="82" ht="15.75" hidden="1" customHeight="1">
      <c r="A82" s="1" t="s">
        <v>38</v>
      </c>
      <c r="B82" s="1" t="s">
        <v>1824</v>
      </c>
      <c r="C82" s="1" t="s">
        <v>1825</v>
      </c>
      <c r="D82" s="8" t="s">
        <v>1826</v>
      </c>
      <c r="E82" s="1" t="s">
        <v>1827</v>
      </c>
      <c r="F82" s="6" t="s">
        <v>1828</v>
      </c>
      <c r="G82" s="7" t="str">
        <f>IFERROR(__xludf.DUMMYFUNCTION("GOOGLETRANSLATE(C82, ""en"", ""cs"")"),"Porušení politik")</f>
        <v>Porušení politik</v>
      </c>
      <c r="H82" s="7" t="str">
        <f>IFERROR(__xludf.DUMMYFUNCTION("GOOGLETRANSLATE(C82, ""en"", ""da"")"),"Politik overtrædelse")</f>
        <v>Politik overtrædelse</v>
      </c>
      <c r="I82" s="1" t="s">
        <v>1829</v>
      </c>
      <c r="J82" s="6" t="s">
        <v>132</v>
      </c>
      <c r="K82" s="1" t="s">
        <v>1825</v>
      </c>
      <c r="L82" s="7" t="str">
        <f>IFERROR(__xludf.DUMMYFUNCTION("GOOGLETRANSLATE(C82, ""en"", ""fi"")"),"Politiikan rikkominen")</f>
        <v>Politiikan rikkominen</v>
      </c>
      <c r="M82" s="1" t="s">
        <v>1830</v>
      </c>
      <c r="N82" s="6" t="s">
        <v>1831</v>
      </c>
      <c r="O82" s="6" t="s">
        <v>132</v>
      </c>
      <c r="P82" s="1" t="s">
        <v>1832</v>
      </c>
      <c r="Q82" s="7" t="str">
        <f>IFERROR(__xludf.DUMMYFUNCTION("GOOGLETRANSLATE(C82, ""en"", ""in"")"),"Pelanggaran kebijakan")</f>
        <v>Pelanggaran kebijakan</v>
      </c>
      <c r="R82" s="1" t="s">
        <v>1833</v>
      </c>
      <c r="S82" s="6" t="s">
        <v>132</v>
      </c>
      <c r="T82" s="1" t="s">
        <v>1834</v>
      </c>
      <c r="U82" s="1" t="s">
        <v>1835</v>
      </c>
      <c r="V82" s="7" t="str">
        <f>IFERROR(__xludf.DUMMYFUNCTION("GOOGLETRANSLATE(C82, ""en"", ""ms"")"),"Pelanggaran dasar.")</f>
        <v>Pelanggaran dasar.</v>
      </c>
      <c r="W82" s="1" t="s">
        <v>1836</v>
      </c>
      <c r="X82" s="7" t="str">
        <f>IFERROR(__xludf.DUMMYFUNCTION("GOOGLETRANSLATE(C82, ""en"", ""no"")"),"Politikkbrudd")</f>
        <v>Politikkbrudd</v>
      </c>
      <c r="Y82" s="1" t="s">
        <v>1837</v>
      </c>
      <c r="Z82" s="7" t="str">
        <f>IFERROR(__xludf.DUMMYFUNCTION("GOOGLETRANSLATE(C82, ""en"", ""pt"")"),"Violação da política")</f>
        <v>Violação da política</v>
      </c>
      <c r="AA82" s="7" t="str">
        <f>IFERROR(__xludf.DUMMYFUNCTION("GOOGLETRANSLATE(C82, ""en"", ""ro"")"),"Încălcarea politicii")</f>
        <v>Încălcarea politicii</v>
      </c>
      <c r="AB82" s="1" t="s">
        <v>1838</v>
      </c>
      <c r="AC82" s="7" t="str">
        <f>IFERROR(__xludf.DUMMYFUNCTION("GOOGLETRANSLATE(C82, ""en"", ""sk"")"),"Porušenie politiky")</f>
        <v>Porušenie politiky</v>
      </c>
      <c r="AD82" s="6" t="s">
        <v>132</v>
      </c>
      <c r="AE82" s="1" t="s">
        <v>1839</v>
      </c>
      <c r="AF82" s="1" t="s">
        <v>1840</v>
      </c>
      <c r="AG82" s="6" t="s">
        <v>132</v>
      </c>
      <c r="AH82" s="7" t="str">
        <f>IFERROR(__xludf.DUMMYFUNCTION("GOOGLETRANSLATE(C82, ""en"", ""tr"")"),"Politika ihlali")</f>
        <v>Politika ihlali</v>
      </c>
      <c r="AI82" s="6" t="s">
        <v>1841</v>
      </c>
      <c r="AJ82" s="6" t="s">
        <v>1842</v>
      </c>
      <c r="AK82" s="7" t="str">
        <f>IFERROR(__xludf.DUMMYFUNCTION("GOOGLETRANSLATE(C82, ""en"", ""zh"")"),"政策违规")</f>
        <v>政策违规</v>
      </c>
      <c r="AL82" s="6" t="s">
        <v>1843</v>
      </c>
    </row>
    <row r="83" ht="15.75" hidden="1" customHeight="1">
      <c r="A83" s="1" t="s">
        <v>38</v>
      </c>
      <c r="B83" s="1" t="s">
        <v>1844</v>
      </c>
      <c r="C83" s="1" t="s">
        <v>1845</v>
      </c>
      <c r="D83" s="8" t="s">
        <v>1846</v>
      </c>
      <c r="E83" s="1" t="s">
        <v>1847</v>
      </c>
      <c r="F83" s="6" t="s">
        <v>1848</v>
      </c>
      <c r="G83" s="7" t="str">
        <f>IFERROR(__xludf.DUMMYFUNCTION("GOOGLETRANSLATE(C83, ""en"", ""cs"")"),"Registrace se nezdařila")</f>
        <v>Registrace se nezdařila</v>
      </c>
      <c r="H83" s="7" t="str">
        <f>IFERROR(__xludf.DUMMYFUNCTION("GOOGLETRANSLATE(C83, ""en"", ""da"")"),"Registreringen fejlede")</f>
        <v>Registreringen fejlede</v>
      </c>
      <c r="I83" s="1" t="s">
        <v>1849</v>
      </c>
      <c r="J83" s="6" t="s">
        <v>132</v>
      </c>
      <c r="K83" s="1" t="s">
        <v>1850</v>
      </c>
      <c r="L83" s="7" t="str">
        <f>IFERROR(__xludf.DUMMYFUNCTION("GOOGLETRANSLATE(C83, ""en"", ""fi"")"),"Rekisteröityminen epäonnistui")</f>
        <v>Rekisteröityminen epäonnistui</v>
      </c>
      <c r="M83" s="1" t="s">
        <v>1851</v>
      </c>
      <c r="N83" s="6" t="s">
        <v>1852</v>
      </c>
      <c r="O83" s="6" t="s">
        <v>132</v>
      </c>
      <c r="P83" s="1" t="s">
        <v>1853</v>
      </c>
      <c r="Q83" s="9" t="s">
        <v>1854</v>
      </c>
      <c r="R83" s="1" t="s">
        <v>1855</v>
      </c>
      <c r="S83" s="6" t="s">
        <v>132</v>
      </c>
      <c r="T83" s="1" t="s">
        <v>1856</v>
      </c>
      <c r="U83" s="1" t="s">
        <v>1857</v>
      </c>
      <c r="V83" s="7" t="str">
        <f>IFERROR(__xludf.DUMMYFUNCTION("GOOGLETRANSLATE(C83, ""en"", ""ms"")"),"Pendaftaran gagal")</f>
        <v>Pendaftaran gagal</v>
      </c>
      <c r="W83" s="1" t="s">
        <v>1858</v>
      </c>
      <c r="X83" s="7" t="str">
        <f>IFERROR(__xludf.DUMMYFUNCTION("GOOGLETRANSLATE(C83, ""en"", ""no"")"),"Registrering feilet")</f>
        <v>Registrering feilet</v>
      </c>
      <c r="Y83" s="1" t="s">
        <v>1859</v>
      </c>
      <c r="Z83" s="1" t="s">
        <v>1860</v>
      </c>
      <c r="AA83" s="7" t="str">
        <f>IFERROR(__xludf.DUMMYFUNCTION("GOOGLETRANSLATE(C83, ""en"", ""ro"")"),"Inregistrare esuata")</f>
        <v>Inregistrare esuata</v>
      </c>
      <c r="AB83" s="1" t="s">
        <v>1861</v>
      </c>
      <c r="AC83" s="1" t="s">
        <v>1862</v>
      </c>
      <c r="AD83" s="6" t="s">
        <v>132</v>
      </c>
      <c r="AE83" s="1" t="s">
        <v>1863</v>
      </c>
      <c r="AF83" s="1" t="s">
        <v>1864</v>
      </c>
      <c r="AG83" s="6" t="s">
        <v>132</v>
      </c>
      <c r="AH83" s="7" t="str">
        <f>IFERROR(__xludf.DUMMYFUNCTION("GOOGLETRANSLATE(C83, ""en"", ""tr"")"),"Kayıt başarısız")</f>
        <v>Kayıt başarısız</v>
      </c>
      <c r="AI83" s="6" t="s">
        <v>1865</v>
      </c>
      <c r="AJ83" s="6" t="s">
        <v>1866</v>
      </c>
      <c r="AK83" s="7" t="str">
        <f>IFERROR(__xludf.DUMMYFUNCTION("GOOGLETRANSLATE(C83, ""en"", ""zh"")"),"注册失败")</f>
        <v>注册失败</v>
      </c>
      <c r="AL83" s="6" t="s">
        <v>1867</v>
      </c>
    </row>
    <row r="84" ht="15.75" customHeight="1">
      <c r="A84" s="1" t="s">
        <v>127</v>
      </c>
      <c r="B84" s="1" t="s">
        <v>1868</v>
      </c>
      <c r="C84" s="1" t="s">
        <v>1869</v>
      </c>
      <c r="D84" s="8" t="s">
        <v>1870</v>
      </c>
      <c r="E84" s="1" t="s">
        <v>1871</v>
      </c>
      <c r="F84" s="6" t="s">
        <v>132</v>
      </c>
      <c r="G84" s="1" t="s">
        <v>1872</v>
      </c>
      <c r="H84" s="1" t="s">
        <v>1873</v>
      </c>
      <c r="I84" s="1" t="s">
        <v>1874</v>
      </c>
      <c r="J84" s="6" t="s">
        <v>1875</v>
      </c>
      <c r="K84" s="1" t="s">
        <v>1876</v>
      </c>
      <c r="L84" s="1" t="s">
        <v>1877</v>
      </c>
      <c r="M84" s="1" t="s">
        <v>1878</v>
      </c>
      <c r="N84" s="6" t="s">
        <v>132</v>
      </c>
      <c r="O84" s="6" t="s">
        <v>1879</v>
      </c>
      <c r="P84" s="1" t="s">
        <v>1880</v>
      </c>
      <c r="Q84" s="1" t="s">
        <v>1881</v>
      </c>
      <c r="R84" s="1" t="s">
        <v>1882</v>
      </c>
      <c r="S84" s="10" t="s">
        <v>1883</v>
      </c>
      <c r="T84" s="1" t="s">
        <v>1884</v>
      </c>
      <c r="U84" s="1" t="s">
        <v>1885</v>
      </c>
      <c r="V84" s="1" t="s">
        <v>1881</v>
      </c>
      <c r="W84" s="1" t="s">
        <v>1886</v>
      </c>
      <c r="X84" s="1" t="s">
        <v>1887</v>
      </c>
      <c r="Y84" s="1" t="s">
        <v>1888</v>
      </c>
      <c r="Z84" s="1" t="s">
        <v>1889</v>
      </c>
      <c r="AA84" s="1" t="s">
        <v>1890</v>
      </c>
      <c r="AB84" s="1" t="s">
        <v>1891</v>
      </c>
      <c r="AC84" s="1" t="s">
        <v>1872</v>
      </c>
      <c r="AD84" s="6" t="s">
        <v>1892</v>
      </c>
      <c r="AE84" s="1" t="s">
        <v>1893</v>
      </c>
      <c r="AF84" s="1" t="s">
        <v>1894</v>
      </c>
      <c r="AG84" s="6" t="s">
        <v>1895</v>
      </c>
      <c r="AH84" s="1" t="s">
        <v>1896</v>
      </c>
      <c r="AI84" s="6" t="s">
        <v>132</v>
      </c>
      <c r="AJ84" s="6" t="s">
        <v>1897</v>
      </c>
      <c r="AK84" s="1" t="s">
        <v>1898</v>
      </c>
      <c r="AL84" s="6" t="s">
        <v>1899</v>
      </c>
    </row>
    <row r="85" ht="15.75" hidden="1" customHeight="1">
      <c r="A85" s="1" t="s">
        <v>38</v>
      </c>
      <c r="B85" s="1" t="s">
        <v>1900</v>
      </c>
      <c r="C85" s="1" t="s">
        <v>1901</v>
      </c>
      <c r="D85" s="8" t="s">
        <v>1902</v>
      </c>
      <c r="E85" s="1" t="s">
        <v>1903</v>
      </c>
      <c r="F85" s="6" t="s">
        <v>1904</v>
      </c>
      <c r="G85" s="7" t="str">
        <f>IFERROR(__xludf.DUMMYFUNCTION("GOOGLETRANSLATE(C85, ""en"", ""cs"")"),"Chcete se stejně připojit?")</f>
        <v>Chcete se stejně připojit?</v>
      </c>
      <c r="H85" s="7" t="str">
        <f>IFERROR(__xludf.DUMMYFUNCTION("GOOGLETRANSLATE(C85, ""en"", ""da"")"),"Vil du forbinde alligevel?")</f>
        <v>Vil du forbinde alligevel?</v>
      </c>
      <c r="I85" s="1" t="s">
        <v>1905</v>
      </c>
      <c r="J85" s="6" t="s">
        <v>132</v>
      </c>
      <c r="K85" s="1" t="s">
        <v>1906</v>
      </c>
      <c r="L85" s="7" t="str">
        <f>IFERROR(__xludf.DUMMYFUNCTION("GOOGLETRANSLATE(C85, ""en"", ""fi"")"),"Haluatko yhdistää joka tapauksessa?")</f>
        <v>Haluatko yhdistää joka tapauksessa?</v>
      </c>
      <c r="M85" s="1" t="s">
        <v>1907</v>
      </c>
      <c r="N85" s="6" t="s">
        <v>1908</v>
      </c>
      <c r="O85" s="6" t="s">
        <v>132</v>
      </c>
      <c r="P85" s="1" t="s">
        <v>1909</v>
      </c>
      <c r="Q85" s="7" t="str">
        <f>IFERROR(__xludf.DUMMYFUNCTION("GOOGLETRANSLATE(C85, ""en"", ""in"")"),"Apakah Anda ingin terhubung?")</f>
        <v>Apakah Anda ingin terhubung?</v>
      </c>
      <c r="R85" s="1" t="s">
        <v>1910</v>
      </c>
      <c r="S85" s="6" t="s">
        <v>132</v>
      </c>
      <c r="T85" s="1" t="s">
        <v>1911</v>
      </c>
      <c r="U85" s="7" t="str">
        <f>IFERROR(__xludf.DUMMYFUNCTION("GOOGLETRANSLATE(C85, ""en"", ""ko"")"),"어쨌든 연결하고 싶습니까?")</f>
        <v>어쨌든 연결하고 싶습니까?</v>
      </c>
      <c r="V85" s="7" t="str">
        <f>IFERROR(__xludf.DUMMYFUNCTION("GOOGLETRANSLATE(C85, ""en"", ""ms"")"),"Adakah anda mahu menyambung pula?")</f>
        <v>Adakah anda mahu menyambung pula?</v>
      </c>
      <c r="W85" s="1" t="s">
        <v>1912</v>
      </c>
      <c r="X85" s="7" t="str">
        <f>IFERROR(__xludf.DUMMYFUNCTION("GOOGLETRANSLATE(C85, ""en"", ""no"")"),"Vil du koble deg uansett?")</f>
        <v>Vil du koble deg uansett?</v>
      </c>
      <c r="Y85" s="1" t="s">
        <v>1913</v>
      </c>
      <c r="Z85" s="7" t="str">
        <f>IFERROR(__xludf.DUMMYFUNCTION("GOOGLETRANSLATE(C85, ""en"", ""pt"")"),"Você quer se conectar de qualquer maneira?")</f>
        <v>Você quer se conectar de qualquer maneira?</v>
      </c>
      <c r="AA85" s="7" t="str">
        <f>IFERROR(__xludf.DUMMYFUNCTION("GOOGLETRANSLATE(C85, ""en"", ""ro"")"),"Doriți să vă conectați oricum?")</f>
        <v>Doriți să vă conectați oricum?</v>
      </c>
      <c r="AB85" s="7" t="str">
        <f>IFERROR(__xludf.DUMMYFUNCTION("GOOGLETRANSLATE(C85, ""en"", ""ru"")"),"Хотите подключиться в любом случае?")</f>
        <v>Хотите подключиться в любом случае?</v>
      </c>
      <c r="AC85" s="7" t="str">
        <f>IFERROR(__xludf.DUMMYFUNCTION("GOOGLETRANSLATE(C85, ""en"", ""sk"")"),"Chcete sa kedykoľvek spojiť?")</f>
        <v>Chcete sa kedykoľvek spojiť?</v>
      </c>
      <c r="AD85" s="6" t="s">
        <v>132</v>
      </c>
      <c r="AE85" s="7" t="str">
        <f>IFERROR(__xludf.DUMMYFUNCTION("GOOGLETRANSLATE(C85, ""en"", ""sr"")"),"Да ли се уопште желите повезати?")</f>
        <v>Да ли се уопште желите повезати?</v>
      </c>
      <c r="AF85" s="7" t="str">
        <f>IFERROR(__xludf.DUMMYFUNCTION("GOOGLETRANSLATE(C85, ""en"", ""sv"")"),"Vill du ansluta ändå?")</f>
        <v>Vill du ansluta ändå?</v>
      </c>
      <c r="AG85" s="6" t="s">
        <v>132</v>
      </c>
      <c r="AH85" s="7" t="str">
        <f>IFERROR(__xludf.DUMMYFUNCTION("GOOGLETRANSLATE(C85, ""en"", ""tr"")"),"Yine de bağlanmak ister misin?")</f>
        <v>Yine de bağlanmak ister misin?</v>
      </c>
      <c r="AI85" s="6" t="s">
        <v>132</v>
      </c>
      <c r="AJ85" s="6" t="s">
        <v>132</v>
      </c>
      <c r="AK85" s="7" t="str">
        <f>IFERROR(__xludf.DUMMYFUNCTION("GOOGLETRANSLATE(C85, ""en"", ""zh"")"),"无论如何你想连接吗？")</f>
        <v>无论如何你想连接吗？</v>
      </c>
      <c r="AL85" s="6" t="s">
        <v>132</v>
      </c>
    </row>
    <row r="86" ht="15.75" hidden="1" customHeight="1">
      <c r="A86" s="1" t="s">
        <v>38</v>
      </c>
      <c r="B86" s="1" t="s">
        <v>1914</v>
      </c>
      <c r="C86" s="1" t="s">
        <v>1914</v>
      </c>
      <c r="D86" s="7" t="str">
        <f>IFERROR(__xludf.DUMMYFUNCTION("GOOGLETRANSLATE(C86, ""en"", ""ar"")"),"ألغيت")</f>
        <v>ألغيت</v>
      </c>
      <c r="E86" s="1" t="s">
        <v>1915</v>
      </c>
      <c r="F86" s="6" t="s">
        <v>132</v>
      </c>
      <c r="G86" s="7" t="str">
        <f>IFERROR(__xludf.DUMMYFUNCTION("GOOGLETRANSLATE(C86, ""en"", ""cs"")"),"zrušen")</f>
        <v>zrušen</v>
      </c>
      <c r="H86" s="7" t="str">
        <f>IFERROR(__xludf.DUMMYFUNCTION("GOOGLETRANSLATE(C86, ""en"", ""da"")"),"annulleret")</f>
        <v>annulleret</v>
      </c>
      <c r="I86" s="1" t="s">
        <v>1916</v>
      </c>
      <c r="J86" s="6" t="s">
        <v>132</v>
      </c>
      <c r="K86" s="1" t="s">
        <v>1917</v>
      </c>
      <c r="L86" s="7" t="str">
        <f>IFERROR(__xludf.DUMMYFUNCTION("GOOGLETRANSLATE(C86, ""en"", ""fi"")"),"peruutettu")</f>
        <v>peruutettu</v>
      </c>
      <c r="M86" s="1" t="s">
        <v>1918</v>
      </c>
      <c r="N86" s="6" t="s">
        <v>1919</v>
      </c>
      <c r="O86" s="6" t="s">
        <v>132</v>
      </c>
      <c r="P86" s="1" t="s">
        <v>1920</v>
      </c>
      <c r="Q86" s="7" t="str">
        <f>IFERROR(__xludf.DUMMYFUNCTION("GOOGLETRANSLATE(C86, ""en"", ""in"")"),"dibatalkan")</f>
        <v>dibatalkan</v>
      </c>
      <c r="R86" s="1" t="s">
        <v>1921</v>
      </c>
      <c r="S86" s="6" t="s">
        <v>132</v>
      </c>
      <c r="T86" s="7" t="str">
        <f>IFERROR(__xludf.DUMMYFUNCTION("GOOGLETRANSLATE(C86, ""en"", ""ja"")"),"キャンセル")</f>
        <v>キャンセル</v>
      </c>
      <c r="U86" s="7" t="str">
        <f>IFERROR(__xludf.DUMMYFUNCTION("GOOGLETRANSLATE(C86, ""en"", ""ko"")"),"취소 된")</f>
        <v>취소 된</v>
      </c>
      <c r="V86" s="7" t="str">
        <f>IFERROR(__xludf.DUMMYFUNCTION("GOOGLETRANSLATE(C86, ""en"", ""ms"")"),"dibatalkan")</f>
        <v>dibatalkan</v>
      </c>
      <c r="W86" s="1" t="s">
        <v>1922</v>
      </c>
      <c r="X86" s="7" t="str">
        <f>IFERROR(__xludf.DUMMYFUNCTION("GOOGLETRANSLATE(C86, ""en"", ""no"")"),"avbrutt")</f>
        <v>avbrutt</v>
      </c>
      <c r="Y86" s="1" t="s">
        <v>1923</v>
      </c>
      <c r="Z86" s="7" t="str">
        <f>IFERROR(__xludf.DUMMYFUNCTION("GOOGLETRANSLATE(C86, ""en"", ""pt"")"),"cancelado")</f>
        <v>cancelado</v>
      </c>
      <c r="AA86" s="7" t="str">
        <f>IFERROR(__xludf.DUMMYFUNCTION("GOOGLETRANSLATE(C86, ""en"", ""ro"")"),"anulat")</f>
        <v>anulat</v>
      </c>
      <c r="AB86" s="7" t="str">
        <f>IFERROR(__xludf.DUMMYFUNCTION("GOOGLETRANSLATE(C86, ""en"", ""ru"")"),"отменил")</f>
        <v>отменил</v>
      </c>
      <c r="AC86" s="7" t="str">
        <f>IFERROR(__xludf.DUMMYFUNCTION("GOOGLETRANSLATE(C86, ""en"", ""sk"")"),"zrušený")</f>
        <v>zrušený</v>
      </c>
      <c r="AD86" s="6" t="s">
        <v>132</v>
      </c>
      <c r="AE86" s="7" t="str">
        <f>IFERROR(__xludf.DUMMYFUNCTION("GOOGLETRANSLATE(C86, ""en"", ""sr"")"),"отказан")</f>
        <v>отказан</v>
      </c>
      <c r="AF86" s="7" t="str">
        <f>IFERROR(__xludf.DUMMYFUNCTION("GOOGLETRANSLATE(C86, ""en"", ""sv"")"),"inställt")</f>
        <v>inställt</v>
      </c>
      <c r="AG86" s="6" t="s">
        <v>132</v>
      </c>
      <c r="AH86" s="7" t="str">
        <f>IFERROR(__xludf.DUMMYFUNCTION("GOOGLETRANSLATE(C86, ""en"", ""tr"")"),"iptal edildi")</f>
        <v>iptal edildi</v>
      </c>
      <c r="AI86" s="6" t="s">
        <v>132</v>
      </c>
      <c r="AJ86" s="6" t="s">
        <v>132</v>
      </c>
      <c r="AK86" s="7" t="str">
        <f>IFERROR(__xludf.DUMMYFUNCTION("GOOGLETRANSLATE(C86, ""en"", ""zh"")"),"取消")</f>
        <v>取消</v>
      </c>
      <c r="AL86" s="6" t="s">
        <v>132</v>
      </c>
    </row>
    <row r="87" ht="15.75" hidden="1" customHeight="1">
      <c r="A87" s="1" t="s">
        <v>38</v>
      </c>
      <c r="B87" s="1" t="s">
        <v>1924</v>
      </c>
      <c r="C87" s="1" t="s">
        <v>1925</v>
      </c>
      <c r="D87" s="8" t="s">
        <v>1926</v>
      </c>
      <c r="E87" s="1" t="s">
        <v>1927</v>
      </c>
      <c r="F87" s="6" t="s">
        <v>1928</v>
      </c>
      <c r="G87" s="7" t="str">
        <f>IFERROR(__xludf.DUMMYFUNCTION("GOOGLETRANSLATE(C87, ""en"", ""cs"")"),"Žádný")</f>
        <v>Žádný</v>
      </c>
      <c r="H87" s="7" t="str">
        <f>IFERROR(__xludf.DUMMYFUNCTION("GOOGLETRANSLATE(C87, ""en"", ""da"")"),"Ingen")</f>
        <v>Ingen</v>
      </c>
      <c r="I87" s="1" t="s">
        <v>1929</v>
      </c>
      <c r="J87" s="6" t="s">
        <v>132</v>
      </c>
      <c r="K87" s="1" t="s">
        <v>1930</v>
      </c>
      <c r="L87" s="7" t="str">
        <f>IFERROR(__xludf.DUMMYFUNCTION("GOOGLETRANSLATE(C87, ""en"", ""fi"")"),"Ei mitään")</f>
        <v>Ei mitään</v>
      </c>
      <c r="M87" s="1" t="s">
        <v>1931</v>
      </c>
      <c r="N87" s="6" t="s">
        <v>1932</v>
      </c>
      <c r="O87" s="6" t="s">
        <v>132</v>
      </c>
      <c r="P87" s="1" t="s">
        <v>1933</v>
      </c>
      <c r="Q87" s="9" t="s">
        <v>1934</v>
      </c>
      <c r="R87" s="1" t="s">
        <v>1935</v>
      </c>
      <c r="S87" s="6" t="s">
        <v>132</v>
      </c>
      <c r="T87" s="1" t="s">
        <v>1936</v>
      </c>
      <c r="U87" s="1" t="s">
        <v>1937</v>
      </c>
      <c r="V87" s="7" t="str">
        <f>IFERROR(__xludf.DUMMYFUNCTION("GOOGLETRANSLATE(C87, ""en"", ""ms"")"),"Tiada")</f>
        <v>Tiada</v>
      </c>
      <c r="W87" s="1" t="s">
        <v>1938</v>
      </c>
      <c r="X87" s="7" t="str">
        <f>IFERROR(__xludf.DUMMYFUNCTION("GOOGLETRANSLATE(C87, ""en"", ""no"")"),"Ingen")</f>
        <v>Ingen</v>
      </c>
      <c r="Y87" s="1" t="s">
        <v>1939</v>
      </c>
      <c r="Z87" s="1" t="s">
        <v>1940</v>
      </c>
      <c r="AA87" s="7" t="str">
        <f>IFERROR(__xludf.DUMMYFUNCTION("GOOGLETRANSLATE(C87, ""en"", ""ro"")"),"Nici unul")</f>
        <v>Nici unul</v>
      </c>
      <c r="AB87" s="1" t="s">
        <v>1941</v>
      </c>
      <c r="AC87" s="1" t="s">
        <v>1942</v>
      </c>
      <c r="AD87" s="6" t="s">
        <v>132</v>
      </c>
      <c r="AE87" s="1" t="s">
        <v>1943</v>
      </c>
      <c r="AF87" s="1" t="s">
        <v>1944</v>
      </c>
      <c r="AG87" s="6" t="s">
        <v>132</v>
      </c>
      <c r="AH87" s="7" t="str">
        <f>IFERROR(__xludf.DUMMYFUNCTION("GOOGLETRANSLATE(C87, ""en"", ""tr"")"),"Yok")</f>
        <v>Yok</v>
      </c>
      <c r="AI87" s="6" t="s">
        <v>1945</v>
      </c>
      <c r="AJ87" s="6" t="s">
        <v>1946</v>
      </c>
      <c r="AK87" s="7" t="str">
        <f>IFERROR(__xludf.DUMMYFUNCTION("GOOGLETRANSLATE(C87, ""en"", ""zh"")"),"没有任何")</f>
        <v>没有任何</v>
      </c>
      <c r="AL87" s="6" t="s">
        <v>1947</v>
      </c>
    </row>
    <row r="88" ht="15.75" customHeight="1">
      <c r="A88" s="1" t="s">
        <v>127</v>
      </c>
      <c r="B88" s="1" t="s">
        <v>1948</v>
      </c>
      <c r="C88" s="1" t="s">
        <v>1949</v>
      </c>
      <c r="D88" s="8" t="s">
        <v>1950</v>
      </c>
      <c r="E88" s="1" t="s">
        <v>1951</v>
      </c>
      <c r="F88" s="6" t="s">
        <v>132</v>
      </c>
      <c r="G88" s="1" t="s">
        <v>1952</v>
      </c>
      <c r="H88" s="1" t="s">
        <v>1953</v>
      </c>
      <c r="I88" s="1" t="s">
        <v>1954</v>
      </c>
      <c r="J88" s="6" t="s">
        <v>1955</v>
      </c>
      <c r="K88" s="1" t="s">
        <v>1956</v>
      </c>
      <c r="L88" s="1" t="s">
        <v>1957</v>
      </c>
      <c r="M88" s="1" t="s">
        <v>1958</v>
      </c>
      <c r="N88" s="6" t="s">
        <v>132</v>
      </c>
      <c r="O88" s="6" t="s">
        <v>1959</v>
      </c>
      <c r="P88" s="1" t="s">
        <v>1960</v>
      </c>
      <c r="Q88" s="1" t="s">
        <v>1961</v>
      </c>
      <c r="R88" s="1" t="s">
        <v>1962</v>
      </c>
      <c r="S88" s="10" t="s">
        <v>1963</v>
      </c>
      <c r="T88" s="1" t="s">
        <v>1964</v>
      </c>
      <c r="U88" s="1" t="s">
        <v>1965</v>
      </c>
      <c r="V88" s="1" t="s">
        <v>1961</v>
      </c>
      <c r="W88" s="1" t="s">
        <v>1966</v>
      </c>
      <c r="X88" s="1" t="s">
        <v>1953</v>
      </c>
      <c r="Y88" s="1" t="s">
        <v>1967</v>
      </c>
      <c r="Z88" s="1" t="s">
        <v>1968</v>
      </c>
      <c r="AA88" s="1" t="s">
        <v>1969</v>
      </c>
      <c r="AB88" s="1" t="s">
        <v>1970</v>
      </c>
      <c r="AC88" s="1" t="s">
        <v>1971</v>
      </c>
      <c r="AD88" s="6" t="s">
        <v>1972</v>
      </c>
      <c r="AE88" s="1" t="s">
        <v>1973</v>
      </c>
      <c r="AF88" s="1" t="s">
        <v>1974</v>
      </c>
      <c r="AG88" s="6" t="s">
        <v>1975</v>
      </c>
      <c r="AH88" s="1" t="s">
        <v>1976</v>
      </c>
      <c r="AI88" s="6" t="s">
        <v>132</v>
      </c>
      <c r="AJ88" s="6" t="s">
        <v>1977</v>
      </c>
      <c r="AK88" s="1" t="s">
        <v>1978</v>
      </c>
      <c r="AL88" s="6" t="s">
        <v>1979</v>
      </c>
    </row>
    <row r="89" ht="15.75" customHeight="1">
      <c r="A89" s="1" t="s">
        <v>127</v>
      </c>
      <c r="B89" s="1" t="s">
        <v>1980</v>
      </c>
      <c r="C89" s="1" t="s">
        <v>1981</v>
      </c>
      <c r="D89" s="8" t="s">
        <v>1982</v>
      </c>
      <c r="E89" s="1" t="s">
        <v>1983</v>
      </c>
      <c r="F89" s="6" t="s">
        <v>132</v>
      </c>
      <c r="G89" s="1" t="s">
        <v>1984</v>
      </c>
      <c r="H89" s="1" t="s">
        <v>1985</v>
      </c>
      <c r="I89" s="1" t="s">
        <v>1986</v>
      </c>
      <c r="J89" s="6" t="s">
        <v>1987</v>
      </c>
      <c r="K89" s="1" t="s">
        <v>1988</v>
      </c>
      <c r="L89" s="1" t="s">
        <v>1989</v>
      </c>
      <c r="M89" s="1" t="s">
        <v>1990</v>
      </c>
      <c r="N89" s="6" t="s">
        <v>132</v>
      </c>
      <c r="O89" s="6" t="s">
        <v>1991</v>
      </c>
      <c r="P89" s="1" t="s">
        <v>1992</v>
      </c>
      <c r="Q89" s="1" t="s">
        <v>1993</v>
      </c>
      <c r="R89" s="1" t="s">
        <v>1994</v>
      </c>
      <c r="S89" s="10" t="s">
        <v>1995</v>
      </c>
      <c r="T89" s="1" t="s">
        <v>1996</v>
      </c>
      <c r="U89" s="1" t="s">
        <v>1997</v>
      </c>
      <c r="V89" s="1" t="s">
        <v>1993</v>
      </c>
      <c r="W89" s="1" t="s">
        <v>1998</v>
      </c>
      <c r="X89" s="1" t="s">
        <v>1985</v>
      </c>
      <c r="Y89" s="1" t="s">
        <v>1999</v>
      </c>
      <c r="Z89" s="1" t="s">
        <v>2000</v>
      </c>
      <c r="AA89" s="1" t="s">
        <v>2001</v>
      </c>
      <c r="AB89" s="1" t="s">
        <v>2002</v>
      </c>
      <c r="AC89" s="1" t="s">
        <v>2003</v>
      </c>
      <c r="AD89" s="6" t="s">
        <v>1999</v>
      </c>
      <c r="AE89" s="1" t="s">
        <v>1999</v>
      </c>
      <c r="AF89" s="1" t="s">
        <v>1981</v>
      </c>
      <c r="AG89" s="6" t="s">
        <v>2004</v>
      </c>
      <c r="AH89" s="1" t="s">
        <v>2005</v>
      </c>
      <c r="AI89" s="6" t="s">
        <v>132</v>
      </c>
      <c r="AJ89" s="6" t="s">
        <v>2006</v>
      </c>
      <c r="AK89" s="1" t="s">
        <v>2007</v>
      </c>
      <c r="AL89" s="6" t="s">
        <v>2008</v>
      </c>
    </row>
    <row r="90" ht="15.75" hidden="1" customHeight="1">
      <c r="A90" s="1" t="s">
        <v>38</v>
      </c>
      <c r="B90" s="1" t="s">
        <v>2009</v>
      </c>
      <c r="C90" s="1" t="s">
        <v>2010</v>
      </c>
      <c r="D90" s="7" t="str">
        <f>IFERROR(__xludf.DUMMYFUNCTION("GOOGLETRANSLATE(C90, ""en"", ""ar"")"),"رسالة خطأ نسخ إلى الحافظة")</f>
        <v>رسالة خطأ نسخ إلى الحافظة</v>
      </c>
      <c r="E90" s="1" t="s">
        <v>2011</v>
      </c>
      <c r="F90" s="6" t="s">
        <v>2012</v>
      </c>
      <c r="G90" s="7" t="str">
        <f>IFERROR(__xludf.DUMMYFUNCTION("GOOGLETRANSLATE(C90, ""en"", ""cs"")"),"Zkopírovaná chybová zpráva do schránky")</f>
        <v>Zkopírovaná chybová zpráva do schránky</v>
      </c>
      <c r="H90" s="7" t="str">
        <f>IFERROR(__xludf.DUMMYFUNCTION("GOOGLETRANSLATE(C90, ""en"", ""da"")"),"Kopieret fejlmeddelelse til udklipsholder")</f>
        <v>Kopieret fejlmeddelelse til udklipsholder</v>
      </c>
      <c r="I90" s="1" t="s">
        <v>2013</v>
      </c>
      <c r="J90" s="6" t="s">
        <v>132</v>
      </c>
      <c r="K90" s="1" t="s">
        <v>2014</v>
      </c>
      <c r="L90" s="7" t="str">
        <f>IFERROR(__xludf.DUMMYFUNCTION("GOOGLETRANSLATE(C90, ""en"", ""fi"")"),"Kopioitu virheilmoitus leikepöydälle")</f>
        <v>Kopioitu virheilmoitus leikepöydälle</v>
      </c>
      <c r="M90" s="13" t="s">
        <v>2015</v>
      </c>
      <c r="N90" s="6" t="s">
        <v>2016</v>
      </c>
      <c r="O90" s="6" t="s">
        <v>132</v>
      </c>
      <c r="P90" s="1" t="s">
        <v>2017</v>
      </c>
      <c r="Q90" s="7" t="str">
        <f>IFERROR(__xludf.DUMMYFUNCTION("GOOGLETRANSLATE(C90, ""en"", ""in"")"),"Pesan kesalahan yang disalin ke clipboard")</f>
        <v>Pesan kesalahan yang disalin ke clipboard</v>
      </c>
      <c r="R90" s="1" t="s">
        <v>2018</v>
      </c>
      <c r="S90" s="6" t="s">
        <v>132</v>
      </c>
      <c r="T90" s="7" t="str">
        <f>IFERROR(__xludf.DUMMYFUNCTION("GOOGLETRANSLATE(C90, ""en"", ""ja"")"),"クリップボードにエラーメッセージをコピーしました")</f>
        <v>クリップボードにエラーメッセージをコピーしました</v>
      </c>
      <c r="U90" s="7" t="str">
        <f>IFERROR(__xludf.DUMMYFUNCTION("GOOGLETRANSLATE(C90, ""en"", ""ko"")"),"클립 보드에 복사 된 오류 메시지가 표시됩니다")</f>
        <v>클립 보드에 복사 된 오류 메시지가 표시됩니다</v>
      </c>
      <c r="V90" s="7" t="str">
        <f>IFERROR(__xludf.DUMMYFUNCTION("GOOGLETRANSLATE(C90, ""en"", ""ms"")"),"Mesej ralat disalin ke papan klip")</f>
        <v>Mesej ralat disalin ke papan klip</v>
      </c>
      <c r="W90" s="1" t="s">
        <v>2019</v>
      </c>
      <c r="X90" s="7" t="str">
        <f>IFERROR(__xludf.DUMMYFUNCTION("GOOGLETRANSLATE(C90, ""en"", ""no"")"),"Kopiert feilmelding til utklippstavlen")</f>
        <v>Kopiert feilmelding til utklippstavlen</v>
      </c>
      <c r="Y90" s="1" t="s">
        <v>2020</v>
      </c>
      <c r="Z90" s="7" t="str">
        <f>IFERROR(__xludf.DUMMYFUNCTION("GOOGLETRANSLATE(C90, ""en"", ""pt"")"),"Mensagem de erro copiada para a área de transferência")</f>
        <v>Mensagem de erro copiada para a área de transferência</v>
      </c>
      <c r="AA90" s="7" t="str">
        <f>IFERROR(__xludf.DUMMYFUNCTION("GOOGLETRANSLATE(C90, ""en"", ""ro"")"),"Mesaj de eroare copiat în clipboard")</f>
        <v>Mesaj de eroare copiat în clipboard</v>
      </c>
      <c r="AB90" s="7" t="str">
        <f>IFERROR(__xludf.DUMMYFUNCTION("GOOGLETRANSLATE(C90, ""en"", ""ru"")"),"Скопированное сообщение об ошибке в буфер обмена")</f>
        <v>Скопированное сообщение об ошибке в буфер обмена</v>
      </c>
      <c r="AC90" s="7" t="str">
        <f>IFERROR(__xludf.DUMMYFUNCTION("GOOGLETRANSLATE(C90, ""en"", ""sk"")"),"Kopírované chybové hlásenie do schránky")</f>
        <v>Kopírované chybové hlásenie do schránky</v>
      </c>
      <c r="AD90" s="6" t="s">
        <v>132</v>
      </c>
      <c r="AE90" s="7" t="str">
        <f>IFERROR(__xludf.DUMMYFUNCTION("GOOGLETRANSLATE(C90, ""en"", ""sr"")"),"Порука о грешци копиране грешке у међуспремник")</f>
        <v>Порука о грешци копиране грешке у међуспремник</v>
      </c>
      <c r="AF90" s="7" t="str">
        <f>IFERROR(__xludf.DUMMYFUNCTION("GOOGLETRANSLATE(C90, ""en"", ""sv"")"),"Kopierat felmeddelande till Urklipp")</f>
        <v>Kopierat felmeddelande till Urklipp</v>
      </c>
      <c r="AG90" s="6" t="s">
        <v>132</v>
      </c>
      <c r="AH90" s="7" t="str">
        <f>IFERROR(__xludf.DUMMYFUNCTION("GOOGLETRANSLATE(C90, ""en"", ""tr"")"),"Panoya kopyalandı hata mesajı")</f>
        <v>Panoya kopyalandı hata mesajı</v>
      </c>
      <c r="AI90" s="6" t="s">
        <v>132</v>
      </c>
      <c r="AJ90" s="6" t="s">
        <v>132</v>
      </c>
      <c r="AK90" s="7" t="str">
        <f>IFERROR(__xludf.DUMMYFUNCTION("GOOGLETRANSLATE(C90, ""en"", ""zh"")"),"将错误消息复制到剪贴板")</f>
        <v>将错误消息复制到剪贴板</v>
      </c>
      <c r="AL90" s="6" t="s">
        <v>132</v>
      </c>
    </row>
    <row r="91" ht="15.75" hidden="1" customHeight="1">
      <c r="A91" s="1" t="s">
        <v>38</v>
      </c>
      <c r="B91" s="1" t="s">
        <v>2021</v>
      </c>
      <c r="C91" s="1" t="s">
        <v>2022</v>
      </c>
      <c r="D91" s="8" t="s">
        <v>2023</v>
      </c>
      <c r="E91" s="1" t="s">
        <v>2024</v>
      </c>
      <c r="F91" s="6" t="s">
        <v>2025</v>
      </c>
      <c r="G91" s="7" t="str">
        <f>IFERROR(__xludf.DUMMYFUNCTION("GOOGLETRANSLATE(C91, ""en"", ""cs"")"),"Nechte prázdný k ověření w / certifikát")</f>
        <v>Nechte prázdný k ověření w / certifikát</v>
      </c>
      <c r="H91" s="7" t="str">
        <f>IFERROR(__xludf.DUMMYFUNCTION("GOOGLETRANSLATE(C91, ""en"", ""da"")"),"Forlad tom for at godkende W / certifikat")</f>
        <v>Forlad tom for at godkende W / certifikat</v>
      </c>
      <c r="I91" s="1" t="s">
        <v>2026</v>
      </c>
      <c r="J91" s="6" t="s">
        <v>132</v>
      </c>
      <c r="K91" s="1" t="s">
        <v>2027</v>
      </c>
      <c r="L91" s="7" t="str">
        <f>IFERROR(__xludf.DUMMYFUNCTION("GOOGLETRANSLATE(C91, ""en"", ""fi"")"),"Jätä tyhjä todentaa w / sertifikaatti")</f>
        <v>Jätä tyhjä todentaa w / sertifikaatti</v>
      </c>
      <c r="M91" s="1" t="s">
        <v>2028</v>
      </c>
      <c r="N91" s="6" t="s">
        <v>2029</v>
      </c>
      <c r="O91" s="6" t="s">
        <v>132</v>
      </c>
      <c r="P91" s="1" t="s">
        <v>2030</v>
      </c>
      <c r="Q91" s="7" t="str">
        <f>IFERROR(__xludf.DUMMYFUNCTION("GOOGLETRANSLATE(C91, ""en"", ""in"")"),"Biarkan kosong untuk mengautentikasi dg sertifikat")</f>
        <v>Biarkan kosong untuk mengautentikasi dg sertifikat</v>
      </c>
      <c r="R91" s="1" t="s">
        <v>2031</v>
      </c>
      <c r="S91" s="6" t="s">
        <v>132</v>
      </c>
      <c r="T91" s="1" t="s">
        <v>2032</v>
      </c>
      <c r="U91" s="1" t="s">
        <v>2033</v>
      </c>
      <c r="V91" s="7" t="str">
        <f>IFERROR(__xludf.DUMMYFUNCTION("GOOGLETRANSLATE(C91, ""en"", ""ms"")"),"Tinggalkan kosong untuk mengesahkan w / sijil")</f>
        <v>Tinggalkan kosong untuk mengesahkan w / sijil</v>
      </c>
      <c r="W91" s="1" t="s">
        <v>2034</v>
      </c>
      <c r="X91" s="7" t="str">
        <f>IFERROR(__xludf.DUMMYFUNCTION("GOOGLETRANSLATE(C91, ""en"", ""no"")"),"La være tomt for å autentisere w / sertifikat")</f>
        <v>La være tomt for å autentisere w / sertifikat</v>
      </c>
      <c r="Y91" s="1" t="s">
        <v>2035</v>
      </c>
      <c r="Z91" s="1" t="s">
        <v>2036</v>
      </c>
      <c r="AA91" s="7" t="str">
        <f>IFERROR(__xludf.DUMMYFUNCTION("GOOGLETRANSLATE(C91, ""en"", ""ro"")"),"Lăsați gol pentru a autentifica W / certificat")</f>
        <v>Lăsați gol pentru a autentifica W / certificat</v>
      </c>
      <c r="AB91" s="1" t="s">
        <v>2037</v>
      </c>
      <c r="AC91" s="7" t="str">
        <f>IFERROR(__xludf.DUMMYFUNCTION("GOOGLETRANSLATE(C91, ""en"", ""sk"")"),"Nechajte prázdne na overenie w / certifikátu")</f>
        <v>Nechajte prázdne na overenie w / certifikátu</v>
      </c>
      <c r="AD91" s="6" t="s">
        <v>132</v>
      </c>
      <c r="AE91" s="1" t="s">
        <v>2038</v>
      </c>
      <c r="AF91" s="1" t="s">
        <v>2039</v>
      </c>
      <c r="AG91" s="6" t="s">
        <v>132</v>
      </c>
      <c r="AH91" s="7" t="str">
        <f>IFERROR(__xludf.DUMMYFUNCTION("GOOGLETRANSLATE(C91, ""en"", ""tr"")"),"W / sertifikasını doğrulamak için boş bırakın")</f>
        <v>W / sertifikasını doğrulamak için boş bırakın</v>
      </c>
      <c r="AI91" s="6" t="s">
        <v>2040</v>
      </c>
      <c r="AJ91" s="6" t="s">
        <v>2041</v>
      </c>
      <c r="AK91" s="7" t="str">
        <f>IFERROR(__xludf.DUMMYFUNCTION("GOOGLETRANSLATE(C91, ""en"", ""zh"")"),"留空以验证W /证书")</f>
        <v>留空以验证W /证书</v>
      </c>
      <c r="AL91" s="6" t="s">
        <v>2042</v>
      </c>
    </row>
    <row r="92" ht="15.75" hidden="1" customHeight="1">
      <c r="A92" s="1" t="s">
        <v>38</v>
      </c>
      <c r="B92" s="1" t="s">
        <v>2043</v>
      </c>
      <c r="C92" s="1" t="s">
        <v>2044</v>
      </c>
      <c r="D92" s="7" t="str">
        <f>IFERROR(__xludf.DUMMYFUNCTION("GOOGLETRANSLATE(C92, ""en"", ""ar"")"),"أنت تحاول إزالة٪ S من دردشة جماعية عامة. الطريقة الوحيدة للقيام بذلك هي حظر هذا المستخدم من أي وقت مضى.")</f>
        <v>أنت تحاول إزالة٪ S من دردشة جماعية عامة. الطريقة الوحيدة للقيام بذلك هي حظر هذا المستخدم من أي وقت مضى.</v>
      </c>
      <c r="E92" s="1" t="s">
        <v>2045</v>
      </c>
      <c r="F92" s="6" t="s">
        <v>2046</v>
      </c>
      <c r="G92" s="7" t="str">
        <f>IFERROR(__xludf.DUMMYFUNCTION("GOOGLETRANSLATE(C92, ""en"", ""cs"")"),"Snažíte se odstranit% s z veřejné skupiny Chat. Jediný způsob, jak to udělat, je zakázat tohoto uživatele pro vůbec.")</f>
        <v>Snažíte se odstranit% s z veřejné skupiny Chat. Jediný způsob, jak to udělat, je zakázat tohoto uživatele pro vůbec.</v>
      </c>
      <c r="H92" s="7" t="str">
        <f>IFERROR(__xludf.DUMMYFUNCTION("GOOGLETRANSLATE(C92, ""en"", ""da"")"),"Du forsøger at fjerne% s fra en offentlig gruppe chat. Den eneste måde at gøre det på er at forbyde den bruger for evigt.")</f>
        <v>Du forsøger at fjerne% s fra en offentlig gruppe chat. Den eneste måde at gøre det på er at forbyde den bruger for evigt.</v>
      </c>
      <c r="I92" s="1" t="s">
        <v>2047</v>
      </c>
      <c r="J92" s="6" t="s">
        <v>132</v>
      </c>
      <c r="K92" s="1" t="s">
        <v>2048</v>
      </c>
      <c r="L92" s="7" t="str">
        <f>IFERROR(__xludf.DUMMYFUNCTION("GOOGLETRANSLATE(C92, ""en"", ""fi"")"),"Yrität poistaa% s julkisen ryhmän keskustelusta. Ainoa tapa tehdä tämä on kiellettävä käyttäjä ikuisesti.")</f>
        <v>Yrität poistaa% s julkisen ryhmän keskustelusta. Ainoa tapa tehdä tämä on kiellettävä käyttäjä ikuisesti.</v>
      </c>
      <c r="M92" s="1" t="s">
        <v>2049</v>
      </c>
      <c r="N92" s="6" t="s">
        <v>2050</v>
      </c>
      <c r="O92" s="6" t="s">
        <v>132</v>
      </c>
      <c r="P92" s="1" t="s">
        <v>2051</v>
      </c>
      <c r="Q92" s="7" t="str">
        <f>IFERROR(__xludf.DUMMYFUNCTION("GOOGLETRANSLATE(C92, ""en"", ""in"")"),"Anda mencoba untuk menghapus% s dari obrolan grup publik. Satu-satunya cara untuk melakukan itu adalah untuk melarang pengguna itu selamanya.")</f>
        <v>Anda mencoba untuk menghapus% s dari obrolan grup publik. Satu-satunya cara untuk melakukan itu adalah untuk melarang pengguna itu selamanya.</v>
      </c>
      <c r="R92" s="1" t="s">
        <v>2052</v>
      </c>
      <c r="S92" s="6" t="s">
        <v>132</v>
      </c>
      <c r="T92" s="7" t="str">
        <f>IFERROR(__xludf.DUMMYFUNCTION("GOOGLETRANSLATE(C92, ""en"", ""ja"")"),"あなたはパブリックグループチャットから％sを削除しようとしています。それをする唯一の方法は、そのユーザーを禁止することです。")</f>
        <v>あなたはパブリックグループチャットから％sを削除しようとしています。それをする唯一の方法は、そのユーザーを禁止することです。</v>
      </c>
      <c r="U92" s="7" t="str">
        <f>IFERROR(__xludf.DUMMYFUNCTION("GOOGLETRANSLATE(C92, ""en"", ""ko"")"),"공개 그룹 채팅에서 % s을 제거하려고합니다. 그렇게 할 수있는 유일한 방법은 그 사용자를 영원히 금지하는 것입니다.")</f>
        <v>공개 그룹 채팅에서 % s을 제거하려고합니다. 그렇게 할 수있는 유일한 방법은 그 사용자를 영원히 금지하는 것입니다.</v>
      </c>
      <c r="V92" s="7" t="str">
        <f>IFERROR(__xludf.DUMMYFUNCTION("GOOGLETRANSLATE(C92, ""en"", ""ms"")"),"Anda cuba mengeluarkan% s dari sembang kumpulan awam. Satu-satunya cara untuk melakukan itu adalah untuk mengharamkan pengguna itu selama-lamanya.")</f>
        <v>Anda cuba mengeluarkan% s dari sembang kumpulan awam. Satu-satunya cara untuk melakukan itu adalah untuk mengharamkan pengguna itu selama-lamanya.</v>
      </c>
      <c r="W92" s="1" t="s">
        <v>2053</v>
      </c>
      <c r="X92" s="7" t="str">
        <f>IFERROR(__xludf.DUMMYFUNCTION("GOOGLETRANSLATE(C92, ""en"", ""no"")"),"Du prøver å fjerne% s fra en offentlig gruppechat. Den eneste måten å gjøre det på er å forby den brukeren for alltid.")</f>
        <v>Du prøver å fjerne% s fra en offentlig gruppechat. Den eneste måten å gjøre det på er å forby den brukeren for alltid.</v>
      </c>
      <c r="Y92" s="1" t="s">
        <v>2054</v>
      </c>
      <c r="Z92" s="1" t="s">
        <v>2055</v>
      </c>
      <c r="AA92" s="7" t="str">
        <f>IFERROR(__xludf.DUMMYFUNCTION("GOOGLETRANSLATE(C92, ""en"", ""ro"")"),"Încercați să eliminați% s de la un grup public de chat. Singura modalitate de a face acest lucru este de a interzice acel utilizator pentru totdeauna.")</f>
        <v>Încercați să eliminați% s de la un grup public de chat. Singura modalitate de a face acest lucru este de a interzice acel utilizator pentru totdeauna.</v>
      </c>
      <c r="AB92" s="1" t="s">
        <v>2056</v>
      </c>
      <c r="AC92" s="7" t="str">
        <f>IFERROR(__xludf.DUMMYFUNCTION("GOOGLETRANSLATE(C92, ""en"", ""sk"")"),"Snažíte sa odstrániť% s od firmy verejnej skupiny. Jediný spôsob, ako to urobiť, je zákaz toho používateľa na veky.")</f>
        <v>Snažíte sa odstrániť% s od firmy verejnej skupiny. Jediný spôsob, ako to urobiť, je zákaz toho používateľa na veky.</v>
      </c>
      <c r="AD92" s="6" t="s">
        <v>132</v>
      </c>
      <c r="AE92" s="7" t="str">
        <f>IFERROR(__xludf.DUMMYFUNCTION("GOOGLETRANSLATE(C92, ""en"", ""sr"")"),"Покушавате да уклоните% с из јавне групе Цхат. Једини начин да се то уради је да забрани тај корисник заувек.")</f>
        <v>Покушавате да уклоните% с из јавне групе Цхат. Једини начин да се то уради је да забрани тај корисник заувек.</v>
      </c>
      <c r="AF92" s="7" t="str">
        <f>IFERROR(__xludf.DUMMYFUNCTION("GOOGLETRANSLATE(C92, ""en"", ""sv"")"),"Du försöker ta bort% s från en offentlig gruppchatt. Det enda sättet att göra det är att förbjuda den användaren för alltid.")</f>
        <v>Du försöker ta bort% s från en offentlig gruppchatt. Det enda sättet att göra det är att förbjuda den användaren för alltid.</v>
      </c>
      <c r="AG92" s="6" t="s">
        <v>132</v>
      </c>
      <c r="AH92" s="13" t="s">
        <v>2057</v>
      </c>
      <c r="AI92" s="6" t="s">
        <v>132</v>
      </c>
      <c r="AJ92" s="6" t="s">
        <v>132</v>
      </c>
      <c r="AK92" s="7" t="str">
        <f>IFERROR(__xludf.DUMMYFUNCTION("GOOGLETRANSLATE(C92, ""en"", ""zh"")"),"您正在尝试从公共组聊天中删除％s。这样做的唯一方法就是禁止永远的用户。")</f>
        <v>您正在尝试从公共组聊天中删除％s。这样做的唯一方法就是禁止永远的用户。</v>
      </c>
      <c r="AL92" s="6" t="s">
        <v>132</v>
      </c>
    </row>
    <row r="93" ht="15.75" hidden="1" customHeight="1">
      <c r="A93" s="1" t="s">
        <v>38</v>
      </c>
      <c r="B93" s="1" t="s">
        <v>2058</v>
      </c>
      <c r="C93" s="1" t="s">
        <v>2059</v>
      </c>
      <c r="D93" s="7" t="str">
        <f>IFERROR(__xludf.DUMMYFUNCTION("GOOGLETRANSLATE(C93, ""en"", ""ar"")"),"أرمينيا")</f>
        <v>أرمينيا</v>
      </c>
      <c r="E93" s="7" t="str">
        <f>IFERROR(__xludf.DUMMYFUNCTION("GOOGLETRANSLATE(C93, ""en"", ""bg"")"),"Армения")</f>
        <v>Армения</v>
      </c>
      <c r="F93" s="6" t="s">
        <v>132</v>
      </c>
      <c r="G93" s="7" t="str">
        <f>IFERROR(__xludf.DUMMYFUNCTION("GOOGLETRANSLATE(C93, ""en"", ""cs"")"),"Arménie")</f>
        <v>Arménie</v>
      </c>
      <c r="H93" s="7" t="str">
        <f>IFERROR(__xludf.DUMMYFUNCTION("GOOGLETRANSLATE(C93, ""en"", ""da"")"),"Armenien.")</f>
        <v>Armenien.</v>
      </c>
      <c r="I93" s="1" t="s">
        <v>2060</v>
      </c>
      <c r="J93" s="6" t="s">
        <v>132</v>
      </c>
      <c r="K93" s="1" t="s">
        <v>2059</v>
      </c>
      <c r="L93" s="7" t="str">
        <f>IFERROR(__xludf.DUMMYFUNCTION("GOOGLETRANSLATE(C93, ""en"", ""fi"")"),"Armenia")</f>
        <v>Armenia</v>
      </c>
      <c r="M93" s="1" t="s">
        <v>2061</v>
      </c>
      <c r="N93" s="6" t="s">
        <v>132</v>
      </c>
      <c r="O93" s="6" t="s">
        <v>132</v>
      </c>
      <c r="P93" s="1" t="s">
        <v>2059</v>
      </c>
      <c r="Q93" s="7" t="str">
        <f>IFERROR(__xludf.DUMMYFUNCTION("GOOGLETRANSLATE(C93, ""en"", ""in"")"),"Armenia")</f>
        <v>Armenia</v>
      </c>
      <c r="R93" s="7" t="str">
        <f>IFERROR(__xludf.DUMMYFUNCTION("GOOGLETRANSLATE(C93, ""en"", ""it"")"),"Armenia")</f>
        <v>Armenia</v>
      </c>
      <c r="S93" s="6" t="s">
        <v>132</v>
      </c>
      <c r="T93" s="7" t="str">
        <f>IFERROR(__xludf.DUMMYFUNCTION("GOOGLETRANSLATE(C93, ""en"", ""ja"")"),"アルメニア")</f>
        <v>アルメニア</v>
      </c>
      <c r="U93" s="7" t="str">
        <f>IFERROR(__xludf.DUMMYFUNCTION("GOOGLETRANSLATE(C93, ""en"", ""ko"")"),"아르메니아의")</f>
        <v>아르메니아의</v>
      </c>
      <c r="V93" s="7" t="str">
        <f>IFERROR(__xludf.DUMMYFUNCTION("GOOGLETRANSLATE(C93, ""en"", ""ms"")"),"Armenia")</f>
        <v>Armenia</v>
      </c>
      <c r="W93" s="7" t="str">
        <f>IFERROR(__xludf.DUMMYFUNCTION("GOOGLETRANSLATE(C93, ""en"", ""nl"")"),"Armenië")</f>
        <v>Armenië</v>
      </c>
      <c r="X93" s="7" t="str">
        <f>IFERROR(__xludf.DUMMYFUNCTION("GOOGLETRANSLATE(C93, ""en"", ""no"")"),"Armenia")</f>
        <v>Armenia</v>
      </c>
      <c r="Y93" s="7" t="str">
        <f>IFERROR(__xludf.DUMMYFUNCTION("GOOGLETRANSLATE(C93, ""en"", ""pl"")"),"Armenia")</f>
        <v>Armenia</v>
      </c>
      <c r="Z93" s="7" t="str">
        <f>IFERROR(__xludf.DUMMYFUNCTION("GOOGLETRANSLATE(C93, ""en"", ""pt"")"),"Armênia")</f>
        <v>Armênia</v>
      </c>
      <c r="AA93" s="7" t="str">
        <f>IFERROR(__xludf.DUMMYFUNCTION("GOOGLETRANSLATE(C93, ""en"", ""ro"")"),"Armenia")</f>
        <v>Armenia</v>
      </c>
      <c r="AB93" s="1" t="s">
        <v>2062</v>
      </c>
      <c r="AC93" s="7" t="str">
        <f>IFERROR(__xludf.DUMMYFUNCTION("GOOGLETRANSLATE(C93, ""en"", ""sk"")"),"Arménsko")</f>
        <v>Arménsko</v>
      </c>
      <c r="AD93" s="6" t="s">
        <v>132</v>
      </c>
      <c r="AE93" s="1" t="s">
        <v>2063</v>
      </c>
      <c r="AF93" s="7" t="str">
        <f>IFERROR(__xludf.DUMMYFUNCTION("GOOGLETRANSLATE(C93, ""en"", ""sv"")"),"Armeni")</f>
        <v>Armeni</v>
      </c>
      <c r="AG93" s="6" t="s">
        <v>132</v>
      </c>
      <c r="AH93" s="7" t="str">
        <f>IFERROR(__xludf.DUMMYFUNCTION("GOOGLETRANSLATE(C93, ""en"", ""tr"")"),"Ermenistan")</f>
        <v>Ermenistan</v>
      </c>
      <c r="AI93" s="6" t="s">
        <v>132</v>
      </c>
      <c r="AJ93" s="6" t="s">
        <v>132</v>
      </c>
      <c r="AK93" s="7" t="str">
        <f>IFERROR(__xludf.DUMMYFUNCTION("GOOGLETRANSLATE(C93, ""en"", ""zh"")"),"亚美尼亚")</f>
        <v>亚美尼亚</v>
      </c>
      <c r="AL93" s="6" t="s">
        <v>132</v>
      </c>
    </row>
    <row r="94" ht="15.75" customHeight="1">
      <c r="A94" s="1" t="s">
        <v>127</v>
      </c>
      <c r="B94" s="1" t="s">
        <v>2064</v>
      </c>
      <c r="C94" s="1" t="s">
        <v>2065</v>
      </c>
      <c r="D94" s="8" t="s">
        <v>2066</v>
      </c>
      <c r="E94" s="1" t="s">
        <v>2067</v>
      </c>
      <c r="F94" s="6" t="s">
        <v>132</v>
      </c>
      <c r="G94" s="1" t="s">
        <v>2068</v>
      </c>
      <c r="H94" s="1" t="s">
        <v>2069</v>
      </c>
      <c r="I94" s="1" t="s">
        <v>2070</v>
      </c>
      <c r="J94" s="6" t="s">
        <v>2071</v>
      </c>
      <c r="K94" s="1" t="s">
        <v>2072</v>
      </c>
      <c r="L94" s="1" t="s">
        <v>2073</v>
      </c>
      <c r="M94" s="1" t="s">
        <v>2074</v>
      </c>
      <c r="N94" s="6" t="s">
        <v>132</v>
      </c>
      <c r="O94" s="6" t="s">
        <v>2075</v>
      </c>
      <c r="P94" s="1" t="s">
        <v>2076</v>
      </c>
      <c r="Q94" s="1" t="s">
        <v>2077</v>
      </c>
      <c r="R94" s="1" t="s">
        <v>2078</v>
      </c>
      <c r="S94" s="10" t="s">
        <v>2079</v>
      </c>
      <c r="T94" s="1" t="s">
        <v>2080</v>
      </c>
      <c r="U94" s="1" t="s">
        <v>2081</v>
      </c>
      <c r="V94" s="1" t="s">
        <v>2077</v>
      </c>
      <c r="W94" s="1" t="s">
        <v>2082</v>
      </c>
      <c r="X94" s="1" t="s">
        <v>2083</v>
      </c>
      <c r="Y94" s="1" t="s">
        <v>2084</v>
      </c>
      <c r="Z94" s="1" t="s">
        <v>2085</v>
      </c>
      <c r="AA94" s="1" t="s">
        <v>2086</v>
      </c>
      <c r="AB94" s="1" t="s">
        <v>2087</v>
      </c>
      <c r="AC94" s="1" t="s">
        <v>2088</v>
      </c>
      <c r="AD94" s="6" t="s">
        <v>2089</v>
      </c>
      <c r="AE94" s="1" t="s">
        <v>2090</v>
      </c>
      <c r="AF94" s="1" t="s">
        <v>2091</v>
      </c>
      <c r="AG94" s="6" t="s">
        <v>2092</v>
      </c>
      <c r="AH94" s="1" t="s">
        <v>2093</v>
      </c>
      <c r="AI94" s="6" t="s">
        <v>132</v>
      </c>
      <c r="AJ94" s="6" t="s">
        <v>2094</v>
      </c>
      <c r="AK94" s="1" t="s">
        <v>2095</v>
      </c>
      <c r="AL94" s="6" t="s">
        <v>132</v>
      </c>
    </row>
    <row r="95" ht="15.75" customHeight="1">
      <c r="A95" s="1" t="s">
        <v>127</v>
      </c>
      <c r="B95" s="1" t="s">
        <v>2096</v>
      </c>
      <c r="C95" s="1" t="s">
        <v>2097</v>
      </c>
      <c r="D95" s="8" t="s">
        <v>2098</v>
      </c>
      <c r="E95" s="1" t="s">
        <v>2099</v>
      </c>
      <c r="F95" s="6" t="s">
        <v>132</v>
      </c>
      <c r="G95" s="1" t="s">
        <v>2100</v>
      </c>
      <c r="H95" s="1" t="s">
        <v>2101</v>
      </c>
      <c r="I95" s="1" t="s">
        <v>2102</v>
      </c>
      <c r="J95" s="6" t="s">
        <v>2103</v>
      </c>
      <c r="K95" s="1" t="s">
        <v>2104</v>
      </c>
      <c r="L95" s="1" t="s">
        <v>2105</v>
      </c>
      <c r="M95" s="1" t="s">
        <v>2106</v>
      </c>
      <c r="N95" s="6" t="s">
        <v>132</v>
      </c>
      <c r="O95" s="6" t="s">
        <v>2107</v>
      </c>
      <c r="P95" s="1" t="s">
        <v>2108</v>
      </c>
      <c r="Q95" s="1" t="s">
        <v>2109</v>
      </c>
      <c r="R95" s="1" t="s">
        <v>2110</v>
      </c>
      <c r="S95" s="10" t="s">
        <v>2111</v>
      </c>
      <c r="T95" s="1" t="s">
        <v>2112</v>
      </c>
      <c r="U95" s="1" t="s">
        <v>2113</v>
      </c>
      <c r="V95" s="1" t="s">
        <v>2114</v>
      </c>
      <c r="W95" s="1" t="s">
        <v>2115</v>
      </c>
      <c r="X95" s="1" t="s">
        <v>2116</v>
      </c>
      <c r="Y95" s="1" t="s">
        <v>2117</v>
      </c>
      <c r="Z95" s="1" t="s">
        <v>2118</v>
      </c>
      <c r="AA95" s="1" t="s">
        <v>2119</v>
      </c>
      <c r="AB95" s="1" t="s">
        <v>2120</v>
      </c>
      <c r="AC95" s="1" t="s">
        <v>2121</v>
      </c>
      <c r="AD95" s="6" t="s">
        <v>2122</v>
      </c>
      <c r="AE95" s="1" t="s">
        <v>2123</v>
      </c>
      <c r="AF95" s="1" t="s">
        <v>2124</v>
      </c>
      <c r="AG95" s="6" t="s">
        <v>2125</v>
      </c>
      <c r="AH95" s="1" t="s">
        <v>2126</v>
      </c>
      <c r="AI95" s="6" t="s">
        <v>132</v>
      </c>
      <c r="AJ95" s="6" t="s">
        <v>2127</v>
      </c>
      <c r="AK95" s="1" t="s">
        <v>2128</v>
      </c>
      <c r="AL95" s="6" t="s">
        <v>132</v>
      </c>
    </row>
    <row r="96" ht="15.75" hidden="1" customHeight="1">
      <c r="A96" s="1" t="s">
        <v>38</v>
      </c>
      <c r="B96" s="1" t="s">
        <v>2129</v>
      </c>
      <c r="C96" s="1" t="s">
        <v>2130</v>
      </c>
      <c r="D96" s="7" t="str">
        <f>IFERROR(__xludf.DUMMYFUNCTION("GOOGLETRANSLATE(C96, ""en"", ""ar"")"),"الرجاء إدخال رقم التعريف الشخصي المكون من 6 أرقام.")</f>
        <v>الرجاء إدخال رقم التعريف الشخصي المكون من 6 أرقام.</v>
      </c>
      <c r="E96" s="1" t="s">
        <v>2131</v>
      </c>
      <c r="F96" s="6" t="s">
        <v>132</v>
      </c>
      <c r="G96" s="7" t="str">
        <f>IFERROR(__xludf.DUMMYFUNCTION("GOOGLETRANSLATE(C96, ""en"", ""cs"")"),"Zadejte svůj 6místný pin.")</f>
        <v>Zadejte svůj 6místný pin.</v>
      </c>
      <c r="H96" s="7" t="str">
        <f>IFERROR(__xludf.DUMMYFUNCTION("GOOGLETRANSLATE(C96, ""en"", ""da"")"),"Indtast venligst din 6-cifrede PIN-kode.")</f>
        <v>Indtast venligst din 6-cifrede PIN-kode.</v>
      </c>
      <c r="I96" s="1" t="s">
        <v>2132</v>
      </c>
      <c r="J96" s="6" t="s">
        <v>132</v>
      </c>
      <c r="K96" s="1" t="s">
        <v>2133</v>
      </c>
      <c r="L96" s="7" t="str">
        <f>IFERROR(__xludf.DUMMYFUNCTION("GOOGLETRANSLATE(C96, ""en"", ""fi"")"),"Anna 6-numeroinen PIN-koodi.")</f>
        <v>Anna 6-numeroinen PIN-koodi.</v>
      </c>
      <c r="M96" s="7" t="str">
        <f>IFERROR(__xludf.DUMMYFUNCTION("GOOGLETRANSLATE(C96, ""en"", ""fr"")"),"Veuillez entrer votre code PIN à 6 chiffres.")</f>
        <v>Veuillez entrer votre code PIN à 6 chiffres.</v>
      </c>
      <c r="N96" s="6" t="s">
        <v>2134</v>
      </c>
      <c r="O96" s="6" t="s">
        <v>132</v>
      </c>
      <c r="P96" s="1" t="s">
        <v>2135</v>
      </c>
      <c r="Q96" s="7" t="str">
        <f>IFERROR(__xludf.DUMMYFUNCTION("GOOGLETRANSLATE(C96, ""en"", ""in"")"),"Silakan masukkan PIN 6 digit Anda.")</f>
        <v>Silakan masukkan PIN 6 digit Anda.</v>
      </c>
      <c r="R96" s="1" t="s">
        <v>2136</v>
      </c>
      <c r="S96" s="6" t="s">
        <v>132</v>
      </c>
      <c r="T96" s="7" t="str">
        <f>IFERROR(__xludf.DUMMYFUNCTION("GOOGLETRANSLATE(C96, ""en"", ""ja"")"),"6桁のピンを入力してください。")</f>
        <v>6桁のピンを入力してください。</v>
      </c>
      <c r="U96" s="7" t="str">
        <f>IFERROR(__xludf.DUMMYFUNCTION("GOOGLETRANSLATE(C96, ""en"", ""ko"")"),"6 자리 핀을 입력하십시오.")</f>
        <v>6 자리 핀을 입력하십시오.</v>
      </c>
      <c r="V96" s="7" t="str">
        <f>IFERROR(__xludf.DUMMYFUNCTION("GOOGLETRANSLATE(C96, ""en"", ""ms"")"),"Sila masukkan PIN 6 digit anda.")</f>
        <v>Sila masukkan PIN 6 digit anda.</v>
      </c>
      <c r="W96" s="1" t="s">
        <v>2137</v>
      </c>
      <c r="X96" s="7" t="str">
        <f>IFERROR(__xludf.DUMMYFUNCTION("GOOGLETRANSLATE(C96, ""en"", ""no"")"),"Vennligst skriv inn din 6-sifrede PIN-kode.")</f>
        <v>Vennligst skriv inn din 6-sifrede PIN-kode.</v>
      </c>
      <c r="Y96" s="1" t="s">
        <v>2138</v>
      </c>
      <c r="Z96" s="7" t="str">
        <f>IFERROR(__xludf.DUMMYFUNCTION("GOOGLETRANSLATE(C96, ""en"", ""pt"")"),"Por favor, digite seu pino de 6 dígitos.")</f>
        <v>Por favor, digite seu pino de 6 dígitos.</v>
      </c>
      <c r="AA96" s="7" t="str">
        <f>IFERROR(__xludf.DUMMYFUNCTION("GOOGLETRANSLATE(C96, ""en"", ""ro"")"),"Introduceți codul PIN din 6 cifre.")</f>
        <v>Introduceți codul PIN din 6 cifre.</v>
      </c>
      <c r="AB96" s="7" t="str">
        <f>IFERROR(__xludf.DUMMYFUNCTION("GOOGLETRANSLATE(C96, ""en"", ""ru"")"),"Пожалуйста, введите свой 6-значный PIN-код.")</f>
        <v>Пожалуйста, введите свой 6-значный PIN-код.</v>
      </c>
      <c r="AC96" s="7" t="str">
        <f>IFERROR(__xludf.DUMMYFUNCTION("GOOGLETRANSLATE(C96, ""en"", ""sk"")"),"Zadajte svoj 6-miestny kód PIN.")</f>
        <v>Zadajte svoj 6-miestny kód PIN.</v>
      </c>
      <c r="AD96" s="6" t="s">
        <v>132</v>
      </c>
      <c r="AE96" s="7" t="str">
        <f>IFERROR(__xludf.DUMMYFUNCTION("GOOGLETRANSLATE(C96, ""en"", ""sr"")"),"Унесите свој 6-цифрени ПИН.")</f>
        <v>Унесите свој 6-цифрени ПИН.</v>
      </c>
      <c r="AF96" s="7" t="str">
        <f>IFERROR(__xludf.DUMMYFUNCTION("GOOGLETRANSLATE(C96, ""en"", ""sv"")"),"Vänligen ange din 6-siffriga PIN-kod.")</f>
        <v>Vänligen ange din 6-siffriga PIN-kod.</v>
      </c>
      <c r="AG96" s="6" t="s">
        <v>132</v>
      </c>
      <c r="AH96" s="13" t="s">
        <v>2139</v>
      </c>
      <c r="AI96" s="6" t="s">
        <v>132</v>
      </c>
      <c r="AJ96" s="6" t="s">
        <v>132</v>
      </c>
      <c r="AK96" s="7" t="str">
        <f>IFERROR(__xludf.DUMMYFUNCTION("GOOGLETRANSLATE(C96, ""en"", ""zh"")"),"请输入您的6位数PIN。")</f>
        <v>请输入您的6位数PIN。</v>
      </c>
      <c r="AL96" s="6" t="s">
        <v>132</v>
      </c>
    </row>
    <row r="97" ht="15.75" customHeight="1">
      <c r="A97" s="1" t="s">
        <v>127</v>
      </c>
      <c r="B97" s="1" t="s">
        <v>2140</v>
      </c>
      <c r="C97" s="1" t="s">
        <v>2141</v>
      </c>
      <c r="D97" s="8" t="s">
        <v>2142</v>
      </c>
      <c r="E97" s="1" t="s">
        <v>2143</v>
      </c>
      <c r="F97" s="6" t="s">
        <v>132</v>
      </c>
      <c r="G97" s="1" t="s">
        <v>2144</v>
      </c>
      <c r="H97" s="1" t="s">
        <v>2145</v>
      </c>
      <c r="I97" s="1" t="s">
        <v>2146</v>
      </c>
      <c r="J97" s="6" t="s">
        <v>2147</v>
      </c>
      <c r="K97" s="1" t="s">
        <v>2148</v>
      </c>
      <c r="L97" s="1" t="s">
        <v>2149</v>
      </c>
      <c r="M97" s="1" t="s">
        <v>2150</v>
      </c>
      <c r="N97" s="6" t="s">
        <v>132</v>
      </c>
      <c r="O97" s="6" t="s">
        <v>2151</v>
      </c>
      <c r="P97" s="1" t="s">
        <v>2152</v>
      </c>
      <c r="Q97" s="1" t="s">
        <v>2153</v>
      </c>
      <c r="R97" s="1" t="s">
        <v>2154</v>
      </c>
      <c r="S97" s="10" t="s">
        <v>2155</v>
      </c>
      <c r="T97" s="1" t="s">
        <v>2156</v>
      </c>
      <c r="U97" s="1" t="s">
        <v>2157</v>
      </c>
      <c r="V97" s="1" t="s">
        <v>2158</v>
      </c>
      <c r="W97" s="1" t="s">
        <v>2159</v>
      </c>
      <c r="X97" s="1" t="s">
        <v>2160</v>
      </c>
      <c r="Y97" s="1" t="s">
        <v>2161</v>
      </c>
      <c r="Z97" s="1" t="s">
        <v>2162</v>
      </c>
      <c r="AA97" s="1" t="s">
        <v>2163</v>
      </c>
      <c r="AB97" s="1" t="s">
        <v>2164</v>
      </c>
      <c r="AC97" s="1" t="s">
        <v>2165</v>
      </c>
      <c r="AD97" s="6" t="s">
        <v>2166</v>
      </c>
      <c r="AE97" s="1" t="s">
        <v>2167</v>
      </c>
      <c r="AF97" s="1" t="s">
        <v>2168</v>
      </c>
      <c r="AG97" s="6" t="s">
        <v>2169</v>
      </c>
      <c r="AH97" s="1" t="s">
        <v>2170</v>
      </c>
      <c r="AI97" s="6" t="s">
        <v>132</v>
      </c>
      <c r="AJ97" s="6" t="s">
        <v>2171</v>
      </c>
      <c r="AK97" s="1" t="s">
        <v>2172</v>
      </c>
      <c r="AL97" s="6" t="s">
        <v>132</v>
      </c>
    </row>
    <row r="98" ht="15.75" hidden="1" customHeight="1">
      <c r="A98" s="1" t="s">
        <v>38</v>
      </c>
      <c r="B98" s="1" t="s">
        <v>2173</v>
      </c>
      <c r="C98" s="1" t="s">
        <v>2174</v>
      </c>
      <c r="D98" s="7" t="str">
        <f>IFERROR(__xludf.DUMMYFUNCTION("GOOGLETRANSLATE(C98, ""en"", ""ar"")"),"حساب حساب ...")</f>
        <v>حساب حساب ...</v>
      </c>
      <c r="E98" s="7" t="str">
        <f>IFERROR(__xludf.DUMMYFUNCTION("GOOGLETRANSLATE(C98, ""en"", ""bg"")"),"Регистриране на профила ...")</f>
        <v>Регистриране на профила ...</v>
      </c>
      <c r="F98" s="6" t="s">
        <v>132</v>
      </c>
      <c r="G98" s="7" t="str">
        <f>IFERROR(__xludf.DUMMYFUNCTION("GOOGLETRANSLATE(C98, ""en"", ""cs"")"),"Registrace účtu ...")</f>
        <v>Registrace účtu ...</v>
      </c>
      <c r="H98" s="7" t="str">
        <f>IFERROR(__xludf.DUMMYFUNCTION("GOOGLETRANSLATE(C98, ""en"", ""da"")"),"Registrering af konto ...")</f>
        <v>Registrering af konto ...</v>
      </c>
      <c r="I98" s="7" t="str">
        <f>IFERROR(__xludf.DUMMYFUNCTION("GOOGLETRANSLATE(C98, ""en"", ""de"")"),"Konto registrieren ...")</f>
        <v>Konto registrieren ...</v>
      </c>
      <c r="J98" s="6" t="s">
        <v>132</v>
      </c>
      <c r="K98" s="7" t="str">
        <f>IFERROR(__xludf.DUMMYFUNCTION("GOOGLETRANSLATE(C98, ""en"", ""es"")"),"Registro de cuenta ...")</f>
        <v>Registro de cuenta ...</v>
      </c>
      <c r="L98" s="7" t="str">
        <f>IFERROR(__xludf.DUMMYFUNCTION("GOOGLETRANSLATE(C98, ""en"", ""fi"")"),"Tilin rekisteröinti ...")</f>
        <v>Tilin rekisteröinti ...</v>
      </c>
      <c r="M98" s="7" t="str">
        <f>IFERROR(__xludf.DUMMYFUNCTION("GOOGLETRANSLATE(C98, ""en"", ""fr"")"),"Enregistrement de compte ...")</f>
        <v>Enregistrement de compte ...</v>
      </c>
      <c r="N98" s="6" t="s">
        <v>132</v>
      </c>
      <c r="O98" s="6" t="s">
        <v>132</v>
      </c>
      <c r="P98" s="7" t="str">
        <f>IFERROR(__xludf.DUMMYFUNCTION("GOOGLETRANSLATE(C98, ""en"", ""hu"")"),"Fiók regisztrálása ...")</f>
        <v>Fiók regisztrálása ...</v>
      </c>
      <c r="Q98" s="7" t="str">
        <f>IFERROR(__xludf.DUMMYFUNCTION("GOOGLETRANSLATE(C98, ""en"", ""in"")"),"Mendaftarkan Akun ...")</f>
        <v>Mendaftarkan Akun ...</v>
      </c>
      <c r="R98" s="13" t="s">
        <v>2175</v>
      </c>
      <c r="S98" s="6" t="s">
        <v>132</v>
      </c>
      <c r="T98" s="7" t="str">
        <f>IFERROR(__xludf.DUMMYFUNCTION("GOOGLETRANSLATE(C98, ""en"", ""ja"")"),"アカウントを登録する")</f>
        <v>アカウントを登録する</v>
      </c>
      <c r="U98" s="7" t="str">
        <f>IFERROR(__xludf.DUMMYFUNCTION("GOOGLETRANSLATE(C98, ""en"", ""ko"")"),"계정 등록 ...")</f>
        <v>계정 등록 ...</v>
      </c>
      <c r="V98" s="7" t="str">
        <f>IFERROR(__xludf.DUMMYFUNCTION("GOOGLETRANSLATE(C98, ""en"", ""ms"")"),"Mendaftar Akaun ...")</f>
        <v>Mendaftar Akaun ...</v>
      </c>
      <c r="W98" s="7" t="str">
        <f>IFERROR(__xludf.DUMMYFUNCTION("GOOGLETRANSLATE(C98, ""en"", ""nl"")"),"Registreren Account ...")</f>
        <v>Registreren Account ...</v>
      </c>
      <c r="X98" s="7" t="str">
        <f>IFERROR(__xludf.DUMMYFUNCTION("GOOGLETRANSLATE(C98, ""en"", ""no"")"),"Registrere konto ...")</f>
        <v>Registrere konto ...</v>
      </c>
      <c r="Y98" s="7" t="str">
        <f>IFERROR(__xludf.DUMMYFUNCTION("GOOGLETRANSLATE(C98, ""en"", ""pl"")"),"Rejestrowanie konta ...")</f>
        <v>Rejestrowanie konta ...</v>
      </c>
      <c r="Z98" s="7" t="str">
        <f>IFERROR(__xludf.DUMMYFUNCTION("GOOGLETRANSLATE(C98, ""en"", ""pt"")"),"Registrando conta ...")</f>
        <v>Registrando conta ...</v>
      </c>
      <c r="AA98" s="7" t="str">
        <f>IFERROR(__xludf.DUMMYFUNCTION("GOOGLETRANSLATE(C98, ""en"", ""ro"")"),"Înregistrarea contului ...")</f>
        <v>Înregistrarea contului ...</v>
      </c>
      <c r="AB98" s="7" t="str">
        <f>IFERROR(__xludf.DUMMYFUNCTION("GOOGLETRANSLATE(C98, ""en"", ""ru"")"),"Регистрация учетной записи ...")</f>
        <v>Регистрация учетной записи ...</v>
      </c>
      <c r="AC98" s="7" t="str">
        <f>IFERROR(__xludf.DUMMYFUNCTION("GOOGLETRANSLATE(C98, ""en"", ""sk"")"),"Registrácia účtu ...")</f>
        <v>Registrácia účtu ...</v>
      </c>
      <c r="AD98" s="6" t="s">
        <v>132</v>
      </c>
      <c r="AE98" s="7" t="str">
        <f>IFERROR(__xludf.DUMMYFUNCTION("GOOGLETRANSLATE(C98, ""en"", ""sr"")"),"Регистрациони рачун ...")</f>
        <v>Регистрациони рачун ...</v>
      </c>
      <c r="AF98" s="7" t="str">
        <f>IFERROR(__xludf.DUMMYFUNCTION("GOOGLETRANSLATE(C98, ""en"", ""sv"")"),"Registrera konto ...")</f>
        <v>Registrera konto ...</v>
      </c>
      <c r="AG98" s="6" t="s">
        <v>132</v>
      </c>
      <c r="AH98" s="7" t="str">
        <f>IFERROR(__xludf.DUMMYFUNCTION("GOOGLETRANSLATE(C98, ""en"", ""tr"")"),"Hesap kaydetme ...")</f>
        <v>Hesap kaydetme ...</v>
      </c>
      <c r="AI98" s="6" t="s">
        <v>132</v>
      </c>
      <c r="AJ98" s="6" t="s">
        <v>132</v>
      </c>
      <c r="AK98" s="7" t="str">
        <f>IFERROR(__xludf.DUMMYFUNCTION("GOOGLETRANSLATE(C98, ""en"", ""zh"")"),"注册帐户......")</f>
        <v>注册帐户......</v>
      </c>
      <c r="AL98" s="6" t="s">
        <v>132</v>
      </c>
    </row>
    <row r="99" ht="15.75" customHeight="1">
      <c r="A99" s="1" t="s">
        <v>127</v>
      </c>
      <c r="B99" s="1" t="s">
        <v>2176</v>
      </c>
      <c r="C99" s="1" t="s">
        <v>2177</v>
      </c>
      <c r="D99" s="8" t="s">
        <v>2178</v>
      </c>
      <c r="E99" s="1" t="s">
        <v>2179</v>
      </c>
      <c r="F99" s="6" t="s">
        <v>132</v>
      </c>
      <c r="G99" s="1" t="s">
        <v>2180</v>
      </c>
      <c r="H99" s="1" t="s">
        <v>2181</v>
      </c>
      <c r="I99" s="1" t="s">
        <v>2177</v>
      </c>
      <c r="J99" s="6" t="s">
        <v>2182</v>
      </c>
      <c r="K99" s="1" t="s">
        <v>2177</v>
      </c>
      <c r="L99" s="1" t="s">
        <v>2183</v>
      </c>
      <c r="M99" s="1" t="s">
        <v>2177</v>
      </c>
      <c r="N99" s="6" t="s">
        <v>132</v>
      </c>
      <c r="O99" s="6" t="s">
        <v>2184</v>
      </c>
      <c r="P99" s="1" t="s">
        <v>2177</v>
      </c>
      <c r="Q99" s="1" t="s">
        <v>2185</v>
      </c>
      <c r="R99" s="1" t="s">
        <v>2177</v>
      </c>
      <c r="S99" s="10" t="s">
        <v>2186</v>
      </c>
      <c r="T99" s="1" t="s">
        <v>2187</v>
      </c>
      <c r="U99" s="1" t="s">
        <v>2188</v>
      </c>
      <c r="V99" s="1" t="s">
        <v>2189</v>
      </c>
      <c r="W99" s="1" t="s">
        <v>2177</v>
      </c>
      <c r="X99" s="1" t="s">
        <v>2190</v>
      </c>
      <c r="Y99" s="1" t="s">
        <v>2191</v>
      </c>
      <c r="Z99" s="1" t="s">
        <v>2177</v>
      </c>
      <c r="AA99" s="1" t="s">
        <v>2192</v>
      </c>
      <c r="AB99" s="1" t="s">
        <v>2193</v>
      </c>
      <c r="AC99" s="1" t="s">
        <v>2194</v>
      </c>
      <c r="AD99" s="6" t="s">
        <v>2195</v>
      </c>
      <c r="AE99" s="1" t="s">
        <v>2177</v>
      </c>
      <c r="AF99" s="1" t="s">
        <v>2196</v>
      </c>
      <c r="AG99" s="6" t="s">
        <v>2197</v>
      </c>
      <c r="AH99" s="1" t="s">
        <v>2198</v>
      </c>
      <c r="AI99" s="6" t="s">
        <v>132</v>
      </c>
      <c r="AJ99" s="6" t="s">
        <v>2199</v>
      </c>
      <c r="AK99" s="1" t="s">
        <v>2200</v>
      </c>
      <c r="AL99" s="6" t="s">
        <v>2201</v>
      </c>
    </row>
    <row r="100" ht="15.75" customHeight="1">
      <c r="A100" s="1" t="s">
        <v>127</v>
      </c>
      <c r="B100" s="1" t="s">
        <v>2202</v>
      </c>
      <c r="C100" s="1" t="s">
        <v>2203</v>
      </c>
      <c r="D100" s="8" t="s">
        <v>2204</v>
      </c>
      <c r="E100" s="1" t="s">
        <v>2205</v>
      </c>
      <c r="F100" s="6" t="s">
        <v>132</v>
      </c>
      <c r="G100" s="1" t="s">
        <v>2206</v>
      </c>
      <c r="H100" s="1" t="s">
        <v>2207</v>
      </c>
      <c r="I100" s="1" t="s">
        <v>2208</v>
      </c>
      <c r="J100" s="6" t="s">
        <v>2209</v>
      </c>
      <c r="K100" s="1" t="s">
        <v>2210</v>
      </c>
      <c r="L100" s="1" t="s">
        <v>2211</v>
      </c>
      <c r="M100" s="1" t="s">
        <v>2212</v>
      </c>
      <c r="N100" s="6" t="s">
        <v>132</v>
      </c>
      <c r="O100" s="6" t="s">
        <v>2213</v>
      </c>
      <c r="P100" s="1" t="s">
        <v>2214</v>
      </c>
      <c r="Q100" s="1" t="s">
        <v>2215</v>
      </c>
      <c r="R100" s="1" t="s">
        <v>2216</v>
      </c>
      <c r="S100" s="10" t="s">
        <v>2217</v>
      </c>
      <c r="T100" s="1" t="s">
        <v>2218</v>
      </c>
      <c r="U100" s="1" t="s">
        <v>2219</v>
      </c>
      <c r="V100" s="1" t="s">
        <v>2220</v>
      </c>
      <c r="W100" s="1" t="s">
        <v>2221</v>
      </c>
      <c r="X100" s="1" t="s">
        <v>2222</v>
      </c>
      <c r="Y100" s="1" t="s">
        <v>2223</v>
      </c>
      <c r="Z100" s="1" t="s">
        <v>2224</v>
      </c>
      <c r="AA100" s="1" t="s">
        <v>2225</v>
      </c>
      <c r="AB100" s="1" t="s">
        <v>2226</v>
      </c>
      <c r="AC100" s="1" t="s">
        <v>2227</v>
      </c>
      <c r="AD100" s="6" t="s">
        <v>2228</v>
      </c>
      <c r="AE100" s="1" t="s">
        <v>2229</v>
      </c>
      <c r="AF100" s="1" t="s">
        <v>2230</v>
      </c>
      <c r="AG100" s="6" t="s">
        <v>2231</v>
      </c>
      <c r="AH100" s="1" t="s">
        <v>2232</v>
      </c>
      <c r="AI100" s="6" t="s">
        <v>132</v>
      </c>
      <c r="AJ100" s="6" t="s">
        <v>2233</v>
      </c>
      <c r="AK100" s="1" t="s">
        <v>2234</v>
      </c>
      <c r="AL100" s="6" t="s">
        <v>132</v>
      </c>
    </row>
    <row r="101" ht="15.75" hidden="1" customHeight="1">
      <c r="A101" s="1" t="s">
        <v>38</v>
      </c>
      <c r="B101" s="1" t="s">
        <v>2235</v>
      </c>
      <c r="C101" s="1" t="s">
        <v>2236</v>
      </c>
      <c r="D101" s="8" t="s">
        <v>2237</v>
      </c>
      <c r="E101" s="1" t="s">
        <v>2238</v>
      </c>
      <c r="F101" s="6" t="s">
        <v>2239</v>
      </c>
      <c r="G101" s="7" t="str">
        <f>IFERROR(__xludf.DUMMYFUNCTION("GOOGLETRANSLATE(C101, ""en"", ""cs"")"),"Hotovo")</f>
        <v>Hotovo</v>
      </c>
      <c r="H101" s="7" t="str">
        <f>IFERROR(__xludf.DUMMYFUNCTION("GOOGLETRANSLATE(C101, ""en"", ""da"")"),"Færdig")</f>
        <v>Færdig</v>
      </c>
      <c r="I101" s="1" t="s">
        <v>2240</v>
      </c>
      <c r="J101" s="6" t="s">
        <v>132</v>
      </c>
      <c r="K101" s="1" t="s">
        <v>2241</v>
      </c>
      <c r="L101" s="7" t="str">
        <f>IFERROR(__xludf.DUMMYFUNCTION("GOOGLETRANSLATE(C101, ""en"", ""fi"")"),"Tehty")</f>
        <v>Tehty</v>
      </c>
      <c r="M101" s="1" t="s">
        <v>2242</v>
      </c>
      <c r="N101" s="6" t="s">
        <v>2243</v>
      </c>
      <c r="O101" s="6" t="s">
        <v>132</v>
      </c>
      <c r="P101" s="1" t="s">
        <v>2244</v>
      </c>
      <c r="Q101" s="9" t="s">
        <v>2245</v>
      </c>
      <c r="R101" s="1" t="s">
        <v>2246</v>
      </c>
      <c r="S101" s="6" t="s">
        <v>132</v>
      </c>
      <c r="T101" s="1" t="s">
        <v>2247</v>
      </c>
      <c r="U101" s="1" t="s">
        <v>2248</v>
      </c>
      <c r="V101" s="7" t="str">
        <f>IFERROR(__xludf.DUMMYFUNCTION("GOOGLETRANSLATE(C101, ""en"", ""ms"")"),"Dilakukan")</f>
        <v>Dilakukan</v>
      </c>
      <c r="W101" s="1" t="s">
        <v>2249</v>
      </c>
      <c r="X101" s="7" t="str">
        <f>IFERROR(__xludf.DUMMYFUNCTION("GOOGLETRANSLATE(C101, ""en"", ""no"")"),"Gjort")</f>
        <v>Gjort</v>
      </c>
      <c r="Y101" s="1" t="s">
        <v>2250</v>
      </c>
      <c r="Z101" s="1" t="s">
        <v>2251</v>
      </c>
      <c r="AA101" s="7" t="str">
        <f>IFERROR(__xludf.DUMMYFUNCTION("GOOGLETRANSLATE(C101, ""en"", ""ro"")"),"Terminat")</f>
        <v>Terminat</v>
      </c>
      <c r="AB101" s="1" t="s">
        <v>2238</v>
      </c>
      <c r="AC101" s="1" t="s">
        <v>2252</v>
      </c>
      <c r="AD101" s="6" t="s">
        <v>132</v>
      </c>
      <c r="AE101" s="1" t="s">
        <v>2238</v>
      </c>
      <c r="AF101" s="1" t="s">
        <v>2253</v>
      </c>
      <c r="AG101" s="6" t="s">
        <v>132</v>
      </c>
      <c r="AH101" s="7" t="str">
        <f>IFERROR(__xludf.DUMMYFUNCTION("GOOGLETRANSLATE(C101, ""en"", ""tr"")"),"Bitti")</f>
        <v>Bitti</v>
      </c>
      <c r="AI101" s="6" t="s">
        <v>2254</v>
      </c>
      <c r="AJ101" s="6" t="s">
        <v>2255</v>
      </c>
      <c r="AK101" s="7" t="str">
        <f>IFERROR(__xludf.DUMMYFUNCTION("GOOGLETRANSLATE(C101, ""en"", ""zh"")"),"完毕")</f>
        <v>完毕</v>
      </c>
      <c r="AL101" s="6" t="s">
        <v>2256</v>
      </c>
    </row>
    <row r="102" ht="15.75" hidden="1" customHeight="1">
      <c r="A102" s="1" t="s">
        <v>38</v>
      </c>
      <c r="B102" s="1" t="s">
        <v>2257</v>
      </c>
      <c r="C102" s="1" t="s">
        <v>2258</v>
      </c>
      <c r="D102" s="7" t="str">
        <f>IFERROR(__xludf.DUMMYFUNCTION("GOOGLETRANSLATE(C102, ""en"", ""ar"")"),"صورة الدردشة.")</f>
        <v>صورة الدردشة.</v>
      </c>
      <c r="E102" s="7" t="str">
        <f>IFERROR(__xludf.DUMMYFUNCTION("GOOGLETRANSLATE(C102, ""en"", ""bg"")"),"Чат изображение.")</f>
        <v>Чат изображение.</v>
      </c>
      <c r="F102" s="6" t="s">
        <v>132</v>
      </c>
      <c r="G102" s="7" t="str">
        <f>IFERROR(__xludf.DUMMYFUNCTION("GOOGLETRANSLATE(C102, ""en"", ""cs"")"),"Obraz chatu.")</f>
        <v>Obraz chatu.</v>
      </c>
      <c r="H102" s="7" t="str">
        <f>IFERROR(__xludf.DUMMYFUNCTION("GOOGLETRANSLATE(C102, ""en"", ""da"")"),"Chat billede.")</f>
        <v>Chat billede.</v>
      </c>
      <c r="I102" s="1" t="s">
        <v>2259</v>
      </c>
      <c r="J102" s="6" t="s">
        <v>132</v>
      </c>
      <c r="K102" s="1" t="s">
        <v>2260</v>
      </c>
      <c r="L102" s="7" t="str">
        <f>IFERROR(__xludf.DUMMYFUNCTION("GOOGLETRANSLATE(C102, ""en"", ""fi"")"),"Chat-kuva.")</f>
        <v>Chat-kuva.</v>
      </c>
      <c r="M102" s="1" t="s">
        <v>2261</v>
      </c>
      <c r="N102" s="6" t="s">
        <v>132</v>
      </c>
      <c r="O102" s="6" t="s">
        <v>132</v>
      </c>
      <c r="P102" s="1" t="s">
        <v>2262</v>
      </c>
      <c r="Q102" s="7" t="str">
        <f>IFERROR(__xludf.DUMMYFUNCTION("GOOGLETRANSLATE(C102, ""en"", ""in"")"),"Gambar obrolan.")</f>
        <v>Gambar obrolan.</v>
      </c>
      <c r="R102" s="7" t="str">
        <f>IFERROR(__xludf.DUMMYFUNCTION("GOOGLETRANSLATE(C102, ""en"", ""it"")"),"Immagine della chat.")</f>
        <v>Immagine della chat.</v>
      </c>
      <c r="S102" s="6" t="s">
        <v>132</v>
      </c>
      <c r="T102" s="7" t="str">
        <f>IFERROR(__xludf.DUMMYFUNCTION("GOOGLETRANSLATE(C102, ""en"", ""ja"")"),"チャット画像")</f>
        <v>チャット画像</v>
      </c>
      <c r="U102" s="7" t="str">
        <f>IFERROR(__xludf.DUMMYFUNCTION("GOOGLETRANSLATE(C102, ""en"", ""ko"")"),"채팅 이미지.")</f>
        <v>채팅 이미지.</v>
      </c>
      <c r="V102" s="7" t="str">
        <f>IFERROR(__xludf.DUMMYFUNCTION("GOOGLETRANSLATE(C102, ""en"", ""ms"")"),"Imej sembang.")</f>
        <v>Imej sembang.</v>
      </c>
      <c r="W102" s="7" t="str">
        <f>IFERROR(__xludf.DUMMYFUNCTION("GOOGLETRANSLATE(C102, ""en"", ""nl"")"),"Chat afbeelding.")</f>
        <v>Chat afbeelding.</v>
      </c>
      <c r="X102" s="7" t="str">
        <f>IFERROR(__xludf.DUMMYFUNCTION("GOOGLETRANSLATE(C102, ""en"", ""no"")"),"Chat-bilde.")</f>
        <v>Chat-bilde.</v>
      </c>
      <c r="Y102" s="7" t="str">
        <f>IFERROR(__xludf.DUMMYFUNCTION("GOOGLETRANSLATE(C102, ""en"", ""pl"")"),"Obraz czatu.")</f>
        <v>Obraz czatu.</v>
      </c>
      <c r="Z102" s="7" t="str">
        <f>IFERROR(__xludf.DUMMYFUNCTION("GOOGLETRANSLATE(C102, ""en"", ""pt"")"),"Imagem de bate-papo.")</f>
        <v>Imagem de bate-papo.</v>
      </c>
      <c r="AA102" s="7" t="str">
        <f>IFERROR(__xludf.DUMMYFUNCTION("GOOGLETRANSLATE(C102, ""en"", ""ro"")"),"Chat imagine.")</f>
        <v>Chat imagine.</v>
      </c>
      <c r="AB102" s="1" t="s">
        <v>2263</v>
      </c>
      <c r="AC102" s="7" t="str">
        <f>IFERROR(__xludf.DUMMYFUNCTION("GOOGLETRANSLATE(C102, ""en"", ""sk"")"),"Obraz.")</f>
        <v>Obraz.</v>
      </c>
      <c r="AD102" s="6" t="s">
        <v>132</v>
      </c>
      <c r="AE102" s="1" t="s">
        <v>2264</v>
      </c>
      <c r="AF102" s="7" t="str">
        <f>IFERROR(__xludf.DUMMYFUNCTION("GOOGLETRANSLATE(C102, ""en"", ""sv"")"),"Chat bild.")</f>
        <v>Chat bild.</v>
      </c>
      <c r="AG102" s="6" t="s">
        <v>132</v>
      </c>
      <c r="AH102" s="7" t="str">
        <f>IFERROR(__xludf.DUMMYFUNCTION("GOOGLETRANSLATE(C102, ""en"", ""tr"")"),"Sohbet görüntüsü.")</f>
        <v>Sohbet görüntüsü.</v>
      </c>
      <c r="AI102" s="6" t="s">
        <v>132</v>
      </c>
      <c r="AJ102" s="6" t="s">
        <v>132</v>
      </c>
      <c r="AK102" s="7" t="str">
        <f>IFERROR(__xludf.DUMMYFUNCTION("GOOGLETRANSLATE(C102, ""en"", ""zh"")"),"聊天图像。")</f>
        <v>聊天图像。</v>
      </c>
      <c r="AL102" s="6" t="s">
        <v>132</v>
      </c>
    </row>
    <row r="103" ht="15.75" customHeight="1">
      <c r="A103" s="1" t="s">
        <v>2265</v>
      </c>
      <c r="B103" s="1" t="s">
        <v>2266</v>
      </c>
      <c r="C103" s="1" t="s">
        <v>2267</v>
      </c>
      <c r="D103" s="8" t="s">
        <v>2268</v>
      </c>
      <c r="E103" s="1" t="s">
        <v>2269</v>
      </c>
      <c r="F103" s="6" t="s">
        <v>132</v>
      </c>
      <c r="G103" s="1" t="s">
        <v>2270</v>
      </c>
      <c r="H103" s="1" t="s">
        <v>2271</v>
      </c>
      <c r="I103" s="1" t="s">
        <v>2272</v>
      </c>
      <c r="J103" s="6" t="s">
        <v>2273</v>
      </c>
      <c r="K103" s="1" t="s">
        <v>2274</v>
      </c>
      <c r="L103" s="1" t="s">
        <v>2275</v>
      </c>
      <c r="M103" s="1" t="s">
        <v>2276</v>
      </c>
      <c r="N103" s="6" t="s">
        <v>132</v>
      </c>
      <c r="O103" s="6" t="s">
        <v>2277</v>
      </c>
      <c r="P103" s="1" t="s">
        <v>2278</v>
      </c>
      <c r="Q103" s="1" t="s">
        <v>2279</v>
      </c>
      <c r="R103" s="1" t="s">
        <v>2280</v>
      </c>
      <c r="S103" s="10" t="s">
        <v>2281</v>
      </c>
      <c r="T103" s="1" t="s">
        <v>2282</v>
      </c>
      <c r="U103" s="1" t="s">
        <v>2283</v>
      </c>
      <c r="V103" s="1" t="s">
        <v>2284</v>
      </c>
      <c r="W103" s="1" t="s">
        <v>2285</v>
      </c>
      <c r="X103" s="1" t="s">
        <v>2286</v>
      </c>
      <c r="Y103" s="1" t="s">
        <v>2287</v>
      </c>
      <c r="Z103" s="1" t="s">
        <v>2288</v>
      </c>
      <c r="AA103" s="1" t="s">
        <v>2289</v>
      </c>
      <c r="AB103" s="1" t="s">
        <v>2290</v>
      </c>
      <c r="AC103" s="1" t="s">
        <v>2291</v>
      </c>
      <c r="AD103" s="6" t="s">
        <v>2292</v>
      </c>
      <c r="AE103" s="1" t="s">
        <v>2293</v>
      </c>
      <c r="AF103" s="1" t="s">
        <v>2294</v>
      </c>
      <c r="AG103" s="6" t="s">
        <v>2295</v>
      </c>
      <c r="AH103" s="1" t="s">
        <v>2296</v>
      </c>
      <c r="AI103" s="6" t="s">
        <v>132</v>
      </c>
      <c r="AJ103" s="6" t="s">
        <v>2297</v>
      </c>
      <c r="AK103" s="14" t="s">
        <v>2298</v>
      </c>
      <c r="AL103" s="6" t="s">
        <v>132</v>
      </c>
    </row>
    <row r="104" ht="15.75" hidden="1" customHeight="1">
      <c r="A104" s="1" t="s">
        <v>38</v>
      </c>
      <c r="B104" s="1" t="s">
        <v>2299</v>
      </c>
      <c r="C104" s="1" t="s">
        <v>2300</v>
      </c>
      <c r="D104" s="8" t="s">
        <v>2301</v>
      </c>
      <c r="E104" s="1" t="s">
        <v>2302</v>
      </c>
      <c r="F104" s="6" t="s">
        <v>2303</v>
      </c>
      <c r="G104" s="7" t="str">
        <f>IFERROR(__xludf.DUMMYFUNCTION("GOOGLETRANSLATE(C104, ""en"", ""cs"")"),"Odstranit se ze seznamu")</f>
        <v>Odstranit se ze seznamu</v>
      </c>
      <c r="H104" s="7" t="str">
        <f>IFERROR(__xludf.DUMMYFUNCTION("GOOGLETRANSLATE(C104, ""en"", ""da"")"),"Slet fra Roster.")</f>
        <v>Slet fra Roster.</v>
      </c>
      <c r="I104" s="1" t="s">
        <v>2304</v>
      </c>
      <c r="J104" s="6" t="s">
        <v>132</v>
      </c>
      <c r="K104" s="1" t="s">
        <v>2305</v>
      </c>
      <c r="L104" s="7" t="str">
        <f>IFERROR(__xludf.DUMMYFUNCTION("GOOGLETRANSLATE(C104, ""en"", ""fi"")"),"Poista luettelosta")</f>
        <v>Poista luettelosta</v>
      </c>
      <c r="M104" s="1" t="s">
        <v>2306</v>
      </c>
      <c r="N104" s="6" t="s">
        <v>2307</v>
      </c>
      <c r="O104" s="6" t="s">
        <v>132</v>
      </c>
      <c r="P104" s="1" t="s">
        <v>2308</v>
      </c>
      <c r="Q104" s="9" t="s">
        <v>2309</v>
      </c>
      <c r="R104" s="1" t="s">
        <v>2310</v>
      </c>
      <c r="S104" s="6" t="s">
        <v>132</v>
      </c>
      <c r="T104" s="1" t="s">
        <v>2311</v>
      </c>
      <c r="U104" s="1" t="s">
        <v>2312</v>
      </c>
      <c r="V104" s="7" t="str">
        <f>IFERROR(__xludf.DUMMYFUNCTION("GOOGLETRANSLATE(C104, ""en"", ""ms"")"),"Padam dari Roster.")</f>
        <v>Padam dari Roster.</v>
      </c>
      <c r="W104" s="1" t="s">
        <v>2313</v>
      </c>
      <c r="X104" s="7" t="str">
        <f>IFERROR(__xludf.DUMMYFUNCTION("GOOGLETRANSLATE(C104, ""en"", ""no"")"),"Slett fra roster")</f>
        <v>Slett fra roster</v>
      </c>
      <c r="Y104" s="1" t="s">
        <v>2314</v>
      </c>
      <c r="Z104" s="1" t="s">
        <v>2315</v>
      </c>
      <c r="AA104" s="7" t="str">
        <f>IFERROR(__xludf.DUMMYFUNCTION("GOOGLETRANSLATE(C104, ""en"", ""ro"")"),"Ștergeți din Roster.")</f>
        <v>Ștergeți din Roster.</v>
      </c>
      <c r="AB104" s="1" t="s">
        <v>2316</v>
      </c>
      <c r="AC104" s="1" t="s">
        <v>2317</v>
      </c>
      <c r="AD104" s="6" t="s">
        <v>132</v>
      </c>
      <c r="AE104" s="1" t="s">
        <v>2318</v>
      </c>
      <c r="AF104" s="1" t="s">
        <v>2319</v>
      </c>
      <c r="AG104" s="6" t="s">
        <v>132</v>
      </c>
      <c r="AH104" s="7" t="str">
        <f>IFERROR(__xludf.DUMMYFUNCTION("GOOGLETRANSLATE(C104, ""en"", ""tr"")"),"Listeden silme")</f>
        <v>Listeden silme</v>
      </c>
      <c r="AI104" s="6" t="s">
        <v>2320</v>
      </c>
      <c r="AJ104" s="6" t="s">
        <v>2321</v>
      </c>
      <c r="AK104" s="7" t="str">
        <f>IFERROR(__xludf.DUMMYFUNCTION("GOOGLETRANSLATE(C104, ""en"", ""zh"")"),"从名单中删除")</f>
        <v>从名单中删除</v>
      </c>
      <c r="AL104" s="6" t="s">
        <v>2322</v>
      </c>
    </row>
    <row r="105" ht="15.75" hidden="1" customHeight="1">
      <c r="A105" s="1" t="s">
        <v>38</v>
      </c>
      <c r="B105" s="1" t="s">
        <v>2323</v>
      </c>
      <c r="C105" s="1" t="s">
        <v>2324</v>
      </c>
      <c r="D105" s="7" t="str">
        <f>IFERROR(__xludf.DUMMYFUNCTION("GOOGLETRANSLATE(C105, ""en"", ""ar"")"),"فيلبيني")</f>
        <v>فيلبيني</v>
      </c>
      <c r="E105" s="7" t="str">
        <f>IFERROR(__xludf.DUMMYFUNCTION("GOOGLETRANSLATE(C105, ""en"", ""bg"")"),"Филипини")</f>
        <v>Филипини</v>
      </c>
      <c r="F105" s="6" t="s">
        <v>132</v>
      </c>
      <c r="G105" s="7" t="str">
        <f>IFERROR(__xludf.DUMMYFUNCTION("GOOGLETRANSLATE(C105, ""en"", ""cs"")"),"Filipíny")</f>
        <v>Filipíny</v>
      </c>
      <c r="H105" s="7" t="str">
        <f>IFERROR(__xludf.DUMMYFUNCTION("GOOGLETRANSLATE(C105, ""en"", ""da"")"),"Filippinerne.")</f>
        <v>Filippinerne.</v>
      </c>
      <c r="I105" s="1" t="s">
        <v>2325</v>
      </c>
      <c r="J105" s="6" t="s">
        <v>132</v>
      </c>
      <c r="K105" s="1" t="s">
        <v>2326</v>
      </c>
      <c r="L105" s="7" t="str">
        <f>IFERROR(__xludf.DUMMYFUNCTION("GOOGLETRANSLATE(C105, ""en"", ""fi"")"),"Filippiinit")</f>
        <v>Filippiinit</v>
      </c>
      <c r="M105" s="1" t="s">
        <v>2324</v>
      </c>
      <c r="N105" s="6" t="s">
        <v>132</v>
      </c>
      <c r="O105" s="6" t="s">
        <v>132</v>
      </c>
      <c r="P105" s="1" t="s">
        <v>2324</v>
      </c>
      <c r="Q105" s="7" t="str">
        <f>IFERROR(__xludf.DUMMYFUNCTION("GOOGLETRANSLATE(C105, ""en"", ""in"")"),"Filipina")</f>
        <v>Filipina</v>
      </c>
      <c r="R105" s="7" t="str">
        <f>IFERROR(__xludf.DUMMYFUNCTION("GOOGLETRANSLATE(C105, ""en"", ""it"")"),"Filippine")</f>
        <v>Filippine</v>
      </c>
      <c r="S105" s="6" t="s">
        <v>132</v>
      </c>
      <c r="T105" s="7" t="str">
        <f>IFERROR(__xludf.DUMMYFUNCTION("GOOGLETRANSLATE(C105, ""en"", ""ja"")"),"フィリピン")</f>
        <v>フィリピン</v>
      </c>
      <c r="U105" s="7" t="str">
        <f>IFERROR(__xludf.DUMMYFUNCTION("GOOGLETRANSLATE(C105, ""en"", ""ko"")"),"필리핀 제도")</f>
        <v>필리핀 제도</v>
      </c>
      <c r="V105" s="7" t="str">
        <f>IFERROR(__xludf.DUMMYFUNCTION("GOOGLETRANSLATE(C105, ""en"", ""ms"")"),"Filipina")</f>
        <v>Filipina</v>
      </c>
      <c r="W105" s="7" t="str">
        <f>IFERROR(__xludf.DUMMYFUNCTION("GOOGLETRANSLATE(C105, ""en"", ""nl"")"),"Filippijnen")</f>
        <v>Filippijnen</v>
      </c>
      <c r="X105" s="7" t="str">
        <f>IFERROR(__xludf.DUMMYFUNCTION("GOOGLETRANSLATE(C105, ""en"", ""no"")"),"Filippinene")</f>
        <v>Filippinene</v>
      </c>
      <c r="Y105" s="7" t="str">
        <f>IFERROR(__xludf.DUMMYFUNCTION("GOOGLETRANSLATE(C105, ""en"", ""pl"")"),"Filipiny")</f>
        <v>Filipiny</v>
      </c>
      <c r="Z105" s="7" t="str">
        <f>IFERROR(__xludf.DUMMYFUNCTION("GOOGLETRANSLATE(C105, ""en"", ""pt"")"),"Filipinas")</f>
        <v>Filipinas</v>
      </c>
      <c r="AA105" s="7" t="str">
        <f>IFERROR(__xludf.DUMMYFUNCTION("GOOGLETRANSLATE(C105, ""en"", ""ro"")"),"Filipine")</f>
        <v>Filipine</v>
      </c>
      <c r="AB105" s="1" t="s">
        <v>2327</v>
      </c>
      <c r="AC105" s="7" t="str">
        <f>IFERROR(__xludf.DUMMYFUNCTION("GOOGLETRANSLATE(C105, ""en"", ""sk"")"),"Filipíny")</f>
        <v>Filipíny</v>
      </c>
      <c r="AD105" s="6" t="s">
        <v>132</v>
      </c>
      <c r="AE105" s="1" t="s">
        <v>2328</v>
      </c>
      <c r="AF105" s="7" t="str">
        <f>IFERROR(__xludf.DUMMYFUNCTION("GOOGLETRANSLATE(C105, ""en"", ""sv"")"),"Filippinerna")</f>
        <v>Filippinerna</v>
      </c>
      <c r="AG105" s="6" t="s">
        <v>132</v>
      </c>
      <c r="AH105" s="7" t="str">
        <f>IFERROR(__xludf.DUMMYFUNCTION("GOOGLETRANSLATE(C105, ""en"", ""tr"")"),"Filipinler")</f>
        <v>Filipinler</v>
      </c>
      <c r="AI105" s="6" t="s">
        <v>132</v>
      </c>
      <c r="AJ105" s="6" t="s">
        <v>132</v>
      </c>
      <c r="AK105" s="7" t="str">
        <f>IFERROR(__xludf.DUMMYFUNCTION("GOOGLETRANSLATE(C105, ""en"", ""zh"")"),"菲律宾")</f>
        <v>菲律宾</v>
      </c>
      <c r="AL105" s="6" t="s">
        <v>132</v>
      </c>
    </row>
    <row r="106" ht="15.75" hidden="1" customHeight="1">
      <c r="A106" s="1" t="s">
        <v>38</v>
      </c>
      <c r="B106" s="1" t="s">
        <v>2329</v>
      </c>
      <c r="C106" s="1" t="s">
        <v>2330</v>
      </c>
      <c r="D106" s="8" t="s">
        <v>2331</v>
      </c>
      <c r="E106" s="1" t="s">
        <v>2332</v>
      </c>
      <c r="F106" s="6" t="s">
        <v>2333</v>
      </c>
      <c r="G106" s="7" t="str">
        <f>IFERROR(__xludf.DUMMYFUNCTION("GOOGLETRANSLATE(C106, ""en"", ""cs"")"),"Přidat kontakt")</f>
        <v>Přidat kontakt</v>
      </c>
      <c r="H106" s="7" t="str">
        <f>IFERROR(__xludf.DUMMYFUNCTION("GOOGLETRANSLATE(C106, ""en"", ""da"")"),"Tilføj kontakt")</f>
        <v>Tilføj kontakt</v>
      </c>
      <c r="I106" s="1" t="s">
        <v>2334</v>
      </c>
      <c r="J106" s="6" t="s">
        <v>132</v>
      </c>
      <c r="K106" s="1" t="s">
        <v>2335</v>
      </c>
      <c r="L106" s="7" t="str">
        <f>IFERROR(__xludf.DUMMYFUNCTION("GOOGLETRANSLATE(C106, ""en"", ""fi"")"),"Lisää yhteystieto")</f>
        <v>Lisää yhteystieto</v>
      </c>
      <c r="M106" s="1" t="s">
        <v>2336</v>
      </c>
      <c r="N106" s="6" t="s">
        <v>2337</v>
      </c>
      <c r="O106" s="6" t="s">
        <v>132</v>
      </c>
      <c r="P106" s="1" t="s">
        <v>2338</v>
      </c>
      <c r="Q106" s="9" t="s">
        <v>2339</v>
      </c>
      <c r="R106" s="1" t="s">
        <v>2340</v>
      </c>
      <c r="S106" s="6" t="s">
        <v>132</v>
      </c>
      <c r="T106" s="1" t="s">
        <v>2341</v>
      </c>
      <c r="U106" s="1" t="s">
        <v>2342</v>
      </c>
      <c r="V106" s="7" t="str">
        <f>IFERROR(__xludf.DUMMYFUNCTION("GOOGLETRANSLATE(C106, ""en"", ""ms"")"),"Tambah kenalan")</f>
        <v>Tambah kenalan</v>
      </c>
      <c r="W106" s="1" t="s">
        <v>2343</v>
      </c>
      <c r="X106" s="7" t="str">
        <f>IFERROR(__xludf.DUMMYFUNCTION("GOOGLETRANSLATE(C106, ""en"", ""no"")"),"Legg til kontakt")</f>
        <v>Legg til kontakt</v>
      </c>
      <c r="Y106" s="1" t="s">
        <v>2344</v>
      </c>
      <c r="Z106" s="1" t="s">
        <v>2345</v>
      </c>
      <c r="AA106" s="7" t="str">
        <f>IFERROR(__xludf.DUMMYFUNCTION("GOOGLETRANSLATE(C106, ""en"", ""ro"")"),"Adaugă contact")</f>
        <v>Adaugă contact</v>
      </c>
      <c r="AB106" s="1" t="s">
        <v>2346</v>
      </c>
      <c r="AC106" s="1" t="s">
        <v>2347</v>
      </c>
      <c r="AD106" s="6" t="s">
        <v>132</v>
      </c>
      <c r="AE106" s="1" t="s">
        <v>2348</v>
      </c>
      <c r="AF106" s="1" t="s">
        <v>2349</v>
      </c>
      <c r="AG106" s="6" t="s">
        <v>132</v>
      </c>
      <c r="AH106" s="7" t="str">
        <f>IFERROR(__xludf.DUMMYFUNCTION("GOOGLETRANSLATE(C106, ""en"", ""tr"")"),"Kişi ekle")</f>
        <v>Kişi ekle</v>
      </c>
      <c r="AI106" s="6" t="s">
        <v>2350</v>
      </c>
      <c r="AJ106" s="6" t="s">
        <v>2351</v>
      </c>
      <c r="AK106" s="7" t="str">
        <f>IFERROR(__xludf.DUMMYFUNCTION("GOOGLETRANSLATE(C106, ""en"", ""zh"")"),"增加联系人")</f>
        <v>增加联系人</v>
      </c>
      <c r="AL106" s="6" t="s">
        <v>2352</v>
      </c>
    </row>
    <row r="107" ht="15.75" customHeight="1">
      <c r="A107" s="1" t="s">
        <v>127</v>
      </c>
      <c r="B107" s="1" t="s">
        <v>2353</v>
      </c>
      <c r="C107" s="1" t="s">
        <v>2354</v>
      </c>
      <c r="D107" s="8" t="s">
        <v>2355</v>
      </c>
      <c r="E107" s="1" t="s">
        <v>2356</v>
      </c>
      <c r="F107" s="6" t="s">
        <v>132</v>
      </c>
      <c r="G107" s="1" t="s">
        <v>2357</v>
      </c>
      <c r="H107" s="1" t="s">
        <v>2358</v>
      </c>
      <c r="I107" s="1" t="s">
        <v>2359</v>
      </c>
      <c r="J107" s="6" t="s">
        <v>2360</v>
      </c>
      <c r="K107" s="1" t="s">
        <v>2361</v>
      </c>
      <c r="L107" s="1" t="s">
        <v>2362</v>
      </c>
      <c r="M107" s="1" t="s">
        <v>2363</v>
      </c>
      <c r="N107" s="6" t="s">
        <v>132</v>
      </c>
      <c r="O107" s="6" t="s">
        <v>2364</v>
      </c>
      <c r="P107" s="1" t="s">
        <v>2365</v>
      </c>
      <c r="Q107" s="1" t="s">
        <v>2366</v>
      </c>
      <c r="R107" s="1" t="s">
        <v>2367</v>
      </c>
      <c r="S107" s="10" t="s">
        <v>2368</v>
      </c>
      <c r="T107" s="1" t="s">
        <v>2369</v>
      </c>
      <c r="U107" s="1" t="s">
        <v>2370</v>
      </c>
      <c r="V107" s="1" t="s">
        <v>2366</v>
      </c>
      <c r="W107" s="1" t="s">
        <v>2371</v>
      </c>
      <c r="X107" s="1" t="s">
        <v>2372</v>
      </c>
      <c r="Y107" s="1" t="s">
        <v>2373</v>
      </c>
      <c r="Z107" s="1" t="s">
        <v>2374</v>
      </c>
      <c r="AA107" s="1" t="s">
        <v>2375</v>
      </c>
      <c r="AB107" s="1" t="s">
        <v>2376</v>
      </c>
      <c r="AC107" s="1" t="s">
        <v>2377</v>
      </c>
      <c r="AD107" s="6" t="s">
        <v>2378</v>
      </c>
      <c r="AE107" s="1" t="s">
        <v>2379</v>
      </c>
      <c r="AF107" s="1" t="s">
        <v>2380</v>
      </c>
      <c r="AG107" s="6" t="s">
        <v>2381</v>
      </c>
      <c r="AH107" s="1" t="s">
        <v>2382</v>
      </c>
      <c r="AI107" s="6" t="s">
        <v>132</v>
      </c>
      <c r="AJ107" s="6" t="s">
        <v>2383</v>
      </c>
      <c r="AK107" s="1" t="s">
        <v>2384</v>
      </c>
      <c r="AL107" s="6" t="s">
        <v>2385</v>
      </c>
    </row>
    <row r="108" ht="15.75" customHeight="1">
      <c r="A108" s="1" t="s">
        <v>127</v>
      </c>
      <c r="B108" s="1" t="s">
        <v>2386</v>
      </c>
      <c r="C108" s="1" t="s">
        <v>2387</v>
      </c>
      <c r="D108" s="8" t="s">
        <v>2388</v>
      </c>
      <c r="E108" s="1" t="s">
        <v>2389</v>
      </c>
      <c r="F108" s="6" t="s">
        <v>132</v>
      </c>
      <c r="G108" s="1" t="s">
        <v>2390</v>
      </c>
      <c r="H108" s="1" t="s">
        <v>2391</v>
      </c>
      <c r="I108" s="1" t="s">
        <v>2391</v>
      </c>
      <c r="J108" s="6" t="s">
        <v>2392</v>
      </c>
      <c r="K108" s="1" t="s">
        <v>2393</v>
      </c>
      <c r="L108" s="1" t="s">
        <v>2394</v>
      </c>
      <c r="M108" s="1" t="s">
        <v>2395</v>
      </c>
      <c r="N108" s="6" t="s">
        <v>132</v>
      </c>
      <c r="O108" s="6" t="s">
        <v>2396</v>
      </c>
      <c r="P108" s="1" t="s">
        <v>2397</v>
      </c>
      <c r="Q108" s="1" t="s">
        <v>2398</v>
      </c>
      <c r="R108" s="1" t="s">
        <v>2399</v>
      </c>
      <c r="S108" s="10" t="s">
        <v>2400</v>
      </c>
      <c r="T108" s="1" t="s">
        <v>2401</v>
      </c>
      <c r="U108" s="1" t="s">
        <v>2402</v>
      </c>
      <c r="V108" s="1" t="s">
        <v>2398</v>
      </c>
      <c r="W108" s="1" t="s">
        <v>2403</v>
      </c>
      <c r="X108" s="1" t="s">
        <v>2404</v>
      </c>
      <c r="Y108" s="1" t="s">
        <v>2405</v>
      </c>
      <c r="Z108" s="1" t="s">
        <v>2406</v>
      </c>
      <c r="AA108" s="1" t="s">
        <v>2407</v>
      </c>
      <c r="AB108" s="1" t="s">
        <v>2389</v>
      </c>
      <c r="AC108" s="1" t="s">
        <v>2408</v>
      </c>
      <c r="AD108" s="6" t="s">
        <v>2409</v>
      </c>
      <c r="AE108" s="1" t="s">
        <v>2409</v>
      </c>
      <c r="AF108" s="1" t="s">
        <v>2391</v>
      </c>
      <c r="AG108" s="6" t="s">
        <v>2410</v>
      </c>
      <c r="AH108" s="1" t="s">
        <v>2411</v>
      </c>
      <c r="AI108" s="6" t="s">
        <v>132</v>
      </c>
      <c r="AJ108" s="6" t="s">
        <v>2412</v>
      </c>
      <c r="AK108" s="1" t="s">
        <v>2413</v>
      </c>
      <c r="AL108" s="6" t="s">
        <v>132</v>
      </c>
    </row>
    <row r="109" ht="15.75" hidden="1" customHeight="1">
      <c r="A109" s="1" t="s">
        <v>38</v>
      </c>
      <c r="B109" s="1" t="s">
        <v>2414</v>
      </c>
      <c r="C109" s="1" t="s">
        <v>2415</v>
      </c>
      <c r="D109" s="8" t="s">
        <v>2416</v>
      </c>
      <c r="E109" s="1" t="s">
        <v>2417</v>
      </c>
      <c r="F109" s="6" t="s">
        <v>2418</v>
      </c>
      <c r="G109" s="7" t="str">
        <f>IFERROR(__xludf.DUMMYFUNCTION("GOOGLETRANSLATE(C109, ""en"", ""cs"")"),"Expertní nastavení")</f>
        <v>Expertní nastavení</v>
      </c>
      <c r="H109" s="7" t="str">
        <f>IFERROR(__xludf.DUMMYFUNCTION("GOOGLETRANSLATE(C109, ""en"", ""da"")"),"Ekspertindstillinger.")</f>
        <v>Ekspertindstillinger.</v>
      </c>
      <c r="I109" s="1" t="s">
        <v>2419</v>
      </c>
      <c r="J109" s="6" t="s">
        <v>132</v>
      </c>
      <c r="K109" s="1" t="s">
        <v>2420</v>
      </c>
      <c r="L109" s="7" t="str">
        <f>IFERROR(__xludf.DUMMYFUNCTION("GOOGLETRANSLATE(C109, ""en"", ""fi"")"),"Asiantuntijaasetukset")</f>
        <v>Asiantuntijaasetukset</v>
      </c>
      <c r="M109" s="1" t="s">
        <v>2421</v>
      </c>
      <c r="N109" s="6" t="s">
        <v>2422</v>
      </c>
      <c r="O109" s="6" t="s">
        <v>132</v>
      </c>
      <c r="P109" s="1" t="s">
        <v>2423</v>
      </c>
      <c r="Q109" s="7" t="str">
        <f>IFERROR(__xludf.DUMMYFUNCTION("GOOGLETRANSLATE(C109, ""en"", ""in"")"),"Pengaturan ahli")</f>
        <v>Pengaturan ahli</v>
      </c>
      <c r="R109" s="1" t="s">
        <v>2424</v>
      </c>
      <c r="S109" s="6" t="s">
        <v>132</v>
      </c>
      <c r="T109" s="1" t="s">
        <v>2425</v>
      </c>
      <c r="U109" s="1" t="s">
        <v>2426</v>
      </c>
      <c r="V109" s="7" t="str">
        <f>IFERROR(__xludf.DUMMYFUNCTION("GOOGLETRANSLATE(C109, ""en"", ""ms"")"),"Tetapan Pakar.")</f>
        <v>Tetapan Pakar.</v>
      </c>
      <c r="W109" s="1" t="s">
        <v>2427</v>
      </c>
      <c r="X109" s="7" t="str">
        <f>IFERROR(__xludf.DUMMYFUNCTION("GOOGLETRANSLATE(C109, ""en"", ""no"")"),"Ekspertinnstillinger")</f>
        <v>Ekspertinnstillinger</v>
      </c>
      <c r="Y109" s="1" t="s">
        <v>2428</v>
      </c>
      <c r="Z109" s="1" t="s">
        <v>2429</v>
      </c>
      <c r="AA109" s="7" t="str">
        <f>IFERROR(__xludf.DUMMYFUNCTION("GOOGLETRANSLATE(C109, ""en"", ""ro"")"),"Setări experți")</f>
        <v>Setări experți</v>
      </c>
      <c r="AB109" s="1" t="s">
        <v>2430</v>
      </c>
      <c r="AC109" s="7" t="str">
        <f>IFERROR(__xludf.DUMMYFUNCTION("GOOGLETRANSLATE(C109, ""en"", ""sk"")"),"Expertné nastavenia")</f>
        <v>Expertné nastavenia</v>
      </c>
      <c r="AD109" s="6" t="s">
        <v>132</v>
      </c>
      <c r="AE109" s="1" t="s">
        <v>2431</v>
      </c>
      <c r="AF109" s="1" t="s">
        <v>2432</v>
      </c>
      <c r="AG109" s="6" t="s">
        <v>132</v>
      </c>
      <c r="AH109" s="7" t="str">
        <f>IFERROR(__xludf.DUMMYFUNCTION("GOOGLETRANSLATE(C109, ""en"", ""tr"")"),"Uzman Ayarları")</f>
        <v>Uzman Ayarları</v>
      </c>
      <c r="AI109" s="6" t="s">
        <v>2433</v>
      </c>
      <c r="AJ109" s="6" t="s">
        <v>132</v>
      </c>
      <c r="AK109" s="7" t="str">
        <f>IFERROR(__xludf.DUMMYFUNCTION("GOOGLETRANSLATE(C109, ""en"", ""zh"")"),"专家设置")</f>
        <v>专家设置</v>
      </c>
      <c r="AL109" s="6" t="s">
        <v>2434</v>
      </c>
    </row>
    <row r="110" ht="15.75" customHeight="1">
      <c r="A110" s="1" t="s">
        <v>127</v>
      </c>
      <c r="B110" s="1" t="s">
        <v>2435</v>
      </c>
      <c r="C110" s="1" t="s">
        <v>2436</v>
      </c>
      <c r="D110" s="8" t="s">
        <v>2437</v>
      </c>
      <c r="E110" s="1" t="s">
        <v>2438</v>
      </c>
      <c r="F110" s="6" t="s">
        <v>132</v>
      </c>
      <c r="G110" s="1" t="s">
        <v>2439</v>
      </c>
      <c r="H110" s="1" t="s">
        <v>2440</v>
      </c>
      <c r="I110" s="1" t="s">
        <v>2441</v>
      </c>
      <c r="J110" s="6" t="s">
        <v>2442</v>
      </c>
      <c r="K110" s="1" t="s">
        <v>2443</v>
      </c>
      <c r="L110" s="1" t="s">
        <v>2444</v>
      </c>
      <c r="M110" s="1" t="s">
        <v>2445</v>
      </c>
      <c r="N110" s="6" t="s">
        <v>132</v>
      </c>
      <c r="O110" s="6" t="s">
        <v>2446</v>
      </c>
      <c r="P110" s="1" t="s">
        <v>2447</v>
      </c>
      <c r="Q110" s="1" t="s">
        <v>2448</v>
      </c>
      <c r="R110" s="1" t="s">
        <v>2449</v>
      </c>
      <c r="S110" s="10" t="s">
        <v>2450</v>
      </c>
      <c r="T110" s="1" t="s">
        <v>2451</v>
      </c>
      <c r="U110" s="1" t="s">
        <v>2452</v>
      </c>
      <c r="V110" s="1" t="s">
        <v>2453</v>
      </c>
      <c r="W110" s="1" t="s">
        <v>2454</v>
      </c>
      <c r="X110" s="1" t="s">
        <v>2455</v>
      </c>
      <c r="Y110" s="1" t="s">
        <v>2456</v>
      </c>
      <c r="Z110" s="1" t="s">
        <v>2457</v>
      </c>
      <c r="AA110" s="1" t="s">
        <v>2458</v>
      </c>
      <c r="AB110" s="1" t="s">
        <v>2459</v>
      </c>
      <c r="AC110" s="1" t="s">
        <v>2460</v>
      </c>
      <c r="AD110" s="6" t="s">
        <v>2461</v>
      </c>
      <c r="AE110" s="1" t="s">
        <v>2462</v>
      </c>
      <c r="AF110" s="1" t="s">
        <v>2463</v>
      </c>
      <c r="AG110" s="6" t="s">
        <v>2464</v>
      </c>
      <c r="AH110" s="1" t="s">
        <v>2465</v>
      </c>
      <c r="AI110" s="6" t="s">
        <v>132</v>
      </c>
      <c r="AJ110" s="6" t="s">
        <v>2466</v>
      </c>
      <c r="AK110" s="1" t="s">
        <v>2467</v>
      </c>
      <c r="AL110" s="6" t="s">
        <v>132</v>
      </c>
    </row>
    <row r="111" ht="15.75" hidden="1" customHeight="1">
      <c r="A111" s="1" t="s">
        <v>38</v>
      </c>
      <c r="B111" s="1" t="s">
        <v>2468</v>
      </c>
      <c r="C111" s="1" t="s">
        <v>2469</v>
      </c>
      <c r="D111" s="8" t="s">
        <v>2470</v>
      </c>
      <c r="E111" s="1" t="s">
        <v>2471</v>
      </c>
      <c r="F111" s="6" t="s">
        <v>2472</v>
      </c>
      <c r="G111" s="7" t="str">
        <f>IFERROR(__xludf.DUMMYFUNCTION("GOOGLETRANSLATE(C111, ""en"", ""cs"")"),"Konverzace potřebuje přístup k fotoaparátu")</f>
        <v>Konverzace potřebuje přístup k fotoaparátu</v>
      </c>
      <c r="H111" s="7" t="str">
        <f>IFERROR(__xludf.DUMMYFUNCTION("GOOGLETRANSLATE(C111, ""en"", ""da"")"),"Samtaler har brug for adgang til kameraet")</f>
        <v>Samtaler har brug for adgang til kameraet</v>
      </c>
      <c r="I111" s="1" t="s">
        <v>2473</v>
      </c>
      <c r="J111" s="6" t="s">
        <v>132</v>
      </c>
      <c r="K111" s="1" t="s">
        <v>2474</v>
      </c>
      <c r="L111" s="7" t="str">
        <f>IFERROR(__xludf.DUMMYFUNCTION("GOOGLETRANSLATE(C111, ""en"", ""fi"")"),"Keskustelut tarvitsevat käyttää kameraa")</f>
        <v>Keskustelut tarvitsevat käyttää kameraa</v>
      </c>
      <c r="M111" s="1" t="s">
        <v>2475</v>
      </c>
      <c r="N111" s="6" t="s">
        <v>2476</v>
      </c>
      <c r="O111" s="6" t="s">
        <v>132</v>
      </c>
      <c r="P111" s="1" t="s">
        <v>2477</v>
      </c>
      <c r="Q111" s="7" t="str">
        <f>IFERROR(__xludf.DUMMYFUNCTION("GOOGLETRANSLATE(C111, ""en"", ""in"")"),"Percakapan membutuhkan akses ke kamera")</f>
        <v>Percakapan membutuhkan akses ke kamera</v>
      </c>
      <c r="R111" s="1" t="s">
        <v>2478</v>
      </c>
      <c r="S111" s="6" t="s">
        <v>132</v>
      </c>
      <c r="T111" s="7" t="str">
        <f>IFERROR(__xludf.DUMMYFUNCTION("GOOGLETRANSLATE(C111, ""en"", ""ja"")"),"会話はカメラにアクセスする必要があります")</f>
        <v>会話はカメラにアクセスする必要があります</v>
      </c>
      <c r="U111" s="7" t="str">
        <f>IFERROR(__xludf.DUMMYFUNCTION("GOOGLETRANSLATE(C111, ""en"", ""ko"")"),"대화는 카메라에 액세스해야합니다")</f>
        <v>대화는 카메라에 액세스해야합니다</v>
      </c>
      <c r="V111" s="7" t="str">
        <f>IFERROR(__xludf.DUMMYFUNCTION("GOOGLETRANSLATE(C111, ""en"", ""ms"")"),"Perbualan memerlukan akses kepada kamera")</f>
        <v>Perbualan memerlukan akses kepada kamera</v>
      </c>
      <c r="W111" s="1" t="s">
        <v>2479</v>
      </c>
      <c r="X111" s="7" t="str">
        <f>IFERROR(__xludf.DUMMYFUNCTION("GOOGLETRANSLATE(C111, ""en"", ""no"")"),"Samtaler trenger tilgang til kameraet")</f>
        <v>Samtaler trenger tilgang til kameraet</v>
      </c>
      <c r="Y111" s="1" t="s">
        <v>2480</v>
      </c>
      <c r="Z111" s="1" t="s">
        <v>2481</v>
      </c>
      <c r="AA111" s="7" t="str">
        <f>IFERROR(__xludf.DUMMYFUNCTION("GOOGLETRANSLATE(C111, ""en"", ""ro"")"),"Conversațiile au nevoie de acces la cameră")</f>
        <v>Conversațiile au nevoie de acces la cameră</v>
      </c>
      <c r="AB111" s="1" t="s">
        <v>2482</v>
      </c>
      <c r="AC111" s="7" t="str">
        <f>IFERROR(__xludf.DUMMYFUNCTION("GOOGLETRANSLATE(C111, ""en"", ""sk"")"),"Konverzácie potrebujú prístup k fotoaparátu")</f>
        <v>Konverzácie potrebujú prístup k fotoaparátu</v>
      </c>
      <c r="AD111" s="6" t="s">
        <v>132</v>
      </c>
      <c r="AE111" s="7" t="str">
        <f>IFERROR(__xludf.DUMMYFUNCTION("GOOGLETRANSLATE(C111, ""en"", ""sr"")"),"Разговорима је потребан приступ фотоапарату")</f>
        <v>Разговорима је потребан приступ фотоапарату</v>
      </c>
      <c r="AF111" s="7" t="str">
        <f>IFERROR(__xludf.DUMMYFUNCTION("GOOGLETRANSLATE(C111, ""en"", ""sv"")"),"Samtal behöver tillgång till kameran")</f>
        <v>Samtal behöver tillgång till kameran</v>
      </c>
      <c r="AG111" s="6" t="s">
        <v>132</v>
      </c>
      <c r="AH111" s="7" t="str">
        <f>IFERROR(__xludf.DUMMYFUNCTION("GOOGLETRANSLATE(C111, ""en"", ""tr"")"),"Konuşmaların kameraya erişim ihtiyacı var")</f>
        <v>Konuşmaların kameraya erişim ihtiyacı var</v>
      </c>
      <c r="AI111" s="6" t="s">
        <v>132</v>
      </c>
      <c r="AJ111" s="6" t="s">
        <v>132</v>
      </c>
      <c r="AK111" s="7" t="str">
        <f>IFERROR(__xludf.DUMMYFUNCTION("GOOGLETRANSLATE(C111, ""en"", ""zh"")"),"对话需要访问相机")</f>
        <v>对话需要访问相机</v>
      </c>
      <c r="AL111" s="6" t="s">
        <v>132</v>
      </c>
    </row>
    <row r="112" ht="15.75" customHeight="1">
      <c r="A112" s="1" t="s">
        <v>127</v>
      </c>
      <c r="B112" s="1" t="s">
        <v>2483</v>
      </c>
      <c r="C112" s="1" t="s">
        <v>2484</v>
      </c>
      <c r="D112" s="8" t="s">
        <v>2485</v>
      </c>
      <c r="E112" s="1" t="s">
        <v>2486</v>
      </c>
      <c r="F112" s="6" t="s">
        <v>132</v>
      </c>
      <c r="G112" s="1" t="s">
        <v>2487</v>
      </c>
      <c r="H112" s="1" t="s">
        <v>2484</v>
      </c>
      <c r="I112" s="1" t="s">
        <v>2488</v>
      </c>
      <c r="J112" s="6" t="s">
        <v>2489</v>
      </c>
      <c r="K112" s="1" t="s">
        <v>2490</v>
      </c>
      <c r="L112" s="1" t="s">
        <v>2491</v>
      </c>
      <c r="M112" s="1" t="s">
        <v>2492</v>
      </c>
      <c r="N112" s="6" t="s">
        <v>132</v>
      </c>
      <c r="O112" s="6" t="s">
        <v>2493</v>
      </c>
      <c r="P112" s="1" t="s">
        <v>2494</v>
      </c>
      <c r="Q112" s="1" t="s">
        <v>2495</v>
      </c>
      <c r="R112" s="1" t="s">
        <v>2496</v>
      </c>
      <c r="S112" s="10" t="s">
        <v>2497</v>
      </c>
      <c r="T112" s="1" t="s">
        <v>2498</v>
      </c>
      <c r="U112" s="1" t="s">
        <v>2499</v>
      </c>
      <c r="V112" s="1" t="s">
        <v>2495</v>
      </c>
      <c r="W112" s="1" t="s">
        <v>2500</v>
      </c>
      <c r="X112" s="1" t="s">
        <v>2501</v>
      </c>
      <c r="Y112" s="1" t="s">
        <v>2502</v>
      </c>
      <c r="Z112" s="1" t="s">
        <v>2503</v>
      </c>
      <c r="AA112" s="1" t="s">
        <v>2504</v>
      </c>
      <c r="AB112" s="1" t="s">
        <v>2505</v>
      </c>
      <c r="AC112" s="1" t="s">
        <v>2506</v>
      </c>
      <c r="AD112" s="6" t="s">
        <v>2507</v>
      </c>
      <c r="AE112" s="1" t="s">
        <v>2507</v>
      </c>
      <c r="AF112" s="1" t="s">
        <v>2484</v>
      </c>
      <c r="AG112" s="6" t="s">
        <v>2508</v>
      </c>
      <c r="AH112" s="1" t="s">
        <v>2509</v>
      </c>
      <c r="AI112" s="6" t="s">
        <v>132</v>
      </c>
      <c r="AJ112" s="6" t="s">
        <v>2510</v>
      </c>
      <c r="AK112" s="1" t="s">
        <v>2511</v>
      </c>
      <c r="AL112" s="6" t="s">
        <v>132</v>
      </c>
    </row>
    <row r="113" ht="15.75" customHeight="1">
      <c r="A113" s="1" t="s">
        <v>127</v>
      </c>
      <c r="B113" s="1" t="s">
        <v>2512</v>
      </c>
      <c r="C113" s="12" t="s">
        <v>132</v>
      </c>
      <c r="D113" s="7" t="str">
        <f>IFERROR(__xludf.DUMMYFUNCTION("GOOGLETRANSLATE(C113, ""en"", ""ar"")"),"#VALUE!")</f>
        <v>#VALUE!</v>
      </c>
      <c r="E113" s="1" t="s">
        <v>2513</v>
      </c>
      <c r="F113" s="6" t="s">
        <v>132</v>
      </c>
      <c r="G113" s="1" t="s">
        <v>2514</v>
      </c>
      <c r="H113" s="1" t="s">
        <v>2515</v>
      </c>
      <c r="I113" s="7" t="str">
        <f>IFERROR(__xludf.DUMMYFUNCTION("GOOGLETRANSLATE(C113, ""en"", ""de"")"),"#VALUE!")</f>
        <v>#VALUE!</v>
      </c>
      <c r="J113" s="6" t="s">
        <v>2516</v>
      </c>
      <c r="K113" s="7" t="str">
        <f>IFERROR(__xludf.DUMMYFUNCTION("GOOGLETRANSLATE(C113, ""en"", ""es"")"),"#VALUE!")</f>
        <v>#VALUE!</v>
      </c>
      <c r="L113" s="1" t="s">
        <v>2517</v>
      </c>
      <c r="M113" s="7" t="str">
        <f>IFERROR(__xludf.DUMMYFUNCTION("GOOGLETRANSLATE(C113, ""en"", ""fr"")"),"#VALUE!")</f>
        <v>#VALUE!</v>
      </c>
      <c r="N113" s="6" t="s">
        <v>132</v>
      </c>
      <c r="O113" s="6" t="s">
        <v>132</v>
      </c>
      <c r="P113" s="7" t="str">
        <f>IFERROR(__xludf.DUMMYFUNCTION("GOOGLETRANSLATE(C113, ""en"", ""hu"")"),"#VALUE!")</f>
        <v>#VALUE!</v>
      </c>
      <c r="Q113" s="7" t="str">
        <f>IFERROR(__xludf.DUMMYFUNCTION("GOOGLETRANSLATE(C113, ""en"", ""in"")"),"#VALUE!")</f>
        <v>#VALUE!</v>
      </c>
      <c r="R113" s="7" t="str">
        <f>IFERROR(__xludf.DUMMYFUNCTION("GOOGLETRANSLATE(C113, ""en"", ""it"")"),"#VALUE!")</f>
        <v>#VALUE!</v>
      </c>
      <c r="S113" s="6" t="s">
        <v>132</v>
      </c>
      <c r="T113" s="7" t="str">
        <f>IFERROR(__xludf.DUMMYFUNCTION("GOOGLETRANSLATE(C113, ""en"", ""ja"")"),"#VALUE!")</f>
        <v>#VALUE!</v>
      </c>
      <c r="U113" s="7" t="str">
        <f>IFERROR(__xludf.DUMMYFUNCTION("GOOGLETRANSLATE(C113, ""en"", ""ko"")"),"#VALUE!")</f>
        <v>#VALUE!</v>
      </c>
      <c r="V113" s="7" t="str">
        <f>IFERROR(__xludf.DUMMYFUNCTION("GOOGLETRANSLATE(C113, ""en"", ""ms"")"),"#VALUE!")</f>
        <v>#VALUE!</v>
      </c>
      <c r="W113" s="7" t="str">
        <f>IFERROR(__xludf.DUMMYFUNCTION("GOOGLETRANSLATE(C113, ""en"", ""nl"")"),"#VALUE!")</f>
        <v>#VALUE!</v>
      </c>
      <c r="X113" s="1" t="s">
        <v>2518</v>
      </c>
      <c r="Y113" s="7" t="str">
        <f>IFERROR(__xludf.DUMMYFUNCTION("GOOGLETRANSLATE(C113, ""en"", ""pl"")"),"#VALUE!")</f>
        <v>#VALUE!</v>
      </c>
      <c r="Z113" s="7" t="str">
        <f>IFERROR(__xludf.DUMMYFUNCTION("GOOGLETRANSLATE(C113, ""en"", ""pt"")"),"#VALUE!")</f>
        <v>#VALUE!</v>
      </c>
      <c r="AA113" s="7" t="str">
        <f>IFERROR(__xludf.DUMMYFUNCTION("GOOGLETRANSLATE(C113, ""en"", ""ro"")"),"#VALUE!")</f>
        <v>#VALUE!</v>
      </c>
      <c r="AB113" s="7" t="str">
        <f>IFERROR(__xludf.DUMMYFUNCTION("GOOGLETRANSLATE(C113, ""en"", ""ru"")"),"#VALUE!")</f>
        <v>#VALUE!</v>
      </c>
      <c r="AC113" s="1" t="s">
        <v>2519</v>
      </c>
      <c r="AD113" s="6" t="s">
        <v>2520</v>
      </c>
      <c r="AE113" s="7" t="str">
        <f>IFERROR(__xludf.DUMMYFUNCTION("GOOGLETRANSLATE(C113, ""en"", ""sr"")"),"#VALUE!")</f>
        <v>#VALUE!</v>
      </c>
      <c r="AF113" s="7" t="str">
        <f>IFERROR(__xludf.DUMMYFUNCTION("GOOGLETRANSLATE(C113, ""en"", ""sv"")"),"#VALUE!")</f>
        <v>#VALUE!</v>
      </c>
      <c r="AG113" s="6" t="s">
        <v>132</v>
      </c>
      <c r="AH113" s="7" t="str">
        <f>IFERROR(__xludf.DUMMYFUNCTION("GOOGLETRANSLATE(C113, ""en"", ""tr"")"),"#VALUE!")</f>
        <v>#VALUE!</v>
      </c>
      <c r="AI113" s="6" t="s">
        <v>132</v>
      </c>
      <c r="AJ113" s="6" t="s">
        <v>132</v>
      </c>
      <c r="AK113" s="7" t="str">
        <f>IFERROR(__xludf.DUMMYFUNCTION("GOOGLETRANSLATE(C113, ""en"", ""zh"")"),"#VALUE!")</f>
        <v>#VALUE!</v>
      </c>
      <c r="AL113" s="6" t="s">
        <v>132</v>
      </c>
    </row>
    <row r="114" ht="15.75" customHeight="1">
      <c r="A114" s="1" t="s">
        <v>127</v>
      </c>
      <c r="B114" s="1" t="s">
        <v>2521</v>
      </c>
      <c r="C114" s="12" t="s">
        <v>132</v>
      </c>
      <c r="D114" s="7" t="str">
        <f>IFERROR(__xludf.DUMMYFUNCTION("GOOGLETRANSLATE(C114, ""en"", ""ar"")"),"#VALUE!")</f>
        <v>#VALUE!</v>
      </c>
      <c r="E114" s="1" t="s">
        <v>2522</v>
      </c>
      <c r="F114" s="6" t="s">
        <v>132</v>
      </c>
      <c r="G114" s="1" t="s">
        <v>2523</v>
      </c>
      <c r="H114" s="1" t="s">
        <v>2524</v>
      </c>
      <c r="I114" s="7" t="str">
        <f>IFERROR(__xludf.DUMMYFUNCTION("GOOGLETRANSLATE(C114, ""en"", ""de"")"),"#VALUE!")</f>
        <v>#VALUE!</v>
      </c>
      <c r="J114" s="6" t="s">
        <v>2525</v>
      </c>
      <c r="K114" s="7" t="str">
        <f>IFERROR(__xludf.DUMMYFUNCTION("GOOGLETRANSLATE(C114, ""en"", ""es"")"),"#VALUE!")</f>
        <v>#VALUE!</v>
      </c>
      <c r="L114" s="1" t="s">
        <v>2526</v>
      </c>
      <c r="M114" s="7" t="str">
        <f>IFERROR(__xludf.DUMMYFUNCTION("GOOGLETRANSLATE(C114, ""en"", ""fr"")"),"#VALUE!")</f>
        <v>#VALUE!</v>
      </c>
      <c r="N114" s="6" t="s">
        <v>132</v>
      </c>
      <c r="O114" s="6" t="s">
        <v>132</v>
      </c>
      <c r="P114" s="7" t="str">
        <f>IFERROR(__xludf.DUMMYFUNCTION("GOOGLETRANSLATE(C114, ""en"", ""hu"")"),"#VALUE!")</f>
        <v>#VALUE!</v>
      </c>
      <c r="Q114" s="7" t="str">
        <f>IFERROR(__xludf.DUMMYFUNCTION("GOOGLETRANSLATE(C114, ""en"", ""in"")"),"#VALUE!")</f>
        <v>#VALUE!</v>
      </c>
      <c r="R114" s="7" t="str">
        <f>IFERROR(__xludf.DUMMYFUNCTION("GOOGLETRANSLATE(C114, ""en"", ""it"")"),"#VALUE!")</f>
        <v>#VALUE!</v>
      </c>
      <c r="S114" s="6" t="s">
        <v>132</v>
      </c>
      <c r="T114" s="7" t="str">
        <f>IFERROR(__xludf.DUMMYFUNCTION("GOOGLETRANSLATE(C114, ""en"", ""ja"")"),"#VALUE!")</f>
        <v>#VALUE!</v>
      </c>
      <c r="U114" s="7" t="str">
        <f>IFERROR(__xludf.DUMMYFUNCTION("GOOGLETRANSLATE(C114, ""en"", ""ko"")"),"#VALUE!")</f>
        <v>#VALUE!</v>
      </c>
      <c r="V114" s="7" t="str">
        <f>IFERROR(__xludf.DUMMYFUNCTION("GOOGLETRANSLATE(C114, ""en"", ""ms"")"),"#VALUE!")</f>
        <v>#VALUE!</v>
      </c>
      <c r="W114" s="7" t="str">
        <f>IFERROR(__xludf.DUMMYFUNCTION("GOOGLETRANSLATE(C114, ""en"", ""nl"")"),"#VALUE!")</f>
        <v>#VALUE!</v>
      </c>
      <c r="X114" s="1" t="s">
        <v>2527</v>
      </c>
      <c r="Y114" s="7" t="str">
        <f>IFERROR(__xludf.DUMMYFUNCTION("GOOGLETRANSLATE(C114, ""en"", ""pl"")"),"#VALUE!")</f>
        <v>#VALUE!</v>
      </c>
      <c r="Z114" s="7" t="str">
        <f>IFERROR(__xludf.DUMMYFUNCTION("GOOGLETRANSLATE(C114, ""en"", ""pt"")"),"#VALUE!")</f>
        <v>#VALUE!</v>
      </c>
      <c r="AA114" s="7" t="str">
        <f>IFERROR(__xludf.DUMMYFUNCTION("GOOGLETRANSLATE(C114, ""en"", ""ro"")"),"#VALUE!")</f>
        <v>#VALUE!</v>
      </c>
      <c r="AB114" s="7" t="str">
        <f>IFERROR(__xludf.DUMMYFUNCTION("GOOGLETRANSLATE(C114, ""en"", ""ru"")"),"#VALUE!")</f>
        <v>#VALUE!</v>
      </c>
      <c r="AC114" s="1" t="s">
        <v>2528</v>
      </c>
      <c r="AD114" s="6" t="s">
        <v>2529</v>
      </c>
      <c r="AE114" s="7" t="str">
        <f>IFERROR(__xludf.DUMMYFUNCTION("GOOGLETRANSLATE(C114, ""en"", ""sr"")"),"#VALUE!")</f>
        <v>#VALUE!</v>
      </c>
      <c r="AF114" s="7" t="str">
        <f>IFERROR(__xludf.DUMMYFUNCTION("GOOGLETRANSLATE(C114, ""en"", ""sv"")"),"#VALUE!")</f>
        <v>#VALUE!</v>
      </c>
      <c r="AG114" s="6" t="s">
        <v>132</v>
      </c>
      <c r="AH114" s="7" t="str">
        <f>IFERROR(__xludf.DUMMYFUNCTION("GOOGLETRANSLATE(C114, ""en"", ""tr"")"),"#VALUE!")</f>
        <v>#VALUE!</v>
      </c>
      <c r="AI114" s="6" t="s">
        <v>132</v>
      </c>
      <c r="AJ114" s="6" t="s">
        <v>132</v>
      </c>
      <c r="AK114" s="7" t="str">
        <f>IFERROR(__xludf.DUMMYFUNCTION("GOOGLETRANSLATE(C114, ""en"", ""zh"")"),"#VALUE!")</f>
        <v>#VALUE!</v>
      </c>
      <c r="AL114" s="6" t="s">
        <v>132</v>
      </c>
    </row>
    <row r="115" ht="15.75" hidden="1" customHeight="1">
      <c r="A115" s="1" t="s">
        <v>38</v>
      </c>
      <c r="B115" s="1" t="s">
        <v>2530</v>
      </c>
      <c r="C115" s="13" t="s">
        <v>2531</v>
      </c>
      <c r="D115" s="15" t="str">
        <f>IFERROR(__xludf.DUMMYFUNCTION("GOOGLETRANSLATE(C115, ""en"", ""ar"")"),"مرئي")</f>
        <v>مرئي</v>
      </c>
      <c r="E115" s="7" t="str">
        <f>IFERROR(__xludf.DUMMYFUNCTION("GOOGLETRANSLATE(C115, ""en"", ""bg"")"),"Вид")</f>
        <v>Вид</v>
      </c>
      <c r="F115" s="6" t="s">
        <v>132</v>
      </c>
      <c r="G115" s="7" t="str">
        <f>IFERROR(__xludf.DUMMYFUNCTION("GOOGLETRANSLATE(C115, ""en"", ""cs"")"),"Viděný")</f>
        <v>Viděný</v>
      </c>
      <c r="H115" s="7" t="str">
        <f>IFERROR(__xludf.DUMMYFUNCTION("GOOGLETRANSLATE(C115, ""en"", ""da"")"),"Set")</f>
        <v>Set</v>
      </c>
      <c r="I115" s="1" t="s">
        <v>2532</v>
      </c>
      <c r="J115" s="6" t="s">
        <v>132</v>
      </c>
      <c r="K115" s="1" t="s">
        <v>2533</v>
      </c>
      <c r="L115" s="7" t="str">
        <f>IFERROR(__xludf.DUMMYFUNCTION("GOOGLETRANSLATE(C115, ""en"", ""fi"")"),"Nähnyt")</f>
        <v>Nähnyt</v>
      </c>
      <c r="M115" s="1" t="s">
        <v>2534</v>
      </c>
      <c r="N115" s="6" t="s">
        <v>132</v>
      </c>
      <c r="O115" s="6" t="s">
        <v>132</v>
      </c>
      <c r="P115" s="1" t="s">
        <v>2535</v>
      </c>
      <c r="Q115" s="7" t="str">
        <f>IFERROR(__xludf.DUMMYFUNCTION("GOOGLETRANSLATE(C115, ""en"", ""in"")"),"Terlihat")</f>
        <v>Terlihat</v>
      </c>
      <c r="R115" s="7" t="str">
        <f>IFERROR(__xludf.DUMMYFUNCTION("GOOGLETRANSLATE(C115, ""en"", ""it"")"),"Visto")</f>
        <v>Visto</v>
      </c>
      <c r="S115" s="6" t="s">
        <v>132</v>
      </c>
      <c r="T115" s="7" t="str">
        <f>IFERROR(__xludf.DUMMYFUNCTION("GOOGLETRANSLATE(C115, ""en"", ""ja"")"),"seen")</f>
        <v>seen</v>
      </c>
      <c r="U115" s="7" t="str">
        <f>IFERROR(__xludf.DUMMYFUNCTION("GOOGLETRANSLATE(C115, ""en"", ""ko"")"),"봤다")</f>
        <v>봤다</v>
      </c>
      <c r="V115" s="7" t="str">
        <f>IFERROR(__xludf.DUMMYFUNCTION("GOOGLETRANSLATE(C115, ""en"", ""ms"")"),"Dilihat")</f>
        <v>Dilihat</v>
      </c>
      <c r="W115" s="7" t="str">
        <f>IFERROR(__xludf.DUMMYFUNCTION("GOOGLETRANSLATE(C115, ""en"", ""nl"")"),"Gezien")</f>
        <v>Gezien</v>
      </c>
      <c r="X115" s="7" t="str">
        <f>IFERROR(__xludf.DUMMYFUNCTION("GOOGLETRANSLATE(C115, ""en"", ""no"")"),"Sett")</f>
        <v>Sett</v>
      </c>
      <c r="Y115" s="7" t="str">
        <f>IFERROR(__xludf.DUMMYFUNCTION("GOOGLETRANSLATE(C115, ""en"", ""pl"")"),"Widziany")</f>
        <v>Widziany</v>
      </c>
      <c r="Z115" s="7" t="str">
        <f>IFERROR(__xludf.DUMMYFUNCTION("GOOGLETRANSLATE(C115, ""en"", ""pt"")"),"Visto")</f>
        <v>Visto</v>
      </c>
      <c r="AA115" s="7" t="str">
        <f>IFERROR(__xludf.DUMMYFUNCTION("GOOGLETRANSLATE(C115, ""en"", ""ro"")"),"Văzut")</f>
        <v>Văzut</v>
      </c>
      <c r="AB115" s="1" t="s">
        <v>2536</v>
      </c>
      <c r="AC115" s="7" t="str">
        <f>IFERROR(__xludf.DUMMYFUNCTION("GOOGLETRANSLATE(C115, ""en"", ""sk"")"),"Zaznamenaný")</f>
        <v>Zaznamenaný</v>
      </c>
      <c r="AD115" s="6" t="s">
        <v>132</v>
      </c>
      <c r="AE115" s="1" t="s">
        <v>2537</v>
      </c>
      <c r="AF115" s="7" t="str">
        <f>IFERROR(__xludf.DUMMYFUNCTION("GOOGLETRANSLATE(C115, ""en"", ""sv"")"),"Sett")</f>
        <v>Sett</v>
      </c>
      <c r="AG115" s="6" t="s">
        <v>132</v>
      </c>
      <c r="AH115" s="7" t="str">
        <f>IFERROR(__xludf.DUMMYFUNCTION("GOOGLETRANSLATE(C115, ""en"", ""tr"")"),"Görülen")</f>
        <v>Görülen</v>
      </c>
      <c r="AI115" s="6" t="s">
        <v>132</v>
      </c>
      <c r="AJ115" s="6" t="s">
        <v>132</v>
      </c>
      <c r="AK115" s="7" t="str">
        <f>IFERROR(__xludf.DUMMYFUNCTION("GOOGLETRANSLATE(C115, ""en"", ""zh"")"),"看")</f>
        <v>看</v>
      </c>
      <c r="AL115" s="6" t="s">
        <v>132</v>
      </c>
    </row>
    <row r="116" ht="15.75" customHeight="1">
      <c r="A116" s="1" t="s">
        <v>127</v>
      </c>
      <c r="B116" s="1" t="s">
        <v>2538</v>
      </c>
      <c r="C116" s="12" t="s">
        <v>132</v>
      </c>
      <c r="D116" s="7" t="str">
        <f>IFERROR(__xludf.DUMMYFUNCTION("GOOGLETRANSLATE(C116, ""en"", ""ar"")"),"#VALUE!")</f>
        <v>#VALUE!</v>
      </c>
      <c r="E116" s="1" t="s">
        <v>2539</v>
      </c>
      <c r="F116" s="6" t="s">
        <v>132</v>
      </c>
      <c r="G116" s="1" t="s">
        <v>2540</v>
      </c>
      <c r="H116" s="1" t="s">
        <v>2541</v>
      </c>
      <c r="I116" s="7" t="str">
        <f>IFERROR(__xludf.DUMMYFUNCTION("GOOGLETRANSLATE(C116, ""en"", ""de"")"),"#VALUE!")</f>
        <v>#VALUE!</v>
      </c>
      <c r="J116" s="6" t="s">
        <v>2542</v>
      </c>
      <c r="K116" s="7" t="str">
        <f>IFERROR(__xludf.DUMMYFUNCTION("GOOGLETRANSLATE(C116, ""en"", ""es"")"),"#VALUE!")</f>
        <v>#VALUE!</v>
      </c>
      <c r="L116" s="1" t="s">
        <v>2543</v>
      </c>
      <c r="M116" s="7" t="str">
        <f>IFERROR(__xludf.DUMMYFUNCTION("GOOGLETRANSLATE(C116, ""en"", ""fr"")"),"#VALUE!")</f>
        <v>#VALUE!</v>
      </c>
      <c r="N116" s="6" t="s">
        <v>132</v>
      </c>
      <c r="O116" s="6" t="s">
        <v>132</v>
      </c>
      <c r="P116" s="7" t="str">
        <f>IFERROR(__xludf.DUMMYFUNCTION("GOOGLETRANSLATE(C116, ""en"", ""hu"")"),"#VALUE!")</f>
        <v>#VALUE!</v>
      </c>
      <c r="Q116" s="7" t="str">
        <f>IFERROR(__xludf.DUMMYFUNCTION("GOOGLETRANSLATE(C116, ""en"", ""in"")"),"#VALUE!")</f>
        <v>#VALUE!</v>
      </c>
      <c r="R116" s="7" t="str">
        <f>IFERROR(__xludf.DUMMYFUNCTION("GOOGLETRANSLATE(C116, ""en"", ""it"")"),"#VALUE!")</f>
        <v>#VALUE!</v>
      </c>
      <c r="S116" s="6" t="s">
        <v>132</v>
      </c>
      <c r="T116" s="7" t="str">
        <f>IFERROR(__xludf.DUMMYFUNCTION("GOOGLETRANSLATE(C116, ""en"", ""ja"")"),"#VALUE!")</f>
        <v>#VALUE!</v>
      </c>
      <c r="U116" s="7" t="str">
        <f>IFERROR(__xludf.DUMMYFUNCTION("GOOGLETRANSLATE(C116, ""en"", ""ko"")"),"#VALUE!")</f>
        <v>#VALUE!</v>
      </c>
      <c r="V116" s="7" t="str">
        <f>IFERROR(__xludf.DUMMYFUNCTION("GOOGLETRANSLATE(C116, ""en"", ""ms"")"),"#VALUE!")</f>
        <v>#VALUE!</v>
      </c>
      <c r="W116" s="7" t="str">
        <f>IFERROR(__xludf.DUMMYFUNCTION("GOOGLETRANSLATE(C116, ""en"", ""nl"")"),"#VALUE!")</f>
        <v>#VALUE!</v>
      </c>
      <c r="X116" s="1" t="s">
        <v>2544</v>
      </c>
      <c r="Y116" s="7" t="str">
        <f>IFERROR(__xludf.DUMMYFUNCTION("GOOGLETRANSLATE(C116, ""en"", ""pl"")"),"#VALUE!")</f>
        <v>#VALUE!</v>
      </c>
      <c r="Z116" s="7" t="str">
        <f>IFERROR(__xludf.DUMMYFUNCTION("GOOGLETRANSLATE(C116, ""en"", ""pt"")"),"#VALUE!")</f>
        <v>#VALUE!</v>
      </c>
      <c r="AA116" s="7" t="str">
        <f>IFERROR(__xludf.DUMMYFUNCTION("GOOGLETRANSLATE(C116, ""en"", ""ro"")"),"#VALUE!")</f>
        <v>#VALUE!</v>
      </c>
      <c r="AB116" s="7" t="str">
        <f>IFERROR(__xludf.DUMMYFUNCTION("GOOGLETRANSLATE(C116, ""en"", ""ru"")"),"#VALUE!")</f>
        <v>#VALUE!</v>
      </c>
      <c r="AC116" s="1" t="s">
        <v>2545</v>
      </c>
      <c r="AD116" s="6" t="s">
        <v>2546</v>
      </c>
      <c r="AE116" s="7" t="str">
        <f>IFERROR(__xludf.DUMMYFUNCTION("GOOGLETRANSLATE(C116, ""en"", ""sr"")"),"#VALUE!")</f>
        <v>#VALUE!</v>
      </c>
      <c r="AF116" s="7" t="str">
        <f>IFERROR(__xludf.DUMMYFUNCTION("GOOGLETRANSLATE(C116, ""en"", ""sv"")"),"#VALUE!")</f>
        <v>#VALUE!</v>
      </c>
      <c r="AG116" s="6" t="s">
        <v>132</v>
      </c>
      <c r="AH116" s="7" t="str">
        <f>IFERROR(__xludf.DUMMYFUNCTION("GOOGLETRANSLATE(C116, ""en"", ""tr"")"),"#VALUE!")</f>
        <v>#VALUE!</v>
      </c>
      <c r="AI116" s="6" t="s">
        <v>132</v>
      </c>
      <c r="AJ116" s="6" t="s">
        <v>132</v>
      </c>
      <c r="AK116" s="7" t="str">
        <f>IFERROR(__xludf.DUMMYFUNCTION("GOOGLETRANSLATE(C116, ""en"", ""zh"")"),"#VALUE!")</f>
        <v>#VALUE!</v>
      </c>
      <c r="AL116" s="6" t="s">
        <v>132</v>
      </c>
    </row>
    <row r="117" ht="15.75" customHeight="1">
      <c r="A117" s="1" t="s">
        <v>127</v>
      </c>
      <c r="B117" s="1" t="s">
        <v>2547</v>
      </c>
      <c r="C117" s="1" t="s">
        <v>2548</v>
      </c>
      <c r="D117" s="8" t="s">
        <v>2549</v>
      </c>
      <c r="E117" s="1" t="s">
        <v>2550</v>
      </c>
      <c r="F117" s="6" t="s">
        <v>132</v>
      </c>
      <c r="G117" s="1" t="s">
        <v>2551</v>
      </c>
      <c r="H117" s="1" t="s">
        <v>2548</v>
      </c>
      <c r="I117" s="1" t="s">
        <v>2552</v>
      </c>
      <c r="J117" s="6" t="s">
        <v>2548</v>
      </c>
      <c r="K117" s="1" t="s">
        <v>2553</v>
      </c>
      <c r="L117" s="1" t="s">
        <v>2548</v>
      </c>
      <c r="M117" s="1" t="s">
        <v>2554</v>
      </c>
      <c r="N117" s="6" t="s">
        <v>132</v>
      </c>
      <c r="O117" s="6" t="s">
        <v>2555</v>
      </c>
      <c r="P117" s="1" t="s">
        <v>2548</v>
      </c>
      <c r="Q117" s="1" t="s">
        <v>2556</v>
      </c>
      <c r="R117" s="1" t="s">
        <v>2548</v>
      </c>
      <c r="S117" s="10" t="s">
        <v>2557</v>
      </c>
      <c r="T117" s="1" t="s">
        <v>2558</v>
      </c>
      <c r="U117" s="1" t="s">
        <v>2559</v>
      </c>
      <c r="V117" s="1" t="s">
        <v>2560</v>
      </c>
      <c r="W117" s="1" t="s">
        <v>2548</v>
      </c>
      <c r="X117" s="1" t="s">
        <v>2561</v>
      </c>
      <c r="Y117" s="1" t="s">
        <v>2562</v>
      </c>
      <c r="Z117" s="1" t="s">
        <v>2563</v>
      </c>
      <c r="AA117" s="1" t="s">
        <v>2564</v>
      </c>
      <c r="AB117" s="1" t="s">
        <v>2565</v>
      </c>
      <c r="AC117" s="1" t="s">
        <v>2566</v>
      </c>
      <c r="AD117" s="6" t="s">
        <v>2567</v>
      </c>
      <c r="AE117" s="1" t="s">
        <v>2568</v>
      </c>
      <c r="AF117" s="1" t="s">
        <v>2548</v>
      </c>
      <c r="AG117" s="6" t="s">
        <v>2569</v>
      </c>
      <c r="AH117" s="1" t="s">
        <v>2570</v>
      </c>
      <c r="AI117" s="6" t="s">
        <v>132</v>
      </c>
      <c r="AJ117" s="6" t="s">
        <v>2571</v>
      </c>
      <c r="AK117" s="1" t="s">
        <v>2572</v>
      </c>
      <c r="AL117" s="6" t="s">
        <v>132</v>
      </c>
    </row>
    <row r="118" ht="15.75" customHeight="1">
      <c r="A118" s="1" t="s">
        <v>127</v>
      </c>
      <c r="B118" s="1" t="s">
        <v>2573</v>
      </c>
      <c r="C118" s="1" t="s">
        <v>2574</v>
      </c>
      <c r="D118" s="8" t="s">
        <v>2575</v>
      </c>
      <c r="E118" s="1" t="s">
        <v>2576</v>
      </c>
      <c r="F118" s="6" t="s">
        <v>132</v>
      </c>
      <c r="G118" s="1" t="s">
        <v>2577</v>
      </c>
      <c r="H118" s="1" t="s">
        <v>2578</v>
      </c>
      <c r="I118" s="1" t="s">
        <v>2579</v>
      </c>
      <c r="J118" s="6" t="s">
        <v>2580</v>
      </c>
      <c r="K118" s="1" t="s">
        <v>2581</v>
      </c>
      <c r="L118" s="1" t="s">
        <v>2582</v>
      </c>
      <c r="M118" s="1" t="s">
        <v>2583</v>
      </c>
      <c r="N118" s="6" t="s">
        <v>132</v>
      </c>
      <c r="O118" s="6" t="s">
        <v>2584</v>
      </c>
      <c r="P118" s="1" t="s">
        <v>2585</v>
      </c>
      <c r="Q118" s="1" t="s">
        <v>2574</v>
      </c>
      <c r="R118" s="1" t="s">
        <v>2586</v>
      </c>
      <c r="S118" s="10" t="s">
        <v>2587</v>
      </c>
      <c r="T118" s="1" t="s">
        <v>2588</v>
      </c>
      <c r="U118" s="1" t="s">
        <v>2589</v>
      </c>
      <c r="V118" s="1" t="s">
        <v>2590</v>
      </c>
      <c r="W118" s="1" t="s">
        <v>2590</v>
      </c>
      <c r="X118" s="1" t="s">
        <v>2591</v>
      </c>
      <c r="Y118" s="1" t="s">
        <v>2592</v>
      </c>
      <c r="Z118" s="1" t="s">
        <v>2593</v>
      </c>
      <c r="AA118" s="1" t="s">
        <v>2594</v>
      </c>
      <c r="AB118" s="1" t="s">
        <v>2595</v>
      </c>
      <c r="AC118" s="1" t="s">
        <v>2596</v>
      </c>
      <c r="AD118" s="6" t="s">
        <v>2597</v>
      </c>
      <c r="AE118" s="1" t="s">
        <v>2598</v>
      </c>
      <c r="AF118" s="1" t="s">
        <v>2599</v>
      </c>
      <c r="AG118" s="6" t="s">
        <v>2600</v>
      </c>
      <c r="AH118" s="1" t="s">
        <v>2601</v>
      </c>
      <c r="AI118" s="6" t="s">
        <v>132</v>
      </c>
      <c r="AJ118" s="6" t="s">
        <v>2602</v>
      </c>
      <c r="AK118" s="1" t="s">
        <v>2603</v>
      </c>
      <c r="AL118" s="6" t="s">
        <v>132</v>
      </c>
    </row>
    <row r="119" ht="15.75" customHeight="1">
      <c r="A119" s="1" t="s">
        <v>127</v>
      </c>
      <c r="B119" s="1" t="s">
        <v>2604</v>
      </c>
      <c r="C119" s="12" t="s">
        <v>132</v>
      </c>
      <c r="D119" s="7" t="str">
        <f>IFERROR(__xludf.DUMMYFUNCTION("GOOGLETRANSLATE(C119, ""en"", ""ar"")"),"#VALUE!")</f>
        <v>#VALUE!</v>
      </c>
      <c r="E119" s="1" t="s">
        <v>2605</v>
      </c>
      <c r="F119" s="6" t="s">
        <v>132</v>
      </c>
      <c r="G119" s="1" t="s">
        <v>2606</v>
      </c>
      <c r="H119" s="1" t="s">
        <v>2607</v>
      </c>
      <c r="I119" s="7" t="str">
        <f>IFERROR(__xludf.DUMMYFUNCTION("GOOGLETRANSLATE(C119, ""en"", ""de"")"),"#VALUE!")</f>
        <v>#VALUE!</v>
      </c>
      <c r="J119" s="6" t="s">
        <v>2608</v>
      </c>
      <c r="K119" s="7" t="str">
        <f>IFERROR(__xludf.DUMMYFUNCTION("GOOGLETRANSLATE(C119, ""en"", ""es"")"),"#VALUE!")</f>
        <v>#VALUE!</v>
      </c>
      <c r="L119" s="1" t="s">
        <v>2609</v>
      </c>
      <c r="M119" s="7" t="str">
        <f>IFERROR(__xludf.DUMMYFUNCTION("GOOGLETRANSLATE(C119, ""en"", ""fr"")"),"#VALUE!")</f>
        <v>#VALUE!</v>
      </c>
      <c r="N119" s="6" t="s">
        <v>132</v>
      </c>
      <c r="O119" s="6" t="s">
        <v>132</v>
      </c>
      <c r="P119" s="7" t="str">
        <f>IFERROR(__xludf.DUMMYFUNCTION("GOOGLETRANSLATE(C119, ""en"", ""hu"")"),"#VALUE!")</f>
        <v>#VALUE!</v>
      </c>
      <c r="Q119" s="7" t="str">
        <f>IFERROR(__xludf.DUMMYFUNCTION("GOOGLETRANSLATE(C119, ""en"", ""in"")"),"#VALUE!")</f>
        <v>#VALUE!</v>
      </c>
      <c r="R119" s="7" t="str">
        <f>IFERROR(__xludf.DUMMYFUNCTION("GOOGLETRANSLATE(C119, ""en"", ""it"")"),"#VALUE!")</f>
        <v>#VALUE!</v>
      </c>
      <c r="S119" s="6" t="s">
        <v>132</v>
      </c>
      <c r="T119" s="7" t="str">
        <f>IFERROR(__xludf.DUMMYFUNCTION("GOOGLETRANSLATE(C119, ""en"", ""ja"")"),"#VALUE!")</f>
        <v>#VALUE!</v>
      </c>
      <c r="U119" s="7" t="str">
        <f>IFERROR(__xludf.DUMMYFUNCTION("GOOGLETRANSLATE(C119, ""en"", ""ko"")"),"#VALUE!")</f>
        <v>#VALUE!</v>
      </c>
      <c r="V119" s="7" t="str">
        <f>IFERROR(__xludf.DUMMYFUNCTION("GOOGLETRANSLATE(C119, ""en"", ""ms"")"),"#VALUE!")</f>
        <v>#VALUE!</v>
      </c>
      <c r="W119" s="7" t="str">
        <f>IFERROR(__xludf.DUMMYFUNCTION("GOOGLETRANSLATE(C119, ""en"", ""nl"")"),"#VALUE!")</f>
        <v>#VALUE!</v>
      </c>
      <c r="X119" s="1" t="s">
        <v>2610</v>
      </c>
      <c r="Y119" s="7" t="str">
        <f>IFERROR(__xludf.DUMMYFUNCTION("GOOGLETRANSLATE(C119, ""en"", ""pl"")"),"#VALUE!")</f>
        <v>#VALUE!</v>
      </c>
      <c r="Z119" s="7" t="str">
        <f>IFERROR(__xludf.DUMMYFUNCTION("GOOGLETRANSLATE(C119, ""en"", ""pt"")"),"#VALUE!")</f>
        <v>#VALUE!</v>
      </c>
      <c r="AA119" s="7" t="str">
        <f>IFERROR(__xludf.DUMMYFUNCTION("GOOGLETRANSLATE(C119, ""en"", ""ro"")"),"#VALUE!")</f>
        <v>#VALUE!</v>
      </c>
      <c r="AB119" s="7" t="str">
        <f>IFERROR(__xludf.DUMMYFUNCTION("GOOGLETRANSLATE(C119, ""en"", ""ru"")"),"#VALUE!")</f>
        <v>#VALUE!</v>
      </c>
      <c r="AC119" s="1" t="s">
        <v>2611</v>
      </c>
      <c r="AD119" s="6" t="s">
        <v>2612</v>
      </c>
      <c r="AE119" s="7" t="str">
        <f>IFERROR(__xludf.DUMMYFUNCTION("GOOGLETRANSLATE(C119, ""en"", ""sr"")"),"#VALUE!")</f>
        <v>#VALUE!</v>
      </c>
      <c r="AF119" s="7" t="str">
        <f>IFERROR(__xludf.DUMMYFUNCTION("GOOGLETRANSLATE(C119, ""en"", ""sv"")"),"#VALUE!")</f>
        <v>#VALUE!</v>
      </c>
      <c r="AG119" s="6" t="s">
        <v>132</v>
      </c>
      <c r="AH119" s="7" t="str">
        <f>IFERROR(__xludf.DUMMYFUNCTION("GOOGLETRANSLATE(C119, ""en"", ""tr"")"),"#VALUE!")</f>
        <v>#VALUE!</v>
      </c>
      <c r="AI119" s="6" t="s">
        <v>132</v>
      </c>
      <c r="AJ119" s="6" t="s">
        <v>132</v>
      </c>
      <c r="AK119" s="7" t="str">
        <f>IFERROR(__xludf.DUMMYFUNCTION("GOOGLETRANSLATE(C119, ""en"", ""zh"")"),"#VALUE!")</f>
        <v>#VALUE!</v>
      </c>
      <c r="AL119" s="6" t="s">
        <v>132</v>
      </c>
    </row>
    <row r="120" ht="15.75" hidden="1" customHeight="1">
      <c r="A120" s="1" t="s">
        <v>38</v>
      </c>
      <c r="B120" s="1" t="s">
        <v>2613</v>
      </c>
      <c r="C120" s="1" t="s">
        <v>2614</v>
      </c>
      <c r="D120" s="7" t="str">
        <f>IFERROR(__xludf.DUMMYFUNCTION("GOOGLETRANSLATE(C120, ""en"", ""ar"")"),"الجبل الأسود")</f>
        <v>الجبل الأسود</v>
      </c>
      <c r="E120" s="7" t="str">
        <f>IFERROR(__xludf.DUMMYFUNCTION("GOOGLETRANSLATE(C120, ""en"", ""bg"")"),"Черна гора")</f>
        <v>Черна гора</v>
      </c>
      <c r="F120" s="6" t="s">
        <v>132</v>
      </c>
      <c r="G120" s="7" t="str">
        <f>IFERROR(__xludf.DUMMYFUNCTION("GOOGLETRANSLATE(C120, ""en"", ""cs"")"),"Černá Hora")</f>
        <v>Černá Hora</v>
      </c>
      <c r="H120" s="7" t="str">
        <f>IFERROR(__xludf.DUMMYFUNCTION("GOOGLETRANSLATE(C120, ""en"", ""da"")"),"Montenegro.")</f>
        <v>Montenegro.</v>
      </c>
      <c r="I120" s="1" t="s">
        <v>2614</v>
      </c>
      <c r="J120" s="6" t="s">
        <v>132</v>
      </c>
      <c r="K120" s="1" t="s">
        <v>2614</v>
      </c>
      <c r="L120" s="7" t="str">
        <f>IFERROR(__xludf.DUMMYFUNCTION("GOOGLETRANSLATE(C120, ""en"", ""fi"")"),"Montenegro")</f>
        <v>Montenegro</v>
      </c>
      <c r="M120" s="1" t="s">
        <v>2615</v>
      </c>
      <c r="N120" s="6" t="s">
        <v>132</v>
      </c>
      <c r="O120" s="6" t="s">
        <v>132</v>
      </c>
      <c r="P120" s="1" t="s">
        <v>2614</v>
      </c>
      <c r="Q120" s="7" t="str">
        <f>IFERROR(__xludf.DUMMYFUNCTION("GOOGLETRANSLATE(C120, ""en"", ""in"")"),"Montenegro.")</f>
        <v>Montenegro.</v>
      </c>
      <c r="R120" s="7" t="str">
        <f>IFERROR(__xludf.DUMMYFUNCTION("GOOGLETRANSLATE(C120, ""en"", ""it"")"),"Montenegro.")</f>
        <v>Montenegro.</v>
      </c>
      <c r="S120" s="6" t="s">
        <v>132</v>
      </c>
      <c r="T120" s="7" t="str">
        <f>IFERROR(__xludf.DUMMYFUNCTION("GOOGLETRANSLATE(C120, ""en"", ""ja"")"),"モンテネグロ")</f>
        <v>モンテネグロ</v>
      </c>
      <c r="U120" s="7" t="str">
        <f>IFERROR(__xludf.DUMMYFUNCTION("GOOGLETRANSLATE(C120, ""en"", ""ko"")"),"몬테네그로")</f>
        <v>몬테네그로</v>
      </c>
      <c r="V120" s="7" t="str">
        <f>IFERROR(__xludf.DUMMYFUNCTION("GOOGLETRANSLATE(C120, ""en"", ""ms"")"),"Montenegro.")</f>
        <v>Montenegro.</v>
      </c>
      <c r="W120" s="7" t="str">
        <f>IFERROR(__xludf.DUMMYFUNCTION("GOOGLETRANSLATE(C120, ""en"", ""nl"")"),"Montenegro")</f>
        <v>Montenegro</v>
      </c>
      <c r="X120" s="7" t="str">
        <f>IFERROR(__xludf.DUMMYFUNCTION("GOOGLETRANSLATE(C120, ""en"", ""no"")"),"Montenegro")</f>
        <v>Montenegro</v>
      </c>
      <c r="Y120" s="7" t="str">
        <f>IFERROR(__xludf.DUMMYFUNCTION("GOOGLETRANSLATE(C120, ""en"", ""pl"")"),"Czarnogóra")</f>
        <v>Czarnogóra</v>
      </c>
      <c r="Z120" s="7" t="str">
        <f>IFERROR(__xludf.DUMMYFUNCTION("GOOGLETRANSLATE(C120, ""en"", ""pt"")"),"Montenegro")</f>
        <v>Montenegro</v>
      </c>
      <c r="AA120" s="7" t="str">
        <f>IFERROR(__xludf.DUMMYFUNCTION("GOOGLETRANSLATE(C120, ""en"", ""ro"")"),"Muntenegru.")</f>
        <v>Muntenegru.</v>
      </c>
      <c r="AB120" s="1" t="s">
        <v>2616</v>
      </c>
      <c r="AC120" s="7" t="str">
        <f>IFERROR(__xludf.DUMMYFUNCTION("GOOGLETRANSLATE(C120, ""en"", ""sk"")"),"Čierna Hora")</f>
        <v>Čierna Hora</v>
      </c>
      <c r="AD120" s="6" t="s">
        <v>132</v>
      </c>
      <c r="AE120" s="1" t="s">
        <v>2617</v>
      </c>
      <c r="AF120" s="7" t="str">
        <f>IFERROR(__xludf.DUMMYFUNCTION("GOOGLETRANSLATE(C120, ""en"", ""sv"")"),"Montenegro")</f>
        <v>Montenegro</v>
      </c>
      <c r="AG120" s="6" t="s">
        <v>132</v>
      </c>
      <c r="AH120" s="7" t="str">
        <f>IFERROR(__xludf.DUMMYFUNCTION("GOOGLETRANSLATE(C120, ""en"", ""tr"")"),"Karadağ")</f>
        <v>Karadağ</v>
      </c>
      <c r="AI120" s="6" t="s">
        <v>132</v>
      </c>
      <c r="AJ120" s="6" t="s">
        <v>132</v>
      </c>
      <c r="AK120" s="7" t="str">
        <f>IFERROR(__xludf.DUMMYFUNCTION("GOOGLETRANSLATE(C120, ""en"", ""zh"")"),"黑山")</f>
        <v>黑山</v>
      </c>
      <c r="AL120" s="6" t="s">
        <v>132</v>
      </c>
    </row>
    <row r="121" ht="15.75" customHeight="1">
      <c r="A121" s="1" t="s">
        <v>127</v>
      </c>
      <c r="B121" s="1" t="s">
        <v>2618</v>
      </c>
      <c r="C121" s="1" t="s">
        <v>2619</v>
      </c>
      <c r="D121" s="8" t="s">
        <v>2620</v>
      </c>
      <c r="E121" s="1" t="s">
        <v>2621</v>
      </c>
      <c r="F121" s="6" t="s">
        <v>132</v>
      </c>
      <c r="G121" s="1" t="s">
        <v>2622</v>
      </c>
      <c r="H121" s="1" t="s">
        <v>2619</v>
      </c>
      <c r="I121" s="1" t="s">
        <v>2623</v>
      </c>
      <c r="J121" s="6" t="s">
        <v>2619</v>
      </c>
      <c r="K121" s="1" t="s">
        <v>2624</v>
      </c>
      <c r="L121" s="1" t="s">
        <v>2619</v>
      </c>
      <c r="M121" s="1" t="s">
        <v>2625</v>
      </c>
      <c r="N121" s="6" t="s">
        <v>132</v>
      </c>
      <c r="O121" s="6" t="s">
        <v>2626</v>
      </c>
      <c r="P121" s="1" t="s">
        <v>2619</v>
      </c>
      <c r="Q121" s="1" t="s">
        <v>2627</v>
      </c>
      <c r="R121" s="1" t="s">
        <v>2628</v>
      </c>
      <c r="S121" s="10" t="s">
        <v>2629</v>
      </c>
      <c r="T121" s="1" t="s">
        <v>2630</v>
      </c>
      <c r="U121" s="1" t="s">
        <v>2631</v>
      </c>
      <c r="V121" s="1" t="s">
        <v>2632</v>
      </c>
      <c r="W121" s="1" t="s">
        <v>2619</v>
      </c>
      <c r="X121" s="1" t="s">
        <v>2619</v>
      </c>
      <c r="Y121" s="11" t="s">
        <v>2633</v>
      </c>
      <c r="Z121" s="1" t="s">
        <v>2634</v>
      </c>
      <c r="AA121" s="1" t="s">
        <v>2635</v>
      </c>
      <c r="AB121" s="1" t="s">
        <v>2636</v>
      </c>
      <c r="AC121" s="1" t="s">
        <v>2637</v>
      </c>
      <c r="AD121" s="6" t="s">
        <v>2619</v>
      </c>
      <c r="AE121" s="1" t="s">
        <v>2638</v>
      </c>
      <c r="AF121" s="1" t="s">
        <v>2639</v>
      </c>
      <c r="AG121" s="6" t="s">
        <v>2640</v>
      </c>
      <c r="AH121" s="1" t="s">
        <v>2641</v>
      </c>
      <c r="AI121" s="6" t="s">
        <v>132</v>
      </c>
      <c r="AJ121" s="6" t="s">
        <v>2642</v>
      </c>
      <c r="AK121" s="1" t="s">
        <v>2643</v>
      </c>
      <c r="AL121" s="6" t="s">
        <v>132</v>
      </c>
    </row>
    <row r="122" ht="15.75" customHeight="1">
      <c r="A122" s="1" t="s">
        <v>127</v>
      </c>
      <c r="B122" s="1" t="s">
        <v>2644</v>
      </c>
      <c r="C122" s="1" t="s">
        <v>2645</v>
      </c>
      <c r="D122" s="8" t="s">
        <v>2646</v>
      </c>
      <c r="E122" s="1" t="s">
        <v>2647</v>
      </c>
      <c r="F122" s="6" t="s">
        <v>132</v>
      </c>
      <c r="G122" s="1" t="s">
        <v>2648</v>
      </c>
      <c r="H122" s="1" t="s">
        <v>2649</v>
      </c>
      <c r="I122" s="1" t="s">
        <v>2650</v>
      </c>
      <c r="J122" s="6" t="s">
        <v>2651</v>
      </c>
      <c r="K122" s="1" t="s">
        <v>2652</v>
      </c>
      <c r="L122" s="1" t="s">
        <v>2653</v>
      </c>
      <c r="M122" s="1" t="s">
        <v>2654</v>
      </c>
      <c r="N122" s="6" t="s">
        <v>132</v>
      </c>
      <c r="O122" s="6" t="s">
        <v>2655</v>
      </c>
      <c r="P122" s="1" t="s">
        <v>2656</v>
      </c>
      <c r="Q122" s="1" t="s">
        <v>2657</v>
      </c>
      <c r="R122" s="1" t="s">
        <v>2658</v>
      </c>
      <c r="S122" s="10" t="s">
        <v>2659</v>
      </c>
      <c r="T122" s="1" t="s">
        <v>2660</v>
      </c>
      <c r="U122" s="1" t="s">
        <v>2661</v>
      </c>
      <c r="V122" s="1" t="s">
        <v>2662</v>
      </c>
      <c r="W122" s="1" t="s">
        <v>2663</v>
      </c>
      <c r="X122" s="1" t="s">
        <v>2664</v>
      </c>
      <c r="Y122" s="1" t="s">
        <v>2665</v>
      </c>
      <c r="Z122" s="1" t="s">
        <v>2666</v>
      </c>
      <c r="AA122" s="1" t="s">
        <v>2667</v>
      </c>
      <c r="AB122" s="1" t="s">
        <v>2668</v>
      </c>
      <c r="AC122" s="1" t="s">
        <v>2669</v>
      </c>
      <c r="AD122" s="6" t="s">
        <v>2670</v>
      </c>
      <c r="AE122" s="1" t="s">
        <v>2671</v>
      </c>
      <c r="AF122" s="1" t="s">
        <v>2672</v>
      </c>
      <c r="AG122" s="6" t="s">
        <v>2673</v>
      </c>
      <c r="AH122" s="1" t="s">
        <v>2674</v>
      </c>
      <c r="AI122" s="6" t="s">
        <v>132</v>
      </c>
      <c r="AJ122" s="6" t="s">
        <v>2675</v>
      </c>
      <c r="AK122" s="1" t="s">
        <v>2676</v>
      </c>
      <c r="AL122" s="6" t="s">
        <v>132</v>
      </c>
    </row>
    <row r="123" ht="15.75" hidden="1" customHeight="1">
      <c r="A123" s="1" t="s">
        <v>38</v>
      </c>
      <c r="B123" s="1" t="s">
        <v>2677</v>
      </c>
      <c r="C123" s="1" t="s">
        <v>2678</v>
      </c>
      <c r="D123" s="7" t="str">
        <f>IFERROR(__xludf.DUMMYFUNCTION("GOOGLETRANSLATE(C123, ""en"", ""ar"")"),"القديسة لوسيا")</f>
        <v>القديسة لوسيا</v>
      </c>
      <c r="E123" s="7" t="str">
        <f>IFERROR(__xludf.DUMMYFUNCTION("GOOGLETRANSLATE(C123, ""en"", ""bg"")"),"Сейнт Лусия")</f>
        <v>Сейнт Лусия</v>
      </c>
      <c r="F123" s="6" t="s">
        <v>132</v>
      </c>
      <c r="G123" s="7" t="str">
        <f>IFERROR(__xludf.DUMMYFUNCTION("GOOGLETRANSLATE(C123, ""en"", ""cs"")"),"Svatý Lucie")</f>
        <v>Svatý Lucie</v>
      </c>
      <c r="H123" s="7" t="str">
        <f>IFERROR(__xludf.DUMMYFUNCTION("GOOGLETRANSLATE(C123, ""en"", ""da"")"),"Saint Lucia.")</f>
        <v>Saint Lucia.</v>
      </c>
      <c r="I123" s="1" t="s">
        <v>2679</v>
      </c>
      <c r="J123" s="6" t="s">
        <v>132</v>
      </c>
      <c r="K123" s="1" t="s">
        <v>2680</v>
      </c>
      <c r="L123" s="7" t="str">
        <f>IFERROR(__xludf.DUMMYFUNCTION("GOOGLETRANSLATE(C123, ""en"", ""fi"")"),"Saint Lucia")</f>
        <v>Saint Lucia</v>
      </c>
      <c r="M123" s="1" t="s">
        <v>2681</v>
      </c>
      <c r="N123" s="6" t="s">
        <v>132</v>
      </c>
      <c r="O123" s="6" t="s">
        <v>132</v>
      </c>
      <c r="P123" s="1" t="s">
        <v>2678</v>
      </c>
      <c r="Q123" s="7" t="str">
        <f>IFERROR(__xludf.DUMMYFUNCTION("GOOGLETRANSLATE(C123, ""en"", ""in"")"),"Saint Lucia.")</f>
        <v>Saint Lucia.</v>
      </c>
      <c r="R123" s="7" t="str">
        <f>IFERROR(__xludf.DUMMYFUNCTION("GOOGLETRANSLATE(C123, ""en"", ""it"")"),"Santa Lucia")</f>
        <v>Santa Lucia</v>
      </c>
      <c r="S123" s="6" t="s">
        <v>132</v>
      </c>
      <c r="T123" s="7" t="str">
        <f>IFERROR(__xludf.DUMMYFUNCTION("GOOGLETRANSLATE(C123, ""en"", ""ja"")"),"セントルシア")</f>
        <v>セントルシア</v>
      </c>
      <c r="U123" s="7" t="str">
        <f>IFERROR(__xludf.DUMMYFUNCTION("GOOGLETRANSLATE(C123, ""en"", ""ko"")"),"세인트 루시아")</f>
        <v>세인트 루시아</v>
      </c>
      <c r="V123" s="7" t="str">
        <f>IFERROR(__xludf.DUMMYFUNCTION("GOOGLETRANSLATE(C123, ""en"", ""ms"")"),"Saint Lucia")</f>
        <v>Saint Lucia</v>
      </c>
      <c r="W123" s="7" t="str">
        <f>IFERROR(__xludf.DUMMYFUNCTION("GOOGLETRANSLATE(C123, ""en"", ""nl"")"),"Saint Lucia")</f>
        <v>Saint Lucia</v>
      </c>
      <c r="X123" s="7" t="str">
        <f>IFERROR(__xludf.DUMMYFUNCTION("GOOGLETRANSLATE(C123, ""en"", ""no"")"),"Saint Lucia")</f>
        <v>Saint Lucia</v>
      </c>
      <c r="Y123" s="7" t="str">
        <f>IFERROR(__xludf.DUMMYFUNCTION("GOOGLETRANSLATE(C123, ""en"", ""pl"")"),"święta Lucia")</f>
        <v>święta Lucia</v>
      </c>
      <c r="Z123" s="7" t="str">
        <f>IFERROR(__xludf.DUMMYFUNCTION("GOOGLETRANSLATE(C123, ""en"", ""pt"")"),"Santa Lúcia")</f>
        <v>Santa Lúcia</v>
      </c>
      <c r="AA123" s="7" t="str">
        <f>IFERROR(__xludf.DUMMYFUNCTION("GOOGLETRANSLATE(C123, ""en"", ""ro"")"),"Sfânta Lucia")</f>
        <v>Sfânta Lucia</v>
      </c>
      <c r="AB123" s="1" t="s">
        <v>2682</v>
      </c>
      <c r="AC123" s="7" t="str">
        <f>IFERROR(__xludf.DUMMYFUNCTION("GOOGLETRANSLATE(C123, ""en"", ""sk"")"),"Svätá Lucia")</f>
        <v>Svätá Lucia</v>
      </c>
      <c r="AD123" s="6" t="s">
        <v>132</v>
      </c>
      <c r="AE123" s="1" t="s">
        <v>2683</v>
      </c>
      <c r="AF123" s="7" t="str">
        <f>IFERROR(__xludf.DUMMYFUNCTION("GOOGLETRANSLATE(C123, ""en"", ""sv"")"),"Saint Lucia")</f>
        <v>Saint Lucia</v>
      </c>
      <c r="AG123" s="6" t="s">
        <v>132</v>
      </c>
      <c r="AH123" s="7" t="str">
        <f>IFERROR(__xludf.DUMMYFUNCTION("GOOGLETRANSLATE(C123, ""en"", ""tr"")"),"Saint Lucia")</f>
        <v>Saint Lucia</v>
      </c>
      <c r="AI123" s="6" t="s">
        <v>132</v>
      </c>
      <c r="AJ123" s="6" t="s">
        <v>132</v>
      </c>
      <c r="AK123" s="7" t="str">
        <f>IFERROR(__xludf.DUMMYFUNCTION("GOOGLETRANSLATE(C123, ""en"", ""zh"")"),"圣卢西亚")</f>
        <v>圣卢西亚</v>
      </c>
      <c r="AL123" s="6" t="s">
        <v>132</v>
      </c>
    </row>
    <row r="124" ht="15.75" hidden="1" customHeight="1">
      <c r="A124" s="1" t="s">
        <v>38</v>
      </c>
      <c r="B124" s="1" t="s">
        <v>2684</v>
      </c>
      <c r="C124" s="1" t="s">
        <v>2685</v>
      </c>
      <c r="D124" s="8" t="s">
        <v>2686</v>
      </c>
      <c r="E124" s="1" t="s">
        <v>2687</v>
      </c>
      <c r="F124" s="6" t="s">
        <v>2688</v>
      </c>
      <c r="G124" s="7" t="str">
        <f>IFERROR(__xludf.DUMMYFUNCTION("GOOGLETRANSLATE(C124, ""en"", ""cs"")"),"Síťová síť nedostupná")</f>
        <v>Síťová síť nedostupná</v>
      </c>
      <c r="H124" s="7" t="str">
        <f>IFERROR(__xludf.DUMMYFUNCTION("GOOGLETRANSLATE(C124, ""en"", ""da"")"),"Tor netværk utilgængelig")</f>
        <v>Tor netværk utilgængelig</v>
      </c>
      <c r="I124" s="1" t="s">
        <v>2689</v>
      </c>
      <c r="J124" s="6" t="s">
        <v>132</v>
      </c>
      <c r="K124" s="1" t="s">
        <v>2690</v>
      </c>
      <c r="L124" s="7" t="str">
        <f>IFERROR(__xludf.DUMMYFUNCTION("GOOGLETRANSLATE(C124, ""en"", ""fi"")"),"TOR-verkko ei ole käytettävissä")</f>
        <v>TOR-verkko ei ole käytettävissä</v>
      </c>
      <c r="M124" s="1" t="s">
        <v>2691</v>
      </c>
      <c r="N124" s="6" t="s">
        <v>2692</v>
      </c>
      <c r="O124" s="6" t="s">
        <v>132</v>
      </c>
      <c r="P124" s="1" t="s">
        <v>2693</v>
      </c>
      <c r="Q124" s="9" t="s">
        <v>2694</v>
      </c>
      <c r="R124" s="1" t="s">
        <v>2695</v>
      </c>
      <c r="S124" s="6" t="s">
        <v>132</v>
      </c>
      <c r="T124" s="1" t="s">
        <v>2696</v>
      </c>
      <c r="U124" s="1" t="s">
        <v>2697</v>
      </c>
      <c r="V124" s="7" t="str">
        <f>IFERROR(__xludf.DUMMYFUNCTION("GOOGLETRANSLATE(C124, ""en"", ""ms"")"),"Rangkaian Tor tidak tersedia")</f>
        <v>Rangkaian Tor tidak tersedia</v>
      </c>
      <c r="W124" s="1" t="s">
        <v>2698</v>
      </c>
      <c r="X124" s="7" t="str">
        <f>IFERROR(__xludf.DUMMYFUNCTION("GOOGLETRANSLATE(C124, ""en"", ""no"")"),"Tor Network utilgjengelig")</f>
        <v>Tor Network utilgjengelig</v>
      </c>
      <c r="Y124" s="1" t="s">
        <v>2699</v>
      </c>
      <c r="Z124" s="1" t="s">
        <v>2700</v>
      </c>
      <c r="AA124" s="7" t="str">
        <f>IFERROR(__xludf.DUMMYFUNCTION("GOOGLETRANSLATE(C124, ""en"", ""ro"")"),"TOR Rețea indisponibilă")</f>
        <v>TOR Rețea indisponibilă</v>
      </c>
      <c r="AB124" s="1" t="s">
        <v>2701</v>
      </c>
      <c r="AC124" s="7" t="str">
        <f>IFERROR(__xludf.DUMMYFUNCTION("GOOGLETRANSLATE(C124, ""en"", ""sk"")"),"Network Tor Network Nie je k dispozícii")</f>
        <v>Network Tor Network Nie je k dispozícii</v>
      </c>
      <c r="AD124" s="6" t="s">
        <v>132</v>
      </c>
      <c r="AE124" s="1" t="s">
        <v>2702</v>
      </c>
      <c r="AF124" s="1" t="s">
        <v>2703</v>
      </c>
      <c r="AG124" s="6" t="s">
        <v>132</v>
      </c>
      <c r="AH124" s="7" t="str">
        <f>IFERROR(__xludf.DUMMYFUNCTION("GOOGLETRANSLATE(C124, ""en"", ""tr"")"),"Tor şebekesi kullanılamıyor")</f>
        <v>Tor şebekesi kullanılamıyor</v>
      </c>
      <c r="AI124" s="6" t="s">
        <v>2704</v>
      </c>
      <c r="AJ124" s="6" t="s">
        <v>2705</v>
      </c>
      <c r="AK124" s="7" t="str">
        <f>IFERROR(__xludf.DUMMYFUNCTION("GOOGLETRANSLATE(C124, ""en"", ""zh"")"),"Tor网络不可用")</f>
        <v>Tor网络不可用</v>
      </c>
      <c r="AL124" s="6" t="s">
        <v>2706</v>
      </c>
    </row>
    <row r="125" ht="15.75" customHeight="1">
      <c r="A125" s="1" t="s">
        <v>127</v>
      </c>
      <c r="B125" s="1" t="s">
        <v>2707</v>
      </c>
      <c r="C125" s="1" t="s">
        <v>2708</v>
      </c>
      <c r="D125" s="8" t="s">
        <v>2709</v>
      </c>
      <c r="E125" s="1" t="s">
        <v>2710</v>
      </c>
      <c r="F125" s="6" t="s">
        <v>132</v>
      </c>
      <c r="G125" s="1" t="s">
        <v>2711</v>
      </c>
      <c r="H125" s="1" t="s">
        <v>2712</v>
      </c>
      <c r="I125" s="1" t="s">
        <v>2713</v>
      </c>
      <c r="J125" s="6" t="s">
        <v>2714</v>
      </c>
      <c r="K125" s="1" t="s">
        <v>2715</v>
      </c>
      <c r="L125" s="1" t="s">
        <v>2716</v>
      </c>
      <c r="M125" s="1" t="s">
        <v>2717</v>
      </c>
      <c r="N125" s="6" t="s">
        <v>132</v>
      </c>
      <c r="O125" s="6" t="s">
        <v>2718</v>
      </c>
      <c r="P125" s="1" t="s">
        <v>2719</v>
      </c>
      <c r="Q125" s="1" t="s">
        <v>2720</v>
      </c>
      <c r="R125" s="1" t="s">
        <v>2721</v>
      </c>
      <c r="S125" s="10" t="s">
        <v>2722</v>
      </c>
      <c r="T125" s="1" t="s">
        <v>2723</v>
      </c>
      <c r="U125" s="1" t="s">
        <v>2724</v>
      </c>
      <c r="V125" s="1" t="s">
        <v>2720</v>
      </c>
      <c r="W125" s="1" t="s">
        <v>2725</v>
      </c>
      <c r="X125" s="1" t="s">
        <v>2726</v>
      </c>
      <c r="Y125" s="1" t="s">
        <v>2727</v>
      </c>
      <c r="Z125" s="1" t="s">
        <v>2728</v>
      </c>
      <c r="AA125" s="1" t="s">
        <v>2729</v>
      </c>
      <c r="AB125" s="1" t="s">
        <v>2730</v>
      </c>
      <c r="AC125" s="1" t="s">
        <v>2731</v>
      </c>
      <c r="AD125" s="6" t="s">
        <v>2732</v>
      </c>
      <c r="AE125" s="1" t="s">
        <v>2733</v>
      </c>
      <c r="AF125" s="1" t="s">
        <v>2734</v>
      </c>
      <c r="AG125" s="6" t="s">
        <v>2735</v>
      </c>
      <c r="AH125" s="1" t="s">
        <v>2736</v>
      </c>
      <c r="AI125" s="6" t="s">
        <v>132</v>
      </c>
      <c r="AJ125" s="6" t="s">
        <v>2737</v>
      </c>
      <c r="AK125" s="1" t="s">
        <v>2738</v>
      </c>
      <c r="AL125" s="6" t="s">
        <v>132</v>
      </c>
    </row>
    <row r="126" ht="15.75" customHeight="1">
      <c r="A126" s="1" t="s">
        <v>127</v>
      </c>
      <c r="B126" s="1" t="s">
        <v>2739</v>
      </c>
      <c r="C126" s="1" t="s">
        <v>2740</v>
      </c>
      <c r="D126" s="7" t="str">
        <f>IFERROR(__xludf.DUMMYFUNCTION("GOOGLETRANSLATE(C126, ""en"", ""ar"")"),"التطبيق المجاني المثالي لجميع المستثمرين مع بيانات السوق في الوقت الفعلي و 12 مليون رموز: baha.com/mobileapps")</f>
        <v>التطبيق المجاني المثالي لجميع المستثمرين مع بيانات السوق في الوقت الفعلي و 12 مليون رموز: baha.com/mobileapps</v>
      </c>
      <c r="E126" s="7" t="str">
        <f>IFERROR(__xludf.DUMMYFUNCTION("GOOGLETRANSLATE(C126, ""en"", ""bg"")"),"Перфектното безплатно приложение за всички инвеститори с данни в реално време и 12 милиона символа: baha.com/mobileapps")</f>
        <v>Перфектното безплатно приложение за всички инвеститори с данни в реално време и 12 милиона символа: baha.com/mobileapps</v>
      </c>
      <c r="F126" s="6" t="s">
        <v>132</v>
      </c>
      <c r="G126" s="7" t="str">
        <f>IFERROR(__xludf.DUMMYFUNCTION("GOOGLETRANSLATE(C126, ""en"", ""cs"")"),"Perfektní bezplatná aplikace pro všechny investory s daty trhu v reálném čase a 12 miliony symbolů: baha.com/mobilapps")</f>
        <v>Perfektní bezplatná aplikace pro všechny investory s daty trhu v reálném čase a 12 miliony symbolů: baha.com/mobilapps</v>
      </c>
      <c r="H126" s="1" t="s">
        <v>2741</v>
      </c>
      <c r="I126" s="1" t="s">
        <v>2742</v>
      </c>
      <c r="J126" s="6" t="s">
        <v>132</v>
      </c>
      <c r="K126" s="1" t="s">
        <v>2743</v>
      </c>
      <c r="L126" s="1" t="s">
        <v>2744</v>
      </c>
      <c r="M126" s="1" t="s">
        <v>2745</v>
      </c>
      <c r="N126" s="6" t="s">
        <v>132</v>
      </c>
      <c r="O126" s="6" t="s">
        <v>132</v>
      </c>
      <c r="P126" s="1" t="s">
        <v>2746</v>
      </c>
      <c r="Q126" s="1" t="s">
        <v>2747</v>
      </c>
      <c r="R126" s="1" t="s">
        <v>2748</v>
      </c>
      <c r="S126" s="6" t="s">
        <v>132</v>
      </c>
      <c r="T126" s="1" t="s">
        <v>2749</v>
      </c>
      <c r="U126" s="1" t="s">
        <v>2750</v>
      </c>
      <c r="V126" s="1" t="s">
        <v>2751</v>
      </c>
      <c r="W126" s="1" t="s">
        <v>2752</v>
      </c>
      <c r="X126" s="1" t="s">
        <v>2753</v>
      </c>
      <c r="Y126" s="1" t="s">
        <v>2754</v>
      </c>
      <c r="Z126" s="1" t="s">
        <v>2755</v>
      </c>
      <c r="AA126" s="7" t="str">
        <f>IFERROR(__xludf.DUMMYFUNCTION("GOOGLETRANSLATE(C126, ""en"", ""ro"")"),"Aplicația perfectă gratuită pentru toți investitorii cu date de piață în timp real și 12 milioane simboluri: Baha.com/mobileApps")</f>
        <v>Aplicația perfectă gratuită pentru toți investitorii cu date de piață în timp real și 12 milioane simboluri: Baha.com/mobileApps</v>
      </c>
      <c r="AB126" s="1" t="s">
        <v>2756</v>
      </c>
      <c r="AC126" s="7" t="str">
        <f>IFERROR(__xludf.DUMMYFUNCTION("GOOGLETRANSLATE(C126, ""en"", ""sk"")"),"Dokonalá bezplatná aplikácia pre všetkých investorov s trhovými údajmi v reálnom čase a 12 miliónov symbolov: baha.com/mobileApps")</f>
        <v>Dokonalá bezplatná aplikácia pre všetkých investorov s trhovými údajmi v reálnom čase a 12 miliónov symbolov: baha.com/mobileApps</v>
      </c>
      <c r="AD126" s="6" t="s">
        <v>132</v>
      </c>
      <c r="AE126" s="1" t="s">
        <v>2757</v>
      </c>
      <c r="AF126" s="1" t="s">
        <v>2758</v>
      </c>
      <c r="AG126" s="6" t="s">
        <v>132</v>
      </c>
      <c r="AH126" s="1" t="s">
        <v>2759</v>
      </c>
      <c r="AI126" s="6" t="s">
        <v>132</v>
      </c>
      <c r="AJ126" s="6" t="s">
        <v>132</v>
      </c>
      <c r="AK126" s="1" t="s">
        <v>2760</v>
      </c>
      <c r="AL126" s="6" t="s">
        <v>132</v>
      </c>
    </row>
    <row r="127" ht="15.75" customHeight="1">
      <c r="A127" s="1" t="s">
        <v>127</v>
      </c>
      <c r="B127" s="1" t="s">
        <v>2761</v>
      </c>
      <c r="C127" s="1" t="s">
        <v>2762</v>
      </c>
      <c r="D127" s="8" t="s">
        <v>2763</v>
      </c>
      <c r="E127" s="1" t="s">
        <v>2764</v>
      </c>
      <c r="F127" s="6" t="s">
        <v>132</v>
      </c>
      <c r="G127" s="1" t="s">
        <v>2765</v>
      </c>
      <c r="H127" s="1" t="s">
        <v>2766</v>
      </c>
      <c r="I127" s="1" t="s">
        <v>2767</v>
      </c>
      <c r="J127" s="6" t="s">
        <v>2768</v>
      </c>
      <c r="K127" s="1" t="s">
        <v>2769</v>
      </c>
      <c r="L127" s="1" t="s">
        <v>2770</v>
      </c>
      <c r="M127" s="1" t="s">
        <v>2762</v>
      </c>
      <c r="N127" s="6" t="s">
        <v>132</v>
      </c>
      <c r="O127" s="6" t="s">
        <v>2771</v>
      </c>
      <c r="P127" s="1" t="s">
        <v>2772</v>
      </c>
      <c r="Q127" s="1" t="s">
        <v>2773</v>
      </c>
      <c r="R127" s="1" t="s">
        <v>2774</v>
      </c>
      <c r="S127" s="10" t="s">
        <v>2775</v>
      </c>
      <c r="T127" s="1" t="s">
        <v>2776</v>
      </c>
      <c r="U127" s="1" t="s">
        <v>2777</v>
      </c>
      <c r="V127" s="1" t="s">
        <v>2773</v>
      </c>
      <c r="W127" s="1" t="s">
        <v>2778</v>
      </c>
      <c r="X127" s="1" t="s">
        <v>2779</v>
      </c>
      <c r="Y127" s="1" t="s">
        <v>2780</v>
      </c>
      <c r="Z127" s="1" t="s">
        <v>2762</v>
      </c>
      <c r="AA127" s="1" t="s">
        <v>2781</v>
      </c>
      <c r="AB127" s="1" t="s">
        <v>2782</v>
      </c>
      <c r="AC127" s="1" t="s">
        <v>2783</v>
      </c>
      <c r="AD127" s="6" t="s">
        <v>2784</v>
      </c>
      <c r="AE127" s="1" t="s">
        <v>2785</v>
      </c>
      <c r="AF127" s="1" t="s">
        <v>2786</v>
      </c>
      <c r="AG127" s="6" t="s">
        <v>2787</v>
      </c>
      <c r="AH127" s="1" t="s">
        <v>2788</v>
      </c>
      <c r="AI127" s="6" t="s">
        <v>132</v>
      </c>
      <c r="AJ127" s="6" t="s">
        <v>2789</v>
      </c>
      <c r="AK127" s="1" t="s">
        <v>2790</v>
      </c>
      <c r="AL127" s="6" t="s">
        <v>2791</v>
      </c>
    </row>
    <row r="128" ht="15.75" customHeight="1">
      <c r="A128" s="1" t="s">
        <v>2265</v>
      </c>
      <c r="B128" s="1" t="s">
        <v>2792</v>
      </c>
      <c r="C128" s="1" t="s">
        <v>2793</v>
      </c>
      <c r="D128" s="8" t="s">
        <v>2794</v>
      </c>
      <c r="E128" s="1" t="s">
        <v>2795</v>
      </c>
      <c r="F128" s="6" t="s">
        <v>132</v>
      </c>
      <c r="G128" s="1" t="s">
        <v>2796</v>
      </c>
      <c r="H128" s="1" t="s">
        <v>2797</v>
      </c>
      <c r="I128" s="1" t="s">
        <v>2798</v>
      </c>
      <c r="J128" s="6" t="s">
        <v>2799</v>
      </c>
      <c r="K128" s="1" t="s">
        <v>2800</v>
      </c>
      <c r="L128" s="1" t="s">
        <v>2801</v>
      </c>
      <c r="M128" s="1" t="s">
        <v>2802</v>
      </c>
      <c r="N128" s="6" t="s">
        <v>132</v>
      </c>
      <c r="O128" s="6" t="s">
        <v>2803</v>
      </c>
      <c r="P128" s="1" t="s">
        <v>2804</v>
      </c>
      <c r="Q128" s="1" t="s">
        <v>2805</v>
      </c>
      <c r="R128" s="1" t="s">
        <v>2806</v>
      </c>
      <c r="S128" s="10" t="s">
        <v>2807</v>
      </c>
      <c r="T128" s="1" t="s">
        <v>2808</v>
      </c>
      <c r="U128" s="1" t="s">
        <v>2809</v>
      </c>
      <c r="V128" s="1" t="s">
        <v>2810</v>
      </c>
      <c r="W128" s="1" t="s">
        <v>2811</v>
      </c>
      <c r="X128" s="1" t="s">
        <v>2812</v>
      </c>
      <c r="Y128" s="1" t="s">
        <v>2813</v>
      </c>
      <c r="Z128" s="1" t="s">
        <v>2814</v>
      </c>
      <c r="AA128" s="1" t="s">
        <v>2815</v>
      </c>
      <c r="AB128" s="1" t="s">
        <v>2816</v>
      </c>
      <c r="AC128" s="1" t="s">
        <v>2817</v>
      </c>
      <c r="AD128" s="6" t="s">
        <v>2818</v>
      </c>
      <c r="AE128" s="1" t="s">
        <v>2819</v>
      </c>
      <c r="AF128" s="1" t="s">
        <v>2820</v>
      </c>
      <c r="AG128" s="6" t="s">
        <v>2821</v>
      </c>
      <c r="AH128" s="1" t="s">
        <v>2822</v>
      </c>
      <c r="AI128" s="6" t="s">
        <v>132</v>
      </c>
      <c r="AJ128" s="6" t="s">
        <v>2823</v>
      </c>
      <c r="AK128" s="14" t="s">
        <v>2824</v>
      </c>
      <c r="AL128" s="6" t="s">
        <v>132</v>
      </c>
    </row>
    <row r="129" ht="15.75" hidden="1" customHeight="1">
      <c r="A129" s="1" t="s">
        <v>38</v>
      </c>
      <c r="B129" s="1" t="s">
        <v>2825</v>
      </c>
      <c r="C129" s="1" t="s">
        <v>2826</v>
      </c>
      <c r="D129" s="8" t="s">
        <v>2827</v>
      </c>
      <c r="E129" s="7" t="str">
        <f>IFERROR(__xludf.DUMMYFUNCTION("GOOGLETRANSLATE(C129, ""en"", ""bg"")"),"Създай акаунт")</f>
        <v>Създай акаунт</v>
      </c>
      <c r="F129" s="6" t="s">
        <v>132</v>
      </c>
      <c r="G129" s="7" t="str">
        <f>IFERROR(__xludf.DUMMYFUNCTION("GOOGLETRANSLATE(C129, ""en"", ""cs"")"),"Vytvořit účet")</f>
        <v>Vytvořit účet</v>
      </c>
      <c r="H129" s="7" t="str">
        <f>IFERROR(__xludf.DUMMYFUNCTION("GOOGLETRANSLATE(C129, ""en"", ""da"")"),"Opret konto")</f>
        <v>Opret konto</v>
      </c>
      <c r="I129" s="1" t="s">
        <v>2828</v>
      </c>
      <c r="J129" s="6" t="s">
        <v>132</v>
      </c>
      <c r="K129" s="1" t="s">
        <v>2829</v>
      </c>
      <c r="L129" s="7" t="str">
        <f>IFERROR(__xludf.DUMMYFUNCTION("GOOGLETRANSLATE(C129, ""en"", ""fi"")"),"Luo tili")</f>
        <v>Luo tili</v>
      </c>
      <c r="M129" s="1" t="s">
        <v>2830</v>
      </c>
      <c r="N129" s="6" t="s">
        <v>132</v>
      </c>
      <c r="O129" s="6" t="s">
        <v>132</v>
      </c>
      <c r="P129" s="1" t="s">
        <v>2831</v>
      </c>
      <c r="Q129" s="1" t="s">
        <v>2832</v>
      </c>
      <c r="R129" s="1" t="s">
        <v>2833</v>
      </c>
      <c r="S129" s="6" t="s">
        <v>132</v>
      </c>
      <c r="T129" s="1" t="s">
        <v>2834</v>
      </c>
      <c r="U129" s="7" t="str">
        <f>IFERROR(__xludf.DUMMYFUNCTION("GOOGLETRANSLATE(C129, ""en"", ""ko"")"),"계정을 만듭니다")</f>
        <v>계정을 만듭니다</v>
      </c>
      <c r="V129" s="1" t="s">
        <v>2835</v>
      </c>
      <c r="W129" s="1" t="s">
        <v>2836</v>
      </c>
      <c r="X129" s="7" t="str">
        <f>IFERROR(__xludf.DUMMYFUNCTION("GOOGLETRANSLATE(C129, ""en"", ""no"")"),"Opprett konto")</f>
        <v>Opprett konto</v>
      </c>
      <c r="Y129" s="1" t="s">
        <v>2837</v>
      </c>
      <c r="Z129" s="1" t="s">
        <v>2838</v>
      </c>
      <c r="AA129" s="7" t="str">
        <f>IFERROR(__xludf.DUMMYFUNCTION("GOOGLETRANSLATE(C129, ""en"", ""ro"")"),"Creează cont")</f>
        <v>Creează cont</v>
      </c>
      <c r="AB129" s="1" t="s">
        <v>2839</v>
      </c>
      <c r="AC129" s="7" t="str">
        <f>IFERROR(__xludf.DUMMYFUNCTION("GOOGLETRANSLATE(C129, ""en"", ""sk"")"),"Vytvoriť účet")</f>
        <v>Vytvoriť účet</v>
      </c>
      <c r="AD129" s="6" t="s">
        <v>132</v>
      </c>
      <c r="AE129" s="1" t="s">
        <v>2840</v>
      </c>
      <c r="AF129" s="7" t="str">
        <f>IFERROR(__xludf.DUMMYFUNCTION("GOOGLETRANSLATE(C129, ""en"", ""sv"")"),"Skapa konto")</f>
        <v>Skapa konto</v>
      </c>
      <c r="AG129" s="6" t="s">
        <v>132</v>
      </c>
      <c r="AH129" s="1" t="s">
        <v>2841</v>
      </c>
      <c r="AI129" s="6" t="s">
        <v>132</v>
      </c>
      <c r="AJ129" s="6" t="s">
        <v>132</v>
      </c>
      <c r="AK129" s="1" t="s">
        <v>2842</v>
      </c>
      <c r="AL129" s="6" t="s">
        <v>132</v>
      </c>
    </row>
    <row r="130" ht="15.75" customHeight="1">
      <c r="A130" s="1" t="s">
        <v>127</v>
      </c>
      <c r="B130" s="1" t="s">
        <v>2843</v>
      </c>
      <c r="C130" s="1" t="s">
        <v>2844</v>
      </c>
      <c r="D130" s="8" t="s">
        <v>2845</v>
      </c>
      <c r="E130" s="1" t="s">
        <v>2846</v>
      </c>
      <c r="F130" s="6" t="s">
        <v>132</v>
      </c>
      <c r="G130" s="1" t="s">
        <v>2847</v>
      </c>
      <c r="H130" s="1" t="s">
        <v>2848</v>
      </c>
      <c r="I130" s="1" t="s">
        <v>2849</v>
      </c>
      <c r="J130" s="6" t="s">
        <v>2850</v>
      </c>
      <c r="K130" s="1" t="s">
        <v>2851</v>
      </c>
      <c r="L130" s="1" t="s">
        <v>2852</v>
      </c>
      <c r="M130" s="1" t="s">
        <v>2853</v>
      </c>
      <c r="N130" s="6" t="s">
        <v>132</v>
      </c>
      <c r="O130" s="6" t="s">
        <v>2854</v>
      </c>
      <c r="P130" s="1" t="s">
        <v>2855</v>
      </c>
      <c r="Q130" s="1" t="s">
        <v>2856</v>
      </c>
      <c r="R130" s="1" t="s">
        <v>2857</v>
      </c>
      <c r="S130" s="10" t="s">
        <v>2858</v>
      </c>
      <c r="T130" s="1" t="s">
        <v>2859</v>
      </c>
      <c r="U130" s="1" t="s">
        <v>2860</v>
      </c>
      <c r="V130" s="1" t="s">
        <v>2861</v>
      </c>
      <c r="W130" s="1" t="s">
        <v>2862</v>
      </c>
      <c r="X130" s="1" t="s">
        <v>2863</v>
      </c>
      <c r="Y130" s="1" t="s">
        <v>2864</v>
      </c>
      <c r="Z130" s="1" t="s">
        <v>2865</v>
      </c>
      <c r="AA130" s="1" t="s">
        <v>2866</v>
      </c>
      <c r="AB130" s="1" t="s">
        <v>2867</v>
      </c>
      <c r="AC130" s="1" t="s">
        <v>2868</v>
      </c>
      <c r="AD130" s="6" t="s">
        <v>2869</v>
      </c>
      <c r="AE130" s="1" t="s">
        <v>2870</v>
      </c>
      <c r="AF130" s="1" t="s">
        <v>2871</v>
      </c>
      <c r="AG130" s="6" t="s">
        <v>2872</v>
      </c>
      <c r="AH130" s="1" t="s">
        <v>2873</v>
      </c>
      <c r="AI130" s="6" t="s">
        <v>132</v>
      </c>
      <c r="AJ130" s="6" t="s">
        <v>2874</v>
      </c>
      <c r="AK130" s="1" t="s">
        <v>2875</v>
      </c>
      <c r="AL130" s="6" t="s">
        <v>132</v>
      </c>
    </row>
    <row r="131" ht="15.75" hidden="1" customHeight="1">
      <c r="A131" s="1" t="s">
        <v>38</v>
      </c>
      <c r="B131" s="1" t="s">
        <v>2876</v>
      </c>
      <c r="C131" s="1" t="s">
        <v>2877</v>
      </c>
      <c r="D131" s="8" t="s">
        <v>2878</v>
      </c>
      <c r="E131" s="1" t="s">
        <v>2879</v>
      </c>
      <c r="F131" s="6" t="s">
        <v>2880</v>
      </c>
      <c r="G131" s="7" t="str">
        <f>IFERROR(__xludf.DUMMYFUNCTION("GOOGLETRANSLATE(C131, ""en"", ""cs"")"),"další")</f>
        <v>další</v>
      </c>
      <c r="H131" s="7" t="str">
        <f>IFERROR(__xludf.DUMMYFUNCTION("GOOGLETRANSLATE(C131, ""en"", ""da"")"),"Næste")</f>
        <v>Næste</v>
      </c>
      <c r="I131" s="1" t="s">
        <v>2881</v>
      </c>
      <c r="J131" s="6" t="s">
        <v>132</v>
      </c>
      <c r="K131" s="1" t="s">
        <v>2882</v>
      </c>
      <c r="L131" s="7" t="str">
        <f>IFERROR(__xludf.DUMMYFUNCTION("GOOGLETRANSLATE(C131, ""en"", ""fi"")"),"Seuraava")</f>
        <v>Seuraava</v>
      </c>
      <c r="M131" s="1" t="s">
        <v>2883</v>
      </c>
      <c r="N131" s="6" t="s">
        <v>2884</v>
      </c>
      <c r="O131" s="6" t="s">
        <v>132</v>
      </c>
      <c r="P131" s="1" t="s">
        <v>2885</v>
      </c>
      <c r="Q131" s="9" t="s">
        <v>2886</v>
      </c>
      <c r="R131" s="1" t="s">
        <v>2887</v>
      </c>
      <c r="S131" s="6" t="s">
        <v>132</v>
      </c>
      <c r="T131" s="1" t="s">
        <v>2888</v>
      </c>
      <c r="U131" s="1" t="s">
        <v>2889</v>
      </c>
      <c r="V131" s="7" t="str">
        <f>IFERROR(__xludf.DUMMYFUNCTION("GOOGLETRANSLATE(C131, ""en"", ""ms"")"),"Seterusnya")</f>
        <v>Seterusnya</v>
      </c>
      <c r="W131" s="1" t="s">
        <v>2890</v>
      </c>
      <c r="X131" s="7" t="str">
        <f>IFERROR(__xludf.DUMMYFUNCTION("GOOGLETRANSLATE(C131, ""en"", ""no"")"),"NESTE")</f>
        <v>NESTE</v>
      </c>
      <c r="Y131" s="1" t="s">
        <v>2891</v>
      </c>
      <c r="Z131" s="1" t="s">
        <v>2892</v>
      </c>
      <c r="AA131" s="7" t="str">
        <f>IFERROR(__xludf.DUMMYFUNCTION("GOOGLETRANSLATE(C131, ""en"", ""ro"")"),"Următorul")</f>
        <v>Următorul</v>
      </c>
      <c r="AB131" s="1" t="s">
        <v>2893</v>
      </c>
      <c r="AC131" s="1" t="s">
        <v>2894</v>
      </c>
      <c r="AD131" s="6" t="s">
        <v>132</v>
      </c>
      <c r="AE131" s="1" t="s">
        <v>2895</v>
      </c>
      <c r="AF131" s="1" t="s">
        <v>2896</v>
      </c>
      <c r="AG131" s="6" t="s">
        <v>132</v>
      </c>
      <c r="AH131" s="7" t="str">
        <f>IFERROR(__xludf.DUMMYFUNCTION("GOOGLETRANSLATE(C131, ""en"", ""tr"")"),"Sonraki")</f>
        <v>Sonraki</v>
      </c>
      <c r="AI131" s="6" t="s">
        <v>2897</v>
      </c>
      <c r="AJ131" s="6" t="s">
        <v>2898</v>
      </c>
      <c r="AK131" s="7" t="str">
        <f>IFERROR(__xludf.DUMMYFUNCTION("GOOGLETRANSLATE(C131, ""en"", ""zh"")"),"下一个")</f>
        <v>下一个</v>
      </c>
      <c r="AL131" s="6" t="s">
        <v>2899</v>
      </c>
    </row>
    <row r="132" ht="15.75" hidden="1" customHeight="1">
      <c r="A132" s="1" t="s">
        <v>38</v>
      </c>
      <c r="B132" s="1" t="s">
        <v>2900</v>
      </c>
      <c r="C132" s="1" t="s">
        <v>2901</v>
      </c>
      <c r="D132" s="7" t="str">
        <f>IFERROR(__xludf.DUMMYFUNCTION("GOOGLETRANSLATE(C132, ""en"", ""ar"")"),"سانت فنسنت وجزر غرينادين")</f>
        <v>سانت فنسنت وجزر غرينادين</v>
      </c>
      <c r="E132" s="7" t="str">
        <f>IFERROR(__xludf.DUMMYFUNCTION("GOOGLETRANSLATE(C132, ""en"", ""bg"")"),"Сейнт Винсент и Гренадини")</f>
        <v>Сейнт Винсент и Гренадини</v>
      </c>
      <c r="F132" s="6" t="s">
        <v>132</v>
      </c>
      <c r="G132" s="7" t="str">
        <f>IFERROR(__xludf.DUMMYFUNCTION("GOOGLETRANSLATE(C132, ""en"", ""cs"")"),"Svatý Vincent a Grenadiny")</f>
        <v>Svatý Vincent a Grenadiny</v>
      </c>
      <c r="H132" s="7" t="str">
        <f>IFERROR(__xludf.DUMMYFUNCTION("GOOGLETRANSLATE(C132, ""en"", ""da"")"),"Saint Vincent og Grenadinerne")</f>
        <v>Saint Vincent og Grenadinerne</v>
      </c>
      <c r="I132" s="1" t="s">
        <v>2902</v>
      </c>
      <c r="J132" s="6" t="s">
        <v>132</v>
      </c>
      <c r="K132" s="1" t="s">
        <v>2903</v>
      </c>
      <c r="L132" s="7" t="str">
        <f>IFERROR(__xludf.DUMMYFUNCTION("GOOGLETRANSLATE(C132, ""en"", ""fi"")"),"Saint Vincent ja Grenadiinit")</f>
        <v>Saint Vincent ja Grenadiinit</v>
      </c>
      <c r="M132" s="1" t="s">
        <v>2904</v>
      </c>
      <c r="N132" s="6" t="s">
        <v>132</v>
      </c>
      <c r="O132" s="6" t="s">
        <v>132</v>
      </c>
      <c r="P132" s="1" t="s">
        <v>2901</v>
      </c>
      <c r="Q132" s="7" t="str">
        <f>IFERROR(__xludf.DUMMYFUNCTION("GOOGLETRANSLATE(C132, ""en"", ""in"")"),"Saint Vincent dan Grenadines")</f>
        <v>Saint Vincent dan Grenadines</v>
      </c>
      <c r="R132" s="7" t="str">
        <f>IFERROR(__xludf.DUMMYFUNCTION("GOOGLETRANSLATE(C132, ""en"", ""it"")"),"Saint Vincent e Grenadine")</f>
        <v>Saint Vincent e Grenadine</v>
      </c>
      <c r="S132" s="6" t="s">
        <v>132</v>
      </c>
      <c r="T132" s="7" t="str">
        <f>IFERROR(__xludf.DUMMYFUNCTION("GOOGLETRANSLATE(C132, ""en"", ""ja"")"),"セントビンセントとグレナディーン")</f>
        <v>セントビンセントとグレナディーン</v>
      </c>
      <c r="U132" s="7" t="str">
        <f>IFERROR(__xludf.DUMMYFUNCTION("GOOGLETRANSLATE(C132, ""en"", ""ko"")"),"세인트 빈센트 그레나딘")</f>
        <v>세인트 빈센트 그레나딘</v>
      </c>
      <c r="V132" s="7" t="str">
        <f>IFERROR(__xludf.DUMMYFUNCTION("GOOGLETRANSLATE(C132, ""en"", ""ms"")"),"Saint Vincent dan Grenadines")</f>
        <v>Saint Vincent dan Grenadines</v>
      </c>
      <c r="W132" s="7" t="str">
        <f>IFERROR(__xludf.DUMMYFUNCTION("GOOGLETRANSLATE(C132, ""en"", ""nl"")"),"Saint Vincent en de Grenadines")</f>
        <v>Saint Vincent en de Grenadines</v>
      </c>
      <c r="X132" s="7" t="str">
        <f>IFERROR(__xludf.DUMMYFUNCTION("GOOGLETRANSLATE(C132, ""en"", ""no"")"),"Saint Vincent og Grenadinene")</f>
        <v>Saint Vincent og Grenadinene</v>
      </c>
      <c r="Y132" s="7" t="str">
        <f>IFERROR(__xludf.DUMMYFUNCTION("GOOGLETRANSLATE(C132, ""en"", ""pl"")"),"Saint Vincent i Grenadyny")</f>
        <v>Saint Vincent i Grenadyny</v>
      </c>
      <c r="Z132" s="7" t="str">
        <f>IFERROR(__xludf.DUMMYFUNCTION("GOOGLETRANSLATE(C132, ""en"", ""pt"")"),"São Vicente e Granadinas")</f>
        <v>São Vicente e Granadinas</v>
      </c>
      <c r="AA132" s="7" t="str">
        <f>IFERROR(__xludf.DUMMYFUNCTION("GOOGLETRANSLATE(C132, ""en"", ""ro"")"),"Saint Vincent și Grenadines")</f>
        <v>Saint Vincent și Grenadines</v>
      </c>
      <c r="AB132" s="1" t="s">
        <v>2905</v>
      </c>
      <c r="AC132" s="7" t="str">
        <f>IFERROR(__xludf.DUMMYFUNCTION("GOOGLETRANSLATE(C132, ""en"", ""sk"")"),"Svätý Vincent a Grenadíny")</f>
        <v>Svätý Vincent a Grenadíny</v>
      </c>
      <c r="AD132" s="6" t="s">
        <v>132</v>
      </c>
      <c r="AE132" s="1" t="s">
        <v>2906</v>
      </c>
      <c r="AF132" s="7" t="str">
        <f>IFERROR(__xludf.DUMMYFUNCTION("GOOGLETRANSLATE(C132, ""en"", ""sv"")"),"Saint Vincent och Grenadinerna")</f>
        <v>Saint Vincent och Grenadinerna</v>
      </c>
      <c r="AG132" s="6" t="s">
        <v>132</v>
      </c>
      <c r="AH132" s="7" t="str">
        <f>IFERROR(__xludf.DUMMYFUNCTION("GOOGLETRANSLATE(C132, ""en"", ""tr"")"),"Saint Vincent ve Grenadinler")</f>
        <v>Saint Vincent ve Grenadinler</v>
      </c>
      <c r="AI132" s="6" t="s">
        <v>132</v>
      </c>
      <c r="AJ132" s="6" t="s">
        <v>132</v>
      </c>
      <c r="AK132" s="7" t="str">
        <f>IFERROR(__xludf.DUMMYFUNCTION("GOOGLETRANSLATE(C132, ""en"", ""zh"")"),"圣文森特和格林纳丁斯")</f>
        <v>圣文森特和格林纳丁斯</v>
      </c>
      <c r="AL132" s="6" t="s">
        <v>132</v>
      </c>
    </row>
    <row r="133" ht="15.75" hidden="1" customHeight="1">
      <c r="A133" s="1" t="s">
        <v>38</v>
      </c>
      <c r="B133" s="1" t="s">
        <v>2907</v>
      </c>
      <c r="C133" s="1" t="s">
        <v>2908</v>
      </c>
      <c r="D133" s="8" t="s">
        <v>2909</v>
      </c>
      <c r="E133" s="1" t="s">
        <v>2910</v>
      </c>
      <c r="F133" s="6" t="s">
        <v>2911</v>
      </c>
      <c r="G133" s="7" t="str">
        <f>IFERROR(__xludf.DUMMYFUNCTION("GOOGLETRANSLATE(C133, ""en"", ""cs"")"),"Tmavé téma")</f>
        <v>Tmavé téma</v>
      </c>
      <c r="H133" s="7" t="str">
        <f>IFERROR(__xludf.DUMMYFUNCTION("GOOGLETRANSLATE(C133, ""en"", ""da"")"),"Mørkt tema.")</f>
        <v>Mørkt tema.</v>
      </c>
      <c r="I133" s="1" t="s">
        <v>2912</v>
      </c>
      <c r="J133" s="6" t="s">
        <v>132</v>
      </c>
      <c r="K133" s="1" t="s">
        <v>2913</v>
      </c>
      <c r="L133" s="7" t="str">
        <f>IFERROR(__xludf.DUMMYFUNCTION("GOOGLETRANSLATE(C133, ""en"", ""fi"")"),"Tumma teema")</f>
        <v>Tumma teema</v>
      </c>
      <c r="M133" s="1" t="s">
        <v>2914</v>
      </c>
      <c r="N133" s="6" t="s">
        <v>2915</v>
      </c>
      <c r="O133" s="6" t="s">
        <v>132</v>
      </c>
      <c r="P133" s="1" t="s">
        <v>2916</v>
      </c>
      <c r="Q133" s="9" t="s">
        <v>2917</v>
      </c>
      <c r="R133" s="1" t="s">
        <v>2918</v>
      </c>
      <c r="S133" s="6" t="s">
        <v>132</v>
      </c>
      <c r="T133" s="1" t="s">
        <v>2919</v>
      </c>
      <c r="U133" s="1" t="s">
        <v>2920</v>
      </c>
      <c r="V133" s="7" t="str">
        <f>IFERROR(__xludf.DUMMYFUNCTION("GOOGLETRANSLATE(C133, ""en"", ""ms"")"),"Tema gelap")</f>
        <v>Tema gelap</v>
      </c>
      <c r="W133" s="1" t="s">
        <v>2921</v>
      </c>
      <c r="X133" s="7" t="str">
        <f>IFERROR(__xludf.DUMMYFUNCTION("GOOGLETRANSLATE(C133, ""en"", ""no"")"),"Mørkt tema")</f>
        <v>Mørkt tema</v>
      </c>
      <c r="Y133" s="1" t="s">
        <v>2922</v>
      </c>
      <c r="Z133" s="1" t="s">
        <v>2923</v>
      </c>
      <c r="AA133" s="7" t="str">
        <f>IFERROR(__xludf.DUMMYFUNCTION("GOOGLETRANSLATE(C133, ""en"", ""ro"")"),"Tema întunecată")</f>
        <v>Tema întunecată</v>
      </c>
      <c r="AB133" s="1" t="s">
        <v>2924</v>
      </c>
      <c r="AC133" s="7" t="str">
        <f>IFERROR(__xludf.DUMMYFUNCTION("GOOGLETRANSLATE(C133, ""en"", ""sk"")"),"Temná téma")</f>
        <v>Temná téma</v>
      </c>
      <c r="AD133" s="6" t="s">
        <v>132</v>
      </c>
      <c r="AE133" s="1" t="s">
        <v>2925</v>
      </c>
      <c r="AF133" s="1" t="s">
        <v>2926</v>
      </c>
      <c r="AG133" s="6" t="s">
        <v>132</v>
      </c>
      <c r="AH133" s="7" t="str">
        <f>IFERROR(__xludf.DUMMYFUNCTION("GOOGLETRANSLATE(C133, ""en"", ""tr"")"),"Karanlık tema")</f>
        <v>Karanlık tema</v>
      </c>
      <c r="AI133" s="6" t="s">
        <v>2927</v>
      </c>
      <c r="AJ133" s="6" t="s">
        <v>132</v>
      </c>
      <c r="AK133" s="7" t="str">
        <f>IFERROR(__xludf.DUMMYFUNCTION("GOOGLETRANSLATE(C133, ""en"", ""zh"")"),"黑暗主题")</f>
        <v>黑暗主题</v>
      </c>
      <c r="AL133" s="6" t="s">
        <v>2928</v>
      </c>
    </row>
    <row r="134" ht="15.75" customHeight="1">
      <c r="A134" s="1" t="s">
        <v>127</v>
      </c>
      <c r="B134" s="1" t="s">
        <v>2929</v>
      </c>
      <c r="C134" s="1" t="s">
        <v>2930</v>
      </c>
      <c r="D134" s="8" t="s">
        <v>2931</v>
      </c>
      <c r="E134" s="1" t="s">
        <v>2932</v>
      </c>
      <c r="F134" s="6" t="s">
        <v>132</v>
      </c>
      <c r="G134" s="1" t="s">
        <v>2933</v>
      </c>
      <c r="H134" s="1" t="s">
        <v>2934</v>
      </c>
      <c r="I134" s="1" t="s">
        <v>2930</v>
      </c>
      <c r="J134" s="6" t="s">
        <v>2930</v>
      </c>
      <c r="K134" s="1" t="s">
        <v>2930</v>
      </c>
      <c r="L134" s="1" t="s">
        <v>2935</v>
      </c>
      <c r="M134" s="1" t="s">
        <v>2936</v>
      </c>
      <c r="N134" s="6" t="s">
        <v>132</v>
      </c>
      <c r="O134" s="6" t="s">
        <v>2937</v>
      </c>
      <c r="P134" s="1" t="s">
        <v>2938</v>
      </c>
      <c r="Q134" s="1" t="s">
        <v>2939</v>
      </c>
      <c r="R134" s="1" t="s">
        <v>2940</v>
      </c>
      <c r="S134" s="10" t="s">
        <v>2941</v>
      </c>
      <c r="T134" s="1" t="s">
        <v>2942</v>
      </c>
      <c r="U134" s="1" t="s">
        <v>2943</v>
      </c>
      <c r="V134" s="1" t="s">
        <v>2939</v>
      </c>
      <c r="W134" s="1" t="s">
        <v>2944</v>
      </c>
      <c r="X134" s="1" t="s">
        <v>2945</v>
      </c>
      <c r="Y134" s="1" t="s">
        <v>2946</v>
      </c>
      <c r="Z134" s="1" t="s">
        <v>2947</v>
      </c>
      <c r="AA134" s="1" t="s">
        <v>2948</v>
      </c>
      <c r="AB134" s="1" t="s">
        <v>2949</v>
      </c>
      <c r="AC134" s="1" t="s">
        <v>2950</v>
      </c>
      <c r="AD134" s="6" t="s">
        <v>2951</v>
      </c>
      <c r="AE134" s="1" t="s">
        <v>2952</v>
      </c>
      <c r="AF134" s="1" t="s">
        <v>2944</v>
      </c>
      <c r="AG134" s="6" t="s">
        <v>2953</v>
      </c>
      <c r="AH134" s="1" t="s">
        <v>2954</v>
      </c>
      <c r="AI134" s="6" t="s">
        <v>132</v>
      </c>
      <c r="AJ134" s="6" t="s">
        <v>2955</v>
      </c>
      <c r="AK134" s="1" t="s">
        <v>2956</v>
      </c>
      <c r="AL134" s="6" t="s">
        <v>2957</v>
      </c>
    </row>
    <row r="135" ht="15.75" hidden="1" customHeight="1">
      <c r="A135" s="1" t="s">
        <v>38</v>
      </c>
      <c r="B135" s="1" t="s">
        <v>2958</v>
      </c>
      <c r="C135" s="1" t="s">
        <v>2959</v>
      </c>
      <c r="D135" s="8" t="s">
        <v>2960</v>
      </c>
      <c r="E135" s="1" t="s">
        <v>2961</v>
      </c>
      <c r="F135" s="6" t="s">
        <v>2962</v>
      </c>
      <c r="G135" s="7" t="str">
        <f>IFERROR(__xludf.DUMMYFUNCTION("GOOGLETRANSLATE(C135, ""en"", ""cs"")"),"Možnosti zprávy")</f>
        <v>Možnosti zprávy</v>
      </c>
      <c r="H135" s="7" t="str">
        <f>IFERROR(__xludf.DUMMYFUNCTION("GOOGLETRANSLATE(C135, ""en"", ""da"")"),"Meddelelsesmuligheder.")</f>
        <v>Meddelelsesmuligheder.</v>
      </c>
      <c r="I135" s="1" t="s">
        <v>2963</v>
      </c>
      <c r="J135" s="6" t="s">
        <v>132</v>
      </c>
      <c r="K135" s="1" t="s">
        <v>2964</v>
      </c>
      <c r="L135" s="7" t="str">
        <f>IFERROR(__xludf.DUMMYFUNCTION("GOOGLETRANSLATE(C135, ""en"", ""fi"")"),"Viestivaihtoehdot")</f>
        <v>Viestivaihtoehdot</v>
      </c>
      <c r="M135" s="1" t="s">
        <v>2965</v>
      </c>
      <c r="N135" s="6" t="s">
        <v>2966</v>
      </c>
      <c r="O135" s="6" t="s">
        <v>132</v>
      </c>
      <c r="P135" s="1" t="s">
        <v>2967</v>
      </c>
      <c r="Q135" s="9" t="s">
        <v>2968</v>
      </c>
      <c r="R135" s="1" t="s">
        <v>2969</v>
      </c>
      <c r="S135" s="6" t="s">
        <v>132</v>
      </c>
      <c r="T135" s="1" t="s">
        <v>2970</v>
      </c>
      <c r="U135" s="1" t="s">
        <v>2971</v>
      </c>
      <c r="V135" s="7" t="str">
        <f>IFERROR(__xludf.DUMMYFUNCTION("GOOGLETRANSLATE(C135, ""en"", ""ms"")"),"Pilihan mesej")</f>
        <v>Pilihan mesej</v>
      </c>
      <c r="W135" s="1" t="s">
        <v>2972</v>
      </c>
      <c r="X135" s="7" t="str">
        <f>IFERROR(__xludf.DUMMYFUNCTION("GOOGLETRANSLATE(C135, ""en"", ""no"")"),"Meldingsalternativer")</f>
        <v>Meldingsalternativer</v>
      </c>
      <c r="Y135" s="1" t="s">
        <v>2973</v>
      </c>
      <c r="Z135" s="1" t="s">
        <v>2974</v>
      </c>
      <c r="AA135" s="7" t="str">
        <f>IFERROR(__xludf.DUMMYFUNCTION("GOOGLETRANSLATE(C135, ""en"", ""ro"")"),"Opțiuni de mesaje")</f>
        <v>Opțiuni de mesaje</v>
      </c>
      <c r="AB135" s="1" t="s">
        <v>2975</v>
      </c>
      <c r="AC135" s="1" t="s">
        <v>2976</v>
      </c>
      <c r="AD135" s="6" t="s">
        <v>132</v>
      </c>
      <c r="AE135" s="1" t="s">
        <v>2977</v>
      </c>
      <c r="AF135" s="1" t="s">
        <v>2978</v>
      </c>
      <c r="AG135" s="6" t="s">
        <v>132</v>
      </c>
      <c r="AH135" s="7" t="str">
        <f>IFERROR(__xludf.DUMMYFUNCTION("GOOGLETRANSLATE(C135, ""en"", ""tr"")"),"Mesaj Seçenekleri")</f>
        <v>Mesaj Seçenekleri</v>
      </c>
      <c r="AI135" s="6" t="s">
        <v>2979</v>
      </c>
      <c r="AJ135" s="6" t="s">
        <v>2980</v>
      </c>
      <c r="AK135" s="7" t="str">
        <f>IFERROR(__xludf.DUMMYFUNCTION("GOOGLETRANSLATE(C135, ""en"", ""zh"")"),"消息选项")</f>
        <v>消息选项</v>
      </c>
      <c r="AL135" s="6" t="s">
        <v>2981</v>
      </c>
    </row>
    <row r="136" ht="15.75" hidden="1" customHeight="1">
      <c r="A136" s="1" t="s">
        <v>38</v>
      </c>
      <c r="B136" s="1" t="s">
        <v>2982</v>
      </c>
      <c r="C136" s="1" t="s">
        <v>2983</v>
      </c>
      <c r="D136" s="8" t="s">
        <v>2984</v>
      </c>
      <c r="E136" s="1" t="s">
        <v>2985</v>
      </c>
      <c r="F136" s="6" t="s">
        <v>2986</v>
      </c>
      <c r="G136" s="7" t="str">
        <f>IFERROR(__xludf.DUMMYFUNCTION("GOOGLETRANSLATE(C136, ""en"", ""cs"")"),"Tento účet jste zakázali")</f>
        <v>Tento účet jste zakázali</v>
      </c>
      <c r="H136" s="7" t="str">
        <f>IFERROR(__xludf.DUMMYFUNCTION("GOOGLETRANSLATE(C136, ""en"", ""da"")"),"Du har deaktiveret denne konto")</f>
        <v>Du har deaktiveret denne konto</v>
      </c>
      <c r="I136" s="1" t="s">
        <v>2987</v>
      </c>
      <c r="J136" s="6" t="s">
        <v>132</v>
      </c>
      <c r="K136" s="1" t="s">
        <v>2988</v>
      </c>
      <c r="L136" s="7" t="str">
        <f>IFERROR(__xludf.DUMMYFUNCTION("GOOGLETRANSLATE(C136, ""en"", ""fi"")"),"Olet poistanut tämän tilin käytöstä")</f>
        <v>Olet poistanut tämän tilin käytöstä</v>
      </c>
      <c r="M136" s="1" t="s">
        <v>2989</v>
      </c>
      <c r="N136" s="6" t="s">
        <v>2990</v>
      </c>
      <c r="O136" s="6" t="s">
        <v>132</v>
      </c>
      <c r="P136" s="1" t="s">
        <v>2991</v>
      </c>
      <c r="Q136" s="7" t="str">
        <f>IFERROR(__xludf.DUMMYFUNCTION("GOOGLETRANSLATE(C136, ""en"", ""in"")"),"Anda telah menonaktifkan akun ini")</f>
        <v>Anda telah menonaktifkan akun ini</v>
      </c>
      <c r="R136" s="1" t="s">
        <v>2992</v>
      </c>
      <c r="S136" s="6" t="s">
        <v>132</v>
      </c>
      <c r="T136" s="1" t="s">
        <v>2993</v>
      </c>
      <c r="U136" s="1" t="s">
        <v>2994</v>
      </c>
      <c r="V136" s="7" t="str">
        <f>IFERROR(__xludf.DUMMYFUNCTION("GOOGLETRANSLATE(C136, ""en"", ""ms"")"),"Anda telah melumpuhkan akaun ini")</f>
        <v>Anda telah melumpuhkan akaun ini</v>
      </c>
      <c r="W136" s="1" t="s">
        <v>2995</v>
      </c>
      <c r="X136" s="7" t="str">
        <f>IFERROR(__xludf.DUMMYFUNCTION("GOOGLETRANSLATE(C136, ""en"", ""no"")"),"Du har deaktivert denne kontoen")</f>
        <v>Du har deaktivert denne kontoen</v>
      </c>
      <c r="Y136" s="1" t="s">
        <v>2996</v>
      </c>
      <c r="Z136" s="1" t="s">
        <v>2997</v>
      </c>
      <c r="AA136" s="7" t="str">
        <f>IFERROR(__xludf.DUMMYFUNCTION("GOOGLETRANSLATE(C136, ""en"", ""ro"")"),"Ați dezactivat acest cont")</f>
        <v>Ați dezactivat acest cont</v>
      </c>
      <c r="AB136" s="1" t="s">
        <v>2998</v>
      </c>
      <c r="AC136" s="7" t="str">
        <f>IFERROR(__xludf.DUMMYFUNCTION("GOOGLETRANSLATE(C136, ""en"", ""sk"")"),"Tento účet ste zakázali")</f>
        <v>Tento účet ste zakázali</v>
      </c>
      <c r="AD136" s="6" t="s">
        <v>132</v>
      </c>
      <c r="AE136" s="1" t="s">
        <v>2999</v>
      </c>
      <c r="AF136" s="1" t="s">
        <v>3000</v>
      </c>
      <c r="AG136" s="6" t="s">
        <v>132</v>
      </c>
      <c r="AH136" s="7" t="str">
        <f>IFERROR(__xludf.DUMMYFUNCTION("GOOGLETRANSLATE(C136, ""en"", ""tr"")"),"Bu hesabı devre dışı bıraktınız")</f>
        <v>Bu hesabı devre dışı bıraktınız</v>
      </c>
      <c r="AI136" s="6" t="s">
        <v>3001</v>
      </c>
      <c r="AJ136" s="6" t="s">
        <v>132</v>
      </c>
      <c r="AK136" s="7" t="str">
        <f>IFERROR(__xludf.DUMMYFUNCTION("GOOGLETRANSLATE(C136, ""en"", ""zh"")"),"您已禁用此帐户")</f>
        <v>您已禁用此帐户</v>
      </c>
      <c r="AL136" s="6" t="s">
        <v>3002</v>
      </c>
    </row>
    <row r="137" ht="15.75" customHeight="1">
      <c r="A137" s="1" t="s">
        <v>127</v>
      </c>
      <c r="B137" s="1" t="s">
        <v>3003</v>
      </c>
      <c r="C137" s="1" t="s">
        <v>3004</v>
      </c>
      <c r="D137" s="8" t="s">
        <v>3005</v>
      </c>
      <c r="E137" s="1" t="s">
        <v>3006</v>
      </c>
      <c r="F137" s="6" t="s">
        <v>132</v>
      </c>
      <c r="G137" s="1" t="s">
        <v>3007</v>
      </c>
      <c r="H137" s="1" t="s">
        <v>3008</v>
      </c>
      <c r="I137" s="1" t="s">
        <v>3009</v>
      </c>
      <c r="J137" s="6" t="s">
        <v>3010</v>
      </c>
      <c r="K137" s="1" t="s">
        <v>3011</v>
      </c>
      <c r="L137" s="1" t="s">
        <v>3012</v>
      </c>
      <c r="M137" s="1" t="s">
        <v>3013</v>
      </c>
      <c r="N137" s="6" t="s">
        <v>132</v>
      </c>
      <c r="O137" s="6" t="s">
        <v>3014</v>
      </c>
      <c r="P137" s="1" t="s">
        <v>3015</v>
      </c>
      <c r="Q137" s="1" t="s">
        <v>3016</v>
      </c>
      <c r="R137" s="1" t="s">
        <v>3017</v>
      </c>
      <c r="S137" s="10" t="s">
        <v>3018</v>
      </c>
      <c r="T137" s="1" t="s">
        <v>3019</v>
      </c>
      <c r="U137" s="1" t="s">
        <v>3020</v>
      </c>
      <c r="V137" s="1" t="s">
        <v>3021</v>
      </c>
      <c r="W137" s="1" t="s">
        <v>3022</v>
      </c>
      <c r="X137" s="1" t="s">
        <v>3023</v>
      </c>
      <c r="Y137" s="1" t="s">
        <v>3024</v>
      </c>
      <c r="Z137" s="1" t="s">
        <v>3025</v>
      </c>
      <c r="AA137" s="1" t="s">
        <v>3026</v>
      </c>
      <c r="AB137" s="1" t="s">
        <v>3006</v>
      </c>
      <c r="AC137" s="1" t="s">
        <v>3027</v>
      </c>
      <c r="AD137" s="6" t="s">
        <v>3028</v>
      </c>
      <c r="AE137" s="1" t="s">
        <v>3029</v>
      </c>
      <c r="AF137" s="1" t="s">
        <v>3030</v>
      </c>
      <c r="AG137" s="6" t="s">
        <v>3031</v>
      </c>
      <c r="AH137" s="1" t="s">
        <v>3032</v>
      </c>
      <c r="AI137" s="6" t="s">
        <v>132</v>
      </c>
      <c r="AJ137" s="6" t="s">
        <v>3033</v>
      </c>
      <c r="AK137" s="1" t="s">
        <v>3034</v>
      </c>
      <c r="AL137" s="6" t="s">
        <v>3035</v>
      </c>
    </row>
    <row r="138" ht="15.75" hidden="1" customHeight="1">
      <c r="A138" s="1" t="s">
        <v>38</v>
      </c>
      <c r="B138" s="1" t="s">
        <v>3036</v>
      </c>
      <c r="C138" s="1" t="s">
        <v>3037</v>
      </c>
      <c r="D138" s="8" t="s">
        <v>3038</v>
      </c>
      <c r="E138" s="1" t="s">
        <v>3039</v>
      </c>
      <c r="F138" s="6" t="s">
        <v>3040</v>
      </c>
      <c r="G138" s="7" t="str">
        <f>IFERROR(__xludf.DUMMYFUNCTION("GOOGLETRANSLATE(C138, ""en"", ""cs"")"),"Žádná příslušnost")</f>
        <v>Žádná příslušnost</v>
      </c>
      <c r="H138" s="7" t="str">
        <f>IFERROR(__xludf.DUMMYFUNCTION("GOOGLETRANSLATE(C138, ""en"", ""da"")"),"Ingen tilknytning")</f>
        <v>Ingen tilknytning</v>
      </c>
      <c r="I138" s="1" t="s">
        <v>3041</v>
      </c>
      <c r="J138" s="6" t="s">
        <v>132</v>
      </c>
      <c r="K138" s="1" t="s">
        <v>3042</v>
      </c>
      <c r="L138" s="7" t="str">
        <f>IFERROR(__xludf.DUMMYFUNCTION("GOOGLETRANSLATE(C138, ""en"", ""fi"")"),"Ei liittymistä")</f>
        <v>Ei liittymistä</v>
      </c>
      <c r="M138" s="1" t="s">
        <v>3043</v>
      </c>
      <c r="N138" s="6" t="s">
        <v>3044</v>
      </c>
      <c r="O138" s="6" t="s">
        <v>132</v>
      </c>
      <c r="P138" s="1" t="s">
        <v>3045</v>
      </c>
      <c r="Q138" s="9" t="s">
        <v>3046</v>
      </c>
      <c r="R138" s="1" t="s">
        <v>3047</v>
      </c>
      <c r="S138" s="6" t="s">
        <v>132</v>
      </c>
      <c r="T138" s="1" t="s">
        <v>3048</v>
      </c>
      <c r="U138" s="1" t="s">
        <v>3049</v>
      </c>
      <c r="V138" s="7" t="str">
        <f>IFERROR(__xludf.DUMMYFUNCTION("GOOGLETRANSLATE(C138, ""en"", ""ms"")"),"Tiada gabungan")</f>
        <v>Tiada gabungan</v>
      </c>
      <c r="W138" s="1" t="s">
        <v>3050</v>
      </c>
      <c r="X138" s="7" t="str">
        <f>IFERROR(__xludf.DUMMYFUNCTION("GOOGLETRANSLATE(C138, ""en"", ""no"")"),"Ingen tilknytning")</f>
        <v>Ingen tilknytning</v>
      </c>
      <c r="Y138" s="1" t="s">
        <v>3051</v>
      </c>
      <c r="Z138" s="1" t="s">
        <v>3052</v>
      </c>
      <c r="AA138" s="7" t="str">
        <f>IFERROR(__xludf.DUMMYFUNCTION("GOOGLETRANSLATE(C138, ""en"", ""ro"")"),"Fără afiliere")</f>
        <v>Fără afiliere</v>
      </c>
      <c r="AB138" s="1" t="s">
        <v>3053</v>
      </c>
      <c r="AC138" s="1" t="s">
        <v>3054</v>
      </c>
      <c r="AD138" s="6" t="s">
        <v>132</v>
      </c>
      <c r="AE138" s="1" t="s">
        <v>3055</v>
      </c>
      <c r="AF138" s="1" t="s">
        <v>3056</v>
      </c>
      <c r="AG138" s="6" t="s">
        <v>132</v>
      </c>
      <c r="AH138" s="7" t="str">
        <f>IFERROR(__xludf.DUMMYFUNCTION("GOOGLETRANSLATE(C138, ""en"", ""tr"")"),"Bağlanma Yok")</f>
        <v>Bağlanma Yok</v>
      </c>
      <c r="AI138" s="6" t="s">
        <v>3057</v>
      </c>
      <c r="AJ138" s="6" t="s">
        <v>3058</v>
      </c>
      <c r="AK138" s="7" t="str">
        <f>IFERROR(__xludf.DUMMYFUNCTION("GOOGLETRANSLATE(C138, ""en"", ""zh"")"),"没有隶属关系")</f>
        <v>没有隶属关系</v>
      </c>
      <c r="AL138" s="6" t="s">
        <v>3059</v>
      </c>
    </row>
    <row r="139" ht="15.75" hidden="1" customHeight="1">
      <c r="A139" s="1" t="s">
        <v>38</v>
      </c>
      <c r="B139" s="1" t="s">
        <v>3060</v>
      </c>
      <c r="C139" s="1" t="s">
        <v>3061</v>
      </c>
      <c r="D139" s="7" t="str">
        <f>IFERROR(__xludf.DUMMYFUNCTION("GOOGLETRANSLATE(C139, ""en"", ""ar"")"),"تشاد")</f>
        <v>تشاد</v>
      </c>
      <c r="E139" s="7" t="str">
        <f>IFERROR(__xludf.DUMMYFUNCTION("GOOGLETRANSLATE(C139, ""en"", ""bg"")"),"Чад")</f>
        <v>Чад</v>
      </c>
      <c r="F139" s="6" t="s">
        <v>132</v>
      </c>
      <c r="G139" s="7" t="str">
        <f>IFERROR(__xludf.DUMMYFUNCTION("GOOGLETRANSLATE(C139, ""en"", ""cs"")"),"Chad.")</f>
        <v>Chad.</v>
      </c>
      <c r="H139" s="7" t="str">
        <f>IFERROR(__xludf.DUMMYFUNCTION("GOOGLETRANSLATE(C139, ""en"", ""da"")"),"Tchad.")</f>
        <v>Tchad.</v>
      </c>
      <c r="I139" s="1" t="s">
        <v>3062</v>
      </c>
      <c r="J139" s="6" t="s">
        <v>132</v>
      </c>
      <c r="K139" s="1" t="s">
        <v>3061</v>
      </c>
      <c r="L139" s="7" t="str">
        <f>IFERROR(__xludf.DUMMYFUNCTION("GOOGLETRANSLATE(C139, ""en"", ""fi"")"),"Tšaatti")</f>
        <v>Tšaatti</v>
      </c>
      <c r="M139" s="1" t="s">
        <v>3063</v>
      </c>
      <c r="N139" s="6" t="s">
        <v>132</v>
      </c>
      <c r="O139" s="6" t="s">
        <v>132</v>
      </c>
      <c r="P139" s="1" t="s">
        <v>3061</v>
      </c>
      <c r="Q139" s="7" t="str">
        <f>IFERROR(__xludf.DUMMYFUNCTION("GOOGLETRANSLATE(C139, ""en"", ""in"")"),"Chad.")</f>
        <v>Chad.</v>
      </c>
      <c r="R139" s="7" t="str">
        <f>IFERROR(__xludf.DUMMYFUNCTION("GOOGLETRANSLATE(C139, ""en"", ""it"")"),"Chad")</f>
        <v>Chad</v>
      </c>
      <c r="S139" s="6" t="s">
        <v>132</v>
      </c>
      <c r="T139" s="7" t="str">
        <f>IFERROR(__xludf.DUMMYFUNCTION("GOOGLETRANSLATE(C139, ""en"", ""ja"")"),"チャド")</f>
        <v>チャド</v>
      </c>
      <c r="U139" s="7" t="str">
        <f>IFERROR(__xludf.DUMMYFUNCTION("GOOGLETRANSLATE(C139, ""en"", ""ko"")"),"차드")</f>
        <v>차드</v>
      </c>
      <c r="V139" s="7" t="str">
        <f>IFERROR(__xludf.DUMMYFUNCTION("GOOGLETRANSLATE(C139, ""en"", ""ms"")"),"Chad.")</f>
        <v>Chad.</v>
      </c>
      <c r="W139" s="7" t="str">
        <f>IFERROR(__xludf.DUMMYFUNCTION("GOOGLETRANSLATE(C139, ""en"", ""nl"")"),"Tsjaad")</f>
        <v>Tsjaad</v>
      </c>
      <c r="X139" s="7" t="str">
        <f>IFERROR(__xludf.DUMMYFUNCTION("GOOGLETRANSLATE(C139, ""en"", ""no"")"),"Tsjad")</f>
        <v>Tsjad</v>
      </c>
      <c r="Y139" s="7" t="str">
        <f>IFERROR(__xludf.DUMMYFUNCTION("GOOGLETRANSLATE(C139, ""en"", ""pl"")"),"Czad.")</f>
        <v>Czad.</v>
      </c>
      <c r="Z139" s="7" t="str">
        <f>IFERROR(__xludf.DUMMYFUNCTION("GOOGLETRANSLATE(C139, ""en"", ""pt"")"),"Chade")</f>
        <v>Chade</v>
      </c>
      <c r="AA139" s="7" t="str">
        <f>IFERROR(__xludf.DUMMYFUNCTION("GOOGLETRANSLATE(C139, ""en"", ""ro"")"),"Ciad")</f>
        <v>Ciad</v>
      </c>
      <c r="AB139" s="1" t="s">
        <v>3064</v>
      </c>
      <c r="AC139" s="7" t="str">
        <f>IFERROR(__xludf.DUMMYFUNCTION("GOOGLETRANSLATE(C139, ""en"", ""sk"")"),"Chad")</f>
        <v>Chad</v>
      </c>
      <c r="AD139" s="6" t="s">
        <v>132</v>
      </c>
      <c r="AE139" s="1" t="s">
        <v>3065</v>
      </c>
      <c r="AF139" s="7" t="str">
        <f>IFERROR(__xludf.DUMMYFUNCTION("GOOGLETRANSLATE(C139, ""en"", ""sv"")"),"Tchad")</f>
        <v>Tchad</v>
      </c>
      <c r="AG139" s="6" t="s">
        <v>132</v>
      </c>
      <c r="AH139" s="7" t="str">
        <f>IFERROR(__xludf.DUMMYFUNCTION("GOOGLETRANSLATE(C139, ""en"", ""tr"")"),"Chad")</f>
        <v>Chad</v>
      </c>
      <c r="AI139" s="6" t="s">
        <v>132</v>
      </c>
      <c r="AJ139" s="6" t="s">
        <v>132</v>
      </c>
      <c r="AK139" s="7" t="str">
        <f>IFERROR(__xludf.DUMMYFUNCTION("GOOGLETRANSLATE(C139, ""en"", ""zh"")"),"乍得")</f>
        <v>乍得</v>
      </c>
      <c r="AL139" s="6" t="s">
        <v>132</v>
      </c>
    </row>
    <row r="140" ht="15.75" customHeight="1">
      <c r="A140" s="1" t="s">
        <v>127</v>
      </c>
      <c r="B140" s="1" t="s">
        <v>3066</v>
      </c>
      <c r="C140" s="1" t="s">
        <v>3067</v>
      </c>
      <c r="D140" s="8" t="s">
        <v>3068</v>
      </c>
      <c r="E140" s="1" t="s">
        <v>3069</v>
      </c>
      <c r="F140" s="6" t="s">
        <v>132</v>
      </c>
      <c r="G140" s="1" t="s">
        <v>3070</v>
      </c>
      <c r="H140" s="1" t="s">
        <v>3071</v>
      </c>
      <c r="I140" s="1" t="s">
        <v>3072</v>
      </c>
      <c r="J140" s="6" t="s">
        <v>3073</v>
      </c>
      <c r="K140" s="1" t="s">
        <v>3067</v>
      </c>
      <c r="L140" s="1" t="s">
        <v>3074</v>
      </c>
      <c r="M140" s="1" t="s">
        <v>3067</v>
      </c>
      <c r="N140" s="6" t="s">
        <v>132</v>
      </c>
      <c r="O140" s="6" t="s">
        <v>3075</v>
      </c>
      <c r="P140" s="1" t="s">
        <v>3076</v>
      </c>
      <c r="Q140" s="1" t="s">
        <v>3077</v>
      </c>
      <c r="R140" s="1" t="s">
        <v>3067</v>
      </c>
      <c r="S140" s="10" t="s">
        <v>3078</v>
      </c>
      <c r="T140" s="1" t="s">
        <v>3067</v>
      </c>
      <c r="U140" s="1" t="s">
        <v>3079</v>
      </c>
      <c r="V140" s="1" t="s">
        <v>3077</v>
      </c>
      <c r="W140" s="1" t="s">
        <v>3080</v>
      </c>
      <c r="X140" s="1" t="s">
        <v>3071</v>
      </c>
      <c r="Y140" s="1" t="s">
        <v>3081</v>
      </c>
      <c r="Z140" s="1" t="s">
        <v>3082</v>
      </c>
      <c r="AA140" s="1" t="s">
        <v>3083</v>
      </c>
      <c r="AB140" s="1" t="s">
        <v>3084</v>
      </c>
      <c r="AC140" s="1" t="s">
        <v>3085</v>
      </c>
      <c r="AD140" s="6" t="s">
        <v>3086</v>
      </c>
      <c r="AE140" s="1" t="s">
        <v>3087</v>
      </c>
      <c r="AF140" s="1" t="s">
        <v>3088</v>
      </c>
      <c r="AG140" s="6" t="s">
        <v>3089</v>
      </c>
      <c r="AH140" s="1" t="s">
        <v>3090</v>
      </c>
      <c r="AI140" s="6" t="s">
        <v>132</v>
      </c>
      <c r="AJ140" s="6" t="s">
        <v>3091</v>
      </c>
      <c r="AK140" s="1" t="s">
        <v>3092</v>
      </c>
      <c r="AL140" s="6" t="s">
        <v>132</v>
      </c>
    </row>
    <row r="141" ht="15.75" hidden="1" customHeight="1">
      <c r="A141" s="1" t="s">
        <v>38</v>
      </c>
      <c r="B141" s="1" t="s">
        <v>3093</v>
      </c>
      <c r="C141" s="1" t="s">
        <v>3094</v>
      </c>
      <c r="D141" s="7" t="str">
        <f>IFERROR(__xludf.DUMMYFUNCTION("GOOGLETRANSLATE(C141, ""en"", ""ar"")"),"أنغيلا")</f>
        <v>أنغيلا</v>
      </c>
      <c r="E141" s="7" t="str">
        <f>IFERROR(__xludf.DUMMYFUNCTION("GOOGLETRANSLATE(C141, ""en"", ""bg"")"),"Ангуила")</f>
        <v>Ангуила</v>
      </c>
      <c r="F141" s="6" t="s">
        <v>132</v>
      </c>
      <c r="G141" s="7" t="str">
        <f>IFERROR(__xludf.DUMMYFUNCTION("GOOGLETRANSLATE(C141, ""en"", ""cs"")"),"Anguilla.")</f>
        <v>Anguilla.</v>
      </c>
      <c r="H141" s="7" t="str">
        <f>IFERROR(__xludf.DUMMYFUNCTION("GOOGLETRANSLATE(C141, ""en"", ""da"")"),"Anguilla.")</f>
        <v>Anguilla.</v>
      </c>
      <c r="I141" s="1" t="s">
        <v>3094</v>
      </c>
      <c r="J141" s="6" t="s">
        <v>132</v>
      </c>
      <c r="K141" s="1" t="s">
        <v>3095</v>
      </c>
      <c r="L141" s="7" t="str">
        <f>IFERROR(__xludf.DUMMYFUNCTION("GOOGLETRANSLATE(C141, ""en"", ""fi"")"),"Anguilla")</f>
        <v>Anguilla</v>
      </c>
      <c r="M141" s="1" t="s">
        <v>3094</v>
      </c>
      <c r="N141" s="6" t="s">
        <v>132</v>
      </c>
      <c r="O141" s="6" t="s">
        <v>132</v>
      </c>
      <c r="P141" s="1" t="s">
        <v>3094</v>
      </c>
      <c r="Q141" s="7" t="str">
        <f>IFERROR(__xludf.DUMMYFUNCTION("GOOGLETRANSLATE(C141, ""en"", ""in"")"),"Anguilla.")</f>
        <v>Anguilla.</v>
      </c>
      <c r="R141" s="7" t="str">
        <f>IFERROR(__xludf.DUMMYFUNCTION("GOOGLETRANSLATE(C141, ""en"", ""it"")"),"Anguilla")</f>
        <v>Anguilla</v>
      </c>
      <c r="S141" s="6" t="s">
        <v>132</v>
      </c>
      <c r="T141" s="7" t="str">
        <f>IFERROR(__xludf.DUMMYFUNCTION("GOOGLETRANSLATE(C141, ""en"", ""ja"")"),"アンギラ")</f>
        <v>アンギラ</v>
      </c>
      <c r="U141" s="7" t="str">
        <f>IFERROR(__xludf.DUMMYFUNCTION("GOOGLETRANSLATE(C141, ""en"", ""ko"")"),"앵 귈라")</f>
        <v>앵 귈라</v>
      </c>
      <c r="V141" s="7" t="str">
        <f>IFERROR(__xludf.DUMMYFUNCTION("GOOGLETRANSLATE(C141, ""en"", ""ms"")"),"Anguilla.")</f>
        <v>Anguilla.</v>
      </c>
      <c r="W141" s="7" t="str">
        <f>IFERROR(__xludf.DUMMYFUNCTION("GOOGLETRANSLATE(C141, ""en"", ""nl"")"),"Anguilla")</f>
        <v>Anguilla</v>
      </c>
      <c r="X141" s="7" t="str">
        <f>IFERROR(__xludf.DUMMYFUNCTION("GOOGLETRANSLATE(C141, ""en"", ""no"")"),"Anguilla.")</f>
        <v>Anguilla.</v>
      </c>
      <c r="Y141" s="7" t="str">
        <f>IFERROR(__xludf.DUMMYFUNCTION("GOOGLETRANSLATE(C141, ""en"", ""pl"")"),"Anguilla.")</f>
        <v>Anguilla.</v>
      </c>
      <c r="Z141" s="7" t="str">
        <f>IFERROR(__xludf.DUMMYFUNCTION("GOOGLETRANSLATE(C141, ""en"", ""pt"")"),"Anguilla.")</f>
        <v>Anguilla.</v>
      </c>
      <c r="AA141" s="7" t="str">
        <f>IFERROR(__xludf.DUMMYFUNCTION("GOOGLETRANSLATE(C141, ""en"", ""ro"")"),"Anguilla")</f>
        <v>Anguilla</v>
      </c>
      <c r="AB141" s="1" t="s">
        <v>3096</v>
      </c>
      <c r="AC141" s="7" t="str">
        <f>IFERROR(__xludf.DUMMYFUNCTION("GOOGLETRANSLATE(C141, ""en"", ""sk"")"),"Anguilla")</f>
        <v>Anguilla</v>
      </c>
      <c r="AD141" s="6" t="s">
        <v>132</v>
      </c>
      <c r="AE141" s="1" t="s">
        <v>3095</v>
      </c>
      <c r="AF141" s="7" t="str">
        <f>IFERROR(__xludf.DUMMYFUNCTION("GOOGLETRANSLATE(C141, ""en"", ""sv"")"),"Anguilla")</f>
        <v>Anguilla</v>
      </c>
      <c r="AG141" s="6" t="s">
        <v>132</v>
      </c>
      <c r="AH141" s="7" t="str">
        <f>IFERROR(__xludf.DUMMYFUNCTION("GOOGLETRANSLATE(C141, ""en"", ""tr"")"),"Anguilla")</f>
        <v>Anguilla</v>
      </c>
      <c r="AI141" s="6" t="s">
        <v>132</v>
      </c>
      <c r="AJ141" s="6" t="s">
        <v>132</v>
      </c>
      <c r="AK141" s="7" t="str">
        <f>IFERROR(__xludf.DUMMYFUNCTION("GOOGLETRANSLATE(C141, ""en"", ""zh"")"),"安圭拉")</f>
        <v>安圭拉</v>
      </c>
      <c r="AL141" s="6" t="s">
        <v>132</v>
      </c>
    </row>
    <row r="142" ht="15.75" customHeight="1">
      <c r="A142" s="1" t="s">
        <v>127</v>
      </c>
      <c r="B142" s="1" t="s">
        <v>3097</v>
      </c>
      <c r="C142" s="1" t="s">
        <v>3098</v>
      </c>
      <c r="D142" s="8" t="s">
        <v>3099</v>
      </c>
      <c r="E142" s="1" t="s">
        <v>3100</v>
      </c>
      <c r="F142" s="6" t="s">
        <v>132</v>
      </c>
      <c r="G142" s="1" t="s">
        <v>3101</v>
      </c>
      <c r="H142" s="1" t="s">
        <v>3102</v>
      </c>
      <c r="I142" s="1" t="s">
        <v>3103</v>
      </c>
      <c r="J142" s="6" t="s">
        <v>3104</v>
      </c>
      <c r="K142" s="1" t="s">
        <v>3105</v>
      </c>
      <c r="L142" s="1" t="s">
        <v>3106</v>
      </c>
      <c r="M142" s="1" t="s">
        <v>3107</v>
      </c>
      <c r="N142" s="6" t="s">
        <v>132</v>
      </c>
      <c r="O142" s="6" t="s">
        <v>3108</v>
      </c>
      <c r="P142" s="1" t="s">
        <v>3109</v>
      </c>
      <c r="Q142" s="1" t="s">
        <v>3110</v>
      </c>
      <c r="R142" s="1" t="s">
        <v>3111</v>
      </c>
      <c r="S142" s="10" t="s">
        <v>3112</v>
      </c>
      <c r="T142" s="1" t="s">
        <v>3113</v>
      </c>
      <c r="U142" s="1" t="s">
        <v>3114</v>
      </c>
      <c r="V142" s="1" t="s">
        <v>3110</v>
      </c>
      <c r="W142" s="1" t="s">
        <v>3115</v>
      </c>
      <c r="X142" s="1" t="s">
        <v>3116</v>
      </c>
      <c r="Y142" s="1" t="s">
        <v>3117</v>
      </c>
      <c r="Z142" s="1" t="s">
        <v>3118</v>
      </c>
      <c r="AA142" s="1" t="s">
        <v>3119</v>
      </c>
      <c r="AB142" s="1" t="s">
        <v>3120</v>
      </c>
      <c r="AC142" s="1" t="s">
        <v>3121</v>
      </c>
      <c r="AD142" s="6" t="s">
        <v>3122</v>
      </c>
      <c r="AE142" s="1" t="s">
        <v>3123</v>
      </c>
      <c r="AF142" s="1" t="s">
        <v>3124</v>
      </c>
      <c r="AG142" s="6" t="s">
        <v>3125</v>
      </c>
      <c r="AH142" s="1" t="s">
        <v>3126</v>
      </c>
      <c r="AI142" s="6" t="s">
        <v>132</v>
      </c>
      <c r="AJ142" s="6" t="s">
        <v>3127</v>
      </c>
      <c r="AK142" s="1" t="s">
        <v>3128</v>
      </c>
      <c r="AL142" s="6" t="s">
        <v>3129</v>
      </c>
    </row>
    <row r="143" ht="15.75" customHeight="1">
      <c r="A143" s="1" t="s">
        <v>127</v>
      </c>
      <c r="B143" s="1" t="s">
        <v>3130</v>
      </c>
      <c r="C143" s="1" t="s">
        <v>3131</v>
      </c>
      <c r="D143" s="8" t="s">
        <v>3132</v>
      </c>
      <c r="E143" s="1" t="s">
        <v>3133</v>
      </c>
      <c r="F143" s="6" t="s">
        <v>132</v>
      </c>
      <c r="G143" s="1" t="s">
        <v>3134</v>
      </c>
      <c r="H143" s="1" t="s">
        <v>3135</v>
      </c>
      <c r="I143" s="1" t="s">
        <v>3136</v>
      </c>
      <c r="J143" s="6" t="s">
        <v>3137</v>
      </c>
      <c r="K143" s="1" t="s">
        <v>3138</v>
      </c>
      <c r="L143" s="1" t="s">
        <v>3139</v>
      </c>
      <c r="M143" s="1" t="s">
        <v>3140</v>
      </c>
      <c r="N143" s="6" t="s">
        <v>132</v>
      </c>
      <c r="O143" s="6" t="s">
        <v>3141</v>
      </c>
      <c r="P143" s="1" t="s">
        <v>3142</v>
      </c>
      <c r="Q143" s="1" t="s">
        <v>3143</v>
      </c>
      <c r="R143" s="1" t="s">
        <v>3144</v>
      </c>
      <c r="S143" s="10" t="s">
        <v>3145</v>
      </c>
      <c r="T143" s="1" t="s">
        <v>3146</v>
      </c>
      <c r="U143" s="1" t="s">
        <v>3147</v>
      </c>
      <c r="V143" s="1" t="s">
        <v>3148</v>
      </c>
      <c r="W143" s="1" t="s">
        <v>3149</v>
      </c>
      <c r="X143" s="1" t="s">
        <v>3135</v>
      </c>
      <c r="Y143" s="1" t="s">
        <v>3150</v>
      </c>
      <c r="Z143" s="1" t="s">
        <v>3151</v>
      </c>
      <c r="AA143" s="1" t="s">
        <v>3152</v>
      </c>
      <c r="AB143" s="1" t="s">
        <v>3153</v>
      </c>
      <c r="AC143" s="1" t="s">
        <v>3154</v>
      </c>
      <c r="AD143" s="6" t="s">
        <v>3155</v>
      </c>
      <c r="AE143" s="1" t="s">
        <v>3156</v>
      </c>
      <c r="AF143" s="1" t="s">
        <v>3157</v>
      </c>
      <c r="AG143" s="6" t="s">
        <v>3158</v>
      </c>
      <c r="AH143" s="1" t="s">
        <v>3159</v>
      </c>
      <c r="AI143" s="6" t="s">
        <v>132</v>
      </c>
      <c r="AJ143" s="6" t="s">
        <v>3160</v>
      </c>
      <c r="AK143" s="1" t="s">
        <v>3161</v>
      </c>
      <c r="AL143" s="6" t="s">
        <v>132</v>
      </c>
    </row>
    <row r="144" ht="15.75" customHeight="1">
      <c r="A144" s="1" t="s">
        <v>127</v>
      </c>
      <c r="B144" s="1" t="s">
        <v>3162</v>
      </c>
      <c r="C144" s="1" t="s">
        <v>3163</v>
      </c>
      <c r="D144" s="8" t="s">
        <v>3164</v>
      </c>
      <c r="E144" s="1" t="s">
        <v>3165</v>
      </c>
      <c r="F144" s="6" t="s">
        <v>132</v>
      </c>
      <c r="G144" s="1" t="s">
        <v>3166</v>
      </c>
      <c r="H144" s="1" t="s">
        <v>3167</v>
      </c>
      <c r="I144" s="1" t="s">
        <v>3168</v>
      </c>
      <c r="J144" s="6" t="s">
        <v>3169</v>
      </c>
      <c r="K144" s="1" t="s">
        <v>3170</v>
      </c>
      <c r="L144" s="1" t="s">
        <v>3171</v>
      </c>
      <c r="M144" s="1" t="s">
        <v>3172</v>
      </c>
      <c r="N144" s="6" t="s">
        <v>132</v>
      </c>
      <c r="O144" s="6" t="s">
        <v>3173</v>
      </c>
      <c r="P144" s="1" t="s">
        <v>3174</v>
      </c>
      <c r="Q144" s="1" t="s">
        <v>3175</v>
      </c>
      <c r="R144" s="1" t="s">
        <v>3176</v>
      </c>
      <c r="S144" s="10" t="s">
        <v>3177</v>
      </c>
      <c r="T144" s="1" t="s">
        <v>3178</v>
      </c>
      <c r="U144" s="1" t="s">
        <v>3179</v>
      </c>
      <c r="V144" s="1" t="s">
        <v>3175</v>
      </c>
      <c r="W144" s="1" t="s">
        <v>3180</v>
      </c>
      <c r="X144" s="1" t="s">
        <v>3181</v>
      </c>
      <c r="Y144" s="1" t="s">
        <v>3182</v>
      </c>
      <c r="Z144" s="1" t="s">
        <v>3183</v>
      </c>
      <c r="AA144" s="1" t="s">
        <v>3184</v>
      </c>
      <c r="AB144" s="1" t="s">
        <v>3185</v>
      </c>
      <c r="AC144" s="1" t="s">
        <v>3186</v>
      </c>
      <c r="AD144" s="6" t="s">
        <v>3187</v>
      </c>
      <c r="AE144" s="1" t="s">
        <v>3188</v>
      </c>
      <c r="AF144" s="1" t="s">
        <v>3189</v>
      </c>
      <c r="AG144" s="6" t="s">
        <v>3190</v>
      </c>
      <c r="AH144" s="1" t="s">
        <v>3191</v>
      </c>
      <c r="AI144" s="6" t="s">
        <v>132</v>
      </c>
      <c r="AJ144" s="6" t="s">
        <v>3192</v>
      </c>
      <c r="AK144" s="1" t="s">
        <v>3193</v>
      </c>
      <c r="AL144" s="6" t="s">
        <v>3194</v>
      </c>
    </row>
    <row r="145" ht="15.75" customHeight="1">
      <c r="A145" s="1" t="s">
        <v>127</v>
      </c>
      <c r="B145" s="1" t="s">
        <v>3195</v>
      </c>
      <c r="C145" s="1" t="s">
        <v>3196</v>
      </c>
      <c r="D145" s="8" t="s">
        <v>3197</v>
      </c>
      <c r="E145" s="1" t="s">
        <v>3198</v>
      </c>
      <c r="F145" s="6" t="s">
        <v>132</v>
      </c>
      <c r="G145" s="1" t="s">
        <v>3199</v>
      </c>
      <c r="H145" s="1" t="s">
        <v>3200</v>
      </c>
      <c r="I145" s="1" t="s">
        <v>3201</v>
      </c>
      <c r="J145" s="6" t="s">
        <v>3202</v>
      </c>
      <c r="K145" s="1" t="s">
        <v>2</v>
      </c>
      <c r="L145" s="1" t="s">
        <v>3203</v>
      </c>
      <c r="M145" s="1" t="s">
        <v>3204</v>
      </c>
      <c r="N145" s="6" t="s">
        <v>132</v>
      </c>
      <c r="O145" s="6" t="s">
        <v>3205</v>
      </c>
      <c r="P145" s="1" t="s">
        <v>3206</v>
      </c>
      <c r="Q145" s="1" t="s">
        <v>3207</v>
      </c>
      <c r="R145" s="1" t="s">
        <v>3208</v>
      </c>
      <c r="S145" s="10" t="s">
        <v>3209</v>
      </c>
      <c r="T145" s="1" t="s">
        <v>3210</v>
      </c>
      <c r="U145" s="1" t="s">
        <v>3211</v>
      </c>
      <c r="V145" s="1" t="s">
        <v>3207</v>
      </c>
      <c r="W145" s="1" t="s">
        <v>3212</v>
      </c>
      <c r="X145" s="1" t="s">
        <v>3200</v>
      </c>
      <c r="Y145" s="1" t="s">
        <v>3213</v>
      </c>
      <c r="Z145" s="1" t="s">
        <v>3214</v>
      </c>
      <c r="AA145" s="1" t="s">
        <v>3215</v>
      </c>
      <c r="AB145" s="1" t="s">
        <v>3198</v>
      </c>
      <c r="AC145" s="1" t="s">
        <v>3199</v>
      </c>
      <c r="AD145" s="6" t="s">
        <v>3216</v>
      </c>
      <c r="AE145" s="1" t="s">
        <v>3217</v>
      </c>
      <c r="AF145" s="1" t="s">
        <v>3218</v>
      </c>
      <c r="AG145" s="6" t="s">
        <v>3219</v>
      </c>
      <c r="AH145" s="1" t="s">
        <v>3220</v>
      </c>
      <c r="AI145" s="6" t="s">
        <v>132</v>
      </c>
      <c r="AJ145" s="6" t="s">
        <v>3221</v>
      </c>
      <c r="AK145" s="1" t="s">
        <v>3222</v>
      </c>
      <c r="AL145" s="6" t="s">
        <v>3223</v>
      </c>
    </row>
    <row r="146" ht="15.75" hidden="1" customHeight="1">
      <c r="A146" s="1" t="s">
        <v>38</v>
      </c>
      <c r="B146" s="1" t="s">
        <v>3224</v>
      </c>
      <c r="C146" s="1" t="s">
        <v>3225</v>
      </c>
      <c r="D146" s="8" t="s">
        <v>3226</v>
      </c>
      <c r="E146" s="1" t="s">
        <v>3227</v>
      </c>
      <c r="F146" s="6" t="s">
        <v>3228</v>
      </c>
      <c r="G146" s="7" t="str">
        <f>IFERROR(__xludf.DUMMYFUNCTION("GOOGLETRANSLATE(C146, ""en"", ""cs"")"),"Nabídka% S.")</f>
        <v>Nabídka% S.</v>
      </c>
      <c r="H146" s="7" t="str">
        <f>IFERROR(__xludf.DUMMYFUNCTION("GOOGLETRANSLATE(C146, ""en"", ""da"")"),"Tilbyder% S.")</f>
        <v>Tilbyder% S.</v>
      </c>
      <c r="I146" s="1" t="s">
        <v>3229</v>
      </c>
      <c r="J146" s="6" t="s">
        <v>132</v>
      </c>
      <c r="K146" s="1" t="s">
        <v>3230</v>
      </c>
      <c r="L146" s="7" t="str">
        <f>IFERROR(__xludf.DUMMYFUNCTION("GOOGLETRANSLATE(C146, ""en"", ""fi"")"),"Tarjoamalla% s")</f>
        <v>Tarjoamalla% s</v>
      </c>
      <c r="M146" s="1" t="s">
        <v>3231</v>
      </c>
      <c r="N146" s="6" t="s">
        <v>3232</v>
      </c>
      <c r="O146" s="6" t="s">
        <v>132</v>
      </c>
      <c r="P146" s="1" t="s">
        <v>3233</v>
      </c>
      <c r="Q146" s="9" t="s">
        <v>3234</v>
      </c>
      <c r="R146" s="1" t="s">
        <v>3235</v>
      </c>
      <c r="S146" s="6" t="s">
        <v>132</v>
      </c>
      <c r="T146" s="1" t="s">
        <v>3236</v>
      </c>
      <c r="U146" s="1" t="s">
        <v>3237</v>
      </c>
      <c r="V146" s="7" t="str">
        <f>IFERROR(__xludf.DUMMYFUNCTION("GOOGLETRANSLATE(C146, ""en"", ""ms"")"),"Menawarkan% S.")</f>
        <v>Menawarkan% S.</v>
      </c>
      <c r="W146" s="1" t="s">
        <v>3238</v>
      </c>
      <c r="X146" s="7" t="str">
        <f>IFERROR(__xludf.DUMMYFUNCTION("GOOGLETRANSLATE(C146, ""en"", ""no"")"),"Tilbyr% S.")</f>
        <v>Tilbyr% S.</v>
      </c>
      <c r="Y146" s="1" t="s">
        <v>3239</v>
      </c>
      <c r="Z146" s="1" t="s">
        <v>3240</v>
      </c>
      <c r="AA146" s="7" t="str">
        <f>IFERROR(__xludf.DUMMYFUNCTION("GOOGLETRANSLATE(C146, ""en"", ""ro"")"),"Oferind% S.")</f>
        <v>Oferind% S.</v>
      </c>
      <c r="AB146" s="1" t="s">
        <v>3241</v>
      </c>
      <c r="AC146" s="1" t="s">
        <v>3242</v>
      </c>
      <c r="AD146" s="6" t="s">
        <v>132</v>
      </c>
      <c r="AE146" s="1" t="s">
        <v>3243</v>
      </c>
      <c r="AF146" s="1" t="s">
        <v>3244</v>
      </c>
      <c r="AG146" s="6" t="s">
        <v>132</v>
      </c>
      <c r="AH146" s="7" t="str">
        <f>IFERROR(__xludf.DUMMYFUNCTION("GOOGLETRANSLATE(C146, ""en"", ""tr"")"),"% S teklif")</f>
        <v>% S teklif</v>
      </c>
      <c r="AI146" s="6" t="s">
        <v>3245</v>
      </c>
      <c r="AJ146" s="6" t="s">
        <v>3246</v>
      </c>
      <c r="AK146" s="7" t="str">
        <f>IFERROR(__xludf.DUMMYFUNCTION("GOOGLETRANSLATE(C146, ""en"", ""zh"")"),"提供％s")</f>
        <v>提供％s</v>
      </c>
      <c r="AL146" s="6" t="s">
        <v>3247</v>
      </c>
    </row>
    <row r="147" ht="15.75" hidden="1" customHeight="1">
      <c r="A147" s="1" t="s">
        <v>38</v>
      </c>
      <c r="B147" s="1" t="s">
        <v>3248</v>
      </c>
      <c r="C147" s="1" t="s">
        <v>3249</v>
      </c>
      <c r="D147" s="7" t="str">
        <f>IFERROR(__xludf.DUMMYFUNCTION("GOOGLETRANSLATE(C147, ""en"", ""ar"")"),"معرف Jabber نسخ إلى الحافظة")</f>
        <v>معرف Jabber نسخ إلى الحافظة</v>
      </c>
      <c r="E147" s="1" t="s">
        <v>3250</v>
      </c>
      <c r="F147" s="6" t="s">
        <v>3251</v>
      </c>
      <c r="G147" s="7" t="str">
        <f>IFERROR(__xludf.DUMMYFUNCTION("GOOGLETRANSLATE(C147, ""en"", ""cs"")"),"Kopírovat Jabber ID do schránky")</f>
        <v>Kopírovat Jabber ID do schránky</v>
      </c>
      <c r="H147" s="7" t="str">
        <f>IFERROR(__xludf.DUMMYFUNCTION("GOOGLETRANSLATE(C147, ""en"", ""da"")"),"Kopieret Jabber ID til udklipsholder")</f>
        <v>Kopieret Jabber ID til udklipsholder</v>
      </c>
      <c r="I147" s="1" t="s">
        <v>3252</v>
      </c>
      <c r="J147" s="6" t="s">
        <v>132</v>
      </c>
      <c r="K147" s="1" t="s">
        <v>3253</v>
      </c>
      <c r="L147" s="7" t="str">
        <f>IFERROR(__xludf.DUMMYFUNCTION("GOOGLETRANSLATE(C147, ""en"", ""fi"")"),"Kopioitu Jabber ID leikepöydälle")</f>
        <v>Kopioitu Jabber ID leikepöydälle</v>
      </c>
      <c r="M147" s="7" t="str">
        <f>IFERROR(__xludf.DUMMYFUNCTION("GOOGLETRANSLATE(C147, ""en"", ""fr"")"),"Copié Jabber ID dans le presse-papier")</f>
        <v>Copié Jabber ID dans le presse-papier</v>
      </c>
      <c r="N147" s="6" t="s">
        <v>3254</v>
      </c>
      <c r="O147" s="6" t="s">
        <v>132</v>
      </c>
      <c r="P147" s="1" t="s">
        <v>3255</v>
      </c>
      <c r="Q147" s="7" t="str">
        <f>IFERROR(__xludf.DUMMYFUNCTION("GOOGLETRANSLATE(C147, ""en"", ""in"")"),"Id Jabber yang disalin ke Clipboard")</f>
        <v>Id Jabber yang disalin ke Clipboard</v>
      </c>
      <c r="R147" s="1" t="s">
        <v>3256</v>
      </c>
      <c r="S147" s="6" t="s">
        <v>132</v>
      </c>
      <c r="T147" s="7" t="str">
        <f>IFERROR(__xludf.DUMMYFUNCTION("GOOGLETRANSLATE(C147, ""en"", ""ja"")"),"ClipboardにJabber IDをコピーしました")</f>
        <v>ClipboardにJabber IDをコピーしました</v>
      </c>
      <c r="U147" s="7" t="str">
        <f>IFERROR(__xludf.DUMMYFUNCTION("GOOGLETRANSLATE(C147, ""en"", ""ko"")"),"jabber ID를 클립 보드에 복사했습니다")</f>
        <v>jabber ID를 클립 보드에 복사했습니다</v>
      </c>
      <c r="V147" s="7" t="str">
        <f>IFERROR(__xludf.DUMMYFUNCTION("GOOGLETRANSLATE(C147, ""en"", ""ms"")"),"Menyalin jabber id ke papan klip")</f>
        <v>Menyalin jabber id ke papan klip</v>
      </c>
      <c r="W147" s="1" t="s">
        <v>3257</v>
      </c>
      <c r="X147" s="7" t="str">
        <f>IFERROR(__xludf.DUMMYFUNCTION("GOOGLETRANSLATE(C147, ""en"", ""no"")"),"Kopierte Jabber ID til utklippstavlen")</f>
        <v>Kopierte Jabber ID til utklippstavlen</v>
      </c>
      <c r="Y147" s="1" t="s">
        <v>3258</v>
      </c>
      <c r="Z147" s="7" t="str">
        <f>IFERROR(__xludf.DUMMYFUNCTION("GOOGLETRANSLATE(C147, ""en"", ""pt"")"),"ID de Jabber copiado para a área de transferência")</f>
        <v>ID de Jabber copiado para a área de transferência</v>
      </c>
      <c r="AA147" s="7" t="str">
        <f>IFERROR(__xludf.DUMMYFUNCTION("GOOGLETRANSLATE(C147, ""en"", ""ro"")"),"Copold ID Jabber în Clipboard")</f>
        <v>Copold ID Jabber în Clipboard</v>
      </c>
      <c r="AB147" s="7" t="str">
        <f>IFERROR(__xludf.DUMMYFUNCTION("GOOGLETRANSLATE(C147, ""en"", ""ru"")"),"Копированный Jabber ID в буфер обмена")</f>
        <v>Копированный Jabber ID в буфер обмена</v>
      </c>
      <c r="AC147" s="7" t="str">
        <f>IFERROR(__xludf.DUMMYFUNCTION("GOOGLETRANSLATE(C147, ""en"", ""sk"")"),"Kopírované jabber id na schránku")</f>
        <v>Kopírované jabber id na schránku</v>
      </c>
      <c r="AD147" s="6" t="s">
        <v>132</v>
      </c>
      <c r="AE147" s="7" t="str">
        <f>IFERROR(__xludf.DUMMYFUNCTION("GOOGLETRANSLATE(C147, ""en"", ""sr"")"),"Копирао Јаббер ИД у међуспремник")</f>
        <v>Копирао Јаббер ИД у међуспремник</v>
      </c>
      <c r="AF147" s="7" t="str">
        <f>IFERROR(__xludf.DUMMYFUNCTION("GOOGLETRANSLATE(C147, ""en"", ""sv"")"),"Kopierad Jabber ID till Urklipp")</f>
        <v>Kopierad Jabber ID till Urklipp</v>
      </c>
      <c r="AG147" s="6" t="s">
        <v>132</v>
      </c>
      <c r="AH147" s="7" t="str">
        <f>IFERROR(__xludf.DUMMYFUNCTION("GOOGLETRANSLATE(C147, ""en"", ""tr"")"),"Panoya Kopyalanan Jabber ID")</f>
        <v>Panoya Kopyalanan Jabber ID</v>
      </c>
      <c r="AI147" s="6" t="s">
        <v>132</v>
      </c>
      <c r="AJ147" s="6" t="s">
        <v>132</v>
      </c>
      <c r="AK147" s="7" t="str">
        <f>IFERROR(__xludf.DUMMYFUNCTION("GOOGLETRANSLATE(C147, ""en"", ""zh"")"),"将Jabber ID复制到剪贴板")</f>
        <v>将Jabber ID复制到剪贴板</v>
      </c>
      <c r="AL147" s="6" t="s">
        <v>132</v>
      </c>
    </row>
    <row r="148" ht="15.75" customHeight="1">
      <c r="A148" s="1" t="s">
        <v>127</v>
      </c>
      <c r="B148" s="1" t="s">
        <v>3259</v>
      </c>
      <c r="C148" s="1" t="s">
        <v>3260</v>
      </c>
      <c r="D148" s="8" t="s">
        <v>3261</v>
      </c>
      <c r="E148" s="1" t="s">
        <v>3262</v>
      </c>
      <c r="F148" s="6" t="s">
        <v>132</v>
      </c>
      <c r="G148" s="1" t="s">
        <v>3263</v>
      </c>
      <c r="H148" s="1" t="s">
        <v>3264</v>
      </c>
      <c r="I148" s="1" t="s">
        <v>3265</v>
      </c>
      <c r="J148" s="6" t="s">
        <v>3260</v>
      </c>
      <c r="K148" s="1" t="s">
        <v>3260</v>
      </c>
      <c r="L148" s="1" t="s">
        <v>3266</v>
      </c>
      <c r="M148" s="1" t="s">
        <v>3260</v>
      </c>
      <c r="N148" s="6" t="s">
        <v>132</v>
      </c>
      <c r="O148" s="6" t="s">
        <v>3267</v>
      </c>
      <c r="P148" s="1" t="s">
        <v>3268</v>
      </c>
      <c r="Q148" s="1" t="s">
        <v>3269</v>
      </c>
      <c r="R148" s="1" t="s">
        <v>3260</v>
      </c>
      <c r="S148" s="10" t="s">
        <v>3270</v>
      </c>
      <c r="T148" s="1" t="s">
        <v>3271</v>
      </c>
      <c r="U148" s="1" t="s">
        <v>3272</v>
      </c>
      <c r="V148" s="1" t="s">
        <v>3273</v>
      </c>
      <c r="W148" s="1" t="s">
        <v>3274</v>
      </c>
      <c r="X148" s="1" t="s">
        <v>3264</v>
      </c>
      <c r="Y148" s="1" t="s">
        <v>3275</v>
      </c>
      <c r="Z148" s="1" t="s">
        <v>3276</v>
      </c>
      <c r="AA148" s="1" t="s">
        <v>3260</v>
      </c>
      <c r="AB148" s="1" t="s">
        <v>3277</v>
      </c>
      <c r="AC148" s="1" t="s">
        <v>3260</v>
      </c>
      <c r="AD148" s="6" t="s">
        <v>3278</v>
      </c>
      <c r="AE148" s="1" t="s">
        <v>3279</v>
      </c>
      <c r="AF148" s="1" t="s">
        <v>3260</v>
      </c>
      <c r="AG148" s="6" t="s">
        <v>3280</v>
      </c>
      <c r="AH148" s="1" t="s">
        <v>3281</v>
      </c>
      <c r="AI148" s="6" t="s">
        <v>132</v>
      </c>
      <c r="AJ148" s="6" t="s">
        <v>3282</v>
      </c>
      <c r="AK148" s="1" t="s">
        <v>3283</v>
      </c>
      <c r="AL148" s="6" t="s">
        <v>3284</v>
      </c>
    </row>
    <row r="149" ht="15.75" customHeight="1">
      <c r="A149" s="1" t="s">
        <v>127</v>
      </c>
      <c r="B149" s="1" t="s">
        <v>3285</v>
      </c>
      <c r="C149" s="1" t="s">
        <v>3286</v>
      </c>
      <c r="D149" s="8" t="s">
        <v>3287</v>
      </c>
      <c r="E149" s="1" t="s">
        <v>3288</v>
      </c>
      <c r="F149" s="6" t="s">
        <v>132</v>
      </c>
      <c r="G149" s="1" t="s">
        <v>3289</v>
      </c>
      <c r="H149" s="1" t="s">
        <v>3290</v>
      </c>
      <c r="I149" s="1" t="s">
        <v>3291</v>
      </c>
      <c r="J149" s="6" t="s">
        <v>3292</v>
      </c>
      <c r="K149" s="1" t="s">
        <v>3293</v>
      </c>
      <c r="L149" s="1" t="s">
        <v>3294</v>
      </c>
      <c r="M149" s="1" t="s">
        <v>3295</v>
      </c>
      <c r="N149" s="6" t="s">
        <v>132</v>
      </c>
      <c r="O149" s="6" t="s">
        <v>3296</v>
      </c>
      <c r="P149" s="1" t="s">
        <v>3297</v>
      </c>
      <c r="Q149" s="1" t="s">
        <v>3298</v>
      </c>
      <c r="R149" s="1" t="s">
        <v>3299</v>
      </c>
      <c r="S149" s="10" t="s">
        <v>3300</v>
      </c>
      <c r="T149" s="1" t="s">
        <v>3301</v>
      </c>
      <c r="U149" s="1" t="s">
        <v>3302</v>
      </c>
      <c r="V149" s="1" t="s">
        <v>3298</v>
      </c>
      <c r="W149" s="1" t="s">
        <v>3303</v>
      </c>
      <c r="X149" s="1" t="s">
        <v>3304</v>
      </c>
      <c r="Y149" s="1" t="s">
        <v>3305</v>
      </c>
      <c r="Z149" s="1" t="s">
        <v>3306</v>
      </c>
      <c r="AA149" s="1" t="s">
        <v>3307</v>
      </c>
      <c r="AB149" s="1" t="s">
        <v>3308</v>
      </c>
      <c r="AC149" s="1" t="s">
        <v>3309</v>
      </c>
      <c r="AD149" s="6" t="s">
        <v>3310</v>
      </c>
      <c r="AE149" s="1" t="s">
        <v>3311</v>
      </c>
      <c r="AF149" s="1" t="s">
        <v>3312</v>
      </c>
      <c r="AG149" s="6" t="s">
        <v>3313</v>
      </c>
      <c r="AH149" s="1" t="s">
        <v>3314</v>
      </c>
      <c r="AI149" s="6" t="s">
        <v>132</v>
      </c>
      <c r="AJ149" s="6" t="s">
        <v>3315</v>
      </c>
      <c r="AK149" s="1" t="s">
        <v>3316</v>
      </c>
      <c r="AL149" s="6" t="s">
        <v>3317</v>
      </c>
    </row>
    <row r="150" ht="15.75" hidden="1" customHeight="1">
      <c r="A150" s="1" t="s">
        <v>38</v>
      </c>
      <c r="B150" s="1" t="s">
        <v>3318</v>
      </c>
      <c r="C150" s="1" t="s">
        <v>3319</v>
      </c>
      <c r="D150" s="8" t="s">
        <v>3320</v>
      </c>
      <c r="E150" s="1" t="s">
        <v>3321</v>
      </c>
      <c r="F150" s="6" t="s">
        <v>3322</v>
      </c>
      <c r="G150" s="7" t="str">
        <f>IFERROR(__xludf.DUMMYFUNCTION("GOOGLETRANSLATE(C150, ""en"", ""cs"")"),"Ručně spravovat dostupnost")</f>
        <v>Ručně spravovat dostupnost</v>
      </c>
      <c r="H150" s="7" t="str">
        <f>IFERROR(__xludf.DUMMYFUNCTION("GOOGLETRANSLATE(C150, ""en"", ""da"")"),"Administrer tilgængelighed manuelt")</f>
        <v>Administrer tilgængelighed manuelt</v>
      </c>
      <c r="I150" s="1" t="s">
        <v>3323</v>
      </c>
      <c r="J150" s="6" t="s">
        <v>132</v>
      </c>
      <c r="K150" s="1" t="s">
        <v>3324</v>
      </c>
      <c r="L150" s="7" t="str">
        <f>IFERROR(__xludf.DUMMYFUNCTION("GOOGLETRANSLATE(C150, ""en"", ""fi"")"),"Hallitse saatavuutta manuaalisesti")</f>
        <v>Hallitse saatavuutta manuaalisesti</v>
      </c>
      <c r="M150" s="1" t="s">
        <v>3325</v>
      </c>
      <c r="N150" s="6" t="s">
        <v>3326</v>
      </c>
      <c r="O150" s="6" t="s">
        <v>132</v>
      </c>
      <c r="P150" s="1" t="s">
        <v>3327</v>
      </c>
      <c r="Q150" s="7" t="str">
        <f>IFERROR(__xludf.DUMMYFUNCTION("GOOGLETRANSLATE(C150, ""en"", ""in"")"),"Kelola ketersediaan secara manual")</f>
        <v>Kelola ketersediaan secara manual</v>
      </c>
      <c r="R150" s="1" t="s">
        <v>3328</v>
      </c>
      <c r="S150" s="6" t="s">
        <v>132</v>
      </c>
      <c r="T150" s="7" t="str">
        <f>IFERROR(__xludf.DUMMYFUNCTION("GOOGLETRANSLATE(C150, ""en"", ""ja"")"),"可用性を手動で管理します")</f>
        <v>可用性を手動で管理します</v>
      </c>
      <c r="U150" s="7" t="str">
        <f>IFERROR(__xludf.DUMMYFUNCTION("GOOGLETRANSLATE(C150, ""en"", ""ko"")"),"수동으로 가용성 관리")</f>
        <v>수동으로 가용성 관리</v>
      </c>
      <c r="V150" s="7" t="str">
        <f>IFERROR(__xludf.DUMMYFUNCTION("GOOGLETRANSLATE(C150, ""en"", ""ms"")"),"Menguruskan ketersediaan secara manual")</f>
        <v>Menguruskan ketersediaan secara manual</v>
      </c>
      <c r="W150" s="1" t="s">
        <v>3329</v>
      </c>
      <c r="X150" s="7" t="str">
        <f>IFERROR(__xludf.DUMMYFUNCTION("GOOGLETRANSLATE(C150, ""en"", ""no"")"),"Administrer tilgjengeligheten manuelt")</f>
        <v>Administrer tilgjengeligheten manuelt</v>
      </c>
      <c r="Y150" s="1" t="s">
        <v>3330</v>
      </c>
      <c r="Z150" s="1" t="s">
        <v>3331</v>
      </c>
      <c r="AA150" s="7" t="str">
        <f>IFERROR(__xludf.DUMMYFUNCTION("GOOGLETRANSLATE(C150, ""en"", ""ro"")"),"Gestionați disponibilitatea manuală")</f>
        <v>Gestionați disponibilitatea manuală</v>
      </c>
      <c r="AB150" s="7" t="str">
        <f>IFERROR(__xludf.DUMMYFUNCTION("GOOGLETRANSLATE(C150, ""en"", ""ru"")"),"Управляйте доступностью вручную")</f>
        <v>Управляйте доступностью вручную</v>
      </c>
      <c r="AC150" s="7" t="str">
        <f>IFERROR(__xludf.DUMMYFUNCTION("GOOGLETRANSLATE(C150, ""en"", ""sk"")"),"Spravovať dostupnosť manuálne")</f>
        <v>Spravovať dostupnosť manuálne</v>
      </c>
      <c r="AD150" s="6" t="s">
        <v>132</v>
      </c>
      <c r="AE150" s="7" t="str">
        <f>IFERROR(__xludf.DUMMYFUNCTION("GOOGLETRANSLATE(C150, ""en"", ""sr"")"),"Ручно управљајте доступношћу")</f>
        <v>Ручно управљајте доступношћу</v>
      </c>
      <c r="AF150" s="7" t="str">
        <f>IFERROR(__xludf.DUMMYFUNCTION("GOOGLETRANSLATE(C150, ""en"", ""sv"")"),"Hantera tillgänglighet manuellt")</f>
        <v>Hantera tillgänglighet manuellt</v>
      </c>
      <c r="AG150" s="6" t="s">
        <v>132</v>
      </c>
      <c r="AH150" s="7" t="str">
        <f>IFERROR(__xludf.DUMMYFUNCTION("GOOGLETRANSLATE(C150, ""en"", ""tr"")"),"Kullanılabilirliği manuel olarak yönetin")</f>
        <v>Kullanılabilirliği manuel olarak yönetin</v>
      </c>
      <c r="AI150" s="6" t="s">
        <v>132</v>
      </c>
      <c r="AJ150" s="6" t="s">
        <v>132</v>
      </c>
      <c r="AK150" s="7" t="str">
        <f>IFERROR(__xludf.DUMMYFUNCTION("GOOGLETRANSLATE(C150, ""en"", ""zh"")"),"手动管理可用性")</f>
        <v>手动管理可用性</v>
      </c>
      <c r="AL150" s="6" t="s">
        <v>132</v>
      </c>
    </row>
    <row r="151" ht="15.75" hidden="1" customHeight="1">
      <c r="A151" s="1" t="s">
        <v>38</v>
      </c>
      <c r="B151" s="1" t="s">
        <v>3332</v>
      </c>
      <c r="C151" s="1" t="s">
        <v>3333</v>
      </c>
      <c r="D151" s="8" t="s">
        <v>3334</v>
      </c>
      <c r="E151" s="1" t="s">
        <v>3335</v>
      </c>
      <c r="F151" s="6" t="s">
        <v>3336</v>
      </c>
      <c r="G151" s="7" t="str">
        <f>IFERROR(__xludf.DUMMYFUNCTION("GOOGLETRANSLATE(C151, ""en"", ""cs"")"),"nedostupný")</f>
        <v>nedostupný</v>
      </c>
      <c r="H151" s="7" t="str">
        <f>IFERROR(__xludf.DUMMYFUNCTION("GOOGLETRANSLATE(C151, ""en"", ""da"")"),"Utilgængelig")</f>
        <v>Utilgængelig</v>
      </c>
      <c r="I151" s="1" t="s">
        <v>3337</v>
      </c>
      <c r="J151" s="6" t="s">
        <v>132</v>
      </c>
      <c r="K151" s="1" t="s">
        <v>3338</v>
      </c>
      <c r="L151" s="7" t="str">
        <f>IFERROR(__xludf.DUMMYFUNCTION("GOOGLETRANSLATE(C151, ""en"", ""fi"")"),"ei ole käytettävissä")</f>
        <v>ei ole käytettävissä</v>
      </c>
      <c r="M151" s="1" t="s">
        <v>3339</v>
      </c>
      <c r="N151" s="6" t="s">
        <v>3340</v>
      </c>
      <c r="O151" s="6" t="s">
        <v>132</v>
      </c>
      <c r="P151" s="1" t="s">
        <v>3341</v>
      </c>
      <c r="Q151" s="9" t="s">
        <v>3342</v>
      </c>
      <c r="R151" s="1" t="s">
        <v>3343</v>
      </c>
      <c r="S151" s="6" t="s">
        <v>132</v>
      </c>
      <c r="T151" s="1" t="s">
        <v>3344</v>
      </c>
      <c r="U151" s="1" t="s">
        <v>3345</v>
      </c>
      <c r="V151" s="7" t="str">
        <f>IFERROR(__xludf.DUMMYFUNCTION("GOOGLETRANSLATE(C151, ""en"", ""ms"")"),"tidak ada")</f>
        <v>tidak ada</v>
      </c>
      <c r="W151" s="1" t="s">
        <v>3346</v>
      </c>
      <c r="X151" s="7" t="str">
        <f>IFERROR(__xludf.DUMMYFUNCTION("GOOGLETRANSLATE(C151, ""en"", ""no"")"),"utilgjengelig")</f>
        <v>utilgjengelig</v>
      </c>
      <c r="Y151" s="1" t="s">
        <v>3347</v>
      </c>
      <c r="Z151" s="1" t="s">
        <v>3348</v>
      </c>
      <c r="AA151" s="7" t="str">
        <f>IFERROR(__xludf.DUMMYFUNCTION("GOOGLETRANSLATE(C151, ""en"", ""ro"")"),"indisponibil")</f>
        <v>indisponibil</v>
      </c>
      <c r="AB151" s="1" t="s">
        <v>3349</v>
      </c>
      <c r="AC151" s="1" t="s">
        <v>3350</v>
      </c>
      <c r="AD151" s="6" t="s">
        <v>132</v>
      </c>
      <c r="AE151" s="1" t="s">
        <v>3351</v>
      </c>
      <c r="AF151" s="1" t="s">
        <v>3352</v>
      </c>
      <c r="AG151" s="6" t="s">
        <v>132</v>
      </c>
      <c r="AH151" s="7" t="str">
        <f>IFERROR(__xludf.DUMMYFUNCTION("GOOGLETRANSLATE(C151, ""en"", ""tr"")"),"kullanım dışı")</f>
        <v>kullanım dışı</v>
      </c>
      <c r="AI151" s="6" t="s">
        <v>3353</v>
      </c>
      <c r="AJ151" s="6" t="s">
        <v>3354</v>
      </c>
      <c r="AK151" s="7" t="str">
        <f>IFERROR(__xludf.DUMMYFUNCTION("GOOGLETRANSLATE(C151, ""en"", ""zh"")"),"不可用")</f>
        <v>不可用</v>
      </c>
      <c r="AL151" s="6" t="s">
        <v>3355</v>
      </c>
    </row>
    <row r="152" ht="15.75" customHeight="1">
      <c r="A152" s="1" t="s">
        <v>127</v>
      </c>
      <c r="B152" s="1" t="s">
        <v>3356</v>
      </c>
      <c r="C152" s="1" t="s">
        <v>3357</v>
      </c>
      <c r="D152" s="8" t="s">
        <v>3358</v>
      </c>
      <c r="E152" s="1" t="s">
        <v>3359</v>
      </c>
      <c r="F152" s="6" t="s">
        <v>132</v>
      </c>
      <c r="G152" s="1" t="s">
        <v>3360</v>
      </c>
      <c r="H152" s="1" t="s">
        <v>3361</v>
      </c>
      <c r="I152" s="1" t="s">
        <v>3362</v>
      </c>
      <c r="J152" s="6" t="s">
        <v>3363</v>
      </c>
      <c r="K152" s="1" t="s">
        <v>3364</v>
      </c>
      <c r="L152" s="1" t="s">
        <v>3365</v>
      </c>
      <c r="M152" s="1" t="s">
        <v>3366</v>
      </c>
      <c r="N152" s="6" t="s">
        <v>132</v>
      </c>
      <c r="O152" s="6" t="s">
        <v>3367</v>
      </c>
      <c r="P152" s="1" t="s">
        <v>3368</v>
      </c>
      <c r="Q152" s="1" t="s">
        <v>3369</v>
      </c>
      <c r="R152" s="1" t="s">
        <v>3370</v>
      </c>
      <c r="S152" s="10" t="s">
        <v>3371</v>
      </c>
      <c r="T152" s="1" t="s">
        <v>3372</v>
      </c>
      <c r="U152" s="1" t="s">
        <v>3373</v>
      </c>
      <c r="V152" s="1" t="s">
        <v>3374</v>
      </c>
      <c r="W152" s="1" t="s">
        <v>3375</v>
      </c>
      <c r="X152" s="1" t="s">
        <v>3376</v>
      </c>
      <c r="Y152" s="1" t="s">
        <v>3377</v>
      </c>
      <c r="Z152" s="1" t="s">
        <v>3378</v>
      </c>
      <c r="AA152" s="1" t="s">
        <v>3379</v>
      </c>
      <c r="AB152" s="1" t="s">
        <v>3380</v>
      </c>
      <c r="AC152" s="1" t="s">
        <v>3360</v>
      </c>
      <c r="AD152" s="6" t="s">
        <v>3381</v>
      </c>
      <c r="AE152" s="1" t="s">
        <v>3382</v>
      </c>
      <c r="AF152" s="1" t="s">
        <v>3383</v>
      </c>
      <c r="AG152" s="6" t="s">
        <v>3384</v>
      </c>
      <c r="AH152" s="1" t="s">
        <v>3385</v>
      </c>
      <c r="AI152" s="6" t="s">
        <v>132</v>
      </c>
      <c r="AJ152" s="6" t="s">
        <v>3386</v>
      </c>
      <c r="AK152" s="1" t="s">
        <v>3387</v>
      </c>
      <c r="AL152" s="6" t="s">
        <v>132</v>
      </c>
    </row>
    <row r="153" ht="15.75" customHeight="1">
      <c r="A153" s="1" t="s">
        <v>127</v>
      </c>
      <c r="B153" s="1" t="s">
        <v>3388</v>
      </c>
      <c r="C153" s="1" t="s">
        <v>3389</v>
      </c>
      <c r="D153" s="8" t="s">
        <v>3390</v>
      </c>
      <c r="E153" s="1" t="s">
        <v>3391</v>
      </c>
      <c r="F153" s="6" t="s">
        <v>132</v>
      </c>
      <c r="G153" s="1" t="s">
        <v>3392</v>
      </c>
      <c r="H153" s="1" t="s">
        <v>3393</v>
      </c>
      <c r="I153" s="1" t="s">
        <v>3394</v>
      </c>
      <c r="J153" s="6" t="s">
        <v>3395</v>
      </c>
      <c r="K153" s="1" t="s">
        <v>3396</v>
      </c>
      <c r="L153" s="1" t="s">
        <v>3397</v>
      </c>
      <c r="M153" s="1" t="s">
        <v>3398</v>
      </c>
      <c r="N153" s="6" t="s">
        <v>132</v>
      </c>
      <c r="O153" s="6" t="s">
        <v>3399</v>
      </c>
      <c r="P153" s="1" t="s">
        <v>3400</v>
      </c>
      <c r="Q153" s="1" t="s">
        <v>3401</v>
      </c>
      <c r="R153" s="1" t="s">
        <v>3402</v>
      </c>
      <c r="S153" s="10" t="s">
        <v>3403</v>
      </c>
      <c r="T153" s="1" t="s">
        <v>3404</v>
      </c>
      <c r="U153" s="1" t="s">
        <v>3405</v>
      </c>
      <c r="V153" s="1" t="s">
        <v>3401</v>
      </c>
      <c r="W153" s="1" t="s">
        <v>3406</v>
      </c>
      <c r="X153" s="1" t="s">
        <v>3407</v>
      </c>
      <c r="Y153" s="1" t="s">
        <v>3408</v>
      </c>
      <c r="Z153" s="1" t="s">
        <v>3409</v>
      </c>
      <c r="AA153" s="1" t="s">
        <v>3410</v>
      </c>
      <c r="AB153" s="1" t="s">
        <v>3391</v>
      </c>
      <c r="AC153" s="1" t="s">
        <v>3408</v>
      </c>
      <c r="AD153" s="6" t="s">
        <v>3411</v>
      </c>
      <c r="AE153" s="1" t="s">
        <v>3412</v>
      </c>
      <c r="AF153" s="1" t="s">
        <v>3413</v>
      </c>
      <c r="AG153" s="6" t="s">
        <v>3414</v>
      </c>
      <c r="AH153" s="1" t="s">
        <v>3415</v>
      </c>
      <c r="AI153" s="6" t="s">
        <v>132</v>
      </c>
      <c r="AJ153" s="6" t="s">
        <v>3416</v>
      </c>
      <c r="AK153" s="1" t="s">
        <v>3417</v>
      </c>
      <c r="AL153" s="6" t="s">
        <v>3418</v>
      </c>
    </row>
    <row r="154" ht="15.75" hidden="1" customHeight="1">
      <c r="A154" s="1" t="s">
        <v>38</v>
      </c>
      <c r="B154" s="1" t="s">
        <v>3419</v>
      </c>
      <c r="C154" s="1" t="s">
        <v>3420</v>
      </c>
      <c r="D154" s="7" t="str">
        <f>IFERROR(__xludf.DUMMYFUNCTION("GOOGLETRANSLATE(C154, ""en"", ""ar"")"),"إخطارات المستخدم الكحول")</f>
        <v>إخطارات المستخدم الكحول</v>
      </c>
      <c r="E154" s="7" t="str">
        <f>IFERROR(__xludf.DUMMYFUNCTION("GOOGLETRANSLATE(C154, ""en"", ""bg"")"),"Завийте уведомленията за потребителя")</f>
        <v>Завийте уведомленията за потребителя</v>
      </c>
      <c r="F154" s="6" t="s">
        <v>132</v>
      </c>
      <c r="G154" s="7" t="str">
        <f>IFERROR(__xludf.DUMMYFUNCTION("GOOGLETRANSLATE(C154, ""en"", ""cs"")"),"Zapomenutá uživatelská oznámení")</f>
        <v>Zapomenutá uživatelská oznámení</v>
      </c>
      <c r="H154" s="7" t="str">
        <f>IFERROR(__xludf.DUMMYFUNCTION("GOOGLETRANSLATE(C154, ""en"", ""da"")"),"Unmute brugermeddelelser")</f>
        <v>Unmute brugermeddelelser</v>
      </c>
      <c r="I154" s="1" t="s">
        <v>3421</v>
      </c>
      <c r="J154" s="6" t="s">
        <v>132</v>
      </c>
      <c r="K154" s="1" t="s">
        <v>3422</v>
      </c>
      <c r="L154" s="7" t="str">
        <f>IFERROR(__xludf.DUMMYFUNCTION("GOOGLETRANSLATE(C154, ""en"", ""fi"")"),"UnmuTut käyttäjäilmoitukset")</f>
        <v>UnmuTut käyttäjäilmoitukset</v>
      </c>
      <c r="M154" s="1" t="s">
        <v>3423</v>
      </c>
      <c r="N154" s="6" t="s">
        <v>132</v>
      </c>
      <c r="O154" s="6" t="s">
        <v>132</v>
      </c>
      <c r="P154" s="1" t="s">
        <v>3424</v>
      </c>
      <c r="Q154" s="7" t="str">
        <f>IFERROR(__xludf.DUMMYFUNCTION("GOOGLETRANSLATE(C154, ""en"", ""in"")"),"Pemberitahuan Pengguna Takon")</f>
        <v>Pemberitahuan Pengguna Takon</v>
      </c>
      <c r="R154" s="7" t="str">
        <f>IFERROR(__xludf.DUMMYFUNCTION("GOOGLETRANSLATE(C154, ""en"", ""it"")"),"Notifiche utente stivali")</f>
        <v>Notifiche utente stivali</v>
      </c>
      <c r="S154" s="6" t="s">
        <v>132</v>
      </c>
      <c r="T154" s="7" t="str">
        <f>IFERROR(__xludf.DUMMYFUNCTION("GOOGLETRANSLATE(C154, ""en"", ""ja"")"),"ユーザー通知を解除しません")</f>
        <v>ユーザー通知を解除しません</v>
      </c>
      <c r="U154" s="7" t="str">
        <f>IFERROR(__xludf.DUMMYFUNCTION("GOOGLETRANSLATE(C154, ""en"", ""ko"")"),"사용자 알림 음소거")</f>
        <v>사용자 알림 음소거</v>
      </c>
      <c r="V154" s="7" t="str">
        <f>IFERROR(__xludf.DUMMYFUNCTION("GOOGLETRANSLATE(C154, ""en"", ""ms"")"),"Nyatakan pemberitahuan pengguna")</f>
        <v>Nyatakan pemberitahuan pengguna</v>
      </c>
      <c r="W154" s="7" t="str">
        <f>IFERROR(__xludf.DUMMYFUNCTION("GOOGLETRANSLATE(C154, ""en"", ""nl"")"),"Unmute gebruikersmeldingen")</f>
        <v>Unmute gebruikersmeldingen</v>
      </c>
      <c r="X154" s="7" t="str">
        <f>IFERROR(__xludf.DUMMYFUNCTION("GOOGLETRANSLATE(C154, ""en"", ""no"")"),"Slå av brukervarsler")</f>
        <v>Slå av brukervarsler</v>
      </c>
      <c r="Y154" s="7" t="str">
        <f>IFERROR(__xludf.DUMMYFUNCTION("GOOGLETRANSLATE(C154, ""en"", ""pl"")"),"Rozpowiedziane powiadomienia użytkownika")</f>
        <v>Rozpowiedziane powiadomienia użytkownika</v>
      </c>
      <c r="Z154" s="7" t="str">
        <f>IFERROR(__xludf.DUMMYFUNCTION("GOOGLETRANSLATE(C154, ""en"", ""pt"")"),"Inutilizar notificações do usuário")</f>
        <v>Inutilizar notificações do usuário</v>
      </c>
      <c r="AA154" s="7" t="str">
        <f>IFERROR(__xludf.DUMMYFUNCTION("GOOGLETRANSLATE(C154, ""en"", ""ro"")"),"Demontați notificările utilizatorilor")</f>
        <v>Demontați notificările utilizatorilor</v>
      </c>
      <c r="AB154" s="1" t="s">
        <v>3425</v>
      </c>
      <c r="AC154" s="7" t="str">
        <f>IFERROR(__xludf.DUMMYFUNCTION("GOOGLETRANSLATE(C154, ""en"", ""sk"")"),"UNMUNTOVANIE UPOZORNENIA POUŽÍVATEĽA")</f>
        <v>UNMUNTOVANIE UPOZORNENIA POUŽÍVATEĽA</v>
      </c>
      <c r="AD154" s="6" t="s">
        <v>132</v>
      </c>
      <c r="AE154" s="1" t="s">
        <v>3426</v>
      </c>
      <c r="AF154" s="7" t="str">
        <f>IFERROR(__xludf.DUMMYFUNCTION("GOOGLETRANSLATE(C154, ""en"", ""sv"")"),"Unmute användarmeddelanden")</f>
        <v>Unmute användarmeddelanden</v>
      </c>
      <c r="AG154" s="6" t="s">
        <v>132</v>
      </c>
      <c r="AH154" s="7" t="str">
        <f>IFERROR(__xludf.DUMMYFUNCTION("GOOGLETRANSLATE(C154, ""en"", ""tr"")"),"Kullanıcı bildirimlerini aç")</f>
        <v>Kullanıcı bildirimlerini aç</v>
      </c>
      <c r="AI154" s="6" t="s">
        <v>132</v>
      </c>
      <c r="AJ154" s="6" t="s">
        <v>132</v>
      </c>
      <c r="AK154" s="7" t="str">
        <f>IFERROR(__xludf.DUMMYFUNCTION("GOOGLETRANSLATE(C154, ""en"", ""zh"")"),"取消静音用户通知")</f>
        <v>取消静音用户通知</v>
      </c>
      <c r="AL154" s="6" t="s">
        <v>132</v>
      </c>
    </row>
    <row r="155" ht="15.75" customHeight="1">
      <c r="A155" s="1" t="s">
        <v>127</v>
      </c>
      <c r="B155" s="1" t="s">
        <v>3427</v>
      </c>
      <c r="C155" s="1" t="s">
        <v>3428</v>
      </c>
      <c r="D155" s="8" t="s">
        <v>3429</v>
      </c>
      <c r="E155" s="1" t="s">
        <v>3430</v>
      </c>
      <c r="F155" s="6" t="s">
        <v>132</v>
      </c>
      <c r="G155" s="1" t="s">
        <v>3431</v>
      </c>
      <c r="H155" s="1" t="s">
        <v>3432</v>
      </c>
      <c r="I155" s="1" t="s">
        <v>3433</v>
      </c>
      <c r="J155" s="6" t="s">
        <v>3434</v>
      </c>
      <c r="K155" s="1" t="s">
        <v>3435</v>
      </c>
      <c r="L155" s="1" t="s">
        <v>3436</v>
      </c>
      <c r="M155" s="1" t="s">
        <v>3437</v>
      </c>
      <c r="N155" s="6" t="s">
        <v>132</v>
      </c>
      <c r="O155" s="6" t="s">
        <v>3438</v>
      </c>
      <c r="P155" s="1" t="s">
        <v>3439</v>
      </c>
      <c r="Q155" s="1" t="s">
        <v>3440</v>
      </c>
      <c r="R155" s="1" t="s">
        <v>3441</v>
      </c>
      <c r="S155" s="10" t="s">
        <v>3442</v>
      </c>
      <c r="T155" s="1" t="s">
        <v>3443</v>
      </c>
      <c r="U155" s="1" t="s">
        <v>3444</v>
      </c>
      <c r="V155" s="1" t="s">
        <v>3440</v>
      </c>
      <c r="W155" s="1" t="s">
        <v>3445</v>
      </c>
      <c r="X155" s="1" t="s">
        <v>3446</v>
      </c>
      <c r="Y155" s="1" t="s">
        <v>3447</v>
      </c>
      <c r="Z155" s="1" t="s">
        <v>3448</v>
      </c>
      <c r="AA155" s="1" t="s">
        <v>3449</v>
      </c>
      <c r="AB155" s="1" t="s">
        <v>3450</v>
      </c>
      <c r="AC155" s="1" t="s">
        <v>3451</v>
      </c>
      <c r="AD155" s="6" t="s">
        <v>3431</v>
      </c>
      <c r="AE155" s="1" t="s">
        <v>3452</v>
      </c>
      <c r="AF155" s="1" t="s">
        <v>3432</v>
      </c>
      <c r="AG155" s="6" t="s">
        <v>3453</v>
      </c>
      <c r="AH155" s="1" t="s">
        <v>3454</v>
      </c>
      <c r="AI155" s="6" t="s">
        <v>132</v>
      </c>
      <c r="AJ155" s="6" t="s">
        <v>3455</v>
      </c>
      <c r="AK155" s="1" t="s">
        <v>3456</v>
      </c>
      <c r="AL155" s="6" t="s">
        <v>3457</v>
      </c>
    </row>
    <row r="156" ht="15.75" hidden="1" customHeight="1">
      <c r="A156" s="1" t="s">
        <v>38</v>
      </c>
      <c r="B156" s="1" t="s">
        <v>3458</v>
      </c>
      <c r="C156" s="1" t="s">
        <v>3459</v>
      </c>
      <c r="D156" s="7" t="str">
        <f>IFERROR(__xludf.DUMMYFUNCTION("GOOGLETRANSLATE(C156, ""en"", ""ar"")"),"نعم")</f>
        <v>نعم</v>
      </c>
      <c r="E156" s="1" t="s">
        <v>3460</v>
      </c>
      <c r="F156" s="6" t="s">
        <v>132</v>
      </c>
      <c r="G156" s="7" t="str">
        <f>IFERROR(__xludf.DUMMYFUNCTION("GOOGLETRANSLATE(C156, ""en"", ""cs"")"),"Ano")</f>
        <v>Ano</v>
      </c>
      <c r="H156" s="7" t="str">
        <f>IFERROR(__xludf.DUMMYFUNCTION("GOOGLETRANSLATE(C156, ""en"", ""da"")"),"Ja")</f>
        <v>Ja</v>
      </c>
      <c r="I156" s="1" t="s">
        <v>3461</v>
      </c>
      <c r="J156" s="6" t="s">
        <v>132</v>
      </c>
      <c r="K156" s="1" t="s">
        <v>3462</v>
      </c>
      <c r="L156" s="7" t="str">
        <f>IFERROR(__xludf.DUMMYFUNCTION("GOOGLETRANSLATE(C156, ""en"", ""fi"")"),"Joo")</f>
        <v>Joo</v>
      </c>
      <c r="M156" s="7" t="str">
        <f>IFERROR(__xludf.DUMMYFUNCTION("GOOGLETRANSLATE(C156, ""en"", ""fr"")"),"Oui")</f>
        <v>Oui</v>
      </c>
      <c r="N156" s="6" t="s">
        <v>3463</v>
      </c>
      <c r="O156" s="6" t="s">
        <v>132</v>
      </c>
      <c r="P156" s="1" t="s">
        <v>3464</v>
      </c>
      <c r="Q156" s="7" t="str">
        <f>IFERROR(__xludf.DUMMYFUNCTION("GOOGLETRANSLATE(C156, ""en"", ""in"")"),"Iya")</f>
        <v>Iya</v>
      </c>
      <c r="R156" s="1" t="s">
        <v>3465</v>
      </c>
      <c r="S156" s="6" t="s">
        <v>132</v>
      </c>
      <c r="T156" s="1" t="s">
        <v>3466</v>
      </c>
      <c r="U156" s="7" t="str">
        <f>IFERROR(__xludf.DUMMYFUNCTION("GOOGLETRANSLATE(C156, ""en"", ""ko"")"),"예")</f>
        <v>예</v>
      </c>
      <c r="V156" s="7" t="str">
        <f>IFERROR(__xludf.DUMMYFUNCTION("GOOGLETRANSLATE(C156, ""en"", ""ms"")"),"Ya.")</f>
        <v>Ya.</v>
      </c>
      <c r="W156" s="1" t="s">
        <v>3461</v>
      </c>
      <c r="X156" s="7" t="str">
        <f>IFERROR(__xludf.DUMMYFUNCTION("GOOGLETRANSLATE(C156, ""en"", ""no"")"),"Ja")</f>
        <v>Ja</v>
      </c>
      <c r="Y156" s="1" t="s">
        <v>3467</v>
      </c>
      <c r="Z156" s="7" t="str">
        <f>IFERROR(__xludf.DUMMYFUNCTION("GOOGLETRANSLATE(C156, ""en"", ""pt"")"),"sim")</f>
        <v>sim</v>
      </c>
      <c r="AA156" s="7" t="str">
        <f>IFERROR(__xludf.DUMMYFUNCTION("GOOGLETRANSLATE(C156, ""en"", ""ro"")"),"da")</f>
        <v>da</v>
      </c>
      <c r="AB156" s="7" t="str">
        <f>IFERROR(__xludf.DUMMYFUNCTION("GOOGLETRANSLATE(C156, ""en"", ""ru"")"),"да")</f>
        <v>да</v>
      </c>
      <c r="AC156" s="7" t="str">
        <f>IFERROR(__xludf.DUMMYFUNCTION("GOOGLETRANSLATE(C156, ""en"", ""sk"")"),"Áno")</f>
        <v>Áno</v>
      </c>
      <c r="AD156" s="6" t="s">
        <v>132</v>
      </c>
      <c r="AE156" s="7" t="str">
        <f>IFERROR(__xludf.DUMMYFUNCTION("GOOGLETRANSLATE(C156, ""en"", ""sr"")"),"да")</f>
        <v>да</v>
      </c>
      <c r="AF156" s="7" t="str">
        <f>IFERROR(__xludf.DUMMYFUNCTION("GOOGLETRANSLATE(C156, ""en"", ""sv"")"),"Ja")</f>
        <v>Ja</v>
      </c>
      <c r="AG156" s="6" t="s">
        <v>132</v>
      </c>
      <c r="AH156" s="7" t="str">
        <f>IFERROR(__xludf.DUMMYFUNCTION("GOOGLETRANSLATE(C156, ""en"", ""tr"")"),"Evet")</f>
        <v>Evet</v>
      </c>
      <c r="AI156" s="6" t="s">
        <v>132</v>
      </c>
      <c r="AJ156" s="6" t="s">
        <v>132</v>
      </c>
      <c r="AK156" s="7" t="str">
        <f>IFERROR(__xludf.DUMMYFUNCTION("GOOGLETRANSLATE(C156, ""en"", ""zh"")"),"是的")</f>
        <v>是的</v>
      </c>
      <c r="AL156" s="6" t="s">
        <v>132</v>
      </c>
    </row>
    <row r="157" ht="15.75" customHeight="1">
      <c r="A157" s="1" t="s">
        <v>127</v>
      </c>
      <c r="B157" s="1" t="s">
        <v>3468</v>
      </c>
      <c r="C157" s="1" t="s">
        <v>3469</v>
      </c>
      <c r="D157" s="8" t="s">
        <v>3470</v>
      </c>
      <c r="E157" s="1" t="s">
        <v>3471</v>
      </c>
      <c r="F157" s="6" t="s">
        <v>132</v>
      </c>
      <c r="G157" s="1" t="s">
        <v>3472</v>
      </c>
      <c r="H157" s="1" t="s">
        <v>3473</v>
      </c>
      <c r="I157" s="1" t="s">
        <v>3474</v>
      </c>
      <c r="J157" s="6" t="s">
        <v>3475</v>
      </c>
      <c r="K157" s="1" t="s">
        <v>3476</v>
      </c>
      <c r="L157" s="1" t="s">
        <v>3477</v>
      </c>
      <c r="M157" s="1" t="s">
        <v>3478</v>
      </c>
      <c r="N157" s="6" t="s">
        <v>132</v>
      </c>
      <c r="O157" s="6" t="s">
        <v>3479</v>
      </c>
      <c r="P157" s="1" t="s">
        <v>3480</v>
      </c>
      <c r="Q157" s="1" t="s">
        <v>3481</v>
      </c>
      <c r="R157" s="1" t="s">
        <v>3482</v>
      </c>
      <c r="S157" s="10" t="s">
        <v>3483</v>
      </c>
      <c r="T157" s="1" t="s">
        <v>3484</v>
      </c>
      <c r="U157" s="1" t="s">
        <v>3485</v>
      </c>
      <c r="V157" s="1" t="s">
        <v>3486</v>
      </c>
      <c r="W157" s="1" t="s">
        <v>3487</v>
      </c>
      <c r="X157" s="1" t="s">
        <v>3488</v>
      </c>
      <c r="Y157" s="1" t="s">
        <v>3489</v>
      </c>
      <c r="Z157" s="1" t="s">
        <v>3490</v>
      </c>
      <c r="AA157" s="1" t="s">
        <v>3491</v>
      </c>
      <c r="AB157" s="1" t="s">
        <v>3492</v>
      </c>
      <c r="AC157" s="1" t="s">
        <v>3493</v>
      </c>
      <c r="AD157" s="6" t="s">
        <v>3494</v>
      </c>
      <c r="AE157" s="1" t="s">
        <v>3495</v>
      </c>
      <c r="AF157" s="1" t="s">
        <v>3496</v>
      </c>
      <c r="AG157" s="6" t="s">
        <v>3497</v>
      </c>
      <c r="AH157" s="1" t="s">
        <v>3498</v>
      </c>
      <c r="AI157" s="6" t="s">
        <v>132</v>
      </c>
      <c r="AJ157" s="6" t="s">
        <v>3499</v>
      </c>
      <c r="AK157" s="1" t="s">
        <v>3500</v>
      </c>
      <c r="AL157" s="6" t="s">
        <v>3501</v>
      </c>
    </row>
    <row r="158" ht="15.75" hidden="1" customHeight="1">
      <c r="A158" s="1" t="s">
        <v>38</v>
      </c>
      <c r="B158" s="1" t="s">
        <v>3502</v>
      </c>
      <c r="C158" s="1" t="s">
        <v>3503</v>
      </c>
      <c r="D158" s="8" t="s">
        <v>3504</v>
      </c>
      <c r="E158" s="1" t="s">
        <v>3505</v>
      </c>
      <c r="F158" s="6" t="s">
        <v>3506</v>
      </c>
      <c r="G158" s="7" t="str">
        <f>IFERROR(__xludf.DUMMYFUNCTION("GOOGLETRANSLATE(C158, ""en"", ""cs"")"),"Slepě důvěryhodné Omemo klíče")</f>
        <v>Slepě důvěryhodné Omemo klíče</v>
      </c>
      <c r="H158" s="7" t="str">
        <f>IFERROR(__xludf.DUMMYFUNCTION("GOOGLETRANSLATE(C158, ""en"", ""da"")"),"Blindt betroede omemo nøgler")</f>
        <v>Blindt betroede omemo nøgler</v>
      </c>
      <c r="I158" s="1" t="s">
        <v>3507</v>
      </c>
      <c r="J158" s="6" t="s">
        <v>132</v>
      </c>
      <c r="K158" s="1" t="s">
        <v>3508</v>
      </c>
      <c r="L158" s="7" t="str">
        <f>IFERROR(__xludf.DUMMYFUNCTION("GOOGLETRANSLATE(C158, ""en"", ""fi"")"),"Sokea luotettu omemon avaimet")</f>
        <v>Sokea luotettu omemon avaimet</v>
      </c>
      <c r="M158" s="1" t="s">
        <v>3509</v>
      </c>
      <c r="N158" s="6" t="s">
        <v>3510</v>
      </c>
      <c r="O158" s="6" t="s">
        <v>132</v>
      </c>
      <c r="P158" s="1" t="s">
        <v>3511</v>
      </c>
      <c r="Q158" s="7" t="str">
        <f>IFERROR(__xludf.DUMMYFUNCTION("GOOGLETRANSLATE(C158, ""en"", ""in"")"),"Kunci Omemo Tepercaya secara Buta")</f>
        <v>Kunci Omemo Tepercaya secara Buta</v>
      </c>
      <c r="R158" s="1" t="s">
        <v>3512</v>
      </c>
      <c r="S158" s="6" t="s">
        <v>132</v>
      </c>
      <c r="T158" s="1" t="s">
        <v>3513</v>
      </c>
      <c r="U158" s="7" t="str">
        <f>IFERROR(__xludf.DUMMYFUNCTION("GOOGLETRANSLATE(C158, ""en"", ""ko"")"),"맹목적으로 신뢰할 수있는 오믈 렉스 키")</f>
        <v>맹목적으로 신뢰할 수있는 오믈 렉스 키</v>
      </c>
      <c r="V158" s="7" t="str">
        <f>IFERROR(__xludf.DUMMYFUNCTION("GOOGLETRANSLATE(C158, ""en"", ""ms"")"),"Kunci Omemo yang dipercayai secara membuta tuli")</f>
        <v>Kunci Omemo yang dipercayai secara membuta tuli</v>
      </c>
      <c r="W158" s="1" t="s">
        <v>3514</v>
      </c>
      <c r="X158" s="7" t="str">
        <f>IFERROR(__xludf.DUMMYFUNCTION("GOOGLETRANSLATE(C158, ""en"", ""no"")"),"Blindt pålitelig omemo nøkler")</f>
        <v>Blindt pålitelig omemo nøkler</v>
      </c>
      <c r="Y158" s="1" t="s">
        <v>3515</v>
      </c>
      <c r="Z158" s="7" t="str">
        <f>IFERROR(__xludf.DUMMYFUNCTION("GOOGLETRANSLATE(C158, ""en"", ""pt"")"),"Chaves omemo cegamente confiáveis")</f>
        <v>Chaves omemo cegamente confiáveis</v>
      </c>
      <c r="AA158" s="7" t="str">
        <f>IFERROR(__xludf.DUMMYFUNCTION("GOOGLETRANSLATE(C158, ""en"", ""ro"")"),"Tastele de omemo de încredere orbește")</f>
        <v>Tastele de omemo de încredere orbește</v>
      </c>
      <c r="AB158" s="1" t="s">
        <v>3516</v>
      </c>
      <c r="AC158" s="7" t="str">
        <f>IFERROR(__xludf.DUMMYFUNCTION("GOOGLETRANSLATE(C158, ""en"", ""sk"")"),"Slepo dôveryhodné omemo kľúče")</f>
        <v>Slepo dôveryhodné omemo kľúče</v>
      </c>
      <c r="AD158" s="6" t="s">
        <v>132</v>
      </c>
      <c r="AE158" s="1" t="s">
        <v>3517</v>
      </c>
      <c r="AF158" s="1" t="s">
        <v>3518</v>
      </c>
      <c r="AG158" s="6" t="s">
        <v>132</v>
      </c>
      <c r="AH158" s="7" t="str">
        <f>IFERROR(__xludf.DUMMYFUNCTION("GOOGLETRANSLATE(C158, ""en"", ""tr"")"),"Kör güvenilir OMEMO tuşları")</f>
        <v>Kör güvenilir OMEMO tuşları</v>
      </c>
      <c r="AI158" s="6" t="s">
        <v>3519</v>
      </c>
      <c r="AJ158" s="6" t="s">
        <v>132</v>
      </c>
      <c r="AK158" s="7" t="str">
        <f>IFERROR(__xludf.DUMMYFUNCTION("GOOGLETRANSLATE(C158, ""en"", ""zh"")"),"盲目信任的omemo键")</f>
        <v>盲目信任的omemo键</v>
      </c>
      <c r="AL158" s="6" t="s">
        <v>3520</v>
      </c>
    </row>
    <row r="159" ht="15.75" hidden="1" customHeight="1">
      <c r="A159" s="1" t="s">
        <v>38</v>
      </c>
      <c r="B159" s="1" t="s">
        <v>3521</v>
      </c>
      <c r="C159" s="1" t="s">
        <v>3522</v>
      </c>
      <c r="D159" s="7" t="str">
        <f>IFERROR(__xludf.DUMMYFUNCTION("GOOGLETRANSLATE(C159, ""en"", ""ar"")"),"الكرسي الرسولي (دولة مدينة الفاتيكان)")</f>
        <v>الكرسي الرسولي (دولة مدينة الفاتيكان)</v>
      </c>
      <c r="E159" s="7" t="str">
        <f>IFERROR(__xludf.DUMMYFUNCTION("GOOGLETRANSLATE(C159, ""en"", ""bg"")"),"Светия Виж (Ватиканска градска държава)")</f>
        <v>Светия Виж (Ватиканска градска държава)</v>
      </c>
      <c r="F159" s="6" t="s">
        <v>132</v>
      </c>
      <c r="G159" s="7" t="str">
        <f>IFERROR(__xludf.DUMMYFUNCTION("GOOGLETRANSLATE(C159, ""en"", ""cs"")"),"Svatý vidět (stát Vatican City)")</f>
        <v>Svatý vidět (stát Vatican City)</v>
      </c>
      <c r="H159" s="7" t="str">
        <f>IFERROR(__xludf.DUMMYFUNCTION("GOOGLETRANSLATE(C159, ""en"", ""da"")"),"Holy Se (Vatikanstaten)")</f>
        <v>Holy Se (Vatikanstaten)</v>
      </c>
      <c r="I159" s="1" t="s">
        <v>3523</v>
      </c>
      <c r="J159" s="6" t="s">
        <v>132</v>
      </c>
      <c r="K159" s="1" t="s">
        <v>3524</v>
      </c>
      <c r="L159" s="7" t="str">
        <f>IFERROR(__xludf.DUMMYFUNCTION("GOOGLETRANSLATE(C159, ""en"", ""fi"")"),"Pyhä katso (Vatikaanin kaupunki)")</f>
        <v>Pyhä katso (Vatikaanin kaupunki)</v>
      </c>
      <c r="M159" s="1" t="s">
        <v>3525</v>
      </c>
      <c r="N159" s="6" t="s">
        <v>132</v>
      </c>
      <c r="O159" s="6" t="s">
        <v>132</v>
      </c>
      <c r="P159" s="1" t="s">
        <v>3522</v>
      </c>
      <c r="Q159" s="7" t="str">
        <f>IFERROR(__xludf.DUMMYFUNCTION("GOOGLETRANSLATE(C159, ""en"", ""in"")"),"Kehidupan Suci (Negara Kota Vatikan)")</f>
        <v>Kehidupan Suci (Negara Kota Vatikan)</v>
      </c>
      <c r="R159" s="7" t="str">
        <f>IFERROR(__xludf.DUMMYFUNCTION("GOOGLETRANSLATE(C159, ""en"", ""it"")"),"Santa Sede (Stato della Città del Vaticano)")</f>
        <v>Santa Sede (Stato della Città del Vaticano)</v>
      </c>
      <c r="S159" s="6" t="s">
        <v>132</v>
      </c>
      <c r="T159" s="7" t="str">
        <f>IFERROR(__xludf.DUMMYFUNCTION("GOOGLETRANSLATE(C159, ""en"", ""ja"")"),"聖書（バチカン市州）")</f>
        <v>聖書（バチカン市州）</v>
      </c>
      <c r="U159" s="7" t="str">
        <f>IFERROR(__xludf.DUMMYFUNCTION("GOOGLETRANSLATE(C159, ""en"", ""ko"")"),"거룩한보기 (바티칸 시티 상태)")</f>
        <v>거룩한보기 (바티칸 시티 상태)</v>
      </c>
      <c r="V159" s="7" t="str">
        <f>IFERROR(__xludf.DUMMYFUNCTION("GOOGLETRANSLATE(C159, ""en"", ""ms"")"),"Holy See (Negeri Vatican)")</f>
        <v>Holy See (Negeri Vatican)</v>
      </c>
      <c r="W159" s="7" t="str">
        <f>IFERROR(__xludf.DUMMYFUNCTION("GOOGLETRANSLATE(C159, ""en"", ""nl"")"),"Holy See (Vaticaanstaatstaat)")</f>
        <v>Holy See (Vaticaanstaatstaat)</v>
      </c>
      <c r="X159" s="7" t="str">
        <f>IFERROR(__xludf.DUMMYFUNCTION("GOOGLETRANSLATE(C159, ""en"", ""no"")"),"Holy See (Vatikanstaten)")</f>
        <v>Holy See (Vatikanstaten)</v>
      </c>
      <c r="Y159" s="7" t="str">
        <f>IFERROR(__xludf.DUMMYFUNCTION("GOOGLETRANSLATE(C159, ""en"", ""pl"")"),"Święty Apostolski (Watykan Stan City)")</f>
        <v>Święty Apostolski (Watykan Stan City)</v>
      </c>
      <c r="Z159" s="7" t="str">
        <f>IFERROR(__xludf.DUMMYFUNCTION("GOOGLETRANSLATE(C159, ""en"", ""pt"")"),"Santo Sé (estado da cidade do Vaticano)")</f>
        <v>Santo Sé (estado da cidade do Vaticano)</v>
      </c>
      <c r="AA159" s="7" t="str">
        <f>IFERROR(__xludf.DUMMYFUNCTION("GOOGLETRANSLATE(C159, ""en"", ""ro"")"),"Statul Sfânt (statul orașului Vatican)")</f>
        <v>Statul Sfânt (statul orașului Vatican)</v>
      </c>
      <c r="AB159" s="1" t="s">
        <v>3526</v>
      </c>
      <c r="AC159" s="7" t="str">
        <f>IFERROR(__xludf.DUMMYFUNCTION("GOOGLETRANSLATE(C159, ""en"", ""sk"")"),"Svätá stolica (Vatikánsky mestský štát)")</f>
        <v>Svätá stolica (Vatikánsky mestský štát)</v>
      </c>
      <c r="AD159" s="6" t="s">
        <v>132</v>
      </c>
      <c r="AE159" s="1" t="s">
        <v>3527</v>
      </c>
      <c r="AF159" s="7" t="str">
        <f>IFERROR(__xludf.DUMMYFUNCTION("GOOGLETRANSLATE(C159, ""en"", ""sv"")"),"Heliga Se (Vatikanstaten)")</f>
        <v>Heliga Se (Vatikanstaten)</v>
      </c>
      <c r="AG159" s="6" t="s">
        <v>132</v>
      </c>
      <c r="AH159" s="7" t="str">
        <f>IFERROR(__xludf.DUMMYFUNCTION("GOOGLETRANSLATE(C159, ""en"", ""tr"")"),"Holy See (Vatikan Şehir Devleti)")</f>
        <v>Holy See (Vatikan Şehir Devleti)</v>
      </c>
      <c r="AI159" s="6" t="s">
        <v>132</v>
      </c>
      <c r="AJ159" s="6" t="s">
        <v>132</v>
      </c>
      <c r="AK159" s="7" t="str">
        <f>IFERROR(__xludf.DUMMYFUNCTION("GOOGLETRANSLATE(C159, ""en"", ""zh"")"),"圣洁（梵蒂冈市州）")</f>
        <v>圣洁（梵蒂冈市州）</v>
      </c>
      <c r="AL159" s="6" t="s">
        <v>132</v>
      </c>
    </row>
    <row r="160" ht="15.75" customHeight="1">
      <c r="A160" s="1" t="s">
        <v>127</v>
      </c>
      <c r="B160" s="1" t="s">
        <v>3528</v>
      </c>
      <c r="C160" s="1" t="s">
        <v>3529</v>
      </c>
      <c r="D160" s="8" t="s">
        <v>3530</v>
      </c>
      <c r="E160" s="1" t="s">
        <v>3531</v>
      </c>
      <c r="F160" s="6" t="s">
        <v>132</v>
      </c>
      <c r="G160" s="1" t="s">
        <v>3532</v>
      </c>
      <c r="H160" s="1" t="s">
        <v>3529</v>
      </c>
      <c r="I160" s="1" t="s">
        <v>3533</v>
      </c>
      <c r="J160" s="6" t="s">
        <v>3534</v>
      </c>
      <c r="K160" s="1" t="s">
        <v>3535</v>
      </c>
      <c r="L160" s="1" t="s">
        <v>3536</v>
      </c>
      <c r="M160" s="1" t="s">
        <v>3537</v>
      </c>
      <c r="N160" s="6" t="s">
        <v>132</v>
      </c>
      <c r="O160" s="6" t="s">
        <v>3538</v>
      </c>
      <c r="P160" s="1" t="s">
        <v>3539</v>
      </c>
      <c r="Q160" s="1" t="s">
        <v>3540</v>
      </c>
      <c r="R160" s="1" t="s">
        <v>3541</v>
      </c>
      <c r="S160" s="10" t="s">
        <v>3542</v>
      </c>
      <c r="T160" s="1" t="s">
        <v>3543</v>
      </c>
      <c r="U160" s="1" t="s">
        <v>3544</v>
      </c>
      <c r="V160" s="1" t="s">
        <v>3545</v>
      </c>
      <c r="W160" s="1" t="s">
        <v>3546</v>
      </c>
      <c r="X160" s="1" t="s">
        <v>3547</v>
      </c>
      <c r="Y160" s="1" t="s">
        <v>3548</v>
      </c>
      <c r="Z160" s="1" t="s">
        <v>3549</v>
      </c>
      <c r="AA160" s="1" t="s">
        <v>3550</v>
      </c>
      <c r="AB160" s="1" t="s">
        <v>3551</v>
      </c>
      <c r="AC160" s="1" t="s">
        <v>3552</v>
      </c>
      <c r="AD160" s="6" t="s">
        <v>3553</v>
      </c>
      <c r="AE160" s="1" t="s">
        <v>3554</v>
      </c>
      <c r="AF160" s="1" t="s">
        <v>3555</v>
      </c>
      <c r="AG160" s="6" t="s">
        <v>3556</v>
      </c>
      <c r="AH160" s="1" t="s">
        <v>3557</v>
      </c>
      <c r="AI160" s="6" t="s">
        <v>132</v>
      </c>
      <c r="AJ160" s="6" t="s">
        <v>3558</v>
      </c>
      <c r="AK160" s="1" t="s">
        <v>3559</v>
      </c>
      <c r="AL160" s="6" t="s">
        <v>3560</v>
      </c>
    </row>
    <row r="161" ht="15.75" customHeight="1">
      <c r="A161" s="1" t="s">
        <v>127</v>
      </c>
      <c r="B161" s="1" t="s">
        <v>3561</v>
      </c>
      <c r="C161" s="1" t="s">
        <v>3562</v>
      </c>
      <c r="D161" s="8" t="s">
        <v>3563</v>
      </c>
      <c r="E161" s="1" t="s">
        <v>3564</v>
      </c>
      <c r="F161" s="6" t="s">
        <v>132</v>
      </c>
      <c r="G161" s="1" t="s">
        <v>3565</v>
      </c>
      <c r="H161" s="1" t="s">
        <v>3566</v>
      </c>
      <c r="I161" s="1" t="s">
        <v>3567</v>
      </c>
      <c r="J161" s="6" t="s">
        <v>3568</v>
      </c>
      <c r="K161" s="1" t="s">
        <v>3569</v>
      </c>
      <c r="L161" s="1" t="s">
        <v>3570</v>
      </c>
      <c r="M161" s="1" t="s">
        <v>3571</v>
      </c>
      <c r="N161" s="6" t="s">
        <v>132</v>
      </c>
      <c r="O161" s="6" t="s">
        <v>3572</v>
      </c>
      <c r="P161" s="1" t="s">
        <v>3573</v>
      </c>
      <c r="Q161" s="1" t="s">
        <v>3574</v>
      </c>
      <c r="R161" s="1" t="s">
        <v>3575</v>
      </c>
      <c r="S161" s="10" t="s">
        <v>3576</v>
      </c>
      <c r="T161" s="1" t="s">
        <v>3577</v>
      </c>
      <c r="U161" s="1" t="s">
        <v>3578</v>
      </c>
      <c r="V161" s="1" t="s">
        <v>3579</v>
      </c>
      <c r="W161" s="1" t="s">
        <v>3580</v>
      </c>
      <c r="X161" s="1" t="s">
        <v>3581</v>
      </c>
      <c r="Y161" s="1" t="s">
        <v>3582</v>
      </c>
      <c r="Z161" s="1" t="s">
        <v>3583</v>
      </c>
      <c r="AA161" s="1" t="s">
        <v>3584</v>
      </c>
      <c r="AB161" s="1" t="s">
        <v>3585</v>
      </c>
      <c r="AC161" s="1" t="s">
        <v>3586</v>
      </c>
      <c r="AD161" s="6" t="s">
        <v>3587</v>
      </c>
      <c r="AE161" s="1" t="s">
        <v>3588</v>
      </c>
      <c r="AF161" s="1" t="s">
        <v>3589</v>
      </c>
      <c r="AG161" s="6" t="s">
        <v>3590</v>
      </c>
      <c r="AH161" s="1" t="s">
        <v>3591</v>
      </c>
      <c r="AI161" s="6" t="s">
        <v>132</v>
      </c>
      <c r="AJ161" s="6" t="s">
        <v>3592</v>
      </c>
      <c r="AK161" s="1" t="s">
        <v>3593</v>
      </c>
      <c r="AL161" s="6" t="s">
        <v>3594</v>
      </c>
    </row>
    <row r="162" ht="15.75" hidden="1" customHeight="1">
      <c r="A162" s="1" t="s">
        <v>38</v>
      </c>
      <c r="B162" s="1" t="s">
        <v>3595</v>
      </c>
      <c r="C162" s="1" t="s">
        <v>3596</v>
      </c>
      <c r="D162" s="7" t="str">
        <f>IFERROR(__xludf.DUMMYFUNCTION("GOOGLETRANSLATE(C162, ""en"", ""ar"")"),"\ u0020days غير متصل")</f>
        <v>\ u0020days غير متصل</v>
      </c>
      <c r="E162" s="7" t="str">
        <f>IFERROR(__xludf.DUMMYFUNCTION("GOOGLETRANSLATE(C162, ""en"", ""bg"")"),"U0020days офлайн. \ T")</f>
        <v>U0020days офлайн. \ T</v>
      </c>
      <c r="F162" s="6" t="s">
        <v>132</v>
      </c>
      <c r="G162" s="7" t="str">
        <f>IFERROR(__xludf.DUMMYFUNCTION("GOOGLETRANSLATE(C162, ""en"", ""cs"")"),"U0020days offline. \ t")</f>
        <v>U0020days offline. \ t</v>
      </c>
      <c r="H162" s="7" t="str">
        <f>IFERROR(__xludf.DUMMYFUNCTION("GOOGLETRANSLATE(C162, ""en"", ""da"")"),"\ u0020days offline.")</f>
        <v>\ u0020days offline.</v>
      </c>
      <c r="I162" s="1" t="s">
        <v>3597</v>
      </c>
      <c r="J162" s="6" t="s">
        <v>132</v>
      </c>
      <c r="K162" s="1" t="s">
        <v>3598</v>
      </c>
      <c r="L162" s="7" t="str">
        <f>IFERROR(__xludf.DUMMYFUNCTION("GOOGLETRANSLATE(C162, ""en"", ""fi"")"),"\ u0020DAYS OFFLINE")</f>
        <v>\ u0020DAYS OFFLINE</v>
      </c>
      <c r="M162" s="1" t="s">
        <v>3599</v>
      </c>
      <c r="N162" s="6" t="s">
        <v>132</v>
      </c>
      <c r="O162" s="6" t="s">
        <v>132</v>
      </c>
      <c r="P162" s="1" t="s">
        <v>3600</v>
      </c>
      <c r="Q162" s="7" t="str">
        <f>IFERROR(__xludf.DUMMYFUNCTION("GOOGLETRANSLATE(C162, ""en"", ""in"")"),"\ u0020days offline.")</f>
        <v>\ u0020days offline.</v>
      </c>
      <c r="R162" s="7" t="str">
        <f>IFERROR(__xludf.DUMMYFUNCTION("GOOGLETRANSLATE(C162, ""en"", ""it"")"),"\ u0020days offline.")</f>
        <v>\ u0020days offline.</v>
      </c>
      <c r="S162" s="6" t="s">
        <v>132</v>
      </c>
      <c r="T162" s="7" t="str">
        <f>IFERROR(__xludf.DUMMYFUNCTION("GOOGLETRANSLATE(C162, ""en"", ""ja"")"),"\ u0020daysオフライン")</f>
        <v>\ u0020daysオフライン</v>
      </c>
      <c r="U162" s="7" t="str">
        <f>IFERROR(__xludf.DUMMYFUNCTION("GOOGLETRANSLATE(C162, ""en"", ""ko"")"),"\ u0020days 오프라인")</f>
        <v>\ u0020days 오프라인</v>
      </c>
      <c r="V162" s="7" t="str">
        <f>IFERROR(__xludf.DUMMYFUNCTION("GOOGLETRANSLATE(C162, ""en"", ""ms"")"),"\ u0020days offline.")</f>
        <v>\ u0020days offline.</v>
      </c>
      <c r="W162" s="7" t="str">
        <f>IFERROR(__xludf.DUMMYFUNCTION("GOOGLETRANSLATE(C162, ""en"", ""nl"")"),"\ u0020days offline")</f>
        <v>\ u0020days offline</v>
      </c>
      <c r="X162" s="7" t="str">
        <f>IFERROR(__xludf.DUMMYFUNCTION("GOOGLETRANSLATE(C162, ""en"", ""no"")"),"\ u0020 dager offline.")</f>
        <v>\ u0020 dager offline.</v>
      </c>
      <c r="Y162" s="7" t="str">
        <f>IFERROR(__xludf.DUMMYFUNCTION("GOOGLETRANSLATE(C162, ""en"", ""pl"")"),"U0020yss offline.")</f>
        <v>U0020yss offline.</v>
      </c>
      <c r="Z162" s="7" t="str">
        <f>IFERROR(__xludf.DUMMYFUNCTION("GOOGLETRANSLATE(C162, ""en"", ""pt"")"),"\ u0020days offline.")</f>
        <v>\ u0020days offline.</v>
      </c>
      <c r="AA162" s="7" t="str">
        <f>IFERROR(__xludf.DUMMYFUNCTION("GOOGLETRANSLATE(C162, ""en"", ""ro"")"),"\ u0020 zile offline")</f>
        <v>\ u0020 zile offline</v>
      </c>
      <c r="AB162" s="1" t="s">
        <v>3601</v>
      </c>
      <c r="AC162" s="7" t="str">
        <f>IFERROR(__xludf.DUMMYFUNCTION("GOOGLETRANSLATE(C162, ""en"", ""sk"")"),"u0020ds offline")</f>
        <v>u0020ds offline</v>
      </c>
      <c r="AD162" s="6" t="s">
        <v>132</v>
      </c>
      <c r="AE162" s="1" t="s">
        <v>3602</v>
      </c>
      <c r="AF162" s="7" t="str">
        <f>IFERROR(__xludf.DUMMYFUNCTION("GOOGLETRANSLATE(C162, ""en"", ""sv"")"),"\ u0020days offline")</f>
        <v>\ u0020days offline</v>
      </c>
      <c r="AG162" s="6" t="s">
        <v>132</v>
      </c>
      <c r="AH162" s="7" t="str">
        <f>IFERROR(__xludf.DUMMYFUNCTION("GOOGLETRANSLATE(C162, ""en"", ""tr"")"),"\ u0020days çevrimdışı")</f>
        <v>\ u0020days çevrimdışı</v>
      </c>
      <c r="AI162" s="6" t="s">
        <v>132</v>
      </c>
      <c r="AJ162" s="6" t="s">
        <v>132</v>
      </c>
      <c r="AK162" s="7" t="str">
        <f>IFERROR(__xludf.DUMMYFUNCTION("GOOGLETRANSLATE(C162, ""en"", ""zh"")"),"\ u0020days离线")</f>
        <v>\ u0020days离线</v>
      </c>
      <c r="AL162" s="6" t="s">
        <v>132</v>
      </c>
    </row>
    <row r="163" ht="15.75" customHeight="1">
      <c r="A163" s="1" t="s">
        <v>127</v>
      </c>
      <c r="B163" s="1" t="s">
        <v>3603</v>
      </c>
      <c r="C163" s="1" t="s">
        <v>3604</v>
      </c>
      <c r="D163" s="7" t="str">
        <f>IFERROR(__xludf.DUMMYFUNCTION("GOOGLETRANSLATE(C163, ""en"", ""ar"")"),"مطلقا")</f>
        <v>مطلقا</v>
      </c>
      <c r="E163" s="7" t="str">
        <f>IFERROR(__xludf.DUMMYFUNCTION("GOOGLETRANSLATE(C163, ""en"", ""bg"")"),"Никога")</f>
        <v>Никога</v>
      </c>
      <c r="F163" s="6" t="s">
        <v>132</v>
      </c>
      <c r="G163" s="7" t="str">
        <f>IFERROR(__xludf.DUMMYFUNCTION("GOOGLETRANSLATE(C163, ""en"", ""cs"")"),"Nikdy")</f>
        <v>Nikdy</v>
      </c>
      <c r="H163" s="1" t="s">
        <v>3605</v>
      </c>
      <c r="I163" s="1" t="s">
        <v>3606</v>
      </c>
      <c r="J163" s="6" t="s">
        <v>132</v>
      </c>
      <c r="K163" s="1" t="s">
        <v>3607</v>
      </c>
      <c r="L163" s="1" t="s">
        <v>3608</v>
      </c>
      <c r="M163" s="1" t="s">
        <v>3609</v>
      </c>
      <c r="N163" s="6" t="s">
        <v>132</v>
      </c>
      <c r="O163" s="6" t="s">
        <v>132</v>
      </c>
      <c r="P163" s="1" t="s">
        <v>3610</v>
      </c>
      <c r="Q163" s="1" t="s">
        <v>3611</v>
      </c>
      <c r="R163" s="1" t="s">
        <v>3612</v>
      </c>
      <c r="S163" s="6" t="s">
        <v>132</v>
      </c>
      <c r="T163" s="1" t="s">
        <v>3613</v>
      </c>
      <c r="U163" s="1" t="s">
        <v>3614</v>
      </c>
      <c r="V163" s="1" t="s">
        <v>3615</v>
      </c>
      <c r="W163" s="1" t="s">
        <v>3616</v>
      </c>
      <c r="X163" s="1" t="s">
        <v>3617</v>
      </c>
      <c r="Y163" s="1" t="s">
        <v>3618</v>
      </c>
      <c r="Z163" s="1" t="s">
        <v>3607</v>
      </c>
      <c r="AA163" s="7" t="str">
        <f>IFERROR(__xludf.DUMMYFUNCTION("GOOGLETRANSLATE(C163, ""en"", ""ro"")"),"Nu")</f>
        <v>Nu</v>
      </c>
      <c r="AB163" s="1" t="s">
        <v>3619</v>
      </c>
      <c r="AC163" s="7" t="str">
        <f>IFERROR(__xludf.DUMMYFUNCTION("GOOGLETRANSLATE(C163, ""en"", ""sk"")"),"Nikdy")</f>
        <v>Nikdy</v>
      </c>
      <c r="AD163" s="6" t="s">
        <v>132</v>
      </c>
      <c r="AE163" s="1" t="s">
        <v>3620</v>
      </c>
      <c r="AF163" s="1" t="s">
        <v>3605</v>
      </c>
      <c r="AG163" s="6" t="s">
        <v>132</v>
      </c>
      <c r="AH163" s="1" t="s">
        <v>3621</v>
      </c>
      <c r="AI163" s="6" t="s">
        <v>132</v>
      </c>
      <c r="AJ163" s="6" t="s">
        <v>132</v>
      </c>
      <c r="AK163" s="1" t="s">
        <v>3622</v>
      </c>
      <c r="AL163" s="6" t="s">
        <v>3622</v>
      </c>
    </row>
    <row r="164" ht="15.75" customHeight="1">
      <c r="A164" s="1" t="s">
        <v>127</v>
      </c>
      <c r="B164" s="1" t="s">
        <v>3623</v>
      </c>
      <c r="C164" s="1" t="s">
        <v>3624</v>
      </c>
      <c r="D164" s="8" t="s">
        <v>3625</v>
      </c>
      <c r="E164" s="1" t="s">
        <v>3626</v>
      </c>
      <c r="F164" s="6" t="s">
        <v>132</v>
      </c>
      <c r="G164" s="1" t="s">
        <v>3627</v>
      </c>
      <c r="H164" s="1" t="s">
        <v>3628</v>
      </c>
      <c r="I164" s="1" t="s">
        <v>3629</v>
      </c>
      <c r="J164" s="6" t="s">
        <v>3630</v>
      </c>
      <c r="K164" s="1" t="s">
        <v>3631</v>
      </c>
      <c r="L164" s="1" t="s">
        <v>3632</v>
      </c>
      <c r="M164" s="1" t="s">
        <v>3633</v>
      </c>
      <c r="N164" s="6" t="s">
        <v>132</v>
      </c>
      <c r="O164" s="6" t="s">
        <v>3634</v>
      </c>
      <c r="P164" s="1" t="s">
        <v>3624</v>
      </c>
      <c r="Q164" s="1" t="s">
        <v>3635</v>
      </c>
      <c r="R164" s="1" t="s">
        <v>3636</v>
      </c>
      <c r="S164" s="10" t="s">
        <v>3637</v>
      </c>
      <c r="T164" s="1" t="s">
        <v>3638</v>
      </c>
      <c r="U164" s="1" t="s">
        <v>3639</v>
      </c>
      <c r="V164" s="1" t="s">
        <v>3640</v>
      </c>
      <c r="W164" s="1" t="s">
        <v>3641</v>
      </c>
      <c r="X164" s="1" t="s">
        <v>3642</v>
      </c>
      <c r="Y164" s="1" t="s">
        <v>3643</v>
      </c>
      <c r="Z164" s="1" t="s">
        <v>3644</v>
      </c>
      <c r="AA164" s="1" t="s">
        <v>3645</v>
      </c>
      <c r="AB164" s="1" t="s">
        <v>3646</v>
      </c>
      <c r="AC164" s="1" t="s">
        <v>3647</v>
      </c>
      <c r="AD164" s="6" t="s">
        <v>3648</v>
      </c>
      <c r="AE164" s="1" t="s">
        <v>3649</v>
      </c>
      <c r="AF164" s="1" t="s">
        <v>3650</v>
      </c>
      <c r="AG164" s="6" t="s">
        <v>3651</v>
      </c>
      <c r="AH164" s="1" t="s">
        <v>3652</v>
      </c>
      <c r="AI164" s="6" t="s">
        <v>132</v>
      </c>
      <c r="AJ164" s="6" t="s">
        <v>3653</v>
      </c>
      <c r="AK164" s="1" t="s">
        <v>3654</v>
      </c>
      <c r="AL164" s="6" t="s">
        <v>3655</v>
      </c>
    </row>
    <row r="165" ht="15.75" customHeight="1">
      <c r="A165" s="1" t="s">
        <v>127</v>
      </c>
      <c r="B165" s="1" t="s">
        <v>3656</v>
      </c>
      <c r="C165" s="1" t="s">
        <v>3657</v>
      </c>
      <c r="D165" s="8" t="s">
        <v>3658</v>
      </c>
      <c r="E165" s="1" t="s">
        <v>3659</v>
      </c>
      <c r="F165" s="6" t="s">
        <v>132</v>
      </c>
      <c r="G165" s="1" t="s">
        <v>3660</v>
      </c>
      <c r="H165" s="1" t="s">
        <v>3661</v>
      </c>
      <c r="I165" s="1" t="s">
        <v>3662</v>
      </c>
      <c r="J165" s="6" t="s">
        <v>3663</v>
      </c>
      <c r="K165" s="1" t="s">
        <v>3664</v>
      </c>
      <c r="L165" s="1" t="s">
        <v>3665</v>
      </c>
      <c r="M165" s="1" t="s">
        <v>3666</v>
      </c>
      <c r="N165" s="6" t="s">
        <v>132</v>
      </c>
      <c r="O165" s="6" t="s">
        <v>3667</v>
      </c>
      <c r="P165" s="1" t="s">
        <v>3668</v>
      </c>
      <c r="Q165" s="1" t="s">
        <v>3669</v>
      </c>
      <c r="R165" s="1" t="s">
        <v>3670</v>
      </c>
      <c r="S165" s="10" t="s">
        <v>3671</v>
      </c>
      <c r="T165" s="1" t="s">
        <v>3672</v>
      </c>
      <c r="U165" s="1" t="s">
        <v>3673</v>
      </c>
      <c r="V165" s="1" t="s">
        <v>3674</v>
      </c>
      <c r="W165" s="1" t="s">
        <v>3675</v>
      </c>
      <c r="X165" s="1" t="s">
        <v>3661</v>
      </c>
      <c r="Y165" s="1" t="s">
        <v>3676</v>
      </c>
      <c r="Z165" s="1" t="s">
        <v>3677</v>
      </c>
      <c r="AA165" s="1" t="s">
        <v>3662</v>
      </c>
      <c r="AB165" s="1" t="s">
        <v>3678</v>
      </c>
      <c r="AC165" s="1" t="s">
        <v>3679</v>
      </c>
      <c r="AD165" s="6" t="s">
        <v>3680</v>
      </c>
      <c r="AE165" s="1" t="s">
        <v>3681</v>
      </c>
      <c r="AF165" s="1" t="s">
        <v>3682</v>
      </c>
      <c r="AG165" s="6" t="s">
        <v>3683</v>
      </c>
      <c r="AH165" s="1" t="s">
        <v>3684</v>
      </c>
      <c r="AI165" s="6" t="s">
        <v>132</v>
      </c>
      <c r="AJ165" s="6" t="s">
        <v>3685</v>
      </c>
      <c r="AK165" s="1" t="s">
        <v>3686</v>
      </c>
      <c r="AL165" s="6" t="s">
        <v>3687</v>
      </c>
    </row>
    <row r="166" ht="15.75" customHeight="1">
      <c r="A166" s="1" t="s">
        <v>127</v>
      </c>
      <c r="B166" s="1" t="s">
        <v>3688</v>
      </c>
      <c r="C166" s="1" t="s">
        <v>3689</v>
      </c>
      <c r="D166" s="8" t="s">
        <v>3690</v>
      </c>
      <c r="E166" s="1" t="s">
        <v>3691</v>
      </c>
      <c r="F166" s="6" t="s">
        <v>132</v>
      </c>
      <c r="G166" s="1" t="s">
        <v>3692</v>
      </c>
      <c r="H166" s="1" t="s">
        <v>3693</v>
      </c>
      <c r="I166" s="1" t="s">
        <v>3694</v>
      </c>
      <c r="J166" s="6" t="s">
        <v>3695</v>
      </c>
      <c r="K166" s="1" t="s">
        <v>3696</v>
      </c>
      <c r="L166" s="1" t="s">
        <v>3697</v>
      </c>
      <c r="M166" s="1" t="s">
        <v>3698</v>
      </c>
      <c r="N166" s="6" t="s">
        <v>132</v>
      </c>
      <c r="O166" s="6" t="s">
        <v>3699</v>
      </c>
      <c r="P166" s="1" t="s">
        <v>3700</v>
      </c>
      <c r="Q166" s="1" t="s">
        <v>3701</v>
      </c>
      <c r="R166" s="1" t="s">
        <v>3702</v>
      </c>
      <c r="S166" s="10" t="s">
        <v>3703</v>
      </c>
      <c r="T166" s="1" t="s">
        <v>3704</v>
      </c>
      <c r="U166" s="1" t="s">
        <v>3705</v>
      </c>
      <c r="V166" s="1" t="s">
        <v>3701</v>
      </c>
      <c r="W166" s="1" t="s">
        <v>3706</v>
      </c>
      <c r="X166" s="1" t="s">
        <v>3707</v>
      </c>
      <c r="Y166" s="1" t="s">
        <v>3708</v>
      </c>
      <c r="Z166" s="1" t="s">
        <v>3709</v>
      </c>
      <c r="AA166" s="1" t="s">
        <v>3710</v>
      </c>
      <c r="AB166" s="1" t="s">
        <v>3711</v>
      </c>
      <c r="AC166" s="1" t="s">
        <v>3712</v>
      </c>
      <c r="AD166" s="6" t="s">
        <v>3713</v>
      </c>
      <c r="AE166" s="1" t="s">
        <v>3714</v>
      </c>
      <c r="AF166" s="1" t="s">
        <v>3715</v>
      </c>
      <c r="AG166" s="6" t="s">
        <v>3716</v>
      </c>
      <c r="AH166" s="1" t="s">
        <v>3717</v>
      </c>
      <c r="AI166" s="6" t="s">
        <v>132</v>
      </c>
      <c r="AJ166" s="6" t="s">
        <v>3718</v>
      </c>
      <c r="AK166" s="1" t="s">
        <v>3719</v>
      </c>
      <c r="AL166" s="6" t="s">
        <v>132</v>
      </c>
    </row>
    <row r="167" ht="15.75" hidden="1" customHeight="1">
      <c r="A167" s="1" t="s">
        <v>38</v>
      </c>
      <c r="B167" s="1" t="s">
        <v>3720</v>
      </c>
      <c r="C167" s="1" t="s">
        <v>3721</v>
      </c>
      <c r="D167" s="8" t="s">
        <v>3722</v>
      </c>
      <c r="E167" s="1" t="s">
        <v>3723</v>
      </c>
      <c r="F167" s="6" t="s">
        <v>3724</v>
      </c>
      <c r="G167" s="7" t="str">
        <f>IFERROR(__xludf.DUMMYFUNCTION("GOOGLETRANSLATE(C167, ""en"", ""cs"")"),"Smazat výběr")</f>
        <v>Smazat výběr</v>
      </c>
      <c r="H167" s="7" t="str">
        <f>IFERROR(__xludf.DUMMYFUNCTION("GOOGLETRANSLATE(C167, ""en"", ""da"")"),"Slet valg")</f>
        <v>Slet valg</v>
      </c>
      <c r="I167" s="1" t="s">
        <v>3725</v>
      </c>
      <c r="J167" s="6" t="s">
        <v>132</v>
      </c>
      <c r="K167" s="1" t="s">
        <v>3726</v>
      </c>
      <c r="L167" s="7" t="str">
        <f>IFERROR(__xludf.DUMMYFUNCTION("GOOGLETRANSLATE(C167, ""en"", ""fi"")"),"Poista valinta")</f>
        <v>Poista valinta</v>
      </c>
      <c r="M167" s="1" t="s">
        <v>3727</v>
      </c>
      <c r="N167" s="6" t="s">
        <v>3728</v>
      </c>
      <c r="O167" s="6" t="s">
        <v>132</v>
      </c>
      <c r="P167" s="1" t="s">
        <v>3729</v>
      </c>
      <c r="Q167" s="9" t="s">
        <v>3730</v>
      </c>
      <c r="R167" s="1" t="s">
        <v>3731</v>
      </c>
      <c r="S167" s="6" t="s">
        <v>132</v>
      </c>
      <c r="T167" s="1" t="s">
        <v>3732</v>
      </c>
      <c r="U167" s="1" t="s">
        <v>3733</v>
      </c>
      <c r="V167" s="7" t="str">
        <f>IFERROR(__xludf.DUMMYFUNCTION("GOOGLETRANSLATE(C167, ""en"", ""ms"")"),"Padam pemilihan")</f>
        <v>Padam pemilihan</v>
      </c>
      <c r="W167" s="1" t="s">
        <v>3734</v>
      </c>
      <c r="X167" s="7" t="str">
        <f>IFERROR(__xludf.DUMMYFUNCTION("GOOGLETRANSLATE(C167, ""en"", ""no"")"),"Slett utvalg")</f>
        <v>Slett utvalg</v>
      </c>
      <c r="Y167" s="1" t="s">
        <v>3735</v>
      </c>
      <c r="Z167" s="1" t="s">
        <v>3736</v>
      </c>
      <c r="AA167" s="7" t="str">
        <f>IFERROR(__xludf.DUMMYFUNCTION("GOOGLETRANSLATE(C167, ""en"", ""ro"")"),"Ștergeți selecția")</f>
        <v>Ștergeți selecția</v>
      </c>
      <c r="AB167" s="1" t="s">
        <v>1615</v>
      </c>
      <c r="AC167" s="1" t="s">
        <v>3737</v>
      </c>
      <c r="AD167" s="6" t="s">
        <v>132</v>
      </c>
      <c r="AE167" s="1" t="s">
        <v>3738</v>
      </c>
      <c r="AF167" s="1" t="s">
        <v>3739</v>
      </c>
      <c r="AG167" s="6" t="s">
        <v>132</v>
      </c>
      <c r="AH167" s="7" t="str">
        <f>IFERROR(__xludf.DUMMYFUNCTION("GOOGLETRANSLATE(C167, ""en"", ""tr"")"),"Seçimi sil")</f>
        <v>Seçimi sil</v>
      </c>
      <c r="AI167" s="6" t="s">
        <v>3740</v>
      </c>
      <c r="AJ167" s="6" t="s">
        <v>3741</v>
      </c>
      <c r="AK167" s="7" t="str">
        <f>IFERROR(__xludf.DUMMYFUNCTION("GOOGLETRANSLATE(C167, ""en"", ""zh"")"),"删除选择")</f>
        <v>删除选择</v>
      </c>
      <c r="AL167" s="6" t="s">
        <v>3742</v>
      </c>
    </row>
    <row r="168" ht="15.75" customHeight="1">
      <c r="A168" s="1" t="s">
        <v>127</v>
      </c>
      <c r="B168" s="1" t="s">
        <v>3743</v>
      </c>
      <c r="C168" s="1" t="s">
        <v>3744</v>
      </c>
      <c r="D168" s="8" t="s">
        <v>3745</v>
      </c>
      <c r="E168" s="1" t="s">
        <v>3746</v>
      </c>
      <c r="F168" s="6" t="s">
        <v>132</v>
      </c>
      <c r="G168" s="1" t="s">
        <v>3747</v>
      </c>
      <c r="H168" s="1" t="s">
        <v>3748</v>
      </c>
      <c r="I168" s="1" t="s">
        <v>3749</v>
      </c>
      <c r="J168" s="6" t="s">
        <v>3750</v>
      </c>
      <c r="K168" s="1" t="s">
        <v>3751</v>
      </c>
      <c r="L168" s="1" t="s">
        <v>3752</v>
      </c>
      <c r="M168" s="1" t="s">
        <v>3753</v>
      </c>
      <c r="N168" s="6" t="s">
        <v>132</v>
      </c>
      <c r="O168" s="6" t="s">
        <v>3754</v>
      </c>
      <c r="P168" s="1" t="s">
        <v>3755</v>
      </c>
      <c r="Q168" s="1" t="s">
        <v>3756</v>
      </c>
      <c r="R168" s="1" t="s">
        <v>3757</v>
      </c>
      <c r="S168" s="10" t="s">
        <v>3758</v>
      </c>
      <c r="T168" s="1" t="s">
        <v>3759</v>
      </c>
      <c r="U168" s="1" t="s">
        <v>3760</v>
      </c>
      <c r="V168" s="1" t="s">
        <v>3761</v>
      </c>
      <c r="W168" s="1" t="s">
        <v>3762</v>
      </c>
      <c r="X168" s="1" t="s">
        <v>3748</v>
      </c>
      <c r="Y168" s="1" t="s">
        <v>3763</v>
      </c>
      <c r="Z168" s="1" t="s">
        <v>3764</v>
      </c>
      <c r="AA168" s="1" t="s">
        <v>3765</v>
      </c>
      <c r="AB168" s="1" t="s">
        <v>3766</v>
      </c>
      <c r="AC168" s="1" t="s">
        <v>3767</v>
      </c>
      <c r="AD168" s="6" t="s">
        <v>3768</v>
      </c>
      <c r="AE168" s="1" t="s">
        <v>3769</v>
      </c>
      <c r="AF168" s="1" t="s">
        <v>3770</v>
      </c>
      <c r="AG168" s="6" t="s">
        <v>3771</v>
      </c>
      <c r="AH168" s="1" t="s">
        <v>3772</v>
      </c>
      <c r="AI168" s="6" t="s">
        <v>132</v>
      </c>
      <c r="AJ168" s="6" t="s">
        <v>3773</v>
      </c>
      <c r="AK168" s="1" t="s">
        <v>3774</v>
      </c>
      <c r="AL168" s="6" t="s">
        <v>3775</v>
      </c>
    </row>
    <row r="169" ht="15.75" customHeight="1">
      <c r="A169" s="1" t="s">
        <v>127</v>
      </c>
      <c r="B169" s="1" t="s">
        <v>3776</v>
      </c>
      <c r="C169" s="1" t="s">
        <v>3777</v>
      </c>
      <c r="D169" s="8" t="s">
        <v>3778</v>
      </c>
      <c r="E169" s="1" t="s">
        <v>3779</v>
      </c>
      <c r="F169" s="6" t="s">
        <v>132</v>
      </c>
      <c r="G169" s="1" t="s">
        <v>3780</v>
      </c>
      <c r="H169" s="1" t="s">
        <v>3781</v>
      </c>
      <c r="I169" s="1" t="s">
        <v>3782</v>
      </c>
      <c r="J169" s="6" t="s">
        <v>3783</v>
      </c>
      <c r="K169" s="1" t="s">
        <v>3784</v>
      </c>
      <c r="L169" s="1" t="s">
        <v>3785</v>
      </c>
      <c r="M169" s="1" t="s">
        <v>3786</v>
      </c>
      <c r="N169" s="6" t="s">
        <v>132</v>
      </c>
      <c r="O169" s="6" t="s">
        <v>3787</v>
      </c>
      <c r="P169" s="1" t="s">
        <v>3788</v>
      </c>
      <c r="Q169" s="1" t="s">
        <v>3789</v>
      </c>
      <c r="R169" s="1" t="s">
        <v>3790</v>
      </c>
      <c r="S169" s="10" t="s">
        <v>3791</v>
      </c>
      <c r="T169" s="1" t="s">
        <v>3792</v>
      </c>
      <c r="U169" s="1" t="s">
        <v>3793</v>
      </c>
      <c r="V169" s="1" t="s">
        <v>3794</v>
      </c>
      <c r="W169" s="1" t="s">
        <v>3795</v>
      </c>
      <c r="X169" s="1" t="s">
        <v>3796</v>
      </c>
      <c r="Y169" s="1" t="s">
        <v>3797</v>
      </c>
      <c r="Z169" s="1" t="s">
        <v>3790</v>
      </c>
      <c r="AA169" s="1" t="s">
        <v>3798</v>
      </c>
      <c r="AB169" s="1" t="s">
        <v>3799</v>
      </c>
      <c r="AC169" s="1" t="s">
        <v>3780</v>
      </c>
      <c r="AD169" s="6" t="s">
        <v>3800</v>
      </c>
      <c r="AE169" s="1" t="s">
        <v>3801</v>
      </c>
      <c r="AF169" s="1" t="s">
        <v>3796</v>
      </c>
      <c r="AG169" s="6" t="s">
        <v>3802</v>
      </c>
      <c r="AH169" s="1" t="s">
        <v>3803</v>
      </c>
      <c r="AI169" s="6" t="s">
        <v>132</v>
      </c>
      <c r="AJ169" s="6" t="s">
        <v>3804</v>
      </c>
      <c r="AK169" s="1" t="s">
        <v>3805</v>
      </c>
      <c r="AL169" s="6" t="s">
        <v>3806</v>
      </c>
    </row>
    <row r="170" ht="15.75" customHeight="1">
      <c r="A170" s="1" t="s">
        <v>127</v>
      </c>
      <c r="B170" s="1" t="s">
        <v>3807</v>
      </c>
      <c r="C170" s="1" t="s">
        <v>3808</v>
      </c>
      <c r="D170" s="1" t="s">
        <v>3809</v>
      </c>
      <c r="E170" s="1" t="s">
        <v>3809</v>
      </c>
      <c r="F170" s="6" t="s">
        <v>132</v>
      </c>
      <c r="G170" s="1" t="s">
        <v>3809</v>
      </c>
      <c r="H170" s="1" t="s">
        <v>3809</v>
      </c>
      <c r="I170" s="1" t="s">
        <v>3809</v>
      </c>
      <c r="J170" s="6" t="s">
        <v>132</v>
      </c>
      <c r="K170" s="1" t="s">
        <v>3809</v>
      </c>
      <c r="L170" s="1" t="s">
        <v>3809</v>
      </c>
      <c r="M170" s="1" t="s">
        <v>3809</v>
      </c>
      <c r="N170" s="6" t="s">
        <v>132</v>
      </c>
      <c r="O170" s="6" t="s">
        <v>132</v>
      </c>
      <c r="P170" s="1" t="s">
        <v>3809</v>
      </c>
      <c r="Q170" s="1" t="s">
        <v>3809</v>
      </c>
      <c r="R170" s="1" t="s">
        <v>3809</v>
      </c>
      <c r="S170" s="6" t="s">
        <v>132</v>
      </c>
      <c r="T170" s="1" t="s">
        <v>3809</v>
      </c>
      <c r="U170" s="1" t="s">
        <v>3809</v>
      </c>
      <c r="V170" s="1" t="s">
        <v>3809</v>
      </c>
      <c r="W170" s="1" t="s">
        <v>3809</v>
      </c>
      <c r="X170" s="1" t="s">
        <v>3809</v>
      </c>
      <c r="Y170" s="1" t="s">
        <v>3809</v>
      </c>
      <c r="Z170" s="1" t="s">
        <v>3809</v>
      </c>
      <c r="AA170" s="1" t="s">
        <v>3809</v>
      </c>
      <c r="AB170" s="1" t="s">
        <v>3809</v>
      </c>
      <c r="AC170" s="1" t="s">
        <v>3809</v>
      </c>
      <c r="AD170" s="6" t="s">
        <v>132</v>
      </c>
      <c r="AE170" s="1" t="s">
        <v>3810</v>
      </c>
      <c r="AF170" s="1" t="s">
        <v>3809</v>
      </c>
      <c r="AG170" s="6" t="s">
        <v>132</v>
      </c>
      <c r="AH170" s="1" t="s">
        <v>3809</v>
      </c>
      <c r="AI170" s="6" t="s">
        <v>132</v>
      </c>
      <c r="AJ170" s="6" t="s">
        <v>132</v>
      </c>
      <c r="AK170" s="1" t="s">
        <v>3809</v>
      </c>
      <c r="AL170" s="6" t="s">
        <v>132</v>
      </c>
    </row>
    <row r="171" ht="15.75" customHeight="1">
      <c r="A171" s="1" t="s">
        <v>127</v>
      </c>
      <c r="B171" s="1" t="s">
        <v>3811</v>
      </c>
      <c r="C171" s="1" t="s">
        <v>3812</v>
      </c>
      <c r="D171" s="8" t="s">
        <v>3813</v>
      </c>
      <c r="E171" s="1" t="s">
        <v>3814</v>
      </c>
      <c r="F171" s="6" t="s">
        <v>132</v>
      </c>
      <c r="G171" s="1" t="s">
        <v>3815</v>
      </c>
      <c r="H171" s="1" t="s">
        <v>3816</v>
      </c>
      <c r="I171" s="1" t="s">
        <v>3817</v>
      </c>
      <c r="J171" s="6" t="s">
        <v>3818</v>
      </c>
      <c r="K171" s="1" t="s">
        <v>3819</v>
      </c>
      <c r="L171" s="1" t="s">
        <v>3820</v>
      </c>
      <c r="M171" s="1" t="s">
        <v>3821</v>
      </c>
      <c r="N171" s="6" t="s">
        <v>132</v>
      </c>
      <c r="O171" s="6" t="s">
        <v>3822</v>
      </c>
      <c r="P171" s="1" t="s">
        <v>3823</v>
      </c>
      <c r="Q171" s="1" t="s">
        <v>3824</v>
      </c>
      <c r="R171" s="1" t="s">
        <v>3825</v>
      </c>
      <c r="S171" s="10" t="s">
        <v>3826</v>
      </c>
      <c r="T171" s="1" t="s">
        <v>3827</v>
      </c>
      <c r="U171" s="1" t="s">
        <v>3828</v>
      </c>
      <c r="V171" s="1" t="s">
        <v>3824</v>
      </c>
      <c r="W171" s="1" t="s">
        <v>3829</v>
      </c>
      <c r="X171" s="1" t="s">
        <v>3830</v>
      </c>
      <c r="Y171" s="1" t="s">
        <v>3831</v>
      </c>
      <c r="Z171" s="1" t="s">
        <v>3819</v>
      </c>
      <c r="AA171" s="1" t="s">
        <v>3832</v>
      </c>
      <c r="AB171" s="1" t="s">
        <v>3833</v>
      </c>
      <c r="AC171" s="1" t="s">
        <v>3834</v>
      </c>
      <c r="AD171" s="6" t="s">
        <v>3835</v>
      </c>
      <c r="AE171" s="1" t="s">
        <v>3836</v>
      </c>
      <c r="AF171" s="1" t="s">
        <v>3830</v>
      </c>
      <c r="AG171" s="6" t="s">
        <v>3837</v>
      </c>
      <c r="AH171" s="1" t="s">
        <v>3838</v>
      </c>
      <c r="AI171" s="6" t="s">
        <v>132</v>
      </c>
      <c r="AJ171" s="6" t="s">
        <v>3839</v>
      </c>
      <c r="AK171" s="1" t="s">
        <v>3840</v>
      </c>
      <c r="AL171" s="6" t="s">
        <v>3841</v>
      </c>
    </row>
    <row r="172" ht="15.75" customHeight="1">
      <c r="A172" s="1" t="s">
        <v>127</v>
      </c>
      <c r="B172" s="1" t="s">
        <v>3842</v>
      </c>
      <c r="C172" s="1" t="s">
        <v>3843</v>
      </c>
      <c r="D172" s="8" t="s">
        <v>3844</v>
      </c>
      <c r="E172" s="1" t="s">
        <v>3845</v>
      </c>
      <c r="F172" s="6" t="s">
        <v>132</v>
      </c>
      <c r="G172" s="1" t="s">
        <v>3846</v>
      </c>
      <c r="H172" s="1" t="s">
        <v>3847</v>
      </c>
      <c r="I172" s="1" t="s">
        <v>3848</v>
      </c>
      <c r="J172" s="6" t="s">
        <v>3849</v>
      </c>
      <c r="K172" s="1" t="s">
        <v>3850</v>
      </c>
      <c r="L172" s="1" t="s">
        <v>3851</v>
      </c>
      <c r="M172" s="1" t="s">
        <v>3852</v>
      </c>
      <c r="N172" s="6" t="s">
        <v>132</v>
      </c>
      <c r="O172" s="6" t="s">
        <v>3853</v>
      </c>
      <c r="P172" s="1" t="s">
        <v>3854</v>
      </c>
      <c r="Q172" s="1" t="s">
        <v>3855</v>
      </c>
      <c r="R172" s="1" t="s">
        <v>3856</v>
      </c>
      <c r="S172" s="10" t="s">
        <v>3857</v>
      </c>
      <c r="T172" s="1" t="s">
        <v>3858</v>
      </c>
      <c r="U172" s="1" t="s">
        <v>3859</v>
      </c>
      <c r="V172" s="1" t="s">
        <v>3860</v>
      </c>
      <c r="W172" s="1" t="s">
        <v>3861</v>
      </c>
      <c r="X172" s="1" t="s">
        <v>3862</v>
      </c>
      <c r="Y172" s="1" t="s">
        <v>3863</v>
      </c>
      <c r="Z172" s="1" t="s">
        <v>3864</v>
      </c>
      <c r="AA172" s="1" t="s">
        <v>3865</v>
      </c>
      <c r="AB172" s="1" t="s">
        <v>3866</v>
      </c>
      <c r="AC172" s="1" t="s">
        <v>3867</v>
      </c>
      <c r="AD172" s="6" t="s">
        <v>3868</v>
      </c>
      <c r="AE172" s="1" t="s">
        <v>3869</v>
      </c>
      <c r="AF172" s="1" t="s">
        <v>3870</v>
      </c>
      <c r="AG172" s="6" t="s">
        <v>3871</v>
      </c>
      <c r="AH172" s="1" t="s">
        <v>3872</v>
      </c>
      <c r="AI172" s="6" t="s">
        <v>132</v>
      </c>
      <c r="AJ172" s="6" t="s">
        <v>3873</v>
      </c>
      <c r="AK172" s="1" t="s">
        <v>3874</v>
      </c>
      <c r="AL172" s="6" t="s">
        <v>3875</v>
      </c>
    </row>
    <row r="173" ht="15.75" hidden="1" customHeight="1">
      <c r="A173" s="1" t="s">
        <v>38</v>
      </c>
      <c r="B173" s="1" t="s">
        <v>3876</v>
      </c>
      <c r="C173" s="1" t="s">
        <v>3877</v>
      </c>
      <c r="D173" s="8" t="s">
        <v>3878</v>
      </c>
      <c r="E173" s="1" t="s">
        <v>3879</v>
      </c>
      <c r="F173" s="6" t="s">
        <v>3880</v>
      </c>
      <c r="G173" s="7" t="str">
        <f>IFERROR(__xludf.DUMMYFUNCTION("GOOGLETRANSLATE(C173, ""en"", ""cs"")"),"Odesílání% S.")</f>
        <v>Odesílání% S.</v>
      </c>
      <c r="H173" s="7" t="str">
        <f>IFERROR(__xludf.DUMMYFUNCTION("GOOGLETRANSLATE(C173, ""en"", ""da"")"),"Sende% S.")</f>
        <v>Sende% S.</v>
      </c>
      <c r="I173" s="1" t="s">
        <v>3881</v>
      </c>
      <c r="J173" s="6" t="s">
        <v>132</v>
      </c>
      <c r="K173" s="1" t="s">
        <v>3882</v>
      </c>
      <c r="L173" s="7" t="str">
        <f>IFERROR(__xludf.DUMMYFUNCTION("GOOGLETRANSLATE(C173, ""en"", ""fi"")"),"% S")</f>
        <v>% S</v>
      </c>
      <c r="M173" s="1" t="s">
        <v>3883</v>
      </c>
      <c r="N173" s="6" t="s">
        <v>3882</v>
      </c>
      <c r="O173" s="6" t="s">
        <v>132</v>
      </c>
      <c r="P173" s="1" t="s">
        <v>3884</v>
      </c>
      <c r="Q173" s="9" t="s">
        <v>3885</v>
      </c>
      <c r="R173" s="1" t="s">
        <v>3886</v>
      </c>
      <c r="S173" s="6" t="s">
        <v>132</v>
      </c>
      <c r="T173" s="1" t="s">
        <v>3887</v>
      </c>
      <c r="U173" s="1" t="s">
        <v>3888</v>
      </c>
      <c r="V173" s="7" t="str">
        <f>IFERROR(__xludf.DUMMYFUNCTION("GOOGLETRANSLATE(C173, ""en"", ""ms"")"),"Menghantar% S.")</f>
        <v>Menghantar% S.</v>
      </c>
      <c r="W173" s="1" t="s">
        <v>3889</v>
      </c>
      <c r="X173" s="7" t="str">
        <f>IFERROR(__xludf.DUMMYFUNCTION("GOOGLETRANSLATE(C173, ""en"", ""no"")"),"Sende% S.")</f>
        <v>Sende% S.</v>
      </c>
      <c r="Y173" s="1" t="s">
        <v>3890</v>
      </c>
      <c r="Z173" s="1" t="s">
        <v>3882</v>
      </c>
      <c r="AA173" s="7" t="str">
        <f>IFERROR(__xludf.DUMMYFUNCTION("GOOGLETRANSLATE(C173, ""en"", ""ro"")"),"Trimiterea% S.")</f>
        <v>Trimiterea% S.</v>
      </c>
      <c r="AB173" s="1" t="s">
        <v>3891</v>
      </c>
      <c r="AC173" s="1" t="s">
        <v>3892</v>
      </c>
      <c r="AD173" s="6" t="s">
        <v>132</v>
      </c>
      <c r="AE173" s="1" t="s">
        <v>3893</v>
      </c>
      <c r="AF173" s="1" t="s">
        <v>3894</v>
      </c>
      <c r="AG173" s="6" t="s">
        <v>132</v>
      </c>
      <c r="AH173" s="7" t="str">
        <f>IFERROR(__xludf.DUMMYFUNCTION("GOOGLETRANSLATE(C173, ""en"", ""tr"")"),"% S gönderiliyor")</f>
        <v>% S gönderiliyor</v>
      </c>
      <c r="AI173" s="6" t="s">
        <v>3895</v>
      </c>
      <c r="AJ173" s="6" t="s">
        <v>3896</v>
      </c>
      <c r="AK173" s="7" t="str">
        <f>IFERROR(__xludf.DUMMYFUNCTION("GOOGLETRANSLATE(C173, ""en"", ""zh"")"),"发送％s")</f>
        <v>发送％s</v>
      </c>
      <c r="AL173" s="6" t="s">
        <v>3897</v>
      </c>
    </row>
    <row r="174" ht="15.75" hidden="1" customHeight="1">
      <c r="A174" s="1" t="s">
        <v>38</v>
      </c>
      <c r="B174" s="1" t="s">
        <v>3898</v>
      </c>
      <c r="C174" s="1" t="s">
        <v>3899</v>
      </c>
      <c r="D174" s="8" t="s">
        <v>3900</v>
      </c>
      <c r="E174" s="1" t="s">
        <v>3901</v>
      </c>
      <c r="F174" s="6" t="s">
        <v>3902</v>
      </c>
      <c r="G174" s="7" t="str">
        <f>IFERROR(__xludf.DUMMYFUNCTION("GOOGLETRANSLATE(C174, ""en"", ""cs"")"),"Chybějící internetové povolení")</f>
        <v>Chybějící internetové povolení</v>
      </c>
      <c r="H174" s="7" t="str">
        <f>IFERROR(__xludf.DUMMYFUNCTION("GOOGLETRANSLATE(C174, ""en"", ""da"")"),"Manglende internettilladelse")</f>
        <v>Manglende internettilladelse</v>
      </c>
      <c r="I174" s="1" t="s">
        <v>3903</v>
      </c>
      <c r="J174" s="6" t="s">
        <v>132</v>
      </c>
      <c r="K174" s="1" t="s">
        <v>3904</v>
      </c>
      <c r="L174" s="7" t="str">
        <f>IFERROR(__xludf.DUMMYFUNCTION("GOOGLETRANSLATE(C174, ""en"", ""fi"")"),"Puuttuva Internet-lupa")</f>
        <v>Puuttuva Internet-lupa</v>
      </c>
      <c r="M174" s="1" t="s">
        <v>3905</v>
      </c>
      <c r="N174" s="6" t="s">
        <v>3906</v>
      </c>
      <c r="O174" s="6" t="s">
        <v>132</v>
      </c>
      <c r="P174" s="1" t="s">
        <v>3907</v>
      </c>
      <c r="Q174" s="7" t="str">
        <f>IFERROR(__xludf.DUMMYFUNCTION("GOOGLETRANSLATE(C174, ""en"", ""in"")"),"Izin internet yang hilang")</f>
        <v>Izin internet yang hilang</v>
      </c>
      <c r="R174" s="1" t="s">
        <v>3908</v>
      </c>
      <c r="S174" s="6" t="s">
        <v>132</v>
      </c>
      <c r="T174" s="1" t="s">
        <v>3909</v>
      </c>
      <c r="U174" s="1" t="s">
        <v>3910</v>
      </c>
      <c r="V174" s="7" t="str">
        <f>IFERROR(__xludf.DUMMYFUNCTION("GOOGLETRANSLATE(C174, ""en"", ""ms"")"),"Hilang kebenaran internet")</f>
        <v>Hilang kebenaran internet</v>
      </c>
      <c r="W174" s="1" t="s">
        <v>3911</v>
      </c>
      <c r="X174" s="7" t="str">
        <f>IFERROR(__xludf.DUMMYFUNCTION("GOOGLETRANSLATE(C174, ""en"", ""no"")"),"Manglende Internett-tillatelse")</f>
        <v>Manglende Internett-tillatelse</v>
      </c>
      <c r="Y174" s="1" t="s">
        <v>3912</v>
      </c>
      <c r="Z174" s="7" t="str">
        <f>IFERROR(__xludf.DUMMYFUNCTION("GOOGLETRANSLATE(C174, ""en"", ""pt"")"),"Permissão ausente da Internet")</f>
        <v>Permissão ausente da Internet</v>
      </c>
      <c r="AA174" s="7" t="str">
        <f>IFERROR(__xludf.DUMMYFUNCTION("GOOGLETRANSLATE(C174, ""en"", ""ro"")"),"Lipsesc permisiunea de internet")</f>
        <v>Lipsesc permisiunea de internet</v>
      </c>
      <c r="AB174" s="1" t="s">
        <v>3913</v>
      </c>
      <c r="AC174" s="7" t="str">
        <f>IFERROR(__xludf.DUMMYFUNCTION("GOOGLETRANSLATE(C174, ""en"", ""sk"")"),"Chýbajúce internetové povolenie")</f>
        <v>Chýbajúce internetové povolenie</v>
      </c>
      <c r="AD174" s="6" t="s">
        <v>132</v>
      </c>
      <c r="AE174" s="1" t="s">
        <v>3914</v>
      </c>
      <c r="AF174" s="1" t="s">
        <v>3915</v>
      </c>
      <c r="AG174" s="6" t="s">
        <v>132</v>
      </c>
      <c r="AH174" s="7" t="str">
        <f>IFERROR(__xludf.DUMMYFUNCTION("GOOGLETRANSLATE(C174, ""en"", ""tr"")"),"Eksik İnternet İzni")</f>
        <v>Eksik İnternet İzni</v>
      </c>
      <c r="AI174" s="6" t="s">
        <v>3916</v>
      </c>
      <c r="AJ174" s="6" t="s">
        <v>132</v>
      </c>
      <c r="AK174" s="7" t="str">
        <f>IFERROR(__xludf.DUMMYFUNCTION("GOOGLETRANSLATE(C174, ""en"", ""zh"")"),"缺少互联网许可")</f>
        <v>缺少互联网许可</v>
      </c>
      <c r="AL174" s="6" t="s">
        <v>3917</v>
      </c>
    </row>
    <row r="175" ht="15.75" hidden="1" customHeight="1">
      <c r="A175" s="1" t="s">
        <v>38</v>
      </c>
      <c r="B175" s="1" t="s">
        <v>3918</v>
      </c>
      <c r="C175" s="1" t="s">
        <v>3919</v>
      </c>
      <c r="D175" s="7" t="str">
        <f>IFERROR(__xludf.DUMMYFUNCTION("GOOGLETRANSLATE(C175, ""en"", ""ar"")"),"سفالبارد وجان جزر مايو")</f>
        <v>سفالبارد وجان جزر مايو</v>
      </c>
      <c r="E175" s="7" t="str">
        <f>IFERROR(__xludf.DUMMYFUNCTION("GOOGLETRANSLATE(C175, ""en"", ""bg"")"),"Свалбард и островите Ян Майен")</f>
        <v>Свалбард и островите Ян Майен</v>
      </c>
      <c r="F175" s="6" t="s">
        <v>132</v>
      </c>
      <c r="G175" s="7" t="str">
        <f>IFERROR(__xludf.DUMMYFUNCTION("GOOGLETRANSLATE(C175, ""en"", ""cs"")"),"Svalbard a Jan Mayenovy ostrovy")</f>
        <v>Svalbard a Jan Mayenovy ostrovy</v>
      </c>
      <c r="H175" s="7" t="str">
        <f>IFERROR(__xludf.DUMMYFUNCTION("GOOGLETRANSLATE(C175, ""en"", ""da"")"),"Svalbard og Jan Mayen øer")</f>
        <v>Svalbard og Jan Mayen øer</v>
      </c>
      <c r="I175" s="1" t="s">
        <v>3920</v>
      </c>
      <c r="J175" s="6" t="s">
        <v>132</v>
      </c>
      <c r="K175" s="1" t="s">
        <v>3921</v>
      </c>
      <c r="L175" s="7" t="str">
        <f>IFERROR(__xludf.DUMMYFUNCTION("GOOGLETRANSLATE(C175, ""en"", ""fi"")"),"Svalbard ja Jan Mayensaaret")</f>
        <v>Svalbard ja Jan Mayensaaret</v>
      </c>
      <c r="M175" s="1" t="s">
        <v>3922</v>
      </c>
      <c r="N175" s="6" t="s">
        <v>132</v>
      </c>
      <c r="O175" s="6" t="s">
        <v>132</v>
      </c>
      <c r="P175" s="1" t="s">
        <v>3919</v>
      </c>
      <c r="Q175" s="7" t="str">
        <f>IFERROR(__xludf.DUMMYFUNCTION("GOOGLETRANSLATE(C175, ""en"", ""in"")"),"Svalbard dan Kepulauan Jan Mayen")</f>
        <v>Svalbard dan Kepulauan Jan Mayen</v>
      </c>
      <c r="R175" s="7" t="str">
        <f>IFERROR(__xludf.DUMMYFUNCTION("GOOGLETRANSLATE(C175, ""en"", ""it"")"),"Svalbard e Jan Mayen Islands")</f>
        <v>Svalbard e Jan Mayen Islands</v>
      </c>
      <c r="S175" s="6" t="s">
        <v>132</v>
      </c>
      <c r="T175" s="7" t="str">
        <f>IFERROR(__xludf.DUMMYFUNCTION("GOOGLETRANSLATE(C175, ""en"", ""ja"")"),"SvalbardとJan Mayen Irands")</f>
        <v>SvalbardとJan Mayen Irands</v>
      </c>
      <c r="U175" s="7" t="str">
        <f>IFERROR(__xludf.DUMMYFUNCTION("GOOGLETRANSLATE(C175, ""en"", ""ko"")"),"Svalbard와 Jan Mayen Islands.")</f>
        <v>Svalbard와 Jan Mayen Islands.</v>
      </c>
      <c r="V175" s="7" t="str">
        <f>IFERROR(__xludf.DUMMYFUNCTION("GOOGLETRANSLATE(C175, ""en"", ""ms"")"),"Svalbard dan Jan Mayen Islands")</f>
        <v>Svalbard dan Jan Mayen Islands</v>
      </c>
      <c r="W175" s="7" t="str">
        <f>IFERROR(__xludf.DUMMYFUNCTION("GOOGLETRANSLATE(C175, ""en"", ""nl"")"),"Svalbard en Jan Mayen-eilanden")</f>
        <v>Svalbard en Jan Mayen-eilanden</v>
      </c>
      <c r="X175" s="7" t="str">
        <f>IFERROR(__xludf.DUMMYFUNCTION("GOOGLETRANSLATE(C175, ""en"", ""no"")"),"Svalbard og Jan Mayen Islands")</f>
        <v>Svalbard og Jan Mayen Islands</v>
      </c>
      <c r="Y175" s="7" t="str">
        <f>IFERROR(__xludf.DUMMYFUNCTION("GOOGLETRANSLATE(C175, ""en"", ""pl"")"),"Wyspy Svalbard i Jan Mayen")</f>
        <v>Wyspy Svalbard i Jan Mayen</v>
      </c>
      <c r="Z175" s="7" t="str">
        <f>IFERROR(__xludf.DUMMYFUNCTION("GOOGLETRANSLATE(C175, ""en"", ""pt"")"),"Svalbard e Jan Mayen Islands")</f>
        <v>Svalbard e Jan Mayen Islands</v>
      </c>
      <c r="AA175" s="7" t="str">
        <f>IFERROR(__xludf.DUMMYFUNCTION("GOOGLETRANSLATE(C175, ""en"", ""ro"")"),"Svalbard și Jan Mayen Insulele")</f>
        <v>Svalbard și Jan Mayen Insulele</v>
      </c>
      <c r="AB175" s="1" t="s">
        <v>3923</v>
      </c>
      <c r="AC175" s="7" t="str">
        <f>IFERROR(__xludf.DUMMYFUNCTION("GOOGLETRANSLATE(C175, ""en"", ""sk"")"),"SVALBARD A JAN Mayen Islands")</f>
        <v>SVALBARD A JAN Mayen Islands</v>
      </c>
      <c r="AD175" s="6" t="s">
        <v>132</v>
      </c>
      <c r="AE175" s="1" t="s">
        <v>3924</v>
      </c>
      <c r="AF175" s="7" t="str">
        <f>IFERROR(__xludf.DUMMYFUNCTION("GOOGLETRANSLATE(C175, ""en"", ""sv"")"),"Svalbard och Jan Mayen Islands")</f>
        <v>Svalbard och Jan Mayen Islands</v>
      </c>
      <c r="AG175" s="6" t="s">
        <v>132</v>
      </c>
      <c r="AH175" s="7" t="str">
        <f>IFERROR(__xludf.DUMMYFUNCTION("GOOGLETRANSLATE(C175, ""en"", ""tr"")"),"Svalbard ve Jan Mayen Adaları")</f>
        <v>Svalbard ve Jan Mayen Adaları</v>
      </c>
      <c r="AI175" s="6" t="s">
        <v>132</v>
      </c>
      <c r="AJ175" s="6" t="s">
        <v>132</v>
      </c>
      <c r="AK175" s="7" t="str">
        <f>IFERROR(__xludf.DUMMYFUNCTION("GOOGLETRANSLATE(C175, ""en"", ""zh"")"),"Svalbard和Jan Mayen Islands")</f>
        <v>Svalbard和Jan Mayen Islands</v>
      </c>
      <c r="AL175" s="6" t="s">
        <v>132</v>
      </c>
    </row>
    <row r="176" ht="15.75" hidden="1" customHeight="1">
      <c r="A176" s="1" t="s">
        <v>38</v>
      </c>
      <c r="B176" s="1" t="s">
        <v>3925</v>
      </c>
      <c r="C176" s="1" t="s">
        <v>3926</v>
      </c>
      <c r="D176" s="8" t="s">
        <v>3927</v>
      </c>
      <c r="E176" s="1" t="s">
        <v>3928</v>
      </c>
      <c r="F176" s="6" t="s">
        <v>3336</v>
      </c>
      <c r="G176" s="7" t="str">
        <f>IFERROR(__xludf.DUMMYFUNCTION("GOOGLETRANSLATE(C176, ""en"", ""cs"")"),"Není dostupný")</f>
        <v>Není dostupný</v>
      </c>
      <c r="H176" s="7" t="str">
        <f>IFERROR(__xludf.DUMMYFUNCTION("GOOGLETRANSLATE(C176, ""en"", ""da"")"),"Ikke tilgængelig")</f>
        <v>Ikke tilgængelig</v>
      </c>
      <c r="I176" s="1" t="s">
        <v>3929</v>
      </c>
      <c r="J176" s="6" t="s">
        <v>132</v>
      </c>
      <c r="K176" s="1" t="s">
        <v>3336</v>
      </c>
      <c r="L176" s="7" t="str">
        <f>IFERROR(__xludf.DUMMYFUNCTION("GOOGLETRANSLATE(C176, ""en"", ""fi"")"),"Ei saatavilla")</f>
        <v>Ei saatavilla</v>
      </c>
      <c r="M176" s="1" t="s">
        <v>3930</v>
      </c>
      <c r="N176" s="6" t="s">
        <v>3931</v>
      </c>
      <c r="O176" s="6" t="s">
        <v>132</v>
      </c>
      <c r="P176" s="1" t="s">
        <v>3932</v>
      </c>
      <c r="Q176" s="9" t="s">
        <v>3933</v>
      </c>
      <c r="R176" s="1" t="s">
        <v>3934</v>
      </c>
      <c r="S176" s="6" t="s">
        <v>132</v>
      </c>
      <c r="T176" s="1" t="s">
        <v>3344</v>
      </c>
      <c r="U176" s="1" t="s">
        <v>3935</v>
      </c>
      <c r="V176" s="7" t="str">
        <f>IFERROR(__xludf.DUMMYFUNCTION("GOOGLETRANSLATE(C176, ""en"", ""ms"")"),"Tidak tersedia")</f>
        <v>Tidak tersedia</v>
      </c>
      <c r="W176" s="1" t="s">
        <v>3936</v>
      </c>
      <c r="X176" s="7" t="str">
        <f>IFERROR(__xludf.DUMMYFUNCTION("GOOGLETRANSLATE(C176, ""en"", ""no"")"),"Ikke tilgjengelig")</f>
        <v>Ikke tilgjengelig</v>
      </c>
      <c r="Y176" s="1" t="s">
        <v>3937</v>
      </c>
      <c r="Z176" s="1" t="s">
        <v>3938</v>
      </c>
      <c r="AA176" s="7" t="str">
        <f>IFERROR(__xludf.DUMMYFUNCTION("GOOGLETRANSLATE(C176, ""en"", ""ro"")"),"Nu este disponibil")</f>
        <v>Nu este disponibil</v>
      </c>
      <c r="AB176" s="1" t="s">
        <v>3939</v>
      </c>
      <c r="AC176" s="7" t="str">
        <f>IFERROR(__xludf.DUMMYFUNCTION("GOOGLETRANSLATE(C176, ""en"", ""sk"")"),"Nie je k dispozícií")</f>
        <v>Nie je k dispozícií</v>
      </c>
      <c r="AD176" s="6" t="s">
        <v>132</v>
      </c>
      <c r="AE176" s="1" t="s">
        <v>3940</v>
      </c>
      <c r="AF176" s="1" t="s">
        <v>3941</v>
      </c>
      <c r="AG176" s="6" t="s">
        <v>132</v>
      </c>
      <c r="AH176" s="7" t="str">
        <f>IFERROR(__xludf.DUMMYFUNCTION("GOOGLETRANSLATE(C176, ""en"", ""tr"")"),"Müsait değil")</f>
        <v>Müsait değil</v>
      </c>
      <c r="AI176" s="6" t="s">
        <v>3942</v>
      </c>
      <c r="AJ176" s="6" t="s">
        <v>132</v>
      </c>
      <c r="AK176" s="7" t="str">
        <f>IFERROR(__xludf.DUMMYFUNCTION("GOOGLETRANSLATE(C176, ""en"", ""zh"")"),"无法使用")</f>
        <v>无法使用</v>
      </c>
      <c r="AL176" s="6" t="s">
        <v>3943</v>
      </c>
    </row>
    <row r="177" ht="15.75" hidden="1" customHeight="1">
      <c r="A177" s="1" t="s">
        <v>38</v>
      </c>
      <c r="B177" s="1" t="s">
        <v>3944</v>
      </c>
      <c r="C177" s="1" t="s">
        <v>3945</v>
      </c>
      <c r="D177" s="7" t="str">
        <f>IFERROR(__xludf.DUMMYFUNCTION("GOOGLETRANSLATE(C177, ""en"", ""ar"")"),"عالية (720P)")</f>
        <v>عالية (720P)</v>
      </c>
      <c r="E177" s="1" t="s">
        <v>3946</v>
      </c>
      <c r="F177" s="6" t="s">
        <v>132</v>
      </c>
      <c r="G177" s="7" t="str">
        <f>IFERROR(__xludf.DUMMYFUNCTION("GOOGLETRANSLATE(C177, ""en"", ""cs"")"),"Vysoký (720p)")</f>
        <v>Vysoký (720p)</v>
      </c>
      <c r="H177" s="7" t="str">
        <f>IFERROR(__xludf.DUMMYFUNCTION("GOOGLETRANSLATE(C177, ""en"", ""da"")"),"Høj (720p)")</f>
        <v>Høj (720p)</v>
      </c>
      <c r="I177" s="1" t="s">
        <v>3947</v>
      </c>
      <c r="J177" s="6" t="s">
        <v>132</v>
      </c>
      <c r="K177" s="1" t="s">
        <v>3948</v>
      </c>
      <c r="L177" s="7" t="str">
        <f>IFERROR(__xludf.DUMMYFUNCTION("GOOGLETRANSLATE(C177, ""en"", ""fi"")"),"Korkea (720p)")</f>
        <v>Korkea (720p)</v>
      </c>
      <c r="M177" s="1" t="s">
        <v>3949</v>
      </c>
      <c r="N177" s="6" t="s">
        <v>3948</v>
      </c>
      <c r="O177" s="6" t="s">
        <v>132</v>
      </c>
      <c r="P177" s="1" t="s">
        <v>3950</v>
      </c>
      <c r="Q177" s="7" t="str">
        <f>IFERROR(__xludf.DUMMYFUNCTION("GOOGLETRANSLATE(C177, ""en"", ""in"")"),"Tinggi (720p)")</f>
        <v>Tinggi (720p)</v>
      </c>
      <c r="R177" s="1" t="s">
        <v>3948</v>
      </c>
      <c r="S177" s="6" t="s">
        <v>132</v>
      </c>
      <c r="T177" s="7" t="str">
        <f>IFERROR(__xludf.DUMMYFUNCTION("GOOGLETRANSLATE(C177, ""en"", ""ja"")"),"高（720p）")</f>
        <v>高（720p）</v>
      </c>
      <c r="U177" s="7" t="str">
        <f>IFERROR(__xludf.DUMMYFUNCTION("GOOGLETRANSLATE(C177, ""en"", ""ko"")"),"높은 (720p)")</f>
        <v>높은 (720p)</v>
      </c>
      <c r="V177" s="7" t="str">
        <f>IFERROR(__xludf.DUMMYFUNCTION("GOOGLETRANSLATE(C177, ""en"", ""ms"")"),"Tinggi (720p)")</f>
        <v>Tinggi (720p)</v>
      </c>
      <c r="W177" s="1" t="s">
        <v>3951</v>
      </c>
      <c r="X177" s="7" t="str">
        <f>IFERROR(__xludf.DUMMYFUNCTION("GOOGLETRANSLATE(C177, ""en"", ""no"")"),"Høy (720p)")</f>
        <v>Høy (720p)</v>
      </c>
      <c r="Y177" s="1" t="s">
        <v>3952</v>
      </c>
      <c r="Z177" s="7" t="str">
        <f>IFERROR(__xludf.DUMMYFUNCTION("GOOGLETRANSLATE(C177, ""en"", ""pt"")"),"Alta (720p)")</f>
        <v>Alta (720p)</v>
      </c>
      <c r="AA177" s="7" t="str">
        <f>IFERROR(__xludf.DUMMYFUNCTION("GOOGLETRANSLATE(C177, ""en"", ""ro"")"),"Mare (720p)")</f>
        <v>Mare (720p)</v>
      </c>
      <c r="AB177" s="7" t="str">
        <f>IFERROR(__xludf.DUMMYFUNCTION("GOOGLETRANSLATE(C177, ""en"", ""ru"")"),"Высокий (720р)")</f>
        <v>Высокий (720р)</v>
      </c>
      <c r="AC177" s="7" t="str">
        <f>IFERROR(__xludf.DUMMYFUNCTION("GOOGLETRANSLATE(C177, ""en"", ""sk"")"),"Vysoká (720p)")</f>
        <v>Vysoká (720p)</v>
      </c>
      <c r="AD177" s="6" t="s">
        <v>132</v>
      </c>
      <c r="AE177" s="7" t="str">
        <f>IFERROR(__xludf.DUMMYFUNCTION("GOOGLETRANSLATE(C177, ""en"", ""sr"")"),"Хигх (720п)")</f>
        <v>Хигх (720п)</v>
      </c>
      <c r="AF177" s="7" t="str">
        <f>IFERROR(__xludf.DUMMYFUNCTION("GOOGLETRANSLATE(C177, ""en"", ""sv"")"),"Hög (720p)")</f>
        <v>Hög (720p)</v>
      </c>
      <c r="AG177" s="6" t="s">
        <v>132</v>
      </c>
      <c r="AH177" s="7" t="str">
        <f>IFERROR(__xludf.DUMMYFUNCTION("GOOGLETRANSLATE(C177, ""en"", ""tr"")"),"Yüksek (720p)")</f>
        <v>Yüksek (720p)</v>
      </c>
      <c r="AI177" s="6" t="s">
        <v>132</v>
      </c>
      <c r="AJ177" s="6" t="s">
        <v>132</v>
      </c>
      <c r="AK177" s="7" t="str">
        <f>IFERROR(__xludf.DUMMYFUNCTION("GOOGLETRANSLATE(C177, ""en"", ""zh"")"),"高（720p）")</f>
        <v>高（720p）</v>
      </c>
      <c r="AL177" s="6" t="s">
        <v>132</v>
      </c>
    </row>
    <row r="178" ht="15.75" customHeight="1">
      <c r="A178" s="1" t="s">
        <v>127</v>
      </c>
      <c r="B178" s="1" t="s">
        <v>3953</v>
      </c>
      <c r="C178" s="1" t="s">
        <v>3954</v>
      </c>
      <c r="D178" s="8" t="s">
        <v>3955</v>
      </c>
      <c r="E178" s="1" t="s">
        <v>3956</v>
      </c>
      <c r="F178" s="6" t="s">
        <v>132</v>
      </c>
      <c r="G178" s="1" t="s">
        <v>3957</v>
      </c>
      <c r="H178" s="1" t="s">
        <v>3958</v>
      </c>
      <c r="I178" s="1" t="s">
        <v>3959</v>
      </c>
      <c r="J178" s="6" t="s">
        <v>3960</v>
      </c>
      <c r="K178" s="1" t="s">
        <v>3961</v>
      </c>
      <c r="L178" s="1" t="s">
        <v>3962</v>
      </c>
      <c r="M178" s="1" t="s">
        <v>3963</v>
      </c>
      <c r="N178" s="6" t="s">
        <v>132</v>
      </c>
      <c r="O178" s="6" t="s">
        <v>3964</v>
      </c>
      <c r="P178" s="1" t="s">
        <v>3965</v>
      </c>
      <c r="Q178" s="1" t="s">
        <v>3966</v>
      </c>
      <c r="R178" s="1" t="s">
        <v>3967</v>
      </c>
      <c r="S178" s="10" t="s">
        <v>3968</v>
      </c>
      <c r="T178" s="1" t="s">
        <v>3969</v>
      </c>
      <c r="U178" s="1" t="s">
        <v>3970</v>
      </c>
      <c r="V178" s="1" t="s">
        <v>3966</v>
      </c>
      <c r="W178" s="1" t="s">
        <v>3971</v>
      </c>
      <c r="X178" s="1" t="s">
        <v>3972</v>
      </c>
      <c r="Y178" s="1" t="s">
        <v>3973</v>
      </c>
      <c r="Z178" s="1" t="s">
        <v>3974</v>
      </c>
      <c r="AA178" s="1" t="s">
        <v>3975</v>
      </c>
      <c r="AB178" s="1" t="s">
        <v>3976</v>
      </c>
      <c r="AC178" s="1" t="s">
        <v>3977</v>
      </c>
      <c r="AD178" s="6" t="s">
        <v>3978</v>
      </c>
      <c r="AE178" s="1" t="s">
        <v>3979</v>
      </c>
      <c r="AF178" s="1" t="s">
        <v>3980</v>
      </c>
      <c r="AG178" s="6" t="s">
        <v>3981</v>
      </c>
      <c r="AH178" s="1" t="s">
        <v>3982</v>
      </c>
      <c r="AI178" s="6" t="s">
        <v>132</v>
      </c>
      <c r="AJ178" s="6" t="s">
        <v>3983</v>
      </c>
      <c r="AK178" s="1" t="s">
        <v>3984</v>
      </c>
      <c r="AL178" s="6" t="s">
        <v>3985</v>
      </c>
    </row>
    <row r="179" ht="15.75" hidden="1" customHeight="1">
      <c r="A179" s="1" t="s">
        <v>38</v>
      </c>
      <c r="B179" s="1" t="s">
        <v>3986</v>
      </c>
      <c r="C179" s="1" t="s">
        <v>3987</v>
      </c>
      <c r="D179" s="8" t="s">
        <v>3988</v>
      </c>
      <c r="E179" s="1" t="s">
        <v>3989</v>
      </c>
      <c r="F179" s="6" t="s">
        <v>3990</v>
      </c>
      <c r="G179" s="7" t="str">
        <f>IFERROR(__xludf.DUMMYFUNCTION("GOOGLETRANSLATE(C179, ""en"", ""cs"")"),"Potvrďte zprávy")</f>
        <v>Potvrďte zprávy</v>
      </c>
      <c r="H179" s="7" t="str">
        <f>IFERROR(__xludf.DUMMYFUNCTION("GOOGLETRANSLATE(C179, ""en"", ""da"")"),"Bekræft beskeder.")</f>
        <v>Bekræft beskeder.</v>
      </c>
      <c r="I179" s="1" t="s">
        <v>3991</v>
      </c>
      <c r="J179" s="6" t="s">
        <v>132</v>
      </c>
      <c r="K179" s="1" t="s">
        <v>3992</v>
      </c>
      <c r="L179" s="7" t="str">
        <f>IFERROR(__xludf.DUMMYFUNCTION("GOOGLETRANSLATE(C179, ""en"", ""fi"")"),"Vahvista viestit")</f>
        <v>Vahvista viestit</v>
      </c>
      <c r="M179" s="1" t="s">
        <v>3993</v>
      </c>
      <c r="N179" s="6" t="s">
        <v>3994</v>
      </c>
      <c r="O179" s="6" t="s">
        <v>132</v>
      </c>
      <c r="P179" s="1" t="s">
        <v>3995</v>
      </c>
      <c r="Q179" s="9" t="s">
        <v>3996</v>
      </c>
      <c r="R179" s="1" t="s">
        <v>3997</v>
      </c>
      <c r="S179" s="6" t="s">
        <v>132</v>
      </c>
      <c r="T179" s="1" t="s">
        <v>3998</v>
      </c>
      <c r="U179" s="1" t="s">
        <v>3999</v>
      </c>
      <c r="V179" s="7" t="str">
        <f>IFERROR(__xludf.DUMMYFUNCTION("GOOGLETRANSLATE(C179, ""en"", ""ms"")"),"Sahkan mesej")</f>
        <v>Sahkan mesej</v>
      </c>
      <c r="W179" s="1" t="s">
        <v>4000</v>
      </c>
      <c r="X179" s="7" t="str">
        <f>IFERROR(__xludf.DUMMYFUNCTION("GOOGLETRANSLATE(C179, ""en"", ""no"")"),"Bekreft meldinger")</f>
        <v>Bekreft meldinger</v>
      </c>
      <c r="Y179" s="1" t="s">
        <v>4001</v>
      </c>
      <c r="Z179" s="1" t="s">
        <v>4002</v>
      </c>
      <c r="AA179" s="7" t="str">
        <f>IFERROR(__xludf.DUMMYFUNCTION("GOOGLETRANSLATE(C179, ""en"", ""ro"")"),"Confirmați mesajele")</f>
        <v>Confirmați mesajele</v>
      </c>
      <c r="AB179" s="1" t="s">
        <v>4003</v>
      </c>
      <c r="AC179" s="1" t="s">
        <v>4004</v>
      </c>
      <c r="AD179" s="6" t="s">
        <v>132</v>
      </c>
      <c r="AE179" s="1" t="s">
        <v>4005</v>
      </c>
      <c r="AF179" s="1" t="s">
        <v>4006</v>
      </c>
      <c r="AG179" s="6" t="s">
        <v>132</v>
      </c>
      <c r="AH179" s="7" t="str">
        <f>IFERROR(__xludf.DUMMYFUNCTION("GOOGLETRANSLATE(C179, ""en"", ""tr"")"),"Mesajları onayla")</f>
        <v>Mesajları onayla</v>
      </c>
      <c r="AI179" s="6" t="s">
        <v>4007</v>
      </c>
      <c r="AJ179" s="6" t="s">
        <v>4008</v>
      </c>
      <c r="AK179" s="7" t="str">
        <f>IFERROR(__xludf.DUMMYFUNCTION("GOOGLETRANSLATE(C179, ""en"", ""zh"")"),"确认消息")</f>
        <v>确认消息</v>
      </c>
      <c r="AL179" s="6" t="s">
        <v>4009</v>
      </c>
    </row>
    <row r="180" ht="15.75" customHeight="1">
      <c r="A180" s="1" t="s">
        <v>127</v>
      </c>
      <c r="B180" s="1" t="s">
        <v>4010</v>
      </c>
      <c r="C180" s="1" t="s">
        <v>4011</v>
      </c>
      <c r="D180" s="8" t="s">
        <v>4012</v>
      </c>
      <c r="E180" s="1" t="s">
        <v>4013</v>
      </c>
      <c r="F180" s="6" t="s">
        <v>132</v>
      </c>
      <c r="G180" s="1" t="s">
        <v>4011</v>
      </c>
      <c r="H180" s="1" t="s">
        <v>4014</v>
      </c>
      <c r="I180" s="1" t="s">
        <v>4011</v>
      </c>
      <c r="J180" s="6" t="s">
        <v>4015</v>
      </c>
      <c r="K180" s="1" t="s">
        <v>4016</v>
      </c>
      <c r="L180" s="1" t="s">
        <v>4017</v>
      </c>
      <c r="M180" s="1" t="s">
        <v>4018</v>
      </c>
      <c r="N180" s="6" t="s">
        <v>132</v>
      </c>
      <c r="O180" s="6" t="s">
        <v>4019</v>
      </c>
      <c r="P180" s="1" t="s">
        <v>4011</v>
      </c>
      <c r="Q180" s="1" t="s">
        <v>4014</v>
      </c>
      <c r="R180" s="1" t="s">
        <v>4018</v>
      </c>
      <c r="S180" s="10" t="s">
        <v>4020</v>
      </c>
      <c r="T180" s="1" t="s">
        <v>4021</v>
      </c>
      <c r="U180" s="1" t="s">
        <v>4022</v>
      </c>
      <c r="V180" s="1" t="s">
        <v>4014</v>
      </c>
      <c r="W180" s="1" t="s">
        <v>4011</v>
      </c>
      <c r="X180" s="1" t="s">
        <v>4014</v>
      </c>
      <c r="Y180" s="1" t="s">
        <v>4014</v>
      </c>
      <c r="Z180" s="1" t="s">
        <v>4016</v>
      </c>
      <c r="AA180" s="1" t="s">
        <v>4011</v>
      </c>
      <c r="AB180" s="1" t="s">
        <v>4023</v>
      </c>
      <c r="AC180" s="1" t="s">
        <v>4011</v>
      </c>
      <c r="AD180" s="6" t="s">
        <v>4014</v>
      </c>
      <c r="AE180" s="1" t="s">
        <v>4014</v>
      </c>
      <c r="AF180" s="1" t="s">
        <v>4011</v>
      </c>
      <c r="AG180" s="6" t="s">
        <v>4024</v>
      </c>
      <c r="AH180" s="1" t="s">
        <v>4025</v>
      </c>
      <c r="AI180" s="6" t="s">
        <v>132</v>
      </c>
      <c r="AJ180" s="6" t="s">
        <v>4026</v>
      </c>
      <c r="AK180" s="1" t="s">
        <v>4027</v>
      </c>
      <c r="AL180" s="6" t="s">
        <v>4028</v>
      </c>
    </row>
    <row r="181" ht="15.75" hidden="1" customHeight="1">
      <c r="A181" s="1" t="s">
        <v>38</v>
      </c>
      <c r="B181" s="1" t="s">
        <v>4029</v>
      </c>
      <c r="C181" s="1" t="s">
        <v>4030</v>
      </c>
      <c r="D181" s="8" t="s">
        <v>4031</v>
      </c>
      <c r="E181" s="1" t="s">
        <v>4032</v>
      </c>
      <c r="F181" s="6" t="s">
        <v>4033</v>
      </c>
      <c r="G181" s="7" t="str">
        <f>IFERROR(__xludf.DUMMYFUNCTION("GOOGLETRANSLATE(C181, ""en"", ""cs"")"),"Odblokovat kontakt")</f>
        <v>Odblokovat kontakt</v>
      </c>
      <c r="H181" s="7" t="str">
        <f>IFERROR(__xludf.DUMMYFUNCTION("GOOGLETRANSLATE(C181, ""en"", ""da"")"),"Unblock kontakt")</f>
        <v>Unblock kontakt</v>
      </c>
      <c r="I181" s="1" t="s">
        <v>4034</v>
      </c>
      <c r="J181" s="6" t="s">
        <v>132</v>
      </c>
      <c r="K181" s="1" t="s">
        <v>4035</v>
      </c>
      <c r="L181" s="7" t="str">
        <f>IFERROR(__xludf.DUMMYFUNCTION("GOOGLETRANSLATE(C181, ""en"", ""fi"")"),"Unblock Yhteystiedot")</f>
        <v>Unblock Yhteystiedot</v>
      </c>
      <c r="M181" s="1" t="s">
        <v>4036</v>
      </c>
      <c r="N181" s="6" t="s">
        <v>4035</v>
      </c>
      <c r="O181" s="6" t="s">
        <v>132</v>
      </c>
      <c r="P181" s="1" t="s">
        <v>4037</v>
      </c>
      <c r="Q181" s="9" t="s">
        <v>4038</v>
      </c>
      <c r="R181" s="1" t="s">
        <v>4039</v>
      </c>
      <c r="S181" s="6" t="s">
        <v>132</v>
      </c>
      <c r="T181" s="1" t="s">
        <v>4040</v>
      </c>
      <c r="U181" s="1" t="s">
        <v>4041</v>
      </c>
      <c r="V181" s="7" t="str">
        <f>IFERROR(__xludf.DUMMYFUNCTION("GOOGLETRANSLATE(C181, ""en"", ""ms"")"),"Nyahsekat Hubungan")</f>
        <v>Nyahsekat Hubungan</v>
      </c>
      <c r="W181" s="1" t="s">
        <v>4042</v>
      </c>
      <c r="X181" s="7" t="str">
        <f>IFERROR(__xludf.DUMMYFUNCTION("GOOGLETRANSLATE(C181, ""en"", ""no"")"),"Unblock kontakt")</f>
        <v>Unblock kontakt</v>
      </c>
      <c r="Y181" s="1" t="s">
        <v>4043</v>
      </c>
      <c r="Z181" s="1" t="s">
        <v>4035</v>
      </c>
      <c r="AA181" s="7" t="str">
        <f>IFERROR(__xludf.DUMMYFUNCTION("GOOGLETRANSLATE(C181, ""en"", ""ro"")"),"Deblocați contact")</f>
        <v>Deblocați contact</v>
      </c>
      <c r="AB181" s="1" t="s">
        <v>4044</v>
      </c>
      <c r="AC181" s="1" t="s">
        <v>4045</v>
      </c>
      <c r="AD181" s="6" t="s">
        <v>132</v>
      </c>
      <c r="AE181" s="1" t="s">
        <v>4046</v>
      </c>
      <c r="AF181" s="1" t="s">
        <v>4047</v>
      </c>
      <c r="AG181" s="6" t="s">
        <v>132</v>
      </c>
      <c r="AH181" s="7" t="str">
        <f>IFERROR(__xludf.DUMMYFUNCTION("GOOGLETRANSLATE(C181, ""en"", ""tr"")"),"Temas bağlantısını kaldır")</f>
        <v>Temas bağlantısını kaldır</v>
      </c>
      <c r="AI181" s="6" t="s">
        <v>4048</v>
      </c>
      <c r="AJ181" s="6" t="s">
        <v>4049</v>
      </c>
      <c r="AK181" s="7" t="str">
        <f>IFERROR(__xludf.DUMMYFUNCTION("GOOGLETRANSLATE(C181, ""en"", ""zh"")"),"解锁联系人")</f>
        <v>解锁联系人</v>
      </c>
      <c r="AL181" s="6" t="s">
        <v>4050</v>
      </c>
    </row>
    <row r="182" ht="15.75" customHeight="1">
      <c r="A182" s="1" t="s">
        <v>4051</v>
      </c>
      <c r="B182" s="1" t="s">
        <v>4052</v>
      </c>
      <c r="C182" s="1" t="s">
        <v>4053</v>
      </c>
      <c r="D182" s="8" t="s">
        <v>4054</v>
      </c>
      <c r="E182" s="1" t="s">
        <v>4055</v>
      </c>
      <c r="F182" s="6" t="s">
        <v>132</v>
      </c>
      <c r="G182" s="1" t="s">
        <v>4056</v>
      </c>
      <c r="H182" s="1" t="s">
        <v>4057</v>
      </c>
      <c r="I182" s="7" t="str">
        <f>IFERROR(__xludf.DUMMYFUNCTION("GOOGLETRANSLATE(C182, ""en"", ""de"")"),"E-Mail wurde nicht geändert. Bitte versuche es erneut.")</f>
        <v>E-Mail wurde nicht geändert. Bitte versuche es erneut.</v>
      </c>
      <c r="J182" s="6" t="s">
        <v>4058</v>
      </c>
      <c r="K182" s="1" t="s">
        <v>4059</v>
      </c>
      <c r="L182" s="1" t="s">
        <v>4060</v>
      </c>
      <c r="M182" s="1" t="s">
        <v>4061</v>
      </c>
      <c r="N182" s="6" t="s">
        <v>132</v>
      </c>
      <c r="O182" s="6" t="s">
        <v>4062</v>
      </c>
      <c r="P182" s="1" t="s">
        <v>4063</v>
      </c>
      <c r="Q182" s="1" t="s">
        <v>4064</v>
      </c>
      <c r="R182" s="13" t="s">
        <v>4065</v>
      </c>
      <c r="S182" s="10" t="s">
        <v>4066</v>
      </c>
      <c r="T182" s="1" t="s">
        <v>4067</v>
      </c>
      <c r="U182" s="1" t="s">
        <v>4068</v>
      </c>
      <c r="V182" s="1" t="s">
        <v>4069</v>
      </c>
      <c r="W182" s="1" t="s">
        <v>4070</v>
      </c>
      <c r="X182" s="1" t="s">
        <v>4071</v>
      </c>
      <c r="Y182" s="11" t="s">
        <v>4072</v>
      </c>
      <c r="Z182" s="1" t="s">
        <v>4073</v>
      </c>
      <c r="AA182" s="1" t="s">
        <v>4074</v>
      </c>
      <c r="AB182" s="1" t="s">
        <v>4075</v>
      </c>
      <c r="AC182" s="1" t="s">
        <v>4076</v>
      </c>
      <c r="AD182" s="6" t="s">
        <v>4077</v>
      </c>
      <c r="AE182" s="7" t="str">
        <f>IFERROR(__xludf.DUMMYFUNCTION("GOOGLETRANSLATE(C182, ""en"", ""sr"")"),"Е-пошта се није променила. Молим вас, покушајте поново.")</f>
        <v>Е-пошта се није променила. Молим вас, покушајте поново.</v>
      </c>
      <c r="AF182" s="1" t="s">
        <v>4078</v>
      </c>
      <c r="AG182" s="6" t="s">
        <v>4079</v>
      </c>
      <c r="AH182" s="1" t="s">
        <v>4080</v>
      </c>
      <c r="AI182" s="6" t="s">
        <v>132</v>
      </c>
      <c r="AJ182" s="6" t="s">
        <v>4081</v>
      </c>
      <c r="AK182" s="14" t="s">
        <v>4082</v>
      </c>
      <c r="AL182" s="6" t="s">
        <v>132</v>
      </c>
    </row>
    <row r="183" ht="15.75" customHeight="1">
      <c r="A183" s="1" t="s">
        <v>127</v>
      </c>
      <c r="B183" s="1" t="s">
        <v>4083</v>
      </c>
      <c r="C183" s="1" t="s">
        <v>4084</v>
      </c>
      <c r="D183" s="8" t="s">
        <v>4085</v>
      </c>
      <c r="E183" s="1" t="s">
        <v>4086</v>
      </c>
      <c r="F183" s="6" t="s">
        <v>132</v>
      </c>
      <c r="G183" s="1" t="s">
        <v>4087</v>
      </c>
      <c r="H183" s="1" t="s">
        <v>4088</v>
      </c>
      <c r="I183" s="1" t="s">
        <v>4089</v>
      </c>
      <c r="J183" s="6" t="s">
        <v>4090</v>
      </c>
      <c r="K183" s="1" t="s">
        <v>4091</v>
      </c>
      <c r="L183" s="1" t="s">
        <v>4092</v>
      </c>
      <c r="M183" s="1" t="s">
        <v>4093</v>
      </c>
      <c r="N183" s="6" t="s">
        <v>132</v>
      </c>
      <c r="O183" s="6" t="s">
        <v>4094</v>
      </c>
      <c r="P183" s="1" t="s">
        <v>4095</v>
      </c>
      <c r="Q183" s="1" t="s">
        <v>4096</v>
      </c>
      <c r="R183" s="1" t="s">
        <v>4097</v>
      </c>
      <c r="S183" s="10" t="s">
        <v>4098</v>
      </c>
      <c r="T183" s="1" t="s">
        <v>4099</v>
      </c>
      <c r="U183" s="1" t="s">
        <v>4100</v>
      </c>
      <c r="V183" s="1" t="s">
        <v>4101</v>
      </c>
      <c r="W183" s="1" t="s">
        <v>4102</v>
      </c>
      <c r="X183" s="1" t="s">
        <v>4088</v>
      </c>
      <c r="Y183" s="1" t="s">
        <v>4103</v>
      </c>
      <c r="Z183" s="1" t="s">
        <v>4104</v>
      </c>
      <c r="AA183" s="1" t="s">
        <v>4105</v>
      </c>
      <c r="AB183" s="1" t="s">
        <v>4106</v>
      </c>
      <c r="AC183" s="1" t="s">
        <v>4087</v>
      </c>
      <c r="AD183" s="6" t="s">
        <v>4107</v>
      </c>
      <c r="AE183" s="1" t="s">
        <v>4108</v>
      </c>
      <c r="AF183" s="1" t="s">
        <v>4109</v>
      </c>
      <c r="AG183" s="6" t="s">
        <v>4110</v>
      </c>
      <c r="AH183" s="1" t="s">
        <v>4111</v>
      </c>
      <c r="AI183" s="6" t="s">
        <v>132</v>
      </c>
      <c r="AJ183" s="6" t="s">
        <v>4112</v>
      </c>
      <c r="AK183" s="1" t="s">
        <v>4099</v>
      </c>
      <c r="AL183" s="6" t="s">
        <v>4113</v>
      </c>
    </row>
    <row r="184" ht="15.75" hidden="1" customHeight="1">
      <c r="A184" s="1" t="s">
        <v>38</v>
      </c>
      <c r="B184" s="1" t="s">
        <v>4114</v>
      </c>
      <c r="C184" s="1" t="s">
        <v>4115</v>
      </c>
      <c r="D184" s="7" t="str">
        <f>IFERROR(__xludf.DUMMYFUNCTION("GOOGLETRANSLATE(C184, ""en"", ""ar"")"),"سلطنة عمان")</f>
        <v>سلطنة عمان</v>
      </c>
      <c r="E184" s="7" t="str">
        <f>IFERROR(__xludf.DUMMYFUNCTION("GOOGLETRANSLATE(C184, ""en"", ""bg"")"),"Оман")</f>
        <v>Оман</v>
      </c>
      <c r="F184" s="6" t="s">
        <v>132</v>
      </c>
      <c r="G184" s="7" t="str">
        <f>IFERROR(__xludf.DUMMYFUNCTION("GOOGLETRANSLATE(C184, ""en"", ""cs"")"),"Omán")</f>
        <v>Omán</v>
      </c>
      <c r="H184" s="7" t="str">
        <f>IFERROR(__xludf.DUMMYFUNCTION("GOOGLETRANSLATE(C184, ""en"", ""da"")"),"Oman.")</f>
        <v>Oman.</v>
      </c>
      <c r="I184" s="1" t="s">
        <v>4115</v>
      </c>
      <c r="J184" s="6" t="s">
        <v>132</v>
      </c>
      <c r="K184" s="1" t="s">
        <v>4116</v>
      </c>
      <c r="L184" s="7" t="str">
        <f>IFERROR(__xludf.DUMMYFUNCTION("GOOGLETRANSLATE(C184, ""en"", ""fi"")"),"Oman")</f>
        <v>Oman</v>
      </c>
      <c r="M184" s="1" t="s">
        <v>4115</v>
      </c>
      <c r="N184" s="6" t="s">
        <v>132</v>
      </c>
      <c r="O184" s="6" t="s">
        <v>132</v>
      </c>
      <c r="P184" s="1" t="s">
        <v>4115</v>
      </c>
      <c r="Q184" s="7" t="str">
        <f>IFERROR(__xludf.DUMMYFUNCTION("GOOGLETRANSLATE(C184, ""en"", ""in"")"),"Oman")</f>
        <v>Oman</v>
      </c>
      <c r="R184" s="7" t="str">
        <f>IFERROR(__xludf.DUMMYFUNCTION("GOOGLETRANSLATE(C184, ""en"", ""it"")"),"Oman")</f>
        <v>Oman</v>
      </c>
      <c r="S184" s="6" t="s">
        <v>132</v>
      </c>
      <c r="T184" s="7" t="str">
        <f>IFERROR(__xludf.DUMMYFUNCTION("GOOGLETRANSLATE(C184, ""en"", ""ja"")"),"オマーン")</f>
        <v>オマーン</v>
      </c>
      <c r="U184" s="7" t="str">
        <f>IFERROR(__xludf.DUMMYFUNCTION("GOOGLETRANSLATE(C184, ""en"", ""ko"")"),"오만")</f>
        <v>오만</v>
      </c>
      <c r="V184" s="7" t="str">
        <f>IFERROR(__xludf.DUMMYFUNCTION("GOOGLETRANSLATE(C184, ""en"", ""ms"")"),"Oman")</f>
        <v>Oman</v>
      </c>
      <c r="W184" s="7" t="str">
        <f>IFERROR(__xludf.DUMMYFUNCTION("GOOGLETRANSLATE(C184, ""en"", ""nl"")"),"Oman")</f>
        <v>Oman</v>
      </c>
      <c r="X184" s="7" t="str">
        <f>IFERROR(__xludf.DUMMYFUNCTION("GOOGLETRANSLATE(C184, ""en"", ""no"")"),"Oman")</f>
        <v>Oman</v>
      </c>
      <c r="Y184" s="7" t="str">
        <f>IFERROR(__xludf.DUMMYFUNCTION("GOOGLETRANSLATE(C184, ""en"", ""pl"")"),"Oman")</f>
        <v>Oman</v>
      </c>
      <c r="Z184" s="7" t="str">
        <f>IFERROR(__xludf.DUMMYFUNCTION("GOOGLETRANSLATE(C184, ""en"", ""pt"")"),"Omã")</f>
        <v>Omã</v>
      </c>
      <c r="AA184" s="7" t="str">
        <f>IFERROR(__xludf.DUMMYFUNCTION("GOOGLETRANSLATE(C184, ""en"", ""ro"")"),"Oman")</f>
        <v>Oman</v>
      </c>
      <c r="AB184" s="1" t="s">
        <v>4117</v>
      </c>
      <c r="AC184" s="7" t="str">
        <f>IFERROR(__xludf.DUMMYFUNCTION("GOOGLETRANSLATE(C184, ""en"", ""sk"")"),"Omán")</f>
        <v>Omán</v>
      </c>
      <c r="AD184" s="6" t="s">
        <v>132</v>
      </c>
      <c r="AE184" s="1" t="s">
        <v>4115</v>
      </c>
      <c r="AF184" s="7" t="str">
        <f>IFERROR(__xludf.DUMMYFUNCTION("GOOGLETRANSLATE(C184, ""en"", ""sv"")"),"oman")</f>
        <v>oman</v>
      </c>
      <c r="AG184" s="6" t="s">
        <v>132</v>
      </c>
      <c r="AH184" s="7" t="str">
        <f>IFERROR(__xludf.DUMMYFUNCTION("GOOGLETRANSLATE(C184, ""en"", ""tr"")"),"Umman")</f>
        <v>Umman</v>
      </c>
      <c r="AI184" s="6" t="s">
        <v>132</v>
      </c>
      <c r="AJ184" s="6" t="s">
        <v>132</v>
      </c>
      <c r="AK184" s="7" t="str">
        <f>IFERROR(__xludf.DUMMYFUNCTION("GOOGLETRANSLATE(C184, ""en"", ""zh"")"),"阿曼")</f>
        <v>阿曼</v>
      </c>
      <c r="AL184" s="6" t="s">
        <v>132</v>
      </c>
    </row>
    <row r="185" ht="15.75" customHeight="1">
      <c r="A185" s="1" t="s">
        <v>127</v>
      </c>
      <c r="B185" s="1" t="s">
        <v>4118</v>
      </c>
      <c r="C185" s="1" t="s">
        <v>4119</v>
      </c>
      <c r="D185" s="8" t="s">
        <v>4120</v>
      </c>
      <c r="E185" s="1" t="s">
        <v>4121</v>
      </c>
      <c r="F185" s="6" t="s">
        <v>132</v>
      </c>
      <c r="G185" s="1" t="s">
        <v>4122</v>
      </c>
      <c r="H185" s="1" t="s">
        <v>4123</v>
      </c>
      <c r="I185" s="1" t="s">
        <v>4124</v>
      </c>
      <c r="J185" s="6" t="s">
        <v>4125</v>
      </c>
      <c r="K185" s="1" t="s">
        <v>4126</v>
      </c>
      <c r="L185" s="1" t="s">
        <v>4127</v>
      </c>
      <c r="M185" s="1" t="s">
        <v>4128</v>
      </c>
      <c r="N185" s="6" t="s">
        <v>132</v>
      </c>
      <c r="O185" s="6" t="s">
        <v>4129</v>
      </c>
      <c r="P185" s="1" t="s">
        <v>4130</v>
      </c>
      <c r="Q185" s="1" t="s">
        <v>4131</v>
      </c>
      <c r="R185" s="1" t="s">
        <v>4132</v>
      </c>
      <c r="S185" s="10" t="s">
        <v>4133</v>
      </c>
      <c r="T185" s="1" t="s">
        <v>4134</v>
      </c>
      <c r="U185" s="1" t="s">
        <v>4135</v>
      </c>
      <c r="V185" s="1" t="s">
        <v>4136</v>
      </c>
      <c r="W185" s="1" t="s">
        <v>4137</v>
      </c>
      <c r="X185" s="1" t="s">
        <v>4138</v>
      </c>
      <c r="Y185" s="1" t="s">
        <v>4139</v>
      </c>
      <c r="Z185" s="1" t="s">
        <v>4140</v>
      </c>
      <c r="AA185" s="1" t="s">
        <v>4141</v>
      </c>
      <c r="AB185" s="1" t="s">
        <v>4142</v>
      </c>
      <c r="AC185" s="1" t="s">
        <v>4143</v>
      </c>
      <c r="AD185" s="6" t="s">
        <v>4144</v>
      </c>
      <c r="AE185" s="1" t="s">
        <v>4145</v>
      </c>
      <c r="AF185" s="1" t="s">
        <v>4146</v>
      </c>
      <c r="AG185" s="6" t="s">
        <v>4147</v>
      </c>
      <c r="AH185" s="1" t="s">
        <v>4148</v>
      </c>
      <c r="AI185" s="6" t="s">
        <v>132</v>
      </c>
      <c r="AJ185" s="6" t="s">
        <v>4149</v>
      </c>
      <c r="AK185" s="1" t="s">
        <v>4150</v>
      </c>
      <c r="AL185" s="6" t="s">
        <v>4151</v>
      </c>
    </row>
    <row r="186" ht="15.75" customHeight="1">
      <c r="A186" s="1" t="s">
        <v>127</v>
      </c>
      <c r="B186" s="1" t="s">
        <v>4152</v>
      </c>
      <c r="C186" s="1" t="s">
        <v>4153</v>
      </c>
      <c r="D186" s="8" t="s">
        <v>4154</v>
      </c>
      <c r="E186" s="1" t="s">
        <v>4155</v>
      </c>
      <c r="F186" s="6" t="s">
        <v>132</v>
      </c>
      <c r="G186" s="1" t="s">
        <v>4156</v>
      </c>
      <c r="H186" s="1" t="s">
        <v>4157</v>
      </c>
      <c r="I186" s="1" t="s">
        <v>4158</v>
      </c>
      <c r="J186" s="6" t="s">
        <v>4159</v>
      </c>
      <c r="K186" s="1" t="s">
        <v>4160</v>
      </c>
      <c r="L186" s="1" t="s">
        <v>4161</v>
      </c>
      <c r="M186" s="1" t="s">
        <v>4162</v>
      </c>
      <c r="N186" s="6" t="s">
        <v>132</v>
      </c>
      <c r="O186" s="6" t="s">
        <v>4163</v>
      </c>
      <c r="P186" s="1" t="s">
        <v>4164</v>
      </c>
      <c r="Q186" s="1" t="s">
        <v>4165</v>
      </c>
      <c r="R186" s="1" t="s">
        <v>4166</v>
      </c>
      <c r="S186" s="10" t="s">
        <v>4167</v>
      </c>
      <c r="T186" s="1" t="s">
        <v>4168</v>
      </c>
      <c r="U186" s="1" t="s">
        <v>4169</v>
      </c>
      <c r="V186" s="1" t="s">
        <v>4170</v>
      </c>
      <c r="W186" s="1" t="s">
        <v>4171</v>
      </c>
      <c r="X186" s="1" t="s">
        <v>4172</v>
      </c>
      <c r="Y186" s="1" t="s">
        <v>4173</v>
      </c>
      <c r="Z186" s="1" t="s">
        <v>4174</v>
      </c>
      <c r="AA186" s="1" t="s">
        <v>4175</v>
      </c>
      <c r="AB186" s="1" t="s">
        <v>4176</v>
      </c>
      <c r="AC186" s="1" t="s">
        <v>4177</v>
      </c>
      <c r="AD186" s="6" t="s">
        <v>4178</v>
      </c>
      <c r="AE186" s="1" t="s">
        <v>4179</v>
      </c>
      <c r="AF186" s="1" t="s">
        <v>4180</v>
      </c>
      <c r="AG186" s="6" t="s">
        <v>4181</v>
      </c>
      <c r="AH186" s="1" t="s">
        <v>4182</v>
      </c>
      <c r="AI186" s="6" t="s">
        <v>132</v>
      </c>
      <c r="AJ186" s="6" t="s">
        <v>4183</v>
      </c>
      <c r="AK186" s="1" t="s">
        <v>4184</v>
      </c>
      <c r="AL186" s="6" t="s">
        <v>4185</v>
      </c>
    </row>
    <row r="187" ht="15.75" hidden="1" customHeight="1">
      <c r="A187" s="1" t="s">
        <v>38</v>
      </c>
      <c r="B187" s="1" t="s">
        <v>4186</v>
      </c>
      <c r="C187" s="1" t="s">
        <v>4187</v>
      </c>
      <c r="D187" s="8" t="s">
        <v>4188</v>
      </c>
      <c r="E187" s="1" t="s">
        <v>4189</v>
      </c>
      <c r="F187" s="6" t="s">
        <v>4190</v>
      </c>
      <c r="G187" s="7" t="str">
        <f>IFERROR(__xludf.DUMMYFUNCTION("GOOGLETRANSLATE(C187, ""en"", ""cs"")"),"Nelze načíst seznam zařízení")</f>
        <v>Nelze načíst seznam zařízení</v>
      </c>
      <c r="H187" s="7" t="str">
        <f>IFERROR(__xludf.DUMMYFUNCTION("GOOGLETRANSLATE(C187, ""en"", ""da"")"),"Kan ikke hente enhedsliste")</f>
        <v>Kan ikke hente enhedsliste</v>
      </c>
      <c r="I187" s="1" t="s">
        <v>4191</v>
      </c>
      <c r="J187" s="6" t="s">
        <v>132</v>
      </c>
      <c r="K187" s="1" t="s">
        <v>4192</v>
      </c>
      <c r="L187" s="7" t="str">
        <f>IFERROR(__xludf.DUMMYFUNCTION("GOOGLETRANSLATE(C187, ""en"", ""fi"")"),"Laite-luetteloa ei voi hakea")</f>
        <v>Laite-luetteloa ei voi hakea</v>
      </c>
      <c r="M187" s="1" t="s">
        <v>4193</v>
      </c>
      <c r="N187" s="6" t="s">
        <v>4194</v>
      </c>
      <c r="O187" s="6" t="s">
        <v>132</v>
      </c>
      <c r="P187" s="1" t="s">
        <v>4195</v>
      </c>
      <c r="Q187" s="7" t="str">
        <f>IFERROR(__xludf.DUMMYFUNCTION("GOOGLETRANSLATE(C187, ""en"", ""in"")"),"Tidak dapat mengambil daftar perangkat")</f>
        <v>Tidak dapat mengambil daftar perangkat</v>
      </c>
      <c r="R187" s="1" t="s">
        <v>4196</v>
      </c>
      <c r="S187" s="6" t="s">
        <v>132</v>
      </c>
      <c r="T187" s="7" t="str">
        <f>IFERROR(__xludf.DUMMYFUNCTION("GOOGLETRANSLATE(C187, ""en"", ""ja"")"),"デバイスリストを取得できません")</f>
        <v>デバイスリストを取得できません</v>
      </c>
      <c r="U187" s="7" t="str">
        <f>IFERROR(__xludf.DUMMYFUNCTION("GOOGLETRANSLATE(C187, ""en"", ""ko"")"),"장치 목록을 가져올 수 없습니다")</f>
        <v>장치 목록을 가져올 수 없습니다</v>
      </c>
      <c r="V187" s="7" t="str">
        <f>IFERROR(__xludf.DUMMYFUNCTION("GOOGLETRANSLATE(C187, ""en"", ""ms"")"),"Tidak dapat mengambil senarai peranti")</f>
        <v>Tidak dapat mengambil senarai peranti</v>
      </c>
      <c r="W187" s="1" t="s">
        <v>4197</v>
      </c>
      <c r="X187" s="7" t="str">
        <f>IFERROR(__xludf.DUMMYFUNCTION("GOOGLETRANSLATE(C187, ""en"", ""no"")"),"Kan ikke hente enhetsliste")</f>
        <v>Kan ikke hente enhetsliste</v>
      </c>
      <c r="Y187" s="1" t="s">
        <v>4198</v>
      </c>
      <c r="Z187" s="7" t="str">
        <f>IFERROR(__xludf.DUMMYFUNCTION("GOOGLETRANSLATE(C187, ""en"", ""pt"")"),"Não é possível buscar a lista de dispositivos")</f>
        <v>Não é possível buscar a lista de dispositivos</v>
      </c>
      <c r="AA187" s="7" t="str">
        <f>IFERROR(__xludf.DUMMYFUNCTION("GOOGLETRANSLATE(C187, ""en"", ""ro"")"),"Imposibil de urmat lista de dispozitive")</f>
        <v>Imposibil de urmat lista de dispozitive</v>
      </c>
      <c r="AB187" s="1" t="s">
        <v>4199</v>
      </c>
      <c r="AC187" s="7" t="str">
        <f>IFERROR(__xludf.DUMMYFUNCTION("GOOGLETRANSLATE(C187, ""en"", ""sk"")"),"Nie je možné získať zoznam zariadení")</f>
        <v>Nie je možné získať zoznam zariadení</v>
      </c>
      <c r="AD187" s="6" t="s">
        <v>132</v>
      </c>
      <c r="AE187" s="7" t="str">
        <f>IFERROR(__xludf.DUMMYFUNCTION("GOOGLETRANSLATE(C187, ""en"", ""sr"")"),"Није могуће донети листу уређаја")</f>
        <v>Није могуће донети листу уређаја</v>
      </c>
      <c r="AF187" s="7" t="str">
        <f>IFERROR(__xludf.DUMMYFUNCTION("GOOGLETRANSLATE(C187, ""en"", ""sv"")"),"Det går inte att hämta enhetslistan")</f>
        <v>Det går inte att hämta enhetslistan</v>
      </c>
      <c r="AG187" s="6" t="s">
        <v>132</v>
      </c>
      <c r="AH187" s="7" t="str">
        <f>IFERROR(__xludf.DUMMYFUNCTION("GOOGLETRANSLATE(C187, ""en"", ""tr"")"),"Cihaz listesi alamıyor")</f>
        <v>Cihaz listesi alamıyor</v>
      </c>
      <c r="AI187" s="6" t="s">
        <v>132</v>
      </c>
      <c r="AJ187" s="6" t="s">
        <v>132</v>
      </c>
      <c r="AK187" s="7" t="str">
        <f>IFERROR(__xludf.DUMMYFUNCTION("GOOGLETRANSLATE(C187, ""en"", ""zh"")"),"无法获取设备列表")</f>
        <v>无法获取设备列表</v>
      </c>
      <c r="AL187" s="6" t="s">
        <v>132</v>
      </c>
    </row>
    <row r="188" ht="15.75" hidden="1" customHeight="1">
      <c r="A188" s="1" t="s">
        <v>38</v>
      </c>
      <c r="B188" s="1" t="s">
        <v>4200</v>
      </c>
      <c r="C188" s="1" t="s">
        <v>4201</v>
      </c>
      <c r="D188" s="7" t="str">
        <f>IFERROR(__xludf.DUMMYFUNCTION("GOOGLETRANSLATE(C188, ""en"", ""ar"")"),"أنتيغوا وبربودا")</f>
        <v>أنتيغوا وبربودا</v>
      </c>
      <c r="E188" s="7" t="str">
        <f>IFERROR(__xludf.DUMMYFUNCTION("GOOGLETRANSLATE(C188, ""en"", ""bg"")"),"Антигуа и Барбуда")</f>
        <v>Антигуа и Барбуда</v>
      </c>
      <c r="F188" s="6" t="s">
        <v>132</v>
      </c>
      <c r="G188" s="7" t="str">
        <f>IFERROR(__xludf.DUMMYFUNCTION("GOOGLETRANSLATE(C188, ""en"", ""cs"")"),"Antigua a Barbuda.")</f>
        <v>Antigua a Barbuda.</v>
      </c>
      <c r="H188" s="7" t="str">
        <f>IFERROR(__xludf.DUMMYFUNCTION("GOOGLETRANSLATE(C188, ""en"", ""da"")"),"Antigua og Barbuda.")</f>
        <v>Antigua og Barbuda.</v>
      </c>
      <c r="I188" s="1" t="s">
        <v>4202</v>
      </c>
      <c r="J188" s="6" t="s">
        <v>132</v>
      </c>
      <c r="K188" s="1" t="s">
        <v>4203</v>
      </c>
      <c r="L188" s="7" t="str">
        <f>IFERROR(__xludf.DUMMYFUNCTION("GOOGLETRANSLATE(C188, ""en"", ""fi"")"),"Antigua ja Barbuda")</f>
        <v>Antigua ja Barbuda</v>
      </c>
      <c r="M188" s="1" t="s">
        <v>4204</v>
      </c>
      <c r="N188" s="6" t="s">
        <v>132</v>
      </c>
      <c r="O188" s="6" t="s">
        <v>132</v>
      </c>
      <c r="P188" s="1" t="s">
        <v>4201</v>
      </c>
      <c r="Q188" s="7" t="str">
        <f>IFERROR(__xludf.DUMMYFUNCTION("GOOGLETRANSLATE(C188, ""en"", ""in"")"),"Antigua dan Barbuda")</f>
        <v>Antigua dan Barbuda</v>
      </c>
      <c r="R188" s="7" t="str">
        <f>IFERROR(__xludf.DUMMYFUNCTION("GOOGLETRANSLATE(C188, ""en"", ""it"")"),"Antigua e Barbuda")</f>
        <v>Antigua e Barbuda</v>
      </c>
      <c r="S188" s="6" t="s">
        <v>132</v>
      </c>
      <c r="T188" s="7" t="str">
        <f>IFERROR(__xludf.DUMMYFUNCTION("GOOGLETRANSLATE(C188, ""en"", ""ja"")"),"アンティグアとバーブーダ")</f>
        <v>アンティグアとバーブーダ</v>
      </c>
      <c r="U188" s="7" t="str">
        <f>IFERROR(__xludf.DUMMYFUNCTION("GOOGLETRANSLATE(C188, ""en"", ""ko"")"),"안티구아와 바부 다")</f>
        <v>안티구아와 바부 다</v>
      </c>
      <c r="V188" s="7" t="str">
        <f>IFERROR(__xludf.DUMMYFUNCTION("GOOGLETRANSLATE(C188, ""en"", ""ms"")"),"Antigua dan Barbuda")</f>
        <v>Antigua dan Barbuda</v>
      </c>
      <c r="W188" s="7" t="str">
        <f>IFERROR(__xludf.DUMMYFUNCTION("GOOGLETRANSLATE(C188, ""en"", ""nl"")"),"Antigua en Barbuda")</f>
        <v>Antigua en Barbuda</v>
      </c>
      <c r="X188" s="7" t="str">
        <f>IFERROR(__xludf.DUMMYFUNCTION("GOOGLETRANSLATE(C188, ""en"", ""no"")"),"Antigua og Barbuda")</f>
        <v>Antigua og Barbuda</v>
      </c>
      <c r="Y188" s="7" t="str">
        <f>IFERROR(__xludf.DUMMYFUNCTION("GOOGLETRANSLATE(C188, ""en"", ""pl"")"),"Antigua i Barbuda")</f>
        <v>Antigua i Barbuda</v>
      </c>
      <c r="Z188" s="7" t="str">
        <f>IFERROR(__xludf.DUMMYFUNCTION("GOOGLETRANSLATE(C188, ""en"", ""pt"")"),"Antigua e Barbuda.")</f>
        <v>Antigua e Barbuda.</v>
      </c>
      <c r="AA188" s="7" t="str">
        <f>IFERROR(__xludf.DUMMYFUNCTION("GOOGLETRANSLATE(C188, ""en"", ""ro"")"),"Antigua si Barbuda")</f>
        <v>Antigua si Barbuda</v>
      </c>
      <c r="AB188" s="1" t="s">
        <v>4205</v>
      </c>
      <c r="AC188" s="7" t="str">
        <f>IFERROR(__xludf.DUMMYFUNCTION("GOOGLETRANSLATE(C188, ""en"", ""sk"")"),"Antigua a Barbuda")</f>
        <v>Antigua a Barbuda</v>
      </c>
      <c r="AD188" s="6" t="s">
        <v>132</v>
      </c>
      <c r="AE188" s="1" t="s">
        <v>4206</v>
      </c>
      <c r="AF188" s="7" t="str">
        <f>IFERROR(__xludf.DUMMYFUNCTION("GOOGLETRANSLATE(C188, ""en"", ""sv"")"),"Antigua och Barbuda")</f>
        <v>Antigua och Barbuda</v>
      </c>
      <c r="AG188" s="6" t="s">
        <v>132</v>
      </c>
      <c r="AH188" s="7" t="str">
        <f>IFERROR(__xludf.DUMMYFUNCTION("GOOGLETRANSLATE(C188, ""en"", ""tr"")"),"Antigua ve Barbuda")</f>
        <v>Antigua ve Barbuda</v>
      </c>
      <c r="AI188" s="6" t="s">
        <v>132</v>
      </c>
      <c r="AJ188" s="6" t="s">
        <v>132</v>
      </c>
      <c r="AK188" s="7" t="str">
        <f>IFERROR(__xludf.DUMMYFUNCTION("GOOGLETRANSLATE(C188, ""en"", ""zh"")"),"安提瓜和巴布达")</f>
        <v>安提瓜和巴布达</v>
      </c>
      <c r="AL188" s="6" t="s">
        <v>132</v>
      </c>
    </row>
    <row r="189" ht="15.75" hidden="1" customHeight="1">
      <c r="A189" s="1" t="s">
        <v>38</v>
      </c>
      <c r="B189" s="1" t="s">
        <v>4207</v>
      </c>
      <c r="C189" s="1" t="s">
        <v>4208</v>
      </c>
      <c r="D189" s="8" t="s">
        <v>4209</v>
      </c>
      <c r="E189" s="1" t="s">
        <v>4210</v>
      </c>
      <c r="F189" s="6" t="s">
        <v>4211</v>
      </c>
      <c r="G189" s="7" t="str">
        <f>IFERROR(__xludf.DUMMYFUNCTION("GOOGLETRANSLATE(C189, ""en"", ""cs"")"),"Dešifrování zprávy. Prosím, čekejte…")</f>
        <v>Dešifrování zprávy. Prosím, čekejte…</v>
      </c>
      <c r="H189" s="7" t="str">
        <f>IFERROR(__xludf.DUMMYFUNCTION("GOOGLETRANSLATE(C189, ""en"", ""da"")"),"Dekryptere besked. Vent venligst…")</f>
        <v>Dekryptere besked. Vent venligst…</v>
      </c>
      <c r="I189" s="1" t="s">
        <v>4212</v>
      </c>
      <c r="J189" s="6" t="s">
        <v>132</v>
      </c>
      <c r="K189" s="1" t="s">
        <v>4213</v>
      </c>
      <c r="L189" s="7" t="str">
        <f>IFERROR(__xludf.DUMMYFUNCTION("GOOGLETRANSLATE(C189, ""en"", ""fi"")"),"Salauksen purkaminen. Odota…")</f>
        <v>Salauksen purkaminen. Odota…</v>
      </c>
      <c r="M189" s="1" t="s">
        <v>4214</v>
      </c>
      <c r="N189" s="6" t="s">
        <v>4215</v>
      </c>
      <c r="O189" s="6" t="s">
        <v>132</v>
      </c>
      <c r="P189" s="1" t="s">
        <v>4216</v>
      </c>
      <c r="Q189" s="9" t="s">
        <v>4217</v>
      </c>
      <c r="R189" s="1" t="s">
        <v>4218</v>
      </c>
      <c r="S189" s="6" t="s">
        <v>132</v>
      </c>
      <c r="T189" s="1" t="s">
        <v>4219</v>
      </c>
      <c r="U189" s="1" t="s">
        <v>4220</v>
      </c>
      <c r="V189" s="7" t="str">
        <f>IFERROR(__xludf.DUMMYFUNCTION("GOOGLETRANSLATE(C189, ""en"", ""ms"")"),"Mesej mendekripsi. Sila tunggu…")</f>
        <v>Mesej mendekripsi. Sila tunggu…</v>
      </c>
      <c r="W189" s="1" t="s">
        <v>4221</v>
      </c>
      <c r="X189" s="7" t="str">
        <f>IFERROR(__xludf.DUMMYFUNCTION("GOOGLETRANSLATE(C189, ""en"", ""no"")"),"Dekryptere melding. Vennligst vent…")</f>
        <v>Dekryptere melding. Vennligst vent…</v>
      </c>
      <c r="Y189" s="1" t="s">
        <v>4222</v>
      </c>
      <c r="Z189" s="1" t="s">
        <v>4223</v>
      </c>
      <c r="AA189" s="7" t="str">
        <f>IFERROR(__xludf.DUMMYFUNCTION("GOOGLETRANSLATE(C189, ""en"", ""ro"")"),"Mesaj de decriptare. Te rog asteapta…")</f>
        <v>Mesaj de decriptare. Te rog asteapta…</v>
      </c>
      <c r="AB189" s="1" t="s">
        <v>4224</v>
      </c>
      <c r="AC189" s="7" t="str">
        <f>IFERROR(__xludf.DUMMYFUNCTION("GOOGLETRANSLATE(C189, ""en"", ""sk"")"),"Dešifrovanie správy. Prosím čakajte…")</f>
        <v>Dešifrovanie správy. Prosím čakajte…</v>
      </c>
      <c r="AD189" s="6" t="s">
        <v>132</v>
      </c>
      <c r="AE189" s="1" t="s">
        <v>4225</v>
      </c>
      <c r="AF189" s="1" t="s">
        <v>4226</v>
      </c>
      <c r="AG189" s="6" t="s">
        <v>132</v>
      </c>
      <c r="AH189" s="7" t="str">
        <f>IFERROR(__xludf.DUMMYFUNCTION("GOOGLETRANSLATE(C189, ""en"", ""tr"")"),"Şifresini çözme mesajı. Lütfen bekle…")</f>
        <v>Şifresini çözme mesajı. Lütfen bekle…</v>
      </c>
      <c r="AI189" s="6" t="s">
        <v>4227</v>
      </c>
      <c r="AJ189" s="6" t="s">
        <v>4228</v>
      </c>
      <c r="AK189" s="7" t="str">
        <f>IFERROR(__xludf.DUMMYFUNCTION("GOOGLETRANSLATE(C189, ""en"", ""zh"")"),"解密消息。请稍等…")</f>
        <v>解密消息。请稍等…</v>
      </c>
      <c r="AL189" s="6" t="s">
        <v>4229</v>
      </c>
    </row>
    <row r="190" ht="15.75" hidden="1" customHeight="1">
      <c r="A190" s="1" t="s">
        <v>38</v>
      </c>
      <c r="B190" s="1" t="s">
        <v>4230</v>
      </c>
      <c r="C190" s="1" t="s">
        <v>4231</v>
      </c>
      <c r="D190" s="8" t="s">
        <v>4232</v>
      </c>
      <c r="E190" s="1" t="s">
        <v>4233</v>
      </c>
      <c r="F190" s="6" t="s">
        <v>4234</v>
      </c>
      <c r="G190" s="7" t="str">
        <f>IFERROR(__xludf.DUMMYFUNCTION("GOOGLETRANSLATE(C190, ""en"", ""cs"")"),"Odesílání (% 1 $ d %% Dokončeno)")</f>
        <v>Odesílání (% 1 $ d %% Dokončeno)</v>
      </c>
      <c r="H190" s="7" t="str">
        <f>IFERROR(__xludf.DUMMYFUNCTION("GOOGLETRANSLATE(C190, ""en"", ""da"")"),"Afsendelse (% 1 $ d %% afsluttet)")</f>
        <v>Afsendelse (% 1 $ d %% afsluttet)</v>
      </c>
      <c r="I190" s="1" t="s">
        <v>4235</v>
      </c>
      <c r="J190" s="6" t="s">
        <v>132</v>
      </c>
      <c r="K190" s="1" t="s">
        <v>4236</v>
      </c>
      <c r="L190" s="7" t="str">
        <f>IFERROR(__xludf.DUMMYFUNCTION("GOOGLETRANSLATE(C190, ""en"", ""fi"")"),"Lähettäminen (% 1 $ d %%)")</f>
        <v>Lähettäminen (% 1 $ d %%)</v>
      </c>
      <c r="M190" s="1" t="s">
        <v>4237</v>
      </c>
      <c r="N190" s="6" t="s">
        <v>4238</v>
      </c>
      <c r="O190" s="6" t="s">
        <v>132</v>
      </c>
      <c r="P190" s="1" t="s">
        <v>4239</v>
      </c>
      <c r="Q190" s="9" t="s">
        <v>4240</v>
      </c>
      <c r="R190" s="1" t="s">
        <v>4241</v>
      </c>
      <c r="S190" s="6" t="s">
        <v>132</v>
      </c>
      <c r="T190" s="1" t="s">
        <v>4242</v>
      </c>
      <c r="U190" s="1" t="s">
        <v>4243</v>
      </c>
      <c r="V190" s="7" t="str">
        <f>IFERROR(__xludf.DUMMYFUNCTION("GOOGLETRANSLATE(C190, ""en"", ""ms"")"),"Menghantar (% 1 $ D %% selesai)")</f>
        <v>Menghantar (% 1 $ D %% selesai)</v>
      </c>
      <c r="W190" s="1" t="s">
        <v>4244</v>
      </c>
      <c r="X190" s="7" t="str">
        <f>IFERROR(__xludf.DUMMYFUNCTION("GOOGLETRANSLATE(C190, ""en"", ""no"")"),"Sende (% 1 $ D %% Fullført)")</f>
        <v>Sende (% 1 $ D %% Fullført)</v>
      </c>
      <c r="Y190" s="1" t="s">
        <v>4245</v>
      </c>
      <c r="Z190" s="1" t="s">
        <v>4246</v>
      </c>
      <c r="AA190" s="7" t="str">
        <f>IFERROR(__xludf.DUMMYFUNCTION("GOOGLETRANSLATE(C190, ""en"", ""ro"")"),"Trimiterea (% 1 $ d %% finalizată)")</f>
        <v>Trimiterea (% 1 $ d %% finalizată)</v>
      </c>
      <c r="AB190" s="1" t="s">
        <v>4247</v>
      </c>
      <c r="AC190" s="1" t="s">
        <v>4248</v>
      </c>
      <c r="AD190" s="6" t="s">
        <v>132</v>
      </c>
      <c r="AE190" s="1" t="s">
        <v>4249</v>
      </c>
      <c r="AF190" s="1" t="s">
        <v>4250</v>
      </c>
      <c r="AG190" s="6" t="s">
        <v>132</v>
      </c>
      <c r="AH190" s="7" t="str">
        <f>IFERROR(__xludf.DUMMYFUNCTION("GOOGLETRANSLATE(C190, ""en"", ""tr"")"),"Gönderme (% 1 $ D %% Tamamlandı)")</f>
        <v>Gönderme (% 1 $ D %% Tamamlandı)</v>
      </c>
      <c r="AI190" s="6" t="s">
        <v>4251</v>
      </c>
      <c r="AJ190" s="6" t="s">
        <v>4252</v>
      </c>
      <c r="AK190" s="7" t="str">
        <f>IFERROR(__xludf.DUMMYFUNCTION("GOOGLETRANSLATE(C190, ""en"", ""zh"")"),"发送（％1 $ d %%已完成）")</f>
        <v>发送（％1 $ d %%已完成）</v>
      </c>
      <c r="AL190" s="6" t="s">
        <v>4253</v>
      </c>
    </row>
    <row r="191" ht="15.75" hidden="1" customHeight="1">
      <c r="A191" s="1" t="s">
        <v>38</v>
      </c>
      <c r="B191" s="1" t="s">
        <v>4254</v>
      </c>
      <c r="C191" s="1" t="s">
        <v>4255</v>
      </c>
      <c r="D191" s="7" t="str">
        <f>IFERROR(__xludf.DUMMYFUNCTION("GOOGLETRANSLATE(C191, ""en"", ""ar"")"),"لا يوجد اتصال شبكة.")</f>
        <v>لا يوجد اتصال شبكة.</v>
      </c>
      <c r="E191" s="1" t="s">
        <v>4256</v>
      </c>
      <c r="F191" s="6" t="s">
        <v>132</v>
      </c>
      <c r="G191" s="7" t="str">
        <f>IFERROR(__xludf.DUMMYFUNCTION("GOOGLETRANSLATE(C191, ""en"", ""cs"")"),"Žádné síťové připojení.")</f>
        <v>Žádné síťové připojení.</v>
      </c>
      <c r="H191" s="7" t="str">
        <f>IFERROR(__xludf.DUMMYFUNCTION("GOOGLETRANSLATE(C191, ""en"", ""da"")"),"Ingen netværksforbindelse.")</f>
        <v>Ingen netværksforbindelse.</v>
      </c>
      <c r="I191" s="1" t="s">
        <v>4257</v>
      </c>
      <c r="J191" s="6" t="s">
        <v>132</v>
      </c>
      <c r="K191" s="1" t="s">
        <v>4258</v>
      </c>
      <c r="L191" s="7" t="str">
        <f>IFERROR(__xludf.DUMMYFUNCTION("GOOGLETRANSLATE(C191, ""en"", ""fi"")"),"Ei verkkoyhteyttä.")</f>
        <v>Ei verkkoyhteyttä.</v>
      </c>
      <c r="M191" s="7" t="str">
        <f>IFERROR(__xludf.DUMMYFUNCTION("GOOGLETRANSLATE(C191, ""en"", ""fr"")"),"Pas de connexion réseau.")</f>
        <v>Pas de connexion réseau.</v>
      </c>
      <c r="N191" s="6" t="s">
        <v>4259</v>
      </c>
      <c r="O191" s="6" t="s">
        <v>132</v>
      </c>
      <c r="P191" s="1" t="s">
        <v>4260</v>
      </c>
      <c r="Q191" s="7" t="str">
        <f>IFERROR(__xludf.DUMMYFUNCTION("GOOGLETRANSLATE(C191, ""en"", ""in"")"),"Tidak ada koneksi jaringan.")</f>
        <v>Tidak ada koneksi jaringan.</v>
      </c>
      <c r="R191" s="1" t="s">
        <v>4261</v>
      </c>
      <c r="S191" s="6" t="s">
        <v>132</v>
      </c>
      <c r="T191" s="7" t="str">
        <f>IFERROR(__xludf.DUMMYFUNCTION("GOOGLETRANSLATE(C191, ""en"", ""ja"")"),"ネットワーク接続はありません。")</f>
        <v>ネットワーク接続はありません。</v>
      </c>
      <c r="U191" s="7" t="str">
        <f>IFERROR(__xludf.DUMMYFUNCTION("GOOGLETRANSLATE(C191, ""en"", ""ko"")"),"네트워크 연결이 없습니다.")</f>
        <v>네트워크 연결이 없습니다.</v>
      </c>
      <c r="V191" s="7" t="str">
        <f>IFERROR(__xludf.DUMMYFUNCTION("GOOGLETRANSLATE(C191, ""en"", ""ms"")"),"Tiada sambungan rangkaian.")</f>
        <v>Tiada sambungan rangkaian.</v>
      </c>
      <c r="W191" s="1" t="s">
        <v>4262</v>
      </c>
      <c r="X191" s="7" t="str">
        <f>IFERROR(__xludf.DUMMYFUNCTION("GOOGLETRANSLATE(C191, ""en"", ""no"")"),"Ingen nettverkstilkobling.")</f>
        <v>Ingen nettverkstilkobling.</v>
      </c>
      <c r="Y191" s="1" t="s">
        <v>4263</v>
      </c>
      <c r="Z191" s="7" t="str">
        <f>IFERROR(__xludf.DUMMYFUNCTION("GOOGLETRANSLATE(C191, ""en"", ""pt"")"),"Nenhuma conexão de rede.")</f>
        <v>Nenhuma conexão de rede.</v>
      </c>
      <c r="AA191" s="7" t="str">
        <f>IFERROR(__xludf.DUMMYFUNCTION("GOOGLETRANSLATE(C191, ""en"", ""ro"")"),"Fără conexiune la rețea.")</f>
        <v>Fără conexiune la rețea.</v>
      </c>
      <c r="AB191" s="7" t="str">
        <f>IFERROR(__xludf.DUMMYFUNCTION("GOOGLETRANSLATE(C191, ""en"", ""ru"")"),"Нет сетевого подключения.")</f>
        <v>Нет сетевого подключения.</v>
      </c>
      <c r="AC191" s="7" t="str">
        <f>IFERROR(__xludf.DUMMYFUNCTION("GOOGLETRANSLATE(C191, ""en"", ""sk"")"),"Žiadne sieťové pripojenie.")</f>
        <v>Žiadne sieťové pripojenie.</v>
      </c>
      <c r="AD191" s="6" t="s">
        <v>132</v>
      </c>
      <c r="AE191" s="7" t="str">
        <f>IFERROR(__xludf.DUMMYFUNCTION("GOOGLETRANSLATE(C191, ""en"", ""sr"")"),"Нема мрежне везе.")</f>
        <v>Нема мрежне везе.</v>
      </c>
      <c r="AF191" s="7" t="str">
        <f>IFERROR(__xludf.DUMMYFUNCTION("GOOGLETRANSLATE(C191, ""en"", ""sv"")"),"Ingen nätverksanslutning.")</f>
        <v>Ingen nätverksanslutning.</v>
      </c>
      <c r="AG191" s="6" t="s">
        <v>132</v>
      </c>
      <c r="AH191" s="7" t="str">
        <f>IFERROR(__xludf.DUMMYFUNCTION("GOOGLETRANSLATE(C191, ""en"", ""tr"")"),"Ağ bağlantısı yok.")</f>
        <v>Ağ bağlantısı yok.</v>
      </c>
      <c r="AI191" s="6" t="s">
        <v>132</v>
      </c>
      <c r="AJ191" s="6" t="s">
        <v>132</v>
      </c>
      <c r="AK191" s="7" t="str">
        <f>IFERROR(__xludf.DUMMYFUNCTION("GOOGLETRANSLATE(C191, ""en"", ""zh"")"),"无网络连接。")</f>
        <v>无网络连接。</v>
      </c>
      <c r="AL191" s="6" t="s">
        <v>132</v>
      </c>
    </row>
    <row r="192" ht="15.75" hidden="1" customHeight="1">
      <c r="A192" s="1" t="s">
        <v>38</v>
      </c>
      <c r="B192" s="1" t="s">
        <v>4264</v>
      </c>
      <c r="C192" s="1" t="s">
        <v>4265</v>
      </c>
      <c r="D192" s="8" t="s">
        <v>4266</v>
      </c>
      <c r="E192" s="1" t="s">
        <v>4267</v>
      </c>
      <c r="F192" s="6" t="s">
        <v>4268</v>
      </c>
      <c r="G192" s="7" t="str">
        <f>IFERROR(__xludf.DUMMYFUNCTION("GOOGLETRANSLATE(C192, ""en"", ""cs"")"),"Všechna certifikáty musí být ručně schválena")</f>
        <v>Všechna certifikáty musí být ručně schválena</v>
      </c>
      <c r="H192" s="7" t="str">
        <f>IFERROR(__xludf.DUMMYFUNCTION("GOOGLETRANSLATE(C192, ""en"", ""da"")"),"Alle certifikater skal godkendes manuelt")</f>
        <v>Alle certifikater skal godkendes manuelt</v>
      </c>
      <c r="I192" s="1" t="s">
        <v>4269</v>
      </c>
      <c r="J192" s="6" t="s">
        <v>132</v>
      </c>
      <c r="K192" s="1" t="s">
        <v>4270</v>
      </c>
      <c r="L192" s="7" t="str">
        <f>IFERROR(__xludf.DUMMYFUNCTION("GOOGLETRANSLATE(C192, ""en"", ""fi"")"),"Kaikki todistukset on hyväksyttävä manuaalisesti")</f>
        <v>Kaikki todistukset on hyväksyttävä manuaalisesti</v>
      </c>
      <c r="M192" s="1" t="s">
        <v>4271</v>
      </c>
      <c r="N192" s="6" t="s">
        <v>4272</v>
      </c>
      <c r="O192" s="6" t="s">
        <v>132</v>
      </c>
      <c r="P192" s="1" t="s">
        <v>4273</v>
      </c>
      <c r="Q192" s="9" t="s">
        <v>4274</v>
      </c>
      <c r="R192" s="1" t="s">
        <v>4275</v>
      </c>
      <c r="S192" s="6" t="s">
        <v>132</v>
      </c>
      <c r="T192" s="1" t="s">
        <v>4276</v>
      </c>
      <c r="U192" s="1" t="s">
        <v>4277</v>
      </c>
      <c r="V192" s="7" t="str">
        <f>IFERROR(__xludf.DUMMYFUNCTION("GOOGLETRANSLATE(C192, ""en"", ""ms"")"),"Semua sijil mesti diluluskan secara manual")</f>
        <v>Semua sijil mesti diluluskan secara manual</v>
      </c>
      <c r="W192" s="1" t="s">
        <v>4278</v>
      </c>
      <c r="X192" s="7" t="str">
        <f>IFERROR(__xludf.DUMMYFUNCTION("GOOGLETRANSLATE(C192, ""en"", ""no"")"),"Alle sertifikater må godkjennes manuelt")</f>
        <v>Alle sertifikater må godkjennes manuelt</v>
      </c>
      <c r="Y192" s="1" t="s">
        <v>4279</v>
      </c>
      <c r="Z192" s="1" t="s">
        <v>4280</v>
      </c>
      <c r="AA192" s="7" t="str">
        <f>IFERROR(__xludf.DUMMYFUNCTION("GOOGLETRANSLATE(C192, ""en"", ""ro"")"),"Toate certificatele trebuie aprobate manual")</f>
        <v>Toate certificatele trebuie aprobate manual</v>
      </c>
      <c r="AB192" s="1" t="s">
        <v>4281</v>
      </c>
      <c r="AC192" s="1" t="s">
        <v>4282</v>
      </c>
      <c r="AD192" s="6" t="s">
        <v>132</v>
      </c>
      <c r="AE192" s="1" t="s">
        <v>4283</v>
      </c>
      <c r="AF192" s="1" t="s">
        <v>4284</v>
      </c>
      <c r="AG192" s="6" t="s">
        <v>132</v>
      </c>
      <c r="AH192" s="7" t="str">
        <f>IFERROR(__xludf.DUMMYFUNCTION("GOOGLETRANSLATE(C192, ""en"", ""tr"")"),"Tüm sertifikalar manuel olarak onaylanmalıdır")</f>
        <v>Tüm sertifikalar manuel olarak onaylanmalıdır</v>
      </c>
      <c r="AI192" s="6" t="s">
        <v>4285</v>
      </c>
      <c r="AJ192" s="6" t="s">
        <v>4286</v>
      </c>
      <c r="AK192" s="7" t="str">
        <f>IFERROR(__xludf.DUMMYFUNCTION("GOOGLETRANSLATE(C192, ""en"", ""zh"")"),"所有证书必须手动批准")</f>
        <v>所有证书必须手动批准</v>
      </c>
      <c r="AL192" s="6" t="s">
        <v>4287</v>
      </c>
    </row>
    <row r="193" ht="15.75" customHeight="1">
      <c r="A193" s="1" t="s">
        <v>4051</v>
      </c>
      <c r="B193" s="1" t="s">
        <v>4288</v>
      </c>
      <c r="C193" s="1" t="s">
        <v>4289</v>
      </c>
      <c r="D193" s="8" t="s">
        <v>4290</v>
      </c>
      <c r="E193" s="1" t="s">
        <v>4291</v>
      </c>
      <c r="F193" s="6" t="s">
        <v>132</v>
      </c>
      <c r="G193" s="1" t="s">
        <v>4292</v>
      </c>
      <c r="H193" s="1" t="s">
        <v>4293</v>
      </c>
      <c r="I193" s="7" t="str">
        <f>IFERROR(__xludf.DUMMYFUNCTION("GOOGLETRANSLATE(C193, ""en"", ""de"")"),"Passwort nicht geändert. Bitte versuche es erneut.")</f>
        <v>Passwort nicht geändert. Bitte versuche es erneut.</v>
      </c>
      <c r="J193" s="6" t="s">
        <v>4294</v>
      </c>
      <c r="K193" s="1" t="s">
        <v>4295</v>
      </c>
      <c r="L193" s="1" t="s">
        <v>4296</v>
      </c>
      <c r="M193" s="1" t="s">
        <v>4297</v>
      </c>
      <c r="N193" s="6" t="s">
        <v>132</v>
      </c>
      <c r="O193" s="6" t="s">
        <v>4298</v>
      </c>
      <c r="P193" s="1" t="s">
        <v>4299</v>
      </c>
      <c r="Q193" s="1" t="s">
        <v>4300</v>
      </c>
      <c r="R193" s="1" t="s">
        <v>4301</v>
      </c>
      <c r="S193" s="10" t="s">
        <v>4302</v>
      </c>
      <c r="T193" s="1" t="s">
        <v>4303</v>
      </c>
      <c r="U193" s="1" t="s">
        <v>4304</v>
      </c>
      <c r="V193" s="1" t="s">
        <v>4305</v>
      </c>
      <c r="W193" s="1" t="s">
        <v>4306</v>
      </c>
      <c r="X193" s="1" t="s">
        <v>4307</v>
      </c>
      <c r="Y193" s="11" t="s">
        <v>4308</v>
      </c>
      <c r="Z193" s="1" t="s">
        <v>4309</v>
      </c>
      <c r="AA193" s="1" t="s">
        <v>4310</v>
      </c>
      <c r="AB193" s="7" t="str">
        <f>IFERROR(__xludf.DUMMYFUNCTION("GOOGLETRANSLATE(C193, ""en"", ""ru"")"),"Пароль не изменился. Пожалуйста, попробуйте еще раз.")</f>
        <v>Пароль не изменился. Пожалуйста, попробуйте еще раз.</v>
      </c>
      <c r="AC193" s="1" t="s">
        <v>4311</v>
      </c>
      <c r="AD193" s="6" t="s">
        <v>4312</v>
      </c>
      <c r="AE193" s="7" t="str">
        <f>IFERROR(__xludf.DUMMYFUNCTION("GOOGLETRANSLATE(C193, ""en"", ""sr"")"),"Лозинка која се не мења. Молим вас, покушајте поново.")</f>
        <v>Лозинка која се не мења. Молим вас, покушајте поново.</v>
      </c>
      <c r="AF193" s="1" t="s">
        <v>4313</v>
      </c>
      <c r="AG193" s="6" t="s">
        <v>4314</v>
      </c>
      <c r="AH193" s="1" t="s">
        <v>4315</v>
      </c>
      <c r="AI193" s="6" t="s">
        <v>132</v>
      </c>
      <c r="AJ193" s="6" t="s">
        <v>4316</v>
      </c>
      <c r="AK193" s="16" t="s">
        <v>4317</v>
      </c>
      <c r="AL193" s="6" t="s">
        <v>132</v>
      </c>
    </row>
    <row r="194" ht="15.75" customHeight="1">
      <c r="A194" s="1" t="s">
        <v>127</v>
      </c>
      <c r="B194" s="1" t="s">
        <v>4318</v>
      </c>
      <c r="C194" s="1" t="s">
        <v>4319</v>
      </c>
      <c r="D194" s="8" t="s">
        <v>4320</v>
      </c>
      <c r="E194" s="1" t="s">
        <v>4321</v>
      </c>
      <c r="F194" s="6" t="s">
        <v>132</v>
      </c>
      <c r="G194" s="1" t="s">
        <v>4322</v>
      </c>
      <c r="H194" s="1" t="s">
        <v>4323</v>
      </c>
      <c r="I194" s="1" t="s">
        <v>4324</v>
      </c>
      <c r="J194" s="6" t="s">
        <v>4325</v>
      </c>
      <c r="K194" s="1" t="s">
        <v>4326</v>
      </c>
      <c r="L194" s="1" t="s">
        <v>4327</v>
      </c>
      <c r="M194" s="1" t="s">
        <v>4319</v>
      </c>
      <c r="N194" s="6" t="s">
        <v>132</v>
      </c>
      <c r="O194" s="6" t="s">
        <v>4328</v>
      </c>
      <c r="P194" s="1" t="s">
        <v>4319</v>
      </c>
      <c r="Q194" s="1" t="s">
        <v>4329</v>
      </c>
      <c r="R194" s="1" t="s">
        <v>4330</v>
      </c>
      <c r="S194" s="10" t="s">
        <v>4331</v>
      </c>
      <c r="T194" s="1" t="s">
        <v>4332</v>
      </c>
      <c r="U194" s="1" t="s">
        <v>4333</v>
      </c>
      <c r="V194" s="1" t="s">
        <v>4334</v>
      </c>
      <c r="W194" s="1" t="s">
        <v>4335</v>
      </c>
      <c r="X194" s="1" t="s">
        <v>4336</v>
      </c>
      <c r="Y194" s="1" t="s">
        <v>4337</v>
      </c>
      <c r="Z194" s="1" t="s">
        <v>4338</v>
      </c>
      <c r="AA194" s="1" t="s">
        <v>4339</v>
      </c>
      <c r="AB194" s="1" t="s">
        <v>4340</v>
      </c>
      <c r="AC194" s="1" t="s">
        <v>4341</v>
      </c>
      <c r="AD194" s="6" t="s">
        <v>4342</v>
      </c>
      <c r="AE194" s="1" t="s">
        <v>4343</v>
      </c>
      <c r="AF194" s="1" t="s">
        <v>4344</v>
      </c>
      <c r="AG194" s="6" t="s">
        <v>4345</v>
      </c>
      <c r="AH194" s="1" t="s">
        <v>4346</v>
      </c>
      <c r="AI194" s="6" t="s">
        <v>132</v>
      </c>
      <c r="AJ194" s="6" t="s">
        <v>4347</v>
      </c>
      <c r="AK194" s="1" t="s">
        <v>4348</v>
      </c>
      <c r="AL194" s="6" t="s">
        <v>132</v>
      </c>
    </row>
    <row r="195" ht="15.75" hidden="1" customHeight="1">
      <c r="A195" s="1" t="s">
        <v>38</v>
      </c>
      <c r="B195" s="1" t="s">
        <v>4349</v>
      </c>
      <c r="C195" s="1" t="s">
        <v>4350</v>
      </c>
      <c r="D195" s="8" t="s">
        <v>4351</v>
      </c>
      <c r="E195" s="1" t="s">
        <v>4352</v>
      </c>
      <c r="F195" s="6" t="s">
        <v>4353</v>
      </c>
      <c r="G195" s="7" t="str">
        <f>IFERROR(__xludf.DUMMYFUNCTION("GOOGLETRANSLATE(C195, ""en"", ""cs"")"),"Odeslat soukromou zprávu")</f>
        <v>Odeslat soukromou zprávu</v>
      </c>
      <c r="H195" s="7" t="str">
        <f>IFERROR(__xludf.DUMMYFUNCTION("GOOGLETRANSLATE(C195, ""en"", ""da"")"),"Send privat besked")</f>
        <v>Send privat besked</v>
      </c>
      <c r="I195" s="1" t="s">
        <v>4354</v>
      </c>
      <c r="J195" s="6" t="s">
        <v>132</v>
      </c>
      <c r="K195" s="1" t="s">
        <v>4355</v>
      </c>
      <c r="L195" s="7" t="str">
        <f>IFERROR(__xludf.DUMMYFUNCTION("GOOGLETRANSLATE(C195, ""en"", ""fi"")"),"Lähetä yksityinen viesti")</f>
        <v>Lähetä yksityinen viesti</v>
      </c>
      <c r="M195" s="1" t="s">
        <v>4356</v>
      </c>
      <c r="N195" s="6" t="s">
        <v>4357</v>
      </c>
      <c r="O195" s="6" t="s">
        <v>132</v>
      </c>
      <c r="P195" s="1" t="s">
        <v>4358</v>
      </c>
      <c r="Q195" s="9" t="s">
        <v>4359</v>
      </c>
      <c r="R195" s="1" t="s">
        <v>4360</v>
      </c>
      <c r="S195" s="6" t="s">
        <v>132</v>
      </c>
      <c r="T195" s="1" t="s">
        <v>4361</v>
      </c>
      <c r="U195" s="1" t="s">
        <v>4362</v>
      </c>
      <c r="V195" s="7" t="str">
        <f>IFERROR(__xludf.DUMMYFUNCTION("GOOGLETRANSLATE(C195, ""en"", ""ms"")"),"Hantar mesej peribadi")</f>
        <v>Hantar mesej peribadi</v>
      </c>
      <c r="W195" s="1" t="s">
        <v>4363</v>
      </c>
      <c r="X195" s="7" t="str">
        <f>IFERROR(__xludf.DUMMYFUNCTION("GOOGLETRANSLATE(C195, ""en"", ""no"")"),"Send privat melding")</f>
        <v>Send privat melding</v>
      </c>
      <c r="Y195" s="1" t="s">
        <v>4364</v>
      </c>
      <c r="Z195" s="1" t="s">
        <v>4365</v>
      </c>
      <c r="AA195" s="7" t="str">
        <f>IFERROR(__xludf.DUMMYFUNCTION("GOOGLETRANSLATE(C195, ""en"", ""ro"")"),"Trimite un mesaj privat")</f>
        <v>Trimite un mesaj privat</v>
      </c>
      <c r="AB195" s="1" t="s">
        <v>4366</v>
      </c>
      <c r="AC195" s="1" t="s">
        <v>4367</v>
      </c>
      <c r="AD195" s="6" t="s">
        <v>132</v>
      </c>
      <c r="AE195" s="1" t="s">
        <v>4368</v>
      </c>
      <c r="AF195" s="1" t="s">
        <v>4369</v>
      </c>
      <c r="AG195" s="6" t="s">
        <v>132</v>
      </c>
      <c r="AH195" s="7" t="str">
        <f>IFERROR(__xludf.DUMMYFUNCTION("GOOGLETRANSLATE(C195, ""en"", ""tr"")"),"Özel mesaj gönder")</f>
        <v>Özel mesaj gönder</v>
      </c>
      <c r="AI195" s="6" t="s">
        <v>4370</v>
      </c>
      <c r="AJ195" s="6" t="s">
        <v>4371</v>
      </c>
      <c r="AK195" s="7" t="str">
        <f>IFERROR(__xludf.DUMMYFUNCTION("GOOGLETRANSLATE(C195, ""en"", ""zh"")"),"发送私信")</f>
        <v>发送私信</v>
      </c>
      <c r="AL195" s="6" t="s">
        <v>4372</v>
      </c>
    </row>
    <row r="196" ht="15.75" hidden="1" customHeight="1">
      <c r="A196" s="1" t="s">
        <v>38</v>
      </c>
      <c r="B196" s="1" t="s">
        <v>4373</v>
      </c>
      <c r="C196" s="1" t="s">
        <v>4374</v>
      </c>
      <c r="D196" s="7" t="str">
        <f>IFERROR(__xludf.DUMMYFUNCTION("GOOGLETRANSLATE(C196, ""en"", ""ar"")"),"جودة أقل تعني ملفات أصغر")</f>
        <v>جودة أقل تعني ملفات أصغر</v>
      </c>
      <c r="E196" s="1" t="s">
        <v>4375</v>
      </c>
      <c r="F196" s="6" t="s">
        <v>132</v>
      </c>
      <c r="G196" s="7" t="str">
        <f>IFERROR(__xludf.DUMMYFUNCTION("GOOGLETRANSLATE(C196, ""en"", ""cs"")"),"Nižší kvalita znamená menší soubory")</f>
        <v>Nižší kvalita znamená menší soubory</v>
      </c>
      <c r="H196" s="7" t="str">
        <f>IFERROR(__xludf.DUMMYFUNCTION("GOOGLETRANSLATE(C196, ""en"", ""da"")"),"Lavere kvalitet betyder mindre filer")</f>
        <v>Lavere kvalitet betyder mindre filer</v>
      </c>
      <c r="I196" s="1" t="s">
        <v>4376</v>
      </c>
      <c r="J196" s="6" t="s">
        <v>132</v>
      </c>
      <c r="K196" s="1" t="s">
        <v>4377</v>
      </c>
      <c r="L196" s="7" t="str">
        <f>IFERROR(__xludf.DUMMYFUNCTION("GOOGLETRANSLATE(C196, ""en"", ""fi"")"),"Alempi laatu tarkoittaa pienempiä tiedostoja")</f>
        <v>Alempi laatu tarkoittaa pienempiä tiedostoja</v>
      </c>
      <c r="M196" s="1" t="s">
        <v>4378</v>
      </c>
      <c r="N196" s="6" t="s">
        <v>4379</v>
      </c>
      <c r="O196" s="6" t="s">
        <v>132</v>
      </c>
      <c r="P196" s="1" t="s">
        <v>4380</v>
      </c>
      <c r="Q196" s="7" t="str">
        <f>IFERROR(__xludf.DUMMYFUNCTION("GOOGLETRANSLATE(C196, ""en"", ""in"")"),"Kualitas lebih rendah berarti file yang lebih kecil")</f>
        <v>Kualitas lebih rendah berarti file yang lebih kecil</v>
      </c>
      <c r="R196" s="1" t="s">
        <v>4381</v>
      </c>
      <c r="S196" s="6" t="s">
        <v>132</v>
      </c>
      <c r="T196" s="7" t="str">
        <f>IFERROR(__xludf.DUMMYFUNCTION("GOOGLETRANSLATE(C196, ""en"", ""ja"")"),"低品質は、より小さなファイルを意味します")</f>
        <v>低品質は、より小さなファイルを意味します</v>
      </c>
      <c r="U196" s="7" t="str">
        <f>IFERROR(__xludf.DUMMYFUNCTION("GOOGLETRANSLATE(C196, ""en"", ""ko"")"),"낮은 품질은 더 작은 파일을 의미합니다")</f>
        <v>낮은 품질은 더 작은 파일을 의미합니다</v>
      </c>
      <c r="V196" s="7" t="str">
        <f>IFERROR(__xludf.DUMMYFUNCTION("GOOGLETRANSLATE(C196, ""en"", ""ms"")"),"Kualiti yang lebih rendah bermakna fail yang lebih kecil")</f>
        <v>Kualiti yang lebih rendah bermakna fail yang lebih kecil</v>
      </c>
      <c r="W196" s="1" t="s">
        <v>4382</v>
      </c>
      <c r="X196" s="7" t="str">
        <f>IFERROR(__xludf.DUMMYFUNCTION("GOOGLETRANSLATE(C196, ""en"", ""no"")"),"Lavere kvalitet betyr mindre filer")</f>
        <v>Lavere kvalitet betyr mindre filer</v>
      </c>
      <c r="Y196" s="1" t="s">
        <v>4383</v>
      </c>
      <c r="Z196" s="7" t="str">
        <f>IFERROR(__xludf.DUMMYFUNCTION("GOOGLETRANSLATE(C196, ""en"", ""pt"")"),"Menor qualidade significa arquivos menores")</f>
        <v>Menor qualidade significa arquivos menores</v>
      </c>
      <c r="AA196" s="7" t="str">
        <f>IFERROR(__xludf.DUMMYFUNCTION("GOOGLETRANSLATE(C196, ""en"", ""ro"")"),"Calitatea inferioară înseamnă fișiere mai mici")</f>
        <v>Calitatea inferioară înseamnă fișiere mai mici</v>
      </c>
      <c r="AB196" s="7" t="str">
        <f>IFERROR(__xludf.DUMMYFUNCTION("GOOGLETRANSLATE(C196, ""en"", ""ru"")"),"Нижнее качество означает меньшие файлы")</f>
        <v>Нижнее качество означает меньшие файлы</v>
      </c>
      <c r="AC196" s="7" t="str">
        <f>IFERROR(__xludf.DUMMYFUNCTION("GOOGLETRANSLATE(C196, ""en"", ""sk"")"),"Nižšia kvalita znamená menšie súbory")</f>
        <v>Nižšia kvalita znamená menšie súbory</v>
      </c>
      <c r="AD196" s="6" t="s">
        <v>132</v>
      </c>
      <c r="AE196" s="7" t="str">
        <f>IFERROR(__xludf.DUMMYFUNCTION("GOOGLETRANSLATE(C196, ""en"", ""sr"")"),"Смањи квалитет значи мање датотеке")</f>
        <v>Смањи квалитет значи мање датотеке</v>
      </c>
      <c r="AF196" s="7" t="str">
        <f>IFERROR(__xludf.DUMMYFUNCTION("GOOGLETRANSLATE(C196, ""en"", ""sv"")"),"Lägre kvalitet betyder mindre filer")</f>
        <v>Lägre kvalitet betyder mindre filer</v>
      </c>
      <c r="AG196" s="6" t="s">
        <v>132</v>
      </c>
      <c r="AH196" s="7" t="str">
        <f>IFERROR(__xludf.DUMMYFUNCTION("GOOGLETRANSLATE(C196, ""en"", ""tr"")"),"Düşük kalite daha küçük dosyalar demektir")</f>
        <v>Düşük kalite daha küçük dosyalar demektir</v>
      </c>
      <c r="AI196" s="6" t="s">
        <v>132</v>
      </c>
      <c r="AJ196" s="6" t="s">
        <v>132</v>
      </c>
      <c r="AK196" s="7" t="str">
        <f>IFERROR(__xludf.DUMMYFUNCTION("GOOGLETRANSLATE(C196, ""en"", ""zh"")"),"较低的质量意味着较小的文件")</f>
        <v>较低的质量意味着较小的文件</v>
      </c>
      <c r="AL196" s="6" t="s">
        <v>132</v>
      </c>
    </row>
    <row r="197" ht="15.75" hidden="1" customHeight="1">
      <c r="A197" s="1" t="s">
        <v>38</v>
      </c>
      <c r="B197" s="1" t="s">
        <v>4384</v>
      </c>
      <c r="C197" s="1" t="s">
        <v>4385</v>
      </c>
      <c r="D197" s="7" t="str">
        <f>IFERROR(__xludf.DUMMYFUNCTION("GOOGLETRANSLATE(C197, ""en"", ""ar"")"),"إستونيا")</f>
        <v>إستونيا</v>
      </c>
      <c r="E197" s="7" t="str">
        <f>IFERROR(__xludf.DUMMYFUNCTION("GOOGLETRANSLATE(C197, ""en"", ""bg"")"),"Естония")</f>
        <v>Естония</v>
      </c>
      <c r="F197" s="6" t="s">
        <v>132</v>
      </c>
      <c r="G197" s="7" t="str">
        <f>IFERROR(__xludf.DUMMYFUNCTION("GOOGLETRANSLATE(C197, ""en"", ""cs"")"),"Estonsko")</f>
        <v>Estonsko</v>
      </c>
      <c r="H197" s="7" t="str">
        <f>IFERROR(__xludf.DUMMYFUNCTION("GOOGLETRANSLATE(C197, ""en"", ""da"")"),"Estland.")</f>
        <v>Estland.</v>
      </c>
      <c r="I197" s="1" t="s">
        <v>4386</v>
      </c>
      <c r="J197" s="6" t="s">
        <v>132</v>
      </c>
      <c r="K197" s="1" t="s">
        <v>4385</v>
      </c>
      <c r="L197" s="7" t="str">
        <f>IFERROR(__xludf.DUMMYFUNCTION("GOOGLETRANSLATE(C197, ""en"", ""fi"")"),"Viro")</f>
        <v>Viro</v>
      </c>
      <c r="M197" s="1" t="s">
        <v>4387</v>
      </c>
      <c r="N197" s="6" t="s">
        <v>132</v>
      </c>
      <c r="O197" s="6" t="s">
        <v>132</v>
      </c>
      <c r="P197" s="1" t="s">
        <v>4385</v>
      </c>
      <c r="Q197" s="7" t="str">
        <f>IFERROR(__xludf.DUMMYFUNCTION("GOOGLETRANSLATE(C197, ""en"", ""in"")"),"Estonia")</f>
        <v>Estonia</v>
      </c>
      <c r="R197" s="7" t="str">
        <f>IFERROR(__xludf.DUMMYFUNCTION("GOOGLETRANSLATE(C197, ""en"", ""it"")"),"Estonia")</f>
        <v>Estonia</v>
      </c>
      <c r="S197" s="6" t="s">
        <v>132</v>
      </c>
      <c r="T197" s="7" t="str">
        <f>IFERROR(__xludf.DUMMYFUNCTION("GOOGLETRANSLATE(C197, ""en"", ""ja"")"),"エストニア")</f>
        <v>エストニア</v>
      </c>
      <c r="U197" s="7" t="str">
        <f>IFERROR(__xludf.DUMMYFUNCTION("GOOGLETRANSLATE(C197, ""en"", ""ko"")"),"에스토니아")</f>
        <v>에스토니아</v>
      </c>
      <c r="V197" s="7" t="str">
        <f>IFERROR(__xludf.DUMMYFUNCTION("GOOGLETRANSLATE(C197, ""en"", ""ms"")"),"Estonia")</f>
        <v>Estonia</v>
      </c>
      <c r="W197" s="7" t="str">
        <f>IFERROR(__xludf.DUMMYFUNCTION("GOOGLETRANSLATE(C197, ""en"", ""nl"")"),"Estland")</f>
        <v>Estland</v>
      </c>
      <c r="X197" s="7" t="str">
        <f>IFERROR(__xludf.DUMMYFUNCTION("GOOGLETRANSLATE(C197, ""en"", ""no"")"),"Estland")</f>
        <v>Estland</v>
      </c>
      <c r="Y197" s="7" t="str">
        <f>IFERROR(__xludf.DUMMYFUNCTION("GOOGLETRANSLATE(C197, ""en"", ""pl"")"),"Estonia")</f>
        <v>Estonia</v>
      </c>
      <c r="Z197" s="7" t="str">
        <f>IFERROR(__xludf.DUMMYFUNCTION("GOOGLETRANSLATE(C197, ""en"", ""pt"")"),"Estônia")</f>
        <v>Estônia</v>
      </c>
      <c r="AA197" s="7" t="str">
        <f>IFERROR(__xludf.DUMMYFUNCTION("GOOGLETRANSLATE(C197, ""en"", ""ro"")"),"Estonia")</f>
        <v>Estonia</v>
      </c>
      <c r="AB197" s="1" t="s">
        <v>4388</v>
      </c>
      <c r="AC197" s="7" t="str">
        <f>IFERROR(__xludf.DUMMYFUNCTION("GOOGLETRANSLATE(C197, ""en"", ""sk"")"),"Estónsko")</f>
        <v>Estónsko</v>
      </c>
      <c r="AD197" s="6" t="s">
        <v>132</v>
      </c>
      <c r="AE197" s="1" t="s">
        <v>4389</v>
      </c>
      <c r="AF197" s="7" t="str">
        <f>IFERROR(__xludf.DUMMYFUNCTION("GOOGLETRANSLATE(C197, ""en"", ""sv"")"),"Estland")</f>
        <v>Estland</v>
      </c>
      <c r="AG197" s="6" t="s">
        <v>132</v>
      </c>
      <c r="AH197" s="7" t="str">
        <f>IFERROR(__xludf.DUMMYFUNCTION("GOOGLETRANSLATE(C197, ""en"", ""tr"")"),"Estonya")</f>
        <v>Estonya</v>
      </c>
      <c r="AI197" s="6" t="s">
        <v>132</v>
      </c>
      <c r="AJ197" s="6" t="s">
        <v>132</v>
      </c>
      <c r="AK197" s="7" t="str">
        <f>IFERROR(__xludf.DUMMYFUNCTION("GOOGLETRANSLATE(C197, ""en"", ""zh"")"),"爱沙尼亚")</f>
        <v>爱沙尼亚</v>
      </c>
      <c r="AL197" s="6" t="s">
        <v>132</v>
      </c>
    </row>
    <row r="198" ht="15.75" customHeight="1">
      <c r="A198" s="1" t="s">
        <v>127</v>
      </c>
      <c r="B198" s="1" t="s">
        <v>4390</v>
      </c>
      <c r="C198" s="1" t="s">
        <v>4391</v>
      </c>
      <c r="D198" s="8" t="s">
        <v>4392</v>
      </c>
      <c r="E198" s="1" t="s">
        <v>4393</v>
      </c>
      <c r="F198" s="6" t="s">
        <v>132</v>
      </c>
      <c r="G198" s="1" t="s">
        <v>4394</v>
      </c>
      <c r="H198" s="1" t="s">
        <v>4395</v>
      </c>
      <c r="I198" s="1" t="s">
        <v>4396</v>
      </c>
      <c r="J198" s="6" t="s">
        <v>4397</v>
      </c>
      <c r="K198" s="1" t="s">
        <v>4391</v>
      </c>
      <c r="L198" s="1" t="s">
        <v>4398</v>
      </c>
      <c r="M198" s="1" t="s">
        <v>4399</v>
      </c>
      <c r="N198" s="6" t="s">
        <v>132</v>
      </c>
      <c r="O198" s="6" t="s">
        <v>4400</v>
      </c>
      <c r="P198" s="1" t="s">
        <v>2397</v>
      </c>
      <c r="Q198" s="1" t="s">
        <v>4401</v>
      </c>
      <c r="R198" s="1" t="s">
        <v>4402</v>
      </c>
      <c r="S198" s="10" t="s">
        <v>4403</v>
      </c>
      <c r="T198" s="1" t="s">
        <v>4404</v>
      </c>
      <c r="U198" s="1" t="s">
        <v>3020</v>
      </c>
      <c r="V198" s="1" t="s">
        <v>4401</v>
      </c>
      <c r="W198" s="1" t="s">
        <v>4405</v>
      </c>
      <c r="X198" s="1" t="s">
        <v>4406</v>
      </c>
      <c r="Y198" s="1" t="s">
        <v>4407</v>
      </c>
      <c r="Z198" s="1" t="s">
        <v>4408</v>
      </c>
      <c r="AA198" s="1" t="s">
        <v>4409</v>
      </c>
      <c r="AB198" s="1" t="s">
        <v>4410</v>
      </c>
      <c r="AC198" s="1" t="s">
        <v>4411</v>
      </c>
      <c r="AD198" s="6" t="s">
        <v>4412</v>
      </c>
      <c r="AE198" s="1" t="s">
        <v>4413</v>
      </c>
      <c r="AF198" s="1" t="s">
        <v>4414</v>
      </c>
      <c r="AG198" s="6" t="s">
        <v>4415</v>
      </c>
      <c r="AH198" s="1" t="s">
        <v>4416</v>
      </c>
      <c r="AI198" s="6" t="s">
        <v>132</v>
      </c>
      <c r="AJ198" s="6" t="s">
        <v>3033</v>
      </c>
      <c r="AK198" s="1" t="s">
        <v>3034</v>
      </c>
      <c r="AL198" s="6" t="s">
        <v>132</v>
      </c>
    </row>
    <row r="199" ht="15.75" customHeight="1">
      <c r="A199" s="1" t="s">
        <v>127</v>
      </c>
      <c r="B199" s="1" t="s">
        <v>4417</v>
      </c>
      <c r="C199" s="1" t="s">
        <v>4418</v>
      </c>
      <c r="D199" s="8" t="s">
        <v>4419</v>
      </c>
      <c r="E199" s="1" t="s">
        <v>4420</v>
      </c>
      <c r="F199" s="6" t="s">
        <v>132</v>
      </c>
      <c r="G199" s="1" t="s">
        <v>4421</v>
      </c>
      <c r="H199" s="1" t="s">
        <v>4422</v>
      </c>
      <c r="I199" s="1" t="s">
        <v>4423</v>
      </c>
      <c r="J199" s="6" t="s">
        <v>4424</v>
      </c>
      <c r="K199" s="1" t="s">
        <v>4425</v>
      </c>
      <c r="L199" s="1" t="s">
        <v>4426</v>
      </c>
      <c r="M199" s="1" t="s">
        <v>4427</v>
      </c>
      <c r="N199" s="6" t="s">
        <v>132</v>
      </c>
      <c r="O199" s="6" t="s">
        <v>4428</v>
      </c>
      <c r="P199" s="1" t="s">
        <v>4429</v>
      </c>
      <c r="Q199" s="1" t="s">
        <v>4430</v>
      </c>
      <c r="R199" s="1" t="s">
        <v>4431</v>
      </c>
      <c r="S199" s="10" t="s">
        <v>4432</v>
      </c>
      <c r="T199" s="1" t="s">
        <v>4433</v>
      </c>
      <c r="U199" s="1" t="s">
        <v>4434</v>
      </c>
      <c r="V199" s="1" t="s">
        <v>4430</v>
      </c>
      <c r="W199" s="1" t="s">
        <v>4435</v>
      </c>
      <c r="X199" s="1" t="s">
        <v>4436</v>
      </c>
      <c r="Y199" s="1" t="s">
        <v>4437</v>
      </c>
      <c r="Z199" s="1" t="s">
        <v>4438</v>
      </c>
      <c r="AA199" s="1" t="s">
        <v>4439</v>
      </c>
      <c r="AB199" s="1" t="s">
        <v>4440</v>
      </c>
      <c r="AC199" s="1" t="s">
        <v>4421</v>
      </c>
      <c r="AD199" s="6" t="s">
        <v>4441</v>
      </c>
      <c r="AE199" s="1" t="s">
        <v>4442</v>
      </c>
      <c r="AF199" s="1" t="s">
        <v>4422</v>
      </c>
      <c r="AG199" s="6" t="s">
        <v>4443</v>
      </c>
      <c r="AH199" s="1" t="s">
        <v>4444</v>
      </c>
      <c r="AI199" s="6" t="s">
        <v>132</v>
      </c>
      <c r="AJ199" s="6" t="s">
        <v>4445</v>
      </c>
      <c r="AK199" s="1" t="s">
        <v>4446</v>
      </c>
      <c r="AL199" s="6" t="s">
        <v>4447</v>
      </c>
    </row>
    <row r="200" ht="15.75" hidden="1" customHeight="1">
      <c r="A200" s="1" t="s">
        <v>38</v>
      </c>
      <c r="B200" s="1" t="s">
        <v>4448</v>
      </c>
      <c r="C200" s="1" t="s">
        <v>4449</v>
      </c>
      <c r="D200" s="8" t="s">
        <v>4450</v>
      </c>
      <c r="E200" s="1" t="s">
        <v>4451</v>
      </c>
      <c r="F200" s="6" t="s">
        <v>4452</v>
      </c>
      <c r="G200" s="7" t="str">
        <f>IFERROR(__xludf.DUMMYFUNCTION("GOOGLETRANSLATE(C200, ""en"", ""cs"")"),"Doba spuštění")</f>
        <v>Doba spuštění</v>
      </c>
      <c r="H200" s="7" t="str">
        <f>IFERROR(__xludf.DUMMYFUNCTION("GOOGLETRANSLATE(C200, ""en"", ""da"")"),"Starttidspunkt")</f>
        <v>Starttidspunkt</v>
      </c>
      <c r="I200" s="1" t="s">
        <v>4453</v>
      </c>
      <c r="J200" s="6" t="s">
        <v>132</v>
      </c>
      <c r="K200" s="1" t="s">
        <v>4454</v>
      </c>
      <c r="L200" s="7" t="str">
        <f>IFERROR(__xludf.DUMMYFUNCTION("GOOGLETRANSLATE(C200, ""en"", ""fi"")"),"Aloitusaika")</f>
        <v>Aloitusaika</v>
      </c>
      <c r="M200" s="1" t="s">
        <v>4455</v>
      </c>
      <c r="N200" s="6" t="s">
        <v>4456</v>
      </c>
      <c r="O200" s="6" t="s">
        <v>132</v>
      </c>
      <c r="P200" s="1" t="s">
        <v>4457</v>
      </c>
      <c r="Q200" s="9" t="s">
        <v>4458</v>
      </c>
      <c r="R200" s="1" t="s">
        <v>4459</v>
      </c>
      <c r="S200" s="6" t="s">
        <v>132</v>
      </c>
      <c r="T200" s="1" t="s">
        <v>4460</v>
      </c>
      <c r="U200" s="1" t="s">
        <v>4461</v>
      </c>
      <c r="V200" s="7" t="str">
        <f>IFERROR(__xludf.DUMMYFUNCTION("GOOGLETRANSLATE(C200, ""en"", ""ms"")"),"Masa mula")</f>
        <v>Masa mula</v>
      </c>
      <c r="W200" s="1" t="s">
        <v>4462</v>
      </c>
      <c r="X200" s="7" t="str">
        <f>IFERROR(__xludf.DUMMYFUNCTION("GOOGLETRANSLATE(C200, ""en"", ""no"")"),"Starttid")</f>
        <v>Starttid</v>
      </c>
      <c r="Y200" s="1" t="s">
        <v>4463</v>
      </c>
      <c r="Z200" s="1" t="s">
        <v>4464</v>
      </c>
      <c r="AA200" s="7" t="str">
        <f>IFERROR(__xludf.DUMMYFUNCTION("GOOGLETRANSLATE(C200, ""en"", ""ro"")"),"Timpul de începere")</f>
        <v>Timpul de începere</v>
      </c>
      <c r="AB200" s="1" t="s">
        <v>4451</v>
      </c>
      <c r="AC200" s="1" t="s">
        <v>4465</v>
      </c>
      <c r="AD200" s="6" t="s">
        <v>132</v>
      </c>
      <c r="AE200" s="1" t="s">
        <v>4466</v>
      </c>
      <c r="AF200" s="1" t="s">
        <v>4467</v>
      </c>
      <c r="AG200" s="6" t="s">
        <v>132</v>
      </c>
      <c r="AH200" s="7" t="str">
        <f>IFERROR(__xludf.DUMMYFUNCTION("GOOGLETRANSLATE(C200, ""en"", ""tr"")"),"Başlangıç ​​saati")</f>
        <v>Başlangıç ​​saati</v>
      </c>
      <c r="AI200" s="6" t="s">
        <v>4468</v>
      </c>
      <c r="AJ200" s="6" t="s">
        <v>4469</v>
      </c>
      <c r="AK200" s="7" t="str">
        <f>IFERROR(__xludf.DUMMYFUNCTION("GOOGLETRANSLATE(C200, ""en"", ""zh"")"),"开始时间")</f>
        <v>开始时间</v>
      </c>
      <c r="AL200" s="6" t="s">
        <v>4460</v>
      </c>
    </row>
    <row r="201" ht="15.75" customHeight="1">
      <c r="A201" s="1" t="s">
        <v>127</v>
      </c>
      <c r="B201" s="1" t="s">
        <v>4470</v>
      </c>
      <c r="C201" s="1" t="s">
        <v>4471</v>
      </c>
      <c r="D201" s="8" t="s">
        <v>4472</v>
      </c>
      <c r="E201" s="1" t="s">
        <v>4473</v>
      </c>
      <c r="F201" s="6" t="s">
        <v>132</v>
      </c>
      <c r="G201" s="1" t="s">
        <v>4474</v>
      </c>
      <c r="H201" s="1" t="s">
        <v>4475</v>
      </c>
      <c r="I201" s="1" t="s">
        <v>4471</v>
      </c>
      <c r="J201" s="6" t="s">
        <v>4476</v>
      </c>
      <c r="K201" s="1" t="s">
        <v>4477</v>
      </c>
      <c r="L201" s="1" t="s">
        <v>4478</v>
      </c>
      <c r="M201" s="1" t="s">
        <v>4479</v>
      </c>
      <c r="N201" s="6" t="s">
        <v>132</v>
      </c>
      <c r="O201" s="6" t="s">
        <v>4480</v>
      </c>
      <c r="P201" s="1" t="s">
        <v>4481</v>
      </c>
      <c r="Q201" s="1" t="s">
        <v>4482</v>
      </c>
      <c r="R201" s="1" t="s">
        <v>4477</v>
      </c>
      <c r="S201" s="10" t="s">
        <v>4483</v>
      </c>
      <c r="T201" s="1" t="s">
        <v>4484</v>
      </c>
      <c r="U201" s="1" t="s">
        <v>4485</v>
      </c>
      <c r="V201" s="1" t="s">
        <v>4482</v>
      </c>
      <c r="W201" s="1" t="s">
        <v>4486</v>
      </c>
      <c r="X201" s="1" t="s">
        <v>4487</v>
      </c>
      <c r="Y201" s="1" t="s">
        <v>4488</v>
      </c>
      <c r="Z201" s="1" t="s">
        <v>4489</v>
      </c>
      <c r="AA201" s="1" t="s">
        <v>4490</v>
      </c>
      <c r="AB201" s="1" t="s">
        <v>4491</v>
      </c>
      <c r="AC201" s="1" t="s">
        <v>4474</v>
      </c>
      <c r="AD201" s="6" t="s">
        <v>4474</v>
      </c>
      <c r="AE201" s="1" t="s">
        <v>4474</v>
      </c>
      <c r="AF201" s="1" t="s">
        <v>4475</v>
      </c>
      <c r="AG201" s="6" t="s">
        <v>4492</v>
      </c>
      <c r="AH201" s="1" t="s">
        <v>4493</v>
      </c>
      <c r="AI201" s="6" t="s">
        <v>132</v>
      </c>
      <c r="AJ201" s="6" t="s">
        <v>4494</v>
      </c>
      <c r="AK201" s="1" t="s">
        <v>4495</v>
      </c>
      <c r="AL201" s="6" t="s">
        <v>4496</v>
      </c>
    </row>
    <row r="202" ht="15.75" hidden="1" customHeight="1">
      <c r="A202" s="1" t="s">
        <v>38</v>
      </c>
      <c r="B202" s="1" t="s">
        <v>4497</v>
      </c>
      <c r="C202" s="1" t="s">
        <v>4498</v>
      </c>
      <c r="D202" s="8" t="s">
        <v>4499</v>
      </c>
      <c r="E202" s="1" t="s">
        <v>4500</v>
      </c>
      <c r="F202" s="6" t="s">
        <v>4501</v>
      </c>
      <c r="G202" s="7" t="str">
        <f>IFERROR(__xludf.DUMMYFUNCTION("GOOGLETRANSLATE(C202, ""en"", ""cs"")"),"Až na další oznámení")</f>
        <v>Až na další oznámení</v>
      </c>
      <c r="H202" s="7" t="str">
        <f>IFERROR(__xludf.DUMMYFUNCTION("GOOGLETRANSLATE(C202, ""en"", ""da"")"),"Indtil videre")</f>
        <v>Indtil videre</v>
      </c>
      <c r="I202" s="1" t="s">
        <v>4502</v>
      </c>
      <c r="J202" s="6" t="s">
        <v>132</v>
      </c>
      <c r="K202" s="1" t="s">
        <v>4503</v>
      </c>
      <c r="L202" s="7" t="str">
        <f>IFERROR(__xludf.DUMMYFUNCTION("GOOGLETRANSLATE(C202, ""en"", ""fi"")"),"Toistaiseksi")</f>
        <v>Toistaiseksi</v>
      </c>
      <c r="M202" s="1" t="s">
        <v>4504</v>
      </c>
      <c r="N202" s="6" t="s">
        <v>4505</v>
      </c>
      <c r="O202" s="6" t="s">
        <v>132</v>
      </c>
      <c r="P202" s="1" t="s">
        <v>4506</v>
      </c>
      <c r="Q202" s="9" t="s">
        <v>4507</v>
      </c>
      <c r="R202" s="1" t="s">
        <v>4508</v>
      </c>
      <c r="S202" s="6" t="s">
        <v>132</v>
      </c>
      <c r="T202" s="1" t="s">
        <v>4509</v>
      </c>
      <c r="U202" s="1" t="s">
        <v>4510</v>
      </c>
      <c r="V202" s="7" t="str">
        <f>IFERROR(__xludf.DUMMYFUNCTION("GOOGLETRANSLATE(C202, ""en"", ""ms"")"),"Sehingga diberitahu kelak")</f>
        <v>Sehingga diberitahu kelak</v>
      </c>
      <c r="W202" s="1" t="s">
        <v>4511</v>
      </c>
      <c r="X202" s="7" t="str">
        <f>IFERROR(__xludf.DUMMYFUNCTION("GOOGLETRANSLATE(C202, ""en"", ""no"")"),"Inntil videre")</f>
        <v>Inntil videre</v>
      </c>
      <c r="Y202" s="1" t="s">
        <v>4512</v>
      </c>
      <c r="Z202" s="1" t="s">
        <v>4513</v>
      </c>
      <c r="AA202" s="7" t="str">
        <f>IFERROR(__xludf.DUMMYFUNCTION("GOOGLETRANSLATE(C202, ""en"", ""ro"")"),"Pana la noi informatii")</f>
        <v>Pana la noi informatii</v>
      </c>
      <c r="AB202" s="1" t="s">
        <v>4514</v>
      </c>
      <c r="AC202" s="1" t="s">
        <v>4515</v>
      </c>
      <c r="AD202" s="6" t="s">
        <v>132</v>
      </c>
      <c r="AE202" s="1" t="s">
        <v>4516</v>
      </c>
      <c r="AF202" s="1" t="s">
        <v>4517</v>
      </c>
      <c r="AG202" s="6" t="s">
        <v>132</v>
      </c>
      <c r="AH202" s="7" t="str">
        <f>IFERROR(__xludf.DUMMYFUNCTION("GOOGLETRANSLATE(C202, ""en"", ""tr"")"),"Yeni bildiriye kadar")</f>
        <v>Yeni bildiriye kadar</v>
      </c>
      <c r="AI202" s="6" t="s">
        <v>4518</v>
      </c>
      <c r="AJ202" s="6" t="s">
        <v>4519</v>
      </c>
      <c r="AK202" s="7" t="str">
        <f>IFERROR(__xludf.DUMMYFUNCTION("GOOGLETRANSLATE(C202, ""en"", ""zh"")"),"直至另行通知")</f>
        <v>直至另行通知</v>
      </c>
      <c r="AL202" s="6" t="s">
        <v>4520</v>
      </c>
    </row>
    <row r="203" ht="15.75" customHeight="1">
      <c r="A203" s="1" t="s">
        <v>127</v>
      </c>
      <c r="B203" s="1" t="s">
        <v>4521</v>
      </c>
      <c r="C203" s="1" t="s">
        <v>4522</v>
      </c>
      <c r="D203" s="8" t="s">
        <v>4523</v>
      </c>
      <c r="E203" s="1" t="s">
        <v>4524</v>
      </c>
      <c r="F203" s="6" t="s">
        <v>132</v>
      </c>
      <c r="G203" s="1" t="s">
        <v>4525</v>
      </c>
      <c r="H203" s="1" t="s">
        <v>4526</v>
      </c>
      <c r="I203" s="1" t="s">
        <v>4527</v>
      </c>
      <c r="J203" s="6" t="s">
        <v>4528</v>
      </c>
      <c r="K203" s="1" t="s">
        <v>4529</v>
      </c>
      <c r="L203" s="1" t="s">
        <v>4530</v>
      </c>
      <c r="M203" s="1" t="s">
        <v>4531</v>
      </c>
      <c r="N203" s="6" t="s">
        <v>132</v>
      </c>
      <c r="O203" s="6" t="s">
        <v>4532</v>
      </c>
      <c r="P203" s="1" t="s">
        <v>4533</v>
      </c>
      <c r="Q203" s="1" t="s">
        <v>4534</v>
      </c>
      <c r="R203" s="1" t="s">
        <v>4535</v>
      </c>
      <c r="S203" s="10" t="s">
        <v>4536</v>
      </c>
      <c r="T203" s="1" t="s">
        <v>4537</v>
      </c>
      <c r="U203" s="1" t="s">
        <v>4538</v>
      </c>
      <c r="V203" s="1" t="s">
        <v>4534</v>
      </c>
      <c r="W203" s="1" t="s">
        <v>4539</v>
      </c>
      <c r="X203" s="1" t="s">
        <v>4540</v>
      </c>
      <c r="Y203" s="1" t="s">
        <v>4541</v>
      </c>
      <c r="Z203" s="1" t="s">
        <v>4542</v>
      </c>
      <c r="AA203" s="1" t="s">
        <v>4543</v>
      </c>
      <c r="AB203" s="1" t="s">
        <v>4544</v>
      </c>
      <c r="AC203" s="1" t="s">
        <v>4545</v>
      </c>
      <c r="AD203" s="6" t="s">
        <v>4546</v>
      </c>
      <c r="AE203" s="1" t="s">
        <v>4547</v>
      </c>
      <c r="AF203" s="1" t="s">
        <v>4548</v>
      </c>
      <c r="AG203" s="6" t="s">
        <v>4549</v>
      </c>
      <c r="AH203" s="1" t="s">
        <v>4550</v>
      </c>
      <c r="AI203" s="6" t="s">
        <v>132</v>
      </c>
      <c r="AJ203" s="6" t="s">
        <v>4551</v>
      </c>
      <c r="AK203" s="1" t="s">
        <v>4552</v>
      </c>
      <c r="AL203" s="6" t="s">
        <v>132</v>
      </c>
    </row>
    <row r="204" ht="15.75" customHeight="1">
      <c r="A204" s="1" t="s">
        <v>127</v>
      </c>
      <c r="B204" s="1" t="s">
        <v>4553</v>
      </c>
      <c r="C204" s="1" t="s">
        <v>4554</v>
      </c>
      <c r="D204" s="8" t="s">
        <v>4555</v>
      </c>
      <c r="E204" s="1" t="s">
        <v>4556</v>
      </c>
      <c r="F204" s="6" t="s">
        <v>132</v>
      </c>
      <c r="G204" s="1" t="s">
        <v>4557</v>
      </c>
      <c r="H204" s="1" t="s">
        <v>4558</v>
      </c>
      <c r="I204" s="1" t="s">
        <v>4559</v>
      </c>
      <c r="J204" s="6" t="s">
        <v>4560</v>
      </c>
      <c r="K204" s="1" t="s">
        <v>4561</v>
      </c>
      <c r="L204" s="1" t="s">
        <v>4562</v>
      </c>
      <c r="M204" s="1" t="s">
        <v>4563</v>
      </c>
      <c r="N204" s="6" t="s">
        <v>132</v>
      </c>
      <c r="O204" s="6" t="s">
        <v>4564</v>
      </c>
      <c r="P204" s="1" t="s">
        <v>4565</v>
      </c>
      <c r="Q204" s="1" t="s">
        <v>4566</v>
      </c>
      <c r="R204" s="1" t="s">
        <v>4567</v>
      </c>
      <c r="S204" s="10" t="s">
        <v>4568</v>
      </c>
      <c r="T204" s="1" t="s">
        <v>4569</v>
      </c>
      <c r="U204" s="1" t="s">
        <v>4570</v>
      </c>
      <c r="V204" s="1" t="s">
        <v>4566</v>
      </c>
      <c r="W204" s="1" t="s">
        <v>4571</v>
      </c>
      <c r="X204" s="1" t="s">
        <v>4572</v>
      </c>
      <c r="Y204" s="1" t="s">
        <v>4573</v>
      </c>
      <c r="Z204" s="1" t="s">
        <v>4574</v>
      </c>
      <c r="AA204" s="1" t="s">
        <v>4575</v>
      </c>
      <c r="AB204" s="1" t="s">
        <v>4576</v>
      </c>
      <c r="AC204" s="1" t="s">
        <v>4577</v>
      </c>
      <c r="AD204" s="6" t="s">
        <v>4578</v>
      </c>
      <c r="AE204" s="1" t="s">
        <v>4579</v>
      </c>
      <c r="AF204" s="1" t="s">
        <v>4580</v>
      </c>
      <c r="AG204" s="6" t="s">
        <v>4581</v>
      </c>
      <c r="AH204" s="1" t="s">
        <v>4582</v>
      </c>
      <c r="AI204" s="6" t="s">
        <v>132</v>
      </c>
      <c r="AJ204" s="6" t="s">
        <v>4583</v>
      </c>
      <c r="AK204" s="1" t="s">
        <v>4584</v>
      </c>
      <c r="AL204" s="6" t="s">
        <v>4585</v>
      </c>
    </row>
    <row r="205" ht="15.75" customHeight="1">
      <c r="A205" s="1" t="s">
        <v>127</v>
      </c>
      <c r="B205" s="1" t="s">
        <v>4586</v>
      </c>
      <c r="C205" s="1" t="s">
        <v>4587</v>
      </c>
      <c r="D205" s="8" t="s">
        <v>4588</v>
      </c>
      <c r="E205" s="1" t="s">
        <v>4589</v>
      </c>
      <c r="F205" s="6" t="s">
        <v>132</v>
      </c>
      <c r="G205" s="1" t="s">
        <v>4590</v>
      </c>
      <c r="H205" s="1" t="s">
        <v>4591</v>
      </c>
      <c r="I205" s="1" t="s">
        <v>4592</v>
      </c>
      <c r="J205" s="6" t="s">
        <v>4593</v>
      </c>
      <c r="K205" s="1" t="s">
        <v>4594</v>
      </c>
      <c r="L205" s="1" t="s">
        <v>4595</v>
      </c>
      <c r="M205" s="1" t="s">
        <v>4596</v>
      </c>
      <c r="N205" s="6" t="s">
        <v>132</v>
      </c>
      <c r="O205" s="6" t="s">
        <v>4597</v>
      </c>
      <c r="P205" s="1" t="s">
        <v>4598</v>
      </c>
      <c r="Q205" s="1" t="s">
        <v>4599</v>
      </c>
      <c r="R205" s="1" t="s">
        <v>4600</v>
      </c>
      <c r="S205" s="10" t="s">
        <v>4601</v>
      </c>
      <c r="T205" s="1" t="s">
        <v>4602</v>
      </c>
      <c r="U205" s="1" t="s">
        <v>4603</v>
      </c>
      <c r="V205" s="1" t="s">
        <v>4604</v>
      </c>
      <c r="W205" s="1" t="s">
        <v>4605</v>
      </c>
      <c r="X205" s="1" t="s">
        <v>4606</v>
      </c>
      <c r="Y205" s="1" t="s">
        <v>4607</v>
      </c>
      <c r="Z205" s="1" t="s">
        <v>4608</v>
      </c>
      <c r="AA205" s="1" t="s">
        <v>4609</v>
      </c>
      <c r="AB205" s="1" t="s">
        <v>4610</v>
      </c>
      <c r="AC205" s="1" t="s">
        <v>4611</v>
      </c>
      <c r="AD205" s="6" t="s">
        <v>4612</v>
      </c>
      <c r="AE205" s="1" t="s">
        <v>4612</v>
      </c>
      <c r="AF205" s="1" t="s">
        <v>4613</v>
      </c>
      <c r="AG205" s="6" t="s">
        <v>4614</v>
      </c>
      <c r="AH205" s="1" t="s">
        <v>4615</v>
      </c>
      <c r="AI205" s="6" t="s">
        <v>132</v>
      </c>
      <c r="AJ205" s="6" t="s">
        <v>4616</v>
      </c>
      <c r="AK205" s="1" t="s">
        <v>4617</v>
      </c>
      <c r="AL205" s="6" t="s">
        <v>132</v>
      </c>
    </row>
    <row r="206" ht="15.75" customHeight="1">
      <c r="A206" s="1" t="s">
        <v>127</v>
      </c>
      <c r="B206" s="1" t="s">
        <v>4618</v>
      </c>
      <c r="C206" s="1" t="s">
        <v>4619</v>
      </c>
      <c r="D206" s="8" t="s">
        <v>4620</v>
      </c>
      <c r="E206" s="1" t="s">
        <v>4621</v>
      </c>
      <c r="F206" s="6" t="s">
        <v>132</v>
      </c>
      <c r="G206" s="1" t="s">
        <v>4622</v>
      </c>
      <c r="H206" s="1" t="s">
        <v>4623</v>
      </c>
      <c r="I206" s="1" t="s">
        <v>4624</v>
      </c>
      <c r="J206" s="6" t="s">
        <v>4625</v>
      </c>
      <c r="K206" s="1" t="s">
        <v>4626</v>
      </c>
      <c r="L206" s="1" t="s">
        <v>4627</v>
      </c>
      <c r="M206" s="1" t="s">
        <v>4628</v>
      </c>
      <c r="N206" s="6" t="s">
        <v>132</v>
      </c>
      <c r="O206" s="6" t="s">
        <v>4629</v>
      </c>
      <c r="P206" s="1" t="s">
        <v>4630</v>
      </c>
      <c r="Q206" s="1" t="s">
        <v>4631</v>
      </c>
      <c r="R206" s="1" t="s">
        <v>4632</v>
      </c>
      <c r="S206" s="10" t="s">
        <v>4633</v>
      </c>
      <c r="T206" s="1" t="s">
        <v>4634</v>
      </c>
      <c r="U206" s="1" t="s">
        <v>4635</v>
      </c>
      <c r="V206" s="1" t="s">
        <v>4636</v>
      </c>
      <c r="W206" s="1" t="s">
        <v>4637</v>
      </c>
      <c r="X206" s="1" t="s">
        <v>4638</v>
      </c>
      <c r="Y206" s="1" t="s">
        <v>4639</v>
      </c>
      <c r="Z206" s="1" t="s">
        <v>4626</v>
      </c>
      <c r="AA206" s="1" t="s">
        <v>4640</v>
      </c>
      <c r="AB206" s="1" t="s">
        <v>4641</v>
      </c>
      <c r="AC206" s="1" t="s">
        <v>4642</v>
      </c>
      <c r="AD206" s="6" t="s">
        <v>4643</v>
      </c>
      <c r="AE206" s="1" t="s">
        <v>4644</v>
      </c>
      <c r="AF206" s="1" t="s">
        <v>4619</v>
      </c>
      <c r="AG206" s="6" t="s">
        <v>4645</v>
      </c>
      <c r="AH206" s="1" t="s">
        <v>4646</v>
      </c>
      <c r="AI206" s="6" t="s">
        <v>132</v>
      </c>
      <c r="AJ206" s="6" t="s">
        <v>4647</v>
      </c>
      <c r="AK206" s="1" t="s">
        <v>4648</v>
      </c>
      <c r="AL206" s="6" t="s">
        <v>132</v>
      </c>
    </row>
    <row r="207" ht="15.75" customHeight="1">
      <c r="A207" s="1" t="s">
        <v>127</v>
      </c>
      <c r="B207" s="1" t="s">
        <v>4649</v>
      </c>
      <c r="C207" s="1" t="s">
        <v>4650</v>
      </c>
      <c r="D207" s="8" t="s">
        <v>4651</v>
      </c>
      <c r="E207" s="1" t="s">
        <v>4652</v>
      </c>
      <c r="F207" s="6" t="s">
        <v>132</v>
      </c>
      <c r="G207" s="1" t="s">
        <v>4653</v>
      </c>
      <c r="H207" s="1" t="s">
        <v>4654</v>
      </c>
      <c r="I207" s="1" t="s">
        <v>4655</v>
      </c>
      <c r="J207" s="6" t="s">
        <v>4656</v>
      </c>
      <c r="K207" s="1" t="s">
        <v>4657</v>
      </c>
      <c r="L207" s="1" t="s">
        <v>4658</v>
      </c>
      <c r="M207" s="1" t="s">
        <v>4659</v>
      </c>
      <c r="N207" s="6" t="s">
        <v>132</v>
      </c>
      <c r="O207" s="6" t="s">
        <v>4660</v>
      </c>
      <c r="P207" s="1" t="s">
        <v>4661</v>
      </c>
      <c r="Q207" s="1" t="s">
        <v>4662</v>
      </c>
      <c r="R207" s="1" t="s">
        <v>4663</v>
      </c>
      <c r="S207" s="10" t="s">
        <v>4664</v>
      </c>
      <c r="T207" s="1" t="s">
        <v>4665</v>
      </c>
      <c r="U207" s="1" t="s">
        <v>4666</v>
      </c>
      <c r="V207" s="1" t="s">
        <v>4667</v>
      </c>
      <c r="W207" s="1" t="s">
        <v>4668</v>
      </c>
      <c r="X207" s="1" t="s">
        <v>4669</v>
      </c>
      <c r="Y207" s="1" t="s">
        <v>4670</v>
      </c>
      <c r="Z207" s="1" t="s">
        <v>4671</v>
      </c>
      <c r="AA207" s="1" t="s">
        <v>4672</v>
      </c>
      <c r="AB207" s="1" t="s">
        <v>4673</v>
      </c>
      <c r="AC207" s="1" t="s">
        <v>4674</v>
      </c>
      <c r="AD207" s="6" t="s">
        <v>4675</v>
      </c>
      <c r="AE207" s="1" t="s">
        <v>4676</v>
      </c>
      <c r="AF207" s="1" t="s">
        <v>4677</v>
      </c>
      <c r="AG207" s="6" t="s">
        <v>4678</v>
      </c>
      <c r="AH207" s="1" t="s">
        <v>4679</v>
      </c>
      <c r="AI207" s="6" t="s">
        <v>132</v>
      </c>
      <c r="AJ207" s="6" t="s">
        <v>4680</v>
      </c>
      <c r="AK207" s="1" t="s">
        <v>4681</v>
      </c>
      <c r="AL207" s="6" t="s">
        <v>4682</v>
      </c>
    </row>
    <row r="208" ht="15.75" customHeight="1">
      <c r="A208" s="1" t="s">
        <v>127</v>
      </c>
      <c r="B208" s="1" t="s">
        <v>4683</v>
      </c>
      <c r="C208" s="1" t="s">
        <v>4684</v>
      </c>
      <c r="D208" s="8" t="s">
        <v>4685</v>
      </c>
      <c r="E208" s="1" t="s">
        <v>4686</v>
      </c>
      <c r="F208" s="6" t="s">
        <v>132</v>
      </c>
      <c r="G208" s="1" t="s">
        <v>4687</v>
      </c>
      <c r="H208" s="1" t="s">
        <v>4688</v>
      </c>
      <c r="I208" s="1" t="s">
        <v>4689</v>
      </c>
      <c r="J208" s="6" t="s">
        <v>4690</v>
      </c>
      <c r="K208" s="1" t="s">
        <v>4691</v>
      </c>
      <c r="L208" s="1" t="s">
        <v>4692</v>
      </c>
      <c r="M208" s="1" t="s">
        <v>4693</v>
      </c>
      <c r="N208" s="6" t="s">
        <v>132</v>
      </c>
      <c r="O208" s="6" t="s">
        <v>4694</v>
      </c>
      <c r="P208" s="1" t="s">
        <v>4695</v>
      </c>
      <c r="Q208" s="1" t="s">
        <v>4696</v>
      </c>
      <c r="R208" s="1" t="s">
        <v>4697</v>
      </c>
      <c r="S208" s="10" t="s">
        <v>4698</v>
      </c>
      <c r="T208" s="1" t="s">
        <v>640</v>
      </c>
      <c r="U208" s="1" t="s">
        <v>4699</v>
      </c>
      <c r="V208" s="1" t="s">
        <v>4700</v>
      </c>
      <c r="W208" s="1" t="s">
        <v>4701</v>
      </c>
      <c r="X208" s="1" t="s">
        <v>4702</v>
      </c>
      <c r="Y208" s="1" t="s">
        <v>4703</v>
      </c>
      <c r="Z208" s="1" t="s">
        <v>4704</v>
      </c>
      <c r="AA208" s="1" t="s">
        <v>4705</v>
      </c>
      <c r="AB208" s="1" t="s">
        <v>4706</v>
      </c>
      <c r="AC208" s="1" t="s">
        <v>4707</v>
      </c>
      <c r="AD208" s="6" t="s">
        <v>4708</v>
      </c>
      <c r="AE208" s="1" t="s">
        <v>4684</v>
      </c>
      <c r="AF208" s="1" t="s">
        <v>4709</v>
      </c>
      <c r="AG208" s="6" t="s">
        <v>4710</v>
      </c>
      <c r="AH208" s="1" t="s">
        <v>4711</v>
      </c>
      <c r="AI208" s="6" t="s">
        <v>132</v>
      </c>
      <c r="AJ208" s="6" t="s">
        <v>4712</v>
      </c>
      <c r="AK208" s="1" t="s">
        <v>4713</v>
      </c>
      <c r="AL208" s="6" t="s">
        <v>4714</v>
      </c>
    </row>
    <row r="209" ht="15.75" customHeight="1">
      <c r="A209" s="1" t="s">
        <v>127</v>
      </c>
      <c r="B209" s="1" t="s">
        <v>4715</v>
      </c>
      <c r="C209" s="1" t="s">
        <v>4716</v>
      </c>
      <c r="D209" s="8" t="s">
        <v>4717</v>
      </c>
      <c r="E209" s="1" t="s">
        <v>4718</v>
      </c>
      <c r="F209" s="6" t="s">
        <v>132</v>
      </c>
      <c r="G209" s="1" t="s">
        <v>4719</v>
      </c>
      <c r="H209" s="1" t="s">
        <v>4720</v>
      </c>
      <c r="I209" s="1" t="s">
        <v>4721</v>
      </c>
      <c r="J209" s="6" t="s">
        <v>4722</v>
      </c>
      <c r="K209" s="1" t="s">
        <v>4723</v>
      </c>
      <c r="L209" s="1" t="s">
        <v>4724</v>
      </c>
      <c r="M209" s="1" t="s">
        <v>4725</v>
      </c>
      <c r="N209" s="6" t="s">
        <v>132</v>
      </c>
      <c r="O209" s="6" t="s">
        <v>4726</v>
      </c>
      <c r="P209" s="1" t="s">
        <v>4727</v>
      </c>
      <c r="Q209" s="1" t="s">
        <v>4728</v>
      </c>
      <c r="R209" s="1" t="s">
        <v>4729</v>
      </c>
      <c r="S209" s="10" t="s">
        <v>4730</v>
      </c>
      <c r="T209" s="1" t="s">
        <v>4731</v>
      </c>
      <c r="U209" s="1" t="s">
        <v>4732</v>
      </c>
      <c r="V209" s="1" t="s">
        <v>4728</v>
      </c>
      <c r="W209" s="1" t="s">
        <v>4733</v>
      </c>
      <c r="X209" s="1" t="s">
        <v>4734</v>
      </c>
      <c r="Y209" s="1" t="s">
        <v>4735</v>
      </c>
      <c r="Z209" s="1" t="s">
        <v>4723</v>
      </c>
      <c r="AA209" s="1" t="s">
        <v>4736</v>
      </c>
      <c r="AB209" s="1" t="s">
        <v>4737</v>
      </c>
      <c r="AC209" s="1" t="s">
        <v>4738</v>
      </c>
      <c r="AD209" s="6" t="s">
        <v>4739</v>
      </c>
      <c r="AE209" s="1" t="s">
        <v>4740</v>
      </c>
      <c r="AF209" s="1" t="s">
        <v>4741</v>
      </c>
      <c r="AG209" s="6" t="s">
        <v>4742</v>
      </c>
      <c r="AH209" s="1" t="s">
        <v>4743</v>
      </c>
      <c r="AI209" s="6" t="s">
        <v>132</v>
      </c>
      <c r="AJ209" s="6" t="s">
        <v>4744</v>
      </c>
      <c r="AK209" s="1" t="s">
        <v>4745</v>
      </c>
      <c r="AL209" s="6" t="s">
        <v>4746</v>
      </c>
    </row>
    <row r="210" ht="15.75" customHeight="1">
      <c r="A210" s="1" t="s">
        <v>127</v>
      </c>
      <c r="B210" s="1" t="s">
        <v>4747</v>
      </c>
      <c r="C210" s="1" t="s">
        <v>4748</v>
      </c>
      <c r="D210" s="8" t="s">
        <v>4749</v>
      </c>
      <c r="E210" s="1" t="s">
        <v>4750</v>
      </c>
      <c r="F210" s="6" t="s">
        <v>132</v>
      </c>
      <c r="G210" s="1" t="s">
        <v>4751</v>
      </c>
      <c r="H210" s="1" t="s">
        <v>4752</v>
      </c>
      <c r="I210" s="1" t="s">
        <v>4753</v>
      </c>
      <c r="J210" s="6" t="s">
        <v>4754</v>
      </c>
      <c r="K210" s="1" t="s">
        <v>4755</v>
      </c>
      <c r="L210" s="1" t="s">
        <v>4756</v>
      </c>
      <c r="M210" s="1" t="s">
        <v>4757</v>
      </c>
      <c r="N210" s="6" t="s">
        <v>132</v>
      </c>
      <c r="O210" s="6" t="s">
        <v>4758</v>
      </c>
      <c r="P210" s="1" t="s">
        <v>4759</v>
      </c>
      <c r="Q210" s="1" t="s">
        <v>4760</v>
      </c>
      <c r="R210" s="1" t="s">
        <v>4761</v>
      </c>
      <c r="S210" s="10" t="s">
        <v>4762</v>
      </c>
      <c r="T210" s="1" t="s">
        <v>4763</v>
      </c>
      <c r="U210" s="1" t="s">
        <v>4764</v>
      </c>
      <c r="V210" s="1" t="s">
        <v>4765</v>
      </c>
      <c r="W210" s="1" t="s">
        <v>4766</v>
      </c>
      <c r="X210" s="1" t="s">
        <v>4767</v>
      </c>
      <c r="Y210" s="1" t="s">
        <v>4768</v>
      </c>
      <c r="Z210" s="1" t="s">
        <v>4769</v>
      </c>
      <c r="AA210" s="1" t="s">
        <v>4770</v>
      </c>
      <c r="AB210" s="1" t="s">
        <v>4771</v>
      </c>
      <c r="AC210" s="1" t="s">
        <v>4772</v>
      </c>
      <c r="AD210" s="6" t="s">
        <v>4773</v>
      </c>
      <c r="AE210" s="1" t="s">
        <v>4774</v>
      </c>
      <c r="AF210" s="1" t="s">
        <v>4775</v>
      </c>
      <c r="AG210" s="6" t="s">
        <v>4776</v>
      </c>
      <c r="AH210" s="1" t="s">
        <v>4777</v>
      </c>
      <c r="AI210" s="6" t="s">
        <v>132</v>
      </c>
      <c r="AJ210" s="6" t="s">
        <v>1531</v>
      </c>
      <c r="AK210" s="1" t="s">
        <v>4778</v>
      </c>
      <c r="AL210" s="6" t="s">
        <v>4779</v>
      </c>
    </row>
    <row r="211" ht="15.75" hidden="1" customHeight="1">
      <c r="A211" s="1" t="s">
        <v>38</v>
      </c>
      <c r="B211" s="1" t="s">
        <v>4780</v>
      </c>
      <c r="C211" s="1" t="s">
        <v>4781</v>
      </c>
      <c r="D211" s="7" t="str">
        <f>IFERROR(__xludf.DUMMYFUNCTION("GOOGLETRANSLATE(C211, ""en"", ""ar"")"),"تم التوصيل")</f>
        <v>تم التوصيل</v>
      </c>
      <c r="E211" s="7" t="str">
        <f>IFERROR(__xludf.DUMMYFUNCTION("GOOGLETRANSLATE(C211, ""en"", ""bg"")"),"Доставка")</f>
        <v>Доставка</v>
      </c>
      <c r="F211" s="6" t="s">
        <v>132</v>
      </c>
      <c r="G211" s="7" t="str">
        <f>IFERROR(__xludf.DUMMYFUNCTION("GOOGLETRANSLATE(C211, ""en"", ""cs"")"),"Dodaný")</f>
        <v>Dodaný</v>
      </c>
      <c r="H211" s="7" t="str">
        <f>IFERROR(__xludf.DUMMYFUNCTION("GOOGLETRANSLATE(C211, ""en"", ""da"")"),"Leveret")</f>
        <v>Leveret</v>
      </c>
      <c r="I211" s="1" t="s">
        <v>4782</v>
      </c>
      <c r="J211" s="6" t="s">
        <v>132</v>
      </c>
      <c r="K211" s="1" t="s">
        <v>4783</v>
      </c>
      <c r="L211" s="7" t="str">
        <f>IFERROR(__xludf.DUMMYFUNCTION("GOOGLETRANSLATE(C211, ""en"", ""fi"")"),"Toimitettu")</f>
        <v>Toimitettu</v>
      </c>
      <c r="M211" s="1" t="s">
        <v>4784</v>
      </c>
      <c r="N211" s="6" t="s">
        <v>132</v>
      </c>
      <c r="O211" s="6" t="s">
        <v>132</v>
      </c>
      <c r="P211" s="1" t="s">
        <v>4785</v>
      </c>
      <c r="Q211" s="7" t="str">
        <f>IFERROR(__xludf.DUMMYFUNCTION("GOOGLETRANSLATE(C211, ""en"", ""in"")"),"Dikirim.")</f>
        <v>Dikirim.</v>
      </c>
      <c r="R211" s="7" t="str">
        <f>IFERROR(__xludf.DUMMYFUNCTION("GOOGLETRANSLATE(C211, ""en"", ""it"")"),"Consegnato")</f>
        <v>Consegnato</v>
      </c>
      <c r="S211" s="6" t="s">
        <v>132</v>
      </c>
      <c r="T211" s="7" t="str">
        <f>IFERROR(__xludf.DUMMYFUNCTION("GOOGLETRANSLATE(C211, ""en"", ""ja"")"),"納入されました")</f>
        <v>納入されました</v>
      </c>
      <c r="U211" s="7" t="str">
        <f>IFERROR(__xludf.DUMMYFUNCTION("GOOGLETRANSLATE(C211, ""en"", ""ko"")"),"배달 된 것")</f>
        <v>배달 된 것</v>
      </c>
      <c r="V211" s="7" t="str">
        <f>IFERROR(__xludf.DUMMYFUNCTION("GOOGLETRANSLATE(C211, ""en"", ""ms"")"),"Disampaikan")</f>
        <v>Disampaikan</v>
      </c>
      <c r="W211" s="7" t="str">
        <f>IFERROR(__xludf.DUMMYFUNCTION("GOOGLETRANSLATE(C211, ""en"", ""nl"")"),"Geleverd")</f>
        <v>Geleverd</v>
      </c>
      <c r="X211" s="7" t="str">
        <f>IFERROR(__xludf.DUMMYFUNCTION("GOOGLETRANSLATE(C211, ""en"", ""no"")"),"Levert")</f>
        <v>Levert</v>
      </c>
      <c r="Y211" s="7" t="str">
        <f>IFERROR(__xludf.DUMMYFUNCTION("GOOGLETRANSLATE(C211, ""en"", ""pl"")"),"Dostarczony")</f>
        <v>Dostarczony</v>
      </c>
      <c r="Z211" s="7" t="str">
        <f>IFERROR(__xludf.DUMMYFUNCTION("GOOGLETRANSLATE(C211, ""en"", ""pt"")"),"Entregue")</f>
        <v>Entregue</v>
      </c>
      <c r="AA211" s="7" t="str">
        <f>IFERROR(__xludf.DUMMYFUNCTION("GOOGLETRANSLATE(C211, ""en"", ""ro"")"),"Livrat")</f>
        <v>Livrat</v>
      </c>
      <c r="AB211" s="1" t="s">
        <v>4786</v>
      </c>
      <c r="AC211" s="7" t="str">
        <f>IFERROR(__xludf.DUMMYFUNCTION("GOOGLETRANSLATE(C211, ""en"", ""sk"")"),"Dodaný")</f>
        <v>Dodaný</v>
      </c>
      <c r="AD211" s="6" t="s">
        <v>132</v>
      </c>
      <c r="AE211" s="1" t="s">
        <v>4787</v>
      </c>
      <c r="AF211" s="7" t="str">
        <f>IFERROR(__xludf.DUMMYFUNCTION("GOOGLETRANSLATE(C211, ""en"", ""sv"")"),"Levererad")</f>
        <v>Levererad</v>
      </c>
      <c r="AG211" s="6" t="s">
        <v>132</v>
      </c>
      <c r="AH211" s="7" t="str">
        <f>IFERROR(__xludf.DUMMYFUNCTION("GOOGLETRANSLATE(C211, ""en"", ""tr"")"),"Teslim edilen")</f>
        <v>Teslim edilen</v>
      </c>
      <c r="AI211" s="6" t="s">
        <v>132</v>
      </c>
      <c r="AJ211" s="6" t="s">
        <v>132</v>
      </c>
      <c r="AK211" s="7" t="str">
        <f>IFERROR(__xludf.DUMMYFUNCTION("GOOGLETRANSLATE(C211, ""en"", ""zh"")"),"发表")</f>
        <v>发表</v>
      </c>
      <c r="AL211" s="6" t="s">
        <v>132</v>
      </c>
    </row>
    <row r="212" ht="15.75" customHeight="1">
      <c r="A212" s="1" t="s">
        <v>127</v>
      </c>
      <c r="B212" s="1" t="s">
        <v>4788</v>
      </c>
      <c r="C212" s="1" t="s">
        <v>4789</v>
      </c>
      <c r="D212" s="8" t="s">
        <v>4790</v>
      </c>
      <c r="E212" s="1" t="s">
        <v>4791</v>
      </c>
      <c r="F212" s="6" t="s">
        <v>132</v>
      </c>
      <c r="G212" s="1" t="s">
        <v>4792</v>
      </c>
      <c r="H212" s="1" t="s">
        <v>4793</v>
      </c>
      <c r="I212" s="1" t="s">
        <v>4794</v>
      </c>
      <c r="J212" s="6" t="s">
        <v>4795</v>
      </c>
      <c r="K212" s="1" t="s">
        <v>4796</v>
      </c>
      <c r="L212" s="1" t="s">
        <v>4797</v>
      </c>
      <c r="M212" s="1" t="s">
        <v>4798</v>
      </c>
      <c r="N212" s="6" t="s">
        <v>132</v>
      </c>
      <c r="O212" s="6" t="s">
        <v>4799</v>
      </c>
      <c r="P212" s="1" t="s">
        <v>4800</v>
      </c>
      <c r="Q212" s="1" t="s">
        <v>4801</v>
      </c>
      <c r="R212" s="1" t="s">
        <v>4802</v>
      </c>
      <c r="S212" s="10" t="s">
        <v>4803</v>
      </c>
      <c r="T212" s="1" t="s">
        <v>4804</v>
      </c>
      <c r="U212" s="1" t="s">
        <v>4805</v>
      </c>
      <c r="V212" s="1" t="s">
        <v>4806</v>
      </c>
      <c r="W212" s="1" t="s">
        <v>4807</v>
      </c>
      <c r="X212" s="1" t="s">
        <v>4793</v>
      </c>
      <c r="Y212" s="1" t="s">
        <v>4808</v>
      </c>
      <c r="Z212" s="1" t="s">
        <v>4809</v>
      </c>
      <c r="AA212" s="1" t="s">
        <v>4810</v>
      </c>
      <c r="AB212" s="1" t="s">
        <v>4811</v>
      </c>
      <c r="AC212" s="1" t="s">
        <v>4812</v>
      </c>
      <c r="AD212" s="6" t="s">
        <v>4813</v>
      </c>
      <c r="AE212" s="1" t="s">
        <v>4814</v>
      </c>
      <c r="AF212" s="1" t="s">
        <v>4815</v>
      </c>
      <c r="AG212" s="6" t="s">
        <v>4816</v>
      </c>
      <c r="AH212" s="1" t="s">
        <v>4817</v>
      </c>
      <c r="AI212" s="6" t="s">
        <v>132</v>
      </c>
      <c r="AJ212" s="6" t="s">
        <v>4818</v>
      </c>
      <c r="AK212" s="1" t="s">
        <v>4819</v>
      </c>
      <c r="AL212" s="6" t="s">
        <v>132</v>
      </c>
    </row>
    <row r="213" ht="15.75" customHeight="1">
      <c r="A213" s="1" t="s">
        <v>127</v>
      </c>
      <c r="B213" s="1" t="s">
        <v>4820</v>
      </c>
      <c r="C213" s="11" t="s">
        <v>4821</v>
      </c>
      <c r="D213" s="7" t="str">
        <f>IFERROR(__xludf.DUMMYFUNCTION("GOOGLETRANSLATE(C213, ""en"", ""ar"")"),"آخر الأخبار في لغتك المختارة غير متوفرة حاليا. في غضون ذلك سترى الأخبار باللغة الإنجليزية. تغيير الاعدادات")</f>
        <v>آخر الأخبار في لغتك المختارة غير متوفرة حاليا. في غضون ذلك سترى الأخبار باللغة الإنجليزية. تغيير الاعدادات</v>
      </c>
      <c r="E213" s="7" t="str">
        <f>IFERROR(__xludf.DUMMYFUNCTION("GOOGLETRANSLATE(C213, ""en"", ""bg"")"),"Последните новини в избрания от вас език не са налични. Междувременно ще видите новини на английски език. Промяна на настройките")</f>
        <v>Последните новини в избрания от вас език не са налични. Междувременно ще видите новини на английски език. Промяна на настройките</v>
      </c>
      <c r="F213" s="6" t="s">
        <v>132</v>
      </c>
      <c r="G213" s="7" t="str">
        <f>IFERROR(__xludf.DUMMYFUNCTION("GOOGLETRANSLATE(C213, ""en"", ""cs"")"),"Nejnovější zprávy ve zvoleném jazyce nejsou v současné době k dispozici. Mezitím uvidíte novinky v angličtině. Změnit nastavení")</f>
        <v>Nejnovější zprávy ve zvoleném jazyce nejsou v současné době k dispozici. Mezitím uvidíte novinky v angličtině. Změnit nastavení</v>
      </c>
      <c r="H213" s="7" t="str">
        <f>IFERROR(__xludf.DUMMYFUNCTION("GOOGLETRANSLATE(C213, ""en"", ""da"")"),"Seneste nyheder på dit valgte sprog er i øjeblikket ikke tilgængelige. I mellemtiden vil du se nyheder på engelsk. Ændre indstillinger")</f>
        <v>Seneste nyheder på dit valgte sprog er i øjeblikket ikke tilgængelige. I mellemtiden vil du se nyheder på engelsk. Ændre indstillinger</v>
      </c>
      <c r="I213" s="1" t="s">
        <v>4822</v>
      </c>
      <c r="J213" s="6" t="s">
        <v>132</v>
      </c>
      <c r="K213" s="7" t="str">
        <f>IFERROR(__xludf.DUMMYFUNCTION("GOOGLETRANSLATE(C213, ""en"", ""es"")"),"Las últimas noticias en su idioma elegido no están disponibles actualmente. Mientras tanto, verás noticias en inglés. Cambiar ajustes")</f>
        <v>Las últimas noticias en su idioma elegido no están disponibles actualmente. Mientras tanto, verás noticias en inglés. Cambiar ajustes</v>
      </c>
      <c r="L213" s="7" t="str">
        <f>IFERROR(__xludf.DUMMYFUNCTION("GOOGLETRANSLATE(C213, ""en"", ""fi"")"),"Viimeisimmät uutiset valitusta kielestäsi eivät ole tällä hetkellä saatavilla. Sillä välin näet uutiset englanniksi. Vaihda asetuksia")</f>
        <v>Viimeisimmät uutiset valitusta kielestäsi eivät ole tällä hetkellä saatavilla. Sillä välin näet uutiset englanniksi. Vaihda asetuksia</v>
      </c>
      <c r="M213" s="1" t="s">
        <v>4823</v>
      </c>
      <c r="N213" s="6" t="s">
        <v>132</v>
      </c>
      <c r="O213" s="6" t="s">
        <v>132</v>
      </c>
      <c r="P213" s="1" t="s">
        <v>4824</v>
      </c>
      <c r="Q213" s="1" t="s">
        <v>4825</v>
      </c>
      <c r="R213" s="1" t="s">
        <v>4826</v>
      </c>
      <c r="S213" s="6" t="s">
        <v>132</v>
      </c>
      <c r="T213" s="1" t="s">
        <v>4827</v>
      </c>
      <c r="U213" s="7" t="str">
        <f>IFERROR(__xludf.DUMMYFUNCTION("GOOGLETRANSLATE(C213, ""en"", ""ko"")"),"선택한 언어의 최신 뉴스는 현재 사용할 수 없습니다. 그 동안 영어로 뉴스를 볼 수 있습니다. 설정 변경")</f>
        <v>선택한 언어의 최신 뉴스는 현재 사용할 수 없습니다. 그 동안 영어로 뉴스를 볼 수 있습니다. 설정 변경</v>
      </c>
      <c r="V213" s="1" t="s">
        <v>4828</v>
      </c>
      <c r="W213" s="1" t="s">
        <v>4829</v>
      </c>
      <c r="X213" s="7" t="str">
        <f>IFERROR(__xludf.DUMMYFUNCTION("GOOGLETRANSLATE(C213, ""en"", ""no"")"),"Siste nytt på ditt valgte språk er for øyeblikket ikke tilgjengelige. I mellomtiden vil du se nyheter på engelsk. Endre innstillinger")</f>
        <v>Siste nytt på ditt valgte språk er for øyeblikket ikke tilgjengelige. I mellomtiden vil du se nyheter på engelsk. Endre innstillinger</v>
      </c>
      <c r="Y213" s="11" t="s">
        <v>4830</v>
      </c>
      <c r="Z213" s="1" t="s">
        <v>4831</v>
      </c>
      <c r="AA213" s="7" t="str">
        <f>IFERROR(__xludf.DUMMYFUNCTION("GOOGLETRANSLATE(C213, ""en"", ""ro"")"),"Ultimele știri din limba dvs. aleasă nu sunt momentan disponibile. Între timp, veți vedea știri în limba engleză. Schimbă setările")</f>
        <v>Ultimele știri din limba dvs. aleasă nu sunt momentan disponibile. Între timp, veți vedea știri în limba engleză. Schimbă setările</v>
      </c>
      <c r="AB213" s="7" t="str">
        <f>IFERROR(__xludf.DUMMYFUNCTION("GOOGLETRANSLATE(C213, ""en"", ""ru"")"),"Последние новости на вашем выбранном языке в настоящее время недоступны. Тем временем вы увидите новости на английском языке. Изменить настройки")</f>
        <v>Последние новости на вашем выбранном языке в настоящее время недоступны. Тем временем вы увидите новости на английском языке. Изменить настройки</v>
      </c>
      <c r="AC213" s="7" t="str">
        <f>IFERROR(__xludf.DUMMYFUNCTION("GOOGLETRANSLATE(C213, ""en"", ""sk"")"),"Najnovšie správy vo vašom zvolenom jazyku momentálne nie sú k dispozícii. Medzitým uvidíte novinky v angličtine. Zmeniť nastavenia")</f>
        <v>Najnovšie správy vo vašom zvolenom jazyku momentálne nie sú k dispozícii. Medzitým uvidíte novinky v angličtine. Zmeniť nastavenia</v>
      </c>
      <c r="AD213" s="6" t="s">
        <v>132</v>
      </c>
      <c r="AE213" s="7" t="str">
        <f>IFERROR(__xludf.DUMMYFUNCTION("GOOGLETRANSLATE(C213, ""en"", ""sr"")"),"Најновије вести у вашем одабраном језику тренутно нису доступне. У међувремену ћете видети вести на енглеском језику. Промени подешавања")</f>
        <v>Најновије вести у вашем одабраном језику тренутно нису доступне. У међувремену ћете видети вести на енглеском језику. Промени подешавања</v>
      </c>
      <c r="AF213" s="11" t="s">
        <v>4832</v>
      </c>
      <c r="AG213" s="6" t="s">
        <v>132</v>
      </c>
      <c r="AH213" s="1" t="s">
        <v>4833</v>
      </c>
      <c r="AI213" s="6" t="s">
        <v>132</v>
      </c>
      <c r="AJ213" s="6" t="s">
        <v>132</v>
      </c>
      <c r="AK213" s="14" t="s">
        <v>4834</v>
      </c>
      <c r="AL213" s="6" t="s">
        <v>132</v>
      </c>
    </row>
    <row r="214" ht="15.75" customHeight="1">
      <c r="A214" s="1" t="s">
        <v>127</v>
      </c>
      <c r="B214" s="1" t="s">
        <v>4835</v>
      </c>
      <c r="C214" s="1" t="s">
        <v>4836</v>
      </c>
      <c r="D214" s="8" t="s">
        <v>4837</v>
      </c>
      <c r="E214" s="1" t="s">
        <v>4838</v>
      </c>
      <c r="F214" s="6" t="s">
        <v>132</v>
      </c>
      <c r="G214" s="1" t="s">
        <v>4839</v>
      </c>
      <c r="H214" s="1" t="s">
        <v>4836</v>
      </c>
      <c r="I214" s="1" t="s">
        <v>4836</v>
      </c>
      <c r="J214" s="6" t="s">
        <v>4840</v>
      </c>
      <c r="K214" s="1" t="s">
        <v>4841</v>
      </c>
      <c r="L214" s="1" t="s">
        <v>4842</v>
      </c>
      <c r="M214" s="1" t="s">
        <v>4836</v>
      </c>
      <c r="N214" s="6" t="s">
        <v>132</v>
      </c>
      <c r="O214" s="6" t="s">
        <v>4843</v>
      </c>
      <c r="P214" s="1" t="s">
        <v>4844</v>
      </c>
      <c r="Q214" s="1" t="s">
        <v>4845</v>
      </c>
      <c r="R214" s="1" t="s">
        <v>4846</v>
      </c>
      <c r="S214" s="10" t="s">
        <v>4847</v>
      </c>
      <c r="T214" s="1" t="s">
        <v>4848</v>
      </c>
      <c r="U214" s="1" t="s">
        <v>4849</v>
      </c>
      <c r="V214" s="1" t="s">
        <v>4845</v>
      </c>
      <c r="W214" s="1" t="s">
        <v>4850</v>
      </c>
      <c r="X214" s="1" t="s">
        <v>4851</v>
      </c>
      <c r="Y214" s="1" t="s">
        <v>4852</v>
      </c>
      <c r="Z214" s="1" t="s">
        <v>4853</v>
      </c>
      <c r="AA214" s="1" t="s">
        <v>4854</v>
      </c>
      <c r="AB214" s="1" t="s">
        <v>4838</v>
      </c>
      <c r="AC214" s="1" t="s">
        <v>4855</v>
      </c>
      <c r="AD214" s="6" t="s">
        <v>4856</v>
      </c>
      <c r="AE214" s="1" t="s">
        <v>4857</v>
      </c>
      <c r="AF214" s="1" t="s">
        <v>4836</v>
      </c>
      <c r="AG214" s="6" t="s">
        <v>4858</v>
      </c>
      <c r="AH214" s="1" t="s">
        <v>4859</v>
      </c>
      <c r="AI214" s="6" t="s">
        <v>132</v>
      </c>
      <c r="AJ214" s="6" t="s">
        <v>4860</v>
      </c>
      <c r="AK214" s="1" t="s">
        <v>4861</v>
      </c>
      <c r="AL214" s="6" t="s">
        <v>4862</v>
      </c>
    </row>
    <row r="215" ht="15.75" customHeight="1">
      <c r="A215" s="1" t="s">
        <v>2265</v>
      </c>
      <c r="B215" s="1" t="s">
        <v>4863</v>
      </c>
      <c r="C215" s="1" t="s">
        <v>4864</v>
      </c>
      <c r="D215" s="8" t="s">
        <v>4865</v>
      </c>
      <c r="E215" s="1" t="s">
        <v>4866</v>
      </c>
      <c r="F215" s="6" t="s">
        <v>132</v>
      </c>
      <c r="G215" s="1" t="s">
        <v>4867</v>
      </c>
      <c r="H215" s="1" t="s">
        <v>4868</v>
      </c>
      <c r="I215" s="1" t="s">
        <v>4864</v>
      </c>
      <c r="J215" s="6" t="s">
        <v>4869</v>
      </c>
      <c r="K215" s="1" t="s">
        <v>4870</v>
      </c>
      <c r="L215" s="1" t="s">
        <v>4871</v>
      </c>
      <c r="M215" s="1" t="s">
        <v>4872</v>
      </c>
      <c r="N215" s="6" t="s">
        <v>132</v>
      </c>
      <c r="O215" s="6" t="s">
        <v>4873</v>
      </c>
      <c r="P215" s="1" t="s">
        <v>4874</v>
      </c>
      <c r="Q215" s="1" t="s">
        <v>4875</v>
      </c>
      <c r="R215" s="1" t="s">
        <v>4876</v>
      </c>
      <c r="S215" s="10" t="s">
        <v>4877</v>
      </c>
      <c r="T215" s="1" t="s">
        <v>4878</v>
      </c>
      <c r="U215" s="1" t="s">
        <v>4879</v>
      </c>
      <c r="V215" s="1" t="s">
        <v>4867</v>
      </c>
      <c r="W215" s="1" t="s">
        <v>4880</v>
      </c>
      <c r="X215" s="1" t="s">
        <v>4868</v>
      </c>
      <c r="Y215" s="1" t="s">
        <v>4881</v>
      </c>
      <c r="Z215" s="1" t="s">
        <v>4870</v>
      </c>
      <c r="AA215" s="1" t="s">
        <v>4882</v>
      </c>
      <c r="AB215" s="1" t="s">
        <v>4883</v>
      </c>
      <c r="AC215" s="1" t="s">
        <v>4867</v>
      </c>
      <c r="AD215" s="6" t="s">
        <v>4884</v>
      </c>
      <c r="AE215" s="1" t="s">
        <v>4875</v>
      </c>
      <c r="AF215" s="1" t="s">
        <v>4874</v>
      </c>
      <c r="AG215" s="6" t="s">
        <v>4885</v>
      </c>
      <c r="AH215" s="1" t="s">
        <v>4875</v>
      </c>
      <c r="AI215" s="6" t="s">
        <v>132</v>
      </c>
      <c r="AJ215" s="6" t="s">
        <v>4886</v>
      </c>
      <c r="AK215" s="14" t="s">
        <v>4887</v>
      </c>
      <c r="AL215" s="6" t="s">
        <v>132</v>
      </c>
    </row>
    <row r="216" ht="15.75" hidden="1" customHeight="1">
      <c r="A216" s="1" t="s">
        <v>38</v>
      </c>
      <c r="B216" s="1" t="s">
        <v>4888</v>
      </c>
      <c r="C216" s="1" t="s">
        <v>4889</v>
      </c>
      <c r="D216" s="7" t="str">
        <f>IFERROR(__xludf.DUMMYFUNCTION("GOOGLETRANSLATE(C216, ""en"", ""ar"")"),"إندونيسيا")</f>
        <v>إندونيسيا</v>
      </c>
      <c r="E216" s="7" t="str">
        <f>IFERROR(__xludf.DUMMYFUNCTION("GOOGLETRANSLATE(C216, ""en"", ""bg"")"),"Индонезия")</f>
        <v>Индонезия</v>
      </c>
      <c r="F216" s="6" t="s">
        <v>132</v>
      </c>
      <c r="G216" s="7" t="str">
        <f>IFERROR(__xludf.DUMMYFUNCTION("GOOGLETRANSLATE(C216, ""en"", ""cs"")"),"Indonésie")</f>
        <v>Indonésie</v>
      </c>
      <c r="H216" s="7" t="str">
        <f>IFERROR(__xludf.DUMMYFUNCTION("GOOGLETRANSLATE(C216, ""en"", ""da"")"),"Indonesien.")</f>
        <v>Indonesien.</v>
      </c>
      <c r="I216" s="1" t="s">
        <v>4890</v>
      </c>
      <c r="J216" s="6" t="s">
        <v>132</v>
      </c>
      <c r="K216" s="1" t="s">
        <v>4889</v>
      </c>
      <c r="L216" s="7" t="str">
        <f>IFERROR(__xludf.DUMMYFUNCTION("GOOGLETRANSLATE(C216, ""en"", ""fi"")"),"Indonesia")</f>
        <v>Indonesia</v>
      </c>
      <c r="M216" s="1" t="s">
        <v>4891</v>
      </c>
      <c r="N216" s="6" t="s">
        <v>132</v>
      </c>
      <c r="O216" s="6" t="s">
        <v>132</v>
      </c>
      <c r="P216" s="1" t="s">
        <v>4889</v>
      </c>
      <c r="Q216" s="7" t="str">
        <f>IFERROR(__xludf.DUMMYFUNCTION("GOOGLETRANSLATE(C216, ""en"", ""in"")"),"Indonesia")</f>
        <v>Indonesia</v>
      </c>
      <c r="R216" s="7" t="str">
        <f>IFERROR(__xludf.DUMMYFUNCTION("GOOGLETRANSLATE(C216, ""en"", ""it"")"),"Indonesia")</f>
        <v>Indonesia</v>
      </c>
      <c r="S216" s="6" t="s">
        <v>132</v>
      </c>
      <c r="T216" s="7" t="str">
        <f>IFERROR(__xludf.DUMMYFUNCTION("GOOGLETRANSLATE(C216, ""en"", ""ja"")"),"インドネシア")</f>
        <v>インドネシア</v>
      </c>
      <c r="U216" s="7" t="str">
        <f>IFERROR(__xludf.DUMMYFUNCTION("GOOGLETRANSLATE(C216, ""en"", ""ko"")"),"인도네시아")</f>
        <v>인도네시아</v>
      </c>
      <c r="V216" s="7" t="str">
        <f>IFERROR(__xludf.DUMMYFUNCTION("GOOGLETRANSLATE(C216, ""en"", ""ms"")"),"Indonesia")</f>
        <v>Indonesia</v>
      </c>
      <c r="W216" s="7" t="str">
        <f>IFERROR(__xludf.DUMMYFUNCTION("GOOGLETRANSLATE(C216, ""en"", ""nl"")"),"Indonesië")</f>
        <v>Indonesië</v>
      </c>
      <c r="X216" s="7" t="str">
        <f>IFERROR(__xludf.DUMMYFUNCTION("GOOGLETRANSLATE(C216, ""en"", ""no"")"),"Indonesia.")</f>
        <v>Indonesia.</v>
      </c>
      <c r="Y216" s="7" t="str">
        <f>IFERROR(__xludf.DUMMYFUNCTION("GOOGLETRANSLATE(C216, ""en"", ""pl"")"),"Indonezja")</f>
        <v>Indonezja</v>
      </c>
      <c r="Z216" s="7" t="str">
        <f>IFERROR(__xludf.DUMMYFUNCTION("GOOGLETRANSLATE(C216, ""en"", ""pt"")"),"Indonésia")</f>
        <v>Indonésia</v>
      </c>
      <c r="AA216" s="7" t="str">
        <f>IFERROR(__xludf.DUMMYFUNCTION("GOOGLETRANSLATE(C216, ""en"", ""ro"")"),"Indonezia")</f>
        <v>Indonezia</v>
      </c>
      <c r="AB216" s="1" t="s">
        <v>4892</v>
      </c>
      <c r="AC216" s="7" t="str">
        <f>IFERROR(__xludf.DUMMYFUNCTION("GOOGLETRANSLATE(C216, ""en"", ""sk"")"),"Indonézia")</f>
        <v>Indonézia</v>
      </c>
      <c r="AD216" s="6" t="s">
        <v>132</v>
      </c>
      <c r="AE216" s="1" t="s">
        <v>4893</v>
      </c>
      <c r="AF216" s="7" t="str">
        <f>IFERROR(__xludf.DUMMYFUNCTION("GOOGLETRANSLATE(C216, ""en"", ""sv"")"),"Indonesien")</f>
        <v>Indonesien</v>
      </c>
      <c r="AG216" s="6" t="s">
        <v>132</v>
      </c>
      <c r="AH216" s="7" t="str">
        <f>IFERROR(__xludf.DUMMYFUNCTION("GOOGLETRANSLATE(C216, ""en"", ""tr"")"),"Endonezya")</f>
        <v>Endonezya</v>
      </c>
      <c r="AI216" s="6" t="s">
        <v>132</v>
      </c>
      <c r="AJ216" s="6" t="s">
        <v>132</v>
      </c>
      <c r="AK216" s="7" t="str">
        <f>IFERROR(__xludf.DUMMYFUNCTION("GOOGLETRANSLATE(C216, ""en"", ""zh"")"),"印度尼西亚")</f>
        <v>印度尼西亚</v>
      </c>
      <c r="AL216" s="6" t="s">
        <v>132</v>
      </c>
    </row>
    <row r="217" ht="15.75" customHeight="1">
      <c r="A217" s="1" t="s">
        <v>127</v>
      </c>
      <c r="B217" s="1" t="s">
        <v>4894</v>
      </c>
      <c r="C217" s="1" t="s">
        <v>4895</v>
      </c>
      <c r="D217" s="8" t="s">
        <v>4896</v>
      </c>
      <c r="E217" s="1" t="s">
        <v>4897</v>
      </c>
      <c r="F217" s="6" t="s">
        <v>132</v>
      </c>
      <c r="G217" s="1" t="s">
        <v>4898</v>
      </c>
      <c r="H217" s="1" t="s">
        <v>4899</v>
      </c>
      <c r="I217" s="1" t="s">
        <v>4900</v>
      </c>
      <c r="J217" s="6" t="s">
        <v>4901</v>
      </c>
      <c r="K217" s="1" t="s">
        <v>4902</v>
      </c>
      <c r="L217" s="1" t="s">
        <v>4903</v>
      </c>
      <c r="M217" s="1" t="s">
        <v>4904</v>
      </c>
      <c r="N217" s="6" t="s">
        <v>132</v>
      </c>
      <c r="O217" s="6" t="s">
        <v>4905</v>
      </c>
      <c r="P217" s="1" t="s">
        <v>4906</v>
      </c>
      <c r="Q217" s="1" t="s">
        <v>4907</v>
      </c>
      <c r="R217" s="1" t="s">
        <v>4908</v>
      </c>
      <c r="S217" s="10" t="s">
        <v>4909</v>
      </c>
      <c r="T217" s="1" t="s">
        <v>4910</v>
      </c>
      <c r="U217" s="1" t="s">
        <v>4911</v>
      </c>
      <c r="V217" s="1" t="s">
        <v>4912</v>
      </c>
      <c r="W217" s="1" t="s">
        <v>4913</v>
      </c>
      <c r="X217" s="1" t="s">
        <v>4914</v>
      </c>
      <c r="Y217" s="1" t="s">
        <v>4915</v>
      </c>
      <c r="Z217" s="1" t="s">
        <v>4916</v>
      </c>
      <c r="AA217" s="1" t="s">
        <v>4917</v>
      </c>
      <c r="AB217" s="1" t="s">
        <v>4918</v>
      </c>
      <c r="AC217" s="1" t="s">
        <v>4919</v>
      </c>
      <c r="AD217" s="6" t="s">
        <v>4920</v>
      </c>
      <c r="AE217" s="1" t="s">
        <v>4921</v>
      </c>
      <c r="AF217" s="1" t="s">
        <v>4922</v>
      </c>
      <c r="AG217" s="6" t="s">
        <v>4923</v>
      </c>
      <c r="AH217" s="1" t="s">
        <v>4924</v>
      </c>
      <c r="AI217" s="6" t="s">
        <v>132</v>
      </c>
      <c r="AJ217" s="6" t="s">
        <v>4925</v>
      </c>
      <c r="AK217" s="1" t="s">
        <v>4926</v>
      </c>
      <c r="AL217" s="6" t="s">
        <v>4927</v>
      </c>
    </row>
    <row r="218" ht="15.75" hidden="1" customHeight="1">
      <c r="A218" s="1" t="s">
        <v>38</v>
      </c>
      <c r="B218" s="1" t="s">
        <v>4928</v>
      </c>
      <c r="C218" s="1" t="s">
        <v>4929</v>
      </c>
      <c r="D218" s="7" t="str">
        <f>IFERROR(__xludf.DUMMYFUNCTION("GOOGLETRANSLATE(C218, ""en"", ""ar"")"),"سانت هيلانة وأيضا تريستان دا كونها")</f>
        <v>سانت هيلانة وأيضا تريستان دا كونها</v>
      </c>
      <c r="E218" s="7" t="str">
        <f>IFERROR(__xludf.DUMMYFUNCTION("GOOGLETRANSLATE(C218, ""en"", ""bg"")"),"Света Елена и също Тристан Да Куна")</f>
        <v>Света Елена и също Тристан Да Куна</v>
      </c>
      <c r="F218" s="6" t="s">
        <v>132</v>
      </c>
      <c r="G218" s="7" t="str">
        <f>IFERROR(__xludf.DUMMYFUNCTION("GOOGLETRANSLATE(C218, ""en"", ""cs"")"),"Svatá Helena a také Tristan da Cunha")</f>
        <v>Svatá Helena a také Tristan da Cunha</v>
      </c>
      <c r="H218" s="7" t="str">
        <f>IFERROR(__xludf.DUMMYFUNCTION("GOOGLETRANSLATE(C218, ""en"", ""da"")"),"Saint Helena og også Tristan da Cunha")</f>
        <v>Saint Helena og også Tristan da Cunha</v>
      </c>
      <c r="I218" s="1" t="s">
        <v>4930</v>
      </c>
      <c r="J218" s="6" t="s">
        <v>132</v>
      </c>
      <c r="K218" s="1" t="s">
        <v>4931</v>
      </c>
      <c r="L218" s="7" t="str">
        <f>IFERROR(__xludf.DUMMYFUNCTION("GOOGLETRANSLATE(C218, ""en"", ""fi"")"),"Saint Helena ja myös Tristan da Cunha")</f>
        <v>Saint Helena ja myös Tristan da Cunha</v>
      </c>
      <c r="M218" s="1" t="s">
        <v>4932</v>
      </c>
      <c r="N218" s="6" t="s">
        <v>132</v>
      </c>
      <c r="O218" s="6" t="s">
        <v>132</v>
      </c>
      <c r="P218" s="1" t="s">
        <v>4929</v>
      </c>
      <c r="Q218" s="7" t="str">
        <f>IFERROR(__xludf.DUMMYFUNCTION("GOOGLETRANSLATE(C218, ""en"", ""in"")"),"Saint Helena dan juga Tristan da Cunha")</f>
        <v>Saint Helena dan juga Tristan da Cunha</v>
      </c>
      <c r="R218" s="7" t="str">
        <f>IFERROR(__xludf.DUMMYFUNCTION("GOOGLETRANSLATE(C218, ""en"", ""it"")"),"Saint Helena e anche Tristan da Cunha")</f>
        <v>Saint Helena e anche Tristan da Cunha</v>
      </c>
      <c r="S218" s="6" t="s">
        <v>132</v>
      </c>
      <c r="T218" s="7" t="str">
        <f>IFERROR(__xludf.DUMMYFUNCTION("GOOGLETRANSLATE(C218, ""en"", ""ja"")"),"セントヘレナ、またトリスタンダ・クラウン")</f>
        <v>セントヘレナ、またトリスタンダ・クラウン</v>
      </c>
      <c r="U218" s="7" t="str">
        <f>IFERROR(__xludf.DUMMYFUNCTION("GOOGLETRANSLATE(C218, ""en"", ""ko"")"),"세인트 헬레나와 Tristan Da Cunha")</f>
        <v>세인트 헬레나와 Tristan Da Cunha</v>
      </c>
      <c r="V218" s="7" t="str">
        <f>IFERROR(__xludf.DUMMYFUNCTION("GOOGLETRANSLATE(C218, ""en"", ""ms"")"),"Saint Helena dan juga Tristan da Cunha")</f>
        <v>Saint Helena dan juga Tristan da Cunha</v>
      </c>
      <c r="W218" s="7" t="str">
        <f>IFERROR(__xludf.DUMMYFUNCTION("GOOGLETRANSLATE(C218, ""en"", ""nl"")"),"Saint Helena en ook Tristan da Cunha")</f>
        <v>Saint Helena en ook Tristan da Cunha</v>
      </c>
      <c r="X218" s="7" t="str">
        <f>IFERROR(__xludf.DUMMYFUNCTION("GOOGLETRANSLATE(C218, ""en"", ""no"")"),"Saint Helena og også Tristan da Cunha")</f>
        <v>Saint Helena og også Tristan da Cunha</v>
      </c>
      <c r="Y218" s="7" t="str">
        <f>IFERROR(__xludf.DUMMYFUNCTION("GOOGLETRANSLATE(C218, ""en"", ""pl"")"),"Saint Helena, a także Tristan da Cunha")</f>
        <v>Saint Helena, a także Tristan da Cunha</v>
      </c>
      <c r="Z218" s="7" t="str">
        <f>IFERROR(__xludf.DUMMYFUNCTION("GOOGLETRANSLATE(C218, ""en"", ""pt"")"),"Santa Helena e também Tristan da Cunha")</f>
        <v>Santa Helena e também Tristan da Cunha</v>
      </c>
      <c r="AA218" s="7" t="str">
        <f>IFERROR(__xludf.DUMMYFUNCTION("GOOGLETRANSLATE(C218, ""en"", ""ro"")"),"Saint Helena și, de asemenea, Tristan da Cunha")</f>
        <v>Saint Helena și, de asemenea, Tristan da Cunha</v>
      </c>
      <c r="AB218" s="1" t="s">
        <v>4933</v>
      </c>
      <c r="AC218" s="7" t="str">
        <f>IFERROR(__xludf.DUMMYFUNCTION("GOOGLETRANSLATE(C218, ""en"", ""sk"")"),"Svätá Helena a tiež Tristan da Cunha")</f>
        <v>Svätá Helena a tiež Tristan da Cunha</v>
      </c>
      <c r="AD218" s="6" t="s">
        <v>132</v>
      </c>
      <c r="AE218" s="1" t="s">
        <v>4934</v>
      </c>
      <c r="AF218" s="7" t="str">
        <f>IFERROR(__xludf.DUMMYFUNCTION("GOOGLETRANSLATE(C218, ""en"", ""sv"")"),"Saint Helena och även Tristan da Cunha")</f>
        <v>Saint Helena och även Tristan da Cunha</v>
      </c>
      <c r="AG218" s="6" t="s">
        <v>132</v>
      </c>
      <c r="AH218" s="7" t="str">
        <f>IFERROR(__xludf.DUMMYFUNCTION("GOOGLETRANSLATE(C218, ""en"", ""tr"")"),"Saint Helena ve ayrıca Tristan da Cunha")</f>
        <v>Saint Helena ve ayrıca Tristan da Cunha</v>
      </c>
      <c r="AI218" s="6" t="s">
        <v>132</v>
      </c>
      <c r="AJ218" s="6" t="s">
        <v>132</v>
      </c>
      <c r="AK218" s="7" t="str">
        <f>IFERROR(__xludf.DUMMYFUNCTION("GOOGLETRANSLATE(C218, ""en"", ""zh"")"),"圣赫勒拿和特里斯坦达库哈")</f>
        <v>圣赫勒拿和特里斯坦达库哈</v>
      </c>
      <c r="AL218" s="6" t="s">
        <v>132</v>
      </c>
    </row>
    <row r="219" ht="15.75" customHeight="1">
      <c r="A219" s="1" t="s">
        <v>127</v>
      </c>
      <c r="B219" s="1" t="s">
        <v>4935</v>
      </c>
      <c r="C219" s="1" t="s">
        <v>4936</v>
      </c>
      <c r="D219" s="7" t="str">
        <f>IFERROR(__xludf.DUMMYFUNCTION("GOOGLETRANSLATE(C219, ""en"", ""ar"")"),"التقييم على ماونتن")</f>
        <v>التقييم على ماونتن</v>
      </c>
      <c r="E219" s="7" t="str">
        <f>IFERROR(__xludf.DUMMYFUNCTION("GOOGLETRANSLATE(C219, ""en"", ""bg"")"),"Рейтинг на планината")</f>
        <v>Рейтинг на планината</v>
      </c>
      <c r="F219" s="6" t="s">
        <v>132</v>
      </c>
      <c r="G219" s="7" t="str">
        <f>IFERROR(__xludf.DUMMYFUNCTION("GOOGLETRANSLATE(C219, ""en"", ""cs"")"),"Horské výhledové hodnocení")</f>
        <v>Horské výhledové hodnocení</v>
      </c>
      <c r="H219" t="s">
        <v>4937</v>
      </c>
      <c r="I219" s="1" t="s">
        <v>4936</v>
      </c>
      <c r="J219" s="6" t="s">
        <v>132</v>
      </c>
      <c r="K219" s="7" t="str">
        <f>IFERROR(__xludf.DUMMYFUNCTION("GOOGLETRANSLATE(C219, ""en"", ""es"")"),"Clasificación de vistas a la montaña")</f>
        <v>Clasificación de vistas a la montaña</v>
      </c>
      <c r="L219" s="1" t="s">
        <v>4938</v>
      </c>
      <c r="M219" s="1" t="s">
        <v>4939</v>
      </c>
      <c r="N219" s="6" t="s">
        <v>132</v>
      </c>
      <c r="O219" s="6" t="s">
        <v>132</v>
      </c>
      <c r="P219" s="1" t="s">
        <v>4940</v>
      </c>
      <c r="Q219" s="1" t="s">
        <v>4941</v>
      </c>
      <c r="R219" s="1" t="s">
        <v>4942</v>
      </c>
      <c r="S219" s="6" t="s">
        <v>132</v>
      </c>
      <c r="T219" s="1" t="s">
        <v>4943</v>
      </c>
      <c r="U219" s="7" t="str">
        <f>IFERROR(__xludf.DUMMYFUNCTION("GOOGLETRANSLATE(C219, ""en"", ""ko"")"),"산 뷰 등급")</f>
        <v>산 뷰 등급</v>
      </c>
      <c r="V219" s="1" t="s">
        <v>4944</v>
      </c>
      <c r="W219" s="1" t="s">
        <v>4945</v>
      </c>
      <c r="X219" s="1" t="s">
        <v>4946</v>
      </c>
      <c r="Y219" s="11" t="s">
        <v>4947</v>
      </c>
      <c r="Z219" s="1" t="s">
        <v>4948</v>
      </c>
      <c r="AA219" s="7" t="str">
        <f>IFERROR(__xludf.DUMMYFUNCTION("GOOGLETRANSLATE(C219, ""en"", ""ro"")"),"Rating de vedere la munte.")</f>
        <v>Rating de vedere la munte.</v>
      </c>
      <c r="AB219" s="7" t="str">
        <f>IFERROR(__xludf.DUMMYFUNCTION("GOOGLETRANSLATE(C219, ""en"", ""ru"")"),"Рейтинг вида на горы")</f>
        <v>Рейтинг вида на горы</v>
      </c>
      <c r="AC219" s="7" t="str">
        <f>IFERROR(__xludf.DUMMYFUNCTION("GOOGLETRANSLATE(C219, ""en"", ""sk"")"),"Hodnotenie pohľadu na hory")</f>
        <v>Hodnotenie pohľadu na hory</v>
      </c>
      <c r="AD219" s="6" t="s">
        <v>132</v>
      </c>
      <c r="AE219" s="7" t="str">
        <f>IFERROR(__xludf.DUMMYFUNCTION("GOOGLETRANSLATE(C219, ""en"", ""sr"")"),"Планина Виев Оцена")</f>
        <v>Планина Виев Оцена</v>
      </c>
      <c r="AF219" s="11" t="s">
        <v>4949</v>
      </c>
      <c r="AG219" s="6" t="s">
        <v>132</v>
      </c>
      <c r="AH219" s="1" t="s">
        <v>4950</v>
      </c>
      <c r="AI219" s="6" t="s">
        <v>132</v>
      </c>
      <c r="AJ219" s="6" t="s">
        <v>132</v>
      </c>
      <c r="AK219" s="14" t="s">
        <v>4951</v>
      </c>
      <c r="AL219" s="6" t="s">
        <v>132</v>
      </c>
    </row>
    <row r="220" ht="15.75" customHeight="1">
      <c r="A220" s="1" t="s">
        <v>127</v>
      </c>
      <c r="B220" s="1" t="s">
        <v>4952</v>
      </c>
      <c r="C220" s="1" t="s">
        <v>4953</v>
      </c>
      <c r="D220" s="8" t="s">
        <v>4954</v>
      </c>
      <c r="E220" s="1" t="s">
        <v>4953</v>
      </c>
      <c r="F220" s="6" t="s">
        <v>132</v>
      </c>
      <c r="G220" s="1" t="s">
        <v>4953</v>
      </c>
      <c r="H220" s="1" t="s">
        <v>4953</v>
      </c>
      <c r="I220" s="1" t="s">
        <v>4955</v>
      </c>
      <c r="J220" s="6" t="s">
        <v>4953</v>
      </c>
      <c r="K220" s="1" t="s">
        <v>4956</v>
      </c>
      <c r="L220" s="1" t="s">
        <v>4953</v>
      </c>
      <c r="M220" s="1" t="s">
        <v>4953</v>
      </c>
      <c r="N220" s="6" t="s">
        <v>132</v>
      </c>
      <c r="O220" s="6" t="s">
        <v>4957</v>
      </c>
      <c r="P220" s="1" t="s">
        <v>4953</v>
      </c>
      <c r="Q220" s="1" t="s">
        <v>4953</v>
      </c>
      <c r="R220" s="1" t="s">
        <v>4953</v>
      </c>
      <c r="S220" s="10" t="s">
        <v>4958</v>
      </c>
      <c r="T220" s="1" t="s">
        <v>4953</v>
      </c>
      <c r="U220" s="1" t="s">
        <v>4959</v>
      </c>
      <c r="V220" s="1" t="s">
        <v>4953</v>
      </c>
      <c r="W220" s="1" t="s">
        <v>4953</v>
      </c>
      <c r="X220" s="1" t="s">
        <v>4953</v>
      </c>
      <c r="Y220" s="1" t="s">
        <v>4960</v>
      </c>
      <c r="Z220" s="1" t="s">
        <v>4953</v>
      </c>
      <c r="AA220" s="1" t="s">
        <v>4953</v>
      </c>
      <c r="AB220" s="1" t="s">
        <v>4961</v>
      </c>
      <c r="AC220" s="1" t="s">
        <v>4953</v>
      </c>
      <c r="AD220" s="6" t="s">
        <v>4953</v>
      </c>
      <c r="AE220" s="1" t="s">
        <v>4962</v>
      </c>
      <c r="AF220" s="1" t="s">
        <v>4953</v>
      </c>
      <c r="AG220" s="6" t="s">
        <v>4953</v>
      </c>
      <c r="AH220" s="1" t="s">
        <v>4963</v>
      </c>
      <c r="AI220" s="6" t="s">
        <v>132</v>
      </c>
      <c r="AJ220" s="6" t="s">
        <v>4953</v>
      </c>
      <c r="AK220" s="1" t="s">
        <v>4964</v>
      </c>
      <c r="AL220" s="6" t="s">
        <v>132</v>
      </c>
    </row>
    <row r="221" ht="15.75" hidden="1" customHeight="1">
      <c r="A221" s="1" t="s">
        <v>38</v>
      </c>
      <c r="B221" s="1" t="s">
        <v>4965</v>
      </c>
      <c r="C221" s="1" t="s">
        <v>4966</v>
      </c>
      <c r="D221" s="8" t="s">
        <v>4967</v>
      </c>
      <c r="E221" s="1" t="s">
        <v>4968</v>
      </c>
      <c r="F221" s="6" t="s">
        <v>4969</v>
      </c>
      <c r="G221" s="7" t="str">
        <f>IFERROR(__xludf.DUMMYFUNCTION("GOOGLETRANSLATE(C221, ""en"", ""cs"")"),"Období odkladu")</f>
        <v>Období odkladu</v>
      </c>
      <c r="H221" s="7" t="str">
        <f>IFERROR(__xludf.DUMMYFUNCTION("GOOGLETRANSLATE(C221, ""en"", ""da"")"),"Afdragsfri periode")</f>
        <v>Afdragsfri periode</v>
      </c>
      <c r="I221" s="1" t="s">
        <v>4970</v>
      </c>
      <c r="J221" s="6" t="s">
        <v>132</v>
      </c>
      <c r="K221" s="1" t="s">
        <v>4971</v>
      </c>
      <c r="L221" s="7" t="str">
        <f>IFERROR(__xludf.DUMMYFUNCTION("GOOGLETRANSLATE(C221, ""en"", ""fi"")"),"Armonjakso")</f>
        <v>Armonjakso</v>
      </c>
      <c r="M221" s="1" t="s">
        <v>4972</v>
      </c>
      <c r="N221" s="6" t="s">
        <v>4973</v>
      </c>
      <c r="O221" s="6" t="s">
        <v>132</v>
      </c>
      <c r="P221" s="1" t="s">
        <v>4974</v>
      </c>
      <c r="Q221" s="7" t="str">
        <f>IFERROR(__xludf.DUMMYFUNCTION("GOOGLETRANSLATE(C221, ""en"", ""in"")"),"Masa tenggang")</f>
        <v>Masa tenggang</v>
      </c>
      <c r="R221" s="1" t="s">
        <v>4975</v>
      </c>
      <c r="S221" s="6" t="s">
        <v>132</v>
      </c>
      <c r="T221" s="1" t="s">
        <v>4976</v>
      </c>
      <c r="U221" s="1" t="s">
        <v>4977</v>
      </c>
      <c r="V221" s="7" t="str">
        <f>IFERROR(__xludf.DUMMYFUNCTION("GOOGLETRANSLATE(C221, ""en"", ""ms"")"),"Tempoh penangguhan")</f>
        <v>Tempoh penangguhan</v>
      </c>
      <c r="W221" s="1" t="s">
        <v>4978</v>
      </c>
      <c r="X221" s="7" t="str">
        <f>IFERROR(__xludf.DUMMYFUNCTION("GOOGLETRANSLATE(C221, ""en"", ""no"")"),"Grace Periode")</f>
        <v>Grace Periode</v>
      </c>
      <c r="Y221" s="1" t="s">
        <v>4979</v>
      </c>
      <c r="Z221" s="7" t="str">
        <f>IFERROR(__xludf.DUMMYFUNCTION("GOOGLETRANSLATE(C221, ""en"", ""pt"")"),"Período de carência")</f>
        <v>Período de carência</v>
      </c>
      <c r="AA221" s="7" t="str">
        <f>IFERROR(__xludf.DUMMYFUNCTION("GOOGLETRANSLATE(C221, ""en"", ""ro"")"),"Perioadă de grație")</f>
        <v>Perioadă de grație</v>
      </c>
      <c r="AB221" s="1" t="s">
        <v>4980</v>
      </c>
      <c r="AC221" s="7" t="str">
        <f>IFERROR(__xludf.DUMMYFUNCTION("GOOGLETRANSLATE(C221, ""en"", ""sk"")"),"Obdobie milosti")</f>
        <v>Obdobie milosti</v>
      </c>
      <c r="AD221" s="6" t="s">
        <v>132</v>
      </c>
      <c r="AE221" s="1" t="s">
        <v>4981</v>
      </c>
      <c r="AF221" s="1" t="s">
        <v>4982</v>
      </c>
      <c r="AG221" s="6" t="s">
        <v>132</v>
      </c>
      <c r="AH221" s="7" t="str">
        <f>IFERROR(__xludf.DUMMYFUNCTION("GOOGLETRANSLATE(C221, ""en"", ""tr"")"),"Lütuf dönemi")</f>
        <v>Lütuf dönemi</v>
      </c>
      <c r="AI221" s="6" t="s">
        <v>4983</v>
      </c>
      <c r="AJ221" s="6" t="s">
        <v>4984</v>
      </c>
      <c r="AK221" s="7" t="str">
        <f>IFERROR(__xludf.DUMMYFUNCTION("GOOGLETRANSLATE(C221, ""en"", ""zh"")"),"宽限期")</f>
        <v>宽限期</v>
      </c>
      <c r="AL221" s="6" t="s">
        <v>4985</v>
      </c>
    </row>
    <row r="222" ht="15.75" hidden="1" customHeight="1">
      <c r="A222" s="1" t="s">
        <v>38</v>
      </c>
      <c r="B222" s="1" t="s">
        <v>4986</v>
      </c>
      <c r="C222" s="1" t="s">
        <v>4987</v>
      </c>
      <c r="D222" s="7" t="str">
        <f>IFERROR(__xludf.DUMMYFUNCTION("GOOGLETRANSLATE(C222, ""en"", ""ar"")"),"غير قادر على الإتصال بالسيرفر.")</f>
        <v>غير قادر على الإتصال بالسيرفر.</v>
      </c>
      <c r="E222" s="1" t="s">
        <v>4988</v>
      </c>
      <c r="F222" s="6" t="s">
        <v>132</v>
      </c>
      <c r="G222" s="7" t="str">
        <f>IFERROR(__xludf.DUMMYFUNCTION("GOOGLETRANSLATE(C222, ""en"", ""cs"")"),"Nelze se připojit k serveru.")</f>
        <v>Nelze se připojit k serveru.</v>
      </c>
      <c r="H222" s="7" t="str">
        <f>IFERROR(__xludf.DUMMYFUNCTION("GOOGLETRANSLATE(C222, ""en"", ""da"")"),"Kunne ikke forbinde til serveren.")</f>
        <v>Kunne ikke forbinde til serveren.</v>
      </c>
      <c r="I222" s="1" t="s">
        <v>4989</v>
      </c>
      <c r="J222" s="6" t="s">
        <v>132</v>
      </c>
      <c r="K222" s="1" t="s">
        <v>4990</v>
      </c>
      <c r="L222" s="7" t="str">
        <f>IFERROR(__xludf.DUMMYFUNCTION("GOOGLETRANSLATE(C222, ""en"", ""fi"")"),"Palvelimeen ei saada yhteyttä.")</f>
        <v>Palvelimeen ei saada yhteyttä.</v>
      </c>
      <c r="M222" s="7" t="str">
        <f>IFERROR(__xludf.DUMMYFUNCTION("GOOGLETRANSLATE(C222, ""en"", ""fr"")"),"Incapable de se connecter au serveur.")</f>
        <v>Incapable de se connecter au serveur.</v>
      </c>
      <c r="N222" s="6" t="s">
        <v>4991</v>
      </c>
      <c r="O222" s="6" t="s">
        <v>132</v>
      </c>
      <c r="P222" s="1" t="s">
        <v>4992</v>
      </c>
      <c r="Q222" s="7" t="str">
        <f>IFERROR(__xludf.DUMMYFUNCTION("GOOGLETRANSLATE(C222, ""en"", ""in"")"),"Tidak dapat terhubung ke server.")</f>
        <v>Tidak dapat terhubung ke server.</v>
      </c>
      <c r="R222" s="1" t="s">
        <v>4993</v>
      </c>
      <c r="S222" s="6" t="s">
        <v>132</v>
      </c>
      <c r="T222" s="7" t="str">
        <f>IFERROR(__xludf.DUMMYFUNCTION("GOOGLETRANSLATE(C222, ""en"", ""ja"")"),"サーバーに接続できません。")</f>
        <v>サーバーに接続できません。</v>
      </c>
      <c r="U222" s="7" t="str">
        <f>IFERROR(__xludf.DUMMYFUNCTION("GOOGLETRANSLATE(C222, ""en"", ""ko"")"),"서버에 연결할 수 없습니다.")</f>
        <v>서버에 연결할 수 없습니다.</v>
      </c>
      <c r="V222" s="7" t="str">
        <f>IFERROR(__xludf.DUMMYFUNCTION("GOOGLETRANSLATE(C222, ""en"", ""ms"")"),"Jaringan tidak dapat dicapai.")</f>
        <v>Jaringan tidak dapat dicapai.</v>
      </c>
      <c r="W222" s="1" t="s">
        <v>4994</v>
      </c>
      <c r="X222" s="7" t="str">
        <f>IFERROR(__xludf.DUMMYFUNCTION("GOOGLETRANSLATE(C222, ""en"", ""no"")"),"Kan ikke koble til server.")</f>
        <v>Kan ikke koble til server.</v>
      </c>
      <c r="Y222" s="1" t="s">
        <v>4995</v>
      </c>
      <c r="Z222" s="7" t="str">
        <f>IFERROR(__xludf.DUMMYFUNCTION("GOOGLETRANSLATE(C222, ""en"", ""pt"")"),"Não é possível conectar-se ao servidor.")</f>
        <v>Não é possível conectar-se ao servidor.</v>
      </c>
      <c r="AA222" s="7" t="str">
        <f>IFERROR(__xludf.DUMMYFUNCTION("GOOGLETRANSLATE(C222, ""en"", ""ro"")"),"Imposibil de conectat la server.")</f>
        <v>Imposibil de conectat la server.</v>
      </c>
      <c r="AB222" s="7" t="str">
        <f>IFERROR(__xludf.DUMMYFUNCTION("GOOGLETRANSLATE(C222, ""en"", ""ru"")"),"Невозможно подключиться к серверу.")</f>
        <v>Невозможно подключиться к серверу.</v>
      </c>
      <c r="AC222" s="7" t="str">
        <f>IFERROR(__xludf.DUMMYFUNCTION("GOOGLETRANSLATE(C222, ""en"", ""sk"")"),"Nedá sa pripojiť k serveru.")</f>
        <v>Nedá sa pripojiť k serveru.</v>
      </c>
      <c r="AD222" s="6" t="s">
        <v>132</v>
      </c>
      <c r="AE222" s="7" t="str">
        <f>IFERROR(__xludf.DUMMYFUNCTION("GOOGLETRANSLATE(C222, ""en"", ""sr"")"),"Немогуће је повезати се са сервером.")</f>
        <v>Немогуће је повезати се са сервером.</v>
      </c>
      <c r="AF222" s="7" t="str">
        <f>IFERROR(__xludf.DUMMYFUNCTION("GOOGLETRANSLATE(C222, ""en"", ""sv"")"),"Det gick inte att ansluta till servern.")</f>
        <v>Det gick inte att ansluta till servern.</v>
      </c>
      <c r="AG222" s="6" t="s">
        <v>132</v>
      </c>
      <c r="AH222" s="7" t="str">
        <f>IFERROR(__xludf.DUMMYFUNCTION("GOOGLETRANSLATE(C222, ""en"", ""tr"")"),"Sunucuya bağlanılamıyor.")</f>
        <v>Sunucuya bağlanılamıyor.</v>
      </c>
      <c r="AI222" s="6" t="s">
        <v>132</v>
      </c>
      <c r="AJ222" s="6" t="s">
        <v>132</v>
      </c>
      <c r="AK222" s="7" t="str">
        <f>IFERROR(__xludf.DUMMYFUNCTION("GOOGLETRANSLATE(C222, ""en"", ""zh"")"),"无法连接到服务器。")</f>
        <v>无法连接到服务器。</v>
      </c>
      <c r="AL222" s="6" t="s">
        <v>132</v>
      </c>
    </row>
    <row r="223" ht="15.75" hidden="1" customHeight="1">
      <c r="A223" s="1" t="s">
        <v>38</v>
      </c>
      <c r="B223" s="1" t="s">
        <v>4996</v>
      </c>
      <c r="C223" s="1" t="s">
        <v>4997</v>
      </c>
      <c r="D223" s="7" t="str">
        <f>IFERROR(__xludf.DUMMYFUNCTION("GOOGLETRANSLATE(C223, ""en"", ""ar"")"),"اللصق تلقائيا محتملا دبوس من الحافظة.")</f>
        <v>اللصق تلقائيا محتملا دبوس من الحافظة.</v>
      </c>
      <c r="E223" s="1" t="s">
        <v>4998</v>
      </c>
      <c r="F223" s="6" t="s">
        <v>132</v>
      </c>
      <c r="G223" s="7" t="str">
        <f>IFERROR(__xludf.DUMMYFUNCTION("GOOGLETRANSLATE(C223, ""en"", ""cs"")"),"Automaticky vložen možný pin ze schránky.")</f>
        <v>Automaticky vložen možný pin ze schránky.</v>
      </c>
      <c r="H223" s="7" t="str">
        <f>IFERROR(__xludf.DUMMYFUNCTION("GOOGLETRANSLATE(C223, ""en"", ""da"")"),"Automatisk indsat mulig pin fra udklipsholder.")</f>
        <v>Automatisk indsat mulig pin fra udklipsholder.</v>
      </c>
      <c r="I223" s="1" t="s">
        <v>4999</v>
      </c>
      <c r="J223" s="6" t="s">
        <v>132</v>
      </c>
      <c r="K223" s="1" t="s">
        <v>5000</v>
      </c>
      <c r="L223" s="7" t="str">
        <f>IFERROR(__xludf.DUMMYFUNCTION("GOOGLETRANSLATE(C223, ""en"", ""fi"")"),"Automaattisesti liitetty mahdollinen tappi leikepöydältä.")</f>
        <v>Automaattisesti liitetty mahdollinen tappi leikepöydältä.</v>
      </c>
      <c r="M223" s="7" t="str">
        <f>IFERROR(__xludf.DUMMYFUNCTION("GOOGLETRANSLATE(C223, ""en"", ""fr"")"),"Collé automatiquement la goupille possible du presse-papiers.")</f>
        <v>Collé automatiquement la goupille possible du presse-papiers.</v>
      </c>
      <c r="N223" s="6" t="s">
        <v>5001</v>
      </c>
      <c r="O223" s="6" t="s">
        <v>132</v>
      </c>
      <c r="P223" s="1" t="s">
        <v>5002</v>
      </c>
      <c r="Q223" s="7" t="str">
        <f>IFERROR(__xludf.DUMMYFUNCTION("GOOGLETRANSLATE(C223, ""en"", ""in"")"),"Secara otomatis menempelkan pin yang mungkin dari clipboard.")</f>
        <v>Secara otomatis menempelkan pin yang mungkin dari clipboard.</v>
      </c>
      <c r="R223" s="1" t="s">
        <v>5003</v>
      </c>
      <c r="S223" s="6" t="s">
        <v>132</v>
      </c>
      <c r="T223" s="7" t="str">
        <f>IFERROR(__xludf.DUMMYFUNCTION("GOOGLETRANSLATE(C223, ""en"", ""ja"")"),"自動的にクリップボードから可能なPINを貼り付けました。")</f>
        <v>自動的にクリップボードから可能なPINを貼り付けました。</v>
      </c>
      <c r="U223" s="7" t="str">
        <f>IFERROR(__xludf.DUMMYFUNCTION("GOOGLETRANSLATE(C223, ""en"", ""ko"")"),"클립 보드에서 가능한 PIN을 자동으로 붙여 넣었습니다.")</f>
        <v>클립 보드에서 가능한 PIN을 자동으로 붙여 넣었습니다.</v>
      </c>
      <c r="V223" s="7" t="str">
        <f>IFERROR(__xludf.DUMMYFUNCTION("GOOGLETRANSLATE(C223, ""en"", ""ms"")"),"Secara automatik menyisipkan pin mungkin dari clipboard.")</f>
        <v>Secara automatik menyisipkan pin mungkin dari clipboard.</v>
      </c>
      <c r="W223" s="1" t="s">
        <v>5004</v>
      </c>
      <c r="X223" s="7" t="str">
        <f>IFERROR(__xludf.DUMMYFUNCTION("GOOGLETRANSLATE(C223, ""en"", ""no"")"),"Automatisk limt mulig PIN-kode fra utklippstavlen.")</f>
        <v>Automatisk limt mulig PIN-kode fra utklippstavlen.</v>
      </c>
      <c r="Y223" s="1" t="s">
        <v>5005</v>
      </c>
      <c r="Z223" s="7" t="str">
        <f>IFERROR(__xludf.DUMMYFUNCTION("GOOGLETRANSLATE(C223, ""en"", ""pt"")"),"Automaticamente colou possível pino da área de transferência.")</f>
        <v>Automaticamente colou possível pino da área de transferência.</v>
      </c>
      <c r="AA223" s="7" t="str">
        <f>IFERROR(__xludf.DUMMYFUNCTION("GOOGLETRANSLATE(C223, ""en"", ""ro"")"),"Picturile posibile automat din clipboard.")</f>
        <v>Picturile posibile automat din clipboard.</v>
      </c>
      <c r="AB223" s="7" t="str">
        <f>IFERROR(__xludf.DUMMYFUNCTION("GOOGLETRANSLATE(C223, ""en"", ""ru"")"),"Автоматически наклеил возможный контакт из буфера обмена.")</f>
        <v>Автоматически наклеил возможный контакт из буфера обмена.</v>
      </c>
      <c r="AC223" s="7" t="str">
        <f>IFERROR(__xludf.DUMMYFUNCTION("GOOGLETRANSLATE(C223, ""en"", ""sk"")"),"Automaticky prilepil možný kód PIN zo schránky.")</f>
        <v>Automaticky prilepil možný kód PIN zo schránky.</v>
      </c>
      <c r="AD223" s="6" t="s">
        <v>132</v>
      </c>
      <c r="AE223" s="7" t="str">
        <f>IFERROR(__xludf.DUMMYFUNCTION("GOOGLETRANSLATE(C223, ""en"", ""sr"")"),"Аутоматски залепљени могући ПИН из међуспремника.")</f>
        <v>Аутоматски залепљени могући ПИН из међуспремника.</v>
      </c>
      <c r="AF223" s="7" t="str">
        <f>IFERROR(__xludf.DUMMYFUNCTION("GOOGLETRANSLATE(C223, ""en"", ""sv"")"),"Automatiskt klistrad Möjlig PIN-kod från Urklipp.")</f>
        <v>Automatiskt klistrad Möjlig PIN-kod från Urklipp.</v>
      </c>
      <c r="AG223" s="6" t="s">
        <v>132</v>
      </c>
      <c r="AH223" s="7" t="str">
        <f>IFERROR(__xludf.DUMMYFUNCTION("GOOGLETRANSLATE(C223, ""en"", ""tr"")"),"Panodan otomatik olarak olası pimi yapıştırın.")</f>
        <v>Panodan otomatik olarak olası pimi yapıştırın.</v>
      </c>
      <c r="AI223" s="6" t="s">
        <v>132</v>
      </c>
      <c r="AJ223" s="6" t="s">
        <v>132</v>
      </c>
      <c r="AK223" s="7" t="str">
        <f>IFERROR(__xludf.DUMMYFUNCTION("GOOGLETRANSLATE(C223, ""en"", ""zh"")"),"从剪贴板自动粘贴可能的别针。")</f>
        <v>从剪贴板自动粘贴可能的别针。</v>
      </c>
      <c r="AL223" s="6" t="s">
        <v>132</v>
      </c>
    </row>
    <row r="224" ht="15.75" customHeight="1">
      <c r="A224" s="1" t="s">
        <v>127</v>
      </c>
      <c r="B224" s="1" t="s">
        <v>5006</v>
      </c>
      <c r="C224" s="1" t="s">
        <v>5007</v>
      </c>
      <c r="D224" s="8" t="s">
        <v>5008</v>
      </c>
      <c r="E224" s="1" t="s">
        <v>5009</v>
      </c>
      <c r="F224" s="6" t="s">
        <v>132</v>
      </c>
      <c r="G224" s="1" t="s">
        <v>5010</v>
      </c>
      <c r="H224" s="1" t="s">
        <v>5011</v>
      </c>
      <c r="I224" s="1" t="s">
        <v>5012</v>
      </c>
      <c r="J224" s="6" t="s">
        <v>5013</v>
      </c>
      <c r="K224" s="1" t="s">
        <v>5014</v>
      </c>
      <c r="L224" s="1" t="s">
        <v>5015</v>
      </c>
      <c r="M224" s="1" t="s">
        <v>5016</v>
      </c>
      <c r="N224" s="6" t="s">
        <v>132</v>
      </c>
      <c r="O224" s="6" t="s">
        <v>5017</v>
      </c>
      <c r="P224" s="1" t="s">
        <v>5018</v>
      </c>
      <c r="Q224" s="1" t="s">
        <v>5019</v>
      </c>
      <c r="R224" s="1" t="s">
        <v>5020</v>
      </c>
      <c r="S224" s="10" t="s">
        <v>5021</v>
      </c>
      <c r="T224" s="1" t="s">
        <v>5022</v>
      </c>
      <c r="U224" s="1" t="s">
        <v>5023</v>
      </c>
      <c r="V224" s="1" t="s">
        <v>5019</v>
      </c>
      <c r="W224" s="1" t="s">
        <v>5024</v>
      </c>
      <c r="X224" s="1" t="s">
        <v>5025</v>
      </c>
      <c r="Y224" s="1" t="s">
        <v>5026</v>
      </c>
      <c r="Z224" s="1" t="s">
        <v>5027</v>
      </c>
      <c r="AA224" s="1" t="s">
        <v>5028</v>
      </c>
      <c r="AB224" s="1" t="s">
        <v>5029</v>
      </c>
      <c r="AC224" s="1" t="s">
        <v>5010</v>
      </c>
      <c r="AD224" s="6" t="s">
        <v>5030</v>
      </c>
      <c r="AE224" s="1" t="s">
        <v>5031</v>
      </c>
      <c r="AF224" s="1" t="s">
        <v>5011</v>
      </c>
      <c r="AG224" s="6" t="s">
        <v>5032</v>
      </c>
      <c r="AH224" s="1" t="s">
        <v>5033</v>
      </c>
      <c r="AI224" s="6" t="s">
        <v>132</v>
      </c>
      <c r="AJ224" s="6" t="s">
        <v>5034</v>
      </c>
      <c r="AK224" s="1" t="s">
        <v>5035</v>
      </c>
      <c r="AL224" s="6" t="s">
        <v>5036</v>
      </c>
    </row>
    <row r="225" ht="15.75" customHeight="1">
      <c r="A225" s="1" t="s">
        <v>127</v>
      </c>
      <c r="B225" s="1" t="s">
        <v>5037</v>
      </c>
      <c r="C225" s="1" t="s">
        <v>5038</v>
      </c>
      <c r="D225" s="8" t="s">
        <v>5039</v>
      </c>
      <c r="E225" s="1" t="s">
        <v>5040</v>
      </c>
      <c r="F225" s="6" t="s">
        <v>132</v>
      </c>
      <c r="G225" s="1" t="s">
        <v>5041</v>
      </c>
      <c r="H225" s="1" t="s">
        <v>5042</v>
      </c>
      <c r="I225" s="1" t="s">
        <v>5043</v>
      </c>
      <c r="J225" s="6" t="s">
        <v>5044</v>
      </c>
      <c r="K225" s="1" t="s">
        <v>5045</v>
      </c>
      <c r="L225" s="1" t="s">
        <v>5046</v>
      </c>
      <c r="M225" s="1" t="s">
        <v>5047</v>
      </c>
      <c r="N225" s="6" t="s">
        <v>132</v>
      </c>
      <c r="O225" s="6" t="s">
        <v>5048</v>
      </c>
      <c r="P225" s="1" t="s">
        <v>5049</v>
      </c>
      <c r="Q225" s="1" t="s">
        <v>5050</v>
      </c>
      <c r="R225" s="1" t="s">
        <v>5051</v>
      </c>
      <c r="S225" s="10" t="s">
        <v>5052</v>
      </c>
      <c r="T225" s="1" t="s">
        <v>5053</v>
      </c>
      <c r="U225" s="1" t="s">
        <v>5054</v>
      </c>
      <c r="V225" s="1" t="s">
        <v>5055</v>
      </c>
      <c r="W225" s="1" t="s">
        <v>5056</v>
      </c>
      <c r="X225" s="1" t="s">
        <v>5057</v>
      </c>
      <c r="Y225" s="1" t="s">
        <v>5058</v>
      </c>
      <c r="Z225" s="1" t="s">
        <v>5059</v>
      </c>
      <c r="AA225" s="1" t="s">
        <v>5060</v>
      </c>
      <c r="AB225" s="1" t="s">
        <v>5061</v>
      </c>
      <c r="AC225" s="1" t="s">
        <v>5062</v>
      </c>
      <c r="AD225" s="6" t="s">
        <v>5063</v>
      </c>
      <c r="AE225" s="1" t="s">
        <v>5064</v>
      </c>
      <c r="AF225" s="1" t="s">
        <v>5065</v>
      </c>
      <c r="AG225" s="6" t="s">
        <v>5066</v>
      </c>
      <c r="AH225" s="1" t="s">
        <v>5067</v>
      </c>
      <c r="AI225" s="6" t="s">
        <v>132</v>
      </c>
      <c r="AJ225" s="6" t="s">
        <v>5068</v>
      </c>
      <c r="AK225" s="1" t="s">
        <v>5069</v>
      </c>
      <c r="AL225" s="6" t="s">
        <v>5070</v>
      </c>
    </row>
    <row r="226" ht="15.75" customHeight="1">
      <c r="A226" s="1" t="s">
        <v>127</v>
      </c>
      <c r="B226" s="1" t="s">
        <v>5071</v>
      </c>
      <c r="C226" s="1" t="s">
        <v>5072</v>
      </c>
      <c r="D226" s="8" t="s">
        <v>5073</v>
      </c>
      <c r="E226" s="1" t="s">
        <v>5074</v>
      </c>
      <c r="F226" s="6" t="s">
        <v>132</v>
      </c>
      <c r="G226" s="1" t="s">
        <v>5075</v>
      </c>
      <c r="H226" s="1" t="s">
        <v>5076</v>
      </c>
      <c r="I226" s="1" t="s">
        <v>5072</v>
      </c>
      <c r="J226" s="6" t="s">
        <v>5077</v>
      </c>
      <c r="K226" s="1" t="s">
        <v>5072</v>
      </c>
      <c r="L226" s="1" t="s">
        <v>5078</v>
      </c>
      <c r="M226" s="1" t="s">
        <v>5079</v>
      </c>
      <c r="N226" s="6" t="s">
        <v>132</v>
      </c>
      <c r="O226" s="6" t="s">
        <v>5080</v>
      </c>
      <c r="P226" s="1" t="s">
        <v>5072</v>
      </c>
      <c r="Q226" s="1" t="s">
        <v>5081</v>
      </c>
      <c r="R226" s="1" t="s">
        <v>5082</v>
      </c>
      <c r="S226" s="10" t="s">
        <v>5083</v>
      </c>
      <c r="T226" s="1" t="s">
        <v>5084</v>
      </c>
      <c r="U226" s="1" t="s">
        <v>5085</v>
      </c>
      <c r="V226" s="1" t="s">
        <v>5086</v>
      </c>
      <c r="W226" s="1" t="s">
        <v>5072</v>
      </c>
      <c r="X226" s="1" t="s">
        <v>5087</v>
      </c>
      <c r="Y226" s="1" t="s">
        <v>5088</v>
      </c>
      <c r="Z226" s="1" t="s">
        <v>5089</v>
      </c>
      <c r="AA226" s="1" t="s">
        <v>5090</v>
      </c>
      <c r="AB226" s="1" t="s">
        <v>5091</v>
      </c>
      <c r="AC226" s="1" t="s">
        <v>5092</v>
      </c>
      <c r="AD226" s="6" t="s">
        <v>5093</v>
      </c>
      <c r="AE226" s="1" t="s">
        <v>5072</v>
      </c>
      <c r="AF226" s="1" t="s">
        <v>5076</v>
      </c>
      <c r="AG226" s="6" t="s">
        <v>5094</v>
      </c>
      <c r="AH226" s="1" t="s">
        <v>5095</v>
      </c>
      <c r="AI226" s="6" t="s">
        <v>132</v>
      </c>
      <c r="AJ226" s="6" t="s">
        <v>5096</v>
      </c>
      <c r="AK226" s="1" t="s">
        <v>5097</v>
      </c>
      <c r="AL226" s="6" t="s">
        <v>5098</v>
      </c>
    </row>
    <row r="227" ht="15.75" customHeight="1">
      <c r="A227" s="1" t="s">
        <v>2265</v>
      </c>
      <c r="B227" s="1" t="s">
        <v>5099</v>
      </c>
      <c r="C227" s="1" t="s">
        <v>5100</v>
      </c>
      <c r="D227" s="8" t="s">
        <v>5101</v>
      </c>
      <c r="E227" s="1" t="s">
        <v>5102</v>
      </c>
      <c r="F227" s="6" t="s">
        <v>132</v>
      </c>
      <c r="G227" s="1" t="s">
        <v>5103</v>
      </c>
      <c r="H227" s="1" t="s">
        <v>5104</v>
      </c>
      <c r="I227" s="1" t="s">
        <v>5105</v>
      </c>
      <c r="J227" s="6" t="s">
        <v>5106</v>
      </c>
      <c r="K227" s="1" t="s">
        <v>5107</v>
      </c>
      <c r="L227" s="1" t="s">
        <v>5108</v>
      </c>
      <c r="M227" s="1" t="s">
        <v>5109</v>
      </c>
      <c r="N227" s="6" t="s">
        <v>132</v>
      </c>
      <c r="O227" s="6" t="s">
        <v>5110</v>
      </c>
      <c r="P227" s="1" t="s">
        <v>5111</v>
      </c>
      <c r="Q227" s="1" t="s">
        <v>5112</v>
      </c>
      <c r="R227" s="1" t="s">
        <v>5113</v>
      </c>
      <c r="S227" s="10" t="s">
        <v>5114</v>
      </c>
      <c r="T227" s="1" t="s">
        <v>5115</v>
      </c>
      <c r="U227" s="1" t="s">
        <v>5116</v>
      </c>
      <c r="V227" s="1" t="s">
        <v>5112</v>
      </c>
      <c r="W227" s="1" t="s">
        <v>5117</v>
      </c>
      <c r="X227" s="1" t="s">
        <v>5118</v>
      </c>
      <c r="Y227" s="1" t="s">
        <v>5119</v>
      </c>
      <c r="Z227" s="1" t="s">
        <v>5120</v>
      </c>
      <c r="AA227" s="1" t="s">
        <v>5121</v>
      </c>
      <c r="AB227" s="1" t="s">
        <v>5122</v>
      </c>
      <c r="AC227" s="1" t="s">
        <v>5123</v>
      </c>
      <c r="AD227" s="6" t="s">
        <v>5124</v>
      </c>
      <c r="AE227" s="1" t="s">
        <v>5125</v>
      </c>
      <c r="AF227" s="1" t="s">
        <v>5126</v>
      </c>
      <c r="AG227" s="6" t="s">
        <v>5127</v>
      </c>
      <c r="AH227" s="1" t="s">
        <v>5128</v>
      </c>
      <c r="AI227" s="6" t="s">
        <v>132</v>
      </c>
      <c r="AJ227" s="6" t="s">
        <v>5129</v>
      </c>
      <c r="AK227" s="14" t="s">
        <v>5130</v>
      </c>
      <c r="AL227" s="6" t="s">
        <v>132</v>
      </c>
    </row>
    <row r="228" ht="15.75" hidden="1" customHeight="1">
      <c r="A228" s="1" t="s">
        <v>38</v>
      </c>
      <c r="B228" s="1" t="s">
        <v>5131</v>
      </c>
      <c r="C228" s="1" t="s">
        <v>5132</v>
      </c>
      <c r="D228" s="8" t="s">
        <v>5133</v>
      </c>
      <c r="E228" s="1" t="s">
        <v>5134</v>
      </c>
      <c r="F228" s="6" t="s">
        <v>5135</v>
      </c>
      <c r="G228" s="7" t="str">
        <f>IFERROR(__xludf.DUMMYFUNCTION("GOOGLETRANSLATE(C228, ""en"", ""cs"")"),"Blok jabber id.")</f>
        <v>Blok jabber id.</v>
      </c>
      <c r="H228" s="7" t="str">
        <f>IFERROR(__xludf.DUMMYFUNCTION("GOOGLETRANSLATE(C228, ""en"", ""da"")"),"Bloker Jabber ID.")</f>
        <v>Bloker Jabber ID.</v>
      </c>
      <c r="I228" s="1" t="s">
        <v>5136</v>
      </c>
      <c r="J228" s="6" t="s">
        <v>132</v>
      </c>
      <c r="K228" s="1" t="s">
        <v>5137</v>
      </c>
      <c r="L228" s="7" t="str">
        <f>IFERROR(__xludf.DUMMYFUNCTION("GOOGLETRANSLATE(C228, ""en"", ""fi"")"),"Block Jabber ID")</f>
        <v>Block Jabber ID</v>
      </c>
      <c r="M228" s="1" t="s">
        <v>5138</v>
      </c>
      <c r="N228" s="6" t="s">
        <v>5139</v>
      </c>
      <c r="O228" s="6" t="s">
        <v>132</v>
      </c>
      <c r="P228" s="1" t="s">
        <v>5140</v>
      </c>
      <c r="Q228" s="7" t="str">
        <f>IFERROR(__xludf.DUMMYFUNCTION("GOOGLETRANSLATE(C228, ""en"", ""in"")"),"Blokir Id Jabber.")</f>
        <v>Blokir Id Jabber.</v>
      </c>
      <c r="R228" s="1" t="s">
        <v>5141</v>
      </c>
      <c r="S228" s="6" t="s">
        <v>132</v>
      </c>
      <c r="T228" s="1" t="s">
        <v>5142</v>
      </c>
      <c r="U228" s="1" t="s">
        <v>5143</v>
      </c>
      <c r="V228" s="7" t="str">
        <f>IFERROR(__xludf.DUMMYFUNCTION("GOOGLETRANSLATE(C228, ""en"", ""ms"")"),"Blok Jabber ID")</f>
        <v>Blok Jabber ID</v>
      </c>
      <c r="W228" s="1" t="s">
        <v>5144</v>
      </c>
      <c r="X228" s="7" t="str">
        <f>IFERROR(__xludf.DUMMYFUNCTION("GOOGLETRANSLATE(C228, ""en"", ""no"")"),"Blokker Jabber ID.")</f>
        <v>Blokker Jabber ID.</v>
      </c>
      <c r="Y228" s="1" t="s">
        <v>5145</v>
      </c>
      <c r="Z228" s="1" t="s">
        <v>5139</v>
      </c>
      <c r="AA228" s="7" t="str">
        <f>IFERROR(__xludf.DUMMYFUNCTION("GOOGLETRANSLATE(C228, ""en"", ""ro"")"),"Blocați ID-ul Jabber.")</f>
        <v>Blocați ID-ul Jabber.</v>
      </c>
      <c r="AB228" s="1" t="s">
        <v>5146</v>
      </c>
      <c r="AC228" s="7" t="str">
        <f>IFERROR(__xludf.DUMMYFUNCTION("GOOGLETRANSLATE(C228, ""en"", ""sk"")"),"Blok jabber")</f>
        <v>Blok jabber</v>
      </c>
      <c r="AD228" s="6" t="s">
        <v>132</v>
      </c>
      <c r="AE228" s="1" t="s">
        <v>5147</v>
      </c>
      <c r="AF228" s="1" t="s">
        <v>5148</v>
      </c>
      <c r="AG228" s="6" t="s">
        <v>132</v>
      </c>
      <c r="AH228" s="7" t="str">
        <f>IFERROR(__xludf.DUMMYFUNCTION("GOOGLETRANSLATE(C228, ""en"", ""tr"")"),"Blok jabber kimliği")</f>
        <v>Blok jabber kimliği</v>
      </c>
      <c r="AI228" s="6" t="s">
        <v>5149</v>
      </c>
      <c r="AJ228" s="6" t="s">
        <v>132</v>
      </c>
      <c r="AK228" s="7" t="str">
        <f>IFERROR(__xludf.DUMMYFUNCTION("GOOGLETRANSLATE(C228, ""en"", ""zh"")"),"阻止jabber id.")</f>
        <v>阻止jabber id.</v>
      </c>
      <c r="AL228" s="6" t="s">
        <v>5150</v>
      </c>
    </row>
    <row r="229" ht="15.75" hidden="1" customHeight="1">
      <c r="A229" s="1" t="s">
        <v>38</v>
      </c>
      <c r="B229" s="1" t="s">
        <v>5151</v>
      </c>
      <c r="C229" s="1" t="s">
        <v>5152</v>
      </c>
      <c r="D229" s="8" t="s">
        <v>5153</v>
      </c>
      <c r="E229" s="1" t="s">
        <v>5154</v>
      </c>
      <c r="F229" s="6" t="s">
        <v>5155</v>
      </c>
      <c r="G229" s="7" t="str">
        <f>IFERROR(__xludf.DUMMYFUNCTION("GOOGLETRANSLATE(C229, ""en"", ""cs"")"),"Optimalizace baterií povolena")</f>
        <v>Optimalizace baterií povolena</v>
      </c>
      <c r="H229" s="7" t="str">
        <f>IFERROR(__xludf.DUMMYFUNCTION("GOOGLETRANSLATE(C229, ""en"", ""da"")"),"Batterioptimeringer aktiveret")</f>
        <v>Batterioptimeringer aktiveret</v>
      </c>
      <c r="I229" s="1" t="s">
        <v>5156</v>
      </c>
      <c r="J229" s="6" t="s">
        <v>132</v>
      </c>
      <c r="K229" s="1" t="s">
        <v>5157</v>
      </c>
      <c r="L229" s="7" t="str">
        <f>IFERROR(__xludf.DUMMYFUNCTION("GOOGLETRANSLATE(C229, ""en"", ""fi"")"),"Akun optimointi käytössä")</f>
        <v>Akun optimointi käytössä</v>
      </c>
      <c r="M229" s="1" t="s">
        <v>5158</v>
      </c>
      <c r="N229" s="6" t="s">
        <v>5159</v>
      </c>
      <c r="O229" s="6" t="s">
        <v>132</v>
      </c>
      <c r="P229" s="1" t="s">
        <v>5160</v>
      </c>
      <c r="Q229" s="9" t="s">
        <v>5161</v>
      </c>
      <c r="R229" s="1" t="s">
        <v>5162</v>
      </c>
      <c r="S229" s="6" t="s">
        <v>132</v>
      </c>
      <c r="T229" s="1" t="s">
        <v>5163</v>
      </c>
      <c r="U229" s="1" t="s">
        <v>5164</v>
      </c>
      <c r="V229" s="7" t="str">
        <f>IFERROR(__xludf.DUMMYFUNCTION("GOOGLETRANSLATE(C229, ""en"", ""ms"")"),"Pengoptimuman bateri diaktifkan")</f>
        <v>Pengoptimuman bateri diaktifkan</v>
      </c>
      <c r="W229" s="1" t="s">
        <v>5165</v>
      </c>
      <c r="X229" s="7" t="str">
        <f>IFERROR(__xludf.DUMMYFUNCTION("GOOGLETRANSLATE(C229, ""en"", ""no"")"),"Batteri optimaliseringer aktivert")</f>
        <v>Batteri optimaliseringer aktivert</v>
      </c>
      <c r="Y229" s="1" t="s">
        <v>5166</v>
      </c>
      <c r="Z229" s="1" t="s">
        <v>5167</v>
      </c>
      <c r="AA229" s="7" t="str">
        <f>IFERROR(__xludf.DUMMYFUNCTION("GOOGLETRANSLATE(C229, ""en"", ""ro"")"),"Optimizările bateriei este activată")</f>
        <v>Optimizările bateriei este activată</v>
      </c>
      <c r="AB229" s="1" t="s">
        <v>5168</v>
      </c>
      <c r="AC229" s="7" t="str">
        <f>IFERROR(__xludf.DUMMYFUNCTION("GOOGLETRANSLATE(C229, ""en"", ""sk"")"),"Optimalizácia batérií")</f>
        <v>Optimalizácia batérií</v>
      </c>
      <c r="AD229" s="6" t="s">
        <v>132</v>
      </c>
      <c r="AE229" s="1" t="s">
        <v>5169</v>
      </c>
      <c r="AF229" s="1" t="s">
        <v>5170</v>
      </c>
      <c r="AG229" s="6" t="s">
        <v>132</v>
      </c>
      <c r="AH229" s="7" t="str">
        <f>IFERROR(__xludf.DUMMYFUNCTION("GOOGLETRANSLATE(C229, ""en"", ""tr"")"),"Pil optimizasyonları etkin")</f>
        <v>Pil optimizasyonları etkin</v>
      </c>
      <c r="AI229" s="6" t="s">
        <v>5171</v>
      </c>
      <c r="AJ229" s="6" t="s">
        <v>5172</v>
      </c>
      <c r="AK229" s="7" t="str">
        <f>IFERROR(__xludf.DUMMYFUNCTION("GOOGLETRANSLATE(C229, ""en"", ""zh"")"),"启用电池优化")</f>
        <v>启用电池优化</v>
      </c>
      <c r="AL229" s="6" t="s">
        <v>5173</v>
      </c>
    </row>
    <row r="230" ht="15.75" hidden="1" customHeight="1">
      <c r="A230" s="1" t="s">
        <v>38</v>
      </c>
      <c r="B230" s="1" t="s">
        <v>5174</v>
      </c>
      <c r="C230" s="1" t="s">
        <v>5175</v>
      </c>
      <c r="D230" s="8" t="s">
        <v>5176</v>
      </c>
      <c r="E230" s="1" t="s">
        <v>5177</v>
      </c>
      <c r="F230" s="6" t="s">
        <v>5178</v>
      </c>
      <c r="G230" s="7" t="str">
        <f>IFERROR(__xludf.DUMMYFUNCTION("GOOGLETRANSLATE(C230, ""en"", ""cs"")"),"Přijměte soubory")</f>
        <v>Přijměte soubory</v>
      </c>
      <c r="H230" s="7" t="str">
        <f>IFERROR(__xludf.DUMMYFUNCTION("GOOGLETRANSLATE(C230, ""en"", ""da"")"),"Acceptere filer")</f>
        <v>Acceptere filer</v>
      </c>
      <c r="I230" s="1" t="s">
        <v>5179</v>
      </c>
      <c r="J230" s="6" t="s">
        <v>132</v>
      </c>
      <c r="K230" s="1" t="s">
        <v>5180</v>
      </c>
      <c r="L230" s="7" t="str">
        <f>IFERROR(__xludf.DUMMYFUNCTION("GOOGLETRANSLATE(C230, ""en"", ""fi"")"),"Hyväksy tiedostot")</f>
        <v>Hyväksy tiedostot</v>
      </c>
      <c r="M230" s="1" t="s">
        <v>5181</v>
      </c>
      <c r="N230" s="6" t="s">
        <v>5182</v>
      </c>
      <c r="O230" s="6" t="s">
        <v>132</v>
      </c>
      <c r="P230" s="1" t="s">
        <v>5183</v>
      </c>
      <c r="Q230" s="9" t="s">
        <v>5184</v>
      </c>
      <c r="R230" s="1" t="s">
        <v>5185</v>
      </c>
      <c r="S230" s="6" t="s">
        <v>132</v>
      </c>
      <c r="T230" s="1" t="s">
        <v>5186</v>
      </c>
      <c r="U230" s="1" t="s">
        <v>5187</v>
      </c>
      <c r="V230" s="7" t="str">
        <f>IFERROR(__xludf.DUMMYFUNCTION("GOOGLETRANSLATE(C230, ""en"", ""ms"")"),"Terima fail")</f>
        <v>Terima fail</v>
      </c>
      <c r="W230" s="1" t="s">
        <v>5188</v>
      </c>
      <c r="X230" s="7" t="str">
        <f>IFERROR(__xludf.DUMMYFUNCTION("GOOGLETRANSLATE(C230, ""en"", ""no"")"),"Godta filer")</f>
        <v>Godta filer</v>
      </c>
      <c r="Y230" s="1" t="s">
        <v>5189</v>
      </c>
      <c r="Z230" s="1" t="s">
        <v>5190</v>
      </c>
      <c r="AA230" s="7" t="str">
        <f>IFERROR(__xludf.DUMMYFUNCTION("GOOGLETRANSLATE(C230, ""en"", ""ro"")"),"Acceptați fișiere")</f>
        <v>Acceptați fișiere</v>
      </c>
      <c r="AB230" s="1" t="s">
        <v>5191</v>
      </c>
      <c r="AC230" s="1" t="s">
        <v>5192</v>
      </c>
      <c r="AD230" s="6" t="s">
        <v>132</v>
      </c>
      <c r="AE230" s="1" t="s">
        <v>5193</v>
      </c>
      <c r="AF230" s="1" t="s">
        <v>5194</v>
      </c>
      <c r="AG230" s="6" t="s">
        <v>132</v>
      </c>
      <c r="AH230" s="7" t="str">
        <f>IFERROR(__xludf.DUMMYFUNCTION("GOOGLETRANSLATE(C230, ""en"", ""tr"")"),"Dosyaları kabul et")</f>
        <v>Dosyaları kabul et</v>
      </c>
      <c r="AI230" s="6" t="s">
        <v>5195</v>
      </c>
      <c r="AJ230" s="6" t="s">
        <v>5196</v>
      </c>
      <c r="AK230" s="7" t="str">
        <f>IFERROR(__xludf.DUMMYFUNCTION("GOOGLETRANSLATE(C230, ""en"", ""zh"")"),"接受文件")</f>
        <v>接受文件</v>
      </c>
      <c r="AL230" s="6" t="s">
        <v>5197</v>
      </c>
    </row>
    <row r="231" ht="15.75" hidden="1" customHeight="1">
      <c r="A231" s="1" t="s">
        <v>38</v>
      </c>
      <c r="B231" s="1" t="s">
        <v>5198</v>
      </c>
      <c r="C231" s="1" t="s">
        <v>5199</v>
      </c>
      <c r="D231" s="7" t="str">
        <f>IFERROR(__xludf.DUMMYFUNCTION("GOOGLETRANSLATE(C231, ""en"", ""ar"")"),"إبطال")</f>
        <v>إبطال</v>
      </c>
      <c r="E231" s="1" t="s">
        <v>5200</v>
      </c>
      <c r="F231" s="6" t="s">
        <v>5201</v>
      </c>
      <c r="G231" s="7" t="str">
        <f>IFERROR(__xludf.DUMMYFUNCTION("GOOGLETRANSLATE(C231, ""en"", ""cs"")"),"Vypnout")</f>
        <v>Vypnout</v>
      </c>
      <c r="H231" s="7" t="str">
        <f>IFERROR(__xludf.DUMMYFUNCTION("GOOGLETRANSLATE(C231, ""en"", ""da"")"),"Deaktivere")</f>
        <v>Deaktivere</v>
      </c>
      <c r="I231" s="1" t="s">
        <v>5202</v>
      </c>
      <c r="J231" s="6" t="s">
        <v>132</v>
      </c>
      <c r="K231" s="1" t="s">
        <v>5203</v>
      </c>
      <c r="L231" s="7" t="str">
        <f>IFERROR(__xludf.DUMMYFUNCTION("GOOGLETRANSLATE(C231, ""en"", ""fi"")"),"Poista käytöstä")</f>
        <v>Poista käytöstä</v>
      </c>
      <c r="M231" s="1" t="s">
        <v>5204</v>
      </c>
      <c r="N231" s="6" t="s">
        <v>5205</v>
      </c>
      <c r="O231" s="6" t="s">
        <v>132</v>
      </c>
      <c r="P231" s="1" t="s">
        <v>5206</v>
      </c>
      <c r="Q231" s="7" t="str">
        <f>IFERROR(__xludf.DUMMYFUNCTION("GOOGLETRANSLATE(C231, ""en"", ""in"")"),"Nonaktifkan")</f>
        <v>Nonaktifkan</v>
      </c>
      <c r="R231" s="1" t="s">
        <v>5207</v>
      </c>
      <c r="S231" s="6" t="s">
        <v>132</v>
      </c>
      <c r="T231" s="7" t="str">
        <f>IFERROR(__xludf.DUMMYFUNCTION("GOOGLETRANSLATE(C231, ""en"", ""ja"")"),"無効にする")</f>
        <v>無効にする</v>
      </c>
      <c r="U231" s="7" t="str">
        <f>IFERROR(__xludf.DUMMYFUNCTION("GOOGLETRANSLATE(C231, ""en"", ""ko"")"),"비활성화")</f>
        <v>비활성화</v>
      </c>
      <c r="V231" s="7" t="str">
        <f>IFERROR(__xludf.DUMMYFUNCTION("GOOGLETRANSLATE(C231, ""en"", ""ms"")"),"Melumpuhkan")</f>
        <v>Melumpuhkan</v>
      </c>
      <c r="W231" s="1" t="s">
        <v>5208</v>
      </c>
      <c r="X231" s="7" t="str">
        <f>IFERROR(__xludf.DUMMYFUNCTION("GOOGLETRANSLATE(C231, ""en"", ""no"")"),"Deaktiver")</f>
        <v>Deaktiver</v>
      </c>
      <c r="Y231" s="1" t="s">
        <v>5209</v>
      </c>
      <c r="Z231" s="1" t="s">
        <v>5210</v>
      </c>
      <c r="AA231" s="7" t="str">
        <f>IFERROR(__xludf.DUMMYFUNCTION("GOOGLETRANSLATE(C231, ""en"", ""ro"")"),"Dezactivați")</f>
        <v>Dezactivați</v>
      </c>
      <c r="AB231" s="7" t="str">
        <f>IFERROR(__xludf.DUMMYFUNCTION("GOOGLETRANSLATE(C231, ""en"", ""ru"")"),"Запрещать")</f>
        <v>Запрещать</v>
      </c>
      <c r="AC231" s="7" t="str">
        <f>IFERROR(__xludf.DUMMYFUNCTION("GOOGLETRANSLATE(C231, ""en"", ""sk"")"),"Vypnúť")</f>
        <v>Vypnúť</v>
      </c>
      <c r="AD231" s="6" t="s">
        <v>132</v>
      </c>
      <c r="AE231" s="7" t="str">
        <f>IFERROR(__xludf.DUMMYFUNCTION("GOOGLETRANSLATE(C231, ""en"", ""sr"")"),"Онемогућити")</f>
        <v>Онемогућити</v>
      </c>
      <c r="AF231" s="7" t="str">
        <f>IFERROR(__xludf.DUMMYFUNCTION("GOOGLETRANSLATE(C231, ""en"", ""sv"")"),"Inaktivera")</f>
        <v>Inaktivera</v>
      </c>
      <c r="AG231" s="6" t="s">
        <v>132</v>
      </c>
      <c r="AH231" s="7" t="str">
        <f>IFERROR(__xludf.DUMMYFUNCTION("GOOGLETRANSLATE(C231, ""en"", ""tr"")"),"Devre dışı bırakmak")</f>
        <v>Devre dışı bırakmak</v>
      </c>
      <c r="AI231" s="6" t="s">
        <v>132</v>
      </c>
      <c r="AJ231" s="6" t="s">
        <v>132</v>
      </c>
      <c r="AK231" s="7" t="str">
        <f>IFERROR(__xludf.DUMMYFUNCTION("GOOGLETRANSLATE(C231, ""en"", ""zh"")"),"禁用")</f>
        <v>禁用</v>
      </c>
      <c r="AL231" s="6" t="s">
        <v>132</v>
      </c>
    </row>
    <row r="232" ht="15.75" hidden="1" customHeight="1">
      <c r="A232" s="1" t="s">
        <v>38</v>
      </c>
      <c r="B232" s="1" t="s">
        <v>5211</v>
      </c>
      <c r="C232" s="1" t="s">
        <v>5212</v>
      </c>
      <c r="D232" s="8" t="s">
        <v>5213</v>
      </c>
      <c r="E232" s="1" t="s">
        <v>5214</v>
      </c>
      <c r="F232" s="6" t="s">
        <v>5215</v>
      </c>
      <c r="G232" s="7" t="str">
        <f>IFERROR(__xludf.DUMMYFUNCTION("GOOGLETRANSLATE(C232, ""en"", ""cs"")"),"Vytvořit kontakt")</f>
        <v>Vytvořit kontakt</v>
      </c>
      <c r="H232" s="7" t="str">
        <f>IFERROR(__xludf.DUMMYFUNCTION("GOOGLETRANSLATE(C232, ""en"", ""da"")"),"Opret kontakt")</f>
        <v>Opret kontakt</v>
      </c>
      <c r="I232" s="1" t="s">
        <v>5216</v>
      </c>
      <c r="J232" s="6" t="s">
        <v>132</v>
      </c>
      <c r="K232" s="1" t="s">
        <v>5217</v>
      </c>
      <c r="L232" s="7" t="str">
        <f>IFERROR(__xludf.DUMMYFUNCTION("GOOGLETRANSLATE(C232, ""en"", ""fi"")"),"Luo yhteystieto")</f>
        <v>Luo yhteystieto</v>
      </c>
      <c r="M232" s="1" t="s">
        <v>5218</v>
      </c>
      <c r="N232" s="6" t="s">
        <v>5219</v>
      </c>
      <c r="O232" s="6" t="s">
        <v>132</v>
      </c>
      <c r="P232" s="1" t="s">
        <v>5220</v>
      </c>
      <c r="Q232" s="7" t="str">
        <f>IFERROR(__xludf.DUMMYFUNCTION("GOOGLETRANSLATE(C232, ""en"", ""in"")"),"Buat Kontak")</f>
        <v>Buat Kontak</v>
      </c>
      <c r="R232" s="1" t="s">
        <v>5221</v>
      </c>
      <c r="S232" s="6" t="s">
        <v>132</v>
      </c>
      <c r="T232" s="1" t="s">
        <v>5222</v>
      </c>
      <c r="U232" s="7" t="str">
        <f>IFERROR(__xludf.DUMMYFUNCTION("GOOGLETRANSLATE(C232, ""en"", ""ko"")"),"연락처를 만듭니다")</f>
        <v>연락처를 만듭니다</v>
      </c>
      <c r="V232" s="7" t="str">
        <f>IFERROR(__xludf.DUMMYFUNCTION("GOOGLETRANSLATE(C232, ""en"", ""ms"")"),"Buat kenalan")</f>
        <v>Buat kenalan</v>
      </c>
      <c r="W232" s="1" t="s">
        <v>5223</v>
      </c>
      <c r="X232" s="7" t="str">
        <f>IFERROR(__xludf.DUMMYFUNCTION("GOOGLETRANSLATE(C232, ""en"", ""no"")"),"Skape kontakt")</f>
        <v>Skape kontakt</v>
      </c>
      <c r="Y232" s="1" t="s">
        <v>5224</v>
      </c>
      <c r="Z232" s="1" t="s">
        <v>5225</v>
      </c>
      <c r="AA232" s="7" t="str">
        <f>IFERROR(__xludf.DUMMYFUNCTION("GOOGLETRANSLATE(C232, ""en"", ""ro"")"),"Creați un contact")</f>
        <v>Creați un contact</v>
      </c>
      <c r="AB232" s="1" t="s">
        <v>5226</v>
      </c>
      <c r="AC232" s="7" t="str">
        <f>IFERROR(__xludf.DUMMYFUNCTION("GOOGLETRANSLATE(C232, ""en"", ""sk"")"),"Vytvoriť kontakt")</f>
        <v>Vytvoriť kontakt</v>
      </c>
      <c r="AD232" s="6" t="s">
        <v>132</v>
      </c>
      <c r="AE232" s="1" t="s">
        <v>5227</v>
      </c>
      <c r="AF232" s="7" t="str">
        <f>IFERROR(__xludf.DUMMYFUNCTION("GOOGLETRANSLATE(C232, ""en"", ""sv"")"),"Skapa kontakt")</f>
        <v>Skapa kontakt</v>
      </c>
      <c r="AG232" s="6" t="s">
        <v>132</v>
      </c>
      <c r="AH232" s="7" t="str">
        <f>IFERROR(__xludf.DUMMYFUNCTION("GOOGLETRANSLATE(C232, ""en"", ""tr"")"),"Temas kurmak")</f>
        <v>Temas kurmak</v>
      </c>
      <c r="AI232" s="6" t="s">
        <v>132</v>
      </c>
      <c r="AJ232" s="6" t="s">
        <v>132</v>
      </c>
      <c r="AK232" s="7" t="str">
        <f>IFERROR(__xludf.DUMMYFUNCTION("GOOGLETRANSLATE(C232, ""en"", ""zh"")"),"创建联系人")</f>
        <v>创建联系人</v>
      </c>
      <c r="AL232" s="6" t="s">
        <v>132</v>
      </c>
    </row>
    <row r="233" ht="15.75" hidden="1" customHeight="1">
      <c r="A233" s="1" t="s">
        <v>38</v>
      </c>
      <c r="B233" s="1" t="s">
        <v>5228</v>
      </c>
      <c r="C233" s="1" t="s">
        <v>5229</v>
      </c>
      <c r="D233" s="7" t="str">
        <f>IFERROR(__xludf.DUMMYFUNCTION("GOOGLETRANSLATE(C233, ""en"", ""ar"")"),"كندا")</f>
        <v>كندا</v>
      </c>
      <c r="E233" s="7" t="str">
        <f>IFERROR(__xludf.DUMMYFUNCTION("GOOGLETRANSLATE(C233, ""en"", ""bg"")"),"Канада")</f>
        <v>Канада</v>
      </c>
      <c r="F233" s="6" t="s">
        <v>132</v>
      </c>
      <c r="G233" s="7" t="str">
        <f>IFERROR(__xludf.DUMMYFUNCTION("GOOGLETRANSLATE(C233, ""en"", ""cs"")"),"Kanada")</f>
        <v>Kanada</v>
      </c>
      <c r="H233" s="7" t="str">
        <f>IFERROR(__xludf.DUMMYFUNCTION("GOOGLETRANSLATE(C233, ""en"", ""da"")"),"Canada.")</f>
        <v>Canada.</v>
      </c>
      <c r="I233" s="1" t="s">
        <v>5230</v>
      </c>
      <c r="J233" s="6" t="s">
        <v>132</v>
      </c>
      <c r="K233" s="1" t="s">
        <v>5231</v>
      </c>
      <c r="L233" s="7" t="str">
        <f>IFERROR(__xludf.DUMMYFUNCTION("GOOGLETRANSLATE(C233, ""en"", ""fi"")"),"Kanada")</f>
        <v>Kanada</v>
      </c>
      <c r="M233" s="1" t="s">
        <v>5229</v>
      </c>
      <c r="N233" s="6" t="s">
        <v>132</v>
      </c>
      <c r="O233" s="6" t="s">
        <v>132</v>
      </c>
      <c r="P233" s="1" t="s">
        <v>5229</v>
      </c>
      <c r="Q233" s="7" t="str">
        <f>IFERROR(__xludf.DUMMYFUNCTION("GOOGLETRANSLATE(C233, ""en"", ""in"")"),"Kanada")</f>
        <v>Kanada</v>
      </c>
      <c r="R233" s="7" t="str">
        <f>IFERROR(__xludf.DUMMYFUNCTION("GOOGLETRANSLATE(C233, ""en"", ""it"")"),"Canada")</f>
        <v>Canada</v>
      </c>
      <c r="S233" s="6" t="s">
        <v>132</v>
      </c>
      <c r="T233" s="7" t="str">
        <f>IFERROR(__xludf.DUMMYFUNCTION("GOOGLETRANSLATE(C233, ""en"", ""ja"")"),"カナダ")</f>
        <v>カナダ</v>
      </c>
      <c r="U233" s="7" t="str">
        <f>IFERROR(__xludf.DUMMYFUNCTION("GOOGLETRANSLATE(C233, ""en"", ""ko"")"),"캐나다")</f>
        <v>캐나다</v>
      </c>
      <c r="V233" s="7" t="str">
        <f>IFERROR(__xludf.DUMMYFUNCTION("GOOGLETRANSLATE(C233, ""en"", ""ms"")"),"Kanada")</f>
        <v>Kanada</v>
      </c>
      <c r="W233" s="7" t="str">
        <f>IFERROR(__xludf.DUMMYFUNCTION("GOOGLETRANSLATE(C233, ""en"", ""nl"")"),"Canada")</f>
        <v>Canada</v>
      </c>
      <c r="X233" s="7" t="str">
        <f>IFERROR(__xludf.DUMMYFUNCTION("GOOGLETRANSLATE(C233, ""en"", ""no"")"),"Canada")</f>
        <v>Canada</v>
      </c>
      <c r="Y233" s="7" t="str">
        <f>IFERROR(__xludf.DUMMYFUNCTION("GOOGLETRANSLATE(C233, ""en"", ""pl"")"),"Kanada")</f>
        <v>Kanada</v>
      </c>
      <c r="Z233" s="7" t="str">
        <f>IFERROR(__xludf.DUMMYFUNCTION("GOOGLETRANSLATE(C233, ""en"", ""pt"")"),"Canadá")</f>
        <v>Canadá</v>
      </c>
      <c r="AA233" s="7" t="str">
        <f>IFERROR(__xludf.DUMMYFUNCTION("GOOGLETRANSLATE(C233, ""en"", ""ro"")"),"Canada")</f>
        <v>Canada</v>
      </c>
      <c r="AB233" s="1" t="s">
        <v>5232</v>
      </c>
      <c r="AC233" s="7" t="str">
        <f>IFERROR(__xludf.DUMMYFUNCTION("GOOGLETRANSLATE(C233, ""en"", ""sk"")"),"Kanada")</f>
        <v>Kanada</v>
      </c>
      <c r="AD233" s="6" t="s">
        <v>132</v>
      </c>
      <c r="AE233" s="1" t="s">
        <v>5230</v>
      </c>
      <c r="AF233" s="7" t="str">
        <f>IFERROR(__xludf.DUMMYFUNCTION("GOOGLETRANSLATE(C233, ""en"", ""sv"")"),"Kanada")</f>
        <v>Kanada</v>
      </c>
      <c r="AG233" s="6" t="s">
        <v>132</v>
      </c>
      <c r="AH233" s="7" t="str">
        <f>IFERROR(__xludf.DUMMYFUNCTION("GOOGLETRANSLATE(C233, ""en"", ""tr"")"),"Kanada")</f>
        <v>Kanada</v>
      </c>
      <c r="AI233" s="6" t="s">
        <v>132</v>
      </c>
      <c r="AJ233" s="6" t="s">
        <v>132</v>
      </c>
      <c r="AK233" s="7" t="str">
        <f>IFERROR(__xludf.DUMMYFUNCTION("GOOGLETRANSLATE(C233, ""en"", ""zh"")"),"加拿大")</f>
        <v>加拿大</v>
      </c>
      <c r="AL233" s="6" t="s">
        <v>132</v>
      </c>
    </row>
    <row r="234" ht="15.75" hidden="1" customHeight="1">
      <c r="A234" s="1" t="s">
        <v>38</v>
      </c>
      <c r="B234" s="1" t="s">
        <v>5233</v>
      </c>
      <c r="C234" s="1" t="s">
        <v>5234</v>
      </c>
      <c r="D234" s="8" t="s">
        <v>5235</v>
      </c>
      <c r="E234" s="1" t="s">
        <v>5236</v>
      </c>
      <c r="F234" s="6" t="s">
        <v>5237</v>
      </c>
      <c r="G234" s="7" t="str">
        <f>IFERROR(__xludf.DUMMYFUNCTION("GOOGLETRANSLATE(C234, ""en"", ""cs"")"),"Moderátor")</f>
        <v>Moderátor</v>
      </c>
      <c r="H234" s="7" t="str">
        <f>IFERROR(__xludf.DUMMYFUNCTION("GOOGLETRANSLATE(C234, ""en"", ""da"")"),"Moderator.")</f>
        <v>Moderator.</v>
      </c>
      <c r="I234" s="1" t="s">
        <v>5234</v>
      </c>
      <c r="J234" s="6" t="s">
        <v>132</v>
      </c>
      <c r="K234" s="1" t="s">
        <v>5237</v>
      </c>
      <c r="L234" s="7" t="str">
        <f>IFERROR(__xludf.DUMMYFUNCTION("GOOGLETRANSLATE(C234, ""en"", ""fi"")"),"Moderaattori")</f>
        <v>Moderaattori</v>
      </c>
      <c r="M234" s="1" t="s">
        <v>5238</v>
      </c>
      <c r="N234" s="6" t="s">
        <v>5237</v>
      </c>
      <c r="O234" s="6" t="s">
        <v>132</v>
      </c>
      <c r="P234" s="1" t="s">
        <v>5239</v>
      </c>
      <c r="Q234" s="9" t="s">
        <v>5234</v>
      </c>
      <c r="R234" s="1" t="s">
        <v>5240</v>
      </c>
      <c r="S234" s="6" t="s">
        <v>132</v>
      </c>
      <c r="T234" s="1" t="s">
        <v>5241</v>
      </c>
      <c r="U234" s="1" t="s">
        <v>5242</v>
      </c>
      <c r="V234" s="7" t="str">
        <f>IFERROR(__xludf.DUMMYFUNCTION("GOOGLETRANSLATE(C234, ""en"", ""ms"")"),"Moderator.")</f>
        <v>Moderator.</v>
      </c>
      <c r="W234" s="1" t="s">
        <v>5234</v>
      </c>
      <c r="X234" s="7" t="str">
        <f>IFERROR(__xludf.DUMMYFUNCTION("GOOGLETRANSLATE(C234, ""en"", ""no"")"),"Moderator")</f>
        <v>Moderator</v>
      </c>
      <c r="Y234" s="1" t="s">
        <v>5234</v>
      </c>
      <c r="Z234" s="1" t="s">
        <v>5237</v>
      </c>
      <c r="AA234" s="7" t="str">
        <f>IFERROR(__xludf.DUMMYFUNCTION("GOOGLETRANSLATE(C234, ""en"", ""ro"")"),"Moderator.")</f>
        <v>Moderator.</v>
      </c>
      <c r="AB234" s="1" t="s">
        <v>5236</v>
      </c>
      <c r="AC234" s="1" t="s">
        <v>5239</v>
      </c>
      <c r="AD234" s="6" t="s">
        <v>132</v>
      </c>
      <c r="AE234" s="1" t="s">
        <v>5236</v>
      </c>
      <c r="AF234" s="1" t="s">
        <v>5234</v>
      </c>
      <c r="AG234" s="6" t="s">
        <v>132</v>
      </c>
      <c r="AH234" s="7" t="str">
        <f>IFERROR(__xludf.DUMMYFUNCTION("GOOGLETRANSLATE(C234, ""en"", ""tr"")"),"Moderatör")</f>
        <v>Moderatör</v>
      </c>
      <c r="AI234" s="6" t="s">
        <v>5236</v>
      </c>
      <c r="AJ234" s="6" t="s">
        <v>5243</v>
      </c>
      <c r="AK234" s="7" t="str">
        <f>IFERROR(__xludf.DUMMYFUNCTION("GOOGLETRANSLATE(C234, ""en"", ""zh"")"),"主持人")</f>
        <v>主持人</v>
      </c>
      <c r="AL234" s="6" t="s">
        <v>5244</v>
      </c>
    </row>
    <row r="235" ht="15.75" hidden="1" customHeight="1">
      <c r="A235" s="1" t="s">
        <v>38</v>
      </c>
      <c r="B235" s="1" t="s">
        <v>5245</v>
      </c>
      <c r="C235" s="1" t="s">
        <v>5246</v>
      </c>
      <c r="D235" s="7" t="str">
        <f>IFERROR(__xludf.DUMMYFUNCTION("GOOGLETRANSLATE(C235, ""en"", ""ar"")"),"تم حذف الملف بسبب انتهاك الأمن.")</f>
        <v>تم حذف الملف بسبب انتهاك الأمن.</v>
      </c>
      <c r="E235" s="1" t="s">
        <v>5247</v>
      </c>
      <c r="F235" s="6" t="s">
        <v>132</v>
      </c>
      <c r="G235" s="7" t="str">
        <f>IFERROR(__xludf.DUMMYFUNCTION("GOOGLETRANSLATE(C235, ""en"", ""cs"")"),"Soubor vynechán z důvodu porušení bezpečnosti.")</f>
        <v>Soubor vynechán z důvodu porušení bezpečnosti.</v>
      </c>
      <c r="H235" s="7" t="str">
        <f>IFERROR(__xludf.DUMMYFUNCTION("GOOGLETRANSLATE(C235, ""en"", ""da"")"),"Fil udeladt på grund af sikkerhedsovertrædelse.")</f>
        <v>Fil udeladt på grund af sikkerhedsovertrædelse.</v>
      </c>
      <c r="I235" s="1" t="s">
        <v>5248</v>
      </c>
      <c r="J235" s="6" t="s">
        <v>132</v>
      </c>
      <c r="K235" s="1" t="s">
        <v>5249</v>
      </c>
      <c r="L235" s="7" t="str">
        <f>IFERROR(__xludf.DUMMYFUNCTION("GOOGLETRANSLATE(C235, ""en"", ""fi"")"),"Tiedosto jättää turvallisuusrikkomuksen vuoksi.")</f>
        <v>Tiedosto jättää turvallisuusrikkomuksen vuoksi.</v>
      </c>
      <c r="M235" s="1" t="s">
        <v>5250</v>
      </c>
      <c r="N235" s="6" t="s">
        <v>5251</v>
      </c>
      <c r="O235" s="6" t="s">
        <v>132</v>
      </c>
      <c r="P235" s="1" t="s">
        <v>5252</v>
      </c>
      <c r="Q235" s="7" t="str">
        <f>IFERROR(__xludf.DUMMYFUNCTION("GOOGLETRANSLATE(C235, ""en"", ""in"")"),"File dihilangkan karena pelanggaran keamanan.")</f>
        <v>File dihilangkan karena pelanggaran keamanan.</v>
      </c>
      <c r="R235" s="1" t="s">
        <v>5253</v>
      </c>
      <c r="S235" s="6" t="s">
        <v>132</v>
      </c>
      <c r="T235" s="7" t="str">
        <f>IFERROR(__xludf.DUMMYFUNCTION("GOOGLETRANSLATE(C235, ""en"", ""ja"")"),"セキュリティ違反により、ファイルは省略されています。")</f>
        <v>セキュリティ違反により、ファイルは省略されています。</v>
      </c>
      <c r="U235" s="7" t="str">
        <f>IFERROR(__xludf.DUMMYFUNCTION("GOOGLETRANSLATE(C235, ""en"", ""ko"")"),"보안 위반으로 인해 파일이 생략되었습니다.")</f>
        <v>보안 위반으로 인해 파일이 생략되었습니다.</v>
      </c>
      <c r="V235" s="7" t="str">
        <f>IFERROR(__xludf.DUMMYFUNCTION("GOOGLETRANSLATE(C235, ""en"", ""ms"")"),"Fail yang ditinggalkan kerana pelanggaran keselamatan.")</f>
        <v>Fail yang ditinggalkan kerana pelanggaran keselamatan.</v>
      </c>
      <c r="W235" s="1" t="s">
        <v>5254</v>
      </c>
      <c r="X235" s="7" t="str">
        <f>IFERROR(__xludf.DUMMYFUNCTION("GOOGLETRANSLATE(C235, ""en"", ""no"")"),"Fil utelatt på grunn av sikkerhetsbrudd.")</f>
        <v>Fil utelatt på grunn av sikkerhetsbrudd.</v>
      </c>
      <c r="Y235" s="1" t="s">
        <v>5255</v>
      </c>
      <c r="Z235" s="7" t="str">
        <f>IFERROR(__xludf.DUMMYFUNCTION("GOOGLETRANSLATE(C235, ""en"", ""pt"")"),"Arquivo omitido devido a violação de segurança.")</f>
        <v>Arquivo omitido devido a violação de segurança.</v>
      </c>
      <c r="AA235" s="7" t="str">
        <f>IFERROR(__xludf.DUMMYFUNCTION("GOOGLETRANSLATE(C235, ""en"", ""ro"")"),"Fișierul omis din cauza încălcării securității.")</f>
        <v>Fișierul omis din cauza încălcării securității.</v>
      </c>
      <c r="AB235" s="7" t="str">
        <f>IFERROR(__xludf.DUMMYFUNCTION("GOOGLETRANSLATE(C235, ""en"", ""ru"")"),"Файл выдан из-за нарушения безопасности.")</f>
        <v>Файл выдан из-за нарушения безопасности.</v>
      </c>
      <c r="AC235" s="7" t="str">
        <f>IFERROR(__xludf.DUMMYFUNCTION("GOOGLETRANSLATE(C235, ""en"", ""sk"")"),"Súbor vynechaný z dôvodu porušenia bezpečnosti.")</f>
        <v>Súbor vynechaný z dôvodu porušenia bezpečnosti.</v>
      </c>
      <c r="AD235" s="6" t="s">
        <v>132</v>
      </c>
      <c r="AE235" s="7" t="str">
        <f>IFERROR(__xludf.DUMMYFUNCTION("GOOGLETRANSLATE(C235, ""en"", ""sr"")"),"Датотека изостављена због кршења безбедности.")</f>
        <v>Датотека изостављена због кршења безбедности.</v>
      </c>
      <c r="AF235" s="7" t="str">
        <f>IFERROR(__xludf.DUMMYFUNCTION("GOOGLETRANSLATE(C235, ""en"", ""sv"")"),"Filen utelämnas på grund av säkerhetsöverträdelse.")</f>
        <v>Filen utelämnas på grund av säkerhetsöverträdelse.</v>
      </c>
      <c r="AG235" s="6" t="s">
        <v>132</v>
      </c>
      <c r="AH235" s="7" t="str">
        <f>IFERROR(__xludf.DUMMYFUNCTION("GOOGLETRANSLATE(C235, ""en"", ""tr"")"),"Güvenlik ihlali nedeniyle ihmal edildi.")</f>
        <v>Güvenlik ihlali nedeniyle ihmal edildi.</v>
      </c>
      <c r="AI235" s="6" t="s">
        <v>132</v>
      </c>
      <c r="AJ235" s="6" t="s">
        <v>132</v>
      </c>
      <c r="AK235" s="7" t="str">
        <f>IFERROR(__xludf.DUMMYFUNCTION("GOOGLETRANSLATE(C235, ""en"", ""zh"")"),"由于安全违规而省略的文件。")</f>
        <v>由于安全违规而省略的文件。</v>
      </c>
      <c r="AL235" s="6" t="s">
        <v>132</v>
      </c>
    </row>
    <row r="236" ht="15.75" customHeight="1">
      <c r="A236" s="1" t="s">
        <v>127</v>
      </c>
      <c r="B236" s="1" t="s">
        <v>5256</v>
      </c>
      <c r="C236" s="1" t="s">
        <v>5257</v>
      </c>
      <c r="D236" s="8" t="s">
        <v>5258</v>
      </c>
      <c r="E236" s="1" t="s">
        <v>5259</v>
      </c>
      <c r="F236" s="6" t="s">
        <v>132</v>
      </c>
      <c r="G236" s="1" t="s">
        <v>5260</v>
      </c>
      <c r="H236" s="1" t="s">
        <v>5261</v>
      </c>
      <c r="I236" s="1" t="s">
        <v>5262</v>
      </c>
      <c r="J236" s="6" t="s">
        <v>5263</v>
      </c>
      <c r="K236" s="1" t="s">
        <v>5264</v>
      </c>
      <c r="L236" s="1" t="s">
        <v>5265</v>
      </c>
      <c r="M236" s="1" t="s">
        <v>5266</v>
      </c>
      <c r="N236" s="6" t="s">
        <v>132</v>
      </c>
      <c r="O236" s="6" t="s">
        <v>5267</v>
      </c>
      <c r="P236" s="1" t="s">
        <v>5268</v>
      </c>
      <c r="Q236" s="1" t="s">
        <v>5269</v>
      </c>
      <c r="R236" s="1" t="s">
        <v>5270</v>
      </c>
      <c r="S236" s="10" t="s">
        <v>5271</v>
      </c>
      <c r="T236" s="1" t="s">
        <v>5272</v>
      </c>
      <c r="U236" s="1" t="s">
        <v>5273</v>
      </c>
      <c r="V236" s="1" t="s">
        <v>5274</v>
      </c>
      <c r="W236" s="1" t="s">
        <v>5275</v>
      </c>
      <c r="X236" s="1" t="s">
        <v>5276</v>
      </c>
      <c r="Y236" s="1" t="s">
        <v>5277</v>
      </c>
      <c r="Z236" s="1" t="s">
        <v>5278</v>
      </c>
      <c r="AA236" s="1" t="s">
        <v>5279</v>
      </c>
      <c r="AB236" s="1" t="s">
        <v>5280</v>
      </c>
      <c r="AC236" s="1" t="s">
        <v>5281</v>
      </c>
      <c r="AD236" s="6" t="s">
        <v>5282</v>
      </c>
      <c r="AE236" s="1" t="s">
        <v>5283</v>
      </c>
      <c r="AF236" s="1" t="s">
        <v>5284</v>
      </c>
      <c r="AG236" s="6" t="s">
        <v>5285</v>
      </c>
      <c r="AH236" s="1" t="s">
        <v>5286</v>
      </c>
      <c r="AI236" s="6" t="s">
        <v>132</v>
      </c>
      <c r="AJ236" s="6" t="s">
        <v>5287</v>
      </c>
      <c r="AK236" s="1" t="s">
        <v>5288</v>
      </c>
      <c r="AL236" s="6" t="s">
        <v>132</v>
      </c>
    </row>
    <row r="237" ht="15.75" customHeight="1">
      <c r="A237" s="1" t="s">
        <v>127</v>
      </c>
      <c r="B237" s="1" t="s">
        <v>5289</v>
      </c>
      <c r="C237" s="1" t="s">
        <v>5290</v>
      </c>
      <c r="D237" s="8" t="s">
        <v>5291</v>
      </c>
      <c r="E237" s="1" t="s">
        <v>5292</v>
      </c>
      <c r="F237" s="6" t="s">
        <v>132</v>
      </c>
      <c r="G237" s="1" t="s">
        <v>5293</v>
      </c>
      <c r="H237" s="1" t="s">
        <v>5294</v>
      </c>
      <c r="I237" s="1" t="s">
        <v>5295</v>
      </c>
      <c r="J237" s="6" t="s">
        <v>5296</v>
      </c>
      <c r="K237" s="1" t="s">
        <v>5297</v>
      </c>
      <c r="L237" s="1" t="s">
        <v>5298</v>
      </c>
      <c r="M237" s="1" t="s">
        <v>5299</v>
      </c>
      <c r="N237" s="6" t="s">
        <v>132</v>
      </c>
      <c r="O237" s="6" t="s">
        <v>5300</v>
      </c>
      <c r="P237" s="1" t="s">
        <v>5301</v>
      </c>
      <c r="Q237" s="1" t="s">
        <v>5302</v>
      </c>
      <c r="R237" s="1" t="s">
        <v>5303</v>
      </c>
      <c r="S237" s="10" t="s">
        <v>5304</v>
      </c>
      <c r="T237" s="1" t="s">
        <v>5305</v>
      </c>
      <c r="U237" s="1" t="s">
        <v>5306</v>
      </c>
      <c r="V237" s="1" t="s">
        <v>5307</v>
      </c>
      <c r="W237" s="1" t="s">
        <v>5308</v>
      </c>
      <c r="X237" s="1" t="s">
        <v>5309</v>
      </c>
      <c r="Y237" s="1" t="s">
        <v>5310</v>
      </c>
      <c r="Z237" s="1" t="s">
        <v>5311</v>
      </c>
      <c r="AA237" s="1" t="s">
        <v>5312</v>
      </c>
      <c r="AB237" s="1" t="s">
        <v>5313</v>
      </c>
      <c r="AC237" s="1" t="s">
        <v>5314</v>
      </c>
      <c r="AD237" s="6" t="s">
        <v>5315</v>
      </c>
      <c r="AE237" s="1" t="s">
        <v>5316</v>
      </c>
      <c r="AF237" s="1" t="s">
        <v>5317</v>
      </c>
      <c r="AG237" s="6" t="s">
        <v>5318</v>
      </c>
      <c r="AH237" s="1" t="s">
        <v>5319</v>
      </c>
      <c r="AI237" s="6" t="s">
        <v>132</v>
      </c>
      <c r="AJ237" s="6" t="s">
        <v>5320</v>
      </c>
      <c r="AK237" s="1" t="s">
        <v>5321</v>
      </c>
      <c r="AL237" s="6" t="s">
        <v>5322</v>
      </c>
    </row>
    <row r="238" ht="15.75" hidden="1" customHeight="1">
      <c r="A238" s="1" t="s">
        <v>38</v>
      </c>
      <c r="B238" s="1" t="s">
        <v>5323</v>
      </c>
      <c r="C238" s="1" t="s">
        <v>5324</v>
      </c>
      <c r="D238" s="7" t="str">
        <f>IFERROR(__xludf.DUMMYFUNCTION("GOOGLETRANSLATE(C238, ""en"", ""ar"")"),"إظهار الموقع")</f>
        <v>إظهار الموقع</v>
      </c>
      <c r="E238" s="1" t="s">
        <v>5325</v>
      </c>
      <c r="F238" s="6" t="s">
        <v>5326</v>
      </c>
      <c r="G238" s="7" t="str">
        <f>IFERROR(__xludf.DUMMYFUNCTION("GOOGLETRANSLATE(C238, ""en"", ""cs"")"),"Zobrazit umístění")</f>
        <v>Zobrazit umístění</v>
      </c>
      <c r="H238" s="7" t="str">
        <f>IFERROR(__xludf.DUMMYFUNCTION("GOOGLETRANSLATE(C238, ""en"", ""da"")"),"Vis beliggenhed")</f>
        <v>Vis beliggenhed</v>
      </c>
      <c r="I238" s="1" t="s">
        <v>5327</v>
      </c>
      <c r="J238" s="6" t="s">
        <v>132</v>
      </c>
      <c r="K238" s="1" t="s">
        <v>5328</v>
      </c>
      <c r="L238" s="7" t="str">
        <f>IFERROR(__xludf.DUMMYFUNCTION("GOOGLETRANSLATE(C238, ""en"", ""fi"")"),"Näytä sijainti")</f>
        <v>Näytä sijainti</v>
      </c>
      <c r="M238" s="1" t="s">
        <v>5329</v>
      </c>
      <c r="N238" s="6" t="s">
        <v>5330</v>
      </c>
      <c r="O238" s="6" t="s">
        <v>132</v>
      </c>
      <c r="P238" s="1" t="s">
        <v>5331</v>
      </c>
      <c r="Q238" s="7" t="str">
        <f>IFERROR(__xludf.DUMMYFUNCTION("GOOGLETRANSLATE(C238, ""en"", ""in"")"),"Tampilkan lokasi")</f>
        <v>Tampilkan lokasi</v>
      </c>
      <c r="R238" s="1" t="s">
        <v>5332</v>
      </c>
      <c r="S238" s="6" t="s">
        <v>132</v>
      </c>
      <c r="T238" s="7" t="str">
        <f>IFERROR(__xludf.DUMMYFUNCTION("GOOGLETRANSLATE(C238, ""en"", ""ja"")"),"場所を表示")</f>
        <v>場所を表示</v>
      </c>
      <c r="U238" s="7" t="str">
        <f>IFERROR(__xludf.DUMMYFUNCTION("GOOGLETRANSLATE(C238, ""en"", ""ko"")"),"위치 표시")</f>
        <v>위치 표시</v>
      </c>
      <c r="V238" s="7" t="str">
        <f>IFERROR(__xludf.DUMMYFUNCTION("GOOGLETRANSLATE(C238, ""en"", ""ms"")"),"Tunjukkan lokasi")</f>
        <v>Tunjukkan lokasi</v>
      </c>
      <c r="W238" s="1" t="s">
        <v>5333</v>
      </c>
      <c r="X238" s="7" t="str">
        <f>IFERROR(__xludf.DUMMYFUNCTION("GOOGLETRANSLATE(C238, ""en"", ""no"")"),"Vis sted")</f>
        <v>Vis sted</v>
      </c>
      <c r="Y238" s="1" t="s">
        <v>5334</v>
      </c>
      <c r="Z238" s="7" t="str">
        <f>IFERROR(__xludf.DUMMYFUNCTION("GOOGLETRANSLATE(C238, ""en"", ""pt"")"),"Mostrar localização")</f>
        <v>Mostrar localização</v>
      </c>
      <c r="AA238" s="7" t="str">
        <f>IFERROR(__xludf.DUMMYFUNCTION("GOOGLETRANSLATE(C238, ""en"", ""ro"")"),"Afișați locația")</f>
        <v>Afișați locația</v>
      </c>
      <c r="AB238" s="1" t="s">
        <v>5335</v>
      </c>
      <c r="AC238" s="7" t="str">
        <f>IFERROR(__xludf.DUMMYFUNCTION("GOOGLETRANSLATE(C238, ""en"", ""sk"")"),"Ukázať miesto")</f>
        <v>Ukázať miesto</v>
      </c>
      <c r="AD238" s="6" t="s">
        <v>132</v>
      </c>
      <c r="AE238" s="1" t="s">
        <v>5336</v>
      </c>
      <c r="AF238" s="7" t="str">
        <f>IFERROR(__xludf.DUMMYFUNCTION("GOOGLETRANSLATE(C238, ""en"", ""sv"")"),"Visa plats")</f>
        <v>Visa plats</v>
      </c>
      <c r="AG238" s="6" t="s">
        <v>132</v>
      </c>
      <c r="AH238" s="7" t="str">
        <f>IFERROR(__xludf.DUMMYFUNCTION("GOOGLETRANSLATE(C238, ""en"", ""tr"")"),"Konumu göster")</f>
        <v>Konumu göster</v>
      </c>
      <c r="AI238" s="6" t="s">
        <v>132</v>
      </c>
      <c r="AJ238" s="6" t="s">
        <v>132</v>
      </c>
      <c r="AK238" s="7" t="str">
        <f>IFERROR(__xludf.DUMMYFUNCTION("GOOGLETRANSLATE(C238, ""en"", ""zh"")"),"显示位置")</f>
        <v>显示位置</v>
      </c>
      <c r="AL238" s="6" t="s">
        <v>132</v>
      </c>
    </row>
    <row r="239" ht="15.75" customHeight="1">
      <c r="A239" s="1" t="s">
        <v>127</v>
      </c>
      <c r="B239" s="1" t="s">
        <v>5337</v>
      </c>
      <c r="C239" s="1" t="s">
        <v>5338</v>
      </c>
      <c r="D239" s="8" t="s">
        <v>5339</v>
      </c>
      <c r="E239" s="1" t="s">
        <v>5340</v>
      </c>
      <c r="F239" s="6" t="s">
        <v>132</v>
      </c>
      <c r="G239" s="1" t="s">
        <v>5341</v>
      </c>
      <c r="H239" s="1" t="s">
        <v>5342</v>
      </c>
      <c r="I239" s="1" t="s">
        <v>5343</v>
      </c>
      <c r="J239" s="6" t="s">
        <v>5344</v>
      </c>
      <c r="K239" s="1" t="s">
        <v>5345</v>
      </c>
      <c r="L239" s="1" t="s">
        <v>5346</v>
      </c>
      <c r="M239" s="1" t="s">
        <v>5347</v>
      </c>
      <c r="N239" s="6" t="s">
        <v>132</v>
      </c>
      <c r="O239" s="6" t="s">
        <v>5348</v>
      </c>
      <c r="P239" s="1" t="s">
        <v>5349</v>
      </c>
      <c r="Q239" s="1" t="s">
        <v>5350</v>
      </c>
      <c r="R239" s="1" t="s">
        <v>5351</v>
      </c>
      <c r="S239" s="10" t="s">
        <v>5352</v>
      </c>
      <c r="T239" s="1" t="s">
        <v>5353</v>
      </c>
      <c r="U239" s="1" t="s">
        <v>5354</v>
      </c>
      <c r="V239" s="1" t="s">
        <v>5350</v>
      </c>
      <c r="W239" s="1" t="s">
        <v>5355</v>
      </c>
      <c r="X239" s="1" t="s">
        <v>5356</v>
      </c>
      <c r="Y239" s="1" t="s">
        <v>5357</v>
      </c>
      <c r="Z239" s="1" t="s">
        <v>5358</v>
      </c>
      <c r="AA239" s="1" t="s">
        <v>5359</v>
      </c>
      <c r="AB239" s="1" t="s">
        <v>5360</v>
      </c>
      <c r="AC239" s="1" t="s">
        <v>5361</v>
      </c>
      <c r="AD239" s="6" t="s">
        <v>5362</v>
      </c>
      <c r="AE239" s="1" t="s">
        <v>5363</v>
      </c>
      <c r="AF239" s="1" t="s">
        <v>5364</v>
      </c>
      <c r="AG239" s="6" t="s">
        <v>5365</v>
      </c>
      <c r="AH239" s="1" t="s">
        <v>5366</v>
      </c>
      <c r="AI239" s="6" t="s">
        <v>132</v>
      </c>
      <c r="AJ239" s="6" t="s">
        <v>5367</v>
      </c>
      <c r="AK239" s="1" t="s">
        <v>5368</v>
      </c>
      <c r="AL239" s="6" t="s">
        <v>132</v>
      </c>
    </row>
    <row r="240" ht="15.75" customHeight="1">
      <c r="A240" s="1" t="s">
        <v>127</v>
      </c>
      <c r="B240" s="1" t="s">
        <v>5369</v>
      </c>
      <c r="C240" s="1" t="s">
        <v>5370</v>
      </c>
      <c r="D240" s="8" t="s">
        <v>5371</v>
      </c>
      <c r="E240" s="1" t="s">
        <v>5372</v>
      </c>
      <c r="F240" s="6" t="s">
        <v>132</v>
      </c>
      <c r="G240" s="1" t="s">
        <v>5373</v>
      </c>
      <c r="H240" s="1" t="s">
        <v>5374</v>
      </c>
      <c r="I240" s="1" t="s">
        <v>5375</v>
      </c>
      <c r="J240" s="6" t="s">
        <v>5376</v>
      </c>
      <c r="K240" s="1" t="s">
        <v>5377</v>
      </c>
      <c r="L240" s="1" t="s">
        <v>5378</v>
      </c>
      <c r="M240" s="1" t="s">
        <v>5379</v>
      </c>
      <c r="N240" s="6" t="s">
        <v>132</v>
      </c>
      <c r="O240" s="6" t="s">
        <v>5380</v>
      </c>
      <c r="P240" s="1" t="s">
        <v>5381</v>
      </c>
      <c r="Q240" s="1" t="s">
        <v>5382</v>
      </c>
      <c r="R240" s="1" t="s">
        <v>5383</v>
      </c>
      <c r="S240" s="10" t="s">
        <v>5384</v>
      </c>
      <c r="T240" s="1" t="s">
        <v>5385</v>
      </c>
      <c r="U240" s="1" t="s">
        <v>5386</v>
      </c>
      <c r="V240" s="1" t="s">
        <v>5382</v>
      </c>
      <c r="W240" s="1" t="s">
        <v>5387</v>
      </c>
      <c r="X240" s="1" t="s">
        <v>5374</v>
      </c>
      <c r="Y240" s="1" t="s">
        <v>5373</v>
      </c>
      <c r="Z240" s="1" t="s">
        <v>5388</v>
      </c>
      <c r="AA240" s="1" t="s">
        <v>5389</v>
      </c>
      <c r="AB240" s="1" t="s">
        <v>5390</v>
      </c>
      <c r="AC240" s="1" t="s">
        <v>5373</v>
      </c>
      <c r="AD240" s="6" t="s">
        <v>5391</v>
      </c>
      <c r="AE240" s="1" t="s">
        <v>5392</v>
      </c>
      <c r="AF240" s="1" t="s">
        <v>5374</v>
      </c>
      <c r="AG240" s="6" t="s">
        <v>5393</v>
      </c>
      <c r="AH240" s="1" t="s">
        <v>5394</v>
      </c>
      <c r="AI240" s="6" t="s">
        <v>132</v>
      </c>
      <c r="AJ240" s="6" t="s">
        <v>5395</v>
      </c>
      <c r="AK240" s="1" t="s">
        <v>5396</v>
      </c>
      <c r="AL240" s="6" t="s">
        <v>5397</v>
      </c>
    </row>
    <row r="241" ht="15.75" hidden="1" customHeight="1">
      <c r="A241" s="1" t="s">
        <v>38</v>
      </c>
      <c r="B241" s="1" t="s">
        <v>5398</v>
      </c>
      <c r="C241" s="1" t="s">
        <v>5399</v>
      </c>
      <c r="D241" s="8" t="s">
        <v>5400</v>
      </c>
      <c r="E241" s="1" t="s">
        <v>5401</v>
      </c>
      <c r="F241" s="6" t="s">
        <v>5402</v>
      </c>
      <c r="G241" s="7" t="str">
        <f>IFERROR(__xludf.DUMMYFUNCTION("GOOGLETRANSLATE(C241, ""en"", ""cs"")"),"Smazat ručně schválené certifikáty")</f>
        <v>Smazat ručně schválené certifikáty</v>
      </c>
      <c r="H241" s="7" t="str">
        <f>IFERROR(__xludf.DUMMYFUNCTION("GOOGLETRANSLATE(C241, ""en"", ""da"")"),"Slet manuelt godkendte certifikater")</f>
        <v>Slet manuelt godkendte certifikater</v>
      </c>
      <c r="I241" s="1" t="s">
        <v>5403</v>
      </c>
      <c r="J241" s="6" t="s">
        <v>132</v>
      </c>
      <c r="K241" s="1" t="s">
        <v>5404</v>
      </c>
      <c r="L241" s="7" t="str">
        <f>IFERROR(__xludf.DUMMYFUNCTION("GOOGLETRANSLATE(C241, ""en"", ""fi"")"),"Poista manuaalisesti hyväksyttyjä varmenteita")</f>
        <v>Poista manuaalisesti hyväksyttyjä varmenteita</v>
      </c>
      <c r="M241" s="1" t="s">
        <v>5405</v>
      </c>
      <c r="N241" s="6" t="s">
        <v>5406</v>
      </c>
      <c r="O241" s="6" t="s">
        <v>132</v>
      </c>
      <c r="P241" s="1" t="s">
        <v>5407</v>
      </c>
      <c r="Q241" s="9" t="s">
        <v>5408</v>
      </c>
      <c r="R241" s="1" t="s">
        <v>5409</v>
      </c>
      <c r="S241" s="6" t="s">
        <v>132</v>
      </c>
      <c r="T241" s="1" t="s">
        <v>5410</v>
      </c>
      <c r="U241" s="1" t="s">
        <v>5411</v>
      </c>
      <c r="V241" s="7" t="str">
        <f>IFERROR(__xludf.DUMMYFUNCTION("GOOGLETRANSLATE(C241, ""en"", ""ms"")"),"Padamkan sijil yang diluluskan secara manual")</f>
        <v>Padamkan sijil yang diluluskan secara manual</v>
      </c>
      <c r="W241" s="1" t="s">
        <v>5412</v>
      </c>
      <c r="X241" s="7" t="str">
        <f>IFERROR(__xludf.DUMMYFUNCTION("GOOGLETRANSLATE(C241, ""en"", ""no"")"),"Slett manuelt godkjente sertifikater")</f>
        <v>Slett manuelt godkjente sertifikater</v>
      </c>
      <c r="Y241" s="1" t="s">
        <v>5413</v>
      </c>
      <c r="Z241" s="1" t="s">
        <v>5414</v>
      </c>
      <c r="AA241" s="7" t="str">
        <f>IFERROR(__xludf.DUMMYFUNCTION("GOOGLETRANSLATE(C241, ""en"", ""ro"")"),"Ștergeți certificatele aprobate manual")</f>
        <v>Ștergeți certificatele aprobate manual</v>
      </c>
      <c r="AB241" s="1" t="s">
        <v>5415</v>
      </c>
      <c r="AC241" s="1" t="s">
        <v>5416</v>
      </c>
      <c r="AD241" s="6" t="s">
        <v>132</v>
      </c>
      <c r="AE241" s="1" t="s">
        <v>5417</v>
      </c>
      <c r="AF241" s="1" t="s">
        <v>5418</v>
      </c>
      <c r="AG241" s="6" t="s">
        <v>132</v>
      </c>
      <c r="AH241" s="7" t="str">
        <f>IFERROR(__xludf.DUMMYFUNCTION("GOOGLETRANSLATE(C241, ""en"", ""tr"")"),"El ile onaylanmış sertifikaları silin")</f>
        <v>El ile onaylanmış sertifikaları silin</v>
      </c>
      <c r="AI241" s="6" t="s">
        <v>5419</v>
      </c>
      <c r="AJ241" s="6" t="s">
        <v>5420</v>
      </c>
      <c r="AK241" s="7" t="str">
        <f>IFERROR(__xludf.DUMMYFUNCTION("GOOGLETRANSLATE(C241, ""en"", ""zh"")"),"删除手动批准的证书")</f>
        <v>删除手动批准的证书</v>
      </c>
      <c r="AL241" s="6" t="s">
        <v>5421</v>
      </c>
    </row>
    <row r="242" ht="15.75" hidden="1" customHeight="1">
      <c r="A242" s="1" t="s">
        <v>38</v>
      </c>
      <c r="B242" s="1" t="s">
        <v>5422</v>
      </c>
      <c r="C242" s="1" t="s">
        <v>5423</v>
      </c>
      <c r="D242" s="8" t="s">
        <v>5424</v>
      </c>
      <c r="E242" s="1" t="s">
        <v>5425</v>
      </c>
      <c r="F242" s="6" t="s">
        <v>5426</v>
      </c>
      <c r="G242" s="7" t="str">
        <f>IFERROR(__xludf.DUMMYFUNCTION("GOOGLETRANSLATE(C242, ""en"", ""cs"")"),"Sdílet s…")</f>
        <v>Sdílet s…</v>
      </c>
      <c r="H242" s="7" t="str">
        <f>IFERROR(__xludf.DUMMYFUNCTION("GOOGLETRANSLATE(C242, ""en"", ""da"")"),"Del med…")</f>
        <v>Del med…</v>
      </c>
      <c r="I242" s="1" t="s">
        <v>5427</v>
      </c>
      <c r="J242" s="6" t="s">
        <v>132</v>
      </c>
      <c r="K242" s="1" t="s">
        <v>5428</v>
      </c>
      <c r="L242" s="7" t="str">
        <f>IFERROR(__xludf.DUMMYFUNCTION("GOOGLETRANSLATE(C242, ""en"", ""fi"")"),"Jakaa…")</f>
        <v>Jakaa…</v>
      </c>
      <c r="M242" s="1" t="s">
        <v>5429</v>
      </c>
      <c r="N242" s="6" t="s">
        <v>5430</v>
      </c>
      <c r="O242" s="6" t="s">
        <v>132</v>
      </c>
      <c r="P242" s="1" t="s">
        <v>5431</v>
      </c>
      <c r="Q242" s="9" t="s">
        <v>5432</v>
      </c>
      <c r="R242" s="1" t="s">
        <v>5433</v>
      </c>
      <c r="S242" s="6" t="s">
        <v>132</v>
      </c>
      <c r="T242" s="1" t="s">
        <v>5434</v>
      </c>
      <c r="U242" s="1" t="s">
        <v>5435</v>
      </c>
      <c r="V242" s="7" t="str">
        <f>IFERROR(__xludf.DUMMYFUNCTION("GOOGLETRANSLATE(C242, ""en"", ""ms"")"),"Berkongsi dengan ...")</f>
        <v>Berkongsi dengan ...</v>
      </c>
      <c r="W242" s="1" t="s">
        <v>5436</v>
      </c>
      <c r="X242" s="7" t="str">
        <f>IFERROR(__xludf.DUMMYFUNCTION("GOOGLETRANSLATE(C242, ""en"", ""no"")"),"Del med ...")</f>
        <v>Del med ...</v>
      </c>
      <c r="Y242" s="1" t="s">
        <v>5437</v>
      </c>
      <c r="Z242" s="1" t="s">
        <v>5438</v>
      </c>
      <c r="AA242" s="7" t="str">
        <f>IFERROR(__xludf.DUMMYFUNCTION("GOOGLETRANSLATE(C242, ""en"", ""ro"")"),"Împarte cu…")</f>
        <v>Împarte cu…</v>
      </c>
      <c r="AB242" s="1" t="s">
        <v>5439</v>
      </c>
      <c r="AC242" s="1" t="s">
        <v>5440</v>
      </c>
      <c r="AD242" s="6" t="s">
        <v>132</v>
      </c>
      <c r="AE242" s="1" t="s">
        <v>5441</v>
      </c>
      <c r="AF242" s="1" t="s">
        <v>5442</v>
      </c>
      <c r="AG242" s="6" t="s">
        <v>132</v>
      </c>
      <c r="AH242" s="7" t="str">
        <f>IFERROR(__xludf.DUMMYFUNCTION("GOOGLETRANSLATE(C242, ""en"", ""tr"")"),"İle paylaş…")</f>
        <v>İle paylaş…</v>
      </c>
      <c r="AI242" s="6" t="s">
        <v>5443</v>
      </c>
      <c r="AJ242" s="6" t="s">
        <v>5444</v>
      </c>
      <c r="AK242" s="7" t="str">
        <f>IFERROR(__xludf.DUMMYFUNCTION("GOOGLETRANSLATE(C242, ""en"", ""zh"")"),"和。。分享…")</f>
        <v>和。。分享…</v>
      </c>
      <c r="AL242" s="6" t="s">
        <v>5445</v>
      </c>
    </row>
    <row r="243" ht="15.75" customHeight="1">
      <c r="A243" s="1" t="s">
        <v>127</v>
      </c>
      <c r="B243" s="1" t="s">
        <v>5446</v>
      </c>
      <c r="C243" s="1" t="s">
        <v>5447</v>
      </c>
      <c r="D243" s="8" t="s">
        <v>5448</v>
      </c>
      <c r="E243" s="1" t="s">
        <v>5449</v>
      </c>
      <c r="F243" s="6" t="s">
        <v>132</v>
      </c>
      <c r="G243" s="1" t="s">
        <v>5450</v>
      </c>
      <c r="H243" s="1" t="s">
        <v>5451</v>
      </c>
      <c r="I243" s="1" t="s">
        <v>5452</v>
      </c>
      <c r="J243" s="6" t="s">
        <v>5453</v>
      </c>
      <c r="K243" s="1" t="s">
        <v>5454</v>
      </c>
      <c r="L243" s="1" t="s">
        <v>5455</v>
      </c>
      <c r="M243" s="1" t="s">
        <v>5456</v>
      </c>
      <c r="N243" s="6" t="s">
        <v>132</v>
      </c>
      <c r="O243" s="6" t="s">
        <v>5457</v>
      </c>
      <c r="P243" s="1" t="s">
        <v>5458</v>
      </c>
      <c r="Q243" s="1" t="s">
        <v>5459</v>
      </c>
      <c r="R243" s="1" t="s">
        <v>5460</v>
      </c>
      <c r="S243" s="10" t="s">
        <v>5461</v>
      </c>
      <c r="T243" s="1" t="s">
        <v>5462</v>
      </c>
      <c r="U243" s="1" t="s">
        <v>5463</v>
      </c>
      <c r="V243" s="1" t="s">
        <v>5459</v>
      </c>
      <c r="W243" s="1" t="s">
        <v>5464</v>
      </c>
      <c r="X243" s="1" t="s">
        <v>5465</v>
      </c>
      <c r="Y243" s="1" t="s">
        <v>5466</v>
      </c>
      <c r="Z243" s="1" t="s">
        <v>5454</v>
      </c>
      <c r="AA243" s="1" t="s">
        <v>5467</v>
      </c>
      <c r="AB243" s="1" t="s">
        <v>5468</v>
      </c>
      <c r="AC243" s="1" t="s">
        <v>5469</v>
      </c>
      <c r="AD243" s="6" t="s">
        <v>5470</v>
      </c>
      <c r="AE243" s="1" t="s">
        <v>5471</v>
      </c>
      <c r="AF243" s="1" t="s">
        <v>5472</v>
      </c>
      <c r="AG243" s="6" t="s">
        <v>5473</v>
      </c>
      <c r="AH243" s="1" t="s">
        <v>5474</v>
      </c>
      <c r="AI243" s="6" t="s">
        <v>132</v>
      </c>
      <c r="AJ243" s="6" t="s">
        <v>5475</v>
      </c>
      <c r="AK243" s="1" t="s">
        <v>5476</v>
      </c>
      <c r="AL243" s="6" t="s">
        <v>5477</v>
      </c>
    </row>
    <row r="244" ht="15.75" customHeight="1">
      <c r="A244" s="1" t="s">
        <v>127</v>
      </c>
      <c r="B244" s="1" t="s">
        <v>5478</v>
      </c>
      <c r="C244" s="1" t="s">
        <v>5479</v>
      </c>
      <c r="D244" s="8" t="s">
        <v>5480</v>
      </c>
      <c r="E244" s="1" t="s">
        <v>5481</v>
      </c>
      <c r="F244" s="6" t="s">
        <v>132</v>
      </c>
      <c r="G244" s="1" t="s">
        <v>5482</v>
      </c>
      <c r="H244" s="1" t="s">
        <v>5483</v>
      </c>
      <c r="I244" s="1" t="s">
        <v>5484</v>
      </c>
      <c r="J244" s="6" t="s">
        <v>5485</v>
      </c>
      <c r="K244" s="1" t="s">
        <v>5486</v>
      </c>
      <c r="L244" s="1" t="s">
        <v>5487</v>
      </c>
      <c r="M244" s="1" t="s">
        <v>5488</v>
      </c>
      <c r="N244" s="6" t="s">
        <v>132</v>
      </c>
      <c r="O244" s="6" t="s">
        <v>5489</v>
      </c>
      <c r="P244" s="1" t="s">
        <v>5490</v>
      </c>
      <c r="Q244" s="1" t="s">
        <v>5491</v>
      </c>
      <c r="R244" s="1" t="s">
        <v>5492</v>
      </c>
      <c r="S244" s="10" t="s">
        <v>5493</v>
      </c>
      <c r="T244" s="1" t="s">
        <v>5494</v>
      </c>
      <c r="U244" s="1" t="s">
        <v>5495</v>
      </c>
      <c r="V244" s="1" t="s">
        <v>5496</v>
      </c>
      <c r="W244" s="1" t="s">
        <v>5497</v>
      </c>
      <c r="X244" s="1" t="s">
        <v>5498</v>
      </c>
      <c r="Y244" s="1" t="s">
        <v>5499</v>
      </c>
      <c r="Z244" s="1" t="s">
        <v>5500</v>
      </c>
      <c r="AA244" s="1" t="s">
        <v>5501</v>
      </c>
      <c r="AB244" s="1" t="s">
        <v>5502</v>
      </c>
      <c r="AC244" s="1" t="s">
        <v>5503</v>
      </c>
      <c r="AD244" s="6" t="s">
        <v>5504</v>
      </c>
      <c r="AE244" s="1" t="s">
        <v>5505</v>
      </c>
      <c r="AF244" s="1" t="s">
        <v>5506</v>
      </c>
      <c r="AG244" s="6" t="s">
        <v>5507</v>
      </c>
      <c r="AH244" s="1" t="s">
        <v>5508</v>
      </c>
      <c r="AI244" s="6" t="s">
        <v>132</v>
      </c>
      <c r="AJ244" s="6" t="s">
        <v>5509</v>
      </c>
      <c r="AK244" s="1" t="s">
        <v>5510</v>
      </c>
      <c r="AL244" s="6" t="s">
        <v>132</v>
      </c>
    </row>
    <row r="245" ht="15.75" hidden="1" customHeight="1">
      <c r="A245" s="1" t="s">
        <v>38</v>
      </c>
      <c r="B245" s="1" t="s">
        <v>5511</v>
      </c>
      <c r="C245" s="1" t="s">
        <v>5512</v>
      </c>
      <c r="D245" s="7" t="str">
        <f>IFERROR(__xludf.DUMMYFUNCTION("GOOGLETRANSLATE(C245, ""en"", ""ar"")"),"زيمبابوي")</f>
        <v>زيمبابوي</v>
      </c>
      <c r="E245" s="7" t="str">
        <f>IFERROR(__xludf.DUMMYFUNCTION("GOOGLETRANSLATE(C245, ""en"", ""bg"")"),"Zimbabwe.")</f>
        <v>Zimbabwe.</v>
      </c>
      <c r="F245" s="6" t="s">
        <v>132</v>
      </c>
      <c r="G245" s="7" t="str">
        <f>IFERROR(__xludf.DUMMYFUNCTION("GOOGLETRANSLATE(C245, ""en"", ""cs"")"),"Zimbabwe")</f>
        <v>Zimbabwe</v>
      </c>
      <c r="H245" s="7" t="str">
        <f>IFERROR(__xludf.DUMMYFUNCTION("GOOGLETRANSLATE(C245, ""en"", ""da"")"),"Zimbabwe.")</f>
        <v>Zimbabwe.</v>
      </c>
      <c r="I245" s="1" t="s">
        <v>5512</v>
      </c>
      <c r="J245" s="6" t="s">
        <v>132</v>
      </c>
      <c r="K245" s="1" t="s">
        <v>5513</v>
      </c>
      <c r="L245" s="7" t="str">
        <f>IFERROR(__xludf.DUMMYFUNCTION("GOOGLETRANSLATE(C245, ""en"", ""fi"")"),"Zimbabwe")</f>
        <v>Zimbabwe</v>
      </c>
      <c r="M245" s="1" t="s">
        <v>5512</v>
      </c>
      <c r="N245" s="6" t="s">
        <v>132</v>
      </c>
      <c r="O245" s="6" t="s">
        <v>132</v>
      </c>
      <c r="P245" s="1" t="s">
        <v>5512</v>
      </c>
      <c r="Q245" s="7" t="str">
        <f>IFERROR(__xludf.DUMMYFUNCTION("GOOGLETRANSLATE(C245, ""en"", ""in"")"),"Zimbabwe.")</f>
        <v>Zimbabwe.</v>
      </c>
      <c r="R245" s="7" t="str">
        <f>IFERROR(__xludf.DUMMYFUNCTION("GOOGLETRANSLATE(C245, ""en"", ""it"")"),"Zimbabwe")</f>
        <v>Zimbabwe</v>
      </c>
      <c r="S245" s="6" t="s">
        <v>132</v>
      </c>
      <c r="T245" s="7" t="str">
        <f>IFERROR(__xludf.DUMMYFUNCTION("GOOGLETRANSLATE(C245, ""en"", ""ja"")"),"ジンバブエ")</f>
        <v>ジンバブエ</v>
      </c>
      <c r="U245" s="7" t="str">
        <f>IFERROR(__xludf.DUMMYFUNCTION("GOOGLETRANSLATE(C245, ""en"", ""ko"")"),"짐바브웨")</f>
        <v>짐바브웨</v>
      </c>
      <c r="V245" s="7" t="str">
        <f>IFERROR(__xludf.DUMMYFUNCTION("GOOGLETRANSLATE(C245, ""en"", ""ms"")"),"Zimbabwe.")</f>
        <v>Zimbabwe.</v>
      </c>
      <c r="W245" s="7" t="str">
        <f>IFERROR(__xludf.DUMMYFUNCTION("GOOGLETRANSLATE(C245, ""en"", ""nl"")"),"Zimbabwe")</f>
        <v>Zimbabwe</v>
      </c>
      <c r="X245" s="7" t="str">
        <f>IFERROR(__xludf.DUMMYFUNCTION("GOOGLETRANSLATE(C245, ""en"", ""no"")"),"Zimbabwe.")</f>
        <v>Zimbabwe.</v>
      </c>
      <c r="Y245" s="7" t="str">
        <f>IFERROR(__xludf.DUMMYFUNCTION("GOOGLETRANSLATE(C245, ""en"", ""pl"")"),"Zimbabwe")</f>
        <v>Zimbabwe</v>
      </c>
      <c r="Z245" s="7" t="str">
        <f>IFERROR(__xludf.DUMMYFUNCTION("GOOGLETRANSLATE(C245, ""en"", ""pt"")"),"Zimbábue")</f>
        <v>Zimbábue</v>
      </c>
      <c r="AA245" s="7" t="str">
        <f>IFERROR(__xludf.DUMMYFUNCTION("GOOGLETRANSLATE(C245, ""en"", ""ro"")"),"Zimbabwe")</f>
        <v>Zimbabwe</v>
      </c>
      <c r="AB245" s="1" t="s">
        <v>5514</v>
      </c>
      <c r="AC245" s="7" t="str">
        <f>IFERROR(__xludf.DUMMYFUNCTION("GOOGLETRANSLATE(C245, ""en"", ""sk"")"),"Zimbabwe")</f>
        <v>Zimbabwe</v>
      </c>
      <c r="AD245" s="6" t="s">
        <v>132</v>
      </c>
      <c r="AE245" s="1" t="s">
        <v>5515</v>
      </c>
      <c r="AF245" s="7" t="str">
        <f>IFERROR(__xludf.DUMMYFUNCTION("GOOGLETRANSLATE(C245, ""en"", ""sv"")"),"Zimbabwe")</f>
        <v>Zimbabwe</v>
      </c>
      <c r="AG245" s="6" t="s">
        <v>132</v>
      </c>
      <c r="AH245" s="7" t="str">
        <f>IFERROR(__xludf.DUMMYFUNCTION("GOOGLETRANSLATE(C245, ""en"", ""tr"")"),"Zimbabwe")</f>
        <v>Zimbabwe</v>
      </c>
      <c r="AI245" s="6" t="s">
        <v>132</v>
      </c>
      <c r="AJ245" s="6" t="s">
        <v>132</v>
      </c>
      <c r="AK245" s="7" t="str">
        <f>IFERROR(__xludf.DUMMYFUNCTION("GOOGLETRANSLATE(C245, ""en"", ""zh"")"),"津巴布韦")</f>
        <v>津巴布韦</v>
      </c>
      <c r="AL245" s="6" t="s">
        <v>132</v>
      </c>
    </row>
    <row r="246" ht="15.75" hidden="1" customHeight="1">
      <c r="A246" s="1" t="s">
        <v>38</v>
      </c>
      <c r="B246" s="1" t="s">
        <v>5516</v>
      </c>
      <c r="C246" s="1" t="s">
        <v>5517</v>
      </c>
      <c r="D246" s="7" t="str">
        <f>IFERROR(__xludf.DUMMYFUNCTION("GOOGLETRANSLATE(C246, ""en"", ""ar"")"),"إقليم المحيط البريطاني الهندي")</f>
        <v>إقليم المحيط البريطاني الهندي</v>
      </c>
      <c r="E246" s="7" t="str">
        <f>IFERROR(__xludf.DUMMYFUNCTION("GOOGLETRANSLATE(C246, ""en"", ""bg"")"),"Британска територия в Индийския океан")</f>
        <v>Британска територия в Индийския океан</v>
      </c>
      <c r="F246" s="6" t="s">
        <v>132</v>
      </c>
      <c r="G246" s="7" t="str">
        <f>IFERROR(__xludf.DUMMYFUNCTION("GOOGLETRANSLATE(C246, ""en"", ""cs"")"),"Britské území Indického oceánu")</f>
        <v>Britské území Indického oceánu</v>
      </c>
      <c r="H246" s="7" t="str">
        <f>IFERROR(__xludf.DUMMYFUNCTION("GOOGLETRANSLATE(C246, ""en"", ""da"")"),"British Indian Ocean Territory")</f>
        <v>British Indian Ocean Territory</v>
      </c>
      <c r="I246" s="1" t="s">
        <v>5518</v>
      </c>
      <c r="J246" s="6" t="s">
        <v>132</v>
      </c>
      <c r="K246" s="1" t="s">
        <v>5519</v>
      </c>
      <c r="L246" s="7" t="str">
        <f>IFERROR(__xludf.DUMMYFUNCTION("GOOGLETRANSLATE(C246, ""en"", ""fi"")"),"Brittiläinen Intian valtameren alue")</f>
        <v>Brittiläinen Intian valtameren alue</v>
      </c>
      <c r="M246" s="1" t="s">
        <v>5520</v>
      </c>
      <c r="N246" s="6" t="s">
        <v>132</v>
      </c>
      <c r="O246" s="6" t="s">
        <v>132</v>
      </c>
      <c r="P246" s="1" t="s">
        <v>5517</v>
      </c>
      <c r="Q246" s="7" t="str">
        <f>IFERROR(__xludf.DUMMYFUNCTION("GOOGLETRANSLATE(C246, ""en"", ""in"")"),"Wilayah Samudra Hindia Inggris")</f>
        <v>Wilayah Samudra Hindia Inggris</v>
      </c>
      <c r="R246" s="13" t="s">
        <v>5521</v>
      </c>
      <c r="S246" s="6" t="s">
        <v>132</v>
      </c>
      <c r="T246" s="7" t="str">
        <f>IFERROR(__xludf.DUMMYFUNCTION("GOOGLETRANSLATE(C246, ""en"", ""ja"")"),"イギリス領インド洋地域")</f>
        <v>イギリス領インド洋地域</v>
      </c>
      <c r="U246" s="7" t="str">
        <f>IFERROR(__xludf.DUMMYFUNCTION("GOOGLETRANSLATE(C246, ""en"", ""ko"")"),"영국 인도양 영토")</f>
        <v>영국 인도양 영토</v>
      </c>
      <c r="V246" s="7" t="str">
        <f>IFERROR(__xludf.DUMMYFUNCTION("GOOGLETRANSLATE(C246, ""en"", ""ms"")"),"Wilayah Lautan India British")</f>
        <v>Wilayah Lautan India British</v>
      </c>
      <c r="W246" s="7" t="str">
        <f>IFERROR(__xludf.DUMMYFUNCTION("GOOGLETRANSLATE(C246, ""en"", ""nl"")"),"Brits-Indisch oceaan gebied")</f>
        <v>Brits-Indisch oceaan gebied</v>
      </c>
      <c r="X246" s="7" t="str">
        <f>IFERROR(__xludf.DUMMYFUNCTION("GOOGLETRANSLATE(C246, ""en"", ""no"")"),"British Indian Ocean Territory")</f>
        <v>British Indian Ocean Territory</v>
      </c>
      <c r="Y246" s="7" t="str">
        <f>IFERROR(__xludf.DUMMYFUNCTION("GOOGLETRANSLATE(C246, ""en"", ""pl"")"),"Brytyjskie Terytorium Oceanu Indyjskiego")</f>
        <v>Brytyjskie Terytorium Oceanu Indyjskiego</v>
      </c>
      <c r="Z246" s="7" t="str">
        <f>IFERROR(__xludf.DUMMYFUNCTION("GOOGLETRANSLATE(C246, ""en"", ""pt"")"),"Território do Oceano Índico Britânico")</f>
        <v>Território do Oceano Índico Britânico</v>
      </c>
      <c r="AA246" s="7" t="str">
        <f>IFERROR(__xludf.DUMMYFUNCTION("GOOGLETRANSLATE(C246, ""en"", ""ro"")"),"Teritoriul Britanic al Oceanului Indian")</f>
        <v>Teritoriul Britanic al Oceanului Indian</v>
      </c>
      <c r="AB246" s="1" t="s">
        <v>5522</v>
      </c>
      <c r="AC246" s="7" t="str">
        <f>IFERROR(__xludf.DUMMYFUNCTION("GOOGLETRANSLATE(C246, ""en"", ""sk"")"),"Britské územie Indického oceánu")</f>
        <v>Britské územie Indického oceánu</v>
      </c>
      <c r="AD246" s="6" t="s">
        <v>132</v>
      </c>
      <c r="AE246" s="1" t="s">
        <v>5523</v>
      </c>
      <c r="AF246" s="7" t="str">
        <f>IFERROR(__xludf.DUMMYFUNCTION("GOOGLETRANSLATE(C246, ""en"", ""sv"")"),"Brittiska territoriet i Indiska oceanen")</f>
        <v>Brittiska territoriet i Indiska oceanen</v>
      </c>
      <c r="AG246" s="6" t="s">
        <v>132</v>
      </c>
      <c r="AH246" s="7" t="str">
        <f>IFERROR(__xludf.DUMMYFUNCTION("GOOGLETRANSLATE(C246, ""en"", ""tr"")"),"İngiliz Hint Okyanusu Bölgesi")</f>
        <v>İngiliz Hint Okyanusu Bölgesi</v>
      </c>
      <c r="AI246" s="6" t="s">
        <v>132</v>
      </c>
      <c r="AJ246" s="6" t="s">
        <v>132</v>
      </c>
      <c r="AK246" s="7" t="str">
        <f>IFERROR(__xludf.DUMMYFUNCTION("GOOGLETRANSLATE(C246, ""en"", ""zh"")"),"英属印度洋领地")</f>
        <v>英属印度洋领地</v>
      </c>
      <c r="AL246" s="6" t="s">
        <v>132</v>
      </c>
    </row>
    <row r="247" ht="15.75" customHeight="1">
      <c r="A247" s="1" t="s">
        <v>4051</v>
      </c>
      <c r="B247" s="1" t="s">
        <v>5524</v>
      </c>
      <c r="C247" s="1" t="s">
        <v>5525</v>
      </c>
      <c r="D247" s="7" t="str">
        <f>IFERROR(__xludf.DUMMYFUNCTION("GOOGLETRANSLATE(C247, ""en"", ""ar"")")," تطبيق Baha Stockmarkets متاح مجانا.")</f>
        <v> تطبيق Baha Stockmarkets متاح مجانا.</v>
      </c>
      <c r="E247" s="1" t="s">
        <v>5526</v>
      </c>
      <c r="F247" s="6" t="s">
        <v>132</v>
      </c>
      <c r="G247" s="1" t="s">
        <v>5527</v>
      </c>
      <c r="H247" s="1" t="s">
        <v>5528</v>
      </c>
      <c r="I247" s="1" t="s">
        <v>5529</v>
      </c>
      <c r="J247" s="6" t="s">
        <v>5530</v>
      </c>
      <c r="K247" s="1" t="s">
        <v>5531</v>
      </c>
      <c r="L247" s="1" t="s">
        <v>5532</v>
      </c>
      <c r="M247" s="1" t="s">
        <v>5533</v>
      </c>
      <c r="N247" s="6" t="s">
        <v>132</v>
      </c>
      <c r="O247" s="6" t="s">
        <v>5534</v>
      </c>
      <c r="P247" s="1" t="s">
        <v>5535</v>
      </c>
      <c r="Q247" s="1" t="s">
        <v>5536</v>
      </c>
      <c r="R247" s="1" t="s">
        <v>5537</v>
      </c>
      <c r="S247" s="10" t="s">
        <v>5538</v>
      </c>
      <c r="T247" s="1" t="s">
        <v>5539</v>
      </c>
      <c r="U247" s="7" t="str">
        <f>IFERROR(__xludf.DUMMYFUNCTION("GOOGLETRANSLATE(C247, ""en"", ""ko"")")," Baha Stockmarkets 앱은 무료로 제공됩니다.")</f>
        <v> Baha Stockmarkets 앱은 무료로 제공됩니다.</v>
      </c>
      <c r="V247" s="1" t="s">
        <v>5540</v>
      </c>
      <c r="W247" s="1" t="s">
        <v>5541</v>
      </c>
      <c r="X247" s="1" t="s">
        <v>5542</v>
      </c>
      <c r="Y247" s="11" t="s">
        <v>5543</v>
      </c>
      <c r="Z247" s="1" t="s">
        <v>5544</v>
      </c>
      <c r="AA247" s="7" t="str">
        <f>IFERROR(__xludf.DUMMYFUNCTION("GOOGLETRANSLATE(C247, ""en"", ""ro"")")," Aplicația Baha Stockkets este disponibilă gratuit.")</f>
        <v> Aplicația Baha Stockkets este disponibilă gratuit.</v>
      </c>
      <c r="AB247" s="1" t="s">
        <v>5545</v>
      </c>
      <c r="AC247" s="1" t="s">
        <v>5546</v>
      </c>
      <c r="AD247" s="6" t="s">
        <v>5547</v>
      </c>
      <c r="AE247" s="1" t="s">
        <v>5548</v>
      </c>
      <c r="AF247" s="1" t="s">
        <v>5549</v>
      </c>
      <c r="AG247" s="6" t="s">
        <v>5550</v>
      </c>
      <c r="AH247" s="1" t="s">
        <v>5551</v>
      </c>
      <c r="AI247" s="6" t="s">
        <v>132</v>
      </c>
      <c r="AJ247" s="6" t="s">
        <v>5552</v>
      </c>
      <c r="AK247" s="14" t="s">
        <v>5553</v>
      </c>
      <c r="AL247" s="6" t="s">
        <v>132</v>
      </c>
    </row>
    <row r="248" ht="15.75" customHeight="1">
      <c r="A248" s="1" t="s">
        <v>127</v>
      </c>
      <c r="B248" s="1" t="s">
        <v>5554</v>
      </c>
      <c r="C248" s="1" t="s">
        <v>5555</v>
      </c>
      <c r="D248" s="8" t="s">
        <v>5556</v>
      </c>
      <c r="E248" s="1" t="s">
        <v>5557</v>
      </c>
      <c r="F248" s="6" t="s">
        <v>132</v>
      </c>
      <c r="G248" s="1" t="s">
        <v>5558</v>
      </c>
      <c r="H248" s="1" t="s">
        <v>5559</v>
      </c>
      <c r="I248" s="1" t="s">
        <v>5560</v>
      </c>
      <c r="J248" s="6" t="s">
        <v>5561</v>
      </c>
      <c r="K248" s="1" t="s">
        <v>5562</v>
      </c>
      <c r="L248" s="1" t="s">
        <v>5563</v>
      </c>
      <c r="M248" s="1" t="s">
        <v>5564</v>
      </c>
      <c r="N248" s="6" t="s">
        <v>132</v>
      </c>
      <c r="O248" s="6" t="s">
        <v>5565</v>
      </c>
      <c r="P248" s="1" t="s">
        <v>5566</v>
      </c>
      <c r="Q248" s="1" t="s">
        <v>5567</v>
      </c>
      <c r="R248" s="1" t="s">
        <v>5568</v>
      </c>
      <c r="S248" s="10" t="s">
        <v>5569</v>
      </c>
      <c r="T248" s="1" t="s">
        <v>5570</v>
      </c>
      <c r="U248" s="1" t="s">
        <v>5571</v>
      </c>
      <c r="V248" s="1" t="s">
        <v>5567</v>
      </c>
      <c r="W248" s="1" t="s">
        <v>5572</v>
      </c>
      <c r="X248" s="1" t="s">
        <v>5559</v>
      </c>
      <c r="Y248" s="1" t="s">
        <v>5573</v>
      </c>
      <c r="Z248" s="1" t="s">
        <v>5574</v>
      </c>
      <c r="AA248" s="1" t="s">
        <v>5575</v>
      </c>
      <c r="AB248" s="1" t="s">
        <v>5576</v>
      </c>
      <c r="AC248" s="1" t="s">
        <v>5577</v>
      </c>
      <c r="AD248" s="6" t="s">
        <v>5578</v>
      </c>
      <c r="AE248" s="1" t="s">
        <v>5578</v>
      </c>
      <c r="AF248" s="1" t="s">
        <v>5579</v>
      </c>
      <c r="AG248" s="6" t="s">
        <v>5580</v>
      </c>
      <c r="AH248" s="1" t="s">
        <v>5581</v>
      </c>
      <c r="AI248" s="6" t="s">
        <v>132</v>
      </c>
      <c r="AJ248" s="6" t="s">
        <v>5582</v>
      </c>
      <c r="AK248" s="1" t="s">
        <v>5583</v>
      </c>
      <c r="AL248" s="6" t="s">
        <v>5584</v>
      </c>
    </row>
    <row r="249" ht="15.75" customHeight="1">
      <c r="A249" s="1" t="s">
        <v>127</v>
      </c>
      <c r="B249" s="1" t="s">
        <v>5585</v>
      </c>
      <c r="C249" s="1" t="s">
        <v>5586</v>
      </c>
      <c r="D249" s="8" t="s">
        <v>5587</v>
      </c>
      <c r="E249" s="1" t="s">
        <v>5588</v>
      </c>
      <c r="F249" s="6" t="s">
        <v>132</v>
      </c>
      <c r="G249" s="1" t="s">
        <v>5589</v>
      </c>
      <c r="H249" s="1" t="s">
        <v>5590</v>
      </c>
      <c r="I249" s="1" t="s">
        <v>5591</v>
      </c>
      <c r="J249" s="6" t="s">
        <v>5586</v>
      </c>
      <c r="K249" s="1" t="s">
        <v>5592</v>
      </c>
      <c r="L249" s="1" t="s">
        <v>5593</v>
      </c>
      <c r="M249" s="1" t="s">
        <v>5594</v>
      </c>
      <c r="N249" s="6" t="s">
        <v>132</v>
      </c>
      <c r="O249" s="6" t="s">
        <v>5595</v>
      </c>
      <c r="P249" s="1" t="s">
        <v>5596</v>
      </c>
      <c r="Q249" s="1" t="s">
        <v>5597</v>
      </c>
      <c r="R249" s="1" t="s">
        <v>5598</v>
      </c>
      <c r="S249" s="10" t="s">
        <v>5599</v>
      </c>
      <c r="T249" s="1" t="s">
        <v>5600</v>
      </c>
      <c r="U249" s="1" t="s">
        <v>5601</v>
      </c>
      <c r="V249" s="1" t="s">
        <v>5602</v>
      </c>
      <c r="W249" s="1" t="s">
        <v>5603</v>
      </c>
      <c r="X249" s="1" t="s">
        <v>5590</v>
      </c>
      <c r="Y249" s="1" t="s">
        <v>5604</v>
      </c>
      <c r="Z249" s="1" t="s">
        <v>5605</v>
      </c>
      <c r="AA249" s="1" t="s">
        <v>5606</v>
      </c>
      <c r="AB249" s="1" t="s">
        <v>5607</v>
      </c>
      <c r="AC249" s="1" t="s">
        <v>5608</v>
      </c>
      <c r="AD249" s="6" t="s">
        <v>5609</v>
      </c>
      <c r="AE249" s="1" t="s">
        <v>5610</v>
      </c>
      <c r="AF249" s="1" t="s">
        <v>5611</v>
      </c>
      <c r="AG249" s="6" t="s">
        <v>5612</v>
      </c>
      <c r="AH249" s="1" t="s">
        <v>5613</v>
      </c>
      <c r="AI249" s="6" t="s">
        <v>132</v>
      </c>
      <c r="AJ249" s="6" t="s">
        <v>5614</v>
      </c>
      <c r="AK249" s="1" t="s">
        <v>5615</v>
      </c>
      <c r="AL249" s="6" t="s">
        <v>132</v>
      </c>
    </row>
    <row r="250" ht="15.75" hidden="1" customHeight="1">
      <c r="A250" s="1" t="s">
        <v>38</v>
      </c>
      <c r="B250" s="1" t="s">
        <v>5616</v>
      </c>
      <c r="C250" s="1" t="s">
        <v>5617</v>
      </c>
      <c r="D250" s="7" t="str">
        <f>IFERROR(__xludf.DUMMYFUNCTION("GOOGLETRANSLATE(C250, ""en"", ""ar"")"),"ملاوي")</f>
        <v>ملاوي</v>
      </c>
      <c r="E250" s="7" t="str">
        <f>IFERROR(__xludf.DUMMYFUNCTION("GOOGLETRANSLATE(C250, ""en"", ""bg"")"),"Малави")</f>
        <v>Малави</v>
      </c>
      <c r="F250" s="6" t="s">
        <v>132</v>
      </c>
      <c r="G250" s="7" t="str">
        <f>IFERROR(__xludf.DUMMYFUNCTION("GOOGLETRANSLATE(C250, ""en"", ""cs"")"),"Malawi.")</f>
        <v>Malawi.</v>
      </c>
      <c r="H250" s="7" t="str">
        <f>IFERROR(__xludf.DUMMYFUNCTION("GOOGLETRANSLATE(C250, ""en"", ""da"")"),"Malawi.")</f>
        <v>Malawi.</v>
      </c>
      <c r="I250" s="1" t="s">
        <v>5617</v>
      </c>
      <c r="J250" s="6" t="s">
        <v>132</v>
      </c>
      <c r="K250" s="1" t="s">
        <v>5617</v>
      </c>
      <c r="L250" s="7" t="str">
        <f>IFERROR(__xludf.DUMMYFUNCTION("GOOGLETRANSLATE(C250, ""en"", ""fi"")"),"Malawi")</f>
        <v>Malawi</v>
      </c>
      <c r="M250" s="1" t="s">
        <v>5617</v>
      </c>
      <c r="N250" s="6" t="s">
        <v>132</v>
      </c>
      <c r="O250" s="6" t="s">
        <v>132</v>
      </c>
      <c r="P250" s="1" t="s">
        <v>5617</v>
      </c>
      <c r="Q250" s="7" t="str">
        <f>IFERROR(__xludf.DUMMYFUNCTION("GOOGLETRANSLATE(C250, ""en"", ""in"")"),"Malawi.")</f>
        <v>Malawi.</v>
      </c>
      <c r="R250" s="7" t="str">
        <f>IFERROR(__xludf.DUMMYFUNCTION("GOOGLETRANSLATE(C250, ""en"", ""it"")"),"Malawi.")</f>
        <v>Malawi.</v>
      </c>
      <c r="S250" s="6" t="s">
        <v>132</v>
      </c>
      <c r="T250" s="7" t="str">
        <f>IFERROR(__xludf.DUMMYFUNCTION("GOOGLETRANSLATE(C250, ""en"", ""ja"")"),"マラウイ")</f>
        <v>マラウイ</v>
      </c>
      <c r="U250" s="7" t="str">
        <f>IFERROR(__xludf.DUMMYFUNCTION("GOOGLETRANSLATE(C250, ""en"", ""ko"")"),"말라위")</f>
        <v>말라위</v>
      </c>
      <c r="V250" s="7" t="str">
        <f>IFERROR(__xludf.DUMMYFUNCTION("GOOGLETRANSLATE(C250, ""en"", ""ms"")"),"Malawi.")</f>
        <v>Malawi.</v>
      </c>
      <c r="W250" s="7" t="str">
        <f>IFERROR(__xludf.DUMMYFUNCTION("GOOGLETRANSLATE(C250, ""en"", ""nl"")"),"Malawi")</f>
        <v>Malawi</v>
      </c>
      <c r="X250" s="7" t="str">
        <f>IFERROR(__xludf.DUMMYFUNCTION("GOOGLETRANSLATE(C250, ""en"", ""no"")"),"Malawi.")</f>
        <v>Malawi.</v>
      </c>
      <c r="Y250" s="7" t="str">
        <f>IFERROR(__xludf.DUMMYFUNCTION("GOOGLETRANSLATE(C250, ""en"", ""pl"")"),"Malawi.")</f>
        <v>Malawi.</v>
      </c>
      <c r="Z250" s="7" t="str">
        <f>IFERROR(__xludf.DUMMYFUNCTION("GOOGLETRANSLATE(C250, ""en"", ""pt"")"),"Malawi.")</f>
        <v>Malawi.</v>
      </c>
      <c r="AA250" s="7" t="str">
        <f>IFERROR(__xludf.DUMMYFUNCTION("GOOGLETRANSLATE(C250, ""en"", ""ro"")"),"Malawi.")</f>
        <v>Malawi.</v>
      </c>
      <c r="AB250" s="1" t="s">
        <v>5618</v>
      </c>
      <c r="AC250" s="7" t="str">
        <f>IFERROR(__xludf.DUMMYFUNCTION("GOOGLETRANSLATE(C250, ""en"", ""sk"")"),"Malawi")</f>
        <v>Malawi</v>
      </c>
      <c r="AD250" s="6" t="s">
        <v>132</v>
      </c>
      <c r="AE250" s="1" t="s">
        <v>5619</v>
      </c>
      <c r="AF250" s="7" t="str">
        <f>IFERROR(__xludf.DUMMYFUNCTION("GOOGLETRANSLATE(C250, ""en"", ""sv"")"),"Malawi")</f>
        <v>Malawi</v>
      </c>
      <c r="AG250" s="6" t="s">
        <v>132</v>
      </c>
      <c r="AH250" s="7" t="str">
        <f>IFERROR(__xludf.DUMMYFUNCTION("GOOGLETRANSLATE(C250, ""en"", ""tr"")"),"Malawi")</f>
        <v>Malawi</v>
      </c>
      <c r="AI250" s="6" t="s">
        <v>132</v>
      </c>
      <c r="AJ250" s="6" t="s">
        <v>132</v>
      </c>
      <c r="AK250" s="7" t="str">
        <f>IFERROR(__xludf.DUMMYFUNCTION("GOOGLETRANSLATE(C250, ""en"", ""zh"")"),"马拉维")</f>
        <v>马拉维</v>
      </c>
      <c r="AL250" s="6" t="s">
        <v>132</v>
      </c>
    </row>
    <row r="251" ht="15.75" hidden="1" customHeight="1">
      <c r="A251" s="1" t="s">
        <v>38</v>
      </c>
      <c r="B251" s="1" t="s">
        <v>5620</v>
      </c>
      <c r="C251" s="1" t="s">
        <v>5621</v>
      </c>
      <c r="D251" s="8" t="s">
        <v>5622</v>
      </c>
      <c r="E251" s="1" t="s">
        <v>5623</v>
      </c>
      <c r="F251" s="6" t="s">
        <v>5624</v>
      </c>
      <c r="G251" s="7" t="str">
        <f>IFERROR(__xludf.DUMMYFUNCTION("GOOGLETRANSLATE(C251, ""en"", ""cs"")"),"zašeptal")</f>
        <v>zašeptal</v>
      </c>
      <c r="H251" s="7" t="str">
        <f>IFERROR(__xludf.DUMMYFUNCTION("GOOGLETRANSLATE(C251, ""en"", ""da"")"),"hvisket")</f>
        <v>hvisket</v>
      </c>
      <c r="I251" s="1" t="s">
        <v>5625</v>
      </c>
      <c r="J251" s="6" t="s">
        <v>132</v>
      </c>
      <c r="K251" s="1" t="s">
        <v>5626</v>
      </c>
      <c r="L251" s="7" t="str">
        <f>IFERROR(__xludf.DUMMYFUNCTION("GOOGLETRANSLATE(C251, ""en"", ""fi"")"),"kuiskasi")</f>
        <v>kuiskasi</v>
      </c>
      <c r="M251" s="1" t="s">
        <v>5627</v>
      </c>
      <c r="N251" s="6" t="s">
        <v>5628</v>
      </c>
      <c r="O251" s="6" t="s">
        <v>132</v>
      </c>
      <c r="P251" s="1" t="s">
        <v>5629</v>
      </c>
      <c r="Q251" s="9" t="s">
        <v>5630</v>
      </c>
      <c r="R251" s="1" t="s">
        <v>5631</v>
      </c>
      <c r="S251" s="6" t="s">
        <v>132</v>
      </c>
      <c r="T251" s="1" t="s">
        <v>5632</v>
      </c>
      <c r="U251" s="1" t="s">
        <v>5633</v>
      </c>
      <c r="V251" s="7" t="str">
        <f>IFERROR(__xludf.DUMMYFUNCTION("GOOGLETRANSLATE(C251, ""en"", ""ms"")"),"berbisik")</f>
        <v>berbisik</v>
      </c>
      <c r="W251" s="1" t="s">
        <v>5634</v>
      </c>
      <c r="X251" s="7" t="str">
        <f>IFERROR(__xludf.DUMMYFUNCTION("GOOGLETRANSLATE(C251, ""en"", ""no"")"),"hvisket")</f>
        <v>hvisket</v>
      </c>
      <c r="Y251" s="1" t="s">
        <v>5635</v>
      </c>
      <c r="Z251" s="1" t="s">
        <v>5636</v>
      </c>
      <c r="AA251" s="7" t="str">
        <f>IFERROR(__xludf.DUMMYFUNCTION("GOOGLETRANSLATE(C251, ""en"", ""ro"")"),"șoptit")</f>
        <v>șoptit</v>
      </c>
      <c r="AB251" s="1" t="s">
        <v>5637</v>
      </c>
      <c r="AC251" s="1" t="s">
        <v>5638</v>
      </c>
      <c r="AD251" s="6" t="s">
        <v>132</v>
      </c>
      <c r="AE251" s="1" t="s">
        <v>5639</v>
      </c>
      <c r="AF251" s="1" t="s">
        <v>5640</v>
      </c>
      <c r="AG251" s="6" t="s">
        <v>132</v>
      </c>
      <c r="AH251" s="7" t="str">
        <f>IFERROR(__xludf.DUMMYFUNCTION("GOOGLETRANSLATE(C251, ""en"", ""tr"")"),"fısıldadı")</f>
        <v>fısıldadı</v>
      </c>
      <c r="AI251" s="6" t="s">
        <v>5641</v>
      </c>
      <c r="AJ251" s="6" t="s">
        <v>5642</v>
      </c>
      <c r="AK251" s="7" t="str">
        <f>IFERROR(__xludf.DUMMYFUNCTION("GOOGLETRANSLATE(C251, ""en"", ""zh"")"),"窃窃私语")</f>
        <v>窃窃私语</v>
      </c>
      <c r="AL251" s="6" t="s">
        <v>5643</v>
      </c>
    </row>
    <row r="252" ht="15.75" customHeight="1">
      <c r="A252" s="1" t="s">
        <v>127</v>
      </c>
      <c r="B252" s="1" t="s">
        <v>5644</v>
      </c>
      <c r="C252" s="1" t="s">
        <v>5645</v>
      </c>
      <c r="D252" s="8" t="s">
        <v>5646</v>
      </c>
      <c r="E252" s="1" t="s">
        <v>5647</v>
      </c>
      <c r="F252" s="6" t="s">
        <v>132</v>
      </c>
      <c r="G252" s="1" t="s">
        <v>5648</v>
      </c>
      <c r="H252" s="1" t="s">
        <v>5649</v>
      </c>
      <c r="I252" s="1" t="s">
        <v>5650</v>
      </c>
      <c r="J252" s="6" t="s">
        <v>5651</v>
      </c>
      <c r="K252" s="1" t="s">
        <v>5652</v>
      </c>
      <c r="L252" s="1" t="s">
        <v>5653</v>
      </c>
      <c r="M252" s="1" t="s">
        <v>5654</v>
      </c>
      <c r="N252" s="6" t="s">
        <v>132</v>
      </c>
      <c r="O252" s="6" t="s">
        <v>5655</v>
      </c>
      <c r="P252" s="1" t="s">
        <v>5656</v>
      </c>
      <c r="Q252" s="1" t="s">
        <v>5657</v>
      </c>
      <c r="R252" s="1" t="s">
        <v>5658</v>
      </c>
      <c r="S252" s="10" t="s">
        <v>5659</v>
      </c>
      <c r="T252" s="1" t="s">
        <v>5660</v>
      </c>
      <c r="U252" s="1" t="s">
        <v>5661</v>
      </c>
      <c r="V252" s="1" t="s">
        <v>5657</v>
      </c>
      <c r="W252" s="1" t="s">
        <v>5662</v>
      </c>
      <c r="X252" s="1" t="s">
        <v>5663</v>
      </c>
      <c r="Y252" s="1" t="s">
        <v>5664</v>
      </c>
      <c r="Z252" s="1" t="s">
        <v>5665</v>
      </c>
      <c r="AA252" s="1" t="s">
        <v>5666</v>
      </c>
      <c r="AB252" s="1" t="s">
        <v>5667</v>
      </c>
      <c r="AC252" s="1" t="s">
        <v>5668</v>
      </c>
      <c r="AD252" s="6" t="s">
        <v>5669</v>
      </c>
      <c r="AE252" s="1" t="s">
        <v>5670</v>
      </c>
      <c r="AF252" s="1" t="s">
        <v>5671</v>
      </c>
      <c r="AG252" s="6" t="s">
        <v>5672</v>
      </c>
      <c r="AH252" s="1" t="s">
        <v>5673</v>
      </c>
      <c r="AI252" s="6" t="s">
        <v>132</v>
      </c>
      <c r="AJ252" s="6" t="s">
        <v>5674</v>
      </c>
      <c r="AK252" s="1" t="s">
        <v>5675</v>
      </c>
      <c r="AL252" s="6" t="s">
        <v>5676</v>
      </c>
    </row>
    <row r="253" ht="15.75" hidden="1" customHeight="1">
      <c r="A253" s="1" t="s">
        <v>38</v>
      </c>
      <c r="B253" s="1" t="s">
        <v>5677</v>
      </c>
      <c r="C253" s="1" t="s">
        <v>5678</v>
      </c>
      <c r="D253" s="7" t="str">
        <f>IFERROR(__xludf.DUMMYFUNCTION("GOOGLETRANSLATE(C253, ""en"", ""ar"")"),"برمودا")</f>
        <v>برمودا</v>
      </c>
      <c r="E253" s="7" t="str">
        <f>IFERROR(__xludf.DUMMYFUNCTION("GOOGLETRANSLATE(C253, ""en"", ""bg"")"),"Бермуда")</f>
        <v>Бермуда</v>
      </c>
      <c r="F253" s="6" t="s">
        <v>132</v>
      </c>
      <c r="G253" s="7" t="str">
        <f>IFERROR(__xludf.DUMMYFUNCTION("GOOGLETRANSLATE(C253, ""en"", ""cs"")"),"Bermudy")</f>
        <v>Bermudy</v>
      </c>
      <c r="H253" s="7" t="str">
        <f>IFERROR(__xludf.DUMMYFUNCTION("GOOGLETRANSLATE(C253, ""en"", ""da"")"),"Bermuda.")</f>
        <v>Bermuda.</v>
      </c>
      <c r="I253" s="1" t="s">
        <v>5679</v>
      </c>
      <c r="J253" s="6" t="s">
        <v>132</v>
      </c>
      <c r="K253" s="1" t="s">
        <v>5678</v>
      </c>
      <c r="L253" s="7" t="str">
        <f>IFERROR(__xludf.DUMMYFUNCTION("GOOGLETRANSLATE(C253, ""en"", ""fi"")"),"Bermuda")</f>
        <v>Bermuda</v>
      </c>
      <c r="M253" s="1" t="s">
        <v>5680</v>
      </c>
      <c r="N253" s="6" t="s">
        <v>132</v>
      </c>
      <c r="O253" s="6" t="s">
        <v>132</v>
      </c>
      <c r="P253" s="1" t="s">
        <v>5678</v>
      </c>
      <c r="Q253" s="7" t="str">
        <f>IFERROR(__xludf.DUMMYFUNCTION("GOOGLETRANSLATE(C253, ""en"", ""in"")"),"Bermuda")</f>
        <v>Bermuda</v>
      </c>
      <c r="R253" s="7" t="str">
        <f>IFERROR(__xludf.DUMMYFUNCTION("GOOGLETRANSLATE(C253, ""en"", ""it"")"),"Bermuda")</f>
        <v>Bermuda</v>
      </c>
      <c r="S253" s="6" t="s">
        <v>132</v>
      </c>
      <c r="T253" s="7" t="str">
        <f>IFERROR(__xludf.DUMMYFUNCTION("GOOGLETRANSLATE(C253, ""en"", ""ja"")"),"バミューダ")</f>
        <v>バミューダ</v>
      </c>
      <c r="U253" s="7" t="str">
        <f>IFERROR(__xludf.DUMMYFUNCTION("GOOGLETRANSLATE(C253, ""en"", ""ko"")"),"버뮤다")</f>
        <v>버뮤다</v>
      </c>
      <c r="V253" s="7" t="str">
        <f>IFERROR(__xludf.DUMMYFUNCTION("GOOGLETRANSLATE(C253, ""en"", ""ms"")"),"Bermuda.")</f>
        <v>Bermuda.</v>
      </c>
      <c r="W253" s="7" t="str">
        <f>IFERROR(__xludf.DUMMYFUNCTION("GOOGLETRANSLATE(C253, ""en"", ""nl"")"),"Bermuda")</f>
        <v>Bermuda</v>
      </c>
      <c r="X253" s="7" t="str">
        <f>IFERROR(__xludf.DUMMYFUNCTION("GOOGLETRANSLATE(C253, ""en"", ""no"")"),"Bermuda.")</f>
        <v>Bermuda.</v>
      </c>
      <c r="Y253" s="7" t="str">
        <f>IFERROR(__xludf.DUMMYFUNCTION("GOOGLETRANSLATE(C253, ""en"", ""pl"")"),"Bermuda.")</f>
        <v>Bermuda.</v>
      </c>
      <c r="Z253" s="7" t="str">
        <f>IFERROR(__xludf.DUMMYFUNCTION("GOOGLETRANSLATE(C253, ""en"", ""pt"")"),"Bermudas")</f>
        <v>Bermudas</v>
      </c>
      <c r="AA253" s="7" t="str">
        <f>IFERROR(__xludf.DUMMYFUNCTION("GOOGLETRANSLATE(C253, ""en"", ""ro"")"),"Bermuda.")</f>
        <v>Bermuda.</v>
      </c>
      <c r="AB253" s="1" t="s">
        <v>5681</v>
      </c>
      <c r="AC253" s="7" t="str">
        <f>IFERROR(__xludf.DUMMYFUNCTION("GOOGLETRANSLATE(C253, ""en"", ""sk"")"),"Bermoza")</f>
        <v>Bermoza</v>
      </c>
      <c r="AD253" s="6" t="s">
        <v>132</v>
      </c>
      <c r="AE253" s="1" t="s">
        <v>5682</v>
      </c>
      <c r="AF253" s="7" t="str">
        <f>IFERROR(__xludf.DUMMYFUNCTION("GOOGLETRANSLATE(C253, ""en"", ""sv"")"),"Bermuda")</f>
        <v>Bermuda</v>
      </c>
      <c r="AG253" s="6" t="s">
        <v>132</v>
      </c>
      <c r="AH253" s="7" t="str">
        <f>IFERROR(__xludf.DUMMYFUNCTION("GOOGLETRANSLATE(C253, ""en"", ""tr"")"),"Bermuda")</f>
        <v>Bermuda</v>
      </c>
      <c r="AI253" s="6" t="s">
        <v>132</v>
      </c>
      <c r="AJ253" s="6" t="s">
        <v>132</v>
      </c>
      <c r="AK253" s="7" t="str">
        <f>IFERROR(__xludf.DUMMYFUNCTION("GOOGLETRANSLATE(C253, ""en"", ""zh"")"),"百慕大")</f>
        <v>百慕大</v>
      </c>
      <c r="AL253" s="6" t="s">
        <v>132</v>
      </c>
    </row>
    <row r="254" ht="15.75" customHeight="1">
      <c r="A254" s="1" t="s">
        <v>127</v>
      </c>
      <c r="B254" s="1" t="s">
        <v>5683</v>
      </c>
      <c r="C254" s="1" t="s">
        <v>1088</v>
      </c>
      <c r="D254" s="8" t="s">
        <v>1089</v>
      </c>
      <c r="E254" s="1" t="s">
        <v>1090</v>
      </c>
      <c r="F254" s="6" t="s">
        <v>132</v>
      </c>
      <c r="G254" s="1" t="s">
        <v>1091</v>
      </c>
      <c r="H254" s="1" t="s">
        <v>1092</v>
      </c>
      <c r="I254" s="1" t="s">
        <v>1093</v>
      </c>
      <c r="J254" s="6" t="s">
        <v>1094</v>
      </c>
      <c r="K254" s="1" t="s">
        <v>1095</v>
      </c>
      <c r="L254" s="1" t="s">
        <v>1096</v>
      </c>
      <c r="M254" s="1" t="s">
        <v>1097</v>
      </c>
      <c r="N254" s="6" t="s">
        <v>132</v>
      </c>
      <c r="O254" s="6" t="s">
        <v>1098</v>
      </c>
      <c r="P254" s="1" t="s">
        <v>1099</v>
      </c>
      <c r="Q254" s="1" t="s">
        <v>1100</v>
      </c>
      <c r="R254" s="1" t="s">
        <v>1101</v>
      </c>
      <c r="S254" s="10" t="s">
        <v>1102</v>
      </c>
      <c r="T254" s="1" t="s">
        <v>1103</v>
      </c>
      <c r="U254" s="1" t="s">
        <v>1104</v>
      </c>
      <c r="V254" s="1" t="s">
        <v>1100</v>
      </c>
      <c r="W254" s="1" t="s">
        <v>1092</v>
      </c>
      <c r="X254" s="1" t="s">
        <v>1092</v>
      </c>
      <c r="Y254" s="1" t="s">
        <v>1105</v>
      </c>
      <c r="Z254" s="1" t="s">
        <v>1106</v>
      </c>
      <c r="AA254" s="1" t="s">
        <v>1107</v>
      </c>
      <c r="AB254" s="1" t="s">
        <v>1108</v>
      </c>
      <c r="AC254" s="1" t="s">
        <v>1109</v>
      </c>
      <c r="AD254" s="6" t="s">
        <v>1110</v>
      </c>
      <c r="AE254" s="1" t="s">
        <v>1110</v>
      </c>
      <c r="AF254" s="1" t="s">
        <v>1092</v>
      </c>
      <c r="AG254" s="6" t="s">
        <v>1111</v>
      </c>
      <c r="AH254" s="1" t="s">
        <v>5684</v>
      </c>
      <c r="AI254" s="6" t="s">
        <v>132</v>
      </c>
      <c r="AJ254" s="6" t="s">
        <v>1113</v>
      </c>
      <c r="AK254" s="1" t="s">
        <v>1114</v>
      </c>
      <c r="AL254" s="6" t="s">
        <v>1115</v>
      </c>
    </row>
    <row r="255" ht="15.75" customHeight="1">
      <c r="A255" s="1" t="s">
        <v>127</v>
      </c>
      <c r="B255" s="1" t="s">
        <v>5685</v>
      </c>
      <c r="C255" s="1" t="s">
        <v>5686</v>
      </c>
      <c r="D255" s="8" t="s">
        <v>5687</v>
      </c>
      <c r="E255" s="1" t="s">
        <v>5688</v>
      </c>
      <c r="F255" s="6" t="s">
        <v>132</v>
      </c>
      <c r="G255" s="1" t="s">
        <v>5689</v>
      </c>
      <c r="H255" s="1" t="s">
        <v>5690</v>
      </c>
      <c r="I255" s="1" t="s">
        <v>5691</v>
      </c>
      <c r="J255" s="6" t="s">
        <v>5692</v>
      </c>
      <c r="K255" s="1" t="s">
        <v>5693</v>
      </c>
      <c r="L255" s="1" t="s">
        <v>5694</v>
      </c>
      <c r="M255" s="1" t="s">
        <v>5695</v>
      </c>
      <c r="N255" s="6" t="s">
        <v>132</v>
      </c>
      <c r="O255" s="6" t="s">
        <v>5696</v>
      </c>
      <c r="P255" s="1" t="s">
        <v>5697</v>
      </c>
      <c r="Q255" s="1" t="s">
        <v>5698</v>
      </c>
      <c r="R255" s="1" t="s">
        <v>5699</v>
      </c>
      <c r="S255" s="10" t="s">
        <v>5700</v>
      </c>
      <c r="T255" s="1" t="s">
        <v>5701</v>
      </c>
      <c r="U255" s="1" t="s">
        <v>5702</v>
      </c>
      <c r="V255" s="1" t="s">
        <v>5703</v>
      </c>
      <c r="W255" s="1" t="s">
        <v>5704</v>
      </c>
      <c r="X255" s="1" t="s">
        <v>5705</v>
      </c>
      <c r="Y255" s="1" t="s">
        <v>5706</v>
      </c>
      <c r="Z255" s="1" t="s">
        <v>5707</v>
      </c>
      <c r="AA255" s="1" t="s">
        <v>5708</v>
      </c>
      <c r="AB255" s="1" t="s">
        <v>5709</v>
      </c>
      <c r="AC255" s="1" t="s">
        <v>5689</v>
      </c>
      <c r="AD255" s="6" t="s">
        <v>5710</v>
      </c>
      <c r="AE255" s="1" t="s">
        <v>5711</v>
      </c>
      <c r="AF255" s="1" t="s">
        <v>5712</v>
      </c>
      <c r="AG255" s="6" t="s">
        <v>5713</v>
      </c>
      <c r="AH255" s="1" t="s">
        <v>5714</v>
      </c>
      <c r="AI255" s="6" t="s">
        <v>132</v>
      </c>
      <c r="AJ255" s="6" t="s">
        <v>5715</v>
      </c>
      <c r="AK255" s="1" t="s">
        <v>5716</v>
      </c>
      <c r="AL255" s="6" t="s">
        <v>5717</v>
      </c>
    </row>
    <row r="256" ht="15.75" customHeight="1">
      <c r="A256" s="1" t="s">
        <v>127</v>
      </c>
      <c r="B256" s="1" t="s">
        <v>5718</v>
      </c>
      <c r="C256" s="1" t="s">
        <v>5719</v>
      </c>
      <c r="D256" s="8" t="s">
        <v>5720</v>
      </c>
      <c r="E256" s="1" t="s">
        <v>5721</v>
      </c>
      <c r="F256" s="6" t="s">
        <v>132</v>
      </c>
      <c r="G256" s="1" t="s">
        <v>5722</v>
      </c>
      <c r="H256" s="1" t="s">
        <v>5723</v>
      </c>
      <c r="I256" s="1" t="s">
        <v>5724</v>
      </c>
      <c r="J256" s="6" t="s">
        <v>5725</v>
      </c>
      <c r="K256" s="1" t="s">
        <v>5726</v>
      </c>
      <c r="L256" s="1" t="s">
        <v>5727</v>
      </c>
      <c r="M256" s="1" t="s">
        <v>5728</v>
      </c>
      <c r="N256" s="6" t="s">
        <v>132</v>
      </c>
      <c r="O256" s="6" t="s">
        <v>5729</v>
      </c>
      <c r="P256" s="1" t="s">
        <v>5730</v>
      </c>
      <c r="Q256" s="1" t="s">
        <v>5731</v>
      </c>
      <c r="R256" s="1" t="s">
        <v>5732</v>
      </c>
      <c r="S256" s="10" t="s">
        <v>5733</v>
      </c>
      <c r="T256" s="1" t="s">
        <v>5734</v>
      </c>
      <c r="U256" s="1" t="s">
        <v>5735</v>
      </c>
      <c r="V256" s="1" t="s">
        <v>5736</v>
      </c>
      <c r="W256" s="1" t="s">
        <v>5737</v>
      </c>
      <c r="X256" s="1" t="s">
        <v>5738</v>
      </c>
      <c r="Y256" s="1" t="s">
        <v>5739</v>
      </c>
      <c r="Z256" s="1" t="s">
        <v>5740</v>
      </c>
      <c r="AA256" s="1" t="s">
        <v>5741</v>
      </c>
      <c r="AB256" s="1" t="s">
        <v>5742</v>
      </c>
      <c r="AC256" s="1" t="s">
        <v>5743</v>
      </c>
      <c r="AD256" s="6" t="s">
        <v>5744</v>
      </c>
      <c r="AE256" s="1" t="s">
        <v>5745</v>
      </c>
      <c r="AF256" s="1" t="s">
        <v>5746</v>
      </c>
      <c r="AG256" s="6" t="s">
        <v>5747</v>
      </c>
      <c r="AH256" s="1" t="s">
        <v>5748</v>
      </c>
      <c r="AI256" s="6" t="s">
        <v>132</v>
      </c>
      <c r="AJ256" s="6" t="s">
        <v>5749</v>
      </c>
      <c r="AK256" s="1" t="s">
        <v>5750</v>
      </c>
      <c r="AL256" s="6" t="s">
        <v>132</v>
      </c>
    </row>
    <row r="257" ht="15.75" customHeight="1">
      <c r="A257" s="1" t="s">
        <v>127</v>
      </c>
      <c r="B257" s="1" t="s">
        <v>5751</v>
      </c>
      <c r="C257" s="1" t="s">
        <v>5752</v>
      </c>
      <c r="D257" s="8" t="s">
        <v>5753</v>
      </c>
      <c r="E257" s="1" t="s">
        <v>5754</v>
      </c>
      <c r="F257" s="6" t="s">
        <v>132</v>
      </c>
      <c r="G257" s="1" t="s">
        <v>5755</v>
      </c>
      <c r="H257" s="1" t="s">
        <v>5756</v>
      </c>
      <c r="I257" s="1" t="s">
        <v>5757</v>
      </c>
      <c r="J257" s="6" t="s">
        <v>5758</v>
      </c>
      <c r="K257" s="1" t="s">
        <v>5752</v>
      </c>
      <c r="L257" s="1" t="s">
        <v>5759</v>
      </c>
      <c r="M257" s="1" t="s">
        <v>5760</v>
      </c>
      <c r="N257" s="6" t="s">
        <v>132</v>
      </c>
      <c r="O257" s="6" t="s">
        <v>5761</v>
      </c>
      <c r="P257" s="1" t="s">
        <v>5752</v>
      </c>
      <c r="Q257" s="1" t="s">
        <v>5762</v>
      </c>
      <c r="R257" s="1" t="s">
        <v>5763</v>
      </c>
      <c r="S257" s="10" t="s">
        <v>5764</v>
      </c>
      <c r="T257" s="1" t="s">
        <v>5765</v>
      </c>
      <c r="U257" s="1" t="s">
        <v>5766</v>
      </c>
      <c r="V257" s="1" t="s">
        <v>5762</v>
      </c>
      <c r="W257" s="1" t="s">
        <v>5767</v>
      </c>
      <c r="X257" s="1" t="s">
        <v>5768</v>
      </c>
      <c r="Y257" s="1" t="s">
        <v>5769</v>
      </c>
      <c r="Z257" s="1" t="s">
        <v>5770</v>
      </c>
      <c r="AA257" s="1" t="s">
        <v>5771</v>
      </c>
      <c r="AB257" s="1" t="s">
        <v>5772</v>
      </c>
      <c r="AC257" s="1" t="s">
        <v>5773</v>
      </c>
      <c r="AD257" s="6" t="s">
        <v>5755</v>
      </c>
      <c r="AE257" s="1" t="s">
        <v>5774</v>
      </c>
      <c r="AF257" s="1" t="s">
        <v>5775</v>
      </c>
      <c r="AG257" s="6" t="s">
        <v>5776</v>
      </c>
      <c r="AH257" s="1" t="s">
        <v>5777</v>
      </c>
      <c r="AI257" s="6" t="s">
        <v>132</v>
      </c>
      <c r="AJ257" s="6" t="s">
        <v>5778</v>
      </c>
      <c r="AK257" s="1" t="s">
        <v>5779</v>
      </c>
      <c r="AL257" s="6" t="s">
        <v>5780</v>
      </c>
    </row>
    <row r="258" ht="15.75" hidden="1" customHeight="1">
      <c r="A258" s="1" t="s">
        <v>38</v>
      </c>
      <c r="B258" s="1" t="s">
        <v>5781</v>
      </c>
      <c r="C258" s="1" t="s">
        <v>5782</v>
      </c>
      <c r="D258" s="8" t="s">
        <v>5783</v>
      </c>
      <c r="E258" s="1" t="s">
        <v>5784</v>
      </c>
      <c r="F258" s="6" t="s">
        <v>5785</v>
      </c>
      <c r="G258" s="7" t="str">
        <f>IFERROR(__xludf.DUMMYFUNCTION("GOOGLETRANSLATE(C258, ""en"", ""cs"")"),"Vybraná oblast je příliš velká")</f>
        <v>Vybraná oblast je příliš velká</v>
      </c>
      <c r="H258" s="7" t="str">
        <f>IFERROR(__xludf.DUMMYFUNCTION("GOOGLETRANSLATE(C258, ""en"", ""da"")"),"Det valgte område er for stort")</f>
        <v>Det valgte område er for stort</v>
      </c>
      <c r="I258" s="1" t="s">
        <v>5786</v>
      </c>
      <c r="J258" s="6" t="s">
        <v>132</v>
      </c>
      <c r="K258" s="1" t="s">
        <v>5787</v>
      </c>
      <c r="L258" s="7" t="str">
        <f>IFERROR(__xludf.DUMMYFUNCTION("GOOGLETRANSLATE(C258, ""en"", ""fi"")"),"Valittu alue on liian suuri")</f>
        <v>Valittu alue on liian suuri</v>
      </c>
      <c r="M258" s="1" t="s">
        <v>5788</v>
      </c>
      <c r="N258" s="6" t="s">
        <v>5789</v>
      </c>
      <c r="O258" s="6" t="s">
        <v>132</v>
      </c>
      <c r="P258" s="1" t="s">
        <v>5790</v>
      </c>
      <c r="Q258" s="9" t="s">
        <v>5791</v>
      </c>
      <c r="R258" s="1" t="s">
        <v>5792</v>
      </c>
      <c r="S258" s="6" t="s">
        <v>132</v>
      </c>
      <c r="T258" s="1" t="s">
        <v>5793</v>
      </c>
      <c r="U258" s="1" t="s">
        <v>5794</v>
      </c>
      <c r="V258" s="7" t="str">
        <f>IFERROR(__xludf.DUMMYFUNCTION("GOOGLETRANSLATE(C258, ""en"", ""ms"")"),"Kawasan yang dipilih terlalu besar")</f>
        <v>Kawasan yang dipilih terlalu besar</v>
      </c>
      <c r="W258" s="1" t="s">
        <v>5795</v>
      </c>
      <c r="X258" s="7" t="str">
        <f>IFERROR(__xludf.DUMMYFUNCTION("GOOGLETRANSLATE(C258, ""en"", ""no"")"),"Det valgte området er for stort")</f>
        <v>Det valgte området er for stort</v>
      </c>
      <c r="Y258" s="1" t="s">
        <v>5796</v>
      </c>
      <c r="Z258" s="1" t="s">
        <v>5797</v>
      </c>
      <c r="AA258" s="7" t="str">
        <f>IFERROR(__xludf.DUMMYFUNCTION("GOOGLETRANSLATE(C258, ""en"", ""ro"")"),"Zona selectată este prea mare")</f>
        <v>Zona selectată este prea mare</v>
      </c>
      <c r="AB258" s="1" t="s">
        <v>5798</v>
      </c>
      <c r="AC258" s="7" t="str">
        <f>IFERROR(__xludf.DUMMYFUNCTION("GOOGLETRANSLATE(C258, ""en"", ""sk"")"),"Zvolená oblasť je príliš veľká")</f>
        <v>Zvolená oblasť je príliš veľká</v>
      </c>
      <c r="AD258" s="6" t="s">
        <v>132</v>
      </c>
      <c r="AE258" s="1" t="s">
        <v>5799</v>
      </c>
      <c r="AF258" s="1" t="s">
        <v>5800</v>
      </c>
      <c r="AG258" s="6" t="s">
        <v>132</v>
      </c>
      <c r="AH258" s="7" t="str">
        <f>IFERROR(__xludf.DUMMYFUNCTION("GOOGLETRANSLATE(C258, ""en"", ""tr"")"),"Seçilen alan çok büyük")</f>
        <v>Seçilen alan çok büyük</v>
      </c>
      <c r="AI258" s="6" t="s">
        <v>5801</v>
      </c>
      <c r="AJ258" s="6" t="s">
        <v>5802</v>
      </c>
      <c r="AK258" s="7" t="str">
        <f>IFERROR(__xludf.DUMMYFUNCTION("GOOGLETRANSLATE(C258, ""en"", ""zh"")"),"所选区域太大了")</f>
        <v>所选区域太大了</v>
      </c>
      <c r="AL258" s="6" t="s">
        <v>5803</v>
      </c>
    </row>
    <row r="259" ht="15.75" hidden="1" customHeight="1">
      <c r="A259" s="1" t="s">
        <v>38</v>
      </c>
      <c r="B259" s="1" t="s">
        <v>5804</v>
      </c>
      <c r="C259" s="1" t="s">
        <v>5805</v>
      </c>
      <c r="D259" s="7" t="str">
        <f>IFERROR(__xludf.DUMMYFUNCTION("GOOGLETRANSLATE(C259, ""en"", ""ar"")"),"استمر")</f>
        <v>استمر</v>
      </c>
      <c r="E259" s="7" t="str">
        <f>IFERROR(__xludf.DUMMYFUNCTION("GOOGLETRANSLATE(C259, ""en"", ""bg"")"),"ПРОДЪЛЖИ")</f>
        <v>ПРОДЪЛЖИ</v>
      </c>
      <c r="F259" s="6" t="s">
        <v>132</v>
      </c>
      <c r="G259" s="7" t="str">
        <f>IFERROR(__xludf.DUMMYFUNCTION("GOOGLETRANSLATE(C259, ""en"", ""cs"")"),"POKRAČOVAT")</f>
        <v>POKRAČOVAT</v>
      </c>
      <c r="H259" s="7" t="str">
        <f>IFERROR(__xludf.DUMMYFUNCTION("GOOGLETRANSLATE(C259, ""en"", ""da"")"),"BLIVE VED")</f>
        <v>BLIVE VED</v>
      </c>
      <c r="I259" s="7" t="str">
        <f>IFERROR(__xludf.DUMMYFUNCTION("GOOGLETRANSLATE(C259, ""en"", ""de"")"),"FORTSETZEN")</f>
        <v>FORTSETZEN</v>
      </c>
      <c r="J259" s="6" t="s">
        <v>132</v>
      </c>
      <c r="K259" s="7" t="str">
        <f>IFERROR(__xludf.DUMMYFUNCTION("GOOGLETRANSLATE(C259, ""en"", ""es"")"),"SEGUIR")</f>
        <v>SEGUIR</v>
      </c>
      <c r="L259" s="7" t="str">
        <f>IFERROR(__xludf.DUMMYFUNCTION("GOOGLETRANSLATE(C259, ""en"", ""fi"")"),"JATKAA")</f>
        <v>JATKAA</v>
      </c>
      <c r="M259" s="7" t="str">
        <f>IFERROR(__xludf.DUMMYFUNCTION("GOOGLETRANSLATE(C259, ""en"", ""fr"")"),"CONTINUEZ")</f>
        <v>CONTINUEZ</v>
      </c>
      <c r="N259" s="6" t="s">
        <v>132</v>
      </c>
      <c r="O259" s="6" t="s">
        <v>132</v>
      </c>
      <c r="P259" s="7" t="str">
        <f>IFERROR(__xludf.DUMMYFUNCTION("GOOGLETRANSLATE(C259, ""en"", ""hu"")"),"FOLYTATNI")</f>
        <v>FOLYTATNI</v>
      </c>
      <c r="Q259" s="7" t="str">
        <f>IFERROR(__xludf.DUMMYFUNCTION("GOOGLETRANSLATE(C259, ""en"", ""in"")"),"TERUS")</f>
        <v>TERUS</v>
      </c>
      <c r="R259" s="7" t="str">
        <f>IFERROR(__xludf.DUMMYFUNCTION("GOOGLETRANSLATE(C259, ""en"", ""it"")"),"CONTINUA")</f>
        <v>CONTINUA</v>
      </c>
      <c r="S259" s="6" t="s">
        <v>132</v>
      </c>
      <c r="T259" s="7" t="str">
        <f>IFERROR(__xludf.DUMMYFUNCTION("GOOGLETRANSLATE(C259, ""en"", ""ja"")"),"継続する")</f>
        <v>継続する</v>
      </c>
      <c r="U259" s="7" t="str">
        <f>IFERROR(__xludf.DUMMYFUNCTION("GOOGLETRANSLATE(C259, ""en"", ""ko"")"),"계속하다")</f>
        <v>계속하다</v>
      </c>
      <c r="V259" s="7" t="str">
        <f>IFERROR(__xludf.DUMMYFUNCTION("GOOGLETRANSLATE(C259, ""en"", ""ms"")"),"Teruskan")</f>
        <v>Teruskan</v>
      </c>
      <c r="W259" s="7" t="str">
        <f>IFERROR(__xludf.DUMMYFUNCTION("GOOGLETRANSLATE(C259, ""en"", ""nl"")"),"DOORGAAN MET")</f>
        <v>DOORGAAN MET</v>
      </c>
      <c r="X259" s="7" t="str">
        <f>IFERROR(__xludf.DUMMYFUNCTION("GOOGLETRANSLATE(C259, ""en"", ""no"")"),"FORTSETTE")</f>
        <v>FORTSETTE</v>
      </c>
      <c r="Y259" s="7" t="str">
        <f>IFERROR(__xludf.DUMMYFUNCTION("GOOGLETRANSLATE(C259, ""en"", ""pl"")"),"KONTYNTYNUJ")</f>
        <v>KONTYNTYNUJ</v>
      </c>
      <c r="Z259" s="7" t="str">
        <f>IFERROR(__xludf.DUMMYFUNCTION("GOOGLETRANSLATE(C259, ""en"", ""pt"")"),"PROSSEGUIR")</f>
        <v>PROSSEGUIR</v>
      </c>
      <c r="AA259" s="7" t="str">
        <f>IFERROR(__xludf.DUMMYFUNCTION("GOOGLETRANSLATE(C259, ""en"", ""ro"")"),"CONTINUA")</f>
        <v>CONTINUA</v>
      </c>
      <c r="AB259" s="7" t="str">
        <f>IFERROR(__xludf.DUMMYFUNCTION("GOOGLETRANSLATE(C259, ""en"", ""ru"")"),"ПРОДОЛЖАТЬ")</f>
        <v>ПРОДОЛЖАТЬ</v>
      </c>
      <c r="AC259" s="7" t="str">
        <f>IFERROR(__xludf.DUMMYFUNCTION("GOOGLETRANSLATE(C259, ""en"", ""sk"")"),"ĎALEJ")</f>
        <v>ĎALEJ</v>
      </c>
      <c r="AD259" s="6" t="s">
        <v>132</v>
      </c>
      <c r="AE259" s="7" t="str">
        <f>IFERROR(__xludf.DUMMYFUNCTION("GOOGLETRANSLATE(C259, ""en"", ""sr"")"),"НАСТАВИ")</f>
        <v>НАСТАВИ</v>
      </c>
      <c r="AF259" s="7" t="str">
        <f>IFERROR(__xludf.DUMMYFUNCTION("GOOGLETRANSLATE(C259, ""en"", ""sv"")"),"FORTSÄTTA")</f>
        <v>FORTSÄTTA</v>
      </c>
      <c r="AG259" s="6" t="s">
        <v>132</v>
      </c>
      <c r="AH259" s="7" t="str">
        <f>IFERROR(__xludf.DUMMYFUNCTION("GOOGLETRANSLATE(C259, ""en"", ""tr"")"),"DEVAM ET")</f>
        <v>DEVAM ET</v>
      </c>
      <c r="AI259" s="6" t="s">
        <v>132</v>
      </c>
      <c r="AJ259" s="6" t="s">
        <v>132</v>
      </c>
      <c r="AK259" s="7" t="str">
        <f>IFERROR(__xludf.DUMMYFUNCTION("GOOGLETRANSLATE(C259, ""en"", ""zh"")"),"继续")</f>
        <v>继续</v>
      </c>
      <c r="AL259" s="6" t="s">
        <v>132</v>
      </c>
    </row>
    <row r="260" ht="15.75" hidden="1" customHeight="1">
      <c r="A260" s="1" t="s">
        <v>38</v>
      </c>
      <c r="B260" s="1" t="s">
        <v>5806</v>
      </c>
      <c r="C260" s="1" t="s">
        <v>5807</v>
      </c>
      <c r="D260" s="8" t="s">
        <v>5808</v>
      </c>
      <c r="E260" s="1" t="s">
        <v>5809</v>
      </c>
      <c r="F260" s="6" t="s">
        <v>5810</v>
      </c>
      <c r="G260" s="7" t="str">
        <f>IFERROR(__xludf.DUMMYFUNCTION("GOOGLETRANSLATE(C260, ""en"", ""cs"")"),"Přenos souborů se nezdařil")</f>
        <v>Přenos souborů se nezdařil</v>
      </c>
      <c r="H260" s="7" t="str">
        <f>IFERROR(__xludf.DUMMYFUNCTION("GOOGLETRANSLATE(C260, ""en"", ""da"")"),"Filoverførsel mislykkedes")</f>
        <v>Filoverførsel mislykkedes</v>
      </c>
      <c r="I260" s="1" t="s">
        <v>5811</v>
      </c>
      <c r="J260" s="6" t="s">
        <v>132</v>
      </c>
      <c r="K260" s="1" t="s">
        <v>5812</v>
      </c>
      <c r="L260" s="7" t="str">
        <f>IFERROR(__xludf.DUMMYFUNCTION("GOOGLETRANSLATE(C260, ""en"", ""fi"")"),"Tiedoston lähetys epäonnistui")</f>
        <v>Tiedoston lähetys epäonnistui</v>
      </c>
      <c r="M260" s="1" t="s">
        <v>5813</v>
      </c>
      <c r="N260" s="6" t="s">
        <v>5814</v>
      </c>
      <c r="O260" s="6" t="s">
        <v>132</v>
      </c>
      <c r="P260" s="1" t="s">
        <v>5815</v>
      </c>
      <c r="Q260" s="9" t="s">
        <v>5816</v>
      </c>
      <c r="R260" s="1" t="s">
        <v>5817</v>
      </c>
      <c r="S260" s="6" t="s">
        <v>132</v>
      </c>
      <c r="T260" s="1" t="s">
        <v>5818</v>
      </c>
      <c r="U260" s="1" t="s">
        <v>5819</v>
      </c>
      <c r="V260" s="7" t="str">
        <f>IFERROR(__xludf.DUMMYFUNCTION("GOOGLETRANSLATE(C260, ""en"", ""ms"")"),"Penghantaran fail gagal")</f>
        <v>Penghantaran fail gagal</v>
      </c>
      <c r="W260" s="1" t="s">
        <v>5820</v>
      </c>
      <c r="X260" s="7" t="str">
        <f>IFERROR(__xludf.DUMMYFUNCTION("GOOGLETRANSLATE(C260, ""en"", ""no"")"),"Filoverføring mislyktes")</f>
        <v>Filoverføring mislyktes</v>
      </c>
      <c r="Y260" s="1" t="s">
        <v>5821</v>
      </c>
      <c r="Z260" s="1" t="s">
        <v>5822</v>
      </c>
      <c r="AA260" s="7" t="str">
        <f>IFERROR(__xludf.DUMMYFUNCTION("GOOGLETRANSLATE(C260, ""en"", ""ro"")"),"Transmisia de fișiere a eșuat")</f>
        <v>Transmisia de fișiere a eșuat</v>
      </c>
      <c r="AB260" s="1" t="s">
        <v>5823</v>
      </c>
      <c r="AC260" s="1" t="s">
        <v>5824</v>
      </c>
      <c r="AD260" s="6" t="s">
        <v>132</v>
      </c>
      <c r="AE260" s="1" t="s">
        <v>5825</v>
      </c>
      <c r="AF260" s="1" t="s">
        <v>5826</v>
      </c>
      <c r="AG260" s="6" t="s">
        <v>132</v>
      </c>
      <c r="AH260" s="7" t="str">
        <f>IFERROR(__xludf.DUMMYFUNCTION("GOOGLETRANSLATE(C260, ""en"", ""tr"")"),"Dosya iletimi başarısız oldu")</f>
        <v>Dosya iletimi başarısız oldu</v>
      </c>
      <c r="AI260" s="6" t="s">
        <v>5827</v>
      </c>
      <c r="AJ260" s="6" t="s">
        <v>5828</v>
      </c>
      <c r="AK260" s="7" t="str">
        <f>IFERROR(__xludf.DUMMYFUNCTION("GOOGLETRANSLATE(C260, ""en"", ""zh"")"),"文件传输失败")</f>
        <v>文件传输失败</v>
      </c>
      <c r="AL260" s="6" t="s">
        <v>5829</v>
      </c>
    </row>
    <row r="261" ht="15.75" hidden="1" customHeight="1">
      <c r="A261" s="1" t="s">
        <v>5830</v>
      </c>
      <c r="B261" s="1" t="s">
        <v>5831</v>
      </c>
      <c r="C261" s="1" t="s">
        <v>5832</v>
      </c>
      <c r="D261" s="7" t="str">
        <f>IFERROR(__xludf.DUMMYFUNCTION("GOOGLETRANSLATE(C261, ""en"", ""ar"")"),"تريد أن تكون على علم مثل من الداخل في أكبر البنوك والقنفذ؟")</f>
        <v>تريد أن تكون على علم مثل من الداخل في أكبر البنوك والقنفذ؟</v>
      </c>
      <c r="E261" s="7" t="str">
        <f>IFERROR(__xludf.DUMMYFUNCTION("GOOGLETRANSLATE(C261, ""en"", ""bg"")"),"Искате ли да бъдете информирани като вътрешности в най-големите банки и талангфунд?")</f>
        <v>Искате ли да бъдете информирани като вътрешности в най-големите банки и талангфунд?</v>
      </c>
      <c r="F261" s="6" t="s">
        <v>132</v>
      </c>
      <c r="G261" s="7" t="str">
        <f>IFERROR(__xludf.DUMMYFUNCTION("GOOGLETRANSLATE(C261, ""en"", ""cs"")"),"Chcete být informováni jako zasvěcenec na největších bankách a ježcích?")</f>
        <v>Chcete být informováni jako zasvěcenec na největších bankách a ježcích?</v>
      </c>
      <c r="H261" s="1" t="s">
        <v>5833</v>
      </c>
      <c r="I261" s="1" t="s">
        <v>5834</v>
      </c>
      <c r="J261" s="6" t="s">
        <v>132</v>
      </c>
      <c r="K261" s="1" t="s">
        <v>5835</v>
      </c>
      <c r="L261" s="1" t="s">
        <v>5836</v>
      </c>
      <c r="M261" s="1" t="s">
        <v>5837</v>
      </c>
      <c r="N261" s="6" t="s">
        <v>132</v>
      </c>
      <c r="O261" s="6" t="s">
        <v>132</v>
      </c>
      <c r="P261" s="1" t="s">
        <v>5838</v>
      </c>
      <c r="Q261" s="1" t="s">
        <v>5839</v>
      </c>
      <c r="R261" s="1" t="s">
        <v>5840</v>
      </c>
      <c r="S261" s="6" t="s">
        <v>132</v>
      </c>
      <c r="T261" s="1" t="s">
        <v>5841</v>
      </c>
      <c r="U261" s="1" t="s">
        <v>5842</v>
      </c>
      <c r="V261" s="1" t="s">
        <v>5843</v>
      </c>
      <c r="W261" s="1" t="s">
        <v>5844</v>
      </c>
      <c r="X261" s="1" t="s">
        <v>5845</v>
      </c>
      <c r="Y261" s="1" t="s">
        <v>5846</v>
      </c>
      <c r="Z261" s="1" t="s">
        <v>5847</v>
      </c>
      <c r="AA261" s="7" t="str">
        <f>IFERROR(__xludf.DUMMYFUNCTION("GOOGLETRANSLATE(C261, ""en"", ""ro"")"),"Doriți să fiți informați ca un insider la cele mai mari bănci și hedgefunds?")</f>
        <v>Doriți să fiți informați ca un insider la cele mai mari bănci și hedgefunds?</v>
      </c>
      <c r="AB261" s="1" t="s">
        <v>5848</v>
      </c>
      <c r="AC261" s="7" t="str">
        <f>IFERROR(__xludf.DUMMYFUNCTION("GOOGLETRANSLATE(C261, ""en"", ""sk"")"),"Chcete byť informovaní ako zasvätenec na najväčších bankách a hedžinach?")</f>
        <v>Chcete byť informovaní ako zasvätenec na najväčších bankách a hedžinach?</v>
      </c>
      <c r="AD261" s="6" t="s">
        <v>132</v>
      </c>
      <c r="AE261" s="1" t="s">
        <v>5849</v>
      </c>
      <c r="AF261" s="1" t="s">
        <v>5850</v>
      </c>
      <c r="AG261" s="6" t="s">
        <v>132</v>
      </c>
      <c r="AH261" s="1" t="s">
        <v>5851</v>
      </c>
      <c r="AI261" s="6" t="s">
        <v>132</v>
      </c>
      <c r="AJ261" s="6" t="s">
        <v>132</v>
      </c>
      <c r="AK261" s="1" t="s">
        <v>5852</v>
      </c>
      <c r="AL261" s="6" t="s">
        <v>132</v>
      </c>
    </row>
    <row r="262" ht="15.75" hidden="1" customHeight="1">
      <c r="A262" s="1" t="s">
        <v>38</v>
      </c>
      <c r="B262" s="1" t="s">
        <v>5853</v>
      </c>
      <c r="C262" s="1" t="s">
        <v>5854</v>
      </c>
      <c r="D262" s="7" t="str">
        <f>IFERROR(__xludf.DUMMYFUNCTION("GOOGLETRANSLATE(C262, ""en"", ""ar"")"),"يمثل موردك ك ""لا تزعج"" عندما يكون الجهاز في الوضع الصامت")</f>
        <v>يمثل موردك ك "لا تزعج" عندما يكون الجهاز في الوضع الصامت</v>
      </c>
      <c r="E262" s="1" t="s">
        <v>5855</v>
      </c>
      <c r="F262" s="6" t="s">
        <v>5856</v>
      </c>
      <c r="G262" s="7" t="str">
        <f>IFERROR(__xludf.DUMMYFUNCTION("GOOGLETRANSLATE(C262, ""en"", ""cs"")"),"Označuje váš zdroj jako ""Nerušit"", když je zařízení v tichém režimu")</f>
        <v>Označuje váš zdroj jako "Nerušit", když je zařízení v tichém režimu</v>
      </c>
      <c r="H262" s="7" t="str">
        <f>IFERROR(__xludf.DUMMYFUNCTION("GOOGLETRANSLATE(C262, ""en"", ""da"")"),"Markerer din ressource som ""ikke forstyrre"", når enheden er i lydløs tilstand")</f>
        <v>Markerer din ressource som "ikke forstyrre", når enheden er i lydløs tilstand</v>
      </c>
      <c r="I262" s="1" t="s">
        <v>5857</v>
      </c>
      <c r="J262" s="6" t="s">
        <v>132</v>
      </c>
      <c r="K262" s="1" t="s">
        <v>5858</v>
      </c>
      <c r="L262" s="7" t="str">
        <f>IFERROR(__xludf.DUMMYFUNCTION("GOOGLETRANSLATE(C262, ""en"", ""fi"")"),"Merkitsee resurssiasi ""Älä häiritse"", kun laite on hiljaisessa tilassa")</f>
        <v>Merkitsee resurssiasi "Älä häiritse", kun laite on hiljaisessa tilassa</v>
      </c>
      <c r="M262" s="1" t="s">
        <v>5859</v>
      </c>
      <c r="N262" s="6" t="s">
        <v>5860</v>
      </c>
      <c r="O262" s="6" t="s">
        <v>132</v>
      </c>
      <c r="P262" s="1" t="s">
        <v>5861</v>
      </c>
      <c r="Q262" s="7" t="str">
        <f>IFERROR(__xludf.DUMMYFUNCTION("GOOGLETRANSLATE(C262, ""en"", ""in"")"),"Menandai sumber daya Anda sebagai ""Jangan Ganggu"" ketika perangkat dalam mode diam")</f>
        <v>Menandai sumber daya Anda sebagai "Jangan Ganggu" ketika perangkat dalam mode diam</v>
      </c>
      <c r="R262" s="1" t="s">
        <v>5862</v>
      </c>
      <c r="S262" s="6" t="s">
        <v>132</v>
      </c>
      <c r="T262" s="1" t="s">
        <v>5863</v>
      </c>
      <c r="U262" s="7" t="str">
        <f>IFERROR(__xludf.DUMMYFUNCTION("GOOGLETRANSLATE(C262, ""en"", ""ko"")"),"장치가 자동 모드에있을 때 ""방해하지 마십시오""로 자원을 표시합니다.")</f>
        <v>장치가 자동 모드에있을 때 "방해하지 마십시오"로 자원을 표시합니다.</v>
      </c>
      <c r="V262" s="7" t="str">
        <f>IFERROR(__xludf.DUMMYFUNCTION("GOOGLETRANSLATE(C262, ""en"", ""ms"")"),"Menandakan sumber anda sebagai ""tidak mengganggu"" apabila peranti berada dalam mod senyap")</f>
        <v>Menandakan sumber anda sebagai "tidak mengganggu" apabila peranti berada dalam mod senyap</v>
      </c>
      <c r="W262" s="1" t="s">
        <v>5864</v>
      </c>
      <c r="X262" s="7" t="str">
        <f>IFERROR(__xludf.DUMMYFUNCTION("GOOGLETRANSLATE(C262, ""en"", ""no"")"),"Markerer ressursen din som ""Ikke forstyrr"" når enheten er i stille modus")</f>
        <v>Markerer ressursen din som "Ikke forstyrr" når enheten er i stille modus</v>
      </c>
      <c r="Y262" s="1" t="s">
        <v>5865</v>
      </c>
      <c r="Z262" s="7" t="str">
        <f>IFERROR(__xludf.DUMMYFUNCTION("GOOGLETRANSLATE(C262, ""en"", ""pt"")"),"Marca seu recurso como ""não perturbe"" quando o dispositivo está no modo silencioso")</f>
        <v>Marca seu recurso como "não perturbe" quando o dispositivo está no modo silencioso</v>
      </c>
      <c r="AA262" s="7" t="str">
        <f>IFERROR(__xludf.DUMMYFUNCTION("GOOGLETRANSLATE(C262, ""en"", ""ro"")"),"Marchează resursa dvs. ca ""Nu deranjați"" când dispozitivul este în modul silențios")</f>
        <v>Marchează resursa dvs. ca "Nu deranjați" când dispozitivul este în modul silențios</v>
      </c>
      <c r="AB262" s="1" t="s">
        <v>5866</v>
      </c>
      <c r="AC262" s="7" t="str">
        <f>IFERROR(__xludf.DUMMYFUNCTION("GOOGLETRANSLATE(C262, ""en"", ""sk"")"),"Označuje váš zdroj, keď je zariadenie v tichom režime")</f>
        <v>Označuje váš zdroj, keď je zariadenie v tichom režime</v>
      </c>
      <c r="AD262" s="6" t="s">
        <v>132</v>
      </c>
      <c r="AE262" s="1" t="s">
        <v>5867</v>
      </c>
      <c r="AF262" s="7" t="str">
        <f>IFERROR(__xludf.DUMMYFUNCTION("GOOGLETRANSLATE(C262, ""en"", ""sv"")"),"Markerar din resurs som ""stör inte"" när enheten är i tyst läge")</f>
        <v>Markerar din resurs som "stör inte" när enheten är i tyst läge</v>
      </c>
      <c r="AG262" s="6" t="s">
        <v>132</v>
      </c>
      <c r="AH262" s="7" t="str">
        <f>IFERROR(__xludf.DUMMYFUNCTION("GOOGLETRANSLATE(C262, ""en"", ""tr"")"),"Cihaz sessiz moddayken kaynağınızı ""rahatsız etme"" olarak işaretler.")</f>
        <v>Cihaz sessiz moddayken kaynağınızı "rahatsız etme" olarak işaretler.</v>
      </c>
      <c r="AI262" s="6" t="s">
        <v>5868</v>
      </c>
      <c r="AJ262" s="6" t="s">
        <v>132</v>
      </c>
      <c r="AK262" s="7" t="str">
        <f>IFERROR(__xludf.DUMMYFUNCTION("GOOGLETRANSLATE(C262, ""en"", ""zh"")"),"当设备处于静音模式时，将资源标记为“请勿打扰”")</f>
        <v>当设备处于静音模式时，将资源标记为“请勿打扰”</v>
      </c>
      <c r="AL262" s="6" t="s">
        <v>132</v>
      </c>
    </row>
    <row r="263" ht="15.75" customHeight="1">
      <c r="A263" s="1" t="s">
        <v>127</v>
      </c>
      <c r="B263" s="1" t="s">
        <v>5869</v>
      </c>
      <c r="C263" s="1" t="s">
        <v>5870</v>
      </c>
      <c r="D263" s="8" t="s">
        <v>5871</v>
      </c>
      <c r="E263" s="1" t="s">
        <v>5872</v>
      </c>
      <c r="F263" s="6" t="s">
        <v>132</v>
      </c>
      <c r="G263" s="1" t="s">
        <v>5873</v>
      </c>
      <c r="H263" s="1" t="s">
        <v>5874</v>
      </c>
      <c r="I263" s="1" t="s">
        <v>5875</v>
      </c>
      <c r="J263" s="6" t="s">
        <v>5876</v>
      </c>
      <c r="K263" s="1" t="s">
        <v>5877</v>
      </c>
      <c r="L263" s="1" t="s">
        <v>5878</v>
      </c>
      <c r="M263" s="1" t="s">
        <v>5870</v>
      </c>
      <c r="N263" s="6" t="s">
        <v>132</v>
      </c>
      <c r="O263" s="6" t="s">
        <v>5879</v>
      </c>
      <c r="P263" s="1" t="s">
        <v>5880</v>
      </c>
      <c r="Q263" s="1" t="s">
        <v>5881</v>
      </c>
      <c r="R263" s="1" t="s">
        <v>5882</v>
      </c>
      <c r="S263" s="10" t="s">
        <v>5883</v>
      </c>
      <c r="T263" s="1" t="s">
        <v>5884</v>
      </c>
      <c r="U263" s="1" t="s">
        <v>5885</v>
      </c>
      <c r="V263" s="1" t="s">
        <v>5886</v>
      </c>
      <c r="W263" s="1" t="s">
        <v>5887</v>
      </c>
      <c r="X263" s="1" t="s">
        <v>5874</v>
      </c>
      <c r="Y263" s="1" t="s">
        <v>5888</v>
      </c>
      <c r="Z263" s="1" t="s">
        <v>5889</v>
      </c>
      <c r="AA263" s="1" t="s">
        <v>5890</v>
      </c>
      <c r="AB263" s="1" t="s">
        <v>5872</v>
      </c>
      <c r="AC263" s="1" t="s">
        <v>5891</v>
      </c>
      <c r="AD263" s="6" t="s">
        <v>5892</v>
      </c>
      <c r="AE263" s="1" t="s">
        <v>5893</v>
      </c>
      <c r="AF263" s="1" t="s">
        <v>5894</v>
      </c>
      <c r="AG263" s="6" t="s">
        <v>5895</v>
      </c>
      <c r="AH263" s="1" t="s">
        <v>5896</v>
      </c>
      <c r="AI263" s="6" t="s">
        <v>132</v>
      </c>
      <c r="AJ263" s="6" t="s">
        <v>5897</v>
      </c>
      <c r="AK263" s="1" t="s">
        <v>5898</v>
      </c>
      <c r="AL263" s="6" t="s">
        <v>5899</v>
      </c>
    </row>
    <row r="264" ht="15.75" hidden="1" customHeight="1">
      <c r="A264" s="1" t="s">
        <v>38</v>
      </c>
      <c r="B264" s="1" t="s">
        <v>5900</v>
      </c>
      <c r="C264" s="1" t="s">
        <v>5901</v>
      </c>
      <c r="D264" s="7" t="str">
        <f>IFERROR(__xludf.DUMMYFUNCTION("GOOGLETRANSLATE(C264, ""en"", ""ar"")"),"دفق فتح خطأ")</f>
        <v>دفق فتح خطأ</v>
      </c>
      <c r="E264" s="1" t="s">
        <v>5902</v>
      </c>
      <c r="F264" s="6" t="s">
        <v>5903</v>
      </c>
      <c r="G264" s="7" t="str">
        <f>IFERROR(__xludf.DUMMYFUNCTION("GOOGLETRANSLATE(C264, ""en"", ""cs"")"),"Chyba otevírání streamu")</f>
        <v>Chyba otevírání streamu</v>
      </c>
      <c r="H264" s="7" t="str">
        <f>IFERROR(__xludf.DUMMYFUNCTION("GOOGLETRANSLATE(C264, ""en"", ""da"")"),"Stream åbningsfejl")</f>
        <v>Stream åbningsfejl</v>
      </c>
      <c r="I264" s="1" t="s">
        <v>5904</v>
      </c>
      <c r="J264" s="6" t="s">
        <v>132</v>
      </c>
      <c r="K264" s="1" t="s">
        <v>5905</v>
      </c>
      <c r="L264" s="7" t="str">
        <f>IFERROR(__xludf.DUMMYFUNCTION("GOOGLETRANSLATE(C264, ""en"", ""fi"")"),"Stream avausvirhe")</f>
        <v>Stream avausvirhe</v>
      </c>
      <c r="M264" s="1" t="s">
        <v>5906</v>
      </c>
      <c r="N264" s="6" t="s">
        <v>5907</v>
      </c>
      <c r="O264" s="6" t="s">
        <v>132</v>
      </c>
      <c r="P264" s="1" t="s">
        <v>5908</v>
      </c>
      <c r="Q264" s="7" t="str">
        <f>IFERROR(__xludf.DUMMYFUNCTION("GOOGLETRANSLATE(C264, ""en"", ""in"")"),"Aliran Pembukaan Kesalahan")</f>
        <v>Aliran Pembukaan Kesalahan</v>
      </c>
      <c r="R264" s="1" t="s">
        <v>5909</v>
      </c>
      <c r="S264" s="6" t="s">
        <v>132</v>
      </c>
      <c r="T264" s="7" t="str">
        <f>IFERROR(__xludf.DUMMYFUNCTION("GOOGLETRANSLATE(C264, ""en"", ""ja"")"),"ストリームオープニングエラー")</f>
        <v>ストリームオープニングエラー</v>
      </c>
      <c r="U264" s="7" t="str">
        <f>IFERROR(__xludf.DUMMYFUNCTION("GOOGLETRANSLATE(C264, ""en"", ""ko"")"),"스트림 개방 오류")</f>
        <v>스트림 개방 오류</v>
      </c>
      <c r="V264" s="7" t="str">
        <f>IFERROR(__xludf.DUMMYFUNCTION("GOOGLETRANSLATE(C264, ""en"", ""ms"")"),"Ralat pembukaan aliran")</f>
        <v>Ralat pembukaan aliran</v>
      </c>
      <c r="W264" s="1" t="s">
        <v>5910</v>
      </c>
      <c r="X264" s="7" t="str">
        <f>IFERROR(__xludf.DUMMYFUNCTION("GOOGLETRANSLATE(C264, ""en"", ""no"")"),"Stream åpningsfeil")</f>
        <v>Stream åpningsfeil</v>
      </c>
      <c r="Y264" s="1" t="s">
        <v>5911</v>
      </c>
      <c r="Z264" s="7" t="str">
        <f>IFERROR(__xludf.DUMMYFUNCTION("GOOGLETRANSLATE(C264, ""en"", ""pt"")"),"Erro de abertura do fluxo")</f>
        <v>Erro de abertura do fluxo</v>
      </c>
      <c r="AA264" s="7" t="str">
        <f>IFERROR(__xludf.DUMMYFUNCTION("GOOGLETRANSLATE(C264, ""en"", ""ro"")"),"Eroare de deschidere a fluxului")</f>
        <v>Eroare de deschidere a fluxului</v>
      </c>
      <c r="AB264" s="1" t="s">
        <v>5912</v>
      </c>
      <c r="AC264" s="7" t="str">
        <f>IFERROR(__xludf.DUMMYFUNCTION("GOOGLETRANSLATE(C264, ""en"", ""sk"")"),"Chyba otvárania toku")</f>
        <v>Chyba otvárania toku</v>
      </c>
      <c r="AD264" s="6" t="s">
        <v>132</v>
      </c>
      <c r="AE264" s="7" t="str">
        <f>IFERROR(__xludf.DUMMYFUNCTION("GOOGLETRANSLATE(C264, ""en"", ""sr"")"),"Грешка отварања потока")</f>
        <v>Грешка отварања потока</v>
      </c>
      <c r="AF264" s="7" t="str">
        <f>IFERROR(__xludf.DUMMYFUNCTION("GOOGLETRANSLATE(C264, ""en"", ""sv"")"),"Strömöppningsfel")</f>
        <v>Strömöppningsfel</v>
      </c>
      <c r="AG264" s="6" t="s">
        <v>132</v>
      </c>
      <c r="AH264" s="7" t="str">
        <f>IFERROR(__xludf.DUMMYFUNCTION("GOOGLETRANSLATE(C264, ""en"", ""tr"")"),"Akış Açma Hatası")</f>
        <v>Akış Açma Hatası</v>
      </c>
      <c r="AI264" s="6" t="s">
        <v>132</v>
      </c>
      <c r="AJ264" s="6" t="s">
        <v>132</v>
      </c>
      <c r="AK264" s="7" t="str">
        <f>IFERROR(__xludf.DUMMYFUNCTION("GOOGLETRANSLATE(C264, ""en"", ""zh"")"),"流打开错误")</f>
        <v>流打开错误</v>
      </c>
      <c r="AL264" s="6" t="s">
        <v>132</v>
      </c>
    </row>
    <row r="265" ht="15.75" customHeight="1">
      <c r="A265" s="1" t="s">
        <v>127</v>
      </c>
      <c r="B265" s="1" t="s">
        <v>5913</v>
      </c>
      <c r="C265" s="1" t="s">
        <v>5079</v>
      </c>
      <c r="D265" s="8" t="s">
        <v>5914</v>
      </c>
      <c r="E265" s="1" t="s">
        <v>5915</v>
      </c>
      <c r="F265" s="6" t="s">
        <v>132</v>
      </c>
      <c r="G265" s="1" t="s">
        <v>5916</v>
      </c>
      <c r="H265" s="1" t="s">
        <v>5917</v>
      </c>
      <c r="I265" s="1" t="s">
        <v>5916</v>
      </c>
      <c r="J265" s="6" t="s">
        <v>5918</v>
      </c>
      <c r="K265" s="1" t="s">
        <v>5919</v>
      </c>
      <c r="L265" s="1" t="s">
        <v>5920</v>
      </c>
      <c r="M265" s="1" t="s">
        <v>5079</v>
      </c>
      <c r="N265" s="6" t="s">
        <v>132</v>
      </c>
      <c r="O265" s="6" t="s">
        <v>5921</v>
      </c>
      <c r="P265" s="1" t="s">
        <v>5922</v>
      </c>
      <c r="Q265" s="1" t="s">
        <v>5923</v>
      </c>
      <c r="R265" s="1" t="s">
        <v>5924</v>
      </c>
      <c r="S265" s="10" t="s">
        <v>5925</v>
      </c>
      <c r="T265" s="1" t="s">
        <v>5926</v>
      </c>
      <c r="U265" s="1" t="s">
        <v>5927</v>
      </c>
      <c r="V265" s="1" t="s">
        <v>5928</v>
      </c>
      <c r="W265" s="1" t="s">
        <v>5916</v>
      </c>
      <c r="X265" s="1" t="s">
        <v>5917</v>
      </c>
      <c r="Y265" s="1" t="s">
        <v>5924</v>
      </c>
      <c r="Z265" s="1" t="s">
        <v>5924</v>
      </c>
      <c r="AA265" s="1" t="s">
        <v>5924</v>
      </c>
      <c r="AB265" s="1" t="s">
        <v>5915</v>
      </c>
      <c r="AC265" s="1" t="s">
        <v>5922</v>
      </c>
      <c r="AD265" s="6" t="s">
        <v>5916</v>
      </c>
      <c r="AE265" s="1" t="s">
        <v>5916</v>
      </c>
      <c r="AF265" s="1" t="s">
        <v>5916</v>
      </c>
      <c r="AG265" s="6" t="s">
        <v>5929</v>
      </c>
      <c r="AH265" s="1" t="s">
        <v>5930</v>
      </c>
      <c r="AI265" s="6" t="s">
        <v>132</v>
      </c>
      <c r="AJ265" s="6" t="s">
        <v>5931</v>
      </c>
      <c r="AK265" s="1" t="s">
        <v>5932</v>
      </c>
      <c r="AL265" s="6" t="s">
        <v>5933</v>
      </c>
    </row>
    <row r="266" ht="15.75" hidden="1" customHeight="1">
      <c r="A266" s="1" t="s">
        <v>38</v>
      </c>
      <c r="B266" s="1" t="s">
        <v>5934</v>
      </c>
      <c r="C266" s="1" t="s">
        <v>5935</v>
      </c>
      <c r="D266" s="8" t="s">
        <v>5936</v>
      </c>
      <c r="E266" s="1" t="s">
        <v>5937</v>
      </c>
      <c r="F266" s="6" t="s">
        <v>5938</v>
      </c>
      <c r="G266" s="7" t="str">
        <f>IFERROR(__xludf.DUMMYFUNCTION("GOOGLETRANSLATE(C266, ""en"", ""cs"")"),"Uživatelské jméno")</f>
        <v>Uživatelské jméno</v>
      </c>
      <c r="H266" s="7" t="str">
        <f>IFERROR(__xludf.DUMMYFUNCTION("GOOGLETRANSLATE(C266, ""en"", ""da"")"),"Brugernavn.")</f>
        <v>Brugernavn.</v>
      </c>
      <c r="I266" s="1" t="s">
        <v>5939</v>
      </c>
      <c r="J266" s="6" t="s">
        <v>132</v>
      </c>
      <c r="K266" s="1" t="s">
        <v>5940</v>
      </c>
      <c r="L266" s="7" t="str">
        <f>IFERROR(__xludf.DUMMYFUNCTION("GOOGLETRANSLATE(C266, ""en"", ""fi"")"),"Käyttäjätunnus")</f>
        <v>Käyttäjätunnus</v>
      </c>
      <c r="M266" s="1" t="s">
        <v>5941</v>
      </c>
      <c r="N266" s="6" t="s">
        <v>5942</v>
      </c>
      <c r="O266" s="6" t="s">
        <v>132</v>
      </c>
      <c r="P266" s="1" t="s">
        <v>5943</v>
      </c>
      <c r="Q266" s="9" t="s">
        <v>5935</v>
      </c>
      <c r="R266" s="1" t="s">
        <v>5944</v>
      </c>
      <c r="S266" s="6" t="s">
        <v>132</v>
      </c>
      <c r="T266" s="1" t="s">
        <v>5945</v>
      </c>
      <c r="U266" s="1" t="s">
        <v>5946</v>
      </c>
      <c r="V266" s="7" t="str">
        <f>IFERROR(__xludf.DUMMYFUNCTION("GOOGLETRANSLATE(C266, ""en"", ""ms"")"),"Nama pengguna")</f>
        <v>Nama pengguna</v>
      </c>
      <c r="W266" s="1" t="s">
        <v>5947</v>
      </c>
      <c r="X266" s="7" t="str">
        <f>IFERROR(__xludf.DUMMYFUNCTION("GOOGLETRANSLATE(C266, ""en"", ""no"")"),"Brukernavn")</f>
        <v>Brukernavn</v>
      </c>
      <c r="Y266" s="1" t="s">
        <v>5948</v>
      </c>
      <c r="Z266" s="1" t="s">
        <v>5949</v>
      </c>
      <c r="AA266" s="7" t="str">
        <f>IFERROR(__xludf.DUMMYFUNCTION("GOOGLETRANSLATE(C266, ""en"", ""ro"")"),"Nume de utilizator")</f>
        <v>Nume de utilizator</v>
      </c>
      <c r="AB266" s="1" t="s">
        <v>5950</v>
      </c>
      <c r="AC266" s="1" t="s">
        <v>5951</v>
      </c>
      <c r="AD266" s="6" t="s">
        <v>132</v>
      </c>
      <c r="AE266" s="1" t="s">
        <v>5952</v>
      </c>
      <c r="AF266" s="1" t="s">
        <v>5953</v>
      </c>
      <c r="AG266" s="6" t="s">
        <v>132</v>
      </c>
      <c r="AH266" s="7" t="str">
        <f>IFERROR(__xludf.DUMMYFUNCTION("GOOGLETRANSLATE(C266, ""en"", ""tr"")"),"Kullanıcı adı")</f>
        <v>Kullanıcı adı</v>
      </c>
      <c r="AI266" s="6" t="s">
        <v>5954</v>
      </c>
      <c r="AJ266" s="6" t="s">
        <v>5955</v>
      </c>
      <c r="AK266" s="7" t="str">
        <f>IFERROR(__xludf.DUMMYFUNCTION("GOOGLETRANSLATE(C266, ""en"", ""zh"")"),"用户名")</f>
        <v>用户名</v>
      </c>
      <c r="AL266" s="6" t="s">
        <v>5956</v>
      </c>
    </row>
    <row r="267" ht="15.75" hidden="1" customHeight="1">
      <c r="A267" s="1" t="s">
        <v>38</v>
      </c>
      <c r="B267" s="1" t="s">
        <v>5957</v>
      </c>
      <c r="C267" s="1" t="s">
        <v>5958</v>
      </c>
      <c r="D267" s="8" t="s">
        <v>5959</v>
      </c>
      <c r="E267" s="1" t="s">
        <v>5958</v>
      </c>
      <c r="F267" s="6" t="s">
        <v>5958</v>
      </c>
      <c r="G267" s="7" t="str">
        <f>IFERROR(__xludf.DUMMYFUNCTION("GOOGLETRANSLATE(C267, ""en"", ""cs"")"),"Otr")</f>
        <v>Otr</v>
      </c>
      <c r="H267" s="7" t="str">
        <f>IFERROR(__xludf.DUMMYFUNCTION("GOOGLETRANSLATE(C267, ""en"", ""da"")"),"OTR.")</f>
        <v>OTR.</v>
      </c>
      <c r="I267" s="1" t="s">
        <v>5958</v>
      </c>
      <c r="J267" s="6" t="s">
        <v>132</v>
      </c>
      <c r="K267" s="1" t="s">
        <v>5958</v>
      </c>
      <c r="L267" s="7" t="str">
        <f>IFERROR(__xludf.DUMMYFUNCTION("GOOGLETRANSLATE(C267, ""en"", ""fi"")"),"OTR")</f>
        <v>OTR</v>
      </c>
      <c r="M267" s="1" t="s">
        <v>5958</v>
      </c>
      <c r="N267" s="6" t="s">
        <v>5958</v>
      </c>
      <c r="O267" s="6" t="s">
        <v>132</v>
      </c>
      <c r="P267" s="1" t="s">
        <v>5958</v>
      </c>
      <c r="Q267" s="9" t="s">
        <v>5958</v>
      </c>
      <c r="R267" s="1" t="s">
        <v>5958</v>
      </c>
      <c r="S267" s="6" t="s">
        <v>132</v>
      </c>
      <c r="T267" s="1" t="s">
        <v>5958</v>
      </c>
      <c r="U267" s="1" t="s">
        <v>5958</v>
      </c>
      <c r="V267" s="7" t="str">
        <f>IFERROR(__xludf.DUMMYFUNCTION("GOOGLETRANSLATE(C267, ""en"", ""ms"")"),"OTR")</f>
        <v>OTR</v>
      </c>
      <c r="W267" s="1" t="s">
        <v>5958</v>
      </c>
      <c r="X267" s="7" t="str">
        <f>IFERROR(__xludf.DUMMYFUNCTION("GOOGLETRANSLATE(C267, ""en"", ""no"")"),"OTR.")</f>
        <v>OTR.</v>
      </c>
      <c r="Y267" s="1" t="s">
        <v>5958</v>
      </c>
      <c r="Z267" s="1" t="s">
        <v>5958</v>
      </c>
      <c r="AA267" s="7" t="str">
        <f>IFERROR(__xludf.DUMMYFUNCTION("GOOGLETRANSLATE(C267, ""en"", ""ro"")"),"OTR.")</f>
        <v>OTR.</v>
      </c>
      <c r="AB267" s="1" t="s">
        <v>5958</v>
      </c>
      <c r="AC267" s="1" t="s">
        <v>5958</v>
      </c>
      <c r="AD267" s="6" t="s">
        <v>132</v>
      </c>
      <c r="AE267" s="1" t="s">
        <v>5960</v>
      </c>
      <c r="AF267" s="1" t="s">
        <v>5958</v>
      </c>
      <c r="AG267" s="6" t="s">
        <v>132</v>
      </c>
      <c r="AH267" s="7" t="str">
        <f>IFERROR(__xludf.DUMMYFUNCTION("GOOGLETRANSLATE(C267, ""en"", ""tr"")"),"OTR")</f>
        <v>OTR</v>
      </c>
      <c r="AI267" s="6" t="s">
        <v>5958</v>
      </c>
      <c r="AJ267" s="6" t="s">
        <v>5958</v>
      </c>
      <c r="AK267" s="7" t="str">
        <f>IFERROR(__xludf.DUMMYFUNCTION("GOOGLETRANSLATE(C267, ""en"", ""zh"")"),"OTR.")</f>
        <v>OTR.</v>
      </c>
      <c r="AL267" s="6" t="s">
        <v>5958</v>
      </c>
    </row>
    <row r="268" ht="15.75" customHeight="1">
      <c r="A268" s="1" t="s">
        <v>127</v>
      </c>
      <c r="B268" s="1" t="s">
        <v>5961</v>
      </c>
      <c r="C268" s="1" t="s">
        <v>5962</v>
      </c>
      <c r="D268" s="8" t="s">
        <v>5963</v>
      </c>
      <c r="E268" s="1" t="s">
        <v>5964</v>
      </c>
      <c r="F268" s="6" t="s">
        <v>132</v>
      </c>
      <c r="G268" s="1" t="s">
        <v>5965</v>
      </c>
      <c r="H268" s="1" t="s">
        <v>5966</v>
      </c>
      <c r="I268" s="1" t="s">
        <v>5967</v>
      </c>
      <c r="J268" s="6" t="s">
        <v>5968</v>
      </c>
      <c r="K268" s="1" t="s">
        <v>5969</v>
      </c>
      <c r="L268" s="1" t="s">
        <v>5970</v>
      </c>
      <c r="M268" s="1" t="s">
        <v>5971</v>
      </c>
      <c r="N268" s="6" t="s">
        <v>132</v>
      </c>
      <c r="O268" s="6" t="s">
        <v>5972</v>
      </c>
      <c r="P268" s="1" t="s">
        <v>5962</v>
      </c>
      <c r="Q268" s="1" t="s">
        <v>5973</v>
      </c>
      <c r="R268" s="1" t="s">
        <v>5974</v>
      </c>
      <c r="S268" s="10" t="s">
        <v>5975</v>
      </c>
      <c r="T268" s="1" t="s">
        <v>5976</v>
      </c>
      <c r="U268" s="1" t="s">
        <v>5977</v>
      </c>
      <c r="V268" s="1" t="s">
        <v>5978</v>
      </c>
      <c r="W268" s="1" t="s">
        <v>5962</v>
      </c>
      <c r="X268" s="1" t="s">
        <v>5979</v>
      </c>
      <c r="Y268" s="1" t="s">
        <v>5980</v>
      </c>
      <c r="Z268" s="1" t="s">
        <v>5981</v>
      </c>
      <c r="AA268" s="1" t="s">
        <v>5982</v>
      </c>
      <c r="AB268" s="1" t="s">
        <v>5983</v>
      </c>
      <c r="AC268" s="1" t="s">
        <v>5984</v>
      </c>
      <c r="AD268" s="6" t="s">
        <v>5985</v>
      </c>
      <c r="AE268" s="1" t="s">
        <v>5986</v>
      </c>
      <c r="AF268" s="1" t="s">
        <v>5987</v>
      </c>
      <c r="AG268" s="6" t="s">
        <v>5988</v>
      </c>
      <c r="AH268" s="1" t="s">
        <v>5989</v>
      </c>
      <c r="AI268" s="6" t="s">
        <v>132</v>
      </c>
      <c r="AJ268" s="6" t="s">
        <v>5990</v>
      </c>
      <c r="AK268" s="1" t="s">
        <v>5991</v>
      </c>
      <c r="AL268" s="6" t="s">
        <v>132</v>
      </c>
    </row>
    <row r="269" ht="15.75" customHeight="1">
      <c r="A269" s="1" t="s">
        <v>127</v>
      </c>
      <c r="B269" s="1" t="s">
        <v>5992</v>
      </c>
      <c r="C269" s="1" t="s">
        <v>5993</v>
      </c>
      <c r="D269" s="8" t="s">
        <v>5994</v>
      </c>
      <c r="E269" s="1" t="s">
        <v>5995</v>
      </c>
      <c r="F269" s="6" t="s">
        <v>132</v>
      </c>
      <c r="G269" s="1" t="s">
        <v>5996</v>
      </c>
      <c r="H269" s="1" t="s">
        <v>5997</v>
      </c>
      <c r="I269" s="1" t="s">
        <v>5998</v>
      </c>
      <c r="J269" s="6" t="s">
        <v>5999</v>
      </c>
      <c r="K269" s="1" t="s">
        <v>6000</v>
      </c>
      <c r="L269" s="1" t="s">
        <v>6001</v>
      </c>
      <c r="M269" s="1" t="s">
        <v>6002</v>
      </c>
      <c r="N269" s="6" t="s">
        <v>132</v>
      </c>
      <c r="O269" s="6" t="s">
        <v>6003</v>
      </c>
      <c r="P269" s="1" t="s">
        <v>6004</v>
      </c>
      <c r="Q269" s="1" t="s">
        <v>6005</v>
      </c>
      <c r="R269" s="1" t="s">
        <v>6006</v>
      </c>
      <c r="S269" s="10" t="s">
        <v>6007</v>
      </c>
      <c r="T269" s="1" t="s">
        <v>6008</v>
      </c>
      <c r="U269" s="1" t="s">
        <v>6009</v>
      </c>
      <c r="V269" s="1" t="s">
        <v>6005</v>
      </c>
      <c r="W269" s="1" t="s">
        <v>6010</v>
      </c>
      <c r="X269" s="1" t="s">
        <v>6011</v>
      </c>
      <c r="Y269" s="1" t="s">
        <v>6012</v>
      </c>
      <c r="Z269" s="1" t="s">
        <v>6013</v>
      </c>
      <c r="AA269" s="1" t="s">
        <v>6014</v>
      </c>
      <c r="AB269" s="1" t="s">
        <v>6015</v>
      </c>
      <c r="AC269" s="1" t="s">
        <v>6016</v>
      </c>
      <c r="AD269" s="6" t="s">
        <v>5996</v>
      </c>
      <c r="AE269" s="1" t="s">
        <v>6017</v>
      </c>
      <c r="AF269" s="1" t="s">
        <v>5997</v>
      </c>
      <c r="AG269" s="6" t="s">
        <v>6018</v>
      </c>
      <c r="AH269" s="1" t="s">
        <v>6019</v>
      </c>
      <c r="AI269" s="6" t="s">
        <v>132</v>
      </c>
      <c r="AJ269" s="6" t="s">
        <v>6020</v>
      </c>
      <c r="AK269" s="1" t="s">
        <v>6021</v>
      </c>
      <c r="AL269" s="6" t="s">
        <v>6022</v>
      </c>
    </row>
    <row r="270" ht="15.75" customHeight="1">
      <c r="A270" s="1" t="s">
        <v>127</v>
      </c>
      <c r="B270" s="1" t="s">
        <v>6023</v>
      </c>
      <c r="C270" s="1" t="s">
        <v>6024</v>
      </c>
      <c r="D270" s="8" t="s">
        <v>6025</v>
      </c>
      <c r="E270" s="1" t="s">
        <v>6026</v>
      </c>
      <c r="F270" s="6" t="s">
        <v>132</v>
      </c>
      <c r="G270" s="1" t="s">
        <v>6027</v>
      </c>
      <c r="H270" s="1" t="s">
        <v>6028</v>
      </c>
      <c r="I270" s="1" t="s">
        <v>6029</v>
      </c>
      <c r="J270" s="6" t="s">
        <v>6030</v>
      </c>
      <c r="K270" s="1" t="s">
        <v>6031</v>
      </c>
      <c r="L270" s="1" t="s">
        <v>6032</v>
      </c>
      <c r="M270" s="1" t="s">
        <v>6033</v>
      </c>
      <c r="N270" s="6" t="s">
        <v>132</v>
      </c>
      <c r="O270" s="6" t="s">
        <v>6034</v>
      </c>
      <c r="P270" s="1" t="s">
        <v>6024</v>
      </c>
      <c r="Q270" s="1" t="s">
        <v>6035</v>
      </c>
      <c r="R270" s="1" t="s">
        <v>6036</v>
      </c>
      <c r="S270" s="10" t="s">
        <v>6037</v>
      </c>
      <c r="T270" s="1" t="s">
        <v>6038</v>
      </c>
      <c r="U270" s="1" t="s">
        <v>6039</v>
      </c>
      <c r="V270" s="1" t="s">
        <v>6040</v>
      </c>
      <c r="W270" s="1" t="s">
        <v>6024</v>
      </c>
      <c r="X270" s="1" t="s">
        <v>6041</v>
      </c>
      <c r="Y270" s="1" t="s">
        <v>6042</v>
      </c>
      <c r="Z270" s="1" t="s">
        <v>6043</v>
      </c>
      <c r="AA270" s="1" t="s">
        <v>6044</v>
      </c>
      <c r="AB270" s="1" t="s">
        <v>6045</v>
      </c>
      <c r="AC270" s="1" t="s">
        <v>6046</v>
      </c>
      <c r="AD270" s="6" t="s">
        <v>6047</v>
      </c>
      <c r="AE270" s="1" t="s">
        <v>6048</v>
      </c>
      <c r="AF270" s="1" t="s">
        <v>6049</v>
      </c>
      <c r="AG270" s="6" t="s">
        <v>6050</v>
      </c>
      <c r="AH270" s="1" t="s">
        <v>6051</v>
      </c>
      <c r="AI270" s="6" t="s">
        <v>132</v>
      </c>
      <c r="AJ270" s="6" t="s">
        <v>6052</v>
      </c>
      <c r="AK270" s="1" t="s">
        <v>6053</v>
      </c>
      <c r="AL270" s="6" t="s">
        <v>132</v>
      </c>
    </row>
    <row r="271" ht="15.75" hidden="1" customHeight="1">
      <c r="A271" s="1" t="s">
        <v>38</v>
      </c>
      <c r="B271" s="1" t="s">
        <v>6054</v>
      </c>
      <c r="C271" s="1" t="s">
        <v>6055</v>
      </c>
      <c r="D271" s="7" t="str">
        <f>IFERROR(__xludf.DUMMYFUNCTION("GOOGLETRANSLATE(C271, ""en"", ""ar"")"),"غير قادر على جلب تفضيلات الأرشفة")</f>
        <v>غير قادر على جلب تفضيلات الأرشفة</v>
      </c>
      <c r="E271" s="1" t="s">
        <v>6056</v>
      </c>
      <c r="F271" s="6" t="s">
        <v>6057</v>
      </c>
      <c r="G271" s="7" t="str">
        <f>IFERROR(__xludf.DUMMYFUNCTION("GOOGLETRANSLATE(C271, ""en"", ""cs"")"),"Nelze narazit preference archivace")</f>
        <v>Nelze narazit preference archivace</v>
      </c>
      <c r="H271" s="7" t="str">
        <f>IFERROR(__xludf.DUMMYFUNCTION("GOOGLETRANSLATE(C271, ""en"", ""da"")"),"Kan ikke hente arkiveringspræferencer")</f>
        <v>Kan ikke hente arkiveringspræferencer</v>
      </c>
      <c r="I271" s="1" t="s">
        <v>6058</v>
      </c>
      <c r="J271" s="6" t="s">
        <v>132</v>
      </c>
      <c r="K271" s="1" t="s">
        <v>6059</v>
      </c>
      <c r="L271" s="7" t="str">
        <f>IFERROR(__xludf.DUMMYFUNCTION("GOOGLETRANSLATE(C271, ""en"", ""fi"")"),"Ei voi hakea arkistointiasetuksia")</f>
        <v>Ei voi hakea arkistointiasetuksia</v>
      </c>
      <c r="M271" s="1" t="s">
        <v>6060</v>
      </c>
      <c r="N271" s="6" t="s">
        <v>6061</v>
      </c>
      <c r="O271" s="6" t="s">
        <v>132</v>
      </c>
      <c r="P271" s="1" t="s">
        <v>6062</v>
      </c>
      <c r="Q271" s="7" t="str">
        <f>IFERROR(__xludf.DUMMYFUNCTION("GOOGLETRANSLATE(C271, ""en"", ""in"")"),"Tidak dapat menjemput preferensi pengarsipan")</f>
        <v>Tidak dapat menjemput preferensi pengarsipan</v>
      </c>
      <c r="R271" s="1" t="s">
        <v>6063</v>
      </c>
      <c r="S271" s="6" t="s">
        <v>132</v>
      </c>
      <c r="T271" s="1" t="s">
        <v>6064</v>
      </c>
      <c r="U271" s="1" t="s">
        <v>6065</v>
      </c>
      <c r="V271" s="7" t="str">
        <f>IFERROR(__xludf.DUMMYFUNCTION("GOOGLETRANSLATE(C271, ""en"", ""ms"")"),"Tidak dapat mengambil pilihan pengarkiban")</f>
        <v>Tidak dapat mengambil pilihan pengarkiban</v>
      </c>
      <c r="W271" s="1" t="s">
        <v>6066</v>
      </c>
      <c r="X271" s="7" t="str">
        <f>IFERROR(__xludf.DUMMYFUNCTION("GOOGLETRANSLATE(C271, ""en"", ""no"")"),"Kan ikke hente arkiveringsinnstillinger")</f>
        <v>Kan ikke hente arkiveringsinnstillinger</v>
      </c>
      <c r="Y271" s="1" t="s">
        <v>6067</v>
      </c>
      <c r="Z271" s="1" t="s">
        <v>6068</v>
      </c>
      <c r="AA271" s="7" t="str">
        <f>IFERROR(__xludf.DUMMYFUNCTION("GOOGLETRANSLATE(C271, ""en"", ""ro"")"),"Imposibil de urmat preferințele de arhivare")</f>
        <v>Imposibil de urmat preferințele de arhivare</v>
      </c>
      <c r="AB271" s="1" t="s">
        <v>6069</v>
      </c>
      <c r="AC271" s="7" t="str">
        <f>IFERROR(__xludf.DUMMYFUNCTION("GOOGLETRANSLATE(C271, ""en"", ""sk"")"),"Nepodarilo sa získať predvoľby archivácie")</f>
        <v>Nepodarilo sa získať predvoľby archivácie</v>
      </c>
      <c r="AD271" s="6" t="s">
        <v>132</v>
      </c>
      <c r="AE271" s="1" t="s">
        <v>6070</v>
      </c>
      <c r="AF271" s="1" t="s">
        <v>6071</v>
      </c>
      <c r="AG271" s="6" t="s">
        <v>132</v>
      </c>
      <c r="AH271" s="7" t="str">
        <f>IFERROR(__xludf.DUMMYFUNCTION("GOOGLETRANSLATE(C271, ""en"", ""tr"")"),"Arşivleme tercihleri ​​getirilemiyor")</f>
        <v>Arşivleme tercihleri ​​getirilemiyor</v>
      </c>
      <c r="AI271" s="6" t="s">
        <v>6072</v>
      </c>
      <c r="AJ271" s="6" t="s">
        <v>132</v>
      </c>
      <c r="AK271" s="7" t="str">
        <f>IFERROR(__xludf.DUMMYFUNCTION("GOOGLETRANSLATE(C271, ""en"", ""zh"")"),"无法获取归档首选项")</f>
        <v>无法获取归档首选项</v>
      </c>
      <c r="AL271" s="6" t="s">
        <v>6073</v>
      </c>
    </row>
    <row r="272" ht="15.75" customHeight="1">
      <c r="A272" s="1" t="s">
        <v>127</v>
      </c>
      <c r="B272" s="1" t="s">
        <v>6074</v>
      </c>
      <c r="C272" s="1" t="s">
        <v>6075</v>
      </c>
      <c r="D272" s="8" t="s">
        <v>6076</v>
      </c>
      <c r="E272" s="1" t="s">
        <v>6077</v>
      </c>
      <c r="F272" s="6" t="s">
        <v>132</v>
      </c>
      <c r="G272" s="1" t="s">
        <v>6078</v>
      </c>
      <c r="H272" s="1" t="s">
        <v>6079</v>
      </c>
      <c r="I272" s="1" t="s">
        <v>6080</v>
      </c>
      <c r="J272" s="6" t="s">
        <v>6081</v>
      </c>
      <c r="K272" s="1" t="s">
        <v>6082</v>
      </c>
      <c r="L272" s="1" t="s">
        <v>6083</v>
      </c>
      <c r="M272" s="1" t="s">
        <v>6084</v>
      </c>
      <c r="N272" s="6" t="s">
        <v>132</v>
      </c>
      <c r="O272" s="6" t="s">
        <v>6085</v>
      </c>
      <c r="P272" s="1" t="s">
        <v>6075</v>
      </c>
      <c r="Q272" s="1" t="s">
        <v>6086</v>
      </c>
      <c r="R272" s="1" t="s">
        <v>6087</v>
      </c>
      <c r="S272" s="10" t="s">
        <v>6088</v>
      </c>
      <c r="T272" s="1" t="s">
        <v>6089</v>
      </c>
      <c r="U272" s="1" t="s">
        <v>6090</v>
      </c>
      <c r="V272" s="1" t="s">
        <v>6091</v>
      </c>
      <c r="W272" s="1" t="s">
        <v>6075</v>
      </c>
      <c r="X272" s="1" t="s">
        <v>6092</v>
      </c>
      <c r="Y272" s="1" t="s">
        <v>6093</v>
      </c>
      <c r="Z272" s="1" t="s">
        <v>6094</v>
      </c>
      <c r="AA272" s="1" t="s">
        <v>6095</v>
      </c>
      <c r="AB272" s="1" t="s">
        <v>6096</v>
      </c>
      <c r="AC272" s="1" t="s">
        <v>6097</v>
      </c>
      <c r="AD272" s="6" t="s">
        <v>6098</v>
      </c>
      <c r="AE272" s="1" t="s">
        <v>6099</v>
      </c>
      <c r="AF272" s="1" t="s">
        <v>6100</v>
      </c>
      <c r="AG272" s="6" t="s">
        <v>6101</v>
      </c>
      <c r="AH272" s="1" t="s">
        <v>6102</v>
      </c>
      <c r="AI272" s="6" t="s">
        <v>132</v>
      </c>
      <c r="AJ272" s="6" t="s">
        <v>6103</v>
      </c>
      <c r="AK272" s="1" t="s">
        <v>6104</v>
      </c>
      <c r="AL272" s="6" t="s">
        <v>132</v>
      </c>
    </row>
    <row r="273" ht="15.75" customHeight="1">
      <c r="A273" s="1" t="s">
        <v>127</v>
      </c>
      <c r="B273" s="1" t="s">
        <v>6105</v>
      </c>
      <c r="C273" s="1" t="s">
        <v>6106</v>
      </c>
      <c r="D273" s="8" t="s">
        <v>6107</v>
      </c>
      <c r="E273" s="1" t="s">
        <v>6108</v>
      </c>
      <c r="F273" s="6" t="s">
        <v>132</v>
      </c>
      <c r="G273" s="1" t="s">
        <v>6109</v>
      </c>
      <c r="H273" s="1" t="s">
        <v>6110</v>
      </c>
      <c r="I273" s="1" t="s">
        <v>6111</v>
      </c>
      <c r="J273" s="6" t="s">
        <v>6112</v>
      </c>
      <c r="K273" s="1" t="s">
        <v>6113</v>
      </c>
      <c r="L273" s="1" t="s">
        <v>6114</v>
      </c>
      <c r="M273" s="1" t="s">
        <v>6115</v>
      </c>
      <c r="N273" s="6" t="s">
        <v>132</v>
      </c>
      <c r="O273" s="6" t="s">
        <v>6116</v>
      </c>
      <c r="P273" s="1" t="s">
        <v>6117</v>
      </c>
      <c r="Q273" s="1" t="s">
        <v>6118</v>
      </c>
      <c r="R273" s="1" t="s">
        <v>6119</v>
      </c>
      <c r="S273" s="10" t="s">
        <v>6120</v>
      </c>
      <c r="T273" s="1" t="s">
        <v>6121</v>
      </c>
      <c r="U273" s="1" t="s">
        <v>6122</v>
      </c>
      <c r="V273" s="1" t="s">
        <v>6123</v>
      </c>
      <c r="W273" s="1" t="s">
        <v>6124</v>
      </c>
      <c r="X273" s="1" t="s">
        <v>6125</v>
      </c>
      <c r="Y273" s="1" t="s">
        <v>6126</v>
      </c>
      <c r="Z273" s="1" t="s">
        <v>6127</v>
      </c>
      <c r="AA273" s="1" t="s">
        <v>6128</v>
      </c>
      <c r="AB273" s="1" t="s">
        <v>6129</v>
      </c>
      <c r="AC273" s="1" t="s">
        <v>6130</v>
      </c>
      <c r="AD273" s="6" t="s">
        <v>6131</v>
      </c>
      <c r="AE273" s="1" t="s">
        <v>6132</v>
      </c>
      <c r="AF273" s="1" t="s">
        <v>6133</v>
      </c>
      <c r="AG273" s="6" t="s">
        <v>6134</v>
      </c>
      <c r="AH273" s="1" t="s">
        <v>6135</v>
      </c>
      <c r="AI273" s="6" t="s">
        <v>132</v>
      </c>
      <c r="AJ273" s="6" t="s">
        <v>6136</v>
      </c>
      <c r="AK273" s="1" t="s">
        <v>6137</v>
      </c>
      <c r="AL273" s="6" t="s">
        <v>6138</v>
      </c>
    </row>
    <row r="274" ht="15.75" hidden="1" customHeight="1">
      <c r="A274" s="1" t="s">
        <v>38</v>
      </c>
      <c r="B274" s="1" t="s">
        <v>6139</v>
      </c>
      <c r="C274" s="1" t="s">
        <v>6140</v>
      </c>
      <c r="D274" s="7" t="str">
        <f>IFERROR(__xludf.DUMMYFUNCTION("GOOGLETRANSLATE(C274, ""en"", ""ar"")"),"مقدونيا، جمهورية")</f>
        <v>مقدونيا، جمهورية</v>
      </c>
      <c r="E274" s="7" t="str">
        <f>IFERROR(__xludf.DUMMYFUNCTION("GOOGLETRANSLATE(C274, ""en"", ""bg"")"),"Македония, Република")</f>
        <v>Македония, Република</v>
      </c>
      <c r="F274" s="6" t="s">
        <v>132</v>
      </c>
      <c r="G274" s="7" t="str">
        <f>IFERROR(__xludf.DUMMYFUNCTION("GOOGLETRANSLATE(C274, ""en"", ""cs"")"),"Makedonie, republika")</f>
        <v>Makedonie, republika</v>
      </c>
      <c r="H274" s="7" t="str">
        <f>IFERROR(__xludf.DUMMYFUNCTION("GOOGLETRANSLATE(C274, ""en"", ""da"")"),"Makedonien, Republikken")</f>
        <v>Makedonien, Republikken</v>
      </c>
      <c r="I274" s="1" t="s">
        <v>6141</v>
      </c>
      <c r="J274" s="6" t="s">
        <v>132</v>
      </c>
      <c r="K274" s="1" t="s">
        <v>6142</v>
      </c>
      <c r="L274" s="7" t="str">
        <f>IFERROR(__xludf.DUMMYFUNCTION("GOOGLETRANSLATE(C274, ""en"", ""fi"")"),"Makedonia, tasavalta")</f>
        <v>Makedonia, tasavalta</v>
      </c>
      <c r="M274" s="1" t="s">
        <v>6143</v>
      </c>
      <c r="N274" s="6" t="s">
        <v>132</v>
      </c>
      <c r="O274" s="6" t="s">
        <v>132</v>
      </c>
      <c r="P274" s="1" t="s">
        <v>6140</v>
      </c>
      <c r="Q274" s="7" t="str">
        <f>IFERROR(__xludf.DUMMYFUNCTION("GOOGLETRANSLATE(C274, ""en"", ""in"")"),"Makedonia, Republik")</f>
        <v>Makedonia, Republik</v>
      </c>
      <c r="R274" s="7" t="str">
        <f>IFERROR(__xludf.DUMMYFUNCTION("GOOGLETRANSLATE(C274, ""en"", ""it"")"),"Macedonia, Repubblica di")</f>
        <v>Macedonia, Repubblica di</v>
      </c>
      <c r="S274" s="6" t="s">
        <v>132</v>
      </c>
      <c r="T274" s="7" t="str">
        <f>IFERROR(__xludf.DUMMYFUNCTION("GOOGLETRANSLATE(C274, ""en"", ""ja"")"),"マケドニア、共和国")</f>
        <v>マケドニア、共和国</v>
      </c>
      <c r="U274" s="7" t="str">
        <f>IFERROR(__xludf.DUMMYFUNCTION("GOOGLETRANSLATE(C274, ""en"", ""ko"")"),"마케도니아, 공화국")</f>
        <v>마케도니아, 공화국</v>
      </c>
      <c r="V274" s="7" t="str">
        <f>IFERROR(__xludf.DUMMYFUNCTION("GOOGLETRANSLATE(C274, ""en"", ""ms"")"),"Macedonia, Republik")</f>
        <v>Macedonia, Republik</v>
      </c>
      <c r="W274" s="7" t="str">
        <f>IFERROR(__xludf.DUMMYFUNCTION("GOOGLETRANSLATE(C274, ""en"", ""nl"")"),"Macedonië, Republiek")</f>
        <v>Macedonië, Republiek</v>
      </c>
      <c r="X274" s="7" t="str">
        <f>IFERROR(__xludf.DUMMYFUNCTION("GOOGLETRANSLATE(C274, ""en"", ""no"")"),"Makedonia, Republikken")</f>
        <v>Makedonia, Republikken</v>
      </c>
      <c r="Y274" s="7" t="str">
        <f>IFERROR(__xludf.DUMMYFUNCTION("GOOGLETRANSLATE(C274, ""en"", ""pl"")"),"Macedonia, Republika")</f>
        <v>Macedonia, Republika</v>
      </c>
      <c r="Z274" s="7" t="str">
        <f>IFERROR(__xludf.DUMMYFUNCTION("GOOGLETRANSLATE(C274, ""en"", ""pt"")"),"Macedônia, República de")</f>
        <v>Macedônia, República de</v>
      </c>
      <c r="AA274" s="7" t="str">
        <f>IFERROR(__xludf.DUMMYFUNCTION("GOOGLETRANSLATE(C274, ""en"", ""ro"")"),"Macedonia, Republica")</f>
        <v>Macedonia, Republica</v>
      </c>
      <c r="AB274" s="1" t="s">
        <v>6144</v>
      </c>
      <c r="AC274" s="7" t="str">
        <f>IFERROR(__xludf.DUMMYFUNCTION("GOOGLETRANSLATE(C274, ""en"", ""sk"")"),"Macedónsko, republika")</f>
        <v>Macedónsko, republika</v>
      </c>
      <c r="AD274" s="6" t="s">
        <v>132</v>
      </c>
      <c r="AE274" s="1" t="s">
        <v>6145</v>
      </c>
      <c r="AF274" s="7" t="str">
        <f>IFERROR(__xludf.DUMMYFUNCTION("GOOGLETRANSLATE(C274, ""en"", ""sv"")"),"Makedonien, Republiken")</f>
        <v>Makedonien, Republiken</v>
      </c>
      <c r="AG274" s="6" t="s">
        <v>132</v>
      </c>
      <c r="AH274" s="7" t="str">
        <f>IFERROR(__xludf.DUMMYFUNCTION("GOOGLETRANSLATE(C274, ""en"", ""tr"")"),"Makedonya, Cumhuriyeti")</f>
        <v>Makedonya, Cumhuriyeti</v>
      </c>
      <c r="AI274" s="6" t="s">
        <v>132</v>
      </c>
      <c r="AJ274" s="6" t="s">
        <v>132</v>
      </c>
      <c r="AK274" s="7" t="str">
        <f>IFERROR(__xludf.DUMMYFUNCTION("GOOGLETRANSLATE(C274, ""en"", ""zh"")"),"马其顿，共和国")</f>
        <v>马其顿，共和国</v>
      </c>
      <c r="AL274" s="6" t="s">
        <v>132</v>
      </c>
    </row>
    <row r="275" ht="15.75" hidden="1" customHeight="1">
      <c r="A275" s="1" t="s">
        <v>38</v>
      </c>
      <c r="B275" s="1" t="s">
        <v>6146</v>
      </c>
      <c r="C275" s="1" t="s">
        <v>6147</v>
      </c>
      <c r="D275" s="7" t="str">
        <f>IFERROR(__xludf.DUMMYFUNCTION("GOOGLETRANSLATE(C275, ""en"", ""ar"")"),"غانا")</f>
        <v>غانا</v>
      </c>
      <c r="E275" s="7" t="str">
        <f>IFERROR(__xludf.DUMMYFUNCTION("GOOGLETRANSLATE(C275, ""en"", ""bg"")"),"Гана")</f>
        <v>Гана</v>
      </c>
      <c r="F275" s="6" t="s">
        <v>132</v>
      </c>
      <c r="G275" s="7" t="str">
        <f>IFERROR(__xludf.DUMMYFUNCTION("GOOGLETRANSLATE(C275, ""en"", ""cs"")"),"Ghana")</f>
        <v>Ghana</v>
      </c>
      <c r="H275" s="7" t="str">
        <f>IFERROR(__xludf.DUMMYFUNCTION("GOOGLETRANSLATE(C275, ""en"", ""da"")"),"Ghana.")</f>
        <v>Ghana.</v>
      </c>
      <c r="I275" s="1" t="s">
        <v>6147</v>
      </c>
      <c r="J275" s="6" t="s">
        <v>132</v>
      </c>
      <c r="K275" s="1" t="s">
        <v>6147</v>
      </c>
      <c r="L275" s="7" t="str">
        <f>IFERROR(__xludf.DUMMYFUNCTION("GOOGLETRANSLATE(C275, ""en"", ""fi"")"),"Ghana")</f>
        <v>Ghana</v>
      </c>
      <c r="M275" s="1" t="s">
        <v>6147</v>
      </c>
      <c r="N275" s="6" t="s">
        <v>132</v>
      </c>
      <c r="O275" s="6" t="s">
        <v>132</v>
      </c>
      <c r="P275" s="1" t="s">
        <v>6147</v>
      </c>
      <c r="Q275" s="7" t="str">
        <f>IFERROR(__xludf.DUMMYFUNCTION("GOOGLETRANSLATE(C275, ""en"", ""in"")"),"Ghana")</f>
        <v>Ghana</v>
      </c>
      <c r="R275" s="7" t="str">
        <f>IFERROR(__xludf.DUMMYFUNCTION("GOOGLETRANSLATE(C275, ""en"", ""it"")"),"Ghana")</f>
        <v>Ghana</v>
      </c>
      <c r="S275" s="6" t="s">
        <v>132</v>
      </c>
      <c r="T275" s="7" t="str">
        <f>IFERROR(__xludf.DUMMYFUNCTION("GOOGLETRANSLATE(C275, ""en"", ""ja"")"),"ガーナ")</f>
        <v>ガーナ</v>
      </c>
      <c r="U275" s="7" t="str">
        <f>IFERROR(__xludf.DUMMYFUNCTION("GOOGLETRANSLATE(C275, ""en"", ""ko"")"),"가나")</f>
        <v>가나</v>
      </c>
      <c r="V275" s="7" t="str">
        <f>IFERROR(__xludf.DUMMYFUNCTION("GOOGLETRANSLATE(C275, ""en"", ""ms"")"),"Ghana.")</f>
        <v>Ghana.</v>
      </c>
      <c r="W275" s="7" t="str">
        <f>IFERROR(__xludf.DUMMYFUNCTION("GOOGLETRANSLATE(C275, ""en"", ""nl"")"),"Ghana")</f>
        <v>Ghana</v>
      </c>
      <c r="X275" s="7" t="str">
        <f>IFERROR(__xludf.DUMMYFUNCTION("GOOGLETRANSLATE(C275, ""en"", ""no"")"),"Ghana.")</f>
        <v>Ghana.</v>
      </c>
      <c r="Y275" s="7" t="str">
        <f>IFERROR(__xludf.DUMMYFUNCTION("GOOGLETRANSLATE(C275, ""en"", ""pl"")"),"Ghana.")</f>
        <v>Ghana.</v>
      </c>
      <c r="Z275" s="7" t="str">
        <f>IFERROR(__xludf.DUMMYFUNCTION("GOOGLETRANSLATE(C275, ""en"", ""pt"")"),"Gana")</f>
        <v>Gana</v>
      </c>
      <c r="AA275" s="7" t="str">
        <f>IFERROR(__xludf.DUMMYFUNCTION("GOOGLETRANSLATE(C275, ""en"", ""ro"")"),"Ghana.")</f>
        <v>Ghana.</v>
      </c>
      <c r="AB275" s="1" t="s">
        <v>6148</v>
      </c>
      <c r="AC275" s="7" t="str">
        <f>IFERROR(__xludf.DUMMYFUNCTION("GOOGLETRANSLATE(C275, ""en"", ""sk"")"),"Ghana")</f>
        <v>Ghana</v>
      </c>
      <c r="AD275" s="6" t="s">
        <v>132</v>
      </c>
      <c r="AE275" s="1" t="s">
        <v>6149</v>
      </c>
      <c r="AF275" s="7" t="str">
        <f>IFERROR(__xludf.DUMMYFUNCTION("GOOGLETRANSLATE(C275, ""en"", ""sv"")"),"Ghana")</f>
        <v>Ghana</v>
      </c>
      <c r="AG275" s="6" t="s">
        <v>132</v>
      </c>
      <c r="AH275" s="7" t="str">
        <f>IFERROR(__xludf.DUMMYFUNCTION("GOOGLETRANSLATE(C275, ""en"", ""tr"")"),"Gana")</f>
        <v>Gana</v>
      </c>
      <c r="AI275" s="6" t="s">
        <v>132</v>
      </c>
      <c r="AJ275" s="6" t="s">
        <v>132</v>
      </c>
      <c r="AK275" s="7" t="str">
        <f>IFERROR(__xludf.DUMMYFUNCTION("GOOGLETRANSLATE(C275, ""en"", ""zh"")"),"加纳")</f>
        <v>加纳</v>
      </c>
      <c r="AL275" s="6" t="s">
        <v>132</v>
      </c>
    </row>
    <row r="276" ht="15.75" customHeight="1">
      <c r="A276" s="1" t="s">
        <v>127</v>
      </c>
      <c r="B276" s="1" t="s">
        <v>6150</v>
      </c>
      <c r="C276" s="1" t="s">
        <v>6151</v>
      </c>
      <c r="D276" s="8" t="s">
        <v>6152</v>
      </c>
      <c r="E276" s="1" t="s">
        <v>6153</v>
      </c>
      <c r="F276" s="6" t="s">
        <v>132</v>
      </c>
      <c r="G276" s="1" t="s">
        <v>6154</v>
      </c>
      <c r="H276" s="1" t="s">
        <v>6155</v>
      </c>
      <c r="I276" s="1" t="s">
        <v>6156</v>
      </c>
      <c r="J276" s="6" t="s">
        <v>6157</v>
      </c>
      <c r="K276" s="1" t="s">
        <v>6158</v>
      </c>
      <c r="L276" s="1" t="s">
        <v>6159</v>
      </c>
      <c r="M276" s="1" t="s">
        <v>6160</v>
      </c>
      <c r="N276" s="6" t="s">
        <v>132</v>
      </c>
      <c r="O276" s="6" t="s">
        <v>6161</v>
      </c>
      <c r="P276" s="1" t="s">
        <v>6162</v>
      </c>
      <c r="Q276" s="1" t="s">
        <v>6163</v>
      </c>
      <c r="R276" s="1" t="s">
        <v>6164</v>
      </c>
      <c r="S276" s="10" t="s">
        <v>6165</v>
      </c>
      <c r="T276" s="1" t="s">
        <v>6166</v>
      </c>
      <c r="U276" s="1" t="s">
        <v>6167</v>
      </c>
      <c r="V276" s="1" t="s">
        <v>6168</v>
      </c>
      <c r="W276" s="1" t="s">
        <v>6169</v>
      </c>
      <c r="X276" s="1" t="s">
        <v>6170</v>
      </c>
      <c r="Y276" s="1" t="s">
        <v>6171</v>
      </c>
      <c r="Z276" s="1" t="s">
        <v>6172</v>
      </c>
      <c r="AA276" s="1" t="s">
        <v>6173</v>
      </c>
      <c r="AB276" s="1" t="s">
        <v>6174</v>
      </c>
      <c r="AC276" s="1" t="s">
        <v>6175</v>
      </c>
      <c r="AD276" s="6" t="s">
        <v>6176</v>
      </c>
      <c r="AE276" s="1" t="s">
        <v>6177</v>
      </c>
      <c r="AF276" s="1" t="s">
        <v>6178</v>
      </c>
      <c r="AG276" s="6" t="s">
        <v>6179</v>
      </c>
      <c r="AH276" s="1" t="s">
        <v>6180</v>
      </c>
      <c r="AI276" s="6" t="s">
        <v>132</v>
      </c>
      <c r="AJ276" s="6" t="s">
        <v>6181</v>
      </c>
      <c r="AK276" s="1" t="s">
        <v>6182</v>
      </c>
      <c r="AL276" s="6" t="s">
        <v>132</v>
      </c>
    </row>
    <row r="277" ht="15.75" customHeight="1">
      <c r="A277" s="1" t="s">
        <v>127</v>
      </c>
      <c r="B277" s="1" t="s">
        <v>6183</v>
      </c>
      <c r="C277" s="1" t="s">
        <v>6184</v>
      </c>
      <c r="D277" s="8" t="s">
        <v>6185</v>
      </c>
      <c r="E277" s="1" t="s">
        <v>6186</v>
      </c>
      <c r="F277" s="6" t="s">
        <v>132</v>
      </c>
      <c r="G277" s="1" t="s">
        <v>6187</v>
      </c>
      <c r="H277" s="1" t="s">
        <v>6188</v>
      </c>
      <c r="I277" s="1" t="s">
        <v>6184</v>
      </c>
      <c r="J277" s="6" t="s">
        <v>6189</v>
      </c>
      <c r="K277" s="1" t="s">
        <v>6190</v>
      </c>
      <c r="L277" s="1" t="s">
        <v>6191</v>
      </c>
      <c r="M277" s="1" t="s">
        <v>6184</v>
      </c>
      <c r="N277" s="6" t="s">
        <v>132</v>
      </c>
      <c r="O277" s="6" t="s">
        <v>6192</v>
      </c>
      <c r="P277" s="1" t="s">
        <v>6184</v>
      </c>
      <c r="Q277" s="1" t="s">
        <v>6193</v>
      </c>
      <c r="R277" s="1" t="s">
        <v>6184</v>
      </c>
      <c r="S277" s="10" t="s">
        <v>6194</v>
      </c>
      <c r="T277" s="1" t="s">
        <v>6195</v>
      </c>
      <c r="U277" s="1" t="s">
        <v>6196</v>
      </c>
      <c r="V277" s="1" t="s">
        <v>6193</v>
      </c>
      <c r="W277" s="1" t="s">
        <v>6197</v>
      </c>
      <c r="X277" s="1" t="s">
        <v>6198</v>
      </c>
      <c r="Y277" s="1" t="s">
        <v>6199</v>
      </c>
      <c r="Z277" s="1" t="s">
        <v>6200</v>
      </c>
      <c r="AA277" s="1" t="s">
        <v>6201</v>
      </c>
      <c r="AB277" s="1" t="s">
        <v>6202</v>
      </c>
      <c r="AC277" s="1" t="s">
        <v>6203</v>
      </c>
      <c r="AD277" s="6" t="s">
        <v>6184</v>
      </c>
      <c r="AE277" s="1" t="s">
        <v>6184</v>
      </c>
      <c r="AF277" s="1" t="s">
        <v>6204</v>
      </c>
      <c r="AG277" s="6" t="s">
        <v>6205</v>
      </c>
      <c r="AH277" s="1" t="s">
        <v>6206</v>
      </c>
      <c r="AI277" s="6" t="s">
        <v>132</v>
      </c>
      <c r="AJ277" s="6" t="s">
        <v>6207</v>
      </c>
      <c r="AK277" s="1" t="s">
        <v>6208</v>
      </c>
      <c r="AL277" s="6" t="s">
        <v>6209</v>
      </c>
    </row>
    <row r="278" ht="15.75" hidden="1" customHeight="1">
      <c r="A278" s="1" t="s">
        <v>38</v>
      </c>
      <c r="B278" s="1" t="s">
        <v>6210</v>
      </c>
      <c r="C278" s="1" t="s">
        <v>6211</v>
      </c>
      <c r="D278" s="8" t="s">
        <v>6212</v>
      </c>
      <c r="E278" s="1" t="s">
        <v>6213</v>
      </c>
      <c r="F278" s="6" t="s">
        <v>6214</v>
      </c>
      <c r="G278" s="7" t="str">
        <f>IFERROR(__xludf.DUMMYFUNCTION("GOOGLETRANSLATE(C278, ""en"", ""cs"")"),"Přiložit soubor")</f>
        <v>Přiložit soubor</v>
      </c>
      <c r="H278" s="7" t="str">
        <f>IFERROR(__xludf.DUMMYFUNCTION("GOOGLETRANSLATE(C278, ""en"", ""da"")"),"Vedhæft fil")</f>
        <v>Vedhæft fil</v>
      </c>
      <c r="I278" s="1" t="s">
        <v>6215</v>
      </c>
      <c r="J278" s="6" t="s">
        <v>132</v>
      </c>
      <c r="K278" s="1" t="s">
        <v>6216</v>
      </c>
      <c r="L278" s="7" t="str">
        <f>IFERROR(__xludf.DUMMYFUNCTION("GOOGLETRANSLATE(C278, ""en"", ""fi"")"),"Liitä tiedosto")</f>
        <v>Liitä tiedosto</v>
      </c>
      <c r="M278" s="1" t="s">
        <v>6217</v>
      </c>
      <c r="N278" s="6" t="s">
        <v>6218</v>
      </c>
      <c r="O278" s="6" t="s">
        <v>132</v>
      </c>
      <c r="P278" s="1" t="s">
        <v>6219</v>
      </c>
      <c r="Q278" s="9" t="s">
        <v>6220</v>
      </c>
      <c r="R278" s="1" t="s">
        <v>6221</v>
      </c>
      <c r="S278" s="6" t="s">
        <v>132</v>
      </c>
      <c r="T278" s="1" t="s">
        <v>6222</v>
      </c>
      <c r="U278" s="1" t="s">
        <v>6223</v>
      </c>
      <c r="V278" s="7" t="str">
        <f>IFERROR(__xludf.DUMMYFUNCTION("GOOGLETRANSLATE(C278, ""en"", ""ms"")"),"Melampirkan fail")</f>
        <v>Melampirkan fail</v>
      </c>
      <c r="W278" s="1" t="s">
        <v>6224</v>
      </c>
      <c r="X278" s="7" t="str">
        <f>IFERROR(__xludf.DUMMYFUNCTION("GOOGLETRANSLATE(C278, ""en"", ""no"")"),"Legg ved fil")</f>
        <v>Legg ved fil</v>
      </c>
      <c r="Y278" s="1" t="s">
        <v>6225</v>
      </c>
      <c r="Z278" s="1" t="s">
        <v>6226</v>
      </c>
      <c r="AA278" s="7" t="str">
        <f>IFERROR(__xludf.DUMMYFUNCTION("GOOGLETRANSLATE(C278, ""en"", ""ro"")"),"Ataseaza fisier")</f>
        <v>Ataseaza fisier</v>
      </c>
      <c r="AB278" s="1" t="s">
        <v>6227</v>
      </c>
      <c r="AC278" s="1" t="s">
        <v>6228</v>
      </c>
      <c r="AD278" s="6" t="s">
        <v>132</v>
      </c>
      <c r="AE278" s="1" t="s">
        <v>6229</v>
      </c>
      <c r="AF278" s="1" t="s">
        <v>6230</v>
      </c>
      <c r="AG278" s="6" t="s">
        <v>132</v>
      </c>
      <c r="AH278" s="7" t="str">
        <f>IFERROR(__xludf.DUMMYFUNCTION("GOOGLETRANSLATE(C278, ""en"", ""tr"")"),"Dosya eki")</f>
        <v>Dosya eki</v>
      </c>
      <c r="AI278" s="6" t="s">
        <v>6231</v>
      </c>
      <c r="AJ278" s="6" t="s">
        <v>6232</v>
      </c>
      <c r="AK278" s="7" t="str">
        <f>IFERROR(__xludf.DUMMYFUNCTION("GOOGLETRANSLATE(C278, ""en"", ""zh"")"),"附加文件")</f>
        <v>附加文件</v>
      </c>
      <c r="AL278" s="6" t="s">
        <v>6233</v>
      </c>
    </row>
    <row r="279" ht="15.75" hidden="1" customHeight="1">
      <c r="A279" s="1" t="s">
        <v>38</v>
      </c>
      <c r="B279" s="1" t="s">
        <v>6234</v>
      </c>
      <c r="C279" s="1" t="s">
        <v>6235</v>
      </c>
      <c r="D279" s="7" t="str">
        <f>IFERROR(__xludf.DUMMYFUNCTION("GOOGLETRANSLATE(C279, ""en"", ""ar"")"),"متصفح الوسائط")</f>
        <v>متصفح الوسائط</v>
      </c>
      <c r="E279" s="1" t="s">
        <v>6236</v>
      </c>
      <c r="F279" s="6" t="s">
        <v>132</v>
      </c>
      <c r="G279" s="7" t="str">
        <f>IFERROR(__xludf.DUMMYFUNCTION("GOOGLETRANSLATE(C279, ""en"", ""cs"")"),"Media Browser.")</f>
        <v>Media Browser.</v>
      </c>
      <c r="H279" s="7" t="str">
        <f>IFERROR(__xludf.DUMMYFUNCTION("GOOGLETRANSLATE(C279, ""en"", ""da"")"),"Media Browser.")</f>
        <v>Media Browser.</v>
      </c>
      <c r="I279" s="1" t="s">
        <v>6237</v>
      </c>
      <c r="J279" s="6" t="s">
        <v>132</v>
      </c>
      <c r="K279" s="1" t="s">
        <v>6238</v>
      </c>
      <c r="L279" s="7" t="str">
        <f>IFERROR(__xludf.DUMMYFUNCTION("GOOGLETRANSLATE(C279, ""en"", ""fi"")"),"Media-selain")</f>
        <v>Media-selain</v>
      </c>
      <c r="M279" s="1" t="s">
        <v>6239</v>
      </c>
      <c r="N279" s="6" t="s">
        <v>6240</v>
      </c>
      <c r="O279" s="6" t="s">
        <v>132</v>
      </c>
      <c r="P279" s="1" t="s">
        <v>6241</v>
      </c>
      <c r="Q279" s="7" t="str">
        <f>IFERROR(__xludf.DUMMYFUNCTION("GOOGLETRANSLATE(C279, ""en"", ""in"")"),"Peramban media")</f>
        <v>Peramban media</v>
      </c>
      <c r="R279" s="1" t="s">
        <v>6242</v>
      </c>
      <c r="S279" s="6" t="s">
        <v>132</v>
      </c>
      <c r="T279" s="7" t="str">
        <f>IFERROR(__xludf.DUMMYFUNCTION("GOOGLETRANSLATE(C279, ""en"", ""ja"")"),"メディアブラウザ")</f>
        <v>メディアブラウザ</v>
      </c>
      <c r="U279" s="7" t="str">
        <f>IFERROR(__xludf.DUMMYFUNCTION("GOOGLETRANSLATE(C279, ""en"", ""ko"")"),"미디어 브라우저")</f>
        <v>미디어 브라우저</v>
      </c>
      <c r="V279" s="7" t="str">
        <f>IFERROR(__xludf.DUMMYFUNCTION("GOOGLETRANSLATE(C279, ""en"", ""ms"")"),"Penyemak imbas media.")</f>
        <v>Penyemak imbas media.</v>
      </c>
      <c r="W279" s="1" t="s">
        <v>6243</v>
      </c>
      <c r="X279" s="7" t="str">
        <f>IFERROR(__xludf.DUMMYFUNCTION("GOOGLETRANSLATE(C279, ""en"", ""no"")"),"Media Browser.")</f>
        <v>Media Browser.</v>
      </c>
      <c r="Y279" s="1" t="s">
        <v>6244</v>
      </c>
      <c r="Z279" s="7" t="str">
        <f>IFERROR(__xludf.DUMMYFUNCTION("GOOGLETRANSLATE(C279, ""en"", ""pt"")"),"Navegador de mídia.")</f>
        <v>Navegador de mídia.</v>
      </c>
      <c r="AA279" s="7" t="str">
        <f>IFERROR(__xludf.DUMMYFUNCTION("GOOGLETRANSLATE(C279, ""en"", ""ro"")"),"Browserul media.")</f>
        <v>Browserul media.</v>
      </c>
      <c r="AB279" s="7" t="str">
        <f>IFERROR(__xludf.DUMMYFUNCTION("GOOGLETRANSLATE(C279, ""en"", ""ru"")"),"Media Browser")</f>
        <v>Media Browser</v>
      </c>
      <c r="AC279" s="7" t="str">
        <f>IFERROR(__xludf.DUMMYFUNCTION("GOOGLETRANSLATE(C279, ""en"", ""sk"")"),"Media Browser")</f>
        <v>Media Browser</v>
      </c>
      <c r="AD279" s="6" t="s">
        <v>132</v>
      </c>
      <c r="AE279" s="7" t="str">
        <f>IFERROR(__xludf.DUMMYFUNCTION("GOOGLETRANSLATE(C279, ""en"", ""sr"")"),"Медиа Бровсер")</f>
        <v>Медиа Бровсер</v>
      </c>
      <c r="AF279" s="7" t="str">
        <f>IFERROR(__xludf.DUMMYFUNCTION("GOOGLETRANSLATE(C279, ""en"", ""sv"")"),"Mediebläsare")</f>
        <v>Mediebläsare</v>
      </c>
      <c r="AG279" s="6" t="s">
        <v>132</v>
      </c>
      <c r="AH279" s="7" t="str">
        <f>IFERROR(__xludf.DUMMYFUNCTION("GOOGLETRANSLATE(C279, ""en"", ""tr"")"),"Medya Tarayıcısı")</f>
        <v>Medya Tarayıcısı</v>
      </c>
      <c r="AI279" s="6" t="s">
        <v>132</v>
      </c>
      <c r="AJ279" s="6" t="s">
        <v>132</v>
      </c>
      <c r="AK279" s="7" t="str">
        <f>IFERROR(__xludf.DUMMYFUNCTION("GOOGLETRANSLATE(C279, ""en"", ""zh"")"),"媒体浏览器")</f>
        <v>媒体浏览器</v>
      </c>
      <c r="AL279" s="6" t="s">
        <v>132</v>
      </c>
    </row>
    <row r="280" ht="15.75" hidden="1" customHeight="1">
      <c r="A280" s="1" t="s">
        <v>38</v>
      </c>
      <c r="B280" s="1" t="s">
        <v>6245</v>
      </c>
      <c r="C280" s="1" t="s">
        <v>6246</v>
      </c>
      <c r="D280" s="8" t="s">
        <v>6247</v>
      </c>
      <c r="E280" s="1" t="s">
        <v>6248</v>
      </c>
      <c r="F280" s="6" t="s">
        <v>6249</v>
      </c>
      <c r="G280" s="7" t="str">
        <f>IFERROR(__xludf.DUMMYFUNCTION("GOOGLETRANSLATE(C280, ""en"", ""cs"")"),"Offline.")</f>
        <v>Offline.</v>
      </c>
      <c r="H280" s="7" t="str">
        <f>IFERROR(__xludf.DUMMYFUNCTION("GOOGLETRANSLATE(C280, ""en"", ""da"")"),"Offline.")</f>
        <v>Offline.</v>
      </c>
      <c r="I280" s="1" t="s">
        <v>6246</v>
      </c>
      <c r="J280" s="6" t="s">
        <v>132</v>
      </c>
      <c r="K280" s="1" t="s">
        <v>6250</v>
      </c>
      <c r="L280" s="7" t="str">
        <f>IFERROR(__xludf.DUMMYFUNCTION("GOOGLETRANSLATE(C280, ""en"", ""fi"")"),"Offline")</f>
        <v>Offline</v>
      </c>
      <c r="M280" s="1" t="s">
        <v>6251</v>
      </c>
      <c r="N280" s="6" t="s">
        <v>6250</v>
      </c>
      <c r="O280" s="6" t="s">
        <v>132</v>
      </c>
      <c r="P280" s="1" t="s">
        <v>6252</v>
      </c>
      <c r="Q280" s="9" t="s">
        <v>6246</v>
      </c>
      <c r="R280" s="1" t="s">
        <v>6246</v>
      </c>
      <c r="S280" s="6" t="s">
        <v>132</v>
      </c>
      <c r="T280" s="1" t="s">
        <v>6253</v>
      </c>
      <c r="U280" s="1" t="s">
        <v>6254</v>
      </c>
      <c r="V280" s="7" t="str">
        <f>IFERROR(__xludf.DUMMYFUNCTION("GOOGLETRANSLATE(C280, ""en"", ""ms"")"),"Offline")</f>
        <v>Offline</v>
      </c>
      <c r="W280" s="1" t="s">
        <v>6246</v>
      </c>
      <c r="X280" s="7" t="str">
        <f>IFERROR(__xludf.DUMMYFUNCTION("GOOGLETRANSLATE(C280, ""en"", ""no"")"),"Offline.")</f>
        <v>Offline.</v>
      </c>
      <c r="Y280" s="1" t="s">
        <v>6255</v>
      </c>
      <c r="Z280" s="1" t="s">
        <v>6246</v>
      </c>
      <c r="AA280" s="7" t="str">
        <f>IFERROR(__xludf.DUMMYFUNCTION("GOOGLETRANSLATE(C280, ""en"", ""ro"")"),"Deconectat")</f>
        <v>Deconectat</v>
      </c>
      <c r="AB280" s="1" t="s">
        <v>6256</v>
      </c>
      <c r="AC280" s="1" t="s">
        <v>6246</v>
      </c>
      <c r="AD280" s="6" t="s">
        <v>132</v>
      </c>
      <c r="AE280" s="1" t="s">
        <v>6257</v>
      </c>
      <c r="AF280" s="1" t="s">
        <v>6246</v>
      </c>
      <c r="AG280" s="6" t="s">
        <v>132</v>
      </c>
      <c r="AH280" s="7" t="str">
        <f>IFERROR(__xludf.DUMMYFUNCTION("GOOGLETRANSLATE(C280, ""en"", ""tr"")"),"Çevrimdışı")</f>
        <v>Çevrimdışı</v>
      </c>
      <c r="AI280" s="6" t="s">
        <v>6258</v>
      </c>
      <c r="AJ280" s="6" t="s">
        <v>6259</v>
      </c>
      <c r="AK280" s="7" t="str">
        <f>IFERROR(__xludf.DUMMYFUNCTION("GOOGLETRANSLATE(C280, ""en"", ""zh"")"),"离线")</f>
        <v>离线</v>
      </c>
      <c r="AL280" s="6" t="s">
        <v>3943</v>
      </c>
    </row>
    <row r="281" ht="15.75" customHeight="1">
      <c r="A281" s="1" t="s">
        <v>127</v>
      </c>
      <c r="B281" s="1" t="s">
        <v>6260</v>
      </c>
      <c r="C281" s="1" t="s">
        <v>5447</v>
      </c>
      <c r="D281" s="8" t="s">
        <v>5448</v>
      </c>
      <c r="E281" s="1" t="s">
        <v>5449</v>
      </c>
      <c r="F281" s="6" t="s">
        <v>132</v>
      </c>
      <c r="G281" s="1" t="s">
        <v>5450</v>
      </c>
      <c r="H281" s="1" t="s">
        <v>5451</v>
      </c>
      <c r="I281" s="1" t="s">
        <v>5452</v>
      </c>
      <c r="J281" s="6" t="s">
        <v>5453</v>
      </c>
      <c r="K281" s="1" t="s">
        <v>5454</v>
      </c>
      <c r="L281" s="1" t="s">
        <v>5455</v>
      </c>
      <c r="M281" s="1" t="s">
        <v>5456</v>
      </c>
      <c r="N281" s="6" t="s">
        <v>132</v>
      </c>
      <c r="O281" s="6" t="s">
        <v>5457</v>
      </c>
      <c r="P281" s="1" t="s">
        <v>5458</v>
      </c>
      <c r="Q281" s="1" t="s">
        <v>5459</v>
      </c>
      <c r="R281" s="1" t="s">
        <v>5460</v>
      </c>
      <c r="S281" s="10" t="s">
        <v>6261</v>
      </c>
      <c r="T281" s="1" t="s">
        <v>5462</v>
      </c>
      <c r="U281" s="1" t="s">
        <v>5463</v>
      </c>
      <c r="V281" s="1" t="s">
        <v>5459</v>
      </c>
      <c r="W281" s="1" t="s">
        <v>5464</v>
      </c>
      <c r="X281" s="1" t="s">
        <v>5465</v>
      </c>
      <c r="Y281" s="1" t="s">
        <v>5466</v>
      </c>
      <c r="Z281" s="1" t="s">
        <v>5454</v>
      </c>
      <c r="AA281" s="1" t="s">
        <v>5467</v>
      </c>
      <c r="AB281" s="1" t="s">
        <v>5468</v>
      </c>
      <c r="AC281" s="1" t="s">
        <v>5469</v>
      </c>
      <c r="AD281" s="6" t="s">
        <v>5470</v>
      </c>
      <c r="AE281" s="1" t="s">
        <v>5471</v>
      </c>
      <c r="AF281" s="1" t="s">
        <v>5472</v>
      </c>
      <c r="AG281" s="6" t="s">
        <v>5473</v>
      </c>
      <c r="AH281" s="1" t="s">
        <v>6262</v>
      </c>
      <c r="AI281" s="6" t="s">
        <v>132</v>
      </c>
      <c r="AJ281" s="6" t="s">
        <v>5475</v>
      </c>
      <c r="AK281" s="1" t="s">
        <v>5476</v>
      </c>
      <c r="AL281" s="6" t="s">
        <v>5477</v>
      </c>
    </row>
    <row r="282" ht="15.75" customHeight="1">
      <c r="A282" s="1" t="s">
        <v>127</v>
      </c>
      <c r="B282" s="1" t="s">
        <v>6263</v>
      </c>
      <c r="C282" s="1" t="s">
        <v>6264</v>
      </c>
      <c r="D282" s="8" t="s">
        <v>6265</v>
      </c>
      <c r="E282" s="1" t="s">
        <v>6266</v>
      </c>
      <c r="F282" s="6" t="s">
        <v>132</v>
      </c>
      <c r="G282" s="1" t="s">
        <v>6267</v>
      </c>
      <c r="H282" s="1" t="s">
        <v>6264</v>
      </c>
      <c r="I282" s="1" t="s">
        <v>6264</v>
      </c>
      <c r="J282" s="6" t="s">
        <v>6264</v>
      </c>
      <c r="K282" s="1" t="s">
        <v>6268</v>
      </c>
      <c r="L282" s="1" t="s">
        <v>6264</v>
      </c>
      <c r="M282" s="1" t="s">
        <v>6264</v>
      </c>
      <c r="N282" s="6" t="s">
        <v>132</v>
      </c>
      <c r="O282" s="6" t="s">
        <v>6269</v>
      </c>
      <c r="P282" s="1" t="s">
        <v>6264</v>
      </c>
      <c r="Q282" s="1" t="s">
        <v>6270</v>
      </c>
      <c r="R282" s="1" t="s">
        <v>6264</v>
      </c>
      <c r="S282" s="10" t="s">
        <v>1709</v>
      </c>
      <c r="T282" s="1" t="s">
        <v>6271</v>
      </c>
      <c r="U282" s="1" t="s">
        <v>6272</v>
      </c>
      <c r="V282" s="1" t="s">
        <v>6270</v>
      </c>
      <c r="W282" s="1" t="s">
        <v>6264</v>
      </c>
      <c r="X282" s="1" t="s">
        <v>6273</v>
      </c>
      <c r="Y282" s="1" t="s">
        <v>6264</v>
      </c>
      <c r="Z282" s="1" t="s">
        <v>6264</v>
      </c>
      <c r="AA282" s="1" t="s">
        <v>6264</v>
      </c>
      <c r="AB282" s="1" t="s">
        <v>6266</v>
      </c>
      <c r="AC282" s="1" t="s">
        <v>6274</v>
      </c>
      <c r="AD282" s="6" t="s">
        <v>6275</v>
      </c>
      <c r="AE282" s="1" t="s">
        <v>6264</v>
      </c>
      <c r="AF282" s="1" t="s">
        <v>6276</v>
      </c>
      <c r="AG282" s="6" t="s">
        <v>6277</v>
      </c>
      <c r="AH282" s="1" t="s">
        <v>6278</v>
      </c>
      <c r="AI282" s="6" t="s">
        <v>132</v>
      </c>
      <c r="AJ282" s="6" t="s">
        <v>6279</v>
      </c>
      <c r="AK282" s="1" t="s">
        <v>6280</v>
      </c>
      <c r="AL282" s="6" t="s">
        <v>6281</v>
      </c>
    </row>
    <row r="283" ht="15.75" customHeight="1">
      <c r="A283" s="1" t="s">
        <v>127</v>
      </c>
      <c r="B283" s="1" t="s">
        <v>6282</v>
      </c>
      <c r="C283" s="1" t="s">
        <v>6283</v>
      </c>
      <c r="D283" s="8" t="s">
        <v>6284</v>
      </c>
      <c r="E283" s="1" t="s">
        <v>6285</v>
      </c>
      <c r="F283" s="6" t="s">
        <v>132</v>
      </c>
      <c r="G283" s="1" t="s">
        <v>6286</v>
      </c>
      <c r="H283" s="1" t="s">
        <v>6287</v>
      </c>
      <c r="I283" s="1" t="s">
        <v>6288</v>
      </c>
      <c r="J283" s="6" t="s">
        <v>6289</v>
      </c>
      <c r="K283" s="1" t="s">
        <v>6290</v>
      </c>
      <c r="L283" s="1" t="s">
        <v>6291</v>
      </c>
      <c r="M283" s="1" t="s">
        <v>6292</v>
      </c>
      <c r="N283" s="6" t="s">
        <v>132</v>
      </c>
      <c r="O283" s="6" t="s">
        <v>6293</v>
      </c>
      <c r="P283" s="1" t="s">
        <v>6294</v>
      </c>
      <c r="Q283" s="1" t="s">
        <v>6295</v>
      </c>
      <c r="R283" s="1" t="s">
        <v>6296</v>
      </c>
      <c r="S283" s="10" t="s">
        <v>6297</v>
      </c>
      <c r="T283" s="1" t="s">
        <v>6298</v>
      </c>
      <c r="U283" s="1" t="s">
        <v>6299</v>
      </c>
      <c r="V283" s="1" t="s">
        <v>6300</v>
      </c>
      <c r="W283" s="1" t="s">
        <v>6301</v>
      </c>
      <c r="X283" s="1" t="s">
        <v>6302</v>
      </c>
      <c r="Y283" s="1" t="s">
        <v>6303</v>
      </c>
      <c r="Z283" s="1" t="s">
        <v>6304</v>
      </c>
      <c r="AA283" s="1" t="s">
        <v>6305</v>
      </c>
      <c r="AB283" s="1" t="s">
        <v>6306</v>
      </c>
      <c r="AC283" s="1" t="s">
        <v>6307</v>
      </c>
      <c r="AD283" s="6" t="s">
        <v>6283</v>
      </c>
      <c r="AE283" s="1" t="s">
        <v>6308</v>
      </c>
      <c r="AF283" s="1" t="s">
        <v>6309</v>
      </c>
      <c r="AG283" s="6" t="s">
        <v>6310</v>
      </c>
      <c r="AH283" s="1" t="s">
        <v>6311</v>
      </c>
      <c r="AI283" s="6" t="s">
        <v>132</v>
      </c>
      <c r="AJ283" s="6" t="s">
        <v>6312</v>
      </c>
      <c r="AK283" s="1" t="s">
        <v>6313</v>
      </c>
      <c r="AL283" s="6" t="s">
        <v>6314</v>
      </c>
    </row>
    <row r="284" ht="15.75" hidden="1" customHeight="1">
      <c r="A284" s="1" t="s">
        <v>38</v>
      </c>
      <c r="B284" s="1" t="s">
        <v>6315</v>
      </c>
      <c r="C284" s="1" t="s">
        <v>6316</v>
      </c>
      <c r="D284" s="7" t="str">
        <f>IFERROR(__xludf.DUMMYFUNCTION("GOOGLETRANSLATE(C284, ""en"", ""ar"")"),"اسم الشهرة")</f>
        <v>اسم الشهرة</v>
      </c>
      <c r="E284" s="1" t="s">
        <v>6317</v>
      </c>
      <c r="F284" s="6" t="s">
        <v>6318</v>
      </c>
      <c r="G284" s="7" t="str">
        <f>IFERROR(__xludf.DUMMYFUNCTION("GOOGLETRANSLATE(C284, ""en"", ""cs"")"),"Přezdívka")</f>
        <v>Přezdívka</v>
      </c>
      <c r="H284" s="7" t="str">
        <f>IFERROR(__xludf.DUMMYFUNCTION("GOOGLETRANSLATE(C284, ""en"", ""da"")"),"Kaldenavn")</f>
        <v>Kaldenavn</v>
      </c>
      <c r="I284" s="1" t="s">
        <v>6316</v>
      </c>
      <c r="J284" s="6" t="s">
        <v>132</v>
      </c>
      <c r="K284" s="1" t="s">
        <v>6319</v>
      </c>
      <c r="L284" s="7" t="str">
        <f>IFERROR(__xludf.DUMMYFUNCTION("GOOGLETRANSLATE(C284, ""en"", ""fi"")"),"Nimimerkki")</f>
        <v>Nimimerkki</v>
      </c>
      <c r="M284" s="1" t="s">
        <v>6320</v>
      </c>
      <c r="N284" s="6" t="s">
        <v>6321</v>
      </c>
      <c r="O284" s="6" t="s">
        <v>132</v>
      </c>
      <c r="P284" s="1" t="s">
        <v>6322</v>
      </c>
      <c r="Q284" s="7" t="str">
        <f>IFERROR(__xludf.DUMMYFUNCTION("GOOGLETRANSLATE(C284, ""en"", ""in"")"),"Nama panggilan")</f>
        <v>Nama panggilan</v>
      </c>
      <c r="R284" s="1" t="s">
        <v>6323</v>
      </c>
      <c r="S284" s="6" t="s">
        <v>132</v>
      </c>
      <c r="T284" s="7" t="str">
        <f>IFERROR(__xludf.DUMMYFUNCTION("GOOGLETRANSLATE(C284, ""en"", ""ja"")"),"ニックネーム")</f>
        <v>ニックネーム</v>
      </c>
      <c r="U284" s="7" t="str">
        <f>IFERROR(__xludf.DUMMYFUNCTION("GOOGLETRANSLATE(C284, ""en"", ""ko"")"),"별명")</f>
        <v>별명</v>
      </c>
      <c r="V284" s="7" t="str">
        <f>IFERROR(__xludf.DUMMYFUNCTION("GOOGLETRANSLATE(C284, ""en"", ""ms"")"),"Nama samaran")</f>
        <v>Nama samaran</v>
      </c>
      <c r="W284" s="1" t="s">
        <v>6324</v>
      </c>
      <c r="X284" s="7" t="str">
        <f>IFERROR(__xludf.DUMMYFUNCTION("GOOGLETRANSLATE(C284, ""en"", ""no"")"),"Kallenavn")</f>
        <v>Kallenavn</v>
      </c>
      <c r="Y284" s="1" t="s">
        <v>6325</v>
      </c>
      <c r="Z284" s="7" t="str">
        <f>IFERROR(__xludf.DUMMYFUNCTION("GOOGLETRANSLATE(C284, ""en"", ""pt"")"),"Apelido")</f>
        <v>Apelido</v>
      </c>
      <c r="AA284" s="7" t="str">
        <f>IFERROR(__xludf.DUMMYFUNCTION("GOOGLETRANSLATE(C284, ""en"", ""ro"")"),"Poreclă")</f>
        <v>Poreclă</v>
      </c>
      <c r="AB284" s="7" t="str">
        <f>IFERROR(__xludf.DUMMYFUNCTION("GOOGLETRANSLATE(C284, ""en"", ""ru"")"),"Прозвище")</f>
        <v>Прозвище</v>
      </c>
      <c r="AC284" s="7" t="str">
        <f>IFERROR(__xludf.DUMMYFUNCTION("GOOGLETRANSLATE(C284, ""en"", ""sk"")"),"Prezývka")</f>
        <v>Prezývka</v>
      </c>
      <c r="AD284" s="6" t="s">
        <v>132</v>
      </c>
      <c r="AE284" s="1" t="s">
        <v>6326</v>
      </c>
      <c r="AF284" s="7" t="str">
        <f>IFERROR(__xludf.DUMMYFUNCTION("GOOGLETRANSLATE(C284, ""en"", ""sv"")"),"Smeknamn")</f>
        <v>Smeknamn</v>
      </c>
      <c r="AG284" s="6" t="s">
        <v>132</v>
      </c>
      <c r="AH284" s="7" t="str">
        <f>IFERROR(__xludf.DUMMYFUNCTION("GOOGLETRANSLATE(C284, ""en"", ""tr"")"),"Takma ad")</f>
        <v>Takma ad</v>
      </c>
      <c r="AI284" s="6" t="s">
        <v>132</v>
      </c>
      <c r="AJ284" s="6" t="s">
        <v>132</v>
      </c>
      <c r="AK284" s="7" t="str">
        <f>IFERROR(__xludf.DUMMYFUNCTION("GOOGLETRANSLATE(C284, ""en"", ""zh"")"),"昵称")</f>
        <v>昵称</v>
      </c>
      <c r="AL284" s="6" t="s">
        <v>132</v>
      </c>
    </row>
    <row r="285" ht="15.75" hidden="1" customHeight="1">
      <c r="A285" s="1" t="s">
        <v>38</v>
      </c>
      <c r="B285" s="1" t="s">
        <v>6327</v>
      </c>
      <c r="C285" s="1" t="s">
        <v>6328</v>
      </c>
      <c r="D285" s="8" t="s">
        <v>6329</v>
      </c>
      <c r="E285" s="1" t="s">
        <v>6330</v>
      </c>
      <c r="F285" s="6" t="s">
        <v>6331</v>
      </c>
      <c r="G285" s="7" t="str">
        <f>IFERROR(__xludf.DUMMYFUNCTION("GOOGLETRANSLATE(C285, ""en"", ""cs"")"),"Zobrazit chybovou zprávu")</f>
        <v>Zobrazit chybovou zprávu</v>
      </c>
      <c r="H285" s="7" t="str">
        <f>IFERROR(__xludf.DUMMYFUNCTION("GOOGLETRANSLATE(C285, ""en"", ""da"")"),"Vis fejlmeddelelse")</f>
        <v>Vis fejlmeddelelse</v>
      </c>
      <c r="I285" s="1" t="s">
        <v>6332</v>
      </c>
      <c r="J285" s="6" t="s">
        <v>132</v>
      </c>
      <c r="K285" s="1" t="s">
        <v>6333</v>
      </c>
      <c r="L285" s="7" t="str">
        <f>IFERROR(__xludf.DUMMYFUNCTION("GOOGLETRANSLATE(C285, ""en"", ""fi"")"),"Näytä virheilmoitus")</f>
        <v>Näytä virheilmoitus</v>
      </c>
      <c r="M285" s="1" t="s">
        <v>6334</v>
      </c>
      <c r="N285" s="6" t="s">
        <v>6335</v>
      </c>
      <c r="O285" s="6" t="s">
        <v>132</v>
      </c>
      <c r="P285" s="1" t="s">
        <v>6336</v>
      </c>
      <c r="Q285" s="7" t="str">
        <f>IFERROR(__xludf.DUMMYFUNCTION("GOOGLETRANSLATE(C285, ""en"", ""in"")"),"Tampilkan Pesan Kesalahan")</f>
        <v>Tampilkan Pesan Kesalahan</v>
      </c>
      <c r="R285" s="1" t="s">
        <v>6337</v>
      </c>
      <c r="S285" s="6" t="s">
        <v>132</v>
      </c>
      <c r="T285" s="1" t="s">
        <v>6338</v>
      </c>
      <c r="U285" s="1" t="s">
        <v>6339</v>
      </c>
      <c r="V285" s="7" t="str">
        <f>IFERROR(__xludf.DUMMYFUNCTION("GOOGLETRANSLATE(C285, ""en"", ""ms"")"),"Tunjukkan mesej ralat")</f>
        <v>Tunjukkan mesej ralat</v>
      </c>
      <c r="W285" s="1" t="s">
        <v>6340</v>
      </c>
      <c r="X285" s="7" t="str">
        <f>IFERROR(__xludf.DUMMYFUNCTION("GOOGLETRANSLATE(C285, ""en"", ""no"")"),"Vis feilmelding")</f>
        <v>Vis feilmelding</v>
      </c>
      <c r="Y285" s="1" t="s">
        <v>6341</v>
      </c>
      <c r="Z285" s="1" t="s">
        <v>6342</v>
      </c>
      <c r="AA285" s="7" t="str">
        <f>IFERROR(__xludf.DUMMYFUNCTION("GOOGLETRANSLATE(C285, ""en"", ""ro"")"),"Afișați mesajul de eroare")</f>
        <v>Afișați mesajul de eroare</v>
      </c>
      <c r="AB285" s="1" t="s">
        <v>6343</v>
      </c>
      <c r="AC285" s="7" t="str">
        <f>IFERROR(__xludf.DUMMYFUNCTION("GOOGLETRANSLATE(C285, ""en"", ""sk"")"),"Zobraziť chybové hlásenie")</f>
        <v>Zobraziť chybové hlásenie</v>
      </c>
      <c r="AD285" s="6" t="s">
        <v>132</v>
      </c>
      <c r="AE285" s="1" t="s">
        <v>6344</v>
      </c>
      <c r="AF285" s="1" t="s">
        <v>6345</v>
      </c>
      <c r="AG285" s="6" t="s">
        <v>132</v>
      </c>
      <c r="AH285" s="7" t="str">
        <f>IFERROR(__xludf.DUMMYFUNCTION("GOOGLETRANSLATE(C285, ""en"", ""tr"")"),"Hata mesajını göster")</f>
        <v>Hata mesajını göster</v>
      </c>
      <c r="AI285" s="6" t="s">
        <v>6346</v>
      </c>
      <c r="AJ285" s="6" t="s">
        <v>132</v>
      </c>
      <c r="AK285" s="7" t="str">
        <f>IFERROR(__xludf.DUMMYFUNCTION("GOOGLETRANSLATE(C285, ""en"", ""zh"")"),"显示错误消息")</f>
        <v>显示错误消息</v>
      </c>
      <c r="AL285" s="6" t="s">
        <v>6347</v>
      </c>
    </row>
    <row r="286" ht="15.75" hidden="1" customHeight="1">
      <c r="A286" s="1" t="s">
        <v>38</v>
      </c>
      <c r="B286" s="1" t="s">
        <v>6348</v>
      </c>
      <c r="C286" s="1" t="s">
        <v>6349</v>
      </c>
      <c r="D286" s="7" t="str">
        <f>IFERROR(__xludf.DUMMYFUNCTION("GOOGLETRANSLATE(C286, ""en"", ""ar"")"),"سيريلانكا")</f>
        <v>سيريلانكا</v>
      </c>
      <c r="E286" s="7" t="str">
        <f>IFERROR(__xludf.DUMMYFUNCTION("GOOGLETRANSLATE(C286, ""en"", ""bg"")"),"Шри Ланка")</f>
        <v>Шри Ланка</v>
      </c>
      <c r="F286" s="6" t="s">
        <v>132</v>
      </c>
      <c r="G286" s="7" t="str">
        <f>IFERROR(__xludf.DUMMYFUNCTION("GOOGLETRANSLATE(C286, ""en"", ""cs"")"),"Srí Lanka")</f>
        <v>Srí Lanka</v>
      </c>
      <c r="H286" s="7" t="str">
        <f>IFERROR(__xludf.DUMMYFUNCTION("GOOGLETRANSLATE(C286, ""en"", ""da"")"),"Sri Lanka.")</f>
        <v>Sri Lanka.</v>
      </c>
      <c r="I286" s="1" t="s">
        <v>6349</v>
      </c>
      <c r="J286" s="6" t="s">
        <v>132</v>
      </c>
      <c r="K286" s="1" t="s">
        <v>6349</v>
      </c>
      <c r="L286" s="7" t="str">
        <f>IFERROR(__xludf.DUMMYFUNCTION("GOOGLETRANSLATE(C286, ""en"", ""fi"")"),"Sri Lanka")</f>
        <v>Sri Lanka</v>
      </c>
      <c r="M286" s="1" t="s">
        <v>6349</v>
      </c>
      <c r="N286" s="6" t="s">
        <v>132</v>
      </c>
      <c r="O286" s="6" t="s">
        <v>132</v>
      </c>
      <c r="P286" s="1" t="s">
        <v>6349</v>
      </c>
      <c r="Q286" s="7" t="str">
        <f>IFERROR(__xludf.DUMMYFUNCTION("GOOGLETRANSLATE(C286, ""en"", ""in"")"),"Srilanka")</f>
        <v>Srilanka</v>
      </c>
      <c r="R286" s="7" t="str">
        <f>IFERROR(__xludf.DUMMYFUNCTION("GOOGLETRANSLATE(C286, ""en"", ""it"")"),"Sri Lanka")</f>
        <v>Sri Lanka</v>
      </c>
      <c r="S286" s="6" t="s">
        <v>132</v>
      </c>
      <c r="T286" s="7" t="str">
        <f>IFERROR(__xludf.DUMMYFUNCTION("GOOGLETRANSLATE(C286, ""en"", ""ja"")"),"スリランカ")</f>
        <v>スリランカ</v>
      </c>
      <c r="U286" s="7" t="str">
        <f>IFERROR(__xludf.DUMMYFUNCTION("GOOGLETRANSLATE(C286, ""en"", ""ko"")"),"스리랑카")</f>
        <v>스리랑카</v>
      </c>
      <c r="V286" s="7" t="str">
        <f>IFERROR(__xludf.DUMMYFUNCTION("GOOGLETRANSLATE(C286, ""en"", ""ms"")"),"Sri Lanka.")</f>
        <v>Sri Lanka.</v>
      </c>
      <c r="W286" s="7" t="str">
        <f>IFERROR(__xludf.DUMMYFUNCTION("GOOGLETRANSLATE(C286, ""en"", ""nl"")"),"Sri Lanka")</f>
        <v>Sri Lanka</v>
      </c>
      <c r="X286" s="7" t="str">
        <f>IFERROR(__xludf.DUMMYFUNCTION("GOOGLETRANSLATE(C286, ""en"", ""no"")"),"Sri Lanka.")</f>
        <v>Sri Lanka.</v>
      </c>
      <c r="Y286" s="7" t="str">
        <f>IFERROR(__xludf.DUMMYFUNCTION("GOOGLETRANSLATE(C286, ""en"", ""pl"")"),"Sri Lanka")</f>
        <v>Sri Lanka</v>
      </c>
      <c r="Z286" s="7" t="str">
        <f>IFERROR(__xludf.DUMMYFUNCTION("GOOGLETRANSLATE(C286, ""en"", ""pt"")"),"Sri Lanka")</f>
        <v>Sri Lanka</v>
      </c>
      <c r="AA286" s="7" t="str">
        <f>IFERROR(__xludf.DUMMYFUNCTION("GOOGLETRANSLATE(C286, ""en"", ""ro"")"),"Sri Lanka.")</f>
        <v>Sri Lanka.</v>
      </c>
      <c r="AB286" s="1" t="s">
        <v>6350</v>
      </c>
      <c r="AC286" s="7" t="str">
        <f>IFERROR(__xludf.DUMMYFUNCTION("GOOGLETRANSLATE(C286, ""en"", ""sk"")"),"Srí Lanka")</f>
        <v>Srí Lanka</v>
      </c>
      <c r="AD286" s="6" t="s">
        <v>132</v>
      </c>
      <c r="AE286" s="1" t="s">
        <v>6351</v>
      </c>
      <c r="AF286" s="7" t="str">
        <f>IFERROR(__xludf.DUMMYFUNCTION("GOOGLETRANSLATE(C286, ""en"", ""sv"")"),"Sri Lanka")</f>
        <v>Sri Lanka</v>
      </c>
      <c r="AG286" s="6" t="s">
        <v>132</v>
      </c>
      <c r="AH286" s="7" t="str">
        <f>IFERROR(__xludf.DUMMYFUNCTION("GOOGLETRANSLATE(C286, ""en"", ""tr"")"),"Sri Lanka")</f>
        <v>Sri Lanka</v>
      </c>
      <c r="AI286" s="6" t="s">
        <v>132</v>
      </c>
      <c r="AJ286" s="6" t="s">
        <v>132</v>
      </c>
      <c r="AK286" s="7" t="str">
        <f>IFERROR(__xludf.DUMMYFUNCTION("GOOGLETRANSLATE(C286, ""en"", ""zh"")"),"斯里兰卡")</f>
        <v>斯里兰卡</v>
      </c>
      <c r="AL286" s="6" t="s">
        <v>132</v>
      </c>
    </row>
    <row r="287" ht="15.75" hidden="1" customHeight="1">
      <c r="A287" s="1" t="s">
        <v>38</v>
      </c>
      <c r="B287" s="1" t="s">
        <v>6352</v>
      </c>
      <c r="C287" s="1" t="s">
        <v>6353</v>
      </c>
      <c r="D287" s="7" t="str">
        <f>IFERROR(__xludf.DUMMYFUNCTION("GOOGLETRANSLATE(C287, ""en"", ""ar"")"),"وقد انضم في الباحة الدردشة!")</f>
        <v>وقد انضم في الباحة الدردشة!</v>
      </c>
      <c r="E287" s="7" t="str">
        <f>IFERROR(__xludf.DUMMYFUNCTION("GOOGLETRANSLATE(C287, ""en"", ""bg"")"),"се присъедини към чата на Баха!")</f>
        <v>се присъедини към чата на Баха!</v>
      </c>
      <c r="F287" s="6" t="s">
        <v>132</v>
      </c>
      <c r="G287" s="7" t="str">
        <f>IFERROR(__xludf.DUMMYFUNCTION("GOOGLETRANSLATE(C287, ""en"", ""cs"")"),"Připojil se k baha chatu!")</f>
        <v>Připojil se k baha chatu!</v>
      </c>
      <c r="H287" s="7" t="str">
        <f>IFERROR(__xludf.DUMMYFUNCTION("GOOGLETRANSLATE(C287, ""en"", ""da"")"),"har sluttet sig til Baha Chat!")</f>
        <v>har sluttet sig til Baha Chat!</v>
      </c>
      <c r="I287" s="1" t="s">
        <v>6354</v>
      </c>
      <c r="J287" s="6" t="s">
        <v>132</v>
      </c>
      <c r="K287" s="1" t="s">
        <v>6355</v>
      </c>
      <c r="L287" s="7" t="str">
        <f>IFERROR(__xludf.DUMMYFUNCTION("GOOGLETRANSLATE(C287, ""en"", ""fi"")"),"on liittynyt Baha Chat!")</f>
        <v>on liittynyt Baha Chat!</v>
      </c>
      <c r="M287" s="1" t="s">
        <v>6356</v>
      </c>
      <c r="N287" s="6" t="s">
        <v>132</v>
      </c>
      <c r="O287" s="6" t="s">
        <v>132</v>
      </c>
      <c r="P287" s="1" t="s">
        <v>6357</v>
      </c>
      <c r="Q287" s="7" t="str">
        <f>IFERROR(__xludf.DUMMYFUNCTION("GOOGLETRANSLATE(C287, ""en"", ""in"")"),"telah bergabung dengan Baha Chat!")</f>
        <v>telah bergabung dengan Baha Chat!</v>
      </c>
      <c r="R287" s="7" t="str">
        <f>IFERROR(__xludf.DUMMYFUNCTION("GOOGLETRANSLATE(C287, ""en"", ""it"")"),"Ha aderito a Baha Chat!")</f>
        <v>Ha aderito a Baha Chat!</v>
      </c>
      <c r="S287" s="6" t="s">
        <v>132</v>
      </c>
      <c r="T287" s="7" t="str">
        <f>IFERROR(__xludf.DUMMYFUNCTION("GOOGLETRANSLATE(C287, ""en"", ""ja"")"),"バハチャットに参加しました！")</f>
        <v>バハチャットに参加しました！</v>
      </c>
      <c r="U287" s="7" t="str">
        <f>IFERROR(__xludf.DUMMYFUNCTION("GOOGLETRANSLATE(C287, ""en"", ""ko"")"),"바하 채팅에 가입했습니다!")</f>
        <v>바하 채팅에 가입했습니다!</v>
      </c>
      <c r="V287" s="7" t="str">
        <f>IFERROR(__xludf.DUMMYFUNCTION("GOOGLETRANSLATE(C287, ""en"", ""ms"")"),"telah menyertai Baha Chat!")</f>
        <v>telah menyertai Baha Chat!</v>
      </c>
      <c r="W287" s="7" t="str">
        <f>IFERROR(__xludf.DUMMYFUNCTION("GOOGLETRANSLATE(C287, ""en"", ""nl"")"),"is toegetreden tot Baha Chat!")</f>
        <v>is toegetreden tot Baha Chat!</v>
      </c>
      <c r="X287" s="7" t="str">
        <f>IFERROR(__xludf.DUMMYFUNCTION("GOOGLETRANSLATE(C287, ""en"", ""no"")"),"har sluttet seg til Baha Chat!")</f>
        <v>har sluttet seg til Baha Chat!</v>
      </c>
      <c r="Y287" s="7" t="str">
        <f>IFERROR(__xludf.DUMMYFUNCTION("GOOGLETRANSLATE(C287, ""en"", ""pl"")"),"Dołączył do czatu Bhaha!")</f>
        <v>Dołączył do czatu Bhaha!</v>
      </c>
      <c r="Z287" s="7" t="str">
        <f>IFERROR(__xludf.DUMMYFUNCTION("GOOGLETRANSLATE(C287, ""en"", ""pt"")"),"juntou-se a Baha Chat!")</f>
        <v>juntou-se a Baha Chat!</v>
      </c>
      <c r="AA287" s="7" t="str">
        <f>IFERROR(__xludf.DUMMYFUNCTION("GOOGLETRANSLATE(C287, ""en"", ""ro"")"),"sa alăturat chat-ului Baha!")</f>
        <v>sa alăturat chat-ului Baha!</v>
      </c>
      <c r="AB287" s="1" t="s">
        <v>6358</v>
      </c>
      <c r="AC287" s="7" t="str">
        <f>IFERROR(__xludf.DUMMYFUNCTION("GOOGLETRANSLATE(C287, ""en"", ""sk"")"),"sa pripojil k chatu Baha!")</f>
        <v>sa pripojil k chatu Baha!</v>
      </c>
      <c r="AD287" s="6" t="s">
        <v>132</v>
      </c>
      <c r="AE287" s="1" t="s">
        <v>6359</v>
      </c>
      <c r="AF287" s="7" t="str">
        <f>IFERROR(__xludf.DUMMYFUNCTION("GOOGLETRANSLATE(C287, ""en"", ""sv"")"),"Har gått med i Baha Chat!")</f>
        <v>Har gått med i Baha Chat!</v>
      </c>
      <c r="AG287" s="6" t="s">
        <v>132</v>
      </c>
      <c r="AH287" s="13" t="s">
        <v>6360</v>
      </c>
      <c r="AI287" s="6" t="s">
        <v>132</v>
      </c>
      <c r="AJ287" s="6" t="s">
        <v>132</v>
      </c>
      <c r="AK287" s="7" t="str">
        <f>IFERROR(__xludf.DUMMYFUNCTION("GOOGLETRANSLATE(C287, ""en"", ""zh"")"),"加入了巴哈聊天！")</f>
        <v>加入了巴哈聊天！</v>
      </c>
      <c r="AL287" s="6" t="s">
        <v>132</v>
      </c>
    </row>
    <row r="288" ht="15.75" hidden="1" customHeight="1">
      <c r="A288" s="1" t="s">
        <v>38</v>
      </c>
      <c r="B288" s="1" t="s">
        <v>6361</v>
      </c>
      <c r="C288" s="1" t="s">
        <v>6362</v>
      </c>
      <c r="D288" s="7" t="str">
        <f>IFERROR(__xludf.DUMMYFUNCTION("GOOGLETRANSLATE(C288, ""en"", ""ar"")"),"مالي")</f>
        <v>مالي</v>
      </c>
      <c r="E288" s="7" t="str">
        <f>IFERROR(__xludf.DUMMYFUNCTION("GOOGLETRANSLATE(C288, ""en"", ""bg"")"),"Мали")</f>
        <v>Мали</v>
      </c>
      <c r="F288" s="6" t="s">
        <v>132</v>
      </c>
      <c r="G288" s="7" t="str">
        <f>IFERROR(__xludf.DUMMYFUNCTION("GOOGLETRANSLATE(C288, ""en"", ""cs"")"),"Mali.")</f>
        <v>Mali.</v>
      </c>
      <c r="H288" s="7" t="str">
        <f>IFERROR(__xludf.DUMMYFUNCTION("GOOGLETRANSLATE(C288, ""en"", ""da"")"),"Mali.")</f>
        <v>Mali.</v>
      </c>
      <c r="I288" s="1" t="s">
        <v>6362</v>
      </c>
      <c r="J288" s="6" t="s">
        <v>132</v>
      </c>
      <c r="K288" s="1" t="s">
        <v>6362</v>
      </c>
      <c r="L288" s="7" t="str">
        <f>IFERROR(__xludf.DUMMYFUNCTION("GOOGLETRANSLATE(C288, ""en"", ""fi"")"),"Mali")</f>
        <v>Mali</v>
      </c>
      <c r="M288" s="1" t="s">
        <v>6362</v>
      </c>
      <c r="N288" s="6" t="s">
        <v>132</v>
      </c>
      <c r="O288" s="6" t="s">
        <v>132</v>
      </c>
      <c r="P288" s="1" t="s">
        <v>6362</v>
      </c>
      <c r="Q288" s="7" t="str">
        <f>IFERROR(__xludf.DUMMYFUNCTION("GOOGLETRANSLATE(C288, ""en"", ""in"")"),"Mali")</f>
        <v>Mali</v>
      </c>
      <c r="R288" s="7" t="str">
        <f>IFERROR(__xludf.DUMMYFUNCTION("GOOGLETRANSLATE(C288, ""en"", ""it"")"),"Mali.")</f>
        <v>Mali.</v>
      </c>
      <c r="S288" s="6" t="s">
        <v>132</v>
      </c>
      <c r="T288" s="7" t="str">
        <f>IFERROR(__xludf.DUMMYFUNCTION("GOOGLETRANSLATE(C288, ""en"", ""ja"")"),"mal")</f>
        <v>mal</v>
      </c>
      <c r="U288" s="7" t="str">
        <f>IFERROR(__xludf.DUMMYFUNCTION("GOOGLETRANSLATE(C288, ""en"", ""ko"")"),"말리")</f>
        <v>말리</v>
      </c>
      <c r="V288" s="7" t="str">
        <f>IFERROR(__xludf.DUMMYFUNCTION("GOOGLETRANSLATE(C288, ""en"", ""ms"")"),"Mali")</f>
        <v>Mali</v>
      </c>
      <c r="W288" s="7" t="str">
        <f>IFERROR(__xludf.DUMMYFUNCTION("GOOGLETRANSLATE(C288, ""en"", ""nl"")"),"Mali")</f>
        <v>Mali</v>
      </c>
      <c r="X288" s="7" t="str">
        <f>IFERROR(__xludf.DUMMYFUNCTION("GOOGLETRANSLATE(C288, ""en"", ""no"")"),"Mali.")</f>
        <v>Mali.</v>
      </c>
      <c r="Y288" s="7" t="str">
        <f>IFERROR(__xludf.DUMMYFUNCTION("GOOGLETRANSLATE(C288, ""en"", ""pl"")"),"Mali.")</f>
        <v>Mali.</v>
      </c>
      <c r="Z288" s="7" t="str">
        <f>IFERROR(__xludf.DUMMYFUNCTION("GOOGLETRANSLATE(C288, ""en"", ""pt"")"),"Mali.")</f>
        <v>Mali.</v>
      </c>
      <c r="AA288" s="7" t="str">
        <f>IFERROR(__xludf.DUMMYFUNCTION("GOOGLETRANSLATE(C288, ""en"", ""ro"")"),"Mali.")</f>
        <v>Mali.</v>
      </c>
      <c r="AB288" s="1" t="s">
        <v>6363</v>
      </c>
      <c r="AC288" s="7" t="str">
        <f>IFERROR(__xludf.DUMMYFUNCTION("GOOGLETRANSLATE(C288, ""en"", ""sk"")"),"Mani")</f>
        <v>Mani</v>
      </c>
      <c r="AD288" s="6" t="s">
        <v>132</v>
      </c>
      <c r="AE288" s="1" t="s">
        <v>6362</v>
      </c>
      <c r="AF288" s="7" t="str">
        <f>IFERROR(__xludf.DUMMYFUNCTION("GOOGLETRANSLATE(C288, ""en"", ""sv"")"),"Mali")</f>
        <v>Mali</v>
      </c>
      <c r="AG288" s="6" t="s">
        <v>132</v>
      </c>
      <c r="AH288" s="7" t="str">
        <f>IFERROR(__xludf.DUMMYFUNCTION("GOOGLETRANSLATE(C288, ""en"", ""tr"")"),"Mali")</f>
        <v>Mali</v>
      </c>
      <c r="AI288" s="6" t="s">
        <v>132</v>
      </c>
      <c r="AJ288" s="6" t="s">
        <v>132</v>
      </c>
      <c r="AK288" s="7" t="str">
        <f>IFERROR(__xludf.DUMMYFUNCTION("GOOGLETRANSLATE(C288, ""en"", ""zh"")"),"马里")</f>
        <v>马里</v>
      </c>
      <c r="AL288" s="6" t="s">
        <v>132</v>
      </c>
    </row>
    <row r="289" ht="15.75" hidden="1" customHeight="1">
      <c r="A289" s="1" t="s">
        <v>38</v>
      </c>
      <c r="B289" s="1" t="s">
        <v>6364</v>
      </c>
      <c r="C289" s="1" t="s">
        <v>6365</v>
      </c>
      <c r="D289" s="8" t="s">
        <v>6366</v>
      </c>
      <c r="E289" s="1" t="s">
        <v>6367</v>
      </c>
      <c r="F289" s="6" t="s">
        <v>6368</v>
      </c>
      <c r="G289" s="7" t="str">
        <f>IFERROR(__xludf.DUMMYFUNCTION("GOOGLETRANSLATE(C289, ""en"", ""cs"")"),"dodání selhalo")</f>
        <v>dodání selhalo</v>
      </c>
      <c r="H289" s="7" t="str">
        <f>IFERROR(__xludf.DUMMYFUNCTION("GOOGLETRANSLATE(C289, ""en"", ""da"")"),"levering mislykkedes")</f>
        <v>levering mislykkedes</v>
      </c>
      <c r="I289" s="1" t="s">
        <v>6369</v>
      </c>
      <c r="J289" s="6" t="s">
        <v>132</v>
      </c>
      <c r="K289" s="1" t="s">
        <v>6370</v>
      </c>
      <c r="L289" s="7" t="str">
        <f>IFERROR(__xludf.DUMMYFUNCTION("GOOGLETRANSLATE(C289, ""en"", ""fi"")"),"toimitus epäonnistui")</f>
        <v>toimitus epäonnistui</v>
      </c>
      <c r="M289" s="1" t="s">
        <v>6371</v>
      </c>
      <c r="N289" s="6" t="s">
        <v>6372</v>
      </c>
      <c r="O289" s="6" t="s">
        <v>132</v>
      </c>
      <c r="P289" s="1" t="s">
        <v>6373</v>
      </c>
      <c r="Q289" s="9" t="s">
        <v>6374</v>
      </c>
      <c r="R289" s="1" t="s">
        <v>6375</v>
      </c>
      <c r="S289" s="6" t="s">
        <v>132</v>
      </c>
      <c r="T289" s="1" t="s">
        <v>6376</v>
      </c>
      <c r="U289" s="1" t="s">
        <v>6377</v>
      </c>
      <c r="V289" s="7" t="str">
        <f>IFERROR(__xludf.DUMMYFUNCTION("GOOGLETRANSLATE(C289, ""en"", ""ms"")"),"penghantaran gagal")</f>
        <v>penghantaran gagal</v>
      </c>
      <c r="W289" s="1" t="s">
        <v>6378</v>
      </c>
      <c r="X289" s="7" t="str">
        <f>IFERROR(__xludf.DUMMYFUNCTION("GOOGLETRANSLATE(C289, ""en"", ""no"")"),"levering feilet")</f>
        <v>levering feilet</v>
      </c>
      <c r="Y289" s="1" t="s">
        <v>6379</v>
      </c>
      <c r="Z289" s="1" t="s">
        <v>6380</v>
      </c>
      <c r="AA289" s="7" t="str">
        <f>IFERROR(__xludf.DUMMYFUNCTION("GOOGLETRANSLATE(C289, ""en"", ""ro"")"),"livrare eșuată")</f>
        <v>livrare eșuată</v>
      </c>
      <c r="AB289" s="1" t="s">
        <v>6381</v>
      </c>
      <c r="AC289" s="1" t="s">
        <v>6382</v>
      </c>
      <c r="AD289" s="6" t="s">
        <v>132</v>
      </c>
      <c r="AE289" s="1" t="s">
        <v>6383</v>
      </c>
      <c r="AF289" s="1" t="s">
        <v>6384</v>
      </c>
      <c r="AG289" s="6" t="s">
        <v>132</v>
      </c>
      <c r="AH289" s="7" t="str">
        <f>IFERROR(__xludf.DUMMYFUNCTION("GOOGLETRANSLATE(C289, ""en"", ""tr"")"),"Teslimat başarısız oldu")</f>
        <v>Teslimat başarısız oldu</v>
      </c>
      <c r="AI289" s="6" t="s">
        <v>6385</v>
      </c>
      <c r="AJ289" s="6" t="s">
        <v>6386</v>
      </c>
      <c r="AK289" s="7" t="str">
        <f>IFERROR(__xludf.DUMMYFUNCTION("GOOGLETRANSLATE(C289, ""en"", ""zh"")"),"运送失败")</f>
        <v>运送失败</v>
      </c>
      <c r="AL289" s="6" t="s">
        <v>6387</v>
      </c>
    </row>
    <row r="290" ht="15.75" customHeight="1">
      <c r="A290" s="1" t="s">
        <v>127</v>
      </c>
      <c r="B290" s="1" t="s">
        <v>6388</v>
      </c>
      <c r="C290" s="1" t="s">
        <v>6389</v>
      </c>
      <c r="D290" s="8" t="s">
        <v>6390</v>
      </c>
      <c r="E290" s="1" t="s">
        <v>6391</v>
      </c>
      <c r="F290" s="6" t="s">
        <v>132</v>
      </c>
      <c r="G290" s="1" t="s">
        <v>6392</v>
      </c>
      <c r="H290" s="1" t="s">
        <v>6393</v>
      </c>
      <c r="I290" s="1" t="s">
        <v>6394</v>
      </c>
      <c r="J290" s="6" t="s">
        <v>6395</v>
      </c>
      <c r="K290" s="1" t="s">
        <v>6396</v>
      </c>
      <c r="L290" s="1" t="s">
        <v>6397</v>
      </c>
      <c r="M290" s="1" t="s">
        <v>6398</v>
      </c>
      <c r="N290" s="6" t="s">
        <v>132</v>
      </c>
      <c r="O290" s="6" t="s">
        <v>6399</v>
      </c>
      <c r="P290" s="1" t="s">
        <v>6400</v>
      </c>
      <c r="Q290" s="1" t="s">
        <v>6401</v>
      </c>
      <c r="R290" s="1" t="s">
        <v>6402</v>
      </c>
      <c r="S290" s="10" t="s">
        <v>6403</v>
      </c>
      <c r="T290" s="1" t="s">
        <v>6404</v>
      </c>
      <c r="U290" s="1" t="s">
        <v>6405</v>
      </c>
      <c r="V290" s="1" t="s">
        <v>6401</v>
      </c>
      <c r="W290" s="1" t="s">
        <v>6406</v>
      </c>
      <c r="X290" s="1" t="s">
        <v>6407</v>
      </c>
      <c r="Y290" s="1" t="s">
        <v>6408</v>
      </c>
      <c r="Z290" s="1" t="s">
        <v>6396</v>
      </c>
      <c r="AA290" s="1" t="s">
        <v>6409</v>
      </c>
      <c r="AB290" s="1" t="s">
        <v>6410</v>
      </c>
      <c r="AC290" s="1" t="s">
        <v>6392</v>
      </c>
      <c r="AD290" s="6" t="s">
        <v>6411</v>
      </c>
      <c r="AE290" s="1" t="s">
        <v>6411</v>
      </c>
      <c r="AF290" s="1" t="s">
        <v>6412</v>
      </c>
      <c r="AG290" s="6" t="s">
        <v>6413</v>
      </c>
      <c r="AH290" s="1" t="s">
        <v>6414</v>
      </c>
      <c r="AI290" s="6" t="s">
        <v>132</v>
      </c>
      <c r="AJ290" s="6" t="s">
        <v>6415</v>
      </c>
      <c r="AK290" s="1" t="s">
        <v>6416</v>
      </c>
      <c r="AL290" s="6" t="s">
        <v>6417</v>
      </c>
    </row>
    <row r="291" ht="15.75" hidden="1" customHeight="1">
      <c r="A291" s="1" t="s">
        <v>38</v>
      </c>
      <c r="B291" s="1" t="s">
        <v>6418</v>
      </c>
      <c r="C291" s="1" t="s">
        <v>6419</v>
      </c>
      <c r="D291" s="7" t="str">
        <f>IFERROR(__xludf.DUMMYFUNCTION("GOOGLETRANSLATE(C291, ""en"", ""ar"")"),"الكونغو (برازافيل)")</f>
        <v>الكونغو (برازافيل)</v>
      </c>
      <c r="E291" s="7" t="str">
        <f>IFERROR(__xludf.DUMMYFUNCTION("GOOGLETRANSLATE(C291, ""en"", ""bg"")"),"Конго (Brazzaville)")</f>
        <v>Конго (Brazzaville)</v>
      </c>
      <c r="F291" s="6" t="s">
        <v>132</v>
      </c>
      <c r="G291" s="7" t="str">
        <f>IFERROR(__xludf.DUMMYFUNCTION("GOOGLETRANSLATE(C291, ""en"", ""cs"")"),"Kongo (Brazzaville)")</f>
        <v>Kongo (Brazzaville)</v>
      </c>
      <c r="H291" s="7" t="str">
        <f>IFERROR(__xludf.DUMMYFUNCTION("GOOGLETRANSLATE(C291, ""en"", ""da"")"),"Congo (Brazzaville)")</f>
        <v>Congo (Brazzaville)</v>
      </c>
      <c r="I291" s="1" t="s">
        <v>6420</v>
      </c>
      <c r="J291" s="6" t="s">
        <v>132</v>
      </c>
      <c r="K291" s="1" t="s">
        <v>6419</v>
      </c>
      <c r="L291" s="7" t="str">
        <f>IFERROR(__xludf.DUMMYFUNCTION("GOOGLETRANSLATE(C291, ""en"", ""fi"")"),"Kongo (Brazzaville)")</f>
        <v>Kongo (Brazzaville)</v>
      </c>
      <c r="M291" s="1" t="s">
        <v>6419</v>
      </c>
      <c r="N291" s="6" t="s">
        <v>132</v>
      </c>
      <c r="O291" s="6" t="s">
        <v>132</v>
      </c>
      <c r="P291" s="1" t="s">
        <v>6419</v>
      </c>
      <c r="Q291" s="7" t="str">
        <f>IFERROR(__xludf.DUMMYFUNCTION("GOOGLETRANSLATE(C291, ""en"", ""in"")"),"Kongo (Brazzaville)")</f>
        <v>Kongo (Brazzaville)</v>
      </c>
      <c r="R291" s="7" t="str">
        <f>IFERROR(__xludf.DUMMYFUNCTION("GOOGLETRANSLATE(C291, ""en"", ""it"")"),"Congo (Brazzaville)")</f>
        <v>Congo (Brazzaville)</v>
      </c>
      <c r="S291" s="6" t="s">
        <v>132</v>
      </c>
      <c r="T291" s="7" t="str">
        <f>IFERROR(__xludf.DUMMYFUNCTION("GOOGLETRANSLATE(C291, ""en"", ""ja"")"),"コンゴ（ブラザビル）")</f>
        <v>コンゴ（ブラザビル）</v>
      </c>
      <c r="U291" s="7" t="str">
        <f>IFERROR(__xludf.DUMMYFUNCTION("GOOGLETRANSLATE(C291, ""en"", ""ko"")"),"콩고 (브라자빌)")</f>
        <v>콩고 (브라자빌)</v>
      </c>
      <c r="V291" s="7" t="str">
        <f>IFERROR(__xludf.DUMMYFUNCTION("GOOGLETRANSLATE(C291, ""en"", ""ms"")"),"Congo (Brazzaville)")</f>
        <v>Congo (Brazzaville)</v>
      </c>
      <c r="W291" s="7" t="str">
        <f>IFERROR(__xludf.DUMMYFUNCTION("GOOGLETRANSLATE(C291, ""en"", ""nl"")"),"Congo (Brazzaville)")</f>
        <v>Congo (Brazzaville)</v>
      </c>
      <c r="X291" s="7" t="str">
        <f>IFERROR(__xludf.DUMMYFUNCTION("GOOGLETRANSLATE(C291, ""en"", ""no"")"),"Kongo (Brazzaville)")</f>
        <v>Kongo (Brazzaville)</v>
      </c>
      <c r="Y291" s="7" t="str">
        <f>IFERROR(__xludf.DUMMYFUNCTION("GOOGLETRANSLATE(C291, ""en"", ""pl"")"),"Kongo (Brazzaville)")</f>
        <v>Kongo (Brazzaville)</v>
      </c>
      <c r="Z291" s="7" t="str">
        <f>IFERROR(__xludf.DUMMYFUNCTION("GOOGLETRANSLATE(C291, ""en"", ""pt"")"),"Congo (Brazzaville)")</f>
        <v>Congo (Brazzaville)</v>
      </c>
      <c r="AA291" s="7" t="str">
        <f>IFERROR(__xludf.DUMMYFUNCTION("GOOGLETRANSLATE(C291, ""en"", ""ro"")"),"Congo (Brazzaville)")</f>
        <v>Congo (Brazzaville)</v>
      </c>
      <c r="AB291" s="1" t="s">
        <v>6421</v>
      </c>
      <c r="AC291" s="7" t="str">
        <f>IFERROR(__xludf.DUMMYFUNCTION("GOOGLETRANSLATE(C291, ""en"", ""sk"")"),"Kongo (Brazzaville)")</f>
        <v>Kongo (Brazzaville)</v>
      </c>
      <c r="AD291" s="6" t="s">
        <v>132</v>
      </c>
      <c r="AE291" s="1" t="s">
        <v>6422</v>
      </c>
      <c r="AF291" s="7" t="str">
        <f>IFERROR(__xludf.DUMMYFUNCTION("GOOGLETRANSLATE(C291, ""en"", ""sv"")"),"Kongo (Brazzaville)")</f>
        <v>Kongo (Brazzaville)</v>
      </c>
      <c r="AG291" s="6" t="s">
        <v>132</v>
      </c>
      <c r="AH291" s="7" t="str">
        <f>IFERROR(__xludf.DUMMYFUNCTION("GOOGLETRANSLATE(C291, ""en"", ""tr"")"),"Kongo (Brazzaville)")</f>
        <v>Kongo (Brazzaville)</v>
      </c>
      <c r="AI291" s="6" t="s">
        <v>132</v>
      </c>
      <c r="AJ291" s="6" t="s">
        <v>132</v>
      </c>
      <c r="AK291" s="7" t="str">
        <f>IFERROR(__xludf.DUMMYFUNCTION("GOOGLETRANSLATE(C291, ""en"", ""zh"")"),"刚果（布拉柴维尔）")</f>
        <v>刚果（布拉柴维尔）</v>
      </c>
      <c r="AL291" s="6" t="s">
        <v>132</v>
      </c>
    </row>
    <row r="292" ht="15.75" customHeight="1">
      <c r="A292" s="1" t="s">
        <v>127</v>
      </c>
      <c r="B292" s="1" t="s">
        <v>6423</v>
      </c>
      <c r="C292" s="1" t="s">
        <v>6424</v>
      </c>
      <c r="D292" s="8" t="s">
        <v>6425</v>
      </c>
      <c r="E292" s="1" t="s">
        <v>6426</v>
      </c>
      <c r="F292" s="6" t="s">
        <v>132</v>
      </c>
      <c r="G292" s="1" t="s">
        <v>6427</v>
      </c>
      <c r="H292" s="1" t="s">
        <v>6428</v>
      </c>
      <c r="I292" s="1" t="s">
        <v>6429</v>
      </c>
      <c r="J292" s="6" t="s">
        <v>6430</v>
      </c>
      <c r="K292" s="1" t="s">
        <v>6431</v>
      </c>
      <c r="L292" s="1" t="s">
        <v>6432</v>
      </c>
      <c r="M292" s="1" t="s">
        <v>6433</v>
      </c>
      <c r="N292" s="6" t="s">
        <v>132</v>
      </c>
      <c r="O292" s="6" t="s">
        <v>6434</v>
      </c>
      <c r="P292" s="1" t="s">
        <v>6435</v>
      </c>
      <c r="Q292" s="1" t="s">
        <v>6436</v>
      </c>
      <c r="R292" s="1" t="s">
        <v>6437</v>
      </c>
      <c r="S292" s="10" t="s">
        <v>6438</v>
      </c>
      <c r="T292" s="1" t="s">
        <v>6439</v>
      </c>
      <c r="U292" s="1" t="s">
        <v>6440</v>
      </c>
      <c r="V292" s="1" t="s">
        <v>6436</v>
      </c>
      <c r="W292" s="1" t="s">
        <v>6441</v>
      </c>
      <c r="X292" s="1" t="s">
        <v>6442</v>
      </c>
      <c r="Y292" s="1" t="s">
        <v>6443</v>
      </c>
      <c r="Z292" s="1" t="s">
        <v>6444</v>
      </c>
      <c r="AA292" s="1" t="s">
        <v>6431</v>
      </c>
      <c r="AB292" s="1" t="s">
        <v>6445</v>
      </c>
      <c r="AC292" s="1" t="s">
        <v>6446</v>
      </c>
      <c r="AD292" s="6" t="s">
        <v>6424</v>
      </c>
      <c r="AE292" s="1" t="s">
        <v>6447</v>
      </c>
      <c r="AF292" s="1" t="s">
        <v>6424</v>
      </c>
      <c r="AG292" s="6" t="s">
        <v>6448</v>
      </c>
      <c r="AH292" s="1" t="s">
        <v>6449</v>
      </c>
      <c r="AI292" s="6" t="s">
        <v>132</v>
      </c>
      <c r="AJ292" s="6" t="s">
        <v>6450</v>
      </c>
      <c r="AK292" s="1" t="s">
        <v>6451</v>
      </c>
      <c r="AL292" s="6" t="s">
        <v>132</v>
      </c>
    </row>
    <row r="293" ht="15.75" hidden="1" customHeight="1">
      <c r="A293" s="1" t="s">
        <v>38</v>
      </c>
      <c r="B293" s="1" t="s">
        <v>6452</v>
      </c>
      <c r="C293" s="1" t="s">
        <v>6453</v>
      </c>
      <c r="D293" s="8" t="s">
        <v>6454</v>
      </c>
      <c r="E293" s="1" t="s">
        <v>6455</v>
      </c>
      <c r="F293" s="6" t="s">
        <v>6456</v>
      </c>
      <c r="G293" s="7" t="str">
        <f>IFERROR(__xludf.DUMMYFUNCTION("GOOGLETRANSLATE(C293, ""en"", ""cs"")"),"Poslat umístění")</f>
        <v>Poslat umístění</v>
      </c>
      <c r="H293" s="7" t="str">
        <f>IFERROR(__xludf.DUMMYFUNCTION("GOOGLETRANSLATE(C293, ""en"", ""da"")"),"Send placering")</f>
        <v>Send placering</v>
      </c>
      <c r="I293" s="1" t="s">
        <v>6457</v>
      </c>
      <c r="J293" s="6" t="s">
        <v>132</v>
      </c>
      <c r="K293" s="1" t="s">
        <v>6458</v>
      </c>
      <c r="L293" s="7" t="str">
        <f>IFERROR(__xludf.DUMMYFUNCTION("GOOGLETRANSLATE(C293, ""en"", ""fi"")"),"Lähetä sijainti")</f>
        <v>Lähetä sijainti</v>
      </c>
      <c r="M293" s="1" t="s">
        <v>6459</v>
      </c>
      <c r="N293" s="6" t="s">
        <v>6460</v>
      </c>
      <c r="O293" s="6" t="s">
        <v>132</v>
      </c>
      <c r="P293" s="1" t="s">
        <v>6461</v>
      </c>
      <c r="Q293" s="9" t="s">
        <v>6462</v>
      </c>
      <c r="R293" s="1" t="s">
        <v>6463</v>
      </c>
      <c r="S293" s="6" t="s">
        <v>132</v>
      </c>
      <c r="T293" s="1" t="s">
        <v>6464</v>
      </c>
      <c r="U293" s="1" t="s">
        <v>6465</v>
      </c>
      <c r="V293" s="7" t="str">
        <f>IFERROR(__xludf.DUMMYFUNCTION("GOOGLETRANSLATE(C293, ""en"", ""ms"")"),"Hantar lokasi")</f>
        <v>Hantar lokasi</v>
      </c>
      <c r="W293" s="1" t="s">
        <v>6466</v>
      </c>
      <c r="X293" s="7" t="str">
        <f>IFERROR(__xludf.DUMMYFUNCTION("GOOGLETRANSLATE(C293, ""en"", ""no"")"),"Send sted")</f>
        <v>Send sted</v>
      </c>
      <c r="Y293" s="1" t="s">
        <v>6467</v>
      </c>
      <c r="Z293" s="1" t="s">
        <v>6468</v>
      </c>
      <c r="AA293" s="7" t="str">
        <f>IFERROR(__xludf.DUMMYFUNCTION("GOOGLETRANSLATE(C293, ""en"", ""ro"")"),"Trimiteți locația")</f>
        <v>Trimiteți locația</v>
      </c>
      <c r="AB293" s="1" t="s">
        <v>6469</v>
      </c>
      <c r="AC293" s="1" t="s">
        <v>6470</v>
      </c>
      <c r="AD293" s="6" t="s">
        <v>132</v>
      </c>
      <c r="AE293" s="1" t="s">
        <v>6471</v>
      </c>
      <c r="AF293" s="1" t="s">
        <v>6472</v>
      </c>
      <c r="AG293" s="6" t="s">
        <v>132</v>
      </c>
      <c r="AH293" s="7" t="str">
        <f>IFERROR(__xludf.DUMMYFUNCTION("GOOGLETRANSLATE(C293, ""en"", ""tr"")"),"Konum gönder")</f>
        <v>Konum gönder</v>
      </c>
      <c r="AI293" s="6" t="s">
        <v>6473</v>
      </c>
      <c r="AJ293" s="6" t="s">
        <v>6474</v>
      </c>
      <c r="AK293" s="7" t="str">
        <f>IFERROR(__xludf.DUMMYFUNCTION("GOOGLETRANSLATE(C293, ""en"", ""zh"")"),"发送位置")</f>
        <v>发送位置</v>
      </c>
      <c r="AL293" s="6" t="s">
        <v>6475</v>
      </c>
    </row>
    <row r="294" ht="15.75" customHeight="1">
      <c r="A294" s="1" t="s">
        <v>127</v>
      </c>
      <c r="B294" s="1" t="s">
        <v>6476</v>
      </c>
      <c r="C294" s="1" t="s">
        <v>6477</v>
      </c>
      <c r="D294" s="7" t="str">
        <f>IFERROR(__xludf.DUMMYFUNCTION("GOOGLETRANSLATE(C294, ""en"", ""ar"")"),"يمكنك دائما تغيير الإشعارات في وقت لاحق في إعدادات التطبيق.")</f>
        <v>يمكنك دائما تغيير الإشعارات في وقت لاحق في إعدادات التطبيق.</v>
      </c>
      <c r="E294" s="7" t="str">
        <f>IFERROR(__xludf.DUMMYFUNCTION("GOOGLETRANSLATE(C294, ""en"", ""bg"")"),"Винаги можете да променяте известията по-късно в настройките на приложението.")</f>
        <v>Винаги можете да променяте известията по-късно в настройките на приложението.</v>
      </c>
      <c r="F294" s="6" t="s">
        <v>132</v>
      </c>
      <c r="G294" s="7" t="str">
        <f>IFERROR(__xludf.DUMMYFUNCTION("GOOGLETRANSLATE(C294, ""en"", ""cs"")"),"Později můžete vždy změnit oznámení v nastavení aplikace.")</f>
        <v>Později můžete vždy změnit oznámení v nastavení aplikace.</v>
      </c>
      <c r="H294" s="1" t="s">
        <v>6478</v>
      </c>
      <c r="I294" s="1" t="s">
        <v>6479</v>
      </c>
      <c r="J294" s="6" t="s">
        <v>132</v>
      </c>
      <c r="K294" s="1" t="s">
        <v>6480</v>
      </c>
      <c r="L294" s="1" t="s">
        <v>6481</v>
      </c>
      <c r="M294" s="13" t="s">
        <v>6482</v>
      </c>
      <c r="N294" s="6" t="s">
        <v>132</v>
      </c>
      <c r="O294" s="6" t="s">
        <v>132</v>
      </c>
      <c r="P294" s="1" t="s">
        <v>6483</v>
      </c>
      <c r="Q294" s="1" t="s">
        <v>6484</v>
      </c>
      <c r="R294" s="13" t="s">
        <v>6485</v>
      </c>
      <c r="S294" s="6" t="s">
        <v>132</v>
      </c>
      <c r="T294" s="1" t="s">
        <v>6486</v>
      </c>
      <c r="U294" s="1" t="s">
        <v>6487</v>
      </c>
      <c r="V294" s="1" t="s">
        <v>6488</v>
      </c>
      <c r="W294" s="1" t="s">
        <v>6489</v>
      </c>
      <c r="X294" s="1" t="s">
        <v>6490</v>
      </c>
      <c r="Y294" s="1" t="s">
        <v>6491</v>
      </c>
      <c r="Z294" s="1" t="s">
        <v>6492</v>
      </c>
      <c r="AA294" s="7" t="str">
        <f>IFERROR(__xludf.DUMMYFUNCTION("GOOGLETRANSLATE(C294, ""en"", ""ro"")"),"Puteți schimba întotdeauna notificările ulterioare în setările aplicației.")</f>
        <v>Puteți schimba întotdeauna notificările ulterioare în setările aplicației.</v>
      </c>
      <c r="AB294" s="1" t="s">
        <v>6493</v>
      </c>
      <c r="AC294" s="7" t="str">
        <f>IFERROR(__xludf.DUMMYFUNCTION("GOOGLETRANSLATE(C294, ""en"", ""sk"")"),"Oznámenia môžete vždy zmeniť neskôr v nastaveniach aplikácie.")</f>
        <v>Oznámenia môžete vždy zmeniť neskôr v nastaveniach aplikácie.</v>
      </c>
      <c r="AD294" s="6" t="s">
        <v>132</v>
      </c>
      <c r="AE294" s="1" t="s">
        <v>6494</v>
      </c>
      <c r="AF294" s="1" t="s">
        <v>6495</v>
      </c>
      <c r="AG294" s="6" t="s">
        <v>132</v>
      </c>
      <c r="AH294" s="1" t="s">
        <v>6496</v>
      </c>
      <c r="AI294" s="6" t="s">
        <v>132</v>
      </c>
      <c r="AJ294" s="6" t="s">
        <v>132</v>
      </c>
      <c r="AK294" s="1" t="s">
        <v>6497</v>
      </c>
      <c r="AL294" s="6" t="s">
        <v>132</v>
      </c>
    </row>
    <row r="295" ht="15.75" hidden="1" customHeight="1">
      <c r="A295" s="1" t="s">
        <v>38</v>
      </c>
      <c r="B295" s="1" t="s">
        <v>6498</v>
      </c>
      <c r="C295" s="1" t="s">
        <v>6499</v>
      </c>
      <c r="D295" s="8" t="s">
        <v>6500</v>
      </c>
      <c r="E295" s="1" t="s">
        <v>6501</v>
      </c>
      <c r="F295" s="6" t="s">
        <v>6502</v>
      </c>
      <c r="G295" s="7" t="str">
        <f>IFERROR(__xludf.DUMMYFUNCTION("GOOGLETRANSLATE(C295, ""en"", ""cs"")"),"jiný")</f>
        <v>jiný</v>
      </c>
      <c r="H295" s="7" t="str">
        <f>IFERROR(__xludf.DUMMYFUNCTION("GOOGLETRANSLATE(C295, ""en"", ""da"")"),"Andet")</f>
        <v>Andet</v>
      </c>
      <c r="I295" s="1" t="s">
        <v>6503</v>
      </c>
      <c r="J295" s="6" t="s">
        <v>132</v>
      </c>
      <c r="K295" s="1" t="s">
        <v>6504</v>
      </c>
      <c r="L295" s="7" t="str">
        <f>IFERROR(__xludf.DUMMYFUNCTION("GOOGLETRANSLATE(C295, ""en"", ""fi"")"),"Muut")</f>
        <v>Muut</v>
      </c>
      <c r="M295" s="1" t="s">
        <v>6505</v>
      </c>
      <c r="N295" s="6" t="s">
        <v>6506</v>
      </c>
      <c r="O295" s="6" t="s">
        <v>132</v>
      </c>
      <c r="P295" s="1" t="s">
        <v>6507</v>
      </c>
      <c r="Q295" s="9" t="s">
        <v>6508</v>
      </c>
      <c r="R295" s="1" t="s">
        <v>6509</v>
      </c>
      <c r="S295" s="6" t="s">
        <v>132</v>
      </c>
      <c r="T295" s="1" t="s">
        <v>6510</v>
      </c>
      <c r="U295" s="1" t="s">
        <v>6511</v>
      </c>
      <c r="V295" s="7" t="str">
        <f>IFERROR(__xludf.DUMMYFUNCTION("GOOGLETRANSLATE(C295, ""en"", ""ms"")"),"Lain")</f>
        <v>Lain</v>
      </c>
      <c r="W295" s="1" t="s">
        <v>6512</v>
      </c>
      <c r="X295" s="7" t="str">
        <f>IFERROR(__xludf.DUMMYFUNCTION("GOOGLETRANSLATE(C295, ""en"", ""no"")"),"Annen")</f>
        <v>Annen</v>
      </c>
      <c r="Y295" s="1" t="s">
        <v>6513</v>
      </c>
      <c r="Z295" s="1" t="s">
        <v>6514</v>
      </c>
      <c r="AA295" s="7" t="str">
        <f>IFERROR(__xludf.DUMMYFUNCTION("GOOGLETRANSLATE(C295, ""en"", ""ro"")"),"Alte")</f>
        <v>Alte</v>
      </c>
      <c r="AB295" s="1" t="s">
        <v>6515</v>
      </c>
      <c r="AC295" s="1" t="s">
        <v>2894</v>
      </c>
      <c r="AD295" s="6" t="s">
        <v>132</v>
      </c>
      <c r="AE295" s="1" t="s">
        <v>6516</v>
      </c>
      <c r="AF295" s="1" t="s">
        <v>6517</v>
      </c>
      <c r="AG295" s="6" t="s">
        <v>132</v>
      </c>
      <c r="AH295" s="7" t="str">
        <f>IFERROR(__xludf.DUMMYFUNCTION("GOOGLETRANSLATE(C295, ""en"", ""tr"")"),"Diğer")</f>
        <v>Diğer</v>
      </c>
      <c r="AI295" s="6" t="s">
        <v>6518</v>
      </c>
      <c r="AJ295" s="6" t="s">
        <v>6519</v>
      </c>
      <c r="AK295" s="7" t="str">
        <f>IFERROR(__xludf.DUMMYFUNCTION("GOOGLETRANSLATE(C295, ""en"", ""zh"")"),"其他")</f>
        <v>其他</v>
      </c>
      <c r="AL295" s="6" t="s">
        <v>6520</v>
      </c>
    </row>
    <row r="296" ht="15.75" hidden="1" customHeight="1">
      <c r="A296" s="1" t="s">
        <v>38</v>
      </c>
      <c r="B296" s="1" t="s">
        <v>6521</v>
      </c>
      <c r="C296" s="1" t="s">
        <v>6522</v>
      </c>
      <c r="D296" s="8" t="s">
        <v>6523</v>
      </c>
      <c r="E296" s="1" t="s">
        <v>6524</v>
      </c>
      <c r="F296" s="6" t="s">
        <v>6525</v>
      </c>
      <c r="G296" s="7" t="str">
        <f>IFERROR(__xludf.DUMMYFUNCTION("GOOGLETRANSLATE(C296, ""en"", ""cs"")"),"Světle téma")</f>
        <v>Světle téma</v>
      </c>
      <c r="H296" s="7" t="str">
        <f>IFERROR(__xludf.DUMMYFUNCTION("GOOGLETRANSLATE(C296, ""en"", ""da"")"),"Lys tema")</f>
        <v>Lys tema</v>
      </c>
      <c r="I296" s="1" t="s">
        <v>6526</v>
      </c>
      <c r="J296" s="6" t="s">
        <v>132</v>
      </c>
      <c r="K296" s="1" t="s">
        <v>6527</v>
      </c>
      <c r="L296" s="7" t="str">
        <f>IFERROR(__xludf.DUMMYFUNCTION("GOOGLETRANSLATE(C296, ""en"", ""fi"")"),"Kevyt teema")</f>
        <v>Kevyt teema</v>
      </c>
      <c r="M296" s="1" t="s">
        <v>6528</v>
      </c>
      <c r="N296" s="6" t="s">
        <v>6529</v>
      </c>
      <c r="O296" s="6" t="s">
        <v>132</v>
      </c>
      <c r="P296" s="1" t="s">
        <v>6530</v>
      </c>
      <c r="Q296" s="9" t="s">
        <v>6531</v>
      </c>
      <c r="R296" s="1" t="s">
        <v>6532</v>
      </c>
      <c r="S296" s="6" t="s">
        <v>132</v>
      </c>
      <c r="T296" s="1" t="s">
        <v>6533</v>
      </c>
      <c r="U296" s="1" t="s">
        <v>6534</v>
      </c>
      <c r="V296" s="7" t="str">
        <f>IFERROR(__xludf.DUMMYFUNCTION("GOOGLETRANSLATE(C296, ""en"", ""ms"")"),"Tema cahaya")</f>
        <v>Tema cahaya</v>
      </c>
      <c r="W296" s="1" t="s">
        <v>6535</v>
      </c>
      <c r="X296" s="7" t="str">
        <f>IFERROR(__xludf.DUMMYFUNCTION("GOOGLETRANSLATE(C296, ""en"", ""no"")"),"Lys tema")</f>
        <v>Lys tema</v>
      </c>
      <c r="Y296" s="1" t="s">
        <v>6536</v>
      </c>
      <c r="Z296" s="1" t="s">
        <v>6537</v>
      </c>
      <c r="AA296" s="7" t="str">
        <f>IFERROR(__xludf.DUMMYFUNCTION("GOOGLETRANSLATE(C296, ""en"", ""ro"")"),"Tema luminii")</f>
        <v>Tema luminii</v>
      </c>
      <c r="AB296" s="1" t="s">
        <v>6538</v>
      </c>
      <c r="AC296" s="7" t="str">
        <f>IFERROR(__xludf.DUMMYFUNCTION("GOOGLETRANSLATE(C296, ""en"", ""sk"")"),"Svetelná téma")</f>
        <v>Svetelná téma</v>
      </c>
      <c r="AD296" s="6" t="s">
        <v>132</v>
      </c>
      <c r="AE296" s="1" t="s">
        <v>6524</v>
      </c>
      <c r="AF296" s="1" t="s">
        <v>6539</v>
      </c>
      <c r="AG296" s="6" t="s">
        <v>132</v>
      </c>
      <c r="AH296" s="7" t="str">
        <f>IFERROR(__xludf.DUMMYFUNCTION("GOOGLETRANSLATE(C296, ""en"", ""tr"")"),"Işık teması")</f>
        <v>Işık teması</v>
      </c>
      <c r="AI296" s="6" t="s">
        <v>6540</v>
      </c>
      <c r="AJ296" s="6" t="s">
        <v>132</v>
      </c>
      <c r="AK296" s="7" t="str">
        <f>IFERROR(__xludf.DUMMYFUNCTION("GOOGLETRANSLATE(C296, ""en"", ""zh"")"),"光线主题")</f>
        <v>光线主题</v>
      </c>
      <c r="AL296" s="6" t="s">
        <v>6541</v>
      </c>
    </row>
    <row r="297" ht="15.75" hidden="1" customHeight="1">
      <c r="A297" s="1" t="s">
        <v>38</v>
      </c>
      <c r="B297" s="1" t="s">
        <v>6542</v>
      </c>
      <c r="C297" s="1" t="s">
        <v>6543</v>
      </c>
      <c r="D297" s="8" t="s">
        <v>6544</v>
      </c>
      <c r="E297" s="1" t="s">
        <v>6545</v>
      </c>
      <c r="F297" s="6" t="s">
        <v>6546</v>
      </c>
      <c r="G297" s="7" t="str">
        <f>IFERROR(__xludf.DUMMYFUNCTION("GOOGLETRANSLATE(C297, ""en"", ""cs"")"),"Upravit Stavová zpráva")</f>
        <v>Upravit Stavová zpráva</v>
      </c>
      <c r="H297" s="7" t="str">
        <f>IFERROR(__xludf.DUMMYFUNCTION("GOOGLETRANSLATE(C297, ""en"", ""da"")"),"Rediger statusmeddelelse")</f>
        <v>Rediger statusmeddelelse</v>
      </c>
      <c r="I297" s="1" t="s">
        <v>6547</v>
      </c>
      <c r="J297" s="6" t="s">
        <v>132</v>
      </c>
      <c r="K297" s="1" t="s">
        <v>6548</v>
      </c>
      <c r="L297" s="7" t="str">
        <f>IFERROR(__xludf.DUMMYFUNCTION("GOOGLETRANSLATE(C297, ""en"", ""fi"")"),"Muokkaa tilaviestiä")</f>
        <v>Muokkaa tilaviestiä</v>
      </c>
      <c r="M297" s="1" t="s">
        <v>6549</v>
      </c>
      <c r="N297" s="6" t="s">
        <v>6550</v>
      </c>
      <c r="O297" s="6" t="s">
        <v>132</v>
      </c>
      <c r="P297" s="1" t="s">
        <v>6551</v>
      </c>
      <c r="Q297" s="7" t="str">
        <f>IFERROR(__xludf.DUMMYFUNCTION("GOOGLETRANSLATE(C297, ""en"", ""in"")"),"Edit pesan status")</f>
        <v>Edit pesan status</v>
      </c>
      <c r="R297" s="1" t="s">
        <v>6552</v>
      </c>
      <c r="S297" s="6" t="s">
        <v>132</v>
      </c>
      <c r="T297" s="1" t="s">
        <v>6553</v>
      </c>
      <c r="U297" s="7" t="str">
        <f>IFERROR(__xludf.DUMMYFUNCTION("GOOGLETRANSLATE(C297, ""en"", ""ko"")"),"상태 메시지 편집")</f>
        <v>상태 메시지 편집</v>
      </c>
      <c r="V297" s="7" t="str">
        <f>IFERROR(__xludf.DUMMYFUNCTION("GOOGLETRANSLATE(C297, ""en"", ""ms"")"),"Edit mesej status")</f>
        <v>Edit mesej status</v>
      </c>
      <c r="W297" s="1" t="s">
        <v>6554</v>
      </c>
      <c r="X297" s="7" t="str">
        <f>IFERROR(__xludf.DUMMYFUNCTION("GOOGLETRANSLATE(C297, ""en"", ""no"")"),"Rediger statusmelding")</f>
        <v>Rediger statusmelding</v>
      </c>
      <c r="Y297" s="1" t="s">
        <v>6555</v>
      </c>
      <c r="Z297" s="7" t="str">
        <f>IFERROR(__xludf.DUMMYFUNCTION("GOOGLETRANSLATE(C297, ""en"", ""pt"")"),"Editar mensagem de status")</f>
        <v>Editar mensagem de status</v>
      </c>
      <c r="AA297" s="7" t="str">
        <f>IFERROR(__xludf.DUMMYFUNCTION("GOOGLETRANSLATE(C297, ""en"", ""ro"")"),"Editați mesajul de stare")</f>
        <v>Editați mesajul de stare</v>
      </c>
      <c r="AB297" s="1" t="s">
        <v>6556</v>
      </c>
      <c r="AC297" s="7" t="str">
        <f>IFERROR(__xludf.DUMMYFUNCTION("GOOGLETRANSLATE(C297, ""en"", ""sk"")"),"Upraviť stavovú správu")</f>
        <v>Upraviť stavovú správu</v>
      </c>
      <c r="AD297" s="6" t="s">
        <v>132</v>
      </c>
      <c r="AE297" s="7" t="str">
        <f>IFERROR(__xludf.DUMMYFUNCTION("GOOGLETRANSLATE(C297, ""en"", ""sr"")"),"Уређивање статусне поруке")</f>
        <v>Уређивање статусне поруке</v>
      </c>
      <c r="AF297" s="7" t="str">
        <f>IFERROR(__xludf.DUMMYFUNCTION("GOOGLETRANSLATE(C297, ""en"", ""sv"")"),"Redigera statusmeddelande")</f>
        <v>Redigera statusmeddelande</v>
      </c>
      <c r="AG297" s="6" t="s">
        <v>132</v>
      </c>
      <c r="AH297" s="7" t="str">
        <f>IFERROR(__xludf.DUMMYFUNCTION("GOOGLETRANSLATE(C297, ""en"", ""tr"")"),"Durum mesajını düzenle")</f>
        <v>Durum mesajını düzenle</v>
      </c>
      <c r="AI297" s="6" t="s">
        <v>132</v>
      </c>
      <c r="AJ297" s="6" t="s">
        <v>132</v>
      </c>
      <c r="AK297" s="7" t="str">
        <f>IFERROR(__xludf.DUMMYFUNCTION("GOOGLETRANSLATE(C297, ""en"", ""zh"")"),"编辑状态消息")</f>
        <v>编辑状态消息</v>
      </c>
      <c r="AL297" s="6" t="s">
        <v>132</v>
      </c>
    </row>
    <row r="298" ht="15.75" customHeight="1">
      <c r="A298" s="1" t="s">
        <v>127</v>
      </c>
      <c r="B298" s="1" t="s">
        <v>6557</v>
      </c>
      <c r="C298" s="1" t="s">
        <v>6558</v>
      </c>
      <c r="D298" s="8" t="s">
        <v>6559</v>
      </c>
      <c r="E298" s="1" t="s">
        <v>6560</v>
      </c>
      <c r="F298" s="6" t="s">
        <v>132</v>
      </c>
      <c r="G298" s="1" t="s">
        <v>6561</v>
      </c>
      <c r="H298" s="1" t="s">
        <v>6562</v>
      </c>
      <c r="I298" s="1" t="s">
        <v>6558</v>
      </c>
      <c r="J298" s="6" t="s">
        <v>6563</v>
      </c>
      <c r="K298" s="1" t="s">
        <v>6564</v>
      </c>
      <c r="L298" s="1" t="s">
        <v>6561</v>
      </c>
      <c r="M298" s="1" t="s">
        <v>6558</v>
      </c>
      <c r="N298" s="6" t="s">
        <v>132</v>
      </c>
      <c r="O298" s="6" t="s">
        <v>6565</v>
      </c>
      <c r="P298" s="1" t="s">
        <v>6561</v>
      </c>
      <c r="Q298" s="1" t="s">
        <v>6558</v>
      </c>
      <c r="R298" s="1" t="s">
        <v>6564</v>
      </c>
      <c r="S298" s="10" t="s">
        <v>6566</v>
      </c>
      <c r="T298" s="1" t="s">
        <v>6567</v>
      </c>
      <c r="U298" s="1" t="s">
        <v>6568</v>
      </c>
      <c r="V298" s="1" t="s">
        <v>6558</v>
      </c>
      <c r="W298" s="1" t="s">
        <v>6558</v>
      </c>
      <c r="X298" s="1" t="s">
        <v>6561</v>
      </c>
      <c r="Y298" s="1" t="s">
        <v>6569</v>
      </c>
      <c r="Z298" s="1" t="s">
        <v>6561</v>
      </c>
      <c r="AA298" s="1" t="s">
        <v>6570</v>
      </c>
      <c r="AB298" s="1" t="s">
        <v>6560</v>
      </c>
      <c r="AC298" s="1" t="s">
        <v>6561</v>
      </c>
      <c r="AD298" s="6" t="s">
        <v>6561</v>
      </c>
      <c r="AE298" s="1" t="s">
        <v>6561</v>
      </c>
      <c r="AF298" s="1" t="s">
        <v>6561</v>
      </c>
      <c r="AG298" s="6" t="s">
        <v>6571</v>
      </c>
      <c r="AH298" s="1" t="s">
        <v>6562</v>
      </c>
      <c r="AI298" s="6" t="s">
        <v>132</v>
      </c>
      <c r="AJ298" s="6" t="s">
        <v>6572</v>
      </c>
      <c r="AK298" s="1" t="s">
        <v>6573</v>
      </c>
      <c r="AL298" s="6" t="s">
        <v>6574</v>
      </c>
    </row>
    <row r="299" ht="15.75" customHeight="1">
      <c r="A299" s="1" t="s">
        <v>127</v>
      </c>
      <c r="B299" s="1" t="s">
        <v>6575</v>
      </c>
      <c r="C299" s="1" t="s">
        <v>6576</v>
      </c>
      <c r="D299" s="8" t="s">
        <v>6577</v>
      </c>
      <c r="E299" s="1" t="s">
        <v>6578</v>
      </c>
      <c r="F299" s="6" t="s">
        <v>132</v>
      </c>
      <c r="G299" s="1" t="s">
        <v>6579</v>
      </c>
      <c r="H299" s="1" t="s">
        <v>6580</v>
      </c>
      <c r="I299" s="1" t="s">
        <v>6581</v>
      </c>
      <c r="J299" s="6" t="s">
        <v>6582</v>
      </c>
      <c r="K299" s="1" t="s">
        <v>6583</v>
      </c>
      <c r="L299" s="1" t="s">
        <v>6584</v>
      </c>
      <c r="M299" s="1" t="s">
        <v>6585</v>
      </c>
      <c r="N299" s="6" t="s">
        <v>132</v>
      </c>
      <c r="O299" s="6" t="s">
        <v>6586</v>
      </c>
      <c r="P299" s="1" t="s">
        <v>6587</v>
      </c>
      <c r="Q299" s="1" t="s">
        <v>6588</v>
      </c>
      <c r="R299" s="1" t="s">
        <v>6589</v>
      </c>
      <c r="S299" s="10" t="s">
        <v>6590</v>
      </c>
      <c r="T299" s="1" t="s">
        <v>6591</v>
      </c>
      <c r="U299" s="1" t="s">
        <v>6592</v>
      </c>
      <c r="V299" s="1" t="s">
        <v>6588</v>
      </c>
      <c r="W299" s="1" t="s">
        <v>6593</v>
      </c>
      <c r="X299" s="1" t="s">
        <v>6594</v>
      </c>
      <c r="Y299" s="1" t="s">
        <v>6595</v>
      </c>
      <c r="Z299" s="1" t="s">
        <v>6596</v>
      </c>
      <c r="AA299" s="1" t="s">
        <v>6597</v>
      </c>
      <c r="AB299" s="1" t="s">
        <v>6598</v>
      </c>
      <c r="AC299" s="1" t="s">
        <v>6599</v>
      </c>
      <c r="AD299" s="6" t="s">
        <v>6600</v>
      </c>
      <c r="AE299" s="1" t="s">
        <v>6600</v>
      </c>
      <c r="AF299" s="1" t="s">
        <v>6601</v>
      </c>
      <c r="AG299" s="6" t="s">
        <v>6602</v>
      </c>
      <c r="AH299" s="1" t="s">
        <v>6603</v>
      </c>
      <c r="AI299" s="6" t="s">
        <v>132</v>
      </c>
      <c r="AJ299" s="6" t="s">
        <v>6604</v>
      </c>
      <c r="AK299" s="1" t="s">
        <v>6605</v>
      </c>
      <c r="AL299" s="6" t="s">
        <v>6606</v>
      </c>
    </row>
    <row r="300" ht="15.75" hidden="1" customHeight="1">
      <c r="A300" s="1" t="s">
        <v>38</v>
      </c>
      <c r="B300" s="1" t="s">
        <v>6607</v>
      </c>
      <c r="C300" s="1" t="s">
        <v>6608</v>
      </c>
      <c r="D300" s="7" t="str">
        <f>IFERROR(__xludf.DUMMYFUNCTION("GOOGLETRANSLATE(C300, ""en"", ""ar"")"),"شارك جهة الإتصال")</f>
        <v>شارك جهة الإتصال</v>
      </c>
      <c r="E300" s="7" t="str">
        <f>IFERROR(__xludf.DUMMYFUNCTION("GOOGLETRANSLATE(C300, ""en"", ""bg"")"),"Споделяне на контакт. \ T")</f>
        <v>Споделяне на контакт. \ T</v>
      </c>
      <c r="F300" s="6" t="s">
        <v>132</v>
      </c>
      <c r="G300" s="7" t="str">
        <f>IFERROR(__xludf.DUMMYFUNCTION("GOOGLETRANSLATE(C300, ""en"", ""cs"")"),"Sdílet kontakt")</f>
        <v>Sdílet kontakt</v>
      </c>
      <c r="H300" s="7" t="str">
        <f>IFERROR(__xludf.DUMMYFUNCTION("GOOGLETRANSLATE(C300, ""en"", ""da"")"),"Del kontakt")</f>
        <v>Del kontakt</v>
      </c>
      <c r="I300" s="1" t="s">
        <v>6609</v>
      </c>
      <c r="J300" s="6" t="s">
        <v>132</v>
      </c>
      <c r="K300" s="1" t="s">
        <v>6610</v>
      </c>
      <c r="L300" s="7" t="str">
        <f>IFERROR(__xludf.DUMMYFUNCTION("GOOGLETRANSLATE(C300, ""en"", ""fi"")"),"Jaa yhteystiedot")</f>
        <v>Jaa yhteystiedot</v>
      </c>
      <c r="M300" s="1" t="s">
        <v>6611</v>
      </c>
      <c r="N300" s="6" t="s">
        <v>132</v>
      </c>
      <c r="O300" s="6" t="s">
        <v>132</v>
      </c>
      <c r="P300" s="1" t="s">
        <v>6612</v>
      </c>
      <c r="Q300" s="7" t="str">
        <f>IFERROR(__xludf.DUMMYFUNCTION("GOOGLETRANSLATE(C300, ""en"", ""in"")"),"Berbagi kontak")</f>
        <v>Berbagi kontak</v>
      </c>
      <c r="R300" s="7" t="str">
        <f>IFERROR(__xludf.DUMMYFUNCTION("GOOGLETRANSLATE(C300, ""en"", ""it"")"),"Condividi il contatto")</f>
        <v>Condividi il contatto</v>
      </c>
      <c r="S300" s="6" t="s">
        <v>132</v>
      </c>
      <c r="T300" s="7" t="str">
        <f>IFERROR(__xludf.DUMMYFUNCTION("GOOGLETRANSLATE(C300, ""en"", ""ja"")"),"連絡先を共有する")</f>
        <v>連絡先を共有する</v>
      </c>
      <c r="U300" s="7" t="str">
        <f>IFERROR(__xludf.DUMMYFUNCTION("GOOGLETRANSLATE(C300, ""en"", ""ko"")"),"연락처")</f>
        <v>연락처</v>
      </c>
      <c r="V300" s="7" t="str">
        <f>IFERROR(__xludf.DUMMYFUNCTION("GOOGLETRANSLATE(C300, ""en"", ""ms"")"),"Kongsi Hubungi")</f>
        <v>Kongsi Hubungi</v>
      </c>
      <c r="W300" s="7" t="str">
        <f>IFERROR(__xludf.DUMMYFUNCTION("GOOGLETRANSLATE(C300, ""en"", ""nl"")"),"Contact delen")</f>
        <v>Contact delen</v>
      </c>
      <c r="X300" s="7" t="str">
        <f>IFERROR(__xludf.DUMMYFUNCTION("GOOGLETRANSLATE(C300, ""en"", ""no"")"),"Del kontakt")</f>
        <v>Del kontakt</v>
      </c>
      <c r="Y300" s="7" t="str">
        <f>IFERROR(__xludf.DUMMYFUNCTION("GOOGLETRANSLATE(C300, ""en"", ""pl"")"),"Podziel się kontaktem")</f>
        <v>Podziel się kontaktem</v>
      </c>
      <c r="Z300" s="7" t="str">
        <f>IFERROR(__xludf.DUMMYFUNCTION("GOOGLETRANSLATE(C300, ""en"", ""pt"")"),"Compartilhar contato")</f>
        <v>Compartilhar contato</v>
      </c>
      <c r="AA300" s="7" t="str">
        <f>IFERROR(__xludf.DUMMYFUNCTION("GOOGLETRANSLATE(C300, ""en"", ""ro"")"),"Distribuie contact")</f>
        <v>Distribuie contact</v>
      </c>
      <c r="AB300" s="1" t="s">
        <v>6613</v>
      </c>
      <c r="AC300" s="7" t="str">
        <f>IFERROR(__xludf.DUMMYFUNCTION("GOOGLETRANSLATE(C300, ""en"", ""sk"")"),"Zdieľať kontakt")</f>
        <v>Zdieľať kontakt</v>
      </c>
      <c r="AD300" s="6" t="s">
        <v>132</v>
      </c>
      <c r="AE300" s="1" t="s">
        <v>6614</v>
      </c>
      <c r="AF300" s="7" t="str">
        <f>IFERROR(__xludf.DUMMYFUNCTION("GOOGLETRANSLATE(C300, ""en"", ""sv"")"),"Dela kontakt")</f>
        <v>Dela kontakt</v>
      </c>
      <c r="AG300" s="6" t="s">
        <v>132</v>
      </c>
      <c r="AH300" s="7" t="str">
        <f>IFERROR(__xludf.DUMMYFUNCTION("GOOGLETRANSLATE(C300, ""en"", ""tr"")"),"Bağlantı Paylaş")</f>
        <v>Bağlantı Paylaş</v>
      </c>
      <c r="AI300" s="6" t="s">
        <v>132</v>
      </c>
      <c r="AJ300" s="6" t="s">
        <v>132</v>
      </c>
      <c r="AK300" s="7" t="str">
        <f>IFERROR(__xludf.DUMMYFUNCTION("GOOGLETRANSLATE(C300, ""en"", ""zh"")"),"分享联系人")</f>
        <v>分享联系人</v>
      </c>
      <c r="AL300" s="6" t="s">
        <v>132</v>
      </c>
    </row>
    <row r="301" ht="15.75" customHeight="1">
      <c r="A301" s="1" t="s">
        <v>4051</v>
      </c>
      <c r="B301" s="1" t="s">
        <v>6615</v>
      </c>
      <c r="C301" s="1" t="s">
        <v>6616</v>
      </c>
      <c r="D301" s="8" t="s">
        <v>6617</v>
      </c>
      <c r="E301" s="1" t="s">
        <v>6618</v>
      </c>
      <c r="F301" s="6" t="s">
        <v>132</v>
      </c>
      <c r="G301" s="1" t="s">
        <v>6619</v>
      </c>
      <c r="H301" s="1" t="s">
        <v>6620</v>
      </c>
      <c r="I301" s="7" t="str">
        <f>IFERROR(__xludf.DUMMYFUNCTION("GOOGLETRANSLATE(C301, ""en"", ""de"")"),"Führende / nachlaufende Whitespaces, die nicht im Passwort erlaubt sind.")</f>
        <v>Führende / nachlaufende Whitespaces, die nicht im Passwort erlaubt sind.</v>
      </c>
      <c r="J301" s="6" t="s">
        <v>6621</v>
      </c>
      <c r="K301" s="1" t="s">
        <v>6622</v>
      </c>
      <c r="L301" s="1" t="s">
        <v>6623</v>
      </c>
      <c r="M301" s="1" t="s">
        <v>6624</v>
      </c>
      <c r="N301" s="6" t="s">
        <v>132</v>
      </c>
      <c r="O301" s="6" t="s">
        <v>6625</v>
      </c>
      <c r="P301" s="1" t="s">
        <v>6626</v>
      </c>
      <c r="Q301" s="1" t="s">
        <v>6627</v>
      </c>
      <c r="R301" s="13" t="s">
        <v>6628</v>
      </c>
      <c r="S301" s="10" t="s">
        <v>6629</v>
      </c>
      <c r="T301" s="1" t="s">
        <v>6630</v>
      </c>
      <c r="U301" s="1" t="s">
        <v>6631</v>
      </c>
      <c r="V301" s="1" t="s">
        <v>6632</v>
      </c>
      <c r="W301" s="1" t="s">
        <v>6633</v>
      </c>
      <c r="X301" s="1" t="s">
        <v>6634</v>
      </c>
      <c r="Y301" s="13" t="s">
        <v>6635</v>
      </c>
      <c r="Z301" s="1" t="s">
        <v>6636</v>
      </c>
      <c r="AA301" s="1" t="s">
        <v>6637</v>
      </c>
      <c r="AB301" s="1" t="s">
        <v>6638</v>
      </c>
      <c r="AC301" s="1" t="s">
        <v>6639</v>
      </c>
      <c r="AD301" s="6" t="s">
        <v>6640</v>
      </c>
      <c r="AE301" s="7" t="str">
        <f>IFERROR(__xludf.DUMMYFUNCTION("GOOGLETRANSLATE(C301, ""en"", ""sr"")"),"Водећа / трајна бели простор није дозвољен у лозинци.")</f>
        <v>Водећа / трајна бели простор није дозвољен у лозинци.</v>
      </c>
      <c r="AF301" s="1" t="s">
        <v>6641</v>
      </c>
      <c r="AG301" s="6" t="s">
        <v>6642</v>
      </c>
      <c r="AH301" s="1" t="s">
        <v>6643</v>
      </c>
      <c r="AI301" s="6" t="s">
        <v>132</v>
      </c>
      <c r="AJ301" s="6" t="s">
        <v>6644</v>
      </c>
      <c r="AK301" s="14" t="s">
        <v>6645</v>
      </c>
      <c r="AL301" s="6" t="s">
        <v>132</v>
      </c>
    </row>
    <row r="302" ht="15.75" customHeight="1">
      <c r="A302" s="1" t="s">
        <v>127</v>
      </c>
      <c r="B302" s="1" t="s">
        <v>6646</v>
      </c>
      <c r="C302" s="1" t="s">
        <v>6647</v>
      </c>
      <c r="D302" s="8" t="s">
        <v>6648</v>
      </c>
      <c r="E302" s="1" t="s">
        <v>6649</v>
      </c>
      <c r="F302" s="6" t="s">
        <v>132</v>
      </c>
      <c r="G302" s="1" t="s">
        <v>6650</v>
      </c>
      <c r="H302" s="1" t="s">
        <v>6651</v>
      </c>
      <c r="I302" s="1" t="s">
        <v>6652</v>
      </c>
      <c r="J302" s="6" t="s">
        <v>6653</v>
      </c>
      <c r="K302" s="1" t="s">
        <v>6654</v>
      </c>
      <c r="L302" s="1" t="s">
        <v>6655</v>
      </c>
      <c r="M302" s="1" t="s">
        <v>6647</v>
      </c>
      <c r="N302" s="6" t="s">
        <v>132</v>
      </c>
      <c r="O302" s="6" t="s">
        <v>6656</v>
      </c>
      <c r="P302" s="1" t="s">
        <v>6657</v>
      </c>
      <c r="Q302" s="1" t="s">
        <v>6658</v>
      </c>
      <c r="R302" s="1" t="s">
        <v>6654</v>
      </c>
      <c r="S302" s="10" t="s">
        <v>6659</v>
      </c>
      <c r="T302" s="1" t="s">
        <v>6660</v>
      </c>
      <c r="U302" s="1" t="s">
        <v>6661</v>
      </c>
      <c r="V302" s="1" t="s">
        <v>6658</v>
      </c>
      <c r="W302" s="1" t="s">
        <v>6647</v>
      </c>
      <c r="X302" s="1" t="s">
        <v>6662</v>
      </c>
      <c r="Y302" s="1" t="s">
        <v>6663</v>
      </c>
      <c r="Z302" s="1" t="s">
        <v>6654</v>
      </c>
      <c r="AA302" s="1" t="s">
        <v>6647</v>
      </c>
      <c r="AB302" s="1" t="s">
        <v>6664</v>
      </c>
      <c r="AC302" s="1" t="s">
        <v>6650</v>
      </c>
      <c r="AD302" s="6" t="s">
        <v>6647</v>
      </c>
      <c r="AE302" s="1" t="s">
        <v>6650</v>
      </c>
      <c r="AF302" s="1" t="s">
        <v>6665</v>
      </c>
      <c r="AG302" s="6" t="s">
        <v>6666</v>
      </c>
      <c r="AH302" s="1" t="s">
        <v>6667</v>
      </c>
      <c r="AI302" s="6" t="s">
        <v>132</v>
      </c>
      <c r="AJ302" s="6" t="s">
        <v>6668</v>
      </c>
      <c r="AK302" s="1" t="s">
        <v>6669</v>
      </c>
      <c r="AL302" s="6" t="s">
        <v>132</v>
      </c>
    </row>
    <row r="303" ht="15.75" hidden="1" customHeight="1">
      <c r="A303" s="1" t="s">
        <v>38</v>
      </c>
      <c r="B303" s="1" t="s">
        <v>6670</v>
      </c>
      <c r="C303" s="1" t="s">
        <v>6671</v>
      </c>
      <c r="D303" s="7" t="str">
        <f>IFERROR(__xludf.DUMMYFUNCTION("GOOGLETRANSLATE(C303, ""en"", ""ar"")"),"جزر المالديف")</f>
        <v>جزر المالديف</v>
      </c>
      <c r="E303" s="7" t="str">
        <f>IFERROR(__xludf.DUMMYFUNCTION("GOOGLETRANSLATE(C303, ""en"", ""bg"")"),"Малдиви")</f>
        <v>Малдиви</v>
      </c>
      <c r="F303" s="6" t="s">
        <v>132</v>
      </c>
      <c r="G303" s="7" t="str">
        <f>IFERROR(__xludf.DUMMYFUNCTION("GOOGLETRANSLATE(C303, ""en"", ""cs"")"),"Maledivy")</f>
        <v>Maledivy</v>
      </c>
      <c r="H303" s="7" t="str">
        <f>IFERROR(__xludf.DUMMYFUNCTION("GOOGLETRANSLATE(C303, ""en"", ""da"")"),"Maldiverne.")</f>
        <v>Maldiverne.</v>
      </c>
      <c r="I303" s="1" t="s">
        <v>6672</v>
      </c>
      <c r="J303" s="6" t="s">
        <v>132</v>
      </c>
      <c r="K303" s="1" t="s">
        <v>6673</v>
      </c>
      <c r="L303" s="7" t="str">
        <f>IFERROR(__xludf.DUMMYFUNCTION("GOOGLETRANSLATE(C303, ""en"", ""fi"")"),"Malediivit")</f>
        <v>Malediivit</v>
      </c>
      <c r="M303" s="1" t="s">
        <v>6671</v>
      </c>
      <c r="N303" s="6" t="s">
        <v>132</v>
      </c>
      <c r="O303" s="6" t="s">
        <v>132</v>
      </c>
      <c r="P303" s="1" t="s">
        <v>6671</v>
      </c>
      <c r="Q303" s="7" t="str">
        <f>IFERROR(__xludf.DUMMYFUNCTION("GOOGLETRANSLATE(C303, ""en"", ""in"")"),"Maladewa")</f>
        <v>Maladewa</v>
      </c>
      <c r="R303" s="7" t="str">
        <f>IFERROR(__xludf.DUMMYFUNCTION("GOOGLETRANSLATE(C303, ""en"", ""it"")"),"Maldive")</f>
        <v>Maldive</v>
      </c>
      <c r="S303" s="6" t="s">
        <v>132</v>
      </c>
      <c r="T303" s="7" t="str">
        <f>IFERROR(__xludf.DUMMYFUNCTION("GOOGLETRANSLATE(C303, ""en"", ""ja"")"),"モルディブ")</f>
        <v>モルディブ</v>
      </c>
      <c r="U303" s="7" t="str">
        <f>IFERROR(__xludf.DUMMYFUNCTION("GOOGLETRANSLATE(C303, ""en"", ""ko"")"),"몰디브")</f>
        <v>몰디브</v>
      </c>
      <c r="V303" s="7" t="str">
        <f>IFERROR(__xludf.DUMMYFUNCTION("GOOGLETRANSLATE(C303, ""en"", ""ms"")"),"Maldives.")</f>
        <v>Maldives.</v>
      </c>
      <c r="W303" s="7" t="str">
        <f>IFERROR(__xludf.DUMMYFUNCTION("GOOGLETRANSLATE(C303, ""en"", ""nl"")"),"Maldiven")</f>
        <v>Maldiven</v>
      </c>
      <c r="X303" s="7" t="str">
        <f>IFERROR(__xludf.DUMMYFUNCTION("GOOGLETRANSLATE(C303, ""en"", ""no"")"),"Maldivene")</f>
        <v>Maldivene</v>
      </c>
      <c r="Y303" s="7" t="str">
        <f>IFERROR(__xludf.DUMMYFUNCTION("GOOGLETRANSLATE(C303, ""en"", ""pl"")"),"Malediwy")</f>
        <v>Malediwy</v>
      </c>
      <c r="Z303" s="7" t="str">
        <f>IFERROR(__xludf.DUMMYFUNCTION("GOOGLETRANSLATE(C303, ""en"", ""pt"")"),"Maldivas")</f>
        <v>Maldivas</v>
      </c>
      <c r="AA303" s="7" t="str">
        <f>IFERROR(__xludf.DUMMYFUNCTION("GOOGLETRANSLATE(C303, ""en"", ""ro"")"),"Maldives.")</f>
        <v>Maldives.</v>
      </c>
      <c r="AB303" s="1" t="s">
        <v>6674</v>
      </c>
      <c r="AC303" s="7" t="str">
        <f>IFERROR(__xludf.DUMMYFUNCTION("GOOGLETRANSLATE(C303, ""en"", ""sk"")"),"Maledivá")</f>
        <v>Maledivá</v>
      </c>
      <c r="AD303" s="6" t="s">
        <v>132</v>
      </c>
      <c r="AE303" s="1" t="s">
        <v>6675</v>
      </c>
      <c r="AF303" s="7" t="str">
        <f>IFERROR(__xludf.DUMMYFUNCTION("GOOGLETRANSLATE(C303, ""en"", ""sv"")"),"Maldiverna")</f>
        <v>Maldiverna</v>
      </c>
      <c r="AG303" s="6" t="s">
        <v>132</v>
      </c>
      <c r="AH303" s="7" t="str">
        <f>IFERROR(__xludf.DUMMYFUNCTION("GOOGLETRANSLATE(C303, ""en"", ""tr"")"),"Maldivler")</f>
        <v>Maldivler</v>
      </c>
      <c r="AI303" s="6" t="s">
        <v>132</v>
      </c>
      <c r="AJ303" s="6" t="s">
        <v>132</v>
      </c>
      <c r="AK303" s="7" t="str">
        <f>IFERROR(__xludf.DUMMYFUNCTION("GOOGLETRANSLATE(C303, ""en"", ""zh"")"),"马尔代夫")</f>
        <v>马尔代夫</v>
      </c>
      <c r="AL303" s="6" t="s">
        <v>132</v>
      </c>
    </row>
    <row r="304" ht="15.75" customHeight="1">
      <c r="A304" s="1" t="s">
        <v>127</v>
      </c>
      <c r="B304" s="1" t="s">
        <v>6676</v>
      </c>
      <c r="C304" s="1" t="s">
        <v>1928</v>
      </c>
      <c r="D304" s="8" t="s">
        <v>6677</v>
      </c>
      <c r="E304" s="1" t="s">
        <v>6678</v>
      </c>
      <c r="F304" s="6" t="s">
        <v>132</v>
      </c>
      <c r="G304" s="1" t="s">
        <v>6679</v>
      </c>
      <c r="H304" s="1" t="s">
        <v>6680</v>
      </c>
      <c r="I304" s="1" t="s">
        <v>1928</v>
      </c>
      <c r="J304" s="6" t="s">
        <v>6681</v>
      </c>
      <c r="K304" s="1" t="s">
        <v>6682</v>
      </c>
      <c r="L304" s="1" t="s">
        <v>6683</v>
      </c>
      <c r="M304" s="1" t="s">
        <v>6684</v>
      </c>
      <c r="N304" s="6" t="s">
        <v>132</v>
      </c>
      <c r="O304" s="6" t="s">
        <v>6685</v>
      </c>
      <c r="P304" s="1" t="s">
        <v>6686</v>
      </c>
      <c r="Q304" s="1" t="s">
        <v>6687</v>
      </c>
      <c r="R304" s="1" t="s">
        <v>6688</v>
      </c>
      <c r="S304" s="10" t="s">
        <v>6689</v>
      </c>
      <c r="T304" s="1" t="s">
        <v>6690</v>
      </c>
      <c r="U304" s="1" t="s">
        <v>6691</v>
      </c>
      <c r="V304" s="1" t="s">
        <v>6692</v>
      </c>
      <c r="W304" s="1" t="s">
        <v>1928</v>
      </c>
      <c r="X304" s="1" t="s">
        <v>3467</v>
      </c>
      <c r="Y304" s="1" t="s">
        <v>6693</v>
      </c>
      <c r="Z304" s="1" t="s">
        <v>6694</v>
      </c>
      <c r="AA304" s="1" t="s">
        <v>6695</v>
      </c>
      <c r="AB304" s="1" t="s">
        <v>6696</v>
      </c>
      <c r="AC304" s="1" t="s">
        <v>6697</v>
      </c>
      <c r="AD304" s="6" t="s">
        <v>6698</v>
      </c>
      <c r="AE304" s="1" t="s">
        <v>6698</v>
      </c>
      <c r="AF304" s="1" t="s">
        <v>6699</v>
      </c>
      <c r="AG304" s="6" t="s">
        <v>6700</v>
      </c>
      <c r="AH304" s="1" t="s">
        <v>6701</v>
      </c>
      <c r="AI304" s="6" t="s">
        <v>132</v>
      </c>
      <c r="AJ304" s="6" t="s">
        <v>6702</v>
      </c>
      <c r="AK304" s="1" t="s">
        <v>6703</v>
      </c>
      <c r="AL304" s="6" t="s">
        <v>132</v>
      </c>
    </row>
    <row r="305" ht="15.75" customHeight="1">
      <c r="A305" s="1" t="s">
        <v>127</v>
      </c>
      <c r="B305" s="1" t="s">
        <v>6704</v>
      </c>
      <c r="C305" s="1" t="s">
        <v>6705</v>
      </c>
      <c r="D305" s="8" t="s">
        <v>6706</v>
      </c>
      <c r="E305" s="1" t="s">
        <v>6707</v>
      </c>
      <c r="F305" s="6" t="s">
        <v>132</v>
      </c>
      <c r="G305" s="1" t="s">
        <v>6708</v>
      </c>
      <c r="H305" s="1" t="s">
        <v>6709</v>
      </c>
      <c r="I305" s="1" t="s">
        <v>6710</v>
      </c>
      <c r="J305" s="6" t="s">
        <v>6711</v>
      </c>
      <c r="K305" s="1" t="s">
        <v>6712</v>
      </c>
      <c r="L305" s="1" t="s">
        <v>6713</v>
      </c>
      <c r="M305" s="1" t="s">
        <v>6714</v>
      </c>
      <c r="N305" s="6" t="s">
        <v>132</v>
      </c>
      <c r="O305" s="6" t="s">
        <v>6715</v>
      </c>
      <c r="P305" s="1" t="s">
        <v>6716</v>
      </c>
      <c r="Q305" s="1" t="s">
        <v>6717</v>
      </c>
      <c r="R305" s="1" t="s">
        <v>6718</v>
      </c>
      <c r="S305" s="10" t="s">
        <v>6719</v>
      </c>
      <c r="T305" s="1" t="s">
        <v>6720</v>
      </c>
      <c r="U305" s="1" t="s">
        <v>6721</v>
      </c>
      <c r="V305" s="1" t="s">
        <v>6717</v>
      </c>
      <c r="W305" s="1" t="s">
        <v>6722</v>
      </c>
      <c r="X305" s="1" t="s">
        <v>6723</v>
      </c>
      <c r="Y305" s="1" t="s">
        <v>6724</v>
      </c>
      <c r="Z305" s="1" t="s">
        <v>6725</v>
      </c>
      <c r="AA305" s="1" t="s">
        <v>6726</v>
      </c>
      <c r="AB305" s="1" t="s">
        <v>6727</v>
      </c>
      <c r="AC305" s="1" t="s">
        <v>6728</v>
      </c>
      <c r="AD305" s="6" t="s">
        <v>6729</v>
      </c>
      <c r="AE305" s="1" t="s">
        <v>6730</v>
      </c>
      <c r="AF305" s="1" t="s">
        <v>6731</v>
      </c>
      <c r="AG305" s="6" t="s">
        <v>6732</v>
      </c>
      <c r="AH305" s="1" t="s">
        <v>6733</v>
      </c>
      <c r="AI305" s="6" t="s">
        <v>132</v>
      </c>
      <c r="AJ305" s="6" t="s">
        <v>6734</v>
      </c>
      <c r="AK305" s="1" t="s">
        <v>6735</v>
      </c>
      <c r="AL305" s="6" t="s">
        <v>132</v>
      </c>
    </row>
    <row r="306" ht="15.75" hidden="1" customHeight="1">
      <c r="A306" s="1" t="s">
        <v>38</v>
      </c>
      <c r="B306" s="1" t="s">
        <v>6736</v>
      </c>
      <c r="C306" s="1" t="s">
        <v>6737</v>
      </c>
      <c r="D306" s="8" t="s">
        <v>6738</v>
      </c>
      <c r="E306" s="1" t="s">
        <v>6739</v>
      </c>
      <c r="F306" s="6" t="s">
        <v>6740</v>
      </c>
      <c r="G306" s="7" t="str">
        <f>IFERROR(__xludf.DUMMYFUNCTION("GOOGLETRANSLATE(C306, ""en"", ""cs"")"),"Adresa serveru nebo .Onion")</f>
        <v>Adresa serveru nebo .Onion</v>
      </c>
      <c r="H306" s="7" t="str">
        <f>IFERROR(__xludf.DUMMYFUNCTION("GOOGLETRANSLATE(C306, ""en"", ""da"")"),"Server- eller .onion-adresse")</f>
        <v>Server- eller .onion-adresse</v>
      </c>
      <c r="I306" s="1" t="s">
        <v>6741</v>
      </c>
      <c r="J306" s="6" t="s">
        <v>132</v>
      </c>
      <c r="K306" s="1" t="s">
        <v>6737</v>
      </c>
      <c r="L306" s="7" t="str">
        <f>IFERROR(__xludf.DUMMYFUNCTION("GOOGLETRANSLATE(C306, ""en"", ""fi"")"),"Palvelin- tai .onion-osoite")</f>
        <v>Palvelin- tai .onion-osoite</v>
      </c>
      <c r="M306" s="1" t="s">
        <v>6742</v>
      </c>
      <c r="N306" s="6" t="s">
        <v>6743</v>
      </c>
      <c r="O306" s="6" t="s">
        <v>132</v>
      </c>
      <c r="P306" s="1" t="s">
        <v>6744</v>
      </c>
      <c r="Q306" s="7" t="str">
        <f>IFERROR(__xludf.DUMMYFUNCTION("GOOGLETRANSLATE(C306, ""en"", ""in"")"),"Server-atau .onion-Alamat")</f>
        <v>Server-atau .onion-Alamat</v>
      </c>
      <c r="R306" s="1" t="s">
        <v>6745</v>
      </c>
      <c r="S306" s="6" t="s">
        <v>132</v>
      </c>
      <c r="T306" s="1" t="s">
        <v>6746</v>
      </c>
      <c r="U306" s="1" t="s">
        <v>6747</v>
      </c>
      <c r="V306" s="7" t="str">
        <f>IFERROR(__xludf.DUMMYFUNCTION("GOOGLETRANSLATE(C306, ""en"", ""ms"")"),"Pelayan- atau .onion-alamat")</f>
        <v>Pelayan- atau .onion-alamat</v>
      </c>
      <c r="W306" s="1" t="s">
        <v>6748</v>
      </c>
      <c r="X306" s="7" t="str">
        <f>IFERROR(__xludf.DUMMYFUNCTION("GOOGLETRANSLATE(C306, ""en"", ""no"")"),"Server- eller .onion-adresse")</f>
        <v>Server- eller .onion-adresse</v>
      </c>
      <c r="Y306" s="1" t="s">
        <v>6749</v>
      </c>
      <c r="Z306" s="1" t="s">
        <v>6750</v>
      </c>
      <c r="AA306" s="7" t="str">
        <f>IFERROR(__xludf.DUMMYFUNCTION("GOOGLETRANSLATE(C306, ""en"", ""ro"")"),"Server- sau .onion-adresa")</f>
        <v>Server- sau .onion-adresa</v>
      </c>
      <c r="AB306" s="1" t="s">
        <v>6751</v>
      </c>
      <c r="AC306" s="7" t="str">
        <f>IFERROR(__xludf.DUMMYFUNCTION("GOOGLETRANSLATE(C306, ""en"", ""sk"")"),"Adresa servera alebo .onion")</f>
        <v>Adresa servera alebo .onion</v>
      </c>
      <c r="AD306" s="6" t="s">
        <v>132</v>
      </c>
      <c r="AE306" s="1" t="s">
        <v>6752</v>
      </c>
      <c r="AF306" s="1" t="s">
        <v>6753</v>
      </c>
      <c r="AG306" s="6" t="s">
        <v>132</v>
      </c>
      <c r="AH306" s="7" t="str">
        <f>IFERROR(__xludf.DUMMYFUNCTION("GOOGLETRANSLATE(C306, ""en"", ""tr"")"),"Sunucu veya .onion-adres")</f>
        <v>Sunucu veya .onion-adres</v>
      </c>
      <c r="AI306" s="6" t="s">
        <v>6754</v>
      </c>
      <c r="AJ306" s="6" t="s">
        <v>6755</v>
      </c>
      <c r="AK306" s="7" t="str">
        <f>IFERROR(__xludf.DUMMYFUNCTION("GOOGLETRANSLATE(C306, ""en"", ""zh"")"),"服务器或.onion-address")</f>
        <v>服务器或.onion-address</v>
      </c>
      <c r="AL306" s="6" t="s">
        <v>6756</v>
      </c>
    </row>
    <row r="307" ht="15.75" customHeight="1">
      <c r="A307" s="1" t="s">
        <v>127</v>
      </c>
      <c r="B307" s="1" t="s">
        <v>6757</v>
      </c>
      <c r="C307" s="1" t="s">
        <v>6758</v>
      </c>
      <c r="D307" s="8" t="s">
        <v>6759</v>
      </c>
      <c r="E307" s="1" t="s">
        <v>6760</v>
      </c>
      <c r="F307" s="6" t="s">
        <v>132</v>
      </c>
      <c r="G307" s="1" t="s">
        <v>6761</v>
      </c>
      <c r="H307" s="1" t="s">
        <v>6762</v>
      </c>
      <c r="I307" s="1" t="s">
        <v>6763</v>
      </c>
      <c r="J307" s="6" t="s">
        <v>6764</v>
      </c>
      <c r="K307" s="1" t="s">
        <v>6765</v>
      </c>
      <c r="L307" s="1" t="s">
        <v>6766</v>
      </c>
      <c r="M307" s="1" t="s">
        <v>6767</v>
      </c>
      <c r="N307" s="6" t="s">
        <v>132</v>
      </c>
      <c r="O307" s="6" t="s">
        <v>6768</v>
      </c>
      <c r="P307" s="1" t="s">
        <v>6769</v>
      </c>
      <c r="Q307" s="1" t="s">
        <v>6770</v>
      </c>
      <c r="R307" s="1" t="s">
        <v>6771</v>
      </c>
      <c r="S307" s="10" t="s">
        <v>6772</v>
      </c>
      <c r="T307" s="1" t="s">
        <v>6773</v>
      </c>
      <c r="U307" s="1" t="s">
        <v>6774</v>
      </c>
      <c r="V307" s="1" t="s">
        <v>6775</v>
      </c>
      <c r="W307" s="1" t="s">
        <v>6776</v>
      </c>
      <c r="X307" s="1" t="s">
        <v>6777</v>
      </c>
      <c r="Y307" s="1" t="s">
        <v>6778</v>
      </c>
      <c r="Z307" s="1" t="s">
        <v>6779</v>
      </c>
      <c r="AA307" s="1" t="s">
        <v>6780</v>
      </c>
      <c r="AB307" s="1" t="s">
        <v>6781</v>
      </c>
      <c r="AC307" s="1" t="s">
        <v>6782</v>
      </c>
      <c r="AD307" s="6" t="s">
        <v>6783</v>
      </c>
      <c r="AE307" s="1" t="s">
        <v>6784</v>
      </c>
      <c r="AF307" s="1" t="s">
        <v>6785</v>
      </c>
      <c r="AG307" s="6" t="s">
        <v>6786</v>
      </c>
      <c r="AH307" s="1" t="s">
        <v>6787</v>
      </c>
      <c r="AI307" s="6" t="s">
        <v>132</v>
      </c>
      <c r="AJ307" s="6" t="s">
        <v>6788</v>
      </c>
      <c r="AK307" s="1" t="s">
        <v>6789</v>
      </c>
      <c r="AL307" s="6" t="s">
        <v>132</v>
      </c>
    </row>
    <row r="308" ht="15.75" hidden="1" customHeight="1">
      <c r="A308" s="1" t="s">
        <v>38</v>
      </c>
      <c r="B308" s="1" t="s">
        <v>6790</v>
      </c>
      <c r="C308" s="1" t="s">
        <v>6791</v>
      </c>
      <c r="D308" s="8" t="s">
        <v>6792</v>
      </c>
      <c r="E308" s="1" t="s">
        <v>6793</v>
      </c>
      <c r="F308" s="6" t="s">
        <v>6794</v>
      </c>
      <c r="G308" s="7" t="str">
        <f>IFERROR(__xludf.DUMMYFUNCTION("GOOGLETRANSLATE(C308, ""en"", ""cs"")"),"Upravit předmět skupiny Chat")</f>
        <v>Upravit předmět skupiny Chat</v>
      </c>
      <c r="H308" s="7" t="str">
        <f>IFERROR(__xludf.DUMMYFUNCTION("GOOGLETRANSLATE(C308, ""en"", ""da"")"),"Rediger Gruppe Chat Emne")</f>
        <v>Rediger Gruppe Chat Emne</v>
      </c>
      <c r="I308" s="1" t="s">
        <v>6795</v>
      </c>
      <c r="J308" s="6" t="s">
        <v>132</v>
      </c>
      <c r="K308" s="1" t="s">
        <v>6796</v>
      </c>
      <c r="L308" s="7" t="str">
        <f>IFERROR(__xludf.DUMMYFUNCTION("GOOGLETRANSLATE(C308, ""en"", ""fi"")"),"Muokkaa ryhmäkeskustelua")</f>
        <v>Muokkaa ryhmäkeskustelua</v>
      </c>
      <c r="M308" s="1" t="s">
        <v>6797</v>
      </c>
      <c r="N308" s="6" t="s">
        <v>6798</v>
      </c>
      <c r="O308" s="6" t="s">
        <v>132</v>
      </c>
      <c r="P308" s="1" t="s">
        <v>6799</v>
      </c>
      <c r="Q308" s="7" t="str">
        <f>IFERROR(__xludf.DUMMYFUNCTION("GOOGLETRANSLATE(C308, ""en"", ""in"")"),"Edit subjek obrolan grup")</f>
        <v>Edit subjek obrolan grup</v>
      </c>
      <c r="R308" s="1" t="s">
        <v>6800</v>
      </c>
      <c r="S308" s="6" t="s">
        <v>132</v>
      </c>
      <c r="T308" s="1" t="s">
        <v>6801</v>
      </c>
      <c r="U308" s="7" t="str">
        <f>IFERROR(__xludf.DUMMYFUNCTION("GOOGLETRANSLATE(C308, ""en"", ""ko"")"),"그룹 채팅 제목 편집")</f>
        <v>그룹 채팅 제목 편집</v>
      </c>
      <c r="V308" s="7" t="str">
        <f>IFERROR(__xludf.DUMMYFUNCTION("GOOGLETRANSLATE(C308, ""en"", ""ms"")"),"Edit Subjek Sembang Kumpulan")</f>
        <v>Edit Subjek Sembang Kumpulan</v>
      </c>
      <c r="W308" s="1" t="s">
        <v>6802</v>
      </c>
      <c r="X308" s="7" t="str">
        <f>IFERROR(__xludf.DUMMYFUNCTION("GOOGLETRANSLATE(C308, ""en"", ""no"")"),"Rediger gruppe chat emne")</f>
        <v>Rediger gruppe chat emne</v>
      </c>
      <c r="Y308" s="1" t="s">
        <v>6803</v>
      </c>
      <c r="Z308" s="1" t="s">
        <v>6804</v>
      </c>
      <c r="AA308" s="7" t="str">
        <f>IFERROR(__xludf.DUMMYFUNCTION("GOOGLETRANSLATE(C308, ""en"", ""ro"")"),"Editați grupul de chat de grup")</f>
        <v>Editați grupul de chat de grup</v>
      </c>
      <c r="AB308" s="1" t="s">
        <v>6805</v>
      </c>
      <c r="AC308" s="7" t="str">
        <f>IFERROR(__xludf.DUMMYFUNCTION("GOOGLETRANSLATE(C308, ""en"", ""sk"")"),"Upraviť skupinový chat predmet")</f>
        <v>Upraviť skupinový chat predmet</v>
      </c>
      <c r="AD308" s="6" t="s">
        <v>132</v>
      </c>
      <c r="AE308" s="1" t="s">
        <v>6806</v>
      </c>
      <c r="AF308" s="7" t="str">
        <f>IFERROR(__xludf.DUMMYFUNCTION("GOOGLETRANSLATE(C308, ""en"", ""sv"")"),"Redigera gruppchattämne")</f>
        <v>Redigera gruppchattämne</v>
      </c>
      <c r="AG308" s="6" t="s">
        <v>132</v>
      </c>
      <c r="AH308" s="7" t="str">
        <f>IFERROR(__xludf.DUMMYFUNCTION("GOOGLETRANSLATE(C308, ""en"", ""tr"")"),"Grup Sohbetini Düzenle Konu")</f>
        <v>Grup Sohbetini Düzenle Konu</v>
      </c>
      <c r="AI308" s="6" t="s">
        <v>132</v>
      </c>
      <c r="AJ308" s="6" t="s">
        <v>132</v>
      </c>
      <c r="AK308" s="7" t="str">
        <f>IFERROR(__xludf.DUMMYFUNCTION("GOOGLETRANSLATE(C308, ""en"", ""zh"")"),"编辑组聊天主题")</f>
        <v>编辑组聊天主题</v>
      </c>
      <c r="AL308" s="6" t="s">
        <v>132</v>
      </c>
    </row>
    <row r="309" ht="15.75" customHeight="1">
      <c r="A309" s="1" t="s">
        <v>127</v>
      </c>
      <c r="B309" s="1" t="s">
        <v>6807</v>
      </c>
      <c r="C309" s="1" t="s">
        <v>6808</v>
      </c>
      <c r="D309" s="8" t="s">
        <v>6809</v>
      </c>
      <c r="E309" s="1" t="s">
        <v>6810</v>
      </c>
      <c r="F309" s="6" t="s">
        <v>132</v>
      </c>
      <c r="G309" s="1" t="s">
        <v>6808</v>
      </c>
      <c r="H309" s="1" t="s">
        <v>6808</v>
      </c>
      <c r="I309" s="1" t="s">
        <v>6808</v>
      </c>
      <c r="J309" s="6" t="s">
        <v>6811</v>
      </c>
      <c r="K309" s="1" t="s">
        <v>6812</v>
      </c>
      <c r="L309" s="1" t="s">
        <v>6808</v>
      </c>
      <c r="M309" s="1" t="s">
        <v>6808</v>
      </c>
      <c r="N309" s="6" t="s">
        <v>132</v>
      </c>
      <c r="O309" s="6" t="s">
        <v>6813</v>
      </c>
      <c r="P309" s="1" t="s">
        <v>6814</v>
      </c>
      <c r="Q309" s="1" t="s">
        <v>6808</v>
      </c>
      <c r="R309" s="1" t="s">
        <v>6815</v>
      </c>
      <c r="S309" s="10" t="s">
        <v>6816</v>
      </c>
      <c r="T309" s="1" t="s">
        <v>6817</v>
      </c>
      <c r="U309" s="1" t="s">
        <v>6818</v>
      </c>
      <c r="V309" s="1" t="s">
        <v>6808</v>
      </c>
      <c r="W309" s="1" t="s">
        <v>6808</v>
      </c>
      <c r="X309" s="1" t="s">
        <v>6808</v>
      </c>
      <c r="Y309" s="1" t="s">
        <v>6819</v>
      </c>
      <c r="Z309" s="1" t="s">
        <v>6820</v>
      </c>
      <c r="AA309" s="1" t="s">
        <v>6821</v>
      </c>
      <c r="AB309" s="1" t="s">
        <v>6822</v>
      </c>
      <c r="AC309" s="1" t="s">
        <v>6823</v>
      </c>
      <c r="AD309" s="6" t="s">
        <v>6824</v>
      </c>
      <c r="AE309" s="1" t="s">
        <v>6825</v>
      </c>
      <c r="AF309" s="1" t="s">
        <v>6808</v>
      </c>
      <c r="AG309" s="6" t="s">
        <v>6826</v>
      </c>
      <c r="AH309" s="1" t="s">
        <v>6827</v>
      </c>
      <c r="AI309" s="6" t="s">
        <v>132</v>
      </c>
      <c r="AJ309" s="6" t="s">
        <v>6828</v>
      </c>
      <c r="AK309" s="1" t="s">
        <v>6829</v>
      </c>
      <c r="AL309" s="6" t="s">
        <v>6830</v>
      </c>
    </row>
    <row r="310" ht="15.75" customHeight="1">
      <c r="A310" s="1" t="s">
        <v>127</v>
      </c>
      <c r="B310" s="1" t="s">
        <v>6831</v>
      </c>
      <c r="C310" s="1" t="s">
        <v>6832</v>
      </c>
      <c r="D310" s="8" t="s">
        <v>6833</v>
      </c>
      <c r="E310" s="1" t="s">
        <v>6834</v>
      </c>
      <c r="F310" s="6" t="s">
        <v>132</v>
      </c>
      <c r="G310" s="1" t="s">
        <v>6835</v>
      </c>
      <c r="H310" s="1" t="s">
        <v>6836</v>
      </c>
      <c r="I310" s="1" t="s">
        <v>6837</v>
      </c>
      <c r="J310" s="6" t="s">
        <v>6838</v>
      </c>
      <c r="K310" s="1" t="s">
        <v>6839</v>
      </c>
      <c r="L310" s="1" t="s">
        <v>6840</v>
      </c>
      <c r="M310" s="1" t="s">
        <v>6841</v>
      </c>
      <c r="N310" s="6" t="s">
        <v>132</v>
      </c>
      <c r="O310" s="6" t="s">
        <v>6842</v>
      </c>
      <c r="P310" s="1" t="s">
        <v>6832</v>
      </c>
      <c r="Q310" s="1" t="s">
        <v>6843</v>
      </c>
      <c r="R310" s="1" t="s">
        <v>6844</v>
      </c>
      <c r="S310" s="10" t="s">
        <v>6845</v>
      </c>
      <c r="T310" s="1" t="s">
        <v>6846</v>
      </c>
      <c r="U310" s="1" t="s">
        <v>6847</v>
      </c>
      <c r="V310" s="1" t="s">
        <v>6848</v>
      </c>
      <c r="W310" s="1" t="s">
        <v>6849</v>
      </c>
      <c r="X310" s="1" t="s">
        <v>6850</v>
      </c>
      <c r="Y310" s="1" t="s">
        <v>6851</v>
      </c>
      <c r="Z310" s="1" t="s">
        <v>6852</v>
      </c>
      <c r="AA310" s="1" t="s">
        <v>6853</v>
      </c>
      <c r="AB310" s="1" t="s">
        <v>6854</v>
      </c>
      <c r="AC310" s="1" t="s">
        <v>6855</v>
      </c>
      <c r="AD310" s="6" t="s">
        <v>6856</v>
      </c>
      <c r="AE310" s="1" t="s">
        <v>6857</v>
      </c>
      <c r="AF310" s="1" t="s">
        <v>6858</v>
      </c>
      <c r="AG310" s="6" t="s">
        <v>6859</v>
      </c>
      <c r="AH310" s="1" t="s">
        <v>6860</v>
      </c>
      <c r="AI310" s="6" t="s">
        <v>132</v>
      </c>
      <c r="AJ310" s="6" t="s">
        <v>6861</v>
      </c>
      <c r="AK310" s="1" t="s">
        <v>6862</v>
      </c>
      <c r="AL310" s="6" t="s">
        <v>6863</v>
      </c>
    </row>
    <row r="311" ht="15.75" customHeight="1">
      <c r="A311" s="1" t="s">
        <v>127</v>
      </c>
      <c r="B311" s="1" t="s">
        <v>6864</v>
      </c>
      <c r="C311" s="1" t="s">
        <v>5199</v>
      </c>
      <c r="D311" s="8" t="s">
        <v>6865</v>
      </c>
      <c r="E311" s="1" t="s">
        <v>5200</v>
      </c>
      <c r="F311" s="6" t="s">
        <v>132</v>
      </c>
      <c r="G311" s="1" t="s">
        <v>6866</v>
      </c>
      <c r="H311" s="1" t="s">
        <v>6867</v>
      </c>
      <c r="I311" s="1" t="s">
        <v>6868</v>
      </c>
      <c r="J311" s="6" t="s">
        <v>6869</v>
      </c>
      <c r="K311" s="1" t="s">
        <v>5201</v>
      </c>
      <c r="L311" s="1" t="s">
        <v>6870</v>
      </c>
      <c r="M311" s="1" t="s">
        <v>5204</v>
      </c>
      <c r="N311" s="6" t="s">
        <v>132</v>
      </c>
      <c r="O311" s="6" t="s">
        <v>6871</v>
      </c>
      <c r="P311" s="1" t="s">
        <v>6872</v>
      </c>
      <c r="Q311" s="1" t="s">
        <v>6873</v>
      </c>
      <c r="R311" s="1" t="s">
        <v>6874</v>
      </c>
      <c r="S311" s="10" t="s">
        <v>3826</v>
      </c>
      <c r="T311" s="1" t="s">
        <v>6875</v>
      </c>
      <c r="U311" s="1" t="s">
        <v>6876</v>
      </c>
      <c r="V311" s="1" t="s">
        <v>6877</v>
      </c>
      <c r="W311" s="13" t="s">
        <v>5208</v>
      </c>
      <c r="X311" s="1" t="s">
        <v>6867</v>
      </c>
      <c r="Y311" s="1" t="s">
        <v>5209</v>
      </c>
      <c r="Z311" s="1" t="s">
        <v>5210</v>
      </c>
      <c r="AA311" s="1" t="s">
        <v>6878</v>
      </c>
      <c r="AB311" s="1" t="s">
        <v>6879</v>
      </c>
      <c r="AC311" s="1" t="s">
        <v>6880</v>
      </c>
      <c r="AD311" s="6" t="s">
        <v>6881</v>
      </c>
      <c r="AE311" s="1" t="s">
        <v>6882</v>
      </c>
      <c r="AF311" s="1" t="s">
        <v>6883</v>
      </c>
      <c r="AG311" s="6" t="s">
        <v>6884</v>
      </c>
      <c r="AH311" s="1" t="s">
        <v>6885</v>
      </c>
      <c r="AI311" s="6" t="s">
        <v>132</v>
      </c>
      <c r="AJ311" s="6" t="s">
        <v>6886</v>
      </c>
      <c r="AK311" s="1" t="s">
        <v>6887</v>
      </c>
      <c r="AL311" s="6" t="s">
        <v>6888</v>
      </c>
    </row>
    <row r="312" ht="15.75" customHeight="1">
      <c r="A312" s="1" t="s">
        <v>127</v>
      </c>
      <c r="B312" s="1" t="s">
        <v>6889</v>
      </c>
      <c r="C312" s="1" t="s">
        <v>6890</v>
      </c>
      <c r="D312" s="8" t="s">
        <v>6891</v>
      </c>
      <c r="E312" s="1" t="s">
        <v>6892</v>
      </c>
      <c r="F312" s="6" t="s">
        <v>132</v>
      </c>
      <c r="G312" s="1" t="s">
        <v>6893</v>
      </c>
      <c r="H312" s="1" t="s">
        <v>6894</v>
      </c>
      <c r="I312" s="1" t="s">
        <v>6895</v>
      </c>
      <c r="J312" s="6" t="s">
        <v>6896</v>
      </c>
      <c r="K312" s="1" t="s">
        <v>6897</v>
      </c>
      <c r="L312" s="1" t="s">
        <v>6898</v>
      </c>
      <c r="M312" s="1" t="s">
        <v>6899</v>
      </c>
      <c r="N312" s="6" t="s">
        <v>132</v>
      </c>
      <c r="O312" s="6" t="s">
        <v>6900</v>
      </c>
      <c r="P312" s="1" t="s">
        <v>6901</v>
      </c>
      <c r="Q312" s="1" t="s">
        <v>6902</v>
      </c>
      <c r="R312" s="1" t="s">
        <v>6903</v>
      </c>
      <c r="S312" s="10" t="s">
        <v>6904</v>
      </c>
      <c r="T312" s="1" t="s">
        <v>6905</v>
      </c>
      <c r="U312" s="1" t="s">
        <v>6906</v>
      </c>
      <c r="V312" s="1" t="s">
        <v>6907</v>
      </c>
      <c r="W312" s="1" t="s">
        <v>6908</v>
      </c>
      <c r="X312" s="1" t="s">
        <v>6909</v>
      </c>
      <c r="Y312" s="1" t="s">
        <v>6910</v>
      </c>
      <c r="Z312" s="1" t="s">
        <v>6911</v>
      </c>
      <c r="AA312" s="1" t="s">
        <v>6912</v>
      </c>
      <c r="AB312" s="1" t="s">
        <v>6913</v>
      </c>
      <c r="AC312" s="1" t="s">
        <v>6914</v>
      </c>
      <c r="AD312" s="6" t="s">
        <v>6915</v>
      </c>
      <c r="AE312" s="1" t="s">
        <v>6916</v>
      </c>
      <c r="AF312" s="1" t="s">
        <v>6917</v>
      </c>
      <c r="AG312" s="6" t="s">
        <v>6918</v>
      </c>
      <c r="AH312" s="1" t="s">
        <v>6919</v>
      </c>
      <c r="AI312" s="6" t="s">
        <v>132</v>
      </c>
      <c r="AJ312" s="6" t="s">
        <v>6920</v>
      </c>
      <c r="AK312" s="1" t="s">
        <v>6921</v>
      </c>
      <c r="AL312" s="6" t="s">
        <v>6922</v>
      </c>
    </row>
    <row r="313" ht="15.75" customHeight="1">
      <c r="A313" s="1" t="s">
        <v>127</v>
      </c>
      <c r="B313" s="1" t="s">
        <v>6923</v>
      </c>
      <c r="C313" s="1" t="s">
        <v>6924</v>
      </c>
      <c r="D313" s="8" t="s">
        <v>6925</v>
      </c>
      <c r="E313" s="1" t="s">
        <v>6926</v>
      </c>
      <c r="F313" s="6" t="s">
        <v>132</v>
      </c>
      <c r="G313" s="1" t="s">
        <v>6927</v>
      </c>
      <c r="H313" s="1" t="s">
        <v>6928</v>
      </c>
      <c r="I313" s="1" t="s">
        <v>6929</v>
      </c>
      <c r="J313" s="6" t="s">
        <v>6930</v>
      </c>
      <c r="K313" s="1" t="s">
        <v>6931</v>
      </c>
      <c r="L313" s="1" t="s">
        <v>6932</v>
      </c>
      <c r="M313" s="1" t="s">
        <v>6933</v>
      </c>
      <c r="N313" s="6" t="s">
        <v>132</v>
      </c>
      <c r="O313" s="6" t="s">
        <v>6934</v>
      </c>
      <c r="P313" s="1" t="s">
        <v>6935</v>
      </c>
      <c r="Q313" s="1" t="s">
        <v>6936</v>
      </c>
      <c r="R313" s="1" t="s">
        <v>6937</v>
      </c>
      <c r="S313" s="10" t="s">
        <v>6938</v>
      </c>
      <c r="T313" s="1" t="s">
        <v>6939</v>
      </c>
      <c r="U313" s="1" t="s">
        <v>6940</v>
      </c>
      <c r="V313" s="1" t="s">
        <v>6941</v>
      </c>
      <c r="W313" s="1" t="s">
        <v>6942</v>
      </c>
      <c r="X313" s="1" t="s">
        <v>6943</v>
      </c>
      <c r="Y313" s="1" t="s">
        <v>6944</v>
      </c>
      <c r="Z313" s="1" t="s">
        <v>6945</v>
      </c>
      <c r="AA313" s="1" t="s">
        <v>6946</v>
      </c>
      <c r="AB313" s="1" t="s">
        <v>6947</v>
      </c>
      <c r="AC313" s="1" t="s">
        <v>6948</v>
      </c>
      <c r="AD313" s="6" t="s">
        <v>6949</v>
      </c>
      <c r="AE313" s="1" t="s">
        <v>6950</v>
      </c>
      <c r="AF313" s="1" t="s">
        <v>6951</v>
      </c>
      <c r="AG313" s="6" t="s">
        <v>6952</v>
      </c>
      <c r="AH313" s="1" t="s">
        <v>6953</v>
      </c>
      <c r="AI313" s="6" t="s">
        <v>132</v>
      </c>
      <c r="AJ313" s="6" t="s">
        <v>6954</v>
      </c>
      <c r="AK313" s="1" t="s">
        <v>6955</v>
      </c>
      <c r="AL313" s="6" t="s">
        <v>6956</v>
      </c>
    </row>
    <row r="314" ht="15.75" customHeight="1">
      <c r="A314" s="1" t="s">
        <v>127</v>
      </c>
      <c r="B314" s="1" t="s">
        <v>6957</v>
      </c>
      <c r="C314" s="1" t="s">
        <v>6958</v>
      </c>
      <c r="D314" s="8" t="s">
        <v>6959</v>
      </c>
      <c r="E314" s="1" t="s">
        <v>6960</v>
      </c>
      <c r="F314" s="6" t="s">
        <v>132</v>
      </c>
      <c r="G314" s="1" t="s">
        <v>6961</v>
      </c>
      <c r="H314" s="1" t="s">
        <v>6962</v>
      </c>
      <c r="I314" s="1" t="s">
        <v>6958</v>
      </c>
      <c r="J314" s="6" t="s">
        <v>6958</v>
      </c>
      <c r="K314" s="1" t="s">
        <v>6958</v>
      </c>
      <c r="L314" s="1" t="s">
        <v>6963</v>
      </c>
      <c r="M314" s="1" t="s">
        <v>6964</v>
      </c>
      <c r="N314" s="6" t="s">
        <v>132</v>
      </c>
      <c r="O314" s="6" t="s">
        <v>6965</v>
      </c>
      <c r="P314" s="1" t="s">
        <v>6958</v>
      </c>
      <c r="Q314" s="1" t="s">
        <v>6966</v>
      </c>
      <c r="R314" s="1" t="s">
        <v>6958</v>
      </c>
      <c r="S314" s="10" t="s">
        <v>6967</v>
      </c>
      <c r="T314" s="1" t="s">
        <v>6968</v>
      </c>
      <c r="U314" s="1" t="s">
        <v>6969</v>
      </c>
      <c r="V314" s="1" t="s">
        <v>6966</v>
      </c>
      <c r="W314" s="1" t="s">
        <v>6958</v>
      </c>
      <c r="X314" s="1" t="s">
        <v>6970</v>
      </c>
      <c r="Y314" s="1" t="s">
        <v>6958</v>
      </c>
      <c r="Z314" s="1" t="s">
        <v>6971</v>
      </c>
      <c r="AA314" s="1" t="s">
        <v>6972</v>
      </c>
      <c r="AB314" s="1" t="s">
        <v>6973</v>
      </c>
      <c r="AC314" s="1" t="s">
        <v>6974</v>
      </c>
      <c r="AD314" s="6" t="s">
        <v>6975</v>
      </c>
      <c r="AE314" s="1" t="s">
        <v>6958</v>
      </c>
      <c r="AF314" s="1" t="s">
        <v>6976</v>
      </c>
      <c r="AG314" s="6" t="s">
        <v>6958</v>
      </c>
      <c r="AH314" s="1" t="s">
        <v>6977</v>
      </c>
      <c r="AI314" s="6" t="s">
        <v>132</v>
      </c>
      <c r="AJ314" s="6" t="s">
        <v>6978</v>
      </c>
      <c r="AK314" s="1" t="s">
        <v>6979</v>
      </c>
      <c r="AL314" s="6" t="s">
        <v>6980</v>
      </c>
    </row>
    <row r="315" ht="15.75" customHeight="1">
      <c r="A315" s="1" t="s">
        <v>127</v>
      </c>
      <c r="B315" s="1" t="s">
        <v>6981</v>
      </c>
      <c r="C315" s="1" t="s">
        <v>6982</v>
      </c>
      <c r="D315" s="8" t="s">
        <v>6983</v>
      </c>
      <c r="E315" s="1" t="s">
        <v>6984</v>
      </c>
      <c r="F315" s="6" t="s">
        <v>132</v>
      </c>
      <c r="G315" s="1" t="s">
        <v>6985</v>
      </c>
      <c r="H315" s="1" t="s">
        <v>6986</v>
      </c>
      <c r="I315" s="1" t="s">
        <v>6987</v>
      </c>
      <c r="J315" s="6" t="s">
        <v>6988</v>
      </c>
      <c r="K315" s="1" t="s">
        <v>6989</v>
      </c>
      <c r="L315" s="1" t="s">
        <v>6990</v>
      </c>
      <c r="M315" s="1" t="s">
        <v>6991</v>
      </c>
      <c r="N315" s="6" t="s">
        <v>132</v>
      </c>
      <c r="O315" s="6" t="s">
        <v>6992</v>
      </c>
      <c r="P315" s="1" t="s">
        <v>6993</v>
      </c>
      <c r="Q315" s="1" t="s">
        <v>6994</v>
      </c>
      <c r="R315" s="1" t="s">
        <v>6995</v>
      </c>
      <c r="S315" s="10" t="s">
        <v>6996</v>
      </c>
      <c r="T315" s="1" t="s">
        <v>6997</v>
      </c>
      <c r="U315" s="1" t="s">
        <v>6998</v>
      </c>
      <c r="V315" s="1" t="s">
        <v>6994</v>
      </c>
      <c r="W315" s="1" t="s">
        <v>6999</v>
      </c>
      <c r="X315" s="1" t="s">
        <v>6986</v>
      </c>
      <c r="Y315" s="1" t="s">
        <v>7000</v>
      </c>
      <c r="Z315" s="1" t="s">
        <v>7001</v>
      </c>
      <c r="AA315" s="1" t="s">
        <v>7002</v>
      </c>
      <c r="AB315" s="1" t="s">
        <v>7003</v>
      </c>
      <c r="AC315" s="1" t="s">
        <v>7004</v>
      </c>
      <c r="AD315" s="6" t="s">
        <v>7005</v>
      </c>
      <c r="AE315" s="1" t="s">
        <v>7005</v>
      </c>
      <c r="AF315" s="1" t="s">
        <v>7006</v>
      </c>
      <c r="AG315" s="6" t="s">
        <v>7007</v>
      </c>
      <c r="AH315" s="1" t="s">
        <v>7008</v>
      </c>
      <c r="AI315" s="6" t="s">
        <v>132</v>
      </c>
      <c r="AJ315" s="6" t="s">
        <v>7009</v>
      </c>
      <c r="AK315" s="1" t="s">
        <v>7010</v>
      </c>
      <c r="AL315" s="6" t="s">
        <v>7011</v>
      </c>
    </row>
    <row r="316" ht="15.75" customHeight="1">
      <c r="A316" s="1" t="s">
        <v>127</v>
      </c>
      <c r="B316" s="1" t="s">
        <v>7012</v>
      </c>
      <c r="C316" s="1" t="s">
        <v>7013</v>
      </c>
      <c r="D316" s="8" t="s">
        <v>7014</v>
      </c>
      <c r="E316" s="1" t="s">
        <v>7015</v>
      </c>
      <c r="F316" s="6" t="s">
        <v>132</v>
      </c>
      <c r="G316" s="1" t="s">
        <v>7016</v>
      </c>
      <c r="H316" s="1" t="s">
        <v>7013</v>
      </c>
      <c r="I316" s="1" t="s">
        <v>7013</v>
      </c>
      <c r="J316" s="6" t="s">
        <v>7013</v>
      </c>
      <c r="K316" s="1" t="s">
        <v>7013</v>
      </c>
      <c r="L316" s="1" t="s">
        <v>7017</v>
      </c>
      <c r="M316" s="1" t="s">
        <v>7013</v>
      </c>
      <c r="N316" s="6" t="s">
        <v>132</v>
      </c>
      <c r="O316" s="6" t="s">
        <v>7018</v>
      </c>
      <c r="P316" s="1" t="s">
        <v>7013</v>
      </c>
      <c r="Q316" s="1" t="s">
        <v>7019</v>
      </c>
      <c r="R316" s="1" t="s">
        <v>7013</v>
      </c>
      <c r="S316" s="10" t="s">
        <v>7020</v>
      </c>
      <c r="T316" s="1" t="s">
        <v>7021</v>
      </c>
      <c r="U316" s="1" t="s">
        <v>7022</v>
      </c>
      <c r="V316" s="1" t="s">
        <v>7019</v>
      </c>
      <c r="W316" s="1" t="s">
        <v>7013</v>
      </c>
      <c r="X316" s="1" t="s">
        <v>7013</v>
      </c>
      <c r="Y316" s="1" t="s">
        <v>7023</v>
      </c>
      <c r="Z316" s="1" t="s">
        <v>7013</v>
      </c>
      <c r="AA316" s="1" t="s">
        <v>7024</v>
      </c>
      <c r="AB316" s="1" t="s">
        <v>7025</v>
      </c>
      <c r="AC316" s="1" t="s">
        <v>7026</v>
      </c>
      <c r="AD316" s="6" t="s">
        <v>7027</v>
      </c>
      <c r="AE316" s="1" t="s">
        <v>7013</v>
      </c>
      <c r="AF316" s="1" t="s">
        <v>7028</v>
      </c>
      <c r="AG316" s="6" t="s">
        <v>7029</v>
      </c>
      <c r="AH316" s="1" t="s">
        <v>7030</v>
      </c>
      <c r="AI316" s="6" t="s">
        <v>132</v>
      </c>
      <c r="AJ316" s="6" t="s">
        <v>7031</v>
      </c>
      <c r="AK316" s="1" t="s">
        <v>7032</v>
      </c>
      <c r="AL316" s="6" t="s">
        <v>7033</v>
      </c>
    </row>
    <row r="317" ht="15.75" hidden="1" customHeight="1">
      <c r="A317" s="1" t="s">
        <v>38</v>
      </c>
      <c r="B317" s="1" t="s">
        <v>7034</v>
      </c>
      <c r="C317" s="1" t="s">
        <v>7035</v>
      </c>
      <c r="D317" s="7" t="str">
        <f>IFERROR(__xludf.DUMMYFUNCTION("GOOGLETRANSLATE(C317, ""en"", ""ar"")"),"لوكسمبورغ")</f>
        <v>لوكسمبورغ</v>
      </c>
      <c r="E317" s="7" t="str">
        <f>IFERROR(__xludf.DUMMYFUNCTION("GOOGLETRANSLATE(C317, ""en"", ""bg"")"),"Люксембург")</f>
        <v>Люксембург</v>
      </c>
      <c r="F317" s="6" t="s">
        <v>132</v>
      </c>
      <c r="G317" s="7" t="str">
        <f>IFERROR(__xludf.DUMMYFUNCTION("GOOGLETRANSLATE(C317, ""en"", ""cs"")"),"Lucembursko")</f>
        <v>Lucembursko</v>
      </c>
      <c r="H317" s="7" t="str">
        <f>IFERROR(__xludf.DUMMYFUNCTION("GOOGLETRANSLATE(C317, ""en"", ""da"")"),"Luxembourg.")</f>
        <v>Luxembourg.</v>
      </c>
      <c r="I317" s="1" t="s">
        <v>7035</v>
      </c>
      <c r="J317" s="6" t="s">
        <v>132</v>
      </c>
      <c r="K317" s="1" t="s">
        <v>7036</v>
      </c>
      <c r="L317" s="7" t="str">
        <f>IFERROR(__xludf.DUMMYFUNCTION("GOOGLETRANSLATE(C317, ""en"", ""fi"")"),"Luxemburg")</f>
        <v>Luxemburg</v>
      </c>
      <c r="M317" s="1" t="s">
        <v>7035</v>
      </c>
      <c r="N317" s="6" t="s">
        <v>132</v>
      </c>
      <c r="O317" s="6" t="s">
        <v>132</v>
      </c>
      <c r="P317" s="1" t="s">
        <v>7035</v>
      </c>
      <c r="Q317" s="7" t="str">
        <f>IFERROR(__xludf.DUMMYFUNCTION("GOOGLETRANSLATE(C317, ""en"", ""in"")"),"Luxembourg.")</f>
        <v>Luxembourg.</v>
      </c>
      <c r="R317" s="7" t="str">
        <f>IFERROR(__xludf.DUMMYFUNCTION("GOOGLETRANSLATE(C317, ""en"", ""it"")"),"Lussemburgo")</f>
        <v>Lussemburgo</v>
      </c>
      <c r="S317" s="6" t="s">
        <v>132</v>
      </c>
      <c r="T317" s="7" t="str">
        <f>IFERROR(__xludf.DUMMYFUNCTION("GOOGLETRANSLATE(C317, ""en"", ""ja"")"),"ルクセンブルク")</f>
        <v>ルクセンブルク</v>
      </c>
      <c r="U317" s="7" t="str">
        <f>IFERROR(__xludf.DUMMYFUNCTION("GOOGLETRANSLATE(C317, ""en"", ""ko"")"),"룩셈부르크")</f>
        <v>룩셈부르크</v>
      </c>
      <c r="V317" s="7" t="str">
        <f>IFERROR(__xludf.DUMMYFUNCTION("GOOGLETRANSLATE(C317, ""en"", ""ms"")"),"Luxembourg.")</f>
        <v>Luxembourg.</v>
      </c>
      <c r="W317" s="7" t="str">
        <f>IFERROR(__xludf.DUMMYFUNCTION("GOOGLETRANSLATE(C317, ""en"", ""nl"")"),"Luxemburg")</f>
        <v>Luxemburg</v>
      </c>
      <c r="X317" s="7" t="str">
        <f>IFERROR(__xludf.DUMMYFUNCTION("GOOGLETRANSLATE(C317, ""en"", ""no"")"),"Luxembourg.")</f>
        <v>Luxembourg.</v>
      </c>
      <c r="Y317" s="7" t="str">
        <f>IFERROR(__xludf.DUMMYFUNCTION("GOOGLETRANSLATE(C317, ""en"", ""pl"")"),"Luksemburg")</f>
        <v>Luksemburg</v>
      </c>
      <c r="Z317" s="7" t="str">
        <f>IFERROR(__xludf.DUMMYFUNCTION("GOOGLETRANSLATE(C317, ""en"", ""pt"")"),"Luxemburgo")</f>
        <v>Luxemburgo</v>
      </c>
      <c r="AA317" s="7" t="str">
        <f>IFERROR(__xludf.DUMMYFUNCTION("GOOGLETRANSLATE(C317, ""en"", ""ro"")"),"Luxemburg")</f>
        <v>Luxemburg</v>
      </c>
      <c r="AB317" s="1" t="s">
        <v>7037</v>
      </c>
      <c r="AC317" s="7" t="str">
        <f>IFERROR(__xludf.DUMMYFUNCTION("GOOGLETRANSLATE(C317, ""en"", ""sk"")"),"Luxembursko")</f>
        <v>Luxembursko</v>
      </c>
      <c r="AD317" s="6" t="s">
        <v>132</v>
      </c>
      <c r="AE317" s="1" t="s">
        <v>7038</v>
      </c>
      <c r="AF317" s="7" t="str">
        <f>IFERROR(__xludf.DUMMYFUNCTION("GOOGLETRANSLATE(C317, ""en"", ""sv"")"),"Luxemburg")</f>
        <v>Luxemburg</v>
      </c>
      <c r="AG317" s="6" t="s">
        <v>132</v>
      </c>
      <c r="AH317" s="7" t="str">
        <f>IFERROR(__xludf.DUMMYFUNCTION("GOOGLETRANSLATE(C317, ""en"", ""tr"")"),"Lüksemburg")</f>
        <v>Lüksemburg</v>
      </c>
      <c r="AI317" s="6" t="s">
        <v>132</v>
      </c>
      <c r="AJ317" s="6" t="s">
        <v>132</v>
      </c>
      <c r="AK317" s="7" t="str">
        <f>IFERROR(__xludf.DUMMYFUNCTION("GOOGLETRANSLATE(C317, ""en"", ""zh"")"),"卢森堡")</f>
        <v>卢森堡</v>
      </c>
      <c r="AL317" s="6" t="s">
        <v>132</v>
      </c>
    </row>
    <row r="318" ht="15.75" hidden="1" customHeight="1">
      <c r="A318" s="1" t="s">
        <v>38</v>
      </c>
      <c r="B318" s="1" t="s">
        <v>7039</v>
      </c>
      <c r="C318" s="1" t="s">
        <v>7040</v>
      </c>
      <c r="D318" s="7" t="str">
        <f>IFERROR(__xludf.DUMMYFUNCTION("GOOGLETRANSLATE(C318, ""en"", ""ar"")"),"بلغاريا")</f>
        <v>بلغاريا</v>
      </c>
      <c r="E318" s="7" t="str">
        <f>IFERROR(__xludf.DUMMYFUNCTION("GOOGLETRANSLATE(C318, ""en"", ""bg"")"),"България")</f>
        <v>България</v>
      </c>
      <c r="F318" s="6" t="s">
        <v>132</v>
      </c>
      <c r="G318" s="7" t="str">
        <f>IFERROR(__xludf.DUMMYFUNCTION("GOOGLETRANSLATE(C318, ""en"", ""cs"")"),"Bulharsko")</f>
        <v>Bulharsko</v>
      </c>
      <c r="H318" s="7" t="str">
        <f>IFERROR(__xludf.DUMMYFUNCTION("GOOGLETRANSLATE(C318, ""en"", ""da"")"),"Bulgarien.")</f>
        <v>Bulgarien.</v>
      </c>
      <c r="I318" s="1" t="s">
        <v>7041</v>
      </c>
      <c r="J318" s="6" t="s">
        <v>132</v>
      </c>
      <c r="K318" s="1" t="s">
        <v>7040</v>
      </c>
      <c r="L318" s="7" t="str">
        <f>IFERROR(__xludf.DUMMYFUNCTION("GOOGLETRANSLATE(C318, ""en"", ""fi"")"),"Bulgaria")</f>
        <v>Bulgaria</v>
      </c>
      <c r="M318" s="1" t="s">
        <v>7042</v>
      </c>
      <c r="N318" s="6" t="s">
        <v>132</v>
      </c>
      <c r="O318" s="6" t="s">
        <v>132</v>
      </c>
      <c r="P318" s="1" t="s">
        <v>7040</v>
      </c>
      <c r="Q318" s="7" t="str">
        <f>IFERROR(__xludf.DUMMYFUNCTION("GOOGLETRANSLATE(C318, ""en"", ""in"")"),"Bulgaria")</f>
        <v>Bulgaria</v>
      </c>
      <c r="R318" s="7" t="str">
        <f>IFERROR(__xludf.DUMMYFUNCTION("GOOGLETRANSLATE(C318, ""en"", ""it"")"),"Bulgaria")</f>
        <v>Bulgaria</v>
      </c>
      <c r="S318" s="6" t="s">
        <v>132</v>
      </c>
      <c r="T318" s="7" t="str">
        <f>IFERROR(__xludf.DUMMYFUNCTION("GOOGLETRANSLATE(C318, ""en"", ""ja"")"),"ブルガリア")</f>
        <v>ブルガリア</v>
      </c>
      <c r="U318" s="7" t="str">
        <f>IFERROR(__xludf.DUMMYFUNCTION("GOOGLETRANSLATE(C318, ""en"", ""ko"")"),"불가리아")</f>
        <v>불가리아</v>
      </c>
      <c r="V318" s="7" t="str">
        <f>IFERROR(__xludf.DUMMYFUNCTION("GOOGLETRANSLATE(C318, ""en"", ""ms"")"),"Bulgaria.")</f>
        <v>Bulgaria.</v>
      </c>
      <c r="W318" s="7" t="str">
        <f>IFERROR(__xludf.DUMMYFUNCTION("GOOGLETRANSLATE(C318, ""en"", ""nl"")"),"Bulgarije")</f>
        <v>Bulgarije</v>
      </c>
      <c r="X318" s="7" t="str">
        <f>IFERROR(__xludf.DUMMYFUNCTION("GOOGLETRANSLATE(C318, ""en"", ""no"")"),"Bulgaria")</f>
        <v>Bulgaria</v>
      </c>
      <c r="Y318" s="7" t="str">
        <f>IFERROR(__xludf.DUMMYFUNCTION("GOOGLETRANSLATE(C318, ""en"", ""pl"")"),"Bułgaria")</f>
        <v>Bułgaria</v>
      </c>
      <c r="Z318" s="7" t="str">
        <f>IFERROR(__xludf.DUMMYFUNCTION("GOOGLETRANSLATE(C318, ""en"", ""pt"")"),"Bulgária")</f>
        <v>Bulgária</v>
      </c>
      <c r="AA318" s="7" t="str">
        <f>IFERROR(__xludf.DUMMYFUNCTION("GOOGLETRANSLATE(C318, ""en"", ""ro"")"),"Bulgaria")</f>
        <v>Bulgaria</v>
      </c>
      <c r="AB318" s="1" t="s">
        <v>7043</v>
      </c>
      <c r="AC318" s="7" t="str">
        <f>IFERROR(__xludf.DUMMYFUNCTION("GOOGLETRANSLATE(C318, ""en"", ""sk"")"),"Bulharsko")</f>
        <v>Bulharsko</v>
      </c>
      <c r="AD318" s="6" t="s">
        <v>132</v>
      </c>
      <c r="AE318" s="1" t="s">
        <v>7044</v>
      </c>
      <c r="AF318" s="7" t="str">
        <f>IFERROR(__xludf.DUMMYFUNCTION("GOOGLETRANSLATE(C318, ""en"", ""sv"")"),"Bulgarien")</f>
        <v>Bulgarien</v>
      </c>
      <c r="AG318" s="6" t="s">
        <v>132</v>
      </c>
      <c r="AH318" s="7" t="str">
        <f>IFERROR(__xludf.DUMMYFUNCTION("GOOGLETRANSLATE(C318, ""en"", ""tr"")"),"Bulgaristan")</f>
        <v>Bulgaristan</v>
      </c>
      <c r="AI318" s="6" t="s">
        <v>132</v>
      </c>
      <c r="AJ318" s="6" t="s">
        <v>132</v>
      </c>
      <c r="AK318" s="7" t="str">
        <f>IFERROR(__xludf.DUMMYFUNCTION("GOOGLETRANSLATE(C318, ""en"", ""zh"")"),"保加利亚")</f>
        <v>保加利亚</v>
      </c>
      <c r="AL318" s="6" t="s">
        <v>132</v>
      </c>
    </row>
    <row r="319" ht="15.75" customHeight="1">
      <c r="A319" s="1" t="s">
        <v>127</v>
      </c>
      <c r="B319" s="1" t="s">
        <v>7045</v>
      </c>
      <c r="C319" s="12" t="s">
        <v>132</v>
      </c>
      <c r="D319" s="8" t="s">
        <v>7046</v>
      </c>
      <c r="E319" s="7" t="str">
        <f>IFERROR(__xludf.DUMMYFUNCTION("GOOGLETRANSLATE(C319, ""en"", ""bg"")"),"#VALUE!")</f>
        <v>#VALUE!</v>
      </c>
      <c r="F319" s="6" t="s">
        <v>132</v>
      </c>
      <c r="G319" s="7" t="str">
        <f>IFERROR(__xludf.DUMMYFUNCTION("GOOGLETRANSLATE(C319, ""en"", ""cs"")"),"#VALUE!")</f>
        <v>#VALUE!</v>
      </c>
      <c r="H319" s="7" t="str">
        <f>IFERROR(__xludf.DUMMYFUNCTION("GOOGLETRANSLATE(C319, ""en"", ""da"")"),"#VALUE!")</f>
        <v>#VALUE!</v>
      </c>
      <c r="I319" s="7" t="str">
        <f>IFERROR(__xludf.DUMMYFUNCTION("GOOGLETRANSLATE(C319, ""en"", ""de"")"),"#VALUE!")</f>
        <v>#VALUE!</v>
      </c>
      <c r="J319" s="6" t="s">
        <v>132</v>
      </c>
      <c r="K319" s="7" t="str">
        <f>IFERROR(__xludf.DUMMYFUNCTION("GOOGLETRANSLATE(C319, ""en"", ""es"")"),"#VALUE!")</f>
        <v>#VALUE!</v>
      </c>
      <c r="L319" s="7" t="str">
        <f>IFERROR(__xludf.DUMMYFUNCTION("GOOGLETRANSLATE(C319, ""en"", ""fi"")"),"#VALUE!")</f>
        <v>#VALUE!</v>
      </c>
      <c r="M319" s="7" t="str">
        <f>IFERROR(__xludf.DUMMYFUNCTION("GOOGLETRANSLATE(C319, ""en"", ""fr"")"),"#VALUE!")</f>
        <v>#VALUE!</v>
      </c>
      <c r="N319" s="6" t="s">
        <v>132</v>
      </c>
      <c r="O319" s="6" t="s">
        <v>132</v>
      </c>
      <c r="P319" s="7" t="str">
        <f>IFERROR(__xludf.DUMMYFUNCTION("GOOGLETRANSLATE(C319, ""en"", ""hu"")"),"#VALUE!")</f>
        <v>#VALUE!</v>
      </c>
      <c r="Q319" s="7" t="str">
        <f>IFERROR(__xludf.DUMMYFUNCTION("GOOGLETRANSLATE(C319, ""en"", ""in"")"),"#VALUE!")</f>
        <v>#VALUE!</v>
      </c>
      <c r="R319" s="7" t="str">
        <f>IFERROR(__xludf.DUMMYFUNCTION("GOOGLETRANSLATE(C319, ""en"", ""it"")"),"#VALUE!")</f>
        <v>#VALUE!</v>
      </c>
      <c r="S319" s="6" t="s">
        <v>132</v>
      </c>
      <c r="T319" s="7" t="str">
        <f>IFERROR(__xludf.DUMMYFUNCTION("GOOGLETRANSLATE(C319, ""en"", ""ja"")"),"#VALUE!")</f>
        <v>#VALUE!</v>
      </c>
      <c r="U319" s="1" t="s">
        <v>7047</v>
      </c>
      <c r="V319" s="7" t="str">
        <f>IFERROR(__xludf.DUMMYFUNCTION("GOOGLETRANSLATE(C319, ""en"", ""ms"")"),"#VALUE!")</f>
        <v>#VALUE!</v>
      </c>
      <c r="W319" s="7" t="str">
        <f>IFERROR(__xludf.DUMMYFUNCTION("GOOGLETRANSLATE(C319, ""en"", ""nl"")"),"#VALUE!")</f>
        <v>#VALUE!</v>
      </c>
      <c r="X319" s="7" t="str">
        <f>IFERROR(__xludf.DUMMYFUNCTION("GOOGLETRANSLATE(C319, ""en"", ""no"")"),"#VALUE!")</f>
        <v>#VALUE!</v>
      </c>
      <c r="Y319" s="7" t="str">
        <f>IFERROR(__xludf.DUMMYFUNCTION("GOOGLETRANSLATE(C319, ""en"", ""pl"")"),"#VALUE!")</f>
        <v>#VALUE!</v>
      </c>
      <c r="Z319" s="7" t="str">
        <f>IFERROR(__xludf.DUMMYFUNCTION("GOOGLETRANSLATE(C319, ""en"", ""pt"")"),"#VALUE!")</f>
        <v>#VALUE!</v>
      </c>
      <c r="AA319" s="7" t="str">
        <f>IFERROR(__xludf.DUMMYFUNCTION("GOOGLETRANSLATE(C319, ""en"", ""ro"")"),"#VALUE!")</f>
        <v>#VALUE!</v>
      </c>
      <c r="AB319" s="7" t="str">
        <f>IFERROR(__xludf.DUMMYFUNCTION("GOOGLETRANSLATE(C319, ""en"", ""ru"")"),"#VALUE!")</f>
        <v>#VALUE!</v>
      </c>
      <c r="AC319" s="7" t="str">
        <f>IFERROR(__xludf.DUMMYFUNCTION("GOOGLETRANSLATE(C319, ""en"", ""sk"")"),"#VALUE!")</f>
        <v>#VALUE!</v>
      </c>
      <c r="AD319" s="6" t="s">
        <v>132</v>
      </c>
      <c r="AE319" s="7" t="str">
        <f>IFERROR(__xludf.DUMMYFUNCTION("GOOGLETRANSLATE(C319, ""en"", ""sr"")"),"#VALUE!")</f>
        <v>#VALUE!</v>
      </c>
      <c r="AF319" s="7" t="str">
        <f>IFERROR(__xludf.DUMMYFUNCTION("GOOGLETRANSLATE(C319, ""en"", ""sv"")"),"#VALUE!")</f>
        <v>#VALUE!</v>
      </c>
      <c r="AG319" s="6" t="s">
        <v>132</v>
      </c>
      <c r="AH319" s="7" t="str">
        <f>IFERROR(__xludf.DUMMYFUNCTION("GOOGLETRANSLATE(C319, ""en"", ""tr"")"),"#VALUE!")</f>
        <v>#VALUE!</v>
      </c>
      <c r="AI319" s="6" t="s">
        <v>132</v>
      </c>
      <c r="AJ319" s="6" t="s">
        <v>132</v>
      </c>
      <c r="AK319" s="7" t="str">
        <f>IFERROR(__xludf.DUMMYFUNCTION("GOOGLETRANSLATE(C319, ""en"", ""zh"")"),"#VALUE!")</f>
        <v>#VALUE!</v>
      </c>
      <c r="AL319" s="6" t="s">
        <v>132</v>
      </c>
    </row>
    <row r="320" ht="15.75" customHeight="1">
      <c r="A320" s="1" t="s">
        <v>127</v>
      </c>
      <c r="B320" s="1" t="s">
        <v>7048</v>
      </c>
      <c r="C320" s="1" t="s">
        <v>7049</v>
      </c>
      <c r="D320" s="8" t="s">
        <v>7050</v>
      </c>
      <c r="E320" s="1" t="s">
        <v>7051</v>
      </c>
      <c r="F320" s="6" t="s">
        <v>132</v>
      </c>
      <c r="G320" s="1" t="s">
        <v>7052</v>
      </c>
      <c r="H320" s="1" t="s">
        <v>7053</v>
      </c>
      <c r="I320" s="1" t="s">
        <v>7054</v>
      </c>
      <c r="J320" s="6" t="s">
        <v>7055</v>
      </c>
      <c r="K320" s="1" t="s">
        <v>7056</v>
      </c>
      <c r="L320" s="1" t="s">
        <v>7057</v>
      </c>
      <c r="M320" s="1" t="s">
        <v>7058</v>
      </c>
      <c r="N320" s="6" t="s">
        <v>132</v>
      </c>
      <c r="O320" s="6" t="s">
        <v>7059</v>
      </c>
      <c r="P320" s="1" t="s">
        <v>7060</v>
      </c>
      <c r="Q320" s="1" t="s">
        <v>7061</v>
      </c>
      <c r="R320" s="1" t="s">
        <v>7062</v>
      </c>
      <c r="S320" s="10" t="s">
        <v>7063</v>
      </c>
      <c r="T320" s="1" t="s">
        <v>7064</v>
      </c>
      <c r="U320" s="1" t="s">
        <v>7065</v>
      </c>
      <c r="V320" s="1" t="s">
        <v>7066</v>
      </c>
      <c r="W320" s="1" t="s">
        <v>7067</v>
      </c>
      <c r="X320" s="1" t="s">
        <v>7068</v>
      </c>
      <c r="Y320" s="1" t="s">
        <v>7069</v>
      </c>
      <c r="Z320" s="1" t="s">
        <v>7070</v>
      </c>
      <c r="AA320" s="1" t="s">
        <v>7071</v>
      </c>
      <c r="AB320" s="1" t="s">
        <v>7072</v>
      </c>
      <c r="AC320" s="1" t="s">
        <v>7073</v>
      </c>
      <c r="AD320" s="6" t="s">
        <v>7074</v>
      </c>
      <c r="AE320" s="1" t="s">
        <v>7075</v>
      </c>
      <c r="AF320" s="1" t="s">
        <v>7076</v>
      </c>
      <c r="AG320" s="6" t="s">
        <v>7077</v>
      </c>
      <c r="AH320" s="1" t="s">
        <v>7078</v>
      </c>
      <c r="AI320" s="6" t="s">
        <v>132</v>
      </c>
      <c r="AJ320" s="6" t="s">
        <v>7079</v>
      </c>
      <c r="AK320" s="1" t="s">
        <v>7080</v>
      </c>
      <c r="AL320" s="6" t="s">
        <v>132</v>
      </c>
    </row>
    <row r="321" ht="15.75" hidden="1" customHeight="1">
      <c r="A321" s="1" t="s">
        <v>38</v>
      </c>
      <c r="B321" s="1" t="s">
        <v>7081</v>
      </c>
      <c r="C321" s="1" t="s">
        <v>7082</v>
      </c>
      <c r="D321" s="8" t="s">
        <v>3038</v>
      </c>
      <c r="E321" s="1" t="s">
        <v>7083</v>
      </c>
      <c r="F321" s="6" t="s">
        <v>7084</v>
      </c>
      <c r="G321" s="7" t="str">
        <f>IFERROR(__xludf.DUMMYFUNCTION("GOOGLETRANSLATE(C321, ""en"", ""cs"")"),"Návštěvník")</f>
        <v>Návštěvník</v>
      </c>
      <c r="H321" s="7" t="str">
        <f>IFERROR(__xludf.DUMMYFUNCTION("GOOGLETRANSLATE(C321, ""en"", ""da"")"),"Besøgende")</f>
        <v>Besøgende</v>
      </c>
      <c r="I321" s="1" t="s">
        <v>7085</v>
      </c>
      <c r="J321" s="6" t="s">
        <v>132</v>
      </c>
      <c r="K321" s="1" t="s">
        <v>7086</v>
      </c>
      <c r="L321" s="7" t="str">
        <f>IFERROR(__xludf.DUMMYFUNCTION("GOOGLETRANSLATE(C321, ""en"", ""fi"")"),"Vierailija")</f>
        <v>Vierailija</v>
      </c>
      <c r="M321" s="1" t="s">
        <v>7087</v>
      </c>
      <c r="N321" s="6" t="s">
        <v>7086</v>
      </c>
      <c r="O321" s="6" t="s">
        <v>132</v>
      </c>
      <c r="P321" s="1" t="s">
        <v>7088</v>
      </c>
      <c r="Q321" s="9" t="s">
        <v>7089</v>
      </c>
      <c r="R321" s="1" t="s">
        <v>7090</v>
      </c>
      <c r="S321" s="6" t="s">
        <v>132</v>
      </c>
      <c r="T321" s="1" t="s">
        <v>7091</v>
      </c>
      <c r="U321" s="1" t="s">
        <v>7092</v>
      </c>
      <c r="V321" s="7" t="str">
        <f>IFERROR(__xludf.DUMMYFUNCTION("GOOGLETRANSLATE(C321, ""en"", ""ms"")"),"Pelawat")</f>
        <v>Pelawat</v>
      </c>
      <c r="W321" s="1" t="s">
        <v>7093</v>
      </c>
      <c r="X321" s="7" t="str">
        <f>IFERROR(__xludf.DUMMYFUNCTION("GOOGLETRANSLATE(C321, ""en"", ""no"")"),"Besøkende")</f>
        <v>Besøkende</v>
      </c>
      <c r="Y321" s="1" t="s">
        <v>7094</v>
      </c>
      <c r="Z321" s="1" t="s">
        <v>7086</v>
      </c>
      <c r="AA321" s="7" t="str">
        <f>IFERROR(__xludf.DUMMYFUNCTION("GOOGLETRANSLATE(C321, ""en"", ""ro"")"),"Vizitator")</f>
        <v>Vizitator</v>
      </c>
      <c r="AB321" s="1" t="s">
        <v>3053</v>
      </c>
      <c r="AC321" s="1" t="s">
        <v>7095</v>
      </c>
      <c r="AD321" s="6" t="s">
        <v>132</v>
      </c>
      <c r="AE321" s="1" t="s">
        <v>7096</v>
      </c>
      <c r="AF321" s="1" t="s">
        <v>7097</v>
      </c>
      <c r="AG321" s="6" t="s">
        <v>132</v>
      </c>
      <c r="AH321" s="7" t="str">
        <f>IFERROR(__xludf.DUMMYFUNCTION("GOOGLETRANSLATE(C321, ""en"", ""tr"")"),"Ziyaretçi")</f>
        <v>Ziyaretçi</v>
      </c>
      <c r="AI321" s="6" t="s">
        <v>7098</v>
      </c>
      <c r="AJ321" s="6" t="s">
        <v>7099</v>
      </c>
      <c r="AK321" s="7" t="str">
        <f>IFERROR(__xludf.DUMMYFUNCTION("GOOGLETRANSLATE(C321, ""en"", ""zh"")"),"游客")</f>
        <v>游客</v>
      </c>
      <c r="AL321" s="6" t="s">
        <v>7100</v>
      </c>
    </row>
    <row r="322" ht="15.75" hidden="1" customHeight="1">
      <c r="A322" s="1" t="s">
        <v>38</v>
      </c>
      <c r="B322" s="1" t="s">
        <v>7101</v>
      </c>
      <c r="C322" s="1" t="s">
        <v>7102</v>
      </c>
      <c r="D322" s="8" t="s">
        <v>7103</v>
      </c>
      <c r="E322" s="1" t="s">
        <v>7104</v>
      </c>
      <c r="F322" s="6" t="s">
        <v>7105</v>
      </c>
      <c r="G322" s="7" t="str">
        <f>IFERROR(__xludf.DUMMYFUNCTION("GOOGLETRANSLATE(C322, ""en"", ""cs"")"),"Nešifrovaný")</f>
        <v>Nešifrovaný</v>
      </c>
      <c r="H322" s="7" t="str">
        <f>IFERROR(__xludf.DUMMYFUNCTION("GOOGLETRANSLATE(C322, ""en"", ""da"")"),"Ukrypteret")</f>
        <v>Ukrypteret</v>
      </c>
      <c r="I322" s="1" t="s">
        <v>7106</v>
      </c>
      <c r="J322" s="6" t="s">
        <v>132</v>
      </c>
      <c r="K322" s="1" t="s">
        <v>7107</v>
      </c>
      <c r="L322" s="7" t="str">
        <f>IFERROR(__xludf.DUMMYFUNCTION("GOOGLETRANSLATE(C322, ""en"", ""fi"")"),"Salaamaton")</f>
        <v>Salaamaton</v>
      </c>
      <c r="M322" s="1" t="s">
        <v>7108</v>
      </c>
      <c r="N322" s="6" t="s">
        <v>7109</v>
      </c>
      <c r="O322" s="6" t="s">
        <v>132</v>
      </c>
      <c r="P322" s="1" t="s">
        <v>7110</v>
      </c>
      <c r="Q322" s="7" t="str">
        <f>IFERROR(__xludf.DUMMYFUNCTION("GOOGLETRANSLATE(C322, ""en"", ""in"")"),"Tdk terenkripsi")</f>
        <v>Tdk terenkripsi</v>
      </c>
      <c r="R322" s="1" t="s">
        <v>7111</v>
      </c>
      <c r="S322" s="6" t="s">
        <v>132</v>
      </c>
      <c r="T322" s="1" t="s">
        <v>7112</v>
      </c>
      <c r="U322" s="1" t="s">
        <v>7113</v>
      </c>
      <c r="V322" s="7" t="str">
        <f>IFERROR(__xludf.DUMMYFUNCTION("GOOGLETRANSLATE(C322, ""en"", ""ms"")"),"Tidak disahkan")</f>
        <v>Tidak disahkan</v>
      </c>
      <c r="W322" s="1" t="s">
        <v>7114</v>
      </c>
      <c r="X322" s="7" t="str">
        <f>IFERROR(__xludf.DUMMYFUNCTION("GOOGLETRANSLATE(C322, ""en"", ""no"")"),"Ukryptert")</f>
        <v>Ukryptert</v>
      </c>
      <c r="Y322" s="1" t="s">
        <v>7115</v>
      </c>
      <c r="Z322" s="1" t="s">
        <v>7116</v>
      </c>
      <c r="AA322" s="7" t="str">
        <f>IFERROR(__xludf.DUMMYFUNCTION("GOOGLETRANSLATE(C322, ""en"", ""ro"")"),"Necriptat")</f>
        <v>Necriptat</v>
      </c>
      <c r="AB322" s="1" t="s">
        <v>7117</v>
      </c>
      <c r="AC322" s="1" t="s">
        <v>7118</v>
      </c>
      <c r="AD322" s="6" t="s">
        <v>132</v>
      </c>
      <c r="AE322" s="1" t="s">
        <v>7104</v>
      </c>
      <c r="AF322" s="1" t="s">
        <v>7119</v>
      </c>
      <c r="AG322" s="6" t="s">
        <v>132</v>
      </c>
      <c r="AH322" s="7" t="str">
        <f>IFERROR(__xludf.DUMMYFUNCTION("GOOGLETRANSLATE(C322, ""en"", ""tr"")"),"Şifrelenmemiş")</f>
        <v>Şifrelenmemiş</v>
      </c>
      <c r="AI322" s="6" t="s">
        <v>7120</v>
      </c>
      <c r="AJ322" s="6" t="s">
        <v>7121</v>
      </c>
      <c r="AK322" s="7" t="str">
        <f>IFERROR(__xludf.DUMMYFUNCTION("GOOGLETRANSLATE(C322, ""en"", ""zh"")"),"未加密")</f>
        <v>未加密</v>
      </c>
      <c r="AL322" s="6" t="s">
        <v>7122</v>
      </c>
    </row>
    <row r="323" ht="15.75" hidden="1" customHeight="1">
      <c r="A323" s="1" t="s">
        <v>38</v>
      </c>
      <c r="B323" s="1" t="s">
        <v>7123</v>
      </c>
      <c r="C323" s="1" t="s">
        <v>7124</v>
      </c>
      <c r="D323" s="7" t="str">
        <f>IFERROR(__xludf.DUMMYFUNCTION("GOOGLETRANSLATE(C323, ""en"", ""ar"")"),"تحميل تطبيق أسواق الأسهم ودعنا نتحادث!")</f>
        <v>تحميل تطبيق أسواق الأسهم ودعنا نتحادث!</v>
      </c>
      <c r="E323" s="7" t="str">
        <f>IFERROR(__xludf.DUMMYFUNCTION("GOOGLETRANSLATE(C323, ""en"", ""bg"")"),"Изтегляне на приложението на фондовите пазари и нека разговаряме!")</f>
        <v>Изтегляне на приложението на фондовите пазари и нека разговаряме!</v>
      </c>
      <c r="F323" s="6" t="s">
        <v>132</v>
      </c>
      <c r="G323" s="7" t="str">
        <f>IFERROR(__xludf.DUMMYFUNCTION("GOOGLETRANSLATE(C323, ""en"", ""cs"")"),"Stáhněte si aplikaci akciových trzích a nechte nás chat!")</f>
        <v>Stáhněte si aplikaci akciových trzích a nechte nás chat!</v>
      </c>
      <c r="H323" s="7" t="str">
        <f>IFERROR(__xludf.DUMMYFUNCTION("GOOGLETRANSLATE(C323, ""en"", ""da"")"),"Download Stock Markets ansøgning og lad os chatte!")</f>
        <v>Download Stock Markets ansøgning og lad os chatte!</v>
      </c>
      <c r="I323" s="1" t="s">
        <v>7125</v>
      </c>
      <c r="J323" s="6" t="s">
        <v>132</v>
      </c>
      <c r="K323" s="1" t="s">
        <v>7126</v>
      </c>
      <c r="L323" s="7" t="str">
        <f>IFERROR(__xludf.DUMMYFUNCTION("GOOGLETRANSLATE(C323, ""en"", ""fi"")"),"Lataa osakemarkkinoiden sovellus ja anna keskustella!")</f>
        <v>Lataa osakemarkkinoiden sovellus ja anna keskustella!</v>
      </c>
      <c r="M323" s="1" t="s">
        <v>7127</v>
      </c>
      <c r="N323" s="6" t="s">
        <v>132</v>
      </c>
      <c r="O323" s="6" t="s">
        <v>132</v>
      </c>
      <c r="P323" s="1" t="s">
        <v>7128</v>
      </c>
      <c r="Q323" s="7" t="str">
        <f>IFERROR(__xludf.DUMMYFUNCTION("GOOGLETRANSLATE(C323, ""en"", ""in"")"),"Unduh aplikasi pasar saham dan biarkan kami mengobrol!")</f>
        <v>Unduh aplikasi pasar saham dan biarkan kami mengobrol!</v>
      </c>
      <c r="R323" s="13" t="s">
        <v>7129</v>
      </c>
      <c r="S323" s="6" t="s">
        <v>132</v>
      </c>
      <c r="T323" s="7" t="str">
        <f>IFERROR(__xludf.DUMMYFUNCTION("GOOGLETRANSLATE(C323, ""en"", ""ja"")"),"株式市場アプリケーションをダウンロードしてチャットをさせてください。")</f>
        <v>株式市場アプリケーションをダウンロードしてチャットをさせてください。</v>
      </c>
      <c r="U323" s="7" t="str">
        <f>IFERROR(__xludf.DUMMYFUNCTION("GOOGLETRANSLATE(C323, ""en"", ""ko"")"),"주식 시장 신청서를 다운로드하고 채팅합시다!")</f>
        <v>주식 시장 신청서를 다운로드하고 채팅합시다!</v>
      </c>
      <c r="V323" s="7" t="str">
        <f>IFERROR(__xludf.DUMMYFUNCTION("GOOGLETRANSLATE(C323, ""en"", ""ms"")"),"Muat turun aplikasi pasaran saham dan marilah kita berbual!")</f>
        <v>Muat turun aplikasi pasaran saham dan marilah kita berbual!</v>
      </c>
      <c r="W323" s="7" t="str">
        <f>IFERROR(__xludf.DUMMYFUNCTION("GOOGLETRANSLATE(C323, ""en"", ""nl"")"),"Download aanvraagmarkten Toepassing en laat ons chatten!")</f>
        <v>Download aanvraagmarkten Toepassing en laat ons chatten!</v>
      </c>
      <c r="X323" s="7" t="str">
        <f>IFERROR(__xludf.DUMMYFUNCTION("GOOGLETRANSLATE(C323, ""en"", ""no"")"),"Last ned aksjemarkedsprogrammet og la oss chatte!")</f>
        <v>Last ned aksjemarkedsprogrammet og la oss chatte!</v>
      </c>
      <c r="Y323" s="7" t="str">
        <f>IFERROR(__xludf.DUMMYFUNCTION("GOOGLETRANSLATE(C323, ""en"", ""pl"")"),"Pobierz aplikację na rynkach zapasów i pozwól nam rozmawiać!")</f>
        <v>Pobierz aplikację na rynkach zapasów i pozwól nam rozmawiać!</v>
      </c>
      <c r="Z323" s="7" t="str">
        <f>IFERROR(__xludf.DUMMYFUNCTION("GOOGLETRANSLATE(C323, ""en"", ""pt"")"),"Baixe o aplicativo de mercados de ações e deixe-nos conversar!")</f>
        <v>Baixe o aplicativo de mercados de ações e deixe-nos conversar!</v>
      </c>
      <c r="AA323" s="7" t="str">
        <f>IFERROR(__xludf.DUMMYFUNCTION("GOOGLETRANSLATE(C323, ""en"", ""ro"")"),"Descărcați aplicația piețelor bursiere și permiteți-ne chat!")</f>
        <v>Descărcați aplicația piețelor bursiere și permiteți-ne chat!</v>
      </c>
      <c r="AB323" s="1" t="s">
        <v>7130</v>
      </c>
      <c r="AC323" s="7" t="str">
        <f>IFERROR(__xludf.DUMMYFUNCTION("GOOGLETRANSLATE(C323, ""en"", ""sk"")"),"Download Stock Markets Application a dajte nám chatovať!")</f>
        <v>Download Stock Markets Application a dajte nám chatovať!</v>
      </c>
      <c r="AD323" s="6" t="s">
        <v>132</v>
      </c>
      <c r="AE323" s="1" t="s">
        <v>7131</v>
      </c>
      <c r="AF323" s="7" t="str">
        <f>IFERROR(__xludf.DUMMYFUNCTION("GOOGLETRANSLATE(C323, ""en"", ""sv"")"),"Ladda ner aktiemarknadsprogram och låt oss chatta!")</f>
        <v>Ladda ner aktiemarknadsprogram och låt oss chatta!</v>
      </c>
      <c r="AG323" s="6" t="s">
        <v>132</v>
      </c>
      <c r="AH323" s="7" t="str">
        <f>IFERROR(__xludf.DUMMYFUNCTION("GOOGLETRANSLATE(C323, ""en"", ""tr"")"),"Stok Pazarları Uygulamasını indirin ve sohbet edelim!")</f>
        <v>Stok Pazarları Uygulamasını indirin ve sohbet edelim!</v>
      </c>
      <c r="AI323" s="6" t="s">
        <v>132</v>
      </c>
      <c r="AJ323" s="6" t="s">
        <v>132</v>
      </c>
      <c r="AK323" s="7" t="str">
        <f>IFERROR(__xludf.DUMMYFUNCTION("GOOGLETRANSLATE(C323, ""en"", ""zh"")"),"下载库存市场应用程序并让我们聊天！")</f>
        <v>下载库存市场应用程序并让我们聊天！</v>
      </c>
      <c r="AL323" s="6" t="s">
        <v>132</v>
      </c>
    </row>
    <row r="324" ht="15.75" hidden="1" customHeight="1">
      <c r="A324" s="1" t="s">
        <v>38</v>
      </c>
      <c r="B324" s="1" t="s">
        <v>7132</v>
      </c>
      <c r="C324" s="1" t="s">
        <v>7133</v>
      </c>
      <c r="D324" s="8" t="s">
        <v>7134</v>
      </c>
      <c r="E324" s="1" t="s">
        <v>7135</v>
      </c>
      <c r="F324" s="6" t="s">
        <v>7136</v>
      </c>
      <c r="G324" s="7" t="str">
        <f>IFERROR(__xludf.DUMMYFUNCTION("GOOGLETRANSLATE(C324, ""en"", ""cs"")"),"Konverzace uzavřena")</f>
        <v>Konverzace uzavřena</v>
      </c>
      <c r="H324" s="7" t="str">
        <f>IFERROR(__xludf.DUMMYFUNCTION("GOOGLETRANSLATE(C324, ""en"", ""da"")"),"Samtale lukket")</f>
        <v>Samtale lukket</v>
      </c>
      <c r="I324" s="1" t="s">
        <v>7137</v>
      </c>
      <c r="J324" s="6" t="s">
        <v>132</v>
      </c>
      <c r="K324" s="1" t="s">
        <v>7138</v>
      </c>
      <c r="L324" s="7" t="str">
        <f>IFERROR(__xludf.DUMMYFUNCTION("GOOGLETRANSLATE(C324, ""en"", ""fi"")"),"Keskustelu suljettu")</f>
        <v>Keskustelu suljettu</v>
      </c>
      <c r="M324" s="1" t="s">
        <v>7139</v>
      </c>
      <c r="N324" s="6" t="s">
        <v>7140</v>
      </c>
      <c r="O324" s="6" t="s">
        <v>132</v>
      </c>
      <c r="P324" s="1" t="s">
        <v>7141</v>
      </c>
      <c r="Q324" s="9" t="s">
        <v>7142</v>
      </c>
      <c r="R324" s="1" t="s">
        <v>7143</v>
      </c>
      <c r="S324" s="6" t="s">
        <v>132</v>
      </c>
      <c r="T324" s="1" t="s">
        <v>7144</v>
      </c>
      <c r="U324" s="1" t="s">
        <v>7145</v>
      </c>
      <c r="V324" s="7" t="str">
        <f>IFERROR(__xludf.DUMMYFUNCTION("GOOGLETRANSLATE(C324, ""en"", ""ms"")"),"Perbualan ditutup")</f>
        <v>Perbualan ditutup</v>
      </c>
      <c r="W324" s="1" t="s">
        <v>7146</v>
      </c>
      <c r="X324" s="7" t="str">
        <f>IFERROR(__xludf.DUMMYFUNCTION("GOOGLETRANSLATE(C324, ""en"", ""no"")"),"Samtale stengt")</f>
        <v>Samtale stengt</v>
      </c>
      <c r="Y324" s="1" t="s">
        <v>7147</v>
      </c>
      <c r="Z324" s="1" t="s">
        <v>7148</v>
      </c>
      <c r="AA324" s="7" t="str">
        <f>IFERROR(__xludf.DUMMYFUNCTION("GOOGLETRANSLATE(C324, ""en"", ""ro"")"),"Conversație închisă")</f>
        <v>Conversație închisă</v>
      </c>
      <c r="AB324" s="1" t="s">
        <v>7149</v>
      </c>
      <c r="AC324" s="1" t="s">
        <v>7150</v>
      </c>
      <c r="AD324" s="6" t="s">
        <v>132</v>
      </c>
      <c r="AE324" s="1" t="s">
        <v>7151</v>
      </c>
      <c r="AF324" s="1" t="s">
        <v>7152</v>
      </c>
      <c r="AG324" s="6" t="s">
        <v>132</v>
      </c>
      <c r="AH324" s="7" t="str">
        <f>IFERROR(__xludf.DUMMYFUNCTION("GOOGLETRANSLATE(C324, ""en"", ""tr"")"),"Konuşma Kapalı")</f>
        <v>Konuşma Kapalı</v>
      </c>
      <c r="AI324" s="6" t="s">
        <v>7153</v>
      </c>
      <c r="AJ324" s="6" t="s">
        <v>7154</v>
      </c>
      <c r="AK324" s="7" t="str">
        <f>IFERROR(__xludf.DUMMYFUNCTION("GOOGLETRANSLATE(C324, ""en"", ""zh"")"),"谈话关闭")</f>
        <v>谈话关闭</v>
      </c>
      <c r="AL324" s="6" t="s">
        <v>7155</v>
      </c>
    </row>
    <row r="325" ht="15.75" customHeight="1">
      <c r="A325" s="1" t="s">
        <v>127</v>
      </c>
      <c r="B325" s="1" t="s">
        <v>7156</v>
      </c>
      <c r="C325" s="1" t="s">
        <v>7157</v>
      </c>
      <c r="D325" s="8" t="s">
        <v>7158</v>
      </c>
      <c r="E325" s="1" t="s">
        <v>7159</v>
      </c>
      <c r="F325" s="6" t="s">
        <v>132</v>
      </c>
      <c r="G325" s="1" t="s">
        <v>7160</v>
      </c>
      <c r="H325" s="1" t="s">
        <v>7161</v>
      </c>
      <c r="I325" s="1" t="s">
        <v>7162</v>
      </c>
      <c r="J325" s="6" t="s">
        <v>7163</v>
      </c>
      <c r="K325" s="1" t="s">
        <v>7157</v>
      </c>
      <c r="L325" s="1" t="s">
        <v>7164</v>
      </c>
      <c r="M325" s="1" t="s">
        <v>7165</v>
      </c>
      <c r="N325" s="6" t="s">
        <v>132</v>
      </c>
      <c r="O325" s="6" t="s">
        <v>7166</v>
      </c>
      <c r="P325" s="1" t="s">
        <v>7157</v>
      </c>
      <c r="Q325" s="1" t="s">
        <v>7167</v>
      </c>
      <c r="R325" s="1" t="s">
        <v>7168</v>
      </c>
      <c r="S325" s="10" t="s">
        <v>7169</v>
      </c>
      <c r="T325" s="1" t="s">
        <v>7170</v>
      </c>
      <c r="U325" s="1" t="s">
        <v>7171</v>
      </c>
      <c r="V325" s="1" t="s">
        <v>7172</v>
      </c>
      <c r="W325" s="1" t="s">
        <v>7173</v>
      </c>
      <c r="X325" s="1" t="s">
        <v>7174</v>
      </c>
      <c r="Y325" s="1" t="s">
        <v>7175</v>
      </c>
      <c r="Z325" s="1" t="s">
        <v>7176</v>
      </c>
      <c r="AA325" s="1" t="s">
        <v>7177</v>
      </c>
      <c r="AB325" s="1" t="s">
        <v>7178</v>
      </c>
      <c r="AC325" s="1" t="s">
        <v>7179</v>
      </c>
      <c r="AD325" s="6" t="s">
        <v>7160</v>
      </c>
      <c r="AE325" s="1" t="s">
        <v>7157</v>
      </c>
      <c r="AF325" s="1" t="s">
        <v>7180</v>
      </c>
      <c r="AG325" s="6" t="s">
        <v>7181</v>
      </c>
      <c r="AH325" s="1" t="s">
        <v>7182</v>
      </c>
      <c r="AI325" s="6" t="s">
        <v>132</v>
      </c>
      <c r="AJ325" s="6" t="s">
        <v>7183</v>
      </c>
      <c r="AK325" s="1" t="s">
        <v>7184</v>
      </c>
      <c r="AL325" s="6" t="s">
        <v>7185</v>
      </c>
    </row>
    <row r="326" ht="15.75" hidden="1" customHeight="1">
      <c r="A326" s="1" t="s">
        <v>38</v>
      </c>
      <c r="B326" s="1" t="s">
        <v>7186</v>
      </c>
      <c r="C326" s="1" t="s">
        <v>7187</v>
      </c>
      <c r="D326" s="7" t="str">
        <f>IFERROR(__xludf.DUMMYFUNCTION("GOOGLETRANSLATE(C326, ""en"", ""ar"")"),"كيريباتي")</f>
        <v>كيريباتي</v>
      </c>
      <c r="E326" s="7" t="str">
        <f>IFERROR(__xludf.DUMMYFUNCTION("GOOGLETRANSLATE(C326, ""en"", ""bg"")"),"Кирибати")</f>
        <v>Кирибати</v>
      </c>
      <c r="F326" s="6" t="s">
        <v>132</v>
      </c>
      <c r="G326" s="7" t="str">
        <f>IFERROR(__xludf.DUMMYFUNCTION("GOOGLETRANSLATE(C326, ""en"", ""cs"")"),"Kiribati.")</f>
        <v>Kiribati.</v>
      </c>
      <c r="H326" s="7" t="str">
        <f>IFERROR(__xludf.DUMMYFUNCTION("GOOGLETRANSLATE(C326, ""en"", ""da"")"),"Kiribati.")</f>
        <v>Kiribati.</v>
      </c>
      <c r="I326" s="1" t="s">
        <v>7187</v>
      </c>
      <c r="J326" s="6" t="s">
        <v>132</v>
      </c>
      <c r="K326" s="1" t="s">
        <v>7187</v>
      </c>
      <c r="L326" s="7" t="str">
        <f>IFERROR(__xludf.DUMMYFUNCTION("GOOGLETRANSLATE(C326, ""en"", ""fi"")"),"Kiribati")</f>
        <v>Kiribati</v>
      </c>
      <c r="M326" s="1" t="s">
        <v>7187</v>
      </c>
      <c r="N326" s="6" t="s">
        <v>132</v>
      </c>
      <c r="O326" s="6" t="s">
        <v>132</v>
      </c>
      <c r="P326" s="1" t="s">
        <v>7187</v>
      </c>
      <c r="Q326" s="7" t="str">
        <f>IFERROR(__xludf.DUMMYFUNCTION("GOOGLETRANSLATE(C326, ""en"", ""in"")"),"Kiribati.")</f>
        <v>Kiribati.</v>
      </c>
      <c r="R326" s="7" t="str">
        <f>IFERROR(__xludf.DUMMYFUNCTION("GOOGLETRANSLATE(C326, ""en"", ""it"")"),"Kiribati.")</f>
        <v>Kiribati.</v>
      </c>
      <c r="S326" s="6" t="s">
        <v>132</v>
      </c>
      <c r="T326" s="7" t="str">
        <f>IFERROR(__xludf.DUMMYFUNCTION("GOOGLETRANSLATE(C326, ""en"", ""ja"")"),"キリバチ")</f>
        <v>キリバチ</v>
      </c>
      <c r="U326" s="7" t="str">
        <f>IFERROR(__xludf.DUMMYFUNCTION("GOOGLETRANSLATE(C326, ""en"", ""ko"")"),"키리바시")</f>
        <v>키리바시</v>
      </c>
      <c r="V326" s="7" t="str">
        <f>IFERROR(__xludf.DUMMYFUNCTION("GOOGLETRANSLATE(C326, ""en"", ""ms"")"),"Kiribati.")</f>
        <v>Kiribati.</v>
      </c>
      <c r="W326" s="7" t="str">
        <f>IFERROR(__xludf.DUMMYFUNCTION("GOOGLETRANSLATE(C326, ""en"", ""nl"")"),"Kiribati")</f>
        <v>Kiribati</v>
      </c>
      <c r="X326" s="7" t="str">
        <f>IFERROR(__xludf.DUMMYFUNCTION("GOOGLETRANSLATE(C326, ""en"", ""no"")"),"Kiribati.")</f>
        <v>Kiribati.</v>
      </c>
      <c r="Y326" s="7" t="str">
        <f>IFERROR(__xludf.DUMMYFUNCTION("GOOGLETRANSLATE(C326, ""en"", ""pl"")"),"Kiribati.")</f>
        <v>Kiribati.</v>
      </c>
      <c r="Z326" s="7" t="str">
        <f>IFERROR(__xludf.DUMMYFUNCTION("GOOGLETRANSLATE(C326, ""en"", ""pt"")"),"Kiribati.")</f>
        <v>Kiribati.</v>
      </c>
      <c r="AA326" s="7" t="str">
        <f>IFERROR(__xludf.DUMMYFUNCTION("GOOGLETRANSLATE(C326, ""en"", ""ro"")"),"Kiribati.")</f>
        <v>Kiribati.</v>
      </c>
      <c r="AB326" s="1" t="s">
        <v>7188</v>
      </c>
      <c r="AC326" s="7" t="str">
        <f>IFERROR(__xludf.DUMMYFUNCTION("GOOGLETRANSLATE(C326, ""en"", ""sk"")"),"Kiribati")</f>
        <v>Kiribati</v>
      </c>
      <c r="AD326" s="6" t="s">
        <v>132</v>
      </c>
      <c r="AE326" s="1" t="s">
        <v>7187</v>
      </c>
      <c r="AF326" s="7" t="str">
        <f>IFERROR(__xludf.DUMMYFUNCTION("GOOGLETRANSLATE(C326, ""en"", ""sv"")"),"Kiribati")</f>
        <v>Kiribati</v>
      </c>
      <c r="AG326" s="6" t="s">
        <v>132</v>
      </c>
      <c r="AH326" s="7" t="str">
        <f>IFERROR(__xludf.DUMMYFUNCTION("GOOGLETRANSLATE(C326, ""en"", ""tr"")"),"Kiribati")</f>
        <v>Kiribati</v>
      </c>
      <c r="AI326" s="6" t="s">
        <v>132</v>
      </c>
      <c r="AJ326" s="6" t="s">
        <v>132</v>
      </c>
      <c r="AK326" s="7" t="str">
        <f>IFERROR(__xludf.DUMMYFUNCTION("GOOGLETRANSLATE(C326, ""en"", ""zh"")"),"基里巴斯")</f>
        <v>基里巴斯</v>
      </c>
      <c r="AL326" s="6" t="s">
        <v>132</v>
      </c>
    </row>
    <row r="327" ht="15.75" hidden="1" customHeight="1">
      <c r="A327" s="1" t="s">
        <v>38</v>
      </c>
      <c r="B327" s="1" t="s">
        <v>7189</v>
      </c>
      <c r="C327" s="1" t="s">
        <v>7190</v>
      </c>
      <c r="D327" s="8" t="s">
        <v>7191</v>
      </c>
      <c r="E327" s="1" t="s">
        <v>7192</v>
      </c>
      <c r="F327" s="6" t="s">
        <v>7193</v>
      </c>
      <c r="G327" s="7" t="str">
        <f>IFERROR(__xludf.DUMMYFUNCTION("GOOGLETRANSLATE(C327, ""en"", ""cs"")"),"Kontakty")</f>
        <v>Kontakty</v>
      </c>
      <c r="H327" s="7" t="str">
        <f>IFERROR(__xludf.DUMMYFUNCTION("GOOGLETRANSLATE(C327, ""en"", ""da"")"),"Kontakter.")</f>
        <v>Kontakter.</v>
      </c>
      <c r="I327" s="1" t="s">
        <v>7194</v>
      </c>
      <c r="J327" s="6" t="s">
        <v>132</v>
      </c>
      <c r="K327" s="1" t="s">
        <v>7195</v>
      </c>
      <c r="L327" s="7" t="str">
        <f>IFERROR(__xludf.DUMMYFUNCTION("GOOGLETRANSLATE(C327, ""en"", ""fi"")"),"Yhteystiedot")</f>
        <v>Yhteystiedot</v>
      </c>
      <c r="M327" s="1" t="s">
        <v>7190</v>
      </c>
      <c r="N327" s="6" t="s">
        <v>7195</v>
      </c>
      <c r="O327" s="6" t="s">
        <v>132</v>
      </c>
      <c r="P327" s="1" t="s">
        <v>7196</v>
      </c>
      <c r="Q327" s="9" t="s">
        <v>7197</v>
      </c>
      <c r="R327" s="1" t="s">
        <v>7198</v>
      </c>
      <c r="S327" s="6" t="s">
        <v>132</v>
      </c>
      <c r="T327" s="1" t="s">
        <v>7199</v>
      </c>
      <c r="U327" s="1" t="s">
        <v>7200</v>
      </c>
      <c r="V327" s="7" t="str">
        <f>IFERROR(__xludf.DUMMYFUNCTION("GOOGLETRANSLATE(C327, ""en"", ""ms"")"),"Kenalan")</f>
        <v>Kenalan</v>
      </c>
      <c r="W327" s="1" t="s">
        <v>7201</v>
      </c>
      <c r="X327" s="7" t="str">
        <f>IFERROR(__xludf.DUMMYFUNCTION("GOOGLETRANSLATE(C327, ""en"", ""no"")"),"Kontakter")</f>
        <v>Kontakter</v>
      </c>
      <c r="Y327" s="1" t="s">
        <v>7202</v>
      </c>
      <c r="Z327" s="1" t="s">
        <v>7195</v>
      </c>
      <c r="AA327" s="7" t="str">
        <f>IFERROR(__xludf.DUMMYFUNCTION("GOOGLETRANSLATE(C327, ""en"", ""ro"")"),"Contacte")</f>
        <v>Contacte</v>
      </c>
      <c r="AB327" s="1" t="s">
        <v>7203</v>
      </c>
      <c r="AC327" s="1" t="s">
        <v>7202</v>
      </c>
      <c r="AD327" s="6" t="s">
        <v>132</v>
      </c>
      <c r="AE327" s="1" t="s">
        <v>7192</v>
      </c>
      <c r="AF327" s="1" t="s">
        <v>7204</v>
      </c>
      <c r="AG327" s="6" t="s">
        <v>132</v>
      </c>
      <c r="AH327" s="7" t="str">
        <f>IFERROR(__xludf.DUMMYFUNCTION("GOOGLETRANSLATE(C327, ""en"", ""tr"")"),"İletişim")</f>
        <v>İletişim</v>
      </c>
      <c r="AI327" s="6" t="s">
        <v>7192</v>
      </c>
      <c r="AJ327" s="6" t="s">
        <v>7205</v>
      </c>
      <c r="AK327" s="7" t="str">
        <f>IFERROR(__xludf.DUMMYFUNCTION("GOOGLETRANSLATE(C327, ""en"", ""zh"")"),"联系人")</f>
        <v>联系人</v>
      </c>
      <c r="AL327" s="6" t="s">
        <v>7206</v>
      </c>
    </row>
    <row r="328" ht="15.75" customHeight="1">
      <c r="A328" s="1" t="s">
        <v>127</v>
      </c>
      <c r="B328" s="1" t="s">
        <v>7207</v>
      </c>
      <c r="C328" s="1" t="s">
        <v>7208</v>
      </c>
      <c r="D328" s="8" t="s">
        <v>7209</v>
      </c>
      <c r="E328" s="1" t="s">
        <v>7210</v>
      </c>
      <c r="F328" s="6" t="s">
        <v>132</v>
      </c>
      <c r="G328" s="1" t="s">
        <v>7211</v>
      </c>
      <c r="H328" s="1" t="s">
        <v>7212</v>
      </c>
      <c r="I328" s="1" t="s">
        <v>7213</v>
      </c>
      <c r="J328" s="6" t="s">
        <v>7214</v>
      </c>
      <c r="K328" s="1" t="s">
        <v>7215</v>
      </c>
      <c r="L328" s="1" t="s">
        <v>7216</v>
      </c>
      <c r="M328" s="1" t="s">
        <v>7217</v>
      </c>
      <c r="N328" s="6" t="s">
        <v>132</v>
      </c>
      <c r="O328" s="6" t="s">
        <v>7218</v>
      </c>
      <c r="P328" s="1" t="s">
        <v>7219</v>
      </c>
      <c r="Q328" s="1" t="s">
        <v>7220</v>
      </c>
      <c r="R328" s="1" t="s">
        <v>7221</v>
      </c>
      <c r="S328" s="10" t="s">
        <v>7222</v>
      </c>
      <c r="T328" s="1" t="s">
        <v>7223</v>
      </c>
      <c r="U328" s="1" t="s">
        <v>7224</v>
      </c>
      <c r="V328" s="1" t="s">
        <v>7225</v>
      </c>
      <c r="W328" s="1" t="s">
        <v>7226</v>
      </c>
      <c r="X328" s="1" t="s">
        <v>7227</v>
      </c>
      <c r="Y328" s="1" t="s">
        <v>7228</v>
      </c>
      <c r="Z328" s="1" t="s">
        <v>7229</v>
      </c>
      <c r="AA328" s="1" t="s">
        <v>7230</v>
      </c>
      <c r="AB328" s="1" t="s">
        <v>7231</v>
      </c>
      <c r="AC328" s="1" t="s">
        <v>7232</v>
      </c>
      <c r="AD328" s="6" t="s">
        <v>7233</v>
      </c>
      <c r="AE328" s="1" t="s">
        <v>7234</v>
      </c>
      <c r="AF328" s="1" t="s">
        <v>7235</v>
      </c>
      <c r="AG328" s="6" t="s">
        <v>7236</v>
      </c>
      <c r="AH328" s="1" t="s">
        <v>7237</v>
      </c>
      <c r="AI328" s="6" t="s">
        <v>132</v>
      </c>
      <c r="AJ328" s="6" t="s">
        <v>7238</v>
      </c>
      <c r="AK328" s="1" t="s">
        <v>7239</v>
      </c>
      <c r="AL328" s="6" t="s">
        <v>132</v>
      </c>
    </row>
    <row r="329" ht="15.75" hidden="1" customHeight="1">
      <c r="A329" s="1" t="s">
        <v>38</v>
      </c>
      <c r="B329" s="1" t="s">
        <v>7240</v>
      </c>
      <c r="C329" s="1" t="s">
        <v>7241</v>
      </c>
      <c r="D329" s="8" t="s">
        <v>7242</v>
      </c>
      <c r="E329" s="1" t="s">
        <v>7243</v>
      </c>
      <c r="F329" s="6" t="s">
        <v>7244</v>
      </c>
      <c r="G329" s="7" t="str">
        <f>IFERROR(__xludf.DUMMYFUNCTION("GOOGLETRANSLATE(C329, ""en"", ""cs"")"),"Kontaktní údaje")</f>
        <v>Kontaktní údaje</v>
      </c>
      <c r="H329" s="7" t="str">
        <f>IFERROR(__xludf.DUMMYFUNCTION("GOOGLETRANSLATE(C329, ""en"", ""da"")"),"Kontaktoplysninger")</f>
        <v>Kontaktoplysninger</v>
      </c>
      <c r="I329" s="1" t="s">
        <v>7245</v>
      </c>
      <c r="J329" s="6" t="s">
        <v>132</v>
      </c>
      <c r="K329" s="1" t="s">
        <v>7246</v>
      </c>
      <c r="L329" s="7" t="str">
        <f>IFERROR(__xludf.DUMMYFUNCTION("GOOGLETRANSLATE(C329, ""en"", ""fi"")"),"Yhteystiedot")</f>
        <v>Yhteystiedot</v>
      </c>
      <c r="M329" s="1" t="s">
        <v>7247</v>
      </c>
      <c r="N329" s="6" t="s">
        <v>7248</v>
      </c>
      <c r="O329" s="6" t="s">
        <v>132</v>
      </c>
      <c r="P329" s="1" t="s">
        <v>7249</v>
      </c>
      <c r="Q329" s="9" t="s">
        <v>7250</v>
      </c>
      <c r="R329" s="1" t="s">
        <v>7251</v>
      </c>
      <c r="S329" s="6" t="s">
        <v>132</v>
      </c>
      <c r="T329" s="1" t="s">
        <v>7252</v>
      </c>
      <c r="U329" s="1" t="s">
        <v>7253</v>
      </c>
      <c r="V329" s="7" t="str">
        <f>IFERROR(__xludf.DUMMYFUNCTION("GOOGLETRANSLATE(C329, ""en"", ""ms"")"),"Butiran kenalan")</f>
        <v>Butiran kenalan</v>
      </c>
      <c r="W329" s="1" t="s">
        <v>7254</v>
      </c>
      <c r="X329" s="7" t="str">
        <f>IFERROR(__xludf.DUMMYFUNCTION("GOOGLETRANSLATE(C329, ""en"", ""no"")"),"Kontaktinformasjon")</f>
        <v>Kontaktinformasjon</v>
      </c>
      <c r="Y329" s="1" t="s">
        <v>7255</v>
      </c>
      <c r="Z329" s="1" t="s">
        <v>7256</v>
      </c>
      <c r="AA329" s="7" t="str">
        <f>IFERROR(__xludf.DUMMYFUNCTION("GOOGLETRANSLATE(C329, ""en"", ""ro"")"),"Detalii de contact")</f>
        <v>Detalii de contact</v>
      </c>
      <c r="AB329" s="1" t="s">
        <v>7257</v>
      </c>
      <c r="AC329" s="1" t="s">
        <v>7258</v>
      </c>
      <c r="AD329" s="6" t="s">
        <v>132</v>
      </c>
      <c r="AE329" s="1" t="s">
        <v>7259</v>
      </c>
      <c r="AF329" s="1" t="s">
        <v>7260</v>
      </c>
      <c r="AG329" s="6" t="s">
        <v>132</v>
      </c>
      <c r="AH329" s="7" t="str">
        <f>IFERROR(__xludf.DUMMYFUNCTION("GOOGLETRANSLATE(C329, ""en"", ""tr"")"),"İletişim detayları")</f>
        <v>İletişim detayları</v>
      </c>
      <c r="AI329" s="6" t="s">
        <v>7261</v>
      </c>
      <c r="AJ329" s="6" t="s">
        <v>7262</v>
      </c>
      <c r="AK329" s="7" t="str">
        <f>IFERROR(__xludf.DUMMYFUNCTION("GOOGLETRANSLATE(C329, ""en"", ""zh"")"),"联系方式")</f>
        <v>联系方式</v>
      </c>
      <c r="AL329" s="6" t="s">
        <v>7263</v>
      </c>
    </row>
    <row r="330" ht="15.75" customHeight="1">
      <c r="A330" s="1" t="s">
        <v>127</v>
      </c>
      <c r="B330" s="1" t="s">
        <v>7264</v>
      </c>
      <c r="C330" s="1" t="s">
        <v>7265</v>
      </c>
      <c r="D330" s="8" t="s">
        <v>7266</v>
      </c>
      <c r="E330" s="1" t="s">
        <v>7267</v>
      </c>
      <c r="F330" s="6" t="s">
        <v>132</v>
      </c>
      <c r="G330" s="1" t="s">
        <v>7268</v>
      </c>
      <c r="H330" s="1" t="s">
        <v>7269</v>
      </c>
      <c r="I330" s="1" t="s">
        <v>7270</v>
      </c>
      <c r="J330" s="6" t="s">
        <v>7271</v>
      </c>
      <c r="K330" s="1" t="s">
        <v>7272</v>
      </c>
      <c r="L330" s="1" t="s">
        <v>7273</v>
      </c>
      <c r="M330" s="1" t="s">
        <v>7274</v>
      </c>
      <c r="N330" s="6" t="s">
        <v>132</v>
      </c>
      <c r="O330" s="6" t="s">
        <v>7275</v>
      </c>
      <c r="P330" s="1" t="s">
        <v>7276</v>
      </c>
      <c r="Q330" s="1" t="s">
        <v>7277</v>
      </c>
      <c r="R330" s="1" t="s">
        <v>7278</v>
      </c>
      <c r="S330" s="10" t="s">
        <v>7279</v>
      </c>
      <c r="T330" s="1" t="s">
        <v>7280</v>
      </c>
      <c r="U330" s="1" t="s">
        <v>7281</v>
      </c>
      <c r="V330" s="1" t="s">
        <v>7277</v>
      </c>
      <c r="W330" s="1" t="s">
        <v>7282</v>
      </c>
      <c r="X330" s="1" t="s">
        <v>7283</v>
      </c>
      <c r="Y330" s="1" t="s">
        <v>7284</v>
      </c>
      <c r="Z330" s="1" t="s">
        <v>7285</v>
      </c>
      <c r="AA330" s="1" t="s">
        <v>7286</v>
      </c>
      <c r="AB330" s="1" t="s">
        <v>7287</v>
      </c>
      <c r="AC330" s="1" t="s">
        <v>7288</v>
      </c>
      <c r="AD330" s="6" t="s">
        <v>7289</v>
      </c>
      <c r="AE330" s="1" t="s">
        <v>7290</v>
      </c>
      <c r="AF330" s="1" t="s">
        <v>7291</v>
      </c>
      <c r="AG330" s="6" t="s">
        <v>7292</v>
      </c>
      <c r="AH330" s="1" t="s">
        <v>7293</v>
      </c>
      <c r="AI330" s="6" t="s">
        <v>132</v>
      </c>
      <c r="AJ330" s="6" t="s">
        <v>7294</v>
      </c>
      <c r="AK330" s="1" t="s">
        <v>7295</v>
      </c>
      <c r="AL330" s="6" t="s">
        <v>7296</v>
      </c>
    </row>
    <row r="331" ht="15.75" hidden="1" customHeight="1">
      <c r="A331" s="1" t="s">
        <v>38</v>
      </c>
      <c r="B331" s="1" t="s">
        <v>7297</v>
      </c>
      <c r="C331" s="1" t="s">
        <v>7298</v>
      </c>
      <c r="D331" s="7" t="str">
        <f>IFERROR(__xludf.DUMMYFUNCTION("GOOGLETRANSLATE(C331, ""en"", ""ar"")"),"غيانا")</f>
        <v>غيانا</v>
      </c>
      <c r="E331" s="7" t="str">
        <f>IFERROR(__xludf.DUMMYFUNCTION("GOOGLETRANSLATE(C331, ""en"", ""bg"")"),"Гвиана")</f>
        <v>Гвиана</v>
      </c>
      <c r="F331" s="6" t="s">
        <v>132</v>
      </c>
      <c r="G331" s="7" t="str">
        <f>IFERROR(__xludf.DUMMYFUNCTION("GOOGLETRANSLATE(C331, ""en"", ""cs"")"),"Guyana")</f>
        <v>Guyana</v>
      </c>
      <c r="H331" s="7" t="str">
        <f>IFERROR(__xludf.DUMMYFUNCTION("GOOGLETRANSLATE(C331, ""en"", ""da"")"),"Guyana.")</f>
        <v>Guyana.</v>
      </c>
      <c r="I331" s="1" t="s">
        <v>7298</v>
      </c>
      <c r="J331" s="6" t="s">
        <v>132</v>
      </c>
      <c r="K331" s="1" t="s">
        <v>7299</v>
      </c>
      <c r="L331" s="7" t="str">
        <f>IFERROR(__xludf.DUMMYFUNCTION("GOOGLETRANSLATE(C331, ""en"", ""fi"")"),"Guyana")</f>
        <v>Guyana</v>
      </c>
      <c r="M331" s="1" t="s">
        <v>7300</v>
      </c>
      <c r="N331" s="6" t="s">
        <v>132</v>
      </c>
      <c r="O331" s="6" t="s">
        <v>132</v>
      </c>
      <c r="P331" s="1" t="s">
        <v>7298</v>
      </c>
      <c r="Q331" s="7" t="str">
        <f>IFERROR(__xludf.DUMMYFUNCTION("GOOGLETRANSLATE(C331, ""en"", ""in"")"),"Guyana")</f>
        <v>Guyana</v>
      </c>
      <c r="R331" s="7" t="str">
        <f>IFERROR(__xludf.DUMMYFUNCTION("GOOGLETRANSLATE(C331, ""en"", ""it"")"),"Guyana")</f>
        <v>Guyana</v>
      </c>
      <c r="S331" s="6" t="s">
        <v>132</v>
      </c>
      <c r="T331" s="7" t="str">
        <f>IFERROR(__xludf.DUMMYFUNCTION("GOOGLETRANSLATE(C331, ""en"", ""ja"")"),"ガイナ")</f>
        <v>ガイナ</v>
      </c>
      <c r="U331" s="7" t="str">
        <f>IFERROR(__xludf.DUMMYFUNCTION("GOOGLETRANSLATE(C331, ""en"", ""ko"")"),"가이아나")</f>
        <v>가이아나</v>
      </c>
      <c r="V331" s="7" t="str">
        <f>IFERROR(__xludf.DUMMYFUNCTION("GOOGLETRANSLATE(C331, ""en"", ""ms"")"),"Guyana")</f>
        <v>Guyana</v>
      </c>
      <c r="W331" s="7" t="str">
        <f>IFERROR(__xludf.DUMMYFUNCTION("GOOGLETRANSLATE(C331, ""en"", ""nl"")"),"Guyana")</f>
        <v>Guyana</v>
      </c>
      <c r="X331" s="7" t="str">
        <f>IFERROR(__xludf.DUMMYFUNCTION("GOOGLETRANSLATE(C331, ""en"", ""no"")"),"Guyana.")</f>
        <v>Guyana.</v>
      </c>
      <c r="Y331" s="7" t="str">
        <f>IFERROR(__xludf.DUMMYFUNCTION("GOOGLETRANSLATE(C331, ""en"", ""pl"")"),"Gujana")</f>
        <v>Gujana</v>
      </c>
      <c r="Z331" s="7" t="str">
        <f>IFERROR(__xludf.DUMMYFUNCTION("GOOGLETRANSLATE(C331, ""en"", ""pt"")"),"Guiana")</f>
        <v>Guiana</v>
      </c>
      <c r="AA331" s="7" t="str">
        <f>IFERROR(__xludf.DUMMYFUNCTION("GOOGLETRANSLATE(C331, ""en"", ""ro"")"),"Guyana.")</f>
        <v>Guyana.</v>
      </c>
      <c r="AB331" s="1" t="s">
        <v>7301</v>
      </c>
      <c r="AC331" s="7" t="str">
        <f>IFERROR(__xludf.DUMMYFUNCTION("GOOGLETRANSLATE(C331, ""en"", ""sk"")"),"Guyana")</f>
        <v>Guyana</v>
      </c>
      <c r="AD331" s="6" t="s">
        <v>132</v>
      </c>
      <c r="AE331" s="1" t="s">
        <v>7302</v>
      </c>
      <c r="AF331" s="7" t="str">
        <f>IFERROR(__xludf.DUMMYFUNCTION("GOOGLETRANSLATE(C331, ""en"", ""sv"")"),"Grayana")</f>
        <v>Grayana</v>
      </c>
      <c r="AG331" s="6" t="s">
        <v>132</v>
      </c>
      <c r="AH331" s="7" t="str">
        <f>IFERROR(__xludf.DUMMYFUNCTION("GOOGLETRANSLATE(C331, ""en"", ""tr"")"),"Guyana")</f>
        <v>Guyana</v>
      </c>
      <c r="AI331" s="6" t="s">
        <v>132</v>
      </c>
      <c r="AJ331" s="6" t="s">
        <v>132</v>
      </c>
      <c r="AK331" s="7" t="str">
        <f>IFERROR(__xludf.DUMMYFUNCTION("GOOGLETRANSLATE(C331, ""en"", ""zh"")"),"圭亚那")</f>
        <v>圭亚那</v>
      </c>
      <c r="AL331" s="6" t="s">
        <v>132</v>
      </c>
    </row>
    <row r="332" ht="15.75" hidden="1" customHeight="1">
      <c r="A332" s="1" t="s">
        <v>38</v>
      </c>
      <c r="B332" s="1" t="s">
        <v>7303</v>
      </c>
      <c r="C332" s="1" t="s">
        <v>7304</v>
      </c>
      <c r="D332" s="7" t="str">
        <f>IFERROR(__xludf.DUMMYFUNCTION("GOOGLETRANSLATE(C332, ""en"", ""ar"")"),"لا توجد مفاتيح قابلة للاستخدام المتاحة لهذا الاتصال بهذه الاتصال. \ Nmake بالتأكيد لديك اشتراك التواجد المتبادل.")</f>
        <v>لا توجد مفاتيح قابلة للاستخدام المتاحة لهذا الاتصال بهذه الاتصال. \ Nmake بالتأكيد لديك اشتراك التواجد المتبادل.</v>
      </c>
      <c r="E332" s="1" t="s">
        <v>7305</v>
      </c>
      <c r="F332" s="6" t="s">
        <v>7306</v>
      </c>
      <c r="G332" s="7" t="str">
        <f>IFERROR(__xludf.DUMMYFUNCTION("GOOGLETRANSLATE(C332, ""en"", ""cs"")"),"Pro tento kontakt nejsou k dispozici žádné použitelné klíče.")</f>
        <v>Pro tento kontakt nejsou k dispozici žádné použitelné klíče.</v>
      </c>
      <c r="H332" s="7" t="str">
        <f>IFERROR(__xludf.DUMMYFUNCTION("GOOGLETRANSLATE(C332, ""en"", ""da"")"),"Der er ingen brugbare nøgler til rådighed for denne kontakt. \ Nmake Sørg for at du har gensidig tilstedeværelse abonnement.")</f>
        <v>Der er ingen brugbare nøgler til rådighed for denne kontakt. \ Nmake Sørg for at du har gensidig tilstedeværelse abonnement.</v>
      </c>
      <c r="I332" s="1" t="s">
        <v>7307</v>
      </c>
      <c r="J332" s="6" t="s">
        <v>132</v>
      </c>
      <c r="K332" s="1" t="s">
        <v>7308</v>
      </c>
      <c r="L332" s="7" t="str">
        <f>IFERROR(__xludf.DUMMYFUNCTION("GOOGLETRANSLATE(C332, ""en"", ""fi"")"),"Tätä kontaktille ei ole käytettäviä avaimia. \ NMake on varma, että sinulla on keskinäinen läsnäolo tilaus.")</f>
        <v>Tätä kontaktille ei ole käytettäviä avaimia. \ NMake on varma, että sinulla on keskinäinen läsnäolo tilaus.</v>
      </c>
      <c r="M332" s="1" t="s">
        <v>7309</v>
      </c>
      <c r="N332" s="6" t="s">
        <v>7310</v>
      </c>
      <c r="O332" s="6" t="s">
        <v>132</v>
      </c>
      <c r="P332" s="1" t="s">
        <v>7311</v>
      </c>
      <c r="Q332" s="7" t="str">
        <f>IFERROR(__xludf.DUMMYFUNCTION("GOOGLETRANSLATE(C332, ""en"", ""in"")"),"Tidak ada kunci yang dapat digunakan untuk kontak ini. \ Nmake yakin Anda memiliki langganan keberadaan timbal balik.")</f>
        <v>Tidak ada kunci yang dapat digunakan untuk kontak ini. \ Nmake yakin Anda memiliki langganan keberadaan timbal balik.</v>
      </c>
      <c r="R332" s="1" t="s">
        <v>7312</v>
      </c>
      <c r="S332" s="6" t="s">
        <v>132</v>
      </c>
      <c r="T332" s="1" t="s">
        <v>7313</v>
      </c>
      <c r="U332" s="7" t="str">
        <f>IFERROR(__xludf.DUMMYFUNCTION("GOOGLETRANSLATE(C332, ""en"", ""ko"")"),"이 연락처에 사용할 수있는 사용 가능한 키가 없습니다. \ Nmake 상호 존재 가입이 있는지 확인하십시오.")</f>
        <v>이 연락처에 사용할 수있는 사용 가능한 키가 없습니다. \ Nmake 상호 존재 가입이 있는지 확인하십시오.</v>
      </c>
      <c r="V332" s="7" t="str">
        <f>IFERROR(__xludf.DUMMYFUNCTION("GOOGLETRANSLATE(C332, ""en"", ""ms"")"),"Tiada kunci yang boleh digunakan untuk kenalan ini. \ Nmake pasti anda mempunyai langganan kehadiran bersama.")</f>
        <v>Tiada kunci yang boleh digunakan untuk kenalan ini. \ Nmake pasti anda mempunyai langganan kehadiran bersama.</v>
      </c>
      <c r="W332" s="1" t="s">
        <v>7314</v>
      </c>
      <c r="X332" s="7" t="str">
        <f>IFERROR(__xludf.DUMMYFUNCTION("GOOGLETRANSLATE(C332, ""en"", ""no"")"),"Det finnes ingen brukbare nøkler tilgjengelig for denne kontakten. \ N Gjør sikkert at du har gjensidig tilstedeværelsesabonnement.")</f>
        <v>Det finnes ingen brukbare nøkler tilgjengelig for denne kontakten. \ N Gjør sikkert at du har gjensidig tilstedeværelsesabonnement.</v>
      </c>
      <c r="Y332" s="1" t="s">
        <v>7315</v>
      </c>
      <c r="Z332" s="7" t="str">
        <f>IFERROR(__xludf.DUMMYFUNCTION("GOOGLETRANSLATE(C332, ""en"", ""pt"")"),"Não há chaves utilizáveis ​​disponíveis para este contato. \ Nmake Certifique-se de ter uma assinatura de presença mútua.")</f>
        <v>Não há chaves utilizáveis ​​disponíveis para este contato. \ Nmake Certifique-se de ter uma assinatura de presença mútua.</v>
      </c>
      <c r="AA332" s="7" t="str">
        <f>IFERROR(__xludf.DUMMYFUNCTION("GOOGLETRANSLATE(C332, ""en"", ""ro"")"),"Nu există cheile utilizabile disponibile pentru acest contact. \ NMake sigur că aveți abonament de prezență reciprocă.")</f>
        <v>Nu există cheile utilizabile disponibile pentru acest contact. \ NMake sigur că aveți abonament de prezență reciprocă.</v>
      </c>
      <c r="AB332" s="1" t="s">
        <v>7316</v>
      </c>
      <c r="AC332" s="7" t="str">
        <f>IFERROR(__xludf.DUMMYFUNCTION("GOOGLETRANSLATE(C332, ""en"", ""sk"")"),"Pre tento kontakt nie sú k dispozícii žiadne použiteľné klávesy. \ T")</f>
        <v>Pre tento kontakt nie sú k dispozícii žiadne použiteľné klávesy. \ T</v>
      </c>
      <c r="AD332" s="6" t="s">
        <v>132</v>
      </c>
      <c r="AE332" s="1" t="s">
        <v>7317</v>
      </c>
      <c r="AF332" s="7" t="str">
        <f>IFERROR(__xludf.DUMMYFUNCTION("GOOGLETRANSLATE(C332, ""en"", ""sv"")"),"Det finns inga användbara nycklar tillgängliga för den här kontakten. \ Nmake säker på att du har ömsesidig närvaro prenumeration.")</f>
        <v>Det finns inga användbara nycklar tillgängliga för den här kontakten. \ Nmake säker på att du har ömsesidig närvaro prenumeration.</v>
      </c>
      <c r="AG332" s="6" t="s">
        <v>132</v>
      </c>
      <c r="AH332" s="7" t="str">
        <f>IFERROR(__xludf.DUMMYFUNCTION("GOOGLETRANSLATE(C332, ""en"", ""tr"")"),"Bu iletişim için kullanılabilir tuşlar yoktur.")</f>
        <v>Bu iletişim için kullanılabilir tuşlar yoktur.</v>
      </c>
      <c r="AI332" s="6" t="s">
        <v>7318</v>
      </c>
      <c r="AJ332" s="6" t="s">
        <v>132</v>
      </c>
      <c r="AK332" s="7" t="str">
        <f>IFERROR(__xludf.DUMMYFUNCTION("GOOGLETRANSLATE(C332, ""en"", ""zh"")"),"没有可用的键可用于此联系。\ nmake确定您有相互存在订阅。")</f>
        <v>没有可用的键可用于此联系。\ nmake确定您有相互存在订阅。</v>
      </c>
      <c r="AL332" s="6" t="s">
        <v>132</v>
      </c>
    </row>
    <row r="333" ht="15.75" customHeight="1">
      <c r="A333" s="1" t="s">
        <v>127</v>
      </c>
      <c r="B333" s="1" t="s">
        <v>7319</v>
      </c>
      <c r="C333" s="1" t="s">
        <v>7320</v>
      </c>
      <c r="D333" s="8" t="s">
        <v>7321</v>
      </c>
      <c r="E333" s="1" t="s">
        <v>7322</v>
      </c>
      <c r="F333" s="6" t="s">
        <v>132</v>
      </c>
      <c r="G333" s="1" t="s">
        <v>7323</v>
      </c>
      <c r="H333" s="1" t="s">
        <v>7324</v>
      </c>
      <c r="I333" s="1" t="s">
        <v>7325</v>
      </c>
      <c r="J333" s="6" t="s">
        <v>7326</v>
      </c>
      <c r="K333" s="1" t="s">
        <v>7327</v>
      </c>
      <c r="L333" s="1" t="s">
        <v>7328</v>
      </c>
      <c r="M333" s="1" t="s">
        <v>7329</v>
      </c>
      <c r="N333" s="6" t="s">
        <v>132</v>
      </c>
      <c r="O333" s="6" t="s">
        <v>7330</v>
      </c>
      <c r="P333" s="1" t="s">
        <v>7331</v>
      </c>
      <c r="Q333" s="1" t="s">
        <v>7332</v>
      </c>
      <c r="R333" s="1" t="s">
        <v>7333</v>
      </c>
      <c r="S333" s="10" t="s">
        <v>7334</v>
      </c>
      <c r="T333" s="1" t="s">
        <v>7335</v>
      </c>
      <c r="U333" s="1" t="s">
        <v>7336</v>
      </c>
      <c r="V333" s="1" t="s">
        <v>7332</v>
      </c>
      <c r="W333" s="1" t="s">
        <v>7337</v>
      </c>
      <c r="X333" s="1" t="s">
        <v>7338</v>
      </c>
      <c r="Y333" s="1" t="s">
        <v>7339</v>
      </c>
      <c r="Z333" s="1" t="s">
        <v>7327</v>
      </c>
      <c r="AA333" s="1" t="s">
        <v>7340</v>
      </c>
      <c r="AB333" s="1" t="s">
        <v>7341</v>
      </c>
      <c r="AC333" s="1" t="s">
        <v>7342</v>
      </c>
      <c r="AD333" s="6" t="s">
        <v>7343</v>
      </c>
      <c r="AE333" s="1" t="s">
        <v>7343</v>
      </c>
      <c r="AF333" s="1" t="s">
        <v>7344</v>
      </c>
      <c r="AG333" s="6" t="s">
        <v>7345</v>
      </c>
      <c r="AH333" s="1" t="s">
        <v>5613</v>
      </c>
      <c r="AI333" s="6" t="s">
        <v>132</v>
      </c>
      <c r="AJ333" s="6" t="s">
        <v>7346</v>
      </c>
      <c r="AK333" s="1" t="s">
        <v>7347</v>
      </c>
      <c r="AL333" s="6" t="s">
        <v>7348</v>
      </c>
    </row>
    <row r="334" ht="15.75" hidden="1" customHeight="1">
      <c r="A334" s="1" t="s">
        <v>38</v>
      </c>
      <c r="B334" s="1" t="s">
        <v>7349</v>
      </c>
      <c r="C334" s="1" t="s">
        <v>7350</v>
      </c>
      <c r="D334" s="7" t="str">
        <f>IFERROR(__xludf.DUMMYFUNCTION("GOOGLETRANSLATE(C334, ""en"", ""ar"")"),"معلومات الحالة")</f>
        <v>معلومات الحالة</v>
      </c>
      <c r="E334" s="1" t="s">
        <v>7351</v>
      </c>
      <c r="F334" s="6" t="s">
        <v>132</v>
      </c>
      <c r="G334" s="7" t="str">
        <f>IFERROR(__xludf.DUMMYFUNCTION("GOOGLETRANSLATE(C334, ""en"", ""cs"")"),"Informace o stavu")</f>
        <v>Informace o stavu</v>
      </c>
      <c r="H334" s="7" t="str">
        <f>IFERROR(__xludf.DUMMYFUNCTION("GOOGLETRANSLATE(C334, ""en"", ""da"")"),"Statusoplysninger.")</f>
        <v>Statusoplysninger.</v>
      </c>
      <c r="I334" s="1" t="s">
        <v>7352</v>
      </c>
      <c r="J334" s="6" t="s">
        <v>132</v>
      </c>
      <c r="K334" s="1" t="s">
        <v>7353</v>
      </c>
      <c r="L334" s="7" t="str">
        <f>IFERROR(__xludf.DUMMYFUNCTION("GOOGLETRANSLATE(C334, ""en"", ""fi"")"),"Tilatiedot")</f>
        <v>Tilatiedot</v>
      </c>
      <c r="M334" s="1" t="s">
        <v>7354</v>
      </c>
      <c r="N334" s="6" t="s">
        <v>7355</v>
      </c>
      <c r="O334" s="6" t="s">
        <v>132</v>
      </c>
      <c r="P334" s="1" t="s">
        <v>7356</v>
      </c>
      <c r="Q334" s="7" t="str">
        <f>IFERROR(__xludf.DUMMYFUNCTION("GOOGLETRANSLATE(C334, ""en"", ""in"")"),"Informasi status")</f>
        <v>Informasi status</v>
      </c>
      <c r="R334" s="1" t="s">
        <v>7357</v>
      </c>
      <c r="S334" s="6" t="s">
        <v>132</v>
      </c>
      <c r="T334" s="7" t="str">
        <f>IFERROR(__xludf.DUMMYFUNCTION("GOOGLETRANSLATE(C334, ""en"", ""ja"")"),"ステータス情報")</f>
        <v>ステータス情報</v>
      </c>
      <c r="U334" s="7" t="str">
        <f>IFERROR(__xludf.DUMMYFUNCTION("GOOGLETRANSLATE(C334, ""en"", ""ko"")"),"상태 정보")</f>
        <v>상태 정보</v>
      </c>
      <c r="V334" s="7" t="str">
        <f>IFERROR(__xludf.DUMMYFUNCTION("GOOGLETRANSLATE(C334, ""en"", ""ms"")"),"Maklumat status")</f>
        <v>Maklumat status</v>
      </c>
      <c r="W334" s="1" t="s">
        <v>7358</v>
      </c>
      <c r="X334" s="7" t="str">
        <f>IFERROR(__xludf.DUMMYFUNCTION("GOOGLETRANSLATE(C334, ""en"", ""no"")"),"Statusinformasjon")</f>
        <v>Statusinformasjon</v>
      </c>
      <c r="Y334" s="1" t="s">
        <v>7359</v>
      </c>
      <c r="Z334" s="7" t="str">
        <f>IFERROR(__xludf.DUMMYFUNCTION("GOOGLETRANSLATE(C334, ""en"", ""pt"")"),"Informações de status")</f>
        <v>Informações de status</v>
      </c>
      <c r="AA334" s="7" t="str">
        <f>IFERROR(__xludf.DUMMYFUNCTION("GOOGLETRANSLATE(C334, ""en"", ""ro"")"),"Informații despre statut.")</f>
        <v>Informații despre statut.</v>
      </c>
      <c r="AB334" s="7" t="str">
        <f>IFERROR(__xludf.DUMMYFUNCTION("GOOGLETRANSLATE(C334, ""en"", ""ru"")"),"Информация о состоянии")</f>
        <v>Информация о состоянии</v>
      </c>
      <c r="AC334" s="7" t="str">
        <f>IFERROR(__xludf.DUMMYFUNCTION("GOOGLETRANSLATE(C334, ""en"", ""sk"")"),"Informácie o stave")</f>
        <v>Informácie o stave</v>
      </c>
      <c r="AD334" s="6" t="s">
        <v>132</v>
      </c>
      <c r="AE334" s="7" t="str">
        <f>IFERROR(__xludf.DUMMYFUNCTION("GOOGLETRANSLATE(C334, ""en"", ""sr"")"),"Информације о статусу")</f>
        <v>Информације о статусу</v>
      </c>
      <c r="AF334" s="7" t="str">
        <f>IFERROR(__xludf.DUMMYFUNCTION("GOOGLETRANSLATE(C334, ""en"", ""sv"")"),"Statusinformation")</f>
        <v>Statusinformation</v>
      </c>
      <c r="AG334" s="6" t="s">
        <v>132</v>
      </c>
      <c r="AH334" s="7" t="str">
        <f>IFERROR(__xludf.DUMMYFUNCTION("GOOGLETRANSLATE(C334, ""en"", ""tr"")"),"Durum bilgisi")</f>
        <v>Durum bilgisi</v>
      </c>
      <c r="AI334" s="6" t="s">
        <v>132</v>
      </c>
      <c r="AJ334" s="6" t="s">
        <v>132</v>
      </c>
      <c r="AK334" s="7" t="str">
        <f>IFERROR(__xludf.DUMMYFUNCTION("GOOGLETRANSLATE(C334, ""en"", ""zh"")"),"状态信息")</f>
        <v>状态信息</v>
      </c>
      <c r="AL334" s="6" t="s">
        <v>132</v>
      </c>
    </row>
    <row r="335" ht="15.75" customHeight="1">
      <c r="A335" s="1" t="s">
        <v>127</v>
      </c>
      <c r="B335" s="1" t="s">
        <v>7360</v>
      </c>
      <c r="C335" s="1" t="s">
        <v>7361</v>
      </c>
      <c r="D335" s="8" t="s">
        <v>7362</v>
      </c>
      <c r="E335" s="1" t="s">
        <v>7363</v>
      </c>
      <c r="F335" s="6" t="s">
        <v>132</v>
      </c>
      <c r="G335" s="1" t="s">
        <v>7364</v>
      </c>
      <c r="H335" s="1" t="s">
        <v>7365</v>
      </c>
      <c r="I335" s="1" t="s">
        <v>7366</v>
      </c>
      <c r="J335" s="6" t="s">
        <v>7367</v>
      </c>
      <c r="K335" s="1" t="s">
        <v>7368</v>
      </c>
      <c r="L335" s="1" t="s">
        <v>7369</v>
      </c>
      <c r="M335" s="1" t="s">
        <v>7370</v>
      </c>
      <c r="N335" s="6" t="s">
        <v>132</v>
      </c>
      <c r="O335" s="6" t="s">
        <v>7371</v>
      </c>
      <c r="P335" s="1" t="s">
        <v>7361</v>
      </c>
      <c r="Q335" s="1" t="s">
        <v>7372</v>
      </c>
      <c r="R335" s="1" t="s">
        <v>7373</v>
      </c>
      <c r="S335" s="10" t="s">
        <v>7374</v>
      </c>
      <c r="T335" s="1" t="s">
        <v>7375</v>
      </c>
      <c r="U335" s="1" t="s">
        <v>7376</v>
      </c>
      <c r="V335" s="1" t="s">
        <v>7377</v>
      </c>
      <c r="W335" s="1" t="s">
        <v>7378</v>
      </c>
      <c r="X335" s="1" t="s">
        <v>7379</v>
      </c>
      <c r="Y335" s="1" t="s">
        <v>7380</v>
      </c>
      <c r="Z335" s="1" t="s">
        <v>7381</v>
      </c>
      <c r="AA335" s="1" t="s">
        <v>7382</v>
      </c>
      <c r="AB335" s="1" t="s">
        <v>7383</v>
      </c>
      <c r="AC335" s="1" t="s">
        <v>7384</v>
      </c>
      <c r="AD335" s="6" t="s">
        <v>7385</v>
      </c>
      <c r="AE335" s="1" t="s">
        <v>7386</v>
      </c>
      <c r="AF335" s="1" t="s">
        <v>7387</v>
      </c>
      <c r="AG335" s="6" t="s">
        <v>7388</v>
      </c>
      <c r="AH335" s="1" t="s">
        <v>7389</v>
      </c>
      <c r="AI335" s="6" t="s">
        <v>132</v>
      </c>
      <c r="AJ335" s="6" t="s">
        <v>7390</v>
      </c>
      <c r="AK335" s="1" t="s">
        <v>7391</v>
      </c>
      <c r="AL335" s="6" t="s">
        <v>132</v>
      </c>
    </row>
    <row r="336" ht="15.75" hidden="1" customHeight="1">
      <c r="A336" s="1" t="s">
        <v>38</v>
      </c>
      <c r="B336" s="1" t="s">
        <v>7392</v>
      </c>
      <c r="C336" s="1" t="s">
        <v>7393</v>
      </c>
      <c r="D336" s="8" t="s">
        <v>7394</v>
      </c>
      <c r="E336" s="1" t="s">
        <v>7395</v>
      </c>
      <c r="F336" s="6" t="s">
        <v>7396</v>
      </c>
      <c r="G336" s="7" t="str">
        <f>IFERROR(__xludf.DUMMYFUNCTION("GOOGLETRANSLATE(C336, ""en"", ""cs"")"),"Chyba načítání Omemo Key!")</f>
        <v>Chyba načítání Omemo Key!</v>
      </c>
      <c r="H336" s="7" t="str">
        <f>IFERROR(__xludf.DUMMYFUNCTION("GOOGLETRANSLATE(C336, ""en"", ""da"")"),"Fejl ved at hente omemo-nøgle!")</f>
        <v>Fejl ved at hente omemo-nøgle!</v>
      </c>
      <c r="I336" s="1" t="s">
        <v>7397</v>
      </c>
      <c r="J336" s="6" t="s">
        <v>132</v>
      </c>
      <c r="K336" s="1" t="s">
        <v>7398</v>
      </c>
      <c r="L336" s="7" t="str">
        <f>IFERROR(__xludf.DUMMYFUNCTION("GOOGLETRANSLATE(C336, ""en"", ""fi"")"),"Virhe, joka hakee omemon avaimen!")</f>
        <v>Virhe, joka hakee omemon avaimen!</v>
      </c>
      <c r="M336" s="1" t="s">
        <v>7399</v>
      </c>
      <c r="N336" s="6" t="s">
        <v>7400</v>
      </c>
      <c r="O336" s="6" t="s">
        <v>132</v>
      </c>
      <c r="P336" s="1" t="s">
        <v>7401</v>
      </c>
      <c r="Q336" s="7" t="str">
        <f>IFERROR(__xludf.DUMMYFUNCTION("GOOGLETRANSLATE(C336, ""en"", ""in"")"),"Kesalahan mengambil kunci omemo!")</f>
        <v>Kesalahan mengambil kunci omemo!</v>
      </c>
      <c r="R336" s="1" t="s">
        <v>7402</v>
      </c>
      <c r="S336" s="6" t="s">
        <v>132</v>
      </c>
      <c r="T336" s="1" t="s">
        <v>7403</v>
      </c>
      <c r="U336" s="1" t="s">
        <v>7404</v>
      </c>
      <c r="V336" s="7" t="str">
        <f>IFERROR(__xludf.DUMMYFUNCTION("GOOGLETRANSLATE(C336, ""en"", ""ms"")"),"Ralat mengambil kunci Omemo!")</f>
        <v>Ralat mengambil kunci Omemo!</v>
      </c>
      <c r="W336" s="1" t="s">
        <v>7405</v>
      </c>
      <c r="X336" s="7" t="str">
        <f>IFERROR(__xludf.DUMMYFUNCTION("GOOGLETRANSLATE(C336, ""en"", ""no"")"),"Feil ved henting av OMEMO-tasten!")</f>
        <v>Feil ved henting av OMEMO-tasten!</v>
      </c>
      <c r="Y336" s="1" t="s">
        <v>7406</v>
      </c>
      <c r="Z336" s="1" t="s">
        <v>7407</v>
      </c>
      <c r="AA336" s="7" t="str">
        <f>IFERROR(__xludf.DUMMYFUNCTION("GOOGLETRANSLATE(C336, ""en"", ""ro"")"),"Eroare la preluarea cheii de omemo!")</f>
        <v>Eroare la preluarea cheii de omemo!</v>
      </c>
      <c r="AB336" s="1" t="s">
        <v>7408</v>
      </c>
      <c r="AC336" s="7" t="str">
        <f>IFERROR(__xludf.DUMMYFUNCTION("GOOGLETRANSLATE(C336, ""en"", ""sk"")"),"Chyba Fetsing Omemo Key!")</f>
        <v>Chyba Fetsing Omemo Key!</v>
      </c>
      <c r="AD336" s="6" t="s">
        <v>132</v>
      </c>
      <c r="AE336" s="1" t="s">
        <v>7409</v>
      </c>
      <c r="AF336" s="1" t="s">
        <v>7410</v>
      </c>
      <c r="AG336" s="6" t="s">
        <v>132</v>
      </c>
      <c r="AH336" s="7" t="str">
        <f>IFERROR(__xludf.DUMMYFUNCTION("GOOGLETRANSLATE(C336, ""en"", ""tr"")"),"OMEMO anahtarını alma hatası!")</f>
        <v>OMEMO anahtarını alma hatası!</v>
      </c>
      <c r="AI336" s="6" t="s">
        <v>7411</v>
      </c>
      <c r="AJ336" s="6" t="s">
        <v>7412</v>
      </c>
      <c r="AK336" s="7" t="str">
        <f>IFERROR(__xludf.DUMMYFUNCTION("GOOGLETRANSLATE(C336, ""en"", ""zh"")"),"获取omemo键错误！")</f>
        <v>获取omemo键错误！</v>
      </c>
      <c r="AL336" s="6" t="s">
        <v>7413</v>
      </c>
    </row>
    <row r="337" ht="15.75" customHeight="1">
      <c r="A337" s="1" t="s">
        <v>127</v>
      </c>
      <c r="B337" s="1" t="s">
        <v>7414</v>
      </c>
      <c r="C337" s="1" t="s">
        <v>7415</v>
      </c>
      <c r="D337" s="8" t="s">
        <v>7416</v>
      </c>
      <c r="E337" s="1" t="s">
        <v>7417</v>
      </c>
      <c r="F337" s="6" t="s">
        <v>132</v>
      </c>
      <c r="G337" s="1" t="s">
        <v>7418</v>
      </c>
      <c r="H337" s="1" t="s">
        <v>7419</v>
      </c>
      <c r="I337" s="1" t="s">
        <v>7420</v>
      </c>
      <c r="J337" s="6" t="s">
        <v>7421</v>
      </c>
      <c r="K337" s="1" t="s">
        <v>7422</v>
      </c>
      <c r="L337" s="1" t="s">
        <v>7423</v>
      </c>
      <c r="M337" s="1" t="s">
        <v>7424</v>
      </c>
      <c r="N337" s="6" t="s">
        <v>132</v>
      </c>
      <c r="O337" s="6" t="s">
        <v>7425</v>
      </c>
      <c r="P337" s="1" t="s">
        <v>7426</v>
      </c>
      <c r="Q337" s="1" t="s">
        <v>7427</v>
      </c>
      <c r="R337" s="1" t="s">
        <v>7428</v>
      </c>
      <c r="S337" s="10" t="s">
        <v>7429</v>
      </c>
      <c r="T337" s="1" t="s">
        <v>7430</v>
      </c>
      <c r="U337" s="1" t="s">
        <v>7431</v>
      </c>
      <c r="V337" s="1" t="s">
        <v>7432</v>
      </c>
      <c r="W337" s="1" t="s">
        <v>7433</v>
      </c>
      <c r="X337" s="1" t="s">
        <v>7434</v>
      </c>
      <c r="Y337" s="1" t="s">
        <v>7435</v>
      </c>
      <c r="Z337" s="1" t="s">
        <v>7436</v>
      </c>
      <c r="AA337" s="1" t="s">
        <v>7437</v>
      </c>
      <c r="AB337" s="1" t="s">
        <v>7438</v>
      </c>
      <c r="AC337" s="1" t="s">
        <v>7439</v>
      </c>
      <c r="AD337" s="6" t="s">
        <v>7440</v>
      </c>
      <c r="AE337" s="1" t="s">
        <v>7441</v>
      </c>
      <c r="AF337" s="1" t="s">
        <v>7442</v>
      </c>
      <c r="AG337" s="6" t="s">
        <v>7443</v>
      </c>
      <c r="AH337" s="1" t="s">
        <v>7444</v>
      </c>
      <c r="AI337" s="6" t="s">
        <v>132</v>
      </c>
      <c r="AJ337" s="6" t="s">
        <v>7445</v>
      </c>
      <c r="AK337" s="1" t="s">
        <v>7446</v>
      </c>
      <c r="AL337" s="6" t="s">
        <v>7447</v>
      </c>
    </row>
    <row r="338" ht="15.75" customHeight="1">
      <c r="A338" s="1" t="s">
        <v>127</v>
      </c>
      <c r="B338" s="1" t="s">
        <v>7448</v>
      </c>
      <c r="C338" s="1" t="s">
        <v>7449</v>
      </c>
      <c r="D338" s="8" t="s">
        <v>7450</v>
      </c>
      <c r="E338" s="1" t="s">
        <v>7451</v>
      </c>
      <c r="F338" s="6" t="s">
        <v>132</v>
      </c>
      <c r="G338" s="1" t="s">
        <v>7452</v>
      </c>
      <c r="H338" s="1" t="s">
        <v>7453</v>
      </c>
      <c r="I338" s="1" t="s">
        <v>7454</v>
      </c>
      <c r="J338" s="6" t="s">
        <v>7455</v>
      </c>
      <c r="K338" s="1" t="s">
        <v>7456</v>
      </c>
      <c r="L338" s="1" t="s">
        <v>7457</v>
      </c>
      <c r="M338" s="1" t="s">
        <v>7458</v>
      </c>
      <c r="N338" s="6" t="s">
        <v>132</v>
      </c>
      <c r="O338" s="6" t="s">
        <v>7459</v>
      </c>
      <c r="P338" s="1" t="s">
        <v>7460</v>
      </c>
      <c r="Q338" s="1" t="s">
        <v>7461</v>
      </c>
      <c r="R338" s="1" t="s">
        <v>7462</v>
      </c>
      <c r="S338" s="10" t="s">
        <v>7463</v>
      </c>
      <c r="T338" s="1" t="s">
        <v>7464</v>
      </c>
      <c r="U338" s="1" t="s">
        <v>7465</v>
      </c>
      <c r="V338" s="1" t="s">
        <v>7466</v>
      </c>
      <c r="W338" s="1" t="s">
        <v>7467</v>
      </c>
      <c r="X338" s="1" t="s">
        <v>7468</v>
      </c>
      <c r="Y338" s="1" t="s">
        <v>7469</v>
      </c>
      <c r="Z338" s="1" t="s">
        <v>7470</v>
      </c>
      <c r="AA338" s="1" t="s">
        <v>7471</v>
      </c>
      <c r="AB338" s="1" t="s">
        <v>7472</v>
      </c>
      <c r="AC338" s="1" t="s">
        <v>7473</v>
      </c>
      <c r="AD338" s="6" t="s">
        <v>7474</v>
      </c>
      <c r="AE338" s="1" t="s">
        <v>7475</v>
      </c>
      <c r="AF338" s="1" t="s">
        <v>7476</v>
      </c>
      <c r="AG338" s="6" t="s">
        <v>7477</v>
      </c>
      <c r="AH338" s="1" t="s">
        <v>7478</v>
      </c>
      <c r="AI338" s="6" t="s">
        <v>132</v>
      </c>
      <c r="AJ338" s="6" t="s">
        <v>7479</v>
      </c>
      <c r="AK338" s="1" t="s">
        <v>7480</v>
      </c>
      <c r="AL338" s="6" t="s">
        <v>132</v>
      </c>
    </row>
    <row r="339" ht="15.75" customHeight="1">
      <c r="A339" s="1" t="s">
        <v>127</v>
      </c>
      <c r="B339" s="1" t="s">
        <v>7481</v>
      </c>
      <c r="C339" s="1" t="s">
        <v>7482</v>
      </c>
      <c r="D339" s="8" t="s">
        <v>7483</v>
      </c>
      <c r="E339" s="1" t="s">
        <v>7484</v>
      </c>
      <c r="F339" s="6" t="s">
        <v>132</v>
      </c>
      <c r="G339" s="1" t="s">
        <v>7485</v>
      </c>
      <c r="H339" s="1" t="s">
        <v>7486</v>
      </c>
      <c r="I339" s="1" t="s">
        <v>7487</v>
      </c>
      <c r="J339" s="6" t="s">
        <v>7488</v>
      </c>
      <c r="K339" s="1" t="s">
        <v>7489</v>
      </c>
      <c r="L339" s="1" t="s">
        <v>7490</v>
      </c>
      <c r="M339" s="1" t="s">
        <v>7491</v>
      </c>
      <c r="N339" s="6" t="s">
        <v>132</v>
      </c>
      <c r="O339" s="6" t="s">
        <v>7492</v>
      </c>
      <c r="P339" s="1" t="s">
        <v>7493</v>
      </c>
      <c r="Q339" s="1" t="s">
        <v>7494</v>
      </c>
      <c r="R339" s="1" t="s">
        <v>7495</v>
      </c>
      <c r="S339" s="10" t="s">
        <v>7496</v>
      </c>
      <c r="T339" s="1" t="s">
        <v>7497</v>
      </c>
      <c r="U339" s="1" t="s">
        <v>7498</v>
      </c>
      <c r="V339" s="1" t="s">
        <v>7499</v>
      </c>
      <c r="W339" s="1" t="s">
        <v>7500</v>
      </c>
      <c r="X339" s="1" t="s">
        <v>7501</v>
      </c>
      <c r="Y339" s="1" t="s">
        <v>7502</v>
      </c>
      <c r="Z339" s="1" t="s">
        <v>7503</v>
      </c>
      <c r="AA339" s="1" t="s">
        <v>7504</v>
      </c>
      <c r="AB339" s="1" t="s">
        <v>7505</v>
      </c>
      <c r="AC339" s="1" t="s">
        <v>7506</v>
      </c>
      <c r="AD339" s="6" t="s">
        <v>7507</v>
      </c>
      <c r="AE339" s="1" t="s">
        <v>7508</v>
      </c>
      <c r="AF339" s="1" t="s">
        <v>7509</v>
      </c>
      <c r="AG339" s="6" t="s">
        <v>7510</v>
      </c>
      <c r="AH339" s="1" t="s">
        <v>7511</v>
      </c>
      <c r="AI339" s="6" t="s">
        <v>132</v>
      </c>
      <c r="AJ339" s="6" t="s">
        <v>7512</v>
      </c>
      <c r="AK339" s="1" t="s">
        <v>7513</v>
      </c>
      <c r="AL339" s="6" t="s">
        <v>7514</v>
      </c>
    </row>
    <row r="340" ht="15.75" customHeight="1">
      <c r="A340" s="1" t="s">
        <v>127</v>
      </c>
      <c r="B340" s="1" t="s">
        <v>7515</v>
      </c>
      <c r="C340" s="1" t="s">
        <v>7516</v>
      </c>
      <c r="D340" s="8" t="s">
        <v>7517</v>
      </c>
      <c r="E340" s="1" t="s">
        <v>7518</v>
      </c>
      <c r="F340" s="6" t="s">
        <v>132</v>
      </c>
      <c r="G340" s="1" t="s">
        <v>7519</v>
      </c>
      <c r="H340" s="1" t="s">
        <v>7520</v>
      </c>
      <c r="I340" s="1" t="s">
        <v>7521</v>
      </c>
      <c r="J340" s="6" t="s">
        <v>7522</v>
      </c>
      <c r="K340" s="1" t="s">
        <v>7523</v>
      </c>
      <c r="L340" s="1" t="s">
        <v>7524</v>
      </c>
      <c r="M340" s="1" t="s">
        <v>7525</v>
      </c>
      <c r="N340" s="6" t="s">
        <v>132</v>
      </c>
      <c r="O340" s="6" t="s">
        <v>7526</v>
      </c>
      <c r="P340" s="1" t="s">
        <v>7527</v>
      </c>
      <c r="Q340" s="1" t="s">
        <v>7528</v>
      </c>
      <c r="R340" s="1" t="s">
        <v>7529</v>
      </c>
      <c r="S340" s="10" t="s">
        <v>7530</v>
      </c>
      <c r="T340" s="1" t="s">
        <v>7531</v>
      </c>
      <c r="U340" s="1" t="s">
        <v>7532</v>
      </c>
      <c r="V340" s="1" t="s">
        <v>7533</v>
      </c>
      <c r="W340" s="1" t="s">
        <v>7534</v>
      </c>
      <c r="X340" s="1" t="s">
        <v>7535</v>
      </c>
      <c r="Y340" s="1" t="s">
        <v>7536</v>
      </c>
      <c r="Z340" s="1" t="s">
        <v>7537</v>
      </c>
      <c r="AA340" s="1" t="s">
        <v>7538</v>
      </c>
      <c r="AB340" s="1" t="s">
        <v>7539</v>
      </c>
      <c r="AC340" s="1" t="s">
        <v>7540</v>
      </c>
      <c r="AD340" s="6" t="s">
        <v>7541</v>
      </c>
      <c r="AE340" s="1" t="s">
        <v>7542</v>
      </c>
      <c r="AF340" s="1" t="s">
        <v>7520</v>
      </c>
      <c r="AG340" s="6" t="s">
        <v>7543</v>
      </c>
      <c r="AH340" s="1" t="s">
        <v>7544</v>
      </c>
      <c r="AI340" s="6" t="s">
        <v>132</v>
      </c>
      <c r="AJ340" s="6" t="s">
        <v>7545</v>
      </c>
      <c r="AK340" s="1" t="s">
        <v>7546</v>
      </c>
      <c r="AL340" s="6" t="s">
        <v>7547</v>
      </c>
    </row>
    <row r="341" ht="15.75" customHeight="1">
      <c r="A341" s="1" t="s">
        <v>127</v>
      </c>
      <c r="B341" s="1" t="s">
        <v>7548</v>
      </c>
      <c r="C341" s="1" t="s">
        <v>7549</v>
      </c>
      <c r="D341" s="8" t="s">
        <v>7550</v>
      </c>
      <c r="E341" s="1" t="s">
        <v>7551</v>
      </c>
      <c r="F341" s="6" t="s">
        <v>132</v>
      </c>
      <c r="G341" s="1" t="s">
        <v>7552</v>
      </c>
      <c r="H341" s="1" t="s">
        <v>7553</v>
      </c>
      <c r="I341" s="1" t="s">
        <v>7549</v>
      </c>
      <c r="J341" s="6" t="s">
        <v>7554</v>
      </c>
      <c r="K341" s="1" t="s">
        <v>7549</v>
      </c>
      <c r="L341" s="1" t="s">
        <v>7555</v>
      </c>
      <c r="M341" s="1" t="s">
        <v>7556</v>
      </c>
      <c r="N341" s="6" t="s">
        <v>132</v>
      </c>
      <c r="O341" s="6" t="s">
        <v>7557</v>
      </c>
      <c r="P341" s="1" t="s">
        <v>7549</v>
      </c>
      <c r="Q341" s="1" t="s">
        <v>7558</v>
      </c>
      <c r="R341" s="1" t="s">
        <v>7549</v>
      </c>
      <c r="S341" s="10" t="s">
        <v>7559</v>
      </c>
      <c r="T341" s="1" t="s">
        <v>7560</v>
      </c>
      <c r="U341" s="1" t="s">
        <v>7561</v>
      </c>
      <c r="V341" s="1" t="s">
        <v>7562</v>
      </c>
      <c r="W341" s="1" t="s">
        <v>7549</v>
      </c>
      <c r="X341" s="1" t="s">
        <v>7563</v>
      </c>
      <c r="Y341" s="1" t="s">
        <v>7549</v>
      </c>
      <c r="Z341" s="1" t="s">
        <v>7564</v>
      </c>
      <c r="AA341" s="1" t="s">
        <v>7565</v>
      </c>
      <c r="AB341" s="1" t="s">
        <v>7566</v>
      </c>
      <c r="AC341" s="1" t="s">
        <v>7567</v>
      </c>
      <c r="AD341" s="6" t="s">
        <v>7568</v>
      </c>
      <c r="AE341" s="1" t="s">
        <v>7549</v>
      </c>
      <c r="AF341" s="1" t="s">
        <v>7569</v>
      </c>
      <c r="AG341" s="6" t="s">
        <v>7570</v>
      </c>
      <c r="AH341" s="1" t="s">
        <v>7571</v>
      </c>
      <c r="AI341" s="6" t="s">
        <v>132</v>
      </c>
      <c r="AJ341" s="6" t="s">
        <v>7572</v>
      </c>
      <c r="AK341" s="1" t="s">
        <v>7573</v>
      </c>
      <c r="AL341" s="6" t="s">
        <v>7574</v>
      </c>
    </row>
    <row r="342" ht="15.75" hidden="1" customHeight="1">
      <c r="A342" s="1" t="s">
        <v>38</v>
      </c>
      <c r="B342" s="1" t="s">
        <v>7575</v>
      </c>
      <c r="C342" s="1" t="s">
        <v>7576</v>
      </c>
      <c r="D342" s="8" t="s">
        <v>7577</v>
      </c>
      <c r="E342" s="1" t="s">
        <v>7578</v>
      </c>
      <c r="F342" s="6" t="s">
        <v>7579</v>
      </c>
      <c r="G342" s="7" t="str">
        <f>IFERROR(__xludf.DUMMYFUNCTION("GOOGLETRANSLATE(C342, ""en"", ""cs"")"),"Vaše přezdívka byla změněna")</f>
        <v>Vaše přezdívka byla změněna</v>
      </c>
      <c r="H342" s="7" t="str">
        <f>IFERROR(__xludf.DUMMYFUNCTION("GOOGLETRANSLATE(C342, ""en"", ""da"")"),"Dit kaldenavn er blevet ændret")</f>
        <v>Dit kaldenavn er blevet ændret</v>
      </c>
      <c r="I342" s="1" t="s">
        <v>7580</v>
      </c>
      <c r="J342" s="6" t="s">
        <v>132</v>
      </c>
      <c r="K342" s="1" t="s">
        <v>7581</v>
      </c>
      <c r="L342" s="7" t="str">
        <f>IFERROR(__xludf.DUMMYFUNCTION("GOOGLETRANSLATE(C342, ""en"", ""fi"")"),"Lempinimi on muuttunut")</f>
        <v>Lempinimi on muuttunut</v>
      </c>
      <c r="M342" s="1" t="s">
        <v>7582</v>
      </c>
      <c r="N342" s="6" t="s">
        <v>7583</v>
      </c>
      <c r="O342" s="6" t="s">
        <v>132</v>
      </c>
      <c r="P342" s="1" t="s">
        <v>7584</v>
      </c>
      <c r="Q342" s="9" t="s">
        <v>7585</v>
      </c>
      <c r="R342" s="1" t="s">
        <v>7586</v>
      </c>
      <c r="S342" s="6" t="s">
        <v>132</v>
      </c>
      <c r="T342" s="1" t="s">
        <v>7587</v>
      </c>
      <c r="U342" s="1" t="s">
        <v>7588</v>
      </c>
      <c r="V342" s="7" t="str">
        <f>IFERROR(__xludf.DUMMYFUNCTION("GOOGLETRANSLATE(C342, ""en"", ""ms"")"),"Nama samaran anda telah diubah")</f>
        <v>Nama samaran anda telah diubah</v>
      </c>
      <c r="W342" s="1" t="s">
        <v>7589</v>
      </c>
      <c r="X342" s="7" t="str">
        <f>IFERROR(__xludf.DUMMYFUNCTION("GOOGLETRANSLATE(C342, ""en"", ""no"")"),"Ditt kallenavn er endret")</f>
        <v>Ditt kallenavn er endret</v>
      </c>
      <c r="Y342" s="1" t="s">
        <v>7590</v>
      </c>
      <c r="Z342" s="1" t="s">
        <v>7591</v>
      </c>
      <c r="AA342" s="7" t="str">
        <f>IFERROR(__xludf.DUMMYFUNCTION("GOOGLETRANSLATE(C342, ""en"", ""ro"")"),"Pseudonimul dvs. a fost schimbat")</f>
        <v>Pseudonimul dvs. a fost schimbat</v>
      </c>
      <c r="AB342" s="1" t="s">
        <v>7592</v>
      </c>
      <c r="AC342" s="1" t="s">
        <v>7593</v>
      </c>
      <c r="AD342" s="6" t="s">
        <v>132</v>
      </c>
      <c r="AE342" s="1" t="s">
        <v>7594</v>
      </c>
      <c r="AF342" s="1" t="s">
        <v>7595</v>
      </c>
      <c r="AG342" s="6" t="s">
        <v>132</v>
      </c>
      <c r="AH342" s="7" t="str">
        <f>IFERROR(__xludf.DUMMYFUNCTION("GOOGLETRANSLATE(C342, ""en"", ""tr"")"),"Takma adın değiştirildi")</f>
        <v>Takma adın değiştirildi</v>
      </c>
      <c r="AI342" s="6" t="s">
        <v>7596</v>
      </c>
      <c r="AJ342" s="6" t="s">
        <v>7597</v>
      </c>
      <c r="AK342" s="7" t="str">
        <f>IFERROR(__xludf.DUMMYFUNCTION("GOOGLETRANSLATE(C342, ""en"", ""zh"")"),"你的昵称已经改变了")</f>
        <v>你的昵称已经改变了</v>
      </c>
      <c r="AL342" s="6" t="s">
        <v>7598</v>
      </c>
    </row>
    <row r="343" ht="15.75" hidden="1" customHeight="1">
      <c r="A343" s="1" t="s">
        <v>38</v>
      </c>
      <c r="B343" s="1" t="s">
        <v>7599</v>
      </c>
      <c r="C343" s="1" t="s">
        <v>7600</v>
      </c>
      <c r="D343" s="7" t="str">
        <f>IFERROR(__xludf.DUMMYFUNCTION("GOOGLETRANSLATE(C343, ""en"", ""ar"")"),"كينيا")</f>
        <v>كينيا</v>
      </c>
      <c r="E343" s="7" t="str">
        <f>IFERROR(__xludf.DUMMYFUNCTION("GOOGLETRANSLATE(C343, ""en"", ""bg"")"),"Кения")</f>
        <v>Кения</v>
      </c>
      <c r="F343" s="6" t="s">
        <v>132</v>
      </c>
      <c r="G343" s="7" t="str">
        <f>IFERROR(__xludf.DUMMYFUNCTION("GOOGLETRANSLATE(C343, ""en"", ""cs"")"),"Keňa")</f>
        <v>Keňa</v>
      </c>
      <c r="H343" s="7" t="str">
        <f>IFERROR(__xludf.DUMMYFUNCTION("GOOGLETRANSLATE(C343, ""en"", ""da"")"),"Kenya.")</f>
        <v>Kenya.</v>
      </c>
      <c r="I343" s="1" t="s">
        <v>7601</v>
      </c>
      <c r="J343" s="6" t="s">
        <v>132</v>
      </c>
      <c r="K343" s="1" t="s">
        <v>7601</v>
      </c>
      <c r="L343" s="7" t="str">
        <f>IFERROR(__xludf.DUMMYFUNCTION("GOOGLETRANSLATE(C343, ""en"", ""fi"")"),"Kenia")</f>
        <v>Kenia</v>
      </c>
      <c r="M343" s="1" t="s">
        <v>7600</v>
      </c>
      <c r="N343" s="6" t="s">
        <v>132</v>
      </c>
      <c r="O343" s="6" t="s">
        <v>132</v>
      </c>
      <c r="P343" s="1" t="s">
        <v>7600</v>
      </c>
      <c r="Q343" s="7" t="str">
        <f>IFERROR(__xludf.DUMMYFUNCTION("GOOGLETRANSLATE(C343, ""en"", ""in"")"),"Kenya.")</f>
        <v>Kenya.</v>
      </c>
      <c r="R343" s="7" t="str">
        <f>IFERROR(__xludf.DUMMYFUNCTION("GOOGLETRANSLATE(C343, ""en"", ""it"")"),"Kenya.")</f>
        <v>Kenya.</v>
      </c>
      <c r="S343" s="6" t="s">
        <v>132</v>
      </c>
      <c r="T343" s="7" t="str">
        <f>IFERROR(__xludf.DUMMYFUNCTION("GOOGLETRANSLATE(C343, ""en"", ""ja"")"),"ケニア")</f>
        <v>ケニア</v>
      </c>
      <c r="U343" s="7" t="str">
        <f>IFERROR(__xludf.DUMMYFUNCTION("GOOGLETRANSLATE(C343, ""en"", ""ko"")"),"케냐")</f>
        <v>케냐</v>
      </c>
      <c r="V343" s="7" t="str">
        <f>IFERROR(__xludf.DUMMYFUNCTION("GOOGLETRANSLATE(C343, ""en"", ""ms"")"),"Kenya")</f>
        <v>Kenya</v>
      </c>
      <c r="W343" s="7" t="str">
        <f>IFERROR(__xludf.DUMMYFUNCTION("GOOGLETRANSLATE(C343, ""en"", ""nl"")"),"Kenia")</f>
        <v>Kenia</v>
      </c>
      <c r="X343" s="7" t="str">
        <f>IFERROR(__xludf.DUMMYFUNCTION("GOOGLETRANSLATE(C343, ""en"", ""no"")"),"Kenya.")</f>
        <v>Kenya.</v>
      </c>
      <c r="Y343" s="7" t="str">
        <f>IFERROR(__xludf.DUMMYFUNCTION("GOOGLETRANSLATE(C343, ""en"", ""pl"")"),"Kenia")</f>
        <v>Kenia</v>
      </c>
      <c r="Z343" s="7" t="str">
        <f>IFERROR(__xludf.DUMMYFUNCTION("GOOGLETRANSLATE(C343, ""en"", ""pt"")"),"Quênia")</f>
        <v>Quênia</v>
      </c>
      <c r="AA343" s="7" t="str">
        <f>IFERROR(__xludf.DUMMYFUNCTION("GOOGLETRANSLATE(C343, ""en"", ""ro"")"),"Kenya.")</f>
        <v>Kenya.</v>
      </c>
      <c r="AB343" s="1" t="s">
        <v>7602</v>
      </c>
      <c r="AC343" s="7" t="str">
        <f>IFERROR(__xludf.DUMMYFUNCTION("GOOGLETRANSLATE(C343, ""en"", ""sk"")"),"Keňa")</f>
        <v>Keňa</v>
      </c>
      <c r="AD343" s="6" t="s">
        <v>132</v>
      </c>
      <c r="AE343" s="1" t="s">
        <v>7603</v>
      </c>
      <c r="AF343" s="7" t="str">
        <f>IFERROR(__xludf.DUMMYFUNCTION("GOOGLETRANSLATE(C343, ""en"", ""sv"")"),"Kenya")</f>
        <v>Kenya</v>
      </c>
      <c r="AG343" s="6" t="s">
        <v>132</v>
      </c>
      <c r="AH343" s="7" t="str">
        <f>IFERROR(__xludf.DUMMYFUNCTION("GOOGLETRANSLATE(C343, ""en"", ""tr"")"),"Kenya")</f>
        <v>Kenya</v>
      </c>
      <c r="AI343" s="6" t="s">
        <v>132</v>
      </c>
      <c r="AJ343" s="6" t="s">
        <v>132</v>
      </c>
      <c r="AK343" s="7" t="str">
        <f>IFERROR(__xludf.DUMMYFUNCTION("GOOGLETRANSLATE(C343, ""en"", ""zh"")"),"肯尼亚")</f>
        <v>肯尼亚</v>
      </c>
      <c r="AL343" s="6" t="s">
        <v>132</v>
      </c>
    </row>
    <row r="344" ht="15.75" hidden="1" customHeight="1">
      <c r="A344" s="1" t="s">
        <v>38</v>
      </c>
      <c r="B344" s="1" t="s">
        <v>7604</v>
      </c>
      <c r="C344" s="1" t="s">
        <v>7605</v>
      </c>
      <c r="D344" s="7" t="str">
        <f>IFERROR(__xludf.DUMMYFUNCTION("GOOGLETRANSLATE(C344, ""en"", ""ar"")"),"جزر مريانا الشمالية")</f>
        <v>جزر مريانا الشمالية</v>
      </c>
      <c r="E344" s="7" t="str">
        <f>IFERROR(__xludf.DUMMYFUNCTION("GOOGLETRANSLATE(C344, ""en"", ""bg"")"),"Северни Мариански острови")</f>
        <v>Северни Мариански острови</v>
      </c>
      <c r="F344" s="6" t="s">
        <v>132</v>
      </c>
      <c r="G344" s="7" t="str">
        <f>IFERROR(__xludf.DUMMYFUNCTION("GOOGLETRANSLATE(C344, ""en"", ""cs"")"),"Severní Mariánské ostrovy")</f>
        <v>Severní Mariánské ostrovy</v>
      </c>
      <c r="H344" s="7" t="str">
        <f>IFERROR(__xludf.DUMMYFUNCTION("GOOGLETRANSLATE(C344, ""en"", ""da"")"),"Nord Mariana Islands.")</f>
        <v>Nord Mariana Islands.</v>
      </c>
      <c r="I344" s="1" t="s">
        <v>7606</v>
      </c>
      <c r="J344" s="6" t="s">
        <v>132</v>
      </c>
      <c r="K344" s="1" t="s">
        <v>7607</v>
      </c>
      <c r="L344" s="7" t="str">
        <f>IFERROR(__xludf.DUMMYFUNCTION("GOOGLETRANSLATE(C344, ""en"", ""fi"")"),"Pohjois-Mariana Islands")</f>
        <v>Pohjois-Mariana Islands</v>
      </c>
      <c r="M344" s="1" t="s">
        <v>7608</v>
      </c>
      <c r="N344" s="6" t="s">
        <v>132</v>
      </c>
      <c r="O344" s="6" t="s">
        <v>132</v>
      </c>
      <c r="P344" s="1" t="s">
        <v>7605</v>
      </c>
      <c r="Q344" s="7" t="str">
        <f>IFERROR(__xludf.DUMMYFUNCTION("GOOGLETRANSLATE(C344, ""en"", ""in"")"),"Kepulauan Mariana Utara")</f>
        <v>Kepulauan Mariana Utara</v>
      </c>
      <c r="R344" s="7" t="str">
        <f>IFERROR(__xludf.DUMMYFUNCTION("GOOGLETRANSLATE(C344, ""en"", ""it"")"),"Isole Marianne settentrionali")</f>
        <v>Isole Marianne settentrionali</v>
      </c>
      <c r="S344" s="6" t="s">
        <v>132</v>
      </c>
      <c r="T344" s="7" t="str">
        <f>IFERROR(__xludf.DUMMYFUNCTION("GOOGLETRANSLATE(C344, ""en"", ""ja"")"),"北マリアナ諸島")</f>
        <v>北マリアナ諸島</v>
      </c>
      <c r="U344" s="7" t="str">
        <f>IFERROR(__xludf.DUMMYFUNCTION("GOOGLETRANSLATE(C344, ""en"", ""ko"")"),"북 마리아나 제도")</f>
        <v>북 마리아나 제도</v>
      </c>
      <c r="V344" s="7" t="str">
        <f>IFERROR(__xludf.DUMMYFUNCTION("GOOGLETRANSLATE(C344, ""en"", ""ms"")"),"Kepulauan Mariana Utara.")</f>
        <v>Kepulauan Mariana Utara.</v>
      </c>
      <c r="W344" s="7" t="str">
        <f>IFERROR(__xludf.DUMMYFUNCTION("GOOGLETRANSLATE(C344, ""en"", ""nl"")"),"noordelijke Mariana eilanden")</f>
        <v>noordelijke Mariana eilanden</v>
      </c>
      <c r="X344" s="7" t="str">
        <f>IFERROR(__xludf.DUMMYFUNCTION("GOOGLETRANSLATE(C344, ""en"", ""no"")"),"Nord-Marianene")</f>
        <v>Nord-Marianene</v>
      </c>
      <c r="Y344" s="7" t="str">
        <f>IFERROR(__xludf.DUMMYFUNCTION("GOOGLETRANSLATE(C344, ""en"", ""pl"")"),"Northern Mariana Islands.")</f>
        <v>Northern Mariana Islands.</v>
      </c>
      <c r="Z344" s="7" t="str">
        <f>IFERROR(__xludf.DUMMYFUNCTION("GOOGLETRANSLATE(C344, ""en"", ""pt"")"),"Ilhas Marianas do Norte")</f>
        <v>Ilhas Marianas do Norte</v>
      </c>
      <c r="AA344" s="7" t="str">
        <f>IFERROR(__xludf.DUMMYFUNCTION("GOOGLETRANSLATE(C344, ""en"", ""ro"")"),"Insulele Mariane de Nord")</f>
        <v>Insulele Mariane de Nord</v>
      </c>
      <c r="AB344" s="1" t="s">
        <v>7609</v>
      </c>
      <c r="AC344" s="7" t="str">
        <f>IFERROR(__xludf.DUMMYFUNCTION("GOOGLETRANSLATE(C344, ""en"", ""sk"")"),"Severné Mariány")</f>
        <v>Severné Mariány</v>
      </c>
      <c r="AD344" s="6" t="s">
        <v>132</v>
      </c>
      <c r="AE344" s="1" t="s">
        <v>7610</v>
      </c>
      <c r="AF344" s="7" t="str">
        <f>IFERROR(__xludf.DUMMYFUNCTION("GOOGLETRANSLATE(C344, ""en"", ""sv"")"),"Northern Mariana Islands")</f>
        <v>Northern Mariana Islands</v>
      </c>
      <c r="AG344" s="6" t="s">
        <v>132</v>
      </c>
      <c r="AH344" s="7" t="str">
        <f>IFERROR(__xludf.DUMMYFUNCTION("GOOGLETRANSLATE(C344, ""en"", ""tr"")"),"Kuzey Mariana Adaları")</f>
        <v>Kuzey Mariana Adaları</v>
      </c>
      <c r="AI344" s="6" t="s">
        <v>132</v>
      </c>
      <c r="AJ344" s="6" t="s">
        <v>132</v>
      </c>
      <c r="AK344" s="7" t="str">
        <f>IFERROR(__xludf.DUMMYFUNCTION("GOOGLETRANSLATE(C344, ""en"", ""zh"")"),"北马里亚纳群岛")</f>
        <v>北马里亚纳群岛</v>
      </c>
      <c r="AL344" s="6" t="s">
        <v>132</v>
      </c>
    </row>
    <row r="345" ht="15.75" customHeight="1">
      <c r="A345" s="1" t="s">
        <v>127</v>
      </c>
      <c r="B345" s="1" t="s">
        <v>7611</v>
      </c>
      <c r="C345" s="1" t="s">
        <v>7612</v>
      </c>
      <c r="D345" s="8" t="s">
        <v>7613</v>
      </c>
      <c r="E345" s="1" t="s">
        <v>7614</v>
      </c>
      <c r="F345" s="6" t="s">
        <v>132</v>
      </c>
      <c r="G345" s="1" t="s">
        <v>7615</v>
      </c>
      <c r="H345" s="1" t="s">
        <v>7616</v>
      </c>
      <c r="I345" s="1" t="s">
        <v>7617</v>
      </c>
      <c r="J345" s="6" t="s">
        <v>7618</v>
      </c>
      <c r="K345" s="1" t="s">
        <v>7619</v>
      </c>
      <c r="L345" s="1" t="s">
        <v>7620</v>
      </c>
      <c r="M345" s="1" t="s">
        <v>7621</v>
      </c>
      <c r="N345" s="6" t="s">
        <v>132</v>
      </c>
      <c r="O345" s="6" t="s">
        <v>7622</v>
      </c>
      <c r="P345" s="1" t="s">
        <v>7623</v>
      </c>
      <c r="Q345" s="1" t="s">
        <v>7624</v>
      </c>
      <c r="R345" s="1" t="s">
        <v>7625</v>
      </c>
      <c r="S345" s="10" t="s">
        <v>7626</v>
      </c>
      <c r="T345" s="1" t="s">
        <v>7627</v>
      </c>
      <c r="U345" s="1" t="s">
        <v>7628</v>
      </c>
      <c r="V345" s="1" t="s">
        <v>7629</v>
      </c>
      <c r="W345" s="1" t="s">
        <v>7630</v>
      </c>
      <c r="X345" s="1" t="s">
        <v>7631</v>
      </c>
      <c r="Y345" s="1" t="s">
        <v>7632</v>
      </c>
      <c r="Z345" s="1" t="s">
        <v>7633</v>
      </c>
      <c r="AA345" s="1" t="s">
        <v>7634</v>
      </c>
      <c r="AB345" s="1" t="s">
        <v>7635</v>
      </c>
      <c r="AC345" s="1" t="s">
        <v>7636</v>
      </c>
      <c r="AD345" s="6" t="s">
        <v>7637</v>
      </c>
      <c r="AE345" s="1" t="s">
        <v>7638</v>
      </c>
      <c r="AF345" s="1" t="s">
        <v>7639</v>
      </c>
      <c r="AG345" s="6" t="s">
        <v>7640</v>
      </c>
      <c r="AH345" s="1" t="s">
        <v>7641</v>
      </c>
      <c r="AI345" s="6" t="s">
        <v>132</v>
      </c>
      <c r="AJ345" s="6" t="s">
        <v>7642</v>
      </c>
      <c r="AK345" s="1" t="s">
        <v>7643</v>
      </c>
      <c r="AL345" s="6" t="s">
        <v>7644</v>
      </c>
    </row>
    <row r="346" ht="15.75" hidden="1" customHeight="1">
      <c r="A346" s="1" t="s">
        <v>38</v>
      </c>
      <c r="B346" s="1" t="s">
        <v>7645</v>
      </c>
      <c r="C346" s="1" t="s">
        <v>7646</v>
      </c>
      <c r="D346" s="7" t="str">
        <f>IFERROR(__xludf.DUMMYFUNCTION("GOOGLETRANSLATE(C346, ""en"", ""ar"")"),"تايلاند")</f>
        <v>تايلاند</v>
      </c>
      <c r="E346" s="7" t="str">
        <f>IFERROR(__xludf.DUMMYFUNCTION("GOOGLETRANSLATE(C346, ""en"", ""bg"")"),"Тайланд")</f>
        <v>Тайланд</v>
      </c>
      <c r="F346" s="6" t="s">
        <v>132</v>
      </c>
      <c r="G346" s="7" t="str">
        <f>IFERROR(__xludf.DUMMYFUNCTION("GOOGLETRANSLATE(C346, ""en"", ""cs"")"),"Thajsko")</f>
        <v>Thajsko</v>
      </c>
      <c r="H346" s="7" t="str">
        <f>IFERROR(__xludf.DUMMYFUNCTION("GOOGLETRANSLATE(C346, ""en"", ""da"")"),"Thailand")</f>
        <v>Thailand</v>
      </c>
      <c r="I346" s="1" t="s">
        <v>7646</v>
      </c>
      <c r="J346" s="6" t="s">
        <v>132</v>
      </c>
      <c r="K346" s="1" t="s">
        <v>7647</v>
      </c>
      <c r="L346" s="7" t="str">
        <f>IFERROR(__xludf.DUMMYFUNCTION("GOOGLETRANSLATE(C346, ""en"", ""fi"")"),"Thaimaa")</f>
        <v>Thaimaa</v>
      </c>
      <c r="M346" s="1" t="s">
        <v>7648</v>
      </c>
      <c r="N346" s="6" t="s">
        <v>132</v>
      </c>
      <c r="O346" s="6" t="s">
        <v>132</v>
      </c>
      <c r="P346" s="1" t="s">
        <v>7646</v>
      </c>
      <c r="Q346" s="7" t="str">
        <f>IFERROR(__xludf.DUMMYFUNCTION("GOOGLETRANSLATE(C346, ""en"", ""in"")"),"Thailand")</f>
        <v>Thailand</v>
      </c>
      <c r="R346" s="7" t="str">
        <f>IFERROR(__xludf.DUMMYFUNCTION("GOOGLETRANSLATE(C346, ""en"", ""it"")"),"Tailandia")</f>
        <v>Tailandia</v>
      </c>
      <c r="S346" s="6" t="s">
        <v>132</v>
      </c>
      <c r="T346" s="7" t="str">
        <f>IFERROR(__xludf.DUMMYFUNCTION("GOOGLETRANSLATE(C346, ""en"", ""ja"")"),"タイ")</f>
        <v>タイ</v>
      </c>
      <c r="U346" s="7" t="str">
        <f>IFERROR(__xludf.DUMMYFUNCTION("GOOGLETRANSLATE(C346, ""en"", ""ko"")"),"태국")</f>
        <v>태국</v>
      </c>
      <c r="V346" s="7" t="str">
        <f>IFERROR(__xludf.DUMMYFUNCTION("GOOGLETRANSLATE(C346, ""en"", ""ms"")"),"Thailand")</f>
        <v>Thailand</v>
      </c>
      <c r="W346" s="7" t="str">
        <f>IFERROR(__xludf.DUMMYFUNCTION("GOOGLETRANSLATE(C346, ""en"", ""nl"")"),"Thailand")</f>
        <v>Thailand</v>
      </c>
      <c r="X346" s="7" t="str">
        <f>IFERROR(__xludf.DUMMYFUNCTION("GOOGLETRANSLATE(C346, ""en"", ""no"")"),"Thailand")</f>
        <v>Thailand</v>
      </c>
      <c r="Y346" s="7" t="str">
        <f>IFERROR(__xludf.DUMMYFUNCTION("GOOGLETRANSLATE(C346, ""en"", ""pl"")"),"Tajlandia")</f>
        <v>Tajlandia</v>
      </c>
      <c r="Z346" s="7" t="str">
        <f>IFERROR(__xludf.DUMMYFUNCTION("GOOGLETRANSLATE(C346, ""en"", ""pt"")"),"Tailândia")</f>
        <v>Tailândia</v>
      </c>
      <c r="AA346" s="7" t="str">
        <f>IFERROR(__xludf.DUMMYFUNCTION("GOOGLETRANSLATE(C346, ""en"", ""ro"")"),"Tailanda")</f>
        <v>Tailanda</v>
      </c>
      <c r="AB346" s="1" t="s">
        <v>7649</v>
      </c>
      <c r="AC346" s="7" t="str">
        <f>IFERROR(__xludf.DUMMYFUNCTION("GOOGLETRANSLATE(C346, ""en"", ""sk"")"),"Thajsko")</f>
        <v>Thajsko</v>
      </c>
      <c r="AD346" s="6" t="s">
        <v>132</v>
      </c>
      <c r="AE346" s="1" t="s">
        <v>7650</v>
      </c>
      <c r="AF346" s="7" t="str">
        <f>IFERROR(__xludf.DUMMYFUNCTION("GOOGLETRANSLATE(C346, ""en"", ""sv"")"),"Thailand")</f>
        <v>Thailand</v>
      </c>
      <c r="AG346" s="6" t="s">
        <v>132</v>
      </c>
      <c r="AH346" s="7" t="str">
        <f>IFERROR(__xludf.DUMMYFUNCTION("GOOGLETRANSLATE(C346, ""en"", ""tr"")"),"Tayland")</f>
        <v>Tayland</v>
      </c>
      <c r="AI346" s="6" t="s">
        <v>132</v>
      </c>
      <c r="AJ346" s="6" t="s">
        <v>132</v>
      </c>
      <c r="AK346" s="7" t="str">
        <f>IFERROR(__xludf.DUMMYFUNCTION("GOOGLETRANSLATE(C346, ""en"", ""zh"")"),"泰国")</f>
        <v>泰国</v>
      </c>
      <c r="AL346" s="6" t="s">
        <v>132</v>
      </c>
    </row>
    <row r="347" ht="15.75" hidden="1" customHeight="1">
      <c r="A347" s="1" t="s">
        <v>38</v>
      </c>
      <c r="B347" s="1" t="s">
        <v>7651</v>
      </c>
      <c r="C347" s="1" t="s">
        <v>7652</v>
      </c>
      <c r="D347" s="7" t="str">
        <f>IFERROR(__xludf.DUMMYFUNCTION("GOOGLETRANSLATE(C347, ""en"", ""ar"")"),"ساموا الأمريكية")</f>
        <v>ساموا الأمريكية</v>
      </c>
      <c r="E347" s="7" t="str">
        <f>IFERROR(__xludf.DUMMYFUNCTION("GOOGLETRANSLATE(C347, ""en"", ""bg"")"),"Американска Самоа")</f>
        <v>Американска Самоа</v>
      </c>
      <c r="F347" s="6" t="s">
        <v>132</v>
      </c>
      <c r="G347" s="7" t="str">
        <f>IFERROR(__xludf.DUMMYFUNCTION("GOOGLETRANSLATE(C347, ""en"", ""cs"")"),"Americká Samoa")</f>
        <v>Americká Samoa</v>
      </c>
      <c r="H347" s="7" t="str">
        <f>IFERROR(__xludf.DUMMYFUNCTION("GOOGLETRANSLATE(C347, ""en"", ""da"")"),"Amerikansk Samoa")</f>
        <v>Amerikansk Samoa</v>
      </c>
      <c r="I347" s="1" t="s">
        <v>7653</v>
      </c>
      <c r="J347" s="6" t="s">
        <v>132</v>
      </c>
      <c r="K347" s="1" t="s">
        <v>7654</v>
      </c>
      <c r="L347" s="7" t="str">
        <f>IFERROR(__xludf.DUMMYFUNCTION("GOOGLETRANSLATE(C347, ""en"", ""fi"")"),"Amerikkalainen Samoa")</f>
        <v>Amerikkalainen Samoa</v>
      </c>
      <c r="M347" s="1" t="s">
        <v>7655</v>
      </c>
      <c r="N347" s="6" t="s">
        <v>132</v>
      </c>
      <c r="O347" s="6" t="s">
        <v>132</v>
      </c>
      <c r="P347" s="1" t="s">
        <v>7652</v>
      </c>
      <c r="Q347" s="7" t="str">
        <f>IFERROR(__xludf.DUMMYFUNCTION("GOOGLETRANSLATE(C347, ""en"", ""in"")"),"Samoa Amerika")</f>
        <v>Samoa Amerika</v>
      </c>
      <c r="R347" s="7" t="str">
        <f>IFERROR(__xludf.DUMMYFUNCTION("GOOGLETRANSLATE(C347, ""en"", ""it"")"),"Samoa americane")</f>
        <v>Samoa americane</v>
      </c>
      <c r="S347" s="6" t="s">
        <v>132</v>
      </c>
      <c r="T347" s="7" t="str">
        <f>IFERROR(__xludf.DUMMYFUNCTION("GOOGLETRANSLATE(C347, ""en"", ""ja"")"),"アメリカンサモア")</f>
        <v>アメリカンサモア</v>
      </c>
      <c r="U347" s="7" t="str">
        <f>IFERROR(__xludf.DUMMYFUNCTION("GOOGLETRANSLATE(C347, ""en"", ""ko"")"),"미국 사모아")</f>
        <v>미국 사모아</v>
      </c>
      <c r="V347" s="7" t="str">
        <f>IFERROR(__xludf.DUMMYFUNCTION("GOOGLETRANSLATE(C347, ""en"", ""ms"")"),"American Samoa")</f>
        <v>American Samoa</v>
      </c>
      <c r="W347" s="7" t="str">
        <f>IFERROR(__xludf.DUMMYFUNCTION("GOOGLETRANSLATE(C347, ""en"", ""nl"")"),"Amerikaans Samoa")</f>
        <v>Amerikaans Samoa</v>
      </c>
      <c r="X347" s="7" t="str">
        <f>IFERROR(__xludf.DUMMYFUNCTION("GOOGLETRANSLATE(C347, ""en"", ""no"")"),"Amerikansk Samoa.")</f>
        <v>Amerikansk Samoa.</v>
      </c>
      <c r="Y347" s="7" t="str">
        <f>IFERROR(__xludf.DUMMYFUNCTION("GOOGLETRANSLATE(C347, ""en"", ""pl"")"),"Samoa Amerykańskie")</f>
        <v>Samoa Amerykańskie</v>
      </c>
      <c r="Z347" s="7" t="str">
        <f>IFERROR(__xludf.DUMMYFUNCTION("GOOGLETRANSLATE(C347, ""en"", ""pt"")"),"Samoa Americana")</f>
        <v>Samoa Americana</v>
      </c>
      <c r="AA347" s="7" t="str">
        <f>IFERROR(__xludf.DUMMYFUNCTION("GOOGLETRANSLATE(C347, ""en"", ""ro"")"),"Samoa Americană")</f>
        <v>Samoa Americană</v>
      </c>
      <c r="AB347" s="1" t="s">
        <v>7656</v>
      </c>
      <c r="AC347" s="7" t="str">
        <f>IFERROR(__xludf.DUMMYFUNCTION("GOOGLETRANSLATE(C347, ""en"", ""sk"")"),"Americká Samoa")</f>
        <v>Americká Samoa</v>
      </c>
      <c r="AD347" s="6" t="s">
        <v>132</v>
      </c>
      <c r="AE347" s="1" t="s">
        <v>7657</v>
      </c>
      <c r="AF347" s="7" t="str">
        <f>IFERROR(__xludf.DUMMYFUNCTION("GOOGLETRANSLATE(C347, ""en"", ""sv"")"),"Amerikanska Samoa")</f>
        <v>Amerikanska Samoa</v>
      </c>
      <c r="AG347" s="6" t="s">
        <v>132</v>
      </c>
      <c r="AH347" s="7" t="str">
        <f>IFERROR(__xludf.DUMMYFUNCTION("GOOGLETRANSLATE(C347, ""en"", ""tr"")"),"Amerikan Samoası")</f>
        <v>Amerikan Samoası</v>
      </c>
      <c r="AI347" s="6" t="s">
        <v>132</v>
      </c>
      <c r="AJ347" s="6" t="s">
        <v>132</v>
      </c>
      <c r="AK347" s="7" t="str">
        <f>IFERROR(__xludf.DUMMYFUNCTION("GOOGLETRANSLATE(C347, ""en"", ""zh"")"),"美国萨摩亚")</f>
        <v>美国萨摩亚</v>
      </c>
      <c r="AL347" s="6" t="s">
        <v>132</v>
      </c>
    </row>
    <row r="348" ht="15.75" hidden="1" customHeight="1">
      <c r="A348" s="1" t="s">
        <v>38</v>
      </c>
      <c r="B348" s="1" t="s">
        <v>7658</v>
      </c>
      <c r="C348" s="1" t="s">
        <v>7659</v>
      </c>
      <c r="D348" s="7" t="str">
        <f>IFERROR(__xludf.DUMMYFUNCTION("GOOGLETRANSLATE(C348, ""en"", ""ar"")"),"إدارة الحساب")</f>
        <v>إدارة الحساب</v>
      </c>
      <c r="E348" s="1" t="s">
        <v>7660</v>
      </c>
      <c r="F348" s="6" t="s">
        <v>7661</v>
      </c>
      <c r="G348" s="7" t="str">
        <f>IFERROR(__xludf.DUMMYFUNCTION("GOOGLETRANSLATE(C348, ""en"", ""cs"")"),"Spravovat účet")</f>
        <v>Spravovat účet</v>
      </c>
      <c r="H348" s="7" t="str">
        <f>IFERROR(__xludf.DUMMYFUNCTION("GOOGLETRANSLATE(C348, ""en"", ""da"")"),"Administrer konto")</f>
        <v>Administrer konto</v>
      </c>
      <c r="I348" s="1" t="s">
        <v>7662</v>
      </c>
      <c r="J348" s="6" t="s">
        <v>132</v>
      </c>
      <c r="K348" s="1" t="s">
        <v>7663</v>
      </c>
      <c r="L348" s="7" t="str">
        <f>IFERROR(__xludf.DUMMYFUNCTION("GOOGLETRANSLATE(C348, ""en"", ""fi"")"),"Hallitse tiliä")</f>
        <v>Hallitse tiliä</v>
      </c>
      <c r="M348" s="1" t="s">
        <v>7664</v>
      </c>
      <c r="N348" s="6" t="s">
        <v>7665</v>
      </c>
      <c r="O348" s="6" t="s">
        <v>132</v>
      </c>
      <c r="P348" s="1" t="s">
        <v>7666</v>
      </c>
      <c r="Q348" s="7" t="str">
        <f>IFERROR(__xludf.DUMMYFUNCTION("GOOGLETRANSLATE(C348, ""en"", ""in"")"),"Kelola Akun")</f>
        <v>Kelola Akun</v>
      </c>
      <c r="R348" s="1" t="s">
        <v>7667</v>
      </c>
      <c r="S348" s="6" t="s">
        <v>132</v>
      </c>
      <c r="T348" s="1" t="s">
        <v>7668</v>
      </c>
      <c r="U348" s="7" t="str">
        <f>IFERROR(__xludf.DUMMYFUNCTION("GOOGLETRANSLATE(C348, ""en"", ""ko"")"),"계정 관리")</f>
        <v>계정 관리</v>
      </c>
      <c r="V348" s="7" t="str">
        <f>IFERROR(__xludf.DUMMYFUNCTION("GOOGLETRANSLATE(C348, ""en"", ""ms"")"),"Urus akaun")</f>
        <v>Urus akaun</v>
      </c>
      <c r="W348" s="1" t="s">
        <v>7669</v>
      </c>
      <c r="X348" s="7" t="str">
        <f>IFERROR(__xludf.DUMMYFUNCTION("GOOGLETRANSLATE(C348, ""en"", ""no"")"),"Administrer konto")</f>
        <v>Administrer konto</v>
      </c>
      <c r="Y348" s="1" t="s">
        <v>7670</v>
      </c>
      <c r="Z348" s="7" t="str">
        <f>IFERROR(__xludf.DUMMYFUNCTION("GOOGLETRANSLATE(C348, ""en"", ""pt"")"),"Gerenciar conta")</f>
        <v>Gerenciar conta</v>
      </c>
      <c r="AA348" s="7" t="str">
        <f>IFERROR(__xludf.DUMMYFUNCTION("GOOGLETRANSLATE(C348, ""en"", ""ro"")"),"Gestionați cont")</f>
        <v>Gestionați cont</v>
      </c>
      <c r="AB348" s="7" t="str">
        <f>IFERROR(__xludf.DUMMYFUNCTION("GOOGLETRANSLATE(C348, ""en"", ""ru"")"),"Управлять счетом")</f>
        <v>Управлять счетом</v>
      </c>
      <c r="AC348" s="7" t="str">
        <f>IFERROR(__xludf.DUMMYFUNCTION("GOOGLETRANSLATE(C348, ""en"", ""sk"")"),"Spravovať účet")</f>
        <v>Spravovať účet</v>
      </c>
      <c r="AD348" s="6" t="s">
        <v>132</v>
      </c>
      <c r="AE348" s="7" t="str">
        <f>IFERROR(__xludf.DUMMYFUNCTION("GOOGLETRANSLATE(C348, ""en"", ""sr"")"),"Управља налог")</f>
        <v>Управља налог</v>
      </c>
      <c r="AF348" s="7" t="str">
        <f>IFERROR(__xludf.DUMMYFUNCTION("GOOGLETRANSLATE(C348, ""en"", ""sv"")"),"Hantera konto")</f>
        <v>Hantera konto</v>
      </c>
      <c r="AG348" s="6" t="s">
        <v>132</v>
      </c>
      <c r="AH348" s="7" t="str">
        <f>IFERROR(__xludf.DUMMYFUNCTION("GOOGLETRANSLATE(C348, ""en"", ""tr"")"),"Hesabı yönet")</f>
        <v>Hesabı yönet</v>
      </c>
      <c r="AI348" s="6" t="s">
        <v>132</v>
      </c>
      <c r="AJ348" s="6" t="s">
        <v>132</v>
      </c>
      <c r="AK348" s="7" t="str">
        <f>IFERROR(__xludf.DUMMYFUNCTION("GOOGLETRANSLATE(C348, ""en"", ""zh"")"),"管理帐户")</f>
        <v>管理帐户</v>
      </c>
      <c r="AL348" s="6" t="s">
        <v>132</v>
      </c>
    </row>
    <row r="349" ht="15.75" hidden="1" customHeight="1">
      <c r="A349" s="1" t="s">
        <v>38</v>
      </c>
      <c r="B349" s="1" t="s">
        <v>7671</v>
      </c>
      <c r="C349" s="1" t="s">
        <v>7672</v>
      </c>
      <c r="D349" s="7" t="str">
        <f>IFERROR(__xludf.DUMMYFUNCTION("GOOGLETRANSLATE(C349, ""en"", ""ar"")"),"البرتغال")</f>
        <v>البرتغال</v>
      </c>
      <c r="E349" s="7" t="str">
        <f>IFERROR(__xludf.DUMMYFUNCTION("GOOGLETRANSLATE(C349, ""en"", ""bg"")"),"Португалия")</f>
        <v>Португалия</v>
      </c>
      <c r="F349" s="6" t="s">
        <v>132</v>
      </c>
      <c r="G349" s="7" t="str">
        <f>IFERROR(__xludf.DUMMYFUNCTION("GOOGLETRANSLATE(C349, ""en"", ""cs"")"),"Portugalsko")</f>
        <v>Portugalsko</v>
      </c>
      <c r="H349" s="7" t="str">
        <f>IFERROR(__xludf.DUMMYFUNCTION("GOOGLETRANSLATE(C349, ""en"", ""da"")"),"PORTUGAL.")</f>
        <v>PORTUGAL.</v>
      </c>
      <c r="I349" s="1" t="s">
        <v>7672</v>
      </c>
      <c r="J349" s="6" t="s">
        <v>132</v>
      </c>
      <c r="K349" s="1" t="s">
        <v>7672</v>
      </c>
      <c r="L349" s="7" t="str">
        <f>IFERROR(__xludf.DUMMYFUNCTION("GOOGLETRANSLATE(C349, ""en"", ""fi"")"),"Portugali")</f>
        <v>Portugali</v>
      </c>
      <c r="M349" s="1" t="s">
        <v>7672</v>
      </c>
      <c r="N349" s="6" t="s">
        <v>132</v>
      </c>
      <c r="O349" s="6" t="s">
        <v>132</v>
      </c>
      <c r="P349" s="1" t="s">
        <v>7672</v>
      </c>
      <c r="Q349" s="7" t="str">
        <f>IFERROR(__xludf.DUMMYFUNCTION("GOOGLETRANSLATE(C349, ""en"", ""in"")"),"Portugal")</f>
        <v>Portugal</v>
      </c>
      <c r="R349" s="7" t="str">
        <f>IFERROR(__xludf.DUMMYFUNCTION("GOOGLETRANSLATE(C349, ""en"", ""it"")"),"Portogallo")</f>
        <v>Portogallo</v>
      </c>
      <c r="S349" s="6" t="s">
        <v>132</v>
      </c>
      <c r="T349" s="7" t="str">
        <f>IFERROR(__xludf.DUMMYFUNCTION("GOOGLETRANSLATE(C349, ""en"", ""ja"")"),"ポルトガル")</f>
        <v>ポルトガル</v>
      </c>
      <c r="U349" s="7" t="str">
        <f>IFERROR(__xludf.DUMMYFUNCTION("GOOGLETRANSLATE(C349, ""en"", ""ko"")"),"포르투갈")</f>
        <v>포르투갈</v>
      </c>
      <c r="V349" s="7" t="str">
        <f>IFERROR(__xludf.DUMMYFUNCTION("GOOGLETRANSLATE(C349, ""en"", ""ms"")"),"Portugal.")</f>
        <v>Portugal.</v>
      </c>
      <c r="W349" s="7" t="str">
        <f>IFERROR(__xludf.DUMMYFUNCTION("GOOGLETRANSLATE(C349, ""en"", ""nl"")"),"Portugal")</f>
        <v>Portugal</v>
      </c>
      <c r="X349" s="7" t="str">
        <f>IFERROR(__xludf.DUMMYFUNCTION("GOOGLETRANSLATE(C349, ""en"", ""no"")"),"Portugal")</f>
        <v>Portugal</v>
      </c>
      <c r="Y349" s="7" t="str">
        <f>IFERROR(__xludf.DUMMYFUNCTION("GOOGLETRANSLATE(C349, ""en"", ""pl"")"),"Portugalia")</f>
        <v>Portugalia</v>
      </c>
      <c r="Z349" s="7" t="str">
        <f>IFERROR(__xludf.DUMMYFUNCTION("GOOGLETRANSLATE(C349, ""en"", ""pt"")"),"Portugal")</f>
        <v>Portugal</v>
      </c>
      <c r="AA349" s="7" t="str">
        <f>IFERROR(__xludf.DUMMYFUNCTION("GOOGLETRANSLATE(C349, ""en"", ""ro"")"),"Portugalia")</f>
        <v>Portugalia</v>
      </c>
      <c r="AB349" s="1" t="s">
        <v>7673</v>
      </c>
      <c r="AC349" s="7" t="str">
        <f>IFERROR(__xludf.DUMMYFUNCTION("GOOGLETRANSLATE(C349, ""en"", ""sk"")"),"Portugalsko")</f>
        <v>Portugalsko</v>
      </c>
      <c r="AD349" s="6" t="s">
        <v>132</v>
      </c>
      <c r="AE349" s="1" t="s">
        <v>7672</v>
      </c>
      <c r="AF349" s="7" t="str">
        <f>IFERROR(__xludf.DUMMYFUNCTION("GOOGLETRANSLATE(C349, ""en"", ""sv"")"),"Portugal")</f>
        <v>Portugal</v>
      </c>
      <c r="AG349" s="6" t="s">
        <v>132</v>
      </c>
      <c r="AH349" s="7" t="str">
        <f>IFERROR(__xludf.DUMMYFUNCTION("GOOGLETRANSLATE(C349, ""en"", ""tr"")"),"Portekiz")</f>
        <v>Portekiz</v>
      </c>
      <c r="AI349" s="6" t="s">
        <v>132</v>
      </c>
      <c r="AJ349" s="6" t="s">
        <v>132</v>
      </c>
      <c r="AK349" s="7" t="str">
        <f>IFERROR(__xludf.DUMMYFUNCTION("GOOGLETRANSLATE(C349, ""en"", ""zh"")"),"葡萄牙")</f>
        <v>葡萄牙</v>
      </c>
      <c r="AL349" s="6" t="s">
        <v>132</v>
      </c>
    </row>
    <row r="350" ht="15.75" hidden="1" customHeight="1">
      <c r="A350" s="1" t="s">
        <v>38</v>
      </c>
      <c r="B350" s="1" t="s">
        <v>7674</v>
      </c>
      <c r="C350" s="1" t="s">
        <v>7675</v>
      </c>
      <c r="D350" s="8" t="s">
        <v>7676</v>
      </c>
      <c r="E350" s="1" t="s">
        <v>7677</v>
      </c>
      <c r="F350" s="6" t="s">
        <v>7678</v>
      </c>
      <c r="G350" s="7" t="str">
        <f>IFERROR(__xludf.DUMMYFUNCTION("GOOGLETRANSLATE(C350, ""en"", ""cs"")"),"% s přestal psát")</f>
        <v>% s přestal psát</v>
      </c>
      <c r="H350" s="7" t="str">
        <f>IFERROR(__xludf.DUMMYFUNCTION("GOOGLETRANSLATE(C350, ""en"", ""da"")"),"% s er stoppet med at skrive")</f>
        <v>% s er stoppet med at skrive</v>
      </c>
      <c r="I350" s="1" t="s">
        <v>7679</v>
      </c>
      <c r="J350" s="6" t="s">
        <v>132</v>
      </c>
      <c r="K350" s="1" t="s">
        <v>7680</v>
      </c>
      <c r="L350" s="7" t="str">
        <f>IFERROR(__xludf.DUMMYFUNCTION("GOOGLETRANSLATE(C350, ""en"", ""fi"")"),"% s on lakannut kirjoittamisen")</f>
        <v>% s on lakannut kirjoittamisen</v>
      </c>
      <c r="M350" s="1" t="s">
        <v>7681</v>
      </c>
      <c r="N350" s="6" t="s">
        <v>7682</v>
      </c>
      <c r="O350" s="6" t="s">
        <v>132</v>
      </c>
      <c r="P350" s="1" t="s">
        <v>7683</v>
      </c>
      <c r="Q350" s="9" t="s">
        <v>7684</v>
      </c>
      <c r="R350" s="1" t="s">
        <v>7685</v>
      </c>
      <c r="S350" s="6" t="s">
        <v>132</v>
      </c>
      <c r="T350" s="1" t="s">
        <v>7686</v>
      </c>
      <c r="U350" s="1" t="s">
        <v>7687</v>
      </c>
      <c r="V350" s="7" t="str">
        <f>IFERROR(__xludf.DUMMYFUNCTION("GOOGLETRANSLATE(C350, ""en"", ""ms"")"),"% s telah berhenti menaip")</f>
        <v>% s telah berhenti menaip</v>
      </c>
      <c r="W350" s="1" t="s">
        <v>7688</v>
      </c>
      <c r="X350" s="7" t="str">
        <f>IFERROR(__xludf.DUMMYFUNCTION("GOOGLETRANSLATE(C350, ""en"", ""no"")"),"% s har sluttet å skrive")</f>
        <v>% s har sluttet å skrive</v>
      </c>
      <c r="Y350" s="1" t="s">
        <v>7689</v>
      </c>
      <c r="Z350" s="1" t="s">
        <v>7690</v>
      </c>
      <c r="AA350" s="7" t="str">
        <f>IFERROR(__xludf.DUMMYFUNCTION("GOOGLETRANSLATE(C350, ""en"", ""ro"")"),"% s a oprit tastarea")</f>
        <v>% s a oprit tastarea</v>
      </c>
      <c r="AB350" s="13" t="s">
        <v>7691</v>
      </c>
      <c r="AC350" s="1" t="s">
        <v>7692</v>
      </c>
      <c r="AD350" s="6" t="s">
        <v>132</v>
      </c>
      <c r="AE350" s="1" t="s">
        <v>7693</v>
      </c>
      <c r="AF350" s="1" t="s">
        <v>7694</v>
      </c>
      <c r="AG350" s="6" t="s">
        <v>132</v>
      </c>
      <c r="AH350" s="7" t="str">
        <f>IFERROR(__xludf.DUMMYFUNCTION("GOOGLETRANSLATE(C350, ""en"", ""tr"")"),"% s yazmayı durdurdu")</f>
        <v>% s yazmayı durdurdu</v>
      </c>
      <c r="AI350" s="6" t="s">
        <v>7695</v>
      </c>
      <c r="AJ350" s="6" t="s">
        <v>7696</v>
      </c>
      <c r="AK350" s="7" t="str">
        <f>IFERROR(__xludf.DUMMYFUNCTION("GOOGLETRANSLATE(C350, ""en"", ""zh"")"),"％s已停止打字")</f>
        <v>％s已停止打字</v>
      </c>
      <c r="AL350" s="6" t="s">
        <v>7697</v>
      </c>
    </row>
    <row r="351" ht="15.75" hidden="1" customHeight="1">
      <c r="A351" s="1" t="s">
        <v>38</v>
      </c>
      <c r="B351" s="1" t="s">
        <v>7698</v>
      </c>
      <c r="C351" s="1" t="s">
        <v>7699</v>
      </c>
      <c r="D351" s="8" t="s">
        <v>7700</v>
      </c>
      <c r="E351" s="1" t="s">
        <v>7701</v>
      </c>
      <c r="F351" s="6" t="s">
        <v>7702</v>
      </c>
      <c r="G351" s="7" t="str">
        <f>IFERROR(__xludf.DUMMYFUNCTION("GOOGLETRANSLATE(C351, ""en"", ""cs"")"),"Mobilní telefon")</f>
        <v>Mobilní telefon</v>
      </c>
      <c r="H351" s="7" t="str">
        <f>IFERROR(__xludf.DUMMYFUNCTION("GOOGLETRANSLATE(C351, ""en"", ""da"")"),"Mobiltelefon")</f>
        <v>Mobiltelefon</v>
      </c>
      <c r="I351" s="1" t="s">
        <v>7703</v>
      </c>
      <c r="J351" s="6" t="s">
        <v>132</v>
      </c>
      <c r="K351" s="1" t="s">
        <v>7704</v>
      </c>
      <c r="L351" s="7" t="str">
        <f>IFERROR(__xludf.DUMMYFUNCTION("GOOGLETRANSLATE(C351, ""en"", ""fi"")"),"Kännykkä")</f>
        <v>Kännykkä</v>
      </c>
      <c r="M351" s="1" t="s">
        <v>7705</v>
      </c>
      <c r="N351" s="6" t="s">
        <v>7706</v>
      </c>
      <c r="O351" s="6" t="s">
        <v>132</v>
      </c>
      <c r="P351" s="1" t="s">
        <v>7703</v>
      </c>
      <c r="Q351" s="7" t="str">
        <f>IFERROR(__xludf.DUMMYFUNCTION("GOOGLETRANSLATE(C351, ""en"", ""in"")"),"Telepon genggam")</f>
        <v>Telepon genggam</v>
      </c>
      <c r="R351" s="1" t="s">
        <v>7707</v>
      </c>
      <c r="S351" s="6" t="s">
        <v>132</v>
      </c>
      <c r="T351" s="1" t="s">
        <v>7708</v>
      </c>
      <c r="U351" s="1" t="s">
        <v>7709</v>
      </c>
      <c r="V351" s="7" t="str">
        <f>IFERROR(__xludf.DUMMYFUNCTION("GOOGLETRANSLATE(C351, ""en"", ""ms"")"),"Telefon bimbit")</f>
        <v>Telefon bimbit</v>
      </c>
      <c r="W351" s="1" t="s">
        <v>7710</v>
      </c>
      <c r="X351" s="7" t="str">
        <f>IFERROR(__xludf.DUMMYFUNCTION("GOOGLETRANSLATE(C351, ""en"", ""no"")"),"Mobiltelefon")</f>
        <v>Mobiltelefon</v>
      </c>
      <c r="Y351" s="1" t="s">
        <v>7711</v>
      </c>
      <c r="Z351" s="1" t="s">
        <v>7712</v>
      </c>
      <c r="AA351" s="7" t="str">
        <f>IFERROR(__xludf.DUMMYFUNCTION("GOOGLETRANSLATE(C351, ""en"", ""ro"")"),"Telefon mobil")</f>
        <v>Telefon mobil</v>
      </c>
      <c r="AB351" s="1" t="s">
        <v>7713</v>
      </c>
      <c r="AC351" s="7" t="str">
        <f>IFERROR(__xludf.DUMMYFUNCTION("GOOGLETRANSLATE(C351, ""en"", ""sk"")"),"Mobilný telefón")</f>
        <v>Mobilný telefón</v>
      </c>
      <c r="AD351" s="6" t="s">
        <v>132</v>
      </c>
      <c r="AE351" s="1" t="s">
        <v>7714</v>
      </c>
      <c r="AF351" s="1" t="s">
        <v>7703</v>
      </c>
      <c r="AG351" s="6" t="s">
        <v>132</v>
      </c>
      <c r="AH351" s="7" t="str">
        <f>IFERROR(__xludf.DUMMYFUNCTION("GOOGLETRANSLATE(C351, ""en"", ""tr"")"),"Cep telefonu")</f>
        <v>Cep telefonu</v>
      </c>
      <c r="AI351" s="6" t="s">
        <v>7715</v>
      </c>
      <c r="AJ351" s="6" t="s">
        <v>132</v>
      </c>
      <c r="AK351" s="7" t="str">
        <f>IFERROR(__xludf.DUMMYFUNCTION("GOOGLETRANSLATE(C351, ""en"", ""zh"")"),"手机")</f>
        <v>手机</v>
      </c>
      <c r="AL351" s="6" t="s">
        <v>7716</v>
      </c>
    </row>
    <row r="352" ht="15.75" customHeight="1">
      <c r="A352" s="1" t="s">
        <v>127</v>
      </c>
      <c r="B352" s="1" t="s">
        <v>7717</v>
      </c>
      <c r="C352" s="13" t="s">
        <v>7718</v>
      </c>
      <c r="D352" s="8" t="s">
        <v>7719</v>
      </c>
      <c r="E352" s="13" t="s">
        <v>7720</v>
      </c>
      <c r="F352" s="6" t="s">
        <v>132</v>
      </c>
      <c r="G352" s="1" t="s">
        <v>7721</v>
      </c>
      <c r="H352" s="1" t="s">
        <v>7722</v>
      </c>
      <c r="I352" s="1" t="s">
        <v>7718</v>
      </c>
      <c r="J352" s="6" t="s">
        <v>7723</v>
      </c>
      <c r="K352" s="1" t="s">
        <v>7718</v>
      </c>
      <c r="L352" s="1" t="s">
        <v>7724</v>
      </c>
      <c r="M352" s="1" t="s">
        <v>7725</v>
      </c>
      <c r="N352" s="6" t="s">
        <v>132</v>
      </c>
      <c r="O352" s="6" t="s">
        <v>7726</v>
      </c>
      <c r="P352" s="1" t="s">
        <v>7727</v>
      </c>
      <c r="Q352" s="1" t="s">
        <v>7728</v>
      </c>
      <c r="R352" s="1" t="s">
        <v>7729</v>
      </c>
      <c r="S352" s="10" t="s">
        <v>7730</v>
      </c>
      <c r="T352" s="1" t="s">
        <v>7731</v>
      </c>
      <c r="U352" s="1" t="s">
        <v>7718</v>
      </c>
      <c r="V352" s="1" t="s">
        <v>7732</v>
      </c>
      <c r="W352" s="1" t="s">
        <v>7733</v>
      </c>
      <c r="X352" s="1" t="s">
        <v>7722</v>
      </c>
      <c r="Y352" s="1" t="s">
        <v>7734</v>
      </c>
      <c r="Z352" s="1" t="s">
        <v>7735</v>
      </c>
      <c r="AA352" s="13" t="s">
        <v>7691</v>
      </c>
      <c r="AB352" s="1" t="s">
        <v>7736</v>
      </c>
      <c r="AC352" s="1" t="s">
        <v>7737</v>
      </c>
      <c r="AD352" s="6" t="s">
        <v>7738</v>
      </c>
      <c r="AE352" s="1" t="s">
        <v>7739</v>
      </c>
      <c r="AF352" s="13" t="s">
        <v>7740</v>
      </c>
      <c r="AG352" s="6" t="s">
        <v>7741</v>
      </c>
      <c r="AH352" s="1" t="s">
        <v>7742</v>
      </c>
      <c r="AI352" s="6" t="s">
        <v>132</v>
      </c>
      <c r="AJ352" s="6" t="s">
        <v>7743</v>
      </c>
      <c r="AK352" s="1" t="s">
        <v>7744</v>
      </c>
      <c r="AL352" s="6" t="s">
        <v>7745</v>
      </c>
    </row>
    <row r="353" ht="15.75" hidden="1" customHeight="1">
      <c r="A353" s="1" t="s">
        <v>38</v>
      </c>
      <c r="B353" s="1" t="s">
        <v>7746</v>
      </c>
      <c r="C353" s="1" t="s">
        <v>1641</v>
      </c>
      <c r="D353" s="7" t="str">
        <f>IFERROR(__xludf.DUMMYFUNCTION("GOOGLETRANSLATE(C353, ""en"", ""ar"")"),"رسائل")</f>
        <v>رسائل</v>
      </c>
      <c r="E353" s="1" t="s">
        <v>1642</v>
      </c>
      <c r="F353" s="6" t="s">
        <v>132</v>
      </c>
      <c r="G353" s="7" t="str">
        <f>IFERROR(__xludf.DUMMYFUNCTION("GOOGLETRANSLATE(C353, ""en"", ""cs"")"),"Zprávy")</f>
        <v>Zprávy</v>
      </c>
      <c r="H353" s="7" t="str">
        <f>IFERROR(__xludf.DUMMYFUNCTION("GOOGLETRANSLATE(C353, ""en"", ""da"")"),"Beskeder")</f>
        <v>Beskeder</v>
      </c>
      <c r="I353" s="1" t="s">
        <v>1643</v>
      </c>
      <c r="J353" s="6" t="s">
        <v>132</v>
      </c>
      <c r="K353" s="1" t="s">
        <v>1644</v>
      </c>
      <c r="L353" s="7" t="str">
        <f>IFERROR(__xludf.DUMMYFUNCTION("GOOGLETRANSLATE(C353, ""en"", ""fi"")"),"Viestit")</f>
        <v>Viestit</v>
      </c>
      <c r="M353" s="1" t="s">
        <v>1641</v>
      </c>
      <c r="N353" s="6" t="s">
        <v>1645</v>
      </c>
      <c r="O353" s="6" t="s">
        <v>132</v>
      </c>
      <c r="P353" s="1" t="s">
        <v>1646</v>
      </c>
      <c r="Q353" s="7" t="str">
        <f>IFERROR(__xludf.DUMMYFUNCTION("GOOGLETRANSLATE(C353, ""en"", ""in"")"),"Pesan")</f>
        <v>Pesan</v>
      </c>
      <c r="R353" s="1" t="s">
        <v>1647</v>
      </c>
      <c r="S353" s="6" t="s">
        <v>132</v>
      </c>
      <c r="T353" s="7" t="str">
        <f>IFERROR(__xludf.DUMMYFUNCTION("GOOGLETRANSLATE(C353, ""en"", ""ja"")"),"メッセージ")</f>
        <v>メッセージ</v>
      </c>
      <c r="U353" s="7" t="str">
        <f>IFERROR(__xludf.DUMMYFUNCTION("GOOGLETRANSLATE(C353, ""en"", ""ko"")"),"메시지")</f>
        <v>메시지</v>
      </c>
      <c r="V353" s="7" t="str">
        <f>IFERROR(__xludf.DUMMYFUNCTION("GOOGLETRANSLATE(C353, ""en"", ""ms"")"),"Mesej")</f>
        <v>Mesej</v>
      </c>
      <c r="W353" s="1" t="s">
        <v>1648</v>
      </c>
      <c r="X353" s="7" t="str">
        <f>IFERROR(__xludf.DUMMYFUNCTION("GOOGLETRANSLATE(C353, ""en"", ""no"")"),"Meldinger")</f>
        <v>Meldinger</v>
      </c>
      <c r="Y353" s="1" t="s">
        <v>1649</v>
      </c>
      <c r="Z353" s="7" t="str">
        <f>IFERROR(__xludf.DUMMYFUNCTION("GOOGLETRANSLATE(C353, ""en"", ""pt"")"),"Mensagens")</f>
        <v>Mensagens</v>
      </c>
      <c r="AA353" s="7" t="str">
        <f>IFERROR(__xludf.DUMMYFUNCTION("GOOGLETRANSLATE(C353, ""en"", ""ro"")"),"Mesaje")</f>
        <v>Mesaje</v>
      </c>
      <c r="AB353" s="7" t="str">
        <f>IFERROR(__xludf.DUMMYFUNCTION("GOOGLETRANSLATE(C353, ""en"", ""ru"")"),"Сообщения")</f>
        <v>Сообщения</v>
      </c>
      <c r="AC353" s="7" t="str">
        <f>IFERROR(__xludf.DUMMYFUNCTION("GOOGLETRANSLATE(C353, ""en"", ""sk"")"),"Správa")</f>
        <v>Správa</v>
      </c>
      <c r="AD353" s="6" t="s">
        <v>132</v>
      </c>
      <c r="AE353" s="1" t="s">
        <v>1650</v>
      </c>
      <c r="AF353" s="7" t="str">
        <f>IFERROR(__xludf.DUMMYFUNCTION("GOOGLETRANSLATE(C353, ""en"", ""sv"")"),"Budskap")</f>
        <v>Budskap</v>
      </c>
      <c r="AG353" s="6" t="s">
        <v>132</v>
      </c>
      <c r="AH353" s="7" t="str">
        <f>IFERROR(__xludf.DUMMYFUNCTION("GOOGLETRANSLATE(C353, ""en"", ""tr"")"),"Mesaj")</f>
        <v>Mesaj</v>
      </c>
      <c r="AI353" s="6" t="s">
        <v>132</v>
      </c>
      <c r="AJ353" s="6" t="s">
        <v>132</v>
      </c>
      <c r="AK353" s="7" t="str">
        <f>IFERROR(__xludf.DUMMYFUNCTION("GOOGLETRANSLATE(C353, ""en"", ""zh"")"),"消息")</f>
        <v>消息</v>
      </c>
      <c r="AL353" s="6" t="s">
        <v>132</v>
      </c>
    </row>
    <row r="354" ht="15.75" hidden="1" customHeight="1">
      <c r="A354" s="1" t="s">
        <v>38</v>
      </c>
      <c r="B354" s="1" t="s">
        <v>7747</v>
      </c>
      <c r="C354" s="1" t="s">
        <v>7748</v>
      </c>
      <c r="D354" s="7" t="str">
        <f>IFERROR(__xludf.DUMMYFUNCTION("GOOGLETRANSLATE(C354, ""en"", ""ar"")"),"سيتم استخدام OMEMO افتراضيا للمحادثات الجديدة.")</f>
        <v>سيتم استخدام OMEMO افتراضيا للمحادثات الجديدة.</v>
      </c>
      <c r="E354" s="1" t="s">
        <v>7749</v>
      </c>
      <c r="F354" s="6" t="s">
        <v>7750</v>
      </c>
      <c r="G354" s="7" t="str">
        <f>IFERROR(__xludf.DUMMYFUNCTION("GOOGLETRANSLATE(C354, ""en"", ""cs"")"),"Omemo bude standardně používán pro nové konverzace.")</f>
        <v>Omemo bude standardně používán pro nové konverzace.</v>
      </c>
      <c r="H354" s="7" t="str">
        <f>IFERROR(__xludf.DUMMYFUNCTION("GOOGLETRANSLATE(C354, ""en"", ""da"")"),"Omemo vil blive brugt som standard til nye samtaler.")</f>
        <v>Omemo vil blive brugt som standard til nye samtaler.</v>
      </c>
      <c r="I354" s="1" t="s">
        <v>7751</v>
      </c>
      <c r="J354" s="6" t="s">
        <v>132</v>
      </c>
      <c r="K354" s="1" t="s">
        <v>7752</v>
      </c>
      <c r="L354" s="7" t="str">
        <f>IFERROR(__xludf.DUMMYFUNCTION("GOOGLETRANSLATE(C354, ""en"", ""fi"")"),"OMEMOa käytetään oletusarvoisesti uusille keskusteluille.")</f>
        <v>OMEMOa käytetään oletusarvoisesti uusille keskusteluille.</v>
      </c>
      <c r="M354" s="1" t="s">
        <v>7753</v>
      </c>
      <c r="N354" s="6" t="s">
        <v>7754</v>
      </c>
      <c r="O354" s="6" t="s">
        <v>132</v>
      </c>
      <c r="P354" s="1" t="s">
        <v>7755</v>
      </c>
      <c r="Q354" s="7" t="str">
        <f>IFERROR(__xludf.DUMMYFUNCTION("GOOGLETRANSLATE(C354, ""en"", ""in"")"),"Omemo akan digunakan secara default untuk percakapan baru.")</f>
        <v>Omemo akan digunakan secara default untuk percakapan baru.</v>
      </c>
      <c r="R354" s="1" t="s">
        <v>7756</v>
      </c>
      <c r="S354" s="6" t="s">
        <v>132</v>
      </c>
      <c r="T354" s="1" t="s">
        <v>7757</v>
      </c>
      <c r="U354" s="7" t="str">
        <f>IFERROR(__xludf.DUMMYFUNCTION("GOOGLETRANSLATE(C354, ""en"", ""ko"")"),"Omemo는 기본적으로 새로운 대화를 위해 사용됩니다.")</f>
        <v>Omemo는 기본적으로 새로운 대화를 위해 사용됩니다.</v>
      </c>
      <c r="V354" s="7" t="str">
        <f>IFERROR(__xludf.DUMMYFUNCTION("GOOGLETRANSLATE(C354, ""en"", ""ms"")"),"Omemo akan digunakan secara lalai untuk perbualan baru.")</f>
        <v>Omemo akan digunakan secara lalai untuk perbualan baru.</v>
      </c>
      <c r="W354" s="1" t="s">
        <v>7758</v>
      </c>
      <c r="X354" s="7" t="str">
        <f>IFERROR(__xludf.DUMMYFUNCTION("GOOGLETRANSLATE(C354, ""en"", ""no"")"),"OMEMO vil bli brukt som standard for nye samtaler.")</f>
        <v>OMEMO vil bli brukt som standard for nye samtaler.</v>
      </c>
      <c r="Y354" s="1" t="s">
        <v>7759</v>
      </c>
      <c r="Z354" s="7" t="str">
        <f>IFERROR(__xludf.DUMMYFUNCTION("GOOGLETRANSLATE(C354, ""en"", ""pt"")"),"OMEMO será usado por padrão para novas conversas.")</f>
        <v>OMEMO será usado por padrão para novas conversas.</v>
      </c>
      <c r="AA354" s="7" t="str">
        <f>IFERROR(__xludf.DUMMYFUNCTION("GOOGLETRANSLATE(C354, ""en"", ""ro"")"),"Omemo va fi folosit în mod implicit pentru conversații noi.")</f>
        <v>Omemo va fi folosit în mod implicit pentru conversații noi.</v>
      </c>
      <c r="AB354" s="7" t="str">
        <f>IFERROR(__xludf.DUMMYFUNCTION("GOOGLETRANSLATE(C354, ""en"", ""ru"")"),"OMEMO будет использоваться по умолчанию для новых разговоров.")</f>
        <v>OMEMO будет использоваться по умолчанию для новых разговоров.</v>
      </c>
      <c r="AC354" s="7" t="str">
        <f>IFERROR(__xludf.DUMMYFUNCTION("GOOGLETRANSLATE(C354, ""en"", ""sk"")"),"OMEMO bude štandardne použitý pre nové konverzácie.")</f>
        <v>OMEMO bude štandardne použitý pre nové konverzácie.</v>
      </c>
      <c r="AD354" s="6" t="s">
        <v>132</v>
      </c>
      <c r="AE354" s="7" t="str">
        <f>IFERROR(__xludf.DUMMYFUNCTION("GOOGLETRANSLATE(C354, ""en"", ""sr"")"),"ОМЕМО ће се подразумевано користити за нове разговоре.")</f>
        <v>ОМЕМО ће се подразумевано користити за нове разговоре.</v>
      </c>
      <c r="AF354" s="7" t="str">
        <f>IFERROR(__xludf.DUMMYFUNCTION("GOOGLETRANSLATE(C354, ""en"", ""sv"")"),"Omemo kommer som standard att användas för nya konversationer.")</f>
        <v>Omemo kommer som standard att användas för nya konversationer.</v>
      </c>
      <c r="AG354" s="6" t="s">
        <v>132</v>
      </c>
      <c r="AH354" s="7" t="str">
        <f>IFERROR(__xludf.DUMMYFUNCTION("GOOGLETRANSLATE(C354, ""en"", ""tr"")"),"OMEMO, yeni konuşmalar için varsayılan olarak kullanılacaktır.")</f>
        <v>OMEMO, yeni konuşmalar için varsayılan olarak kullanılacaktır.</v>
      </c>
      <c r="AI354" s="6" t="s">
        <v>132</v>
      </c>
      <c r="AJ354" s="6" t="s">
        <v>132</v>
      </c>
      <c r="AK354" s="7" t="str">
        <f>IFERROR(__xludf.DUMMYFUNCTION("GOOGLETRANSLATE(C354, ""en"", ""zh"")"),"默认情况下将使用Omemo进行新对话。")</f>
        <v>默认情况下将使用Omemo进行新对话。</v>
      </c>
      <c r="AL354" s="6" t="s">
        <v>7760</v>
      </c>
    </row>
    <row r="355" ht="15.75" customHeight="1">
      <c r="A355" s="1" t="s">
        <v>127</v>
      </c>
      <c r="B355" s="1" t="s">
        <v>7761</v>
      </c>
      <c r="C355" s="1" t="s">
        <v>7762</v>
      </c>
      <c r="D355" s="8" t="s">
        <v>7763</v>
      </c>
      <c r="E355" s="1" t="s">
        <v>7764</v>
      </c>
      <c r="F355" s="6" t="s">
        <v>132</v>
      </c>
      <c r="G355" s="1" t="s">
        <v>7765</v>
      </c>
      <c r="H355" s="1" t="s">
        <v>7766</v>
      </c>
      <c r="I355" s="1" t="s">
        <v>7767</v>
      </c>
      <c r="J355" s="6" t="s">
        <v>7768</v>
      </c>
      <c r="K355" s="1" t="s">
        <v>7769</v>
      </c>
      <c r="L355" s="1" t="s">
        <v>7770</v>
      </c>
      <c r="M355" s="1" t="s">
        <v>7771</v>
      </c>
      <c r="N355" s="6" t="s">
        <v>132</v>
      </c>
      <c r="O355" s="6" t="s">
        <v>7772</v>
      </c>
      <c r="P355" s="1" t="s">
        <v>7773</v>
      </c>
      <c r="Q355" s="1" t="s">
        <v>7774</v>
      </c>
      <c r="R355" s="1" t="s">
        <v>7775</v>
      </c>
      <c r="S355" s="10" t="s">
        <v>7776</v>
      </c>
      <c r="T355" s="1" t="s">
        <v>7777</v>
      </c>
      <c r="U355" s="1" t="s">
        <v>7778</v>
      </c>
      <c r="V355" s="1" t="s">
        <v>7774</v>
      </c>
      <c r="W355" s="1" t="s">
        <v>7779</v>
      </c>
      <c r="X355" s="1" t="s">
        <v>7780</v>
      </c>
      <c r="Y355" s="1" t="s">
        <v>7781</v>
      </c>
      <c r="Z355" s="1" t="s">
        <v>7782</v>
      </c>
      <c r="AA355" s="1" t="s">
        <v>7783</v>
      </c>
      <c r="AB355" s="1" t="s">
        <v>7784</v>
      </c>
      <c r="AC355" s="1" t="s">
        <v>7785</v>
      </c>
      <c r="AD355" s="6" t="s">
        <v>7786</v>
      </c>
      <c r="AE355" s="1" t="s">
        <v>7786</v>
      </c>
      <c r="AF355" s="1" t="s">
        <v>7787</v>
      </c>
      <c r="AG355" s="6" t="s">
        <v>7788</v>
      </c>
      <c r="AH355" s="1" t="s">
        <v>7789</v>
      </c>
      <c r="AI355" s="6" t="s">
        <v>132</v>
      </c>
      <c r="AJ355" s="6" t="s">
        <v>7790</v>
      </c>
      <c r="AK355" s="1" t="s">
        <v>7791</v>
      </c>
      <c r="AL355" s="6" t="s">
        <v>7792</v>
      </c>
    </row>
    <row r="356" ht="15.75" hidden="1" customHeight="1">
      <c r="A356" s="1" t="s">
        <v>38</v>
      </c>
      <c r="B356" s="1" t="s">
        <v>7793</v>
      </c>
      <c r="C356" s="1" t="s">
        <v>7794</v>
      </c>
      <c r="D356" s="7" t="str">
        <f>IFERROR(__xludf.DUMMYFUNCTION("GOOGLETRANSLATE(C356, ""en"", ""ar"")"),"استجابة غير معروفة من الخادم.")</f>
        <v>استجابة غير معروفة من الخادم.</v>
      </c>
      <c r="E356" s="1" t="s">
        <v>7795</v>
      </c>
      <c r="F356" s="6" t="s">
        <v>132</v>
      </c>
      <c r="G356" s="7" t="str">
        <f>IFERROR(__xludf.DUMMYFUNCTION("GOOGLETRANSLATE(C356, ""en"", ""cs"")"),"Neznámá odpověď ze serveru.")</f>
        <v>Neznámá odpověď ze serveru.</v>
      </c>
      <c r="H356" s="7" t="str">
        <f>IFERROR(__xludf.DUMMYFUNCTION("GOOGLETRANSLATE(C356, ""en"", ""da"")"),"Ukendt svar fra serveren.")</f>
        <v>Ukendt svar fra serveren.</v>
      </c>
      <c r="I356" s="1" t="s">
        <v>7796</v>
      </c>
      <c r="J356" s="6" t="s">
        <v>132</v>
      </c>
      <c r="K356" s="1" t="s">
        <v>7797</v>
      </c>
      <c r="L356" s="7" t="str">
        <f>IFERROR(__xludf.DUMMYFUNCTION("GOOGLETRANSLATE(C356, ""en"", ""fi"")"),"Tuntematon vastaus palvelimelta.")</f>
        <v>Tuntematon vastaus palvelimelta.</v>
      </c>
      <c r="M356" s="7" t="str">
        <f>IFERROR(__xludf.DUMMYFUNCTION("GOOGLETRANSLATE(C356, ""en"", ""fr"")"),"Réponse inconnue du serveur.")</f>
        <v>Réponse inconnue du serveur.</v>
      </c>
      <c r="N356" s="6" t="s">
        <v>7798</v>
      </c>
      <c r="O356" s="6" t="s">
        <v>132</v>
      </c>
      <c r="P356" s="1" t="s">
        <v>7799</v>
      </c>
      <c r="Q356" s="7" t="str">
        <f>IFERROR(__xludf.DUMMYFUNCTION("GOOGLETRANSLATE(C356, ""en"", ""in"")"),"Respons yang tidak diketahui dari server.")</f>
        <v>Respons yang tidak diketahui dari server.</v>
      </c>
      <c r="R356" s="1" t="s">
        <v>7800</v>
      </c>
      <c r="S356" s="6" t="s">
        <v>132</v>
      </c>
      <c r="T356" s="7" t="str">
        <f>IFERROR(__xludf.DUMMYFUNCTION("GOOGLETRANSLATE(C356, ""en"", ""ja"")"),"サーバーからの不明な応答。")</f>
        <v>サーバーからの不明な応答。</v>
      </c>
      <c r="U356" s="7" t="str">
        <f>IFERROR(__xludf.DUMMYFUNCTION("GOOGLETRANSLATE(C356, ""en"", ""ko"")"),"서버의 알 수없는 응답.")</f>
        <v>서버의 알 수없는 응답.</v>
      </c>
      <c r="V356" s="7" t="str">
        <f>IFERROR(__xludf.DUMMYFUNCTION("GOOGLETRANSLATE(C356, ""en"", ""ms"")"),"Respons yang tidak diketahui dari pelayan.")</f>
        <v>Respons yang tidak diketahui dari pelayan.</v>
      </c>
      <c r="W356" s="1" t="s">
        <v>7801</v>
      </c>
      <c r="X356" s="7" t="str">
        <f>IFERROR(__xludf.DUMMYFUNCTION("GOOGLETRANSLATE(C356, ""en"", ""no"")"),"Ukjent svar fra serveren.")</f>
        <v>Ukjent svar fra serveren.</v>
      </c>
      <c r="Y356" s="1" t="s">
        <v>7802</v>
      </c>
      <c r="Z356" s="7" t="str">
        <f>IFERROR(__xludf.DUMMYFUNCTION("GOOGLETRANSLATE(C356, ""en"", ""pt"")"),"Resposta desconhecida do servidor.")</f>
        <v>Resposta desconhecida do servidor.</v>
      </c>
      <c r="AA356" s="7" t="str">
        <f>IFERROR(__xludf.DUMMYFUNCTION("GOOGLETRANSLATE(C356, ""en"", ""ro"")"),"Răspuns necunoscut de la server.")</f>
        <v>Răspuns necunoscut de la server.</v>
      </c>
      <c r="AB356" s="7" t="str">
        <f>IFERROR(__xludf.DUMMYFUNCTION("GOOGLETRANSLATE(C356, ""en"", ""ru"")"),"Неизвестный ответ от сервера.")</f>
        <v>Неизвестный ответ от сервера.</v>
      </c>
      <c r="AC356" s="7" t="str">
        <f>IFERROR(__xludf.DUMMYFUNCTION("GOOGLETRANSLATE(C356, ""en"", ""sk"")"),"Neznáma odpoveď zo servera.")</f>
        <v>Neznáma odpoveď zo servera.</v>
      </c>
      <c r="AD356" s="6" t="s">
        <v>132</v>
      </c>
      <c r="AE356" s="7" t="str">
        <f>IFERROR(__xludf.DUMMYFUNCTION("GOOGLETRANSLATE(C356, ""en"", ""sr"")"),"Непознати одговор са сервера.")</f>
        <v>Непознати одговор са сервера.</v>
      </c>
      <c r="AF356" s="7" t="str">
        <f>IFERROR(__xludf.DUMMYFUNCTION("GOOGLETRANSLATE(C356, ""en"", ""sv"")"),"Okänt svar från servern.")</f>
        <v>Okänt svar från servern.</v>
      </c>
      <c r="AG356" s="6" t="s">
        <v>132</v>
      </c>
      <c r="AH356" s="7" t="str">
        <f>IFERROR(__xludf.DUMMYFUNCTION("GOOGLETRANSLATE(C356, ""en"", ""tr"")"),"Sunucudan bilinmeyen yanıt.")</f>
        <v>Sunucudan bilinmeyen yanıt.</v>
      </c>
      <c r="AI356" s="6" t="s">
        <v>132</v>
      </c>
      <c r="AJ356" s="6" t="s">
        <v>132</v>
      </c>
      <c r="AK356" s="7" t="str">
        <f>IFERROR(__xludf.DUMMYFUNCTION("GOOGLETRANSLATE(C356, ""en"", ""zh"")"),"来自服务器的未知响应。")</f>
        <v>来自服务器的未知响应。</v>
      </c>
      <c r="AL356" s="6" t="s">
        <v>132</v>
      </c>
    </row>
    <row r="357" ht="15.75" hidden="1" customHeight="1">
      <c r="A357" s="1" t="s">
        <v>38</v>
      </c>
      <c r="B357" s="1" t="s">
        <v>7803</v>
      </c>
      <c r="C357" s="1" t="s">
        <v>7804</v>
      </c>
      <c r="D357" s="8" t="s">
        <v>7805</v>
      </c>
      <c r="E357" s="1" t="s">
        <v>7806</v>
      </c>
      <c r="F357" s="6" t="s">
        <v>7807</v>
      </c>
      <c r="G357" s="7" t="str">
        <f>IFERROR(__xludf.DUMMYFUNCTION("GOOGLETRANSLATE(C357, ""en"", ""cs"")"),"Chcete odstranit% s jako záložku? Konverzace spojená s touto záložkou nebude odstraněna.")</f>
        <v>Chcete odstranit% s jako záložku? Konverzace spojená s touto záložkou nebude odstraněna.</v>
      </c>
      <c r="H357" s="7" t="str">
        <f>IFERROR(__xludf.DUMMYFUNCTION("GOOGLETRANSLATE(C357, ""en"", ""da"")"),"Vil du gerne fjerne% s som et bogmærke? Samtalen i forbindelse med dette bogmærke vil ikke blive fjernet.")</f>
        <v>Vil du gerne fjerne% s som et bogmærke? Samtalen i forbindelse med dette bogmærke vil ikke blive fjernet.</v>
      </c>
      <c r="I357" s="1" t="s">
        <v>7808</v>
      </c>
      <c r="J357" s="6" t="s">
        <v>132</v>
      </c>
      <c r="K357" s="1" t="s">
        <v>7809</v>
      </c>
      <c r="L357" s="7" t="str">
        <f>IFERROR(__xludf.DUMMYFUNCTION("GOOGLETRANSLATE(C357, ""en"", ""fi"")"),"Haluatko poistaa% s kirjanmerkiksi? Tämän kirjanmerkkiin liittyvä keskustelu ei poisteta.")</f>
        <v>Haluatko poistaa% s kirjanmerkiksi? Tämän kirjanmerkkiin liittyvä keskustelu ei poisteta.</v>
      </c>
      <c r="M357" s="1" t="s">
        <v>7810</v>
      </c>
      <c r="N357" s="6" t="s">
        <v>7811</v>
      </c>
      <c r="O357" s="6" t="s">
        <v>132</v>
      </c>
      <c r="P357" s="1" t="s">
        <v>7812</v>
      </c>
      <c r="Q357" s="9" t="s">
        <v>7813</v>
      </c>
      <c r="R357" s="1" t="s">
        <v>7814</v>
      </c>
      <c r="S357" s="6" t="s">
        <v>132</v>
      </c>
      <c r="T357" s="1" t="s">
        <v>7815</v>
      </c>
      <c r="U357" s="1" t="s">
        <v>7816</v>
      </c>
      <c r="V357" s="7" t="str">
        <f>IFERROR(__xludf.DUMMYFUNCTION("GOOGLETRANSLATE(C357, ""en"", ""ms"")"),"Adakah anda ingin mengeluarkan% s sebagai penanda buku? Perbualan yang berkaitan dengan penanda buku ini tidak akan dikeluarkan.")</f>
        <v>Adakah anda ingin mengeluarkan% s sebagai penanda buku? Perbualan yang berkaitan dengan penanda buku ini tidak akan dikeluarkan.</v>
      </c>
      <c r="W357" s="1" t="s">
        <v>7817</v>
      </c>
      <c r="X357" s="7" t="str">
        <f>IFERROR(__xludf.DUMMYFUNCTION("GOOGLETRANSLATE(C357, ""en"", ""no"")"),"Vil du fjerne% s som et bokmerke? Samtalen knyttet til dette bokmerket vil ikke bli fjernet.")</f>
        <v>Vil du fjerne% s som et bokmerke? Samtalen knyttet til dette bokmerket vil ikke bli fjernet.</v>
      </c>
      <c r="Y357" s="1" t="s">
        <v>7818</v>
      </c>
      <c r="Z357" s="1" t="s">
        <v>7819</v>
      </c>
      <c r="AA357" s="7" t="str">
        <f>IFERROR(__xludf.DUMMYFUNCTION("GOOGLETRANSLATE(C357, ""en"", ""ro"")"),"Doriți să eliminați% s ca marcaj? Conversația asociată cu acest marcaj nu va fi eliminată.")</f>
        <v>Doriți să eliminați% s ca marcaj? Conversația asociată cu acest marcaj nu va fi eliminată.</v>
      </c>
      <c r="AB357" s="1" t="s">
        <v>7820</v>
      </c>
      <c r="AC357" s="1" t="s">
        <v>7821</v>
      </c>
      <c r="AD357" s="6" t="s">
        <v>132</v>
      </c>
      <c r="AE357" s="1" t="s">
        <v>7822</v>
      </c>
      <c r="AF357" s="1" t="s">
        <v>7823</v>
      </c>
      <c r="AG357" s="6" t="s">
        <v>132</v>
      </c>
      <c r="AH357" s="13" t="s">
        <v>7824</v>
      </c>
      <c r="AI357" s="6" t="s">
        <v>7825</v>
      </c>
      <c r="AJ357" s="6" t="s">
        <v>7826</v>
      </c>
      <c r="AK357" s="7" t="str">
        <f>IFERROR(__xludf.DUMMYFUNCTION("GOOGLETRANSLATE(C357, ""en"", ""zh"")"),"您想将％s删除为书签吗？与此书签相关联的对话将不会被删除。")</f>
        <v>您想将％s删除为书签吗？与此书签相关联的对话将不会被删除。</v>
      </c>
      <c r="AL357" s="6" t="s">
        <v>7827</v>
      </c>
    </row>
    <row r="358" ht="15.75" customHeight="1">
      <c r="A358" s="1" t="s">
        <v>127</v>
      </c>
      <c r="B358" s="1" t="s">
        <v>7828</v>
      </c>
      <c r="C358" s="1" t="s">
        <v>7829</v>
      </c>
      <c r="D358" s="8" t="s">
        <v>7830</v>
      </c>
      <c r="E358" s="1" t="s">
        <v>7831</v>
      </c>
      <c r="F358" s="6" t="s">
        <v>132</v>
      </c>
      <c r="G358" s="1" t="s">
        <v>7832</v>
      </c>
      <c r="H358" s="1" t="s">
        <v>7833</v>
      </c>
      <c r="I358" s="1" t="s">
        <v>7834</v>
      </c>
      <c r="J358" s="6" t="s">
        <v>7835</v>
      </c>
      <c r="K358" s="1" t="s">
        <v>7836</v>
      </c>
      <c r="L358" s="1" t="s">
        <v>7837</v>
      </c>
      <c r="M358" s="1" t="s">
        <v>7838</v>
      </c>
      <c r="N358" s="6" t="s">
        <v>132</v>
      </c>
      <c r="O358" s="6" t="s">
        <v>7839</v>
      </c>
      <c r="P358" s="1" t="s">
        <v>5111</v>
      </c>
      <c r="Q358" s="1" t="s">
        <v>7840</v>
      </c>
      <c r="R358" s="1" t="s">
        <v>7841</v>
      </c>
      <c r="S358" s="10" t="s">
        <v>7842</v>
      </c>
      <c r="T358" s="1" t="s">
        <v>7843</v>
      </c>
      <c r="U358" s="1" t="s">
        <v>7844</v>
      </c>
      <c r="V358" s="1" t="s">
        <v>7840</v>
      </c>
      <c r="W358" s="1" t="s">
        <v>7845</v>
      </c>
      <c r="X358" s="1" t="s">
        <v>7846</v>
      </c>
      <c r="Y358" s="1" t="s">
        <v>7847</v>
      </c>
      <c r="Z358" s="1" t="s">
        <v>7848</v>
      </c>
      <c r="AA358" s="1" t="s">
        <v>7849</v>
      </c>
      <c r="AB358" s="1" t="s">
        <v>7850</v>
      </c>
      <c r="AC358" s="1" t="s">
        <v>7851</v>
      </c>
      <c r="AD358" s="6" t="s">
        <v>7852</v>
      </c>
      <c r="AE358" s="1" t="s">
        <v>7853</v>
      </c>
      <c r="AF358" s="1" t="s">
        <v>7854</v>
      </c>
      <c r="AG358" s="6" t="s">
        <v>7855</v>
      </c>
      <c r="AH358" s="1" t="s">
        <v>7856</v>
      </c>
      <c r="AI358" s="6" t="s">
        <v>132</v>
      </c>
      <c r="AJ358" s="6" t="s">
        <v>7857</v>
      </c>
      <c r="AK358" s="1" t="s">
        <v>7858</v>
      </c>
      <c r="AL358" s="6" t="s">
        <v>7859</v>
      </c>
    </row>
    <row r="359" ht="15.75" customHeight="1">
      <c r="A359" s="1" t="s">
        <v>127</v>
      </c>
      <c r="B359" s="1" t="s">
        <v>7860</v>
      </c>
      <c r="C359" s="1" t="s">
        <v>7861</v>
      </c>
      <c r="D359" s="8" t="s">
        <v>7862</v>
      </c>
      <c r="E359" s="1" t="s">
        <v>7863</v>
      </c>
      <c r="F359" s="6" t="s">
        <v>132</v>
      </c>
      <c r="G359" s="1" t="s">
        <v>7864</v>
      </c>
      <c r="H359" s="1" t="s">
        <v>7865</v>
      </c>
      <c r="I359" s="1" t="s">
        <v>7866</v>
      </c>
      <c r="J359" s="6" t="s">
        <v>7867</v>
      </c>
      <c r="K359" s="1" t="s">
        <v>7868</v>
      </c>
      <c r="L359" s="1" t="s">
        <v>7869</v>
      </c>
      <c r="M359" s="1" t="s">
        <v>7870</v>
      </c>
      <c r="N359" s="6" t="s">
        <v>132</v>
      </c>
      <c r="O359" s="6" t="s">
        <v>7871</v>
      </c>
      <c r="P359" s="1" t="s">
        <v>7872</v>
      </c>
      <c r="Q359" s="1" t="s">
        <v>7873</v>
      </c>
      <c r="R359" s="1" t="s">
        <v>7874</v>
      </c>
      <c r="S359" s="10" t="s">
        <v>7875</v>
      </c>
      <c r="T359" s="1" t="s">
        <v>7876</v>
      </c>
      <c r="U359" s="1" t="s">
        <v>7877</v>
      </c>
      <c r="V359" s="1" t="s">
        <v>7878</v>
      </c>
      <c r="W359" s="1" t="s">
        <v>7879</v>
      </c>
      <c r="X359" s="1" t="s">
        <v>7880</v>
      </c>
      <c r="Y359" s="1" t="s">
        <v>7881</v>
      </c>
      <c r="Z359" s="1" t="s">
        <v>7882</v>
      </c>
      <c r="AA359" s="1" t="s">
        <v>7883</v>
      </c>
      <c r="AB359" s="1" t="s">
        <v>7884</v>
      </c>
      <c r="AC359" s="1" t="s">
        <v>7885</v>
      </c>
      <c r="AD359" s="6" t="s">
        <v>7886</v>
      </c>
      <c r="AE359" s="1" t="s">
        <v>7887</v>
      </c>
      <c r="AF359" s="1" t="s">
        <v>7888</v>
      </c>
      <c r="AG359" s="6" t="s">
        <v>7889</v>
      </c>
      <c r="AH359" s="1" t="s">
        <v>7890</v>
      </c>
      <c r="AI359" s="6" t="s">
        <v>132</v>
      </c>
      <c r="AJ359" s="6" t="s">
        <v>7891</v>
      </c>
      <c r="AK359" s="1" t="s">
        <v>7892</v>
      </c>
      <c r="AL359" s="6" t="s">
        <v>132</v>
      </c>
    </row>
    <row r="360" ht="15.75" hidden="1" customHeight="1">
      <c r="A360" s="1" t="s">
        <v>38</v>
      </c>
      <c r="B360" s="1" t="s">
        <v>7893</v>
      </c>
      <c r="C360" s="1" t="s">
        <v>7894</v>
      </c>
      <c r="D360" s="7" t="str">
        <f>IFERROR(__xludf.DUMMYFUNCTION("GOOGLETRANSLATE(C360, ""en"", ""ar"")"),"كبير")</f>
        <v>كبير</v>
      </c>
      <c r="E360" s="1" t="s">
        <v>7895</v>
      </c>
      <c r="F360" s="6" t="s">
        <v>7896</v>
      </c>
      <c r="G360" s="7" t="str">
        <f>IFERROR(__xludf.DUMMYFUNCTION("GOOGLETRANSLATE(C360, ""en"", ""cs"")"),"Velký")</f>
        <v>Velký</v>
      </c>
      <c r="H360" s="7" t="str">
        <f>IFERROR(__xludf.DUMMYFUNCTION("GOOGLETRANSLATE(C360, ""en"", ""da"")"),"Stor")</f>
        <v>Stor</v>
      </c>
      <c r="I360" s="1" t="s">
        <v>7897</v>
      </c>
      <c r="J360" s="6" t="s">
        <v>132</v>
      </c>
      <c r="K360" s="1" t="s">
        <v>7898</v>
      </c>
      <c r="L360" s="7" t="str">
        <f>IFERROR(__xludf.DUMMYFUNCTION("GOOGLETRANSLATE(C360, ""en"", ""fi"")"),"Suuri")</f>
        <v>Suuri</v>
      </c>
      <c r="M360" s="1" t="s">
        <v>7898</v>
      </c>
      <c r="N360" s="6" t="s">
        <v>7898</v>
      </c>
      <c r="O360" s="6" t="s">
        <v>132</v>
      </c>
      <c r="P360" s="1" t="s">
        <v>7899</v>
      </c>
      <c r="Q360" s="7" t="str">
        <f>IFERROR(__xludf.DUMMYFUNCTION("GOOGLETRANSLATE(C360, ""en"", ""in"")"),"Besar")</f>
        <v>Besar</v>
      </c>
      <c r="R360" s="1" t="s">
        <v>7898</v>
      </c>
      <c r="S360" s="6" t="s">
        <v>132</v>
      </c>
      <c r="T360" s="1" t="s">
        <v>7900</v>
      </c>
      <c r="U360" s="7" t="str">
        <f>IFERROR(__xludf.DUMMYFUNCTION("GOOGLETRANSLATE(C360, ""en"", ""ko"")"),"큰")</f>
        <v>큰</v>
      </c>
      <c r="V360" s="7" t="str">
        <f>IFERROR(__xludf.DUMMYFUNCTION("GOOGLETRANSLATE(C360, ""en"", ""ms"")"),"Besar")</f>
        <v>Besar</v>
      </c>
      <c r="W360" s="1" t="s">
        <v>7901</v>
      </c>
      <c r="X360" s="7" t="str">
        <f>IFERROR(__xludf.DUMMYFUNCTION("GOOGLETRANSLATE(C360, ""en"", ""no"")"),"Stor")</f>
        <v>Stor</v>
      </c>
      <c r="Y360" s="1" t="s">
        <v>7902</v>
      </c>
      <c r="Z360" s="7" t="str">
        <f>IFERROR(__xludf.DUMMYFUNCTION("GOOGLETRANSLATE(C360, ""en"", ""pt"")"),"Grande")</f>
        <v>Grande</v>
      </c>
      <c r="AA360" s="7" t="str">
        <f>IFERROR(__xludf.DUMMYFUNCTION("GOOGLETRANSLATE(C360, ""en"", ""ro"")"),"Mare")</f>
        <v>Mare</v>
      </c>
      <c r="AB360" s="1" t="s">
        <v>7903</v>
      </c>
      <c r="AC360" s="7" t="str">
        <f>IFERROR(__xludf.DUMMYFUNCTION("GOOGLETRANSLATE(C360, ""en"", ""sk"")"),"Veľký")</f>
        <v>Veľký</v>
      </c>
      <c r="AD360" s="6" t="s">
        <v>132</v>
      </c>
      <c r="AE360" s="7" t="str">
        <f>IFERROR(__xludf.DUMMYFUNCTION("GOOGLETRANSLATE(C360, ""en"", ""sr"")"),"Велики")</f>
        <v>Велики</v>
      </c>
      <c r="AF360" s="7" t="str">
        <f>IFERROR(__xludf.DUMMYFUNCTION("GOOGLETRANSLATE(C360, ""en"", ""sv"")"),"Stor")</f>
        <v>Stor</v>
      </c>
      <c r="AG360" s="6" t="s">
        <v>132</v>
      </c>
      <c r="AH360" s="7" t="str">
        <f>IFERROR(__xludf.DUMMYFUNCTION("GOOGLETRANSLATE(C360, ""en"", ""tr"")"),"Büyük")</f>
        <v>Büyük</v>
      </c>
      <c r="AI360" s="6" t="s">
        <v>132</v>
      </c>
      <c r="AJ360" s="6" t="s">
        <v>132</v>
      </c>
      <c r="AK360" s="7" t="str">
        <f>IFERROR(__xludf.DUMMYFUNCTION("GOOGLETRANSLATE(C360, ""en"", ""zh"")"),"大")</f>
        <v>大</v>
      </c>
      <c r="AL360" s="6" t="s">
        <v>7900</v>
      </c>
    </row>
    <row r="361" ht="15.75" hidden="1" customHeight="1">
      <c r="A361" s="1" t="s">
        <v>38</v>
      </c>
      <c r="B361" s="1" t="s">
        <v>7904</v>
      </c>
      <c r="C361" s="1" t="s">
        <v>7905</v>
      </c>
      <c r="D361" s="8" t="s">
        <v>7906</v>
      </c>
      <c r="E361" s="1" t="s">
        <v>7907</v>
      </c>
      <c r="F361" s="6" t="s">
        <v>7908</v>
      </c>
      <c r="G361" s="7" t="str">
        <f>IFERROR(__xludf.DUMMYFUNCTION("GOOGLETRANSLATE(C361, ""en"", ""cs"")"),"Chtěli byste odstranit% s z vašeho seznamu? Konverzace spojená s tímto kontaktem nebude odstraněna.")</f>
        <v>Chtěli byste odstranit% s z vašeho seznamu? Konverzace spojená s tímto kontaktem nebude odstraněna.</v>
      </c>
      <c r="H361" s="7" t="str">
        <f>IFERROR(__xludf.DUMMYFUNCTION("GOOGLETRANSLATE(C361, ""en"", ""da"")"),"Vil du gerne fjerne% s fra din roster? Samtalen i forbindelse med denne kontakt vil ikke blive fjernet.")</f>
        <v>Vil du gerne fjerne% s fra din roster? Samtalen i forbindelse med denne kontakt vil ikke blive fjernet.</v>
      </c>
      <c r="I361" s="1" t="s">
        <v>7909</v>
      </c>
      <c r="J361" s="6" t="s">
        <v>132</v>
      </c>
      <c r="K361" s="1" t="s">
        <v>7910</v>
      </c>
      <c r="L361" s="7" t="str">
        <f>IFERROR(__xludf.DUMMYFUNCTION("GOOGLETRANSLATE(C361, ""en"", ""fi"")"),"Haluatko poistaa% s luettelossasi? Tähän kosketukseen liittyvä keskustelu ei poisteta.")</f>
        <v>Haluatko poistaa% s luettelossasi? Tähän kosketukseen liittyvä keskustelu ei poisteta.</v>
      </c>
      <c r="M361" s="1" t="s">
        <v>7911</v>
      </c>
      <c r="N361" s="6" t="s">
        <v>7912</v>
      </c>
      <c r="O361" s="6" t="s">
        <v>132</v>
      </c>
      <c r="P361" s="1" t="s">
        <v>7913</v>
      </c>
      <c r="Q361" s="9" t="s">
        <v>7914</v>
      </c>
      <c r="R361" s="1" t="s">
        <v>7915</v>
      </c>
      <c r="S361" s="6" t="s">
        <v>132</v>
      </c>
      <c r="T361" s="1" t="s">
        <v>7916</v>
      </c>
      <c r="U361" s="1" t="s">
        <v>7917</v>
      </c>
      <c r="V361" s="7" t="str">
        <f>IFERROR(__xludf.DUMMYFUNCTION("GOOGLETRANSLATE(C361, ""en"", ""ms"")"),"Adakah anda ingin mengeluarkan% s dari senarai anda? Perbualan yang berkaitan dengan kenalan ini tidak akan dikeluarkan.")</f>
        <v>Adakah anda ingin mengeluarkan% s dari senarai anda? Perbualan yang berkaitan dengan kenalan ini tidak akan dikeluarkan.</v>
      </c>
      <c r="W361" s="1" t="s">
        <v>7918</v>
      </c>
      <c r="X361" s="7" t="str">
        <f>IFERROR(__xludf.DUMMYFUNCTION("GOOGLETRANSLATE(C361, ""en"", ""no"")"),"Vil du fjerne% s fra din liste? Samtalen som er knyttet til denne kontakten, blir ikke fjernet.")</f>
        <v>Vil du fjerne% s fra din liste? Samtalen som er knyttet til denne kontakten, blir ikke fjernet.</v>
      </c>
      <c r="Y361" s="1" t="s">
        <v>7919</v>
      </c>
      <c r="Z361" s="1" t="s">
        <v>7920</v>
      </c>
      <c r="AA361" s="7" t="str">
        <f>IFERROR(__xludf.DUMMYFUNCTION("GOOGLETRANSLATE(C361, ""en"", ""ro"")"),"Doriți să eliminați% s din lista dvs.? Conversația asociată cu acest contact nu va fi eliminată.")</f>
        <v>Doriți să eliminați% s din lista dvs.? Conversația asociată cu acest contact nu va fi eliminată.</v>
      </c>
      <c r="AB361" s="1" t="s">
        <v>7921</v>
      </c>
      <c r="AC361" s="1" t="s">
        <v>7922</v>
      </c>
      <c r="AD361" s="6" t="s">
        <v>132</v>
      </c>
      <c r="AE361" s="1" t="s">
        <v>7923</v>
      </c>
      <c r="AF361" s="1" t="s">
        <v>7924</v>
      </c>
      <c r="AG361" s="6" t="s">
        <v>132</v>
      </c>
      <c r="AH361" s="7" t="str">
        <f>IFERROR(__xludf.DUMMYFUNCTION("GOOGLETRANSLATE(C361, ""en"", ""tr"")"),"Kadrabanızdan% S kaldırmak ister misiniz? Bu kişiyle ilişkilendirilen konuşma kaldırılmayacak.")</f>
        <v>Kadrabanızdan% S kaldırmak ister misiniz? Bu kişiyle ilişkilendirilen konuşma kaldırılmayacak.</v>
      </c>
      <c r="AI361" s="6" t="s">
        <v>7925</v>
      </c>
      <c r="AJ361" s="6" t="s">
        <v>7926</v>
      </c>
      <c r="AK361" s="7" t="str">
        <f>IFERROR(__xludf.DUMMYFUNCTION("GOOGLETRANSLATE(C361, ""en"", ""zh"")"),"你想从你的名单中删除％s吗？与此联系人关联的对话将不会被删除。")</f>
        <v>你想从你的名单中删除％s吗？与此联系人关联的对话将不会被删除。</v>
      </c>
      <c r="AL361" s="6" t="s">
        <v>7927</v>
      </c>
    </row>
    <row r="362" ht="15.75" customHeight="1">
      <c r="A362" s="1" t="s">
        <v>127</v>
      </c>
      <c r="B362" s="1" t="s">
        <v>7928</v>
      </c>
      <c r="C362" s="1" t="s">
        <v>7929</v>
      </c>
      <c r="D362" s="8" t="s">
        <v>7930</v>
      </c>
      <c r="E362" s="1" t="s">
        <v>7931</v>
      </c>
      <c r="F362" s="6" t="s">
        <v>132</v>
      </c>
      <c r="G362" s="1" t="s">
        <v>7932</v>
      </c>
      <c r="H362" s="1" t="s">
        <v>7933</v>
      </c>
      <c r="I362" s="1" t="s">
        <v>7934</v>
      </c>
      <c r="J362" s="6" t="s">
        <v>7935</v>
      </c>
      <c r="K362" s="1" t="s">
        <v>7936</v>
      </c>
      <c r="L362" s="1" t="s">
        <v>7937</v>
      </c>
      <c r="M362" s="1" t="s">
        <v>7938</v>
      </c>
      <c r="N362" s="6" t="s">
        <v>132</v>
      </c>
      <c r="O362" s="6" t="s">
        <v>7939</v>
      </c>
      <c r="P362" s="1" t="s">
        <v>7940</v>
      </c>
      <c r="Q362" s="1" t="s">
        <v>7941</v>
      </c>
      <c r="R362" s="1" t="s">
        <v>7942</v>
      </c>
      <c r="S362" s="10" t="s">
        <v>7943</v>
      </c>
      <c r="T362" s="1" t="s">
        <v>7944</v>
      </c>
      <c r="U362" s="1" t="s">
        <v>7945</v>
      </c>
      <c r="V362" s="1" t="s">
        <v>7941</v>
      </c>
      <c r="W362" s="1" t="s">
        <v>7946</v>
      </c>
      <c r="X362" s="1" t="s">
        <v>7947</v>
      </c>
      <c r="Y362" s="1" t="s">
        <v>7948</v>
      </c>
      <c r="Z362" s="1" t="s">
        <v>7949</v>
      </c>
      <c r="AA362" s="1" t="s">
        <v>7950</v>
      </c>
      <c r="AB362" s="1" t="s">
        <v>7951</v>
      </c>
      <c r="AC362" s="1" t="s">
        <v>7952</v>
      </c>
      <c r="AD362" s="6" t="s">
        <v>7953</v>
      </c>
      <c r="AE362" s="1" t="s">
        <v>7954</v>
      </c>
      <c r="AF362" s="1" t="s">
        <v>7955</v>
      </c>
      <c r="AG362" s="6" t="s">
        <v>7956</v>
      </c>
      <c r="AH362" s="1" t="s">
        <v>7957</v>
      </c>
      <c r="AI362" s="6" t="s">
        <v>132</v>
      </c>
      <c r="AJ362" s="6" t="s">
        <v>7958</v>
      </c>
      <c r="AK362" s="1" t="s">
        <v>7959</v>
      </c>
      <c r="AL362" s="6" t="s">
        <v>132</v>
      </c>
    </row>
    <row r="363" ht="15.75" hidden="1" customHeight="1">
      <c r="A363" s="1" t="s">
        <v>38</v>
      </c>
      <c r="B363" s="1" t="s">
        <v>7960</v>
      </c>
      <c r="C363" s="1" t="s">
        <v>7961</v>
      </c>
      <c r="D363" s="7" t="str">
        <f>IFERROR(__xludf.DUMMYFUNCTION("GOOGLETRANSLATE(C363, ""en"", ""ar"")"),"يمثل موردك بعيدا عند إيقاف تشغيل الشاشة")</f>
        <v>يمثل موردك بعيدا عند إيقاف تشغيل الشاشة</v>
      </c>
      <c r="E363" s="1" t="s">
        <v>7962</v>
      </c>
      <c r="F363" s="6" t="s">
        <v>7963</v>
      </c>
      <c r="G363" s="7" t="str">
        <f>IFERROR(__xludf.DUMMYFUNCTION("GOOGLETRANSLATE(C363, ""en"", ""cs"")"),"Označuje váš zdroj, když je obrazovka vypnuta")</f>
        <v>Označuje váš zdroj, když je obrazovka vypnuta</v>
      </c>
      <c r="H363" s="7" t="str">
        <f>IFERROR(__xludf.DUMMYFUNCTION("GOOGLETRANSLATE(C363, ""en"", ""da"")"),"Markerer din ressource så væk, når skærmen er slukket")</f>
        <v>Markerer din ressource så væk, når skærmen er slukket</v>
      </c>
      <c r="I363" s="1" t="s">
        <v>7964</v>
      </c>
      <c r="J363" s="6" t="s">
        <v>132</v>
      </c>
      <c r="K363" s="1" t="s">
        <v>7965</v>
      </c>
      <c r="L363" s="7" t="str">
        <f>IFERROR(__xludf.DUMMYFUNCTION("GOOGLETRANSLATE(C363, ""en"", ""fi"")"),"Merkitsee resurssisi pois, kun näyttö on sammutettu")</f>
        <v>Merkitsee resurssisi pois, kun näyttö on sammutettu</v>
      </c>
      <c r="M363" s="1" t="s">
        <v>7966</v>
      </c>
      <c r="N363" s="6" t="s">
        <v>7967</v>
      </c>
      <c r="O363" s="6" t="s">
        <v>132</v>
      </c>
      <c r="P363" s="1" t="s">
        <v>7968</v>
      </c>
      <c r="Q363" s="7" t="str">
        <f>IFERROR(__xludf.DUMMYFUNCTION("GOOGLETRANSLATE(C363, ""en"", ""in"")"),"Menandai sumber daya Anda sejauh ketika layar dimatikan")</f>
        <v>Menandai sumber daya Anda sejauh ketika layar dimatikan</v>
      </c>
      <c r="R363" s="1" t="s">
        <v>7969</v>
      </c>
      <c r="S363" s="6" t="s">
        <v>132</v>
      </c>
      <c r="T363" s="1" t="s">
        <v>7970</v>
      </c>
      <c r="U363" s="1" t="s">
        <v>7971</v>
      </c>
      <c r="V363" s="7" t="str">
        <f>IFERROR(__xludf.DUMMYFUNCTION("GOOGLETRANSLATE(C363, ""en"", ""ms"")"),"Menandakan sumber anda apabila skrin dimatikan")</f>
        <v>Menandakan sumber anda apabila skrin dimatikan</v>
      </c>
      <c r="W363" s="1" t="s">
        <v>7972</v>
      </c>
      <c r="X363" s="7" t="str">
        <f>IFERROR(__xludf.DUMMYFUNCTION("GOOGLETRANSLATE(C363, ""en"", ""no"")"),"Markerer ressursen din som bort når skjermen er slått av")</f>
        <v>Markerer ressursen din som bort når skjermen er slått av</v>
      </c>
      <c r="Y363" s="17" t="s">
        <v>7973</v>
      </c>
      <c r="Z363" s="1" t="s">
        <v>7974</v>
      </c>
      <c r="AA363" s="7" t="str">
        <f>IFERROR(__xludf.DUMMYFUNCTION("GOOGLETRANSLATE(C363, ""en"", ""ro"")"),"Marchează resursele dvs. cât mai departe când ecranul este dezactivat")</f>
        <v>Marchează resursele dvs. cât mai departe când ecranul este dezactivat</v>
      </c>
      <c r="AB363" s="1" t="s">
        <v>7975</v>
      </c>
      <c r="AC363" s="7" t="str">
        <f>IFERROR(__xludf.DUMMYFUNCTION("GOOGLETRANSLATE(C363, ""en"", ""sk"")"),"Označuje váš zdroj Asway, keď je obrazovka vypnutá")</f>
        <v>Označuje váš zdroj Asway, keď je obrazovka vypnutá</v>
      </c>
      <c r="AD363" s="6" t="s">
        <v>132</v>
      </c>
      <c r="AE363" s="1" t="s">
        <v>7976</v>
      </c>
      <c r="AF363" s="1" t="s">
        <v>7977</v>
      </c>
      <c r="AG363" s="6" t="s">
        <v>132</v>
      </c>
      <c r="AH363" s="7" t="str">
        <f>IFERROR(__xludf.DUMMYFUNCTION("GOOGLETRANSLATE(C363, ""en"", ""tr"")"),"Ekran kapatıldığında kaynağınızı uzakta olarak işaretler")</f>
        <v>Ekran kapatıldığında kaynağınızı uzakta olarak işaretler</v>
      </c>
      <c r="AI363" s="6" t="s">
        <v>7978</v>
      </c>
      <c r="AJ363" s="6" t="s">
        <v>7979</v>
      </c>
      <c r="AK363" s="7" t="str">
        <f>IFERROR(__xludf.DUMMYFUNCTION("GOOGLETRANSLATE(C363, ""en"", ""zh"")"),"在关闭屏幕时标记您的资源")</f>
        <v>在关闭屏幕时标记您的资源</v>
      </c>
      <c r="AL363" s="6" t="s">
        <v>7980</v>
      </c>
    </row>
    <row r="364" ht="15.75" customHeight="1">
      <c r="A364" s="1" t="s">
        <v>127</v>
      </c>
      <c r="B364" s="1" t="s">
        <v>7981</v>
      </c>
      <c r="C364" s="1" t="s">
        <v>7982</v>
      </c>
      <c r="D364" s="8" t="s">
        <v>7983</v>
      </c>
      <c r="E364" s="1" t="s">
        <v>7984</v>
      </c>
      <c r="F364" s="6" t="s">
        <v>132</v>
      </c>
      <c r="G364" s="1" t="s">
        <v>7985</v>
      </c>
      <c r="H364" s="1" t="s">
        <v>7986</v>
      </c>
      <c r="I364" s="7" t="str">
        <f>IFERROR(__xludf.DUMMYFUNCTION("GOOGLETRANSLATE(C364, ""en"", ""de"")"),"Alarm kann hinzugefügt werden,")</f>
        <v>Alarm kann hinzugefügt werden,</v>
      </c>
      <c r="J364" s="6" t="s">
        <v>7987</v>
      </c>
      <c r="K364" s="1" t="s">
        <v>7988</v>
      </c>
      <c r="L364" s="1" t="s">
        <v>7989</v>
      </c>
      <c r="M364" s="13" t="s">
        <v>7990</v>
      </c>
      <c r="N364" s="6" t="s">
        <v>132</v>
      </c>
      <c r="O364" s="6" t="s">
        <v>7991</v>
      </c>
      <c r="P364" s="1" t="s">
        <v>7992</v>
      </c>
      <c r="Q364" s="1" t="s">
        <v>7993</v>
      </c>
      <c r="R364" s="13" t="s">
        <v>7994</v>
      </c>
      <c r="S364" s="10" t="s">
        <v>7995</v>
      </c>
      <c r="T364" s="1" t="s">
        <v>7996</v>
      </c>
      <c r="U364" s="1" t="s">
        <v>7997</v>
      </c>
      <c r="V364" s="1" t="s">
        <v>7998</v>
      </c>
      <c r="W364" s="1" t="s">
        <v>7999</v>
      </c>
      <c r="X364" s="1" t="s">
        <v>8000</v>
      </c>
      <c r="Y364" s="11" t="s">
        <v>8001</v>
      </c>
      <c r="Z364" s="1" t="s">
        <v>8002</v>
      </c>
      <c r="AA364" s="1" t="s">
        <v>8003</v>
      </c>
      <c r="AB364" s="7" t="str">
        <f>IFERROR(__xludf.DUMMYFUNCTION("GOOGLETRANSLATE(C364, ""en"", ""ru"")"),"Оповещение не может быть добавлено,")</f>
        <v>Оповещение не может быть добавлено,</v>
      </c>
      <c r="AC364" s="1" t="s">
        <v>8004</v>
      </c>
      <c r="AD364" s="6" t="s">
        <v>8005</v>
      </c>
      <c r="AE364" s="7" t="str">
        <f>IFERROR(__xludf.DUMMYFUNCTION("GOOGLETRANSLATE(C364, ""en"", ""sr"")"),"Алерт се не може додати,")</f>
        <v>Алерт се не може додати,</v>
      </c>
      <c r="AF364" s="1" t="s">
        <v>8006</v>
      </c>
      <c r="AG364" s="6" t="s">
        <v>8007</v>
      </c>
      <c r="AH364" s="1" t="s">
        <v>8008</v>
      </c>
      <c r="AI364" s="6" t="s">
        <v>132</v>
      </c>
      <c r="AJ364" s="6" t="s">
        <v>8009</v>
      </c>
      <c r="AK364" s="14" t="s">
        <v>8010</v>
      </c>
      <c r="AL364" s="6" t="s">
        <v>132</v>
      </c>
    </row>
    <row r="365" ht="15.75" hidden="1" customHeight="1">
      <c r="A365" s="1" t="s">
        <v>38</v>
      </c>
      <c r="B365" s="1" t="s">
        <v>8011</v>
      </c>
      <c r="C365" s="1" t="s">
        <v>8012</v>
      </c>
      <c r="D365" s="8" t="s">
        <v>8013</v>
      </c>
      <c r="E365" s="1" t="s">
        <v>8014</v>
      </c>
      <c r="F365" s="6" t="s">
        <v>8015</v>
      </c>
      <c r="G365" s="7" t="str">
        <f>IFERROR(__xludf.DUMMYFUNCTION("GOOGLETRANSLATE(C365, ""en"", ""cs"")"),"Vyměňte tlačítko Odeslat s rychlou akcí")</f>
        <v>Vyměňte tlačítko Odeslat s rychlou akcí</v>
      </c>
      <c r="H365" s="7" t="str">
        <f>IFERROR(__xludf.DUMMYFUNCTION("GOOGLETRANSLATE(C365, ""en"", ""da"")"),"Udskift send-knap med hurtig handling")</f>
        <v>Udskift send-knap med hurtig handling</v>
      </c>
      <c r="I365" s="1" t="s">
        <v>8016</v>
      </c>
      <c r="J365" s="6" t="s">
        <v>132</v>
      </c>
      <c r="K365" s="1" t="s">
        <v>8017</v>
      </c>
      <c r="L365" s="7" t="str">
        <f>IFERROR(__xludf.DUMMYFUNCTION("GOOGLETRANSLATE(C365, ""en"", ""fi"")"),"Vaihda Lähetä-painike nopealla toiminnolla")</f>
        <v>Vaihda Lähetä-painike nopealla toiminnolla</v>
      </c>
      <c r="M365" s="1" t="s">
        <v>8018</v>
      </c>
      <c r="N365" s="6" t="s">
        <v>8019</v>
      </c>
      <c r="O365" s="6" t="s">
        <v>132</v>
      </c>
      <c r="P365" s="1" t="s">
        <v>8020</v>
      </c>
      <c r="Q365" s="9" t="s">
        <v>8021</v>
      </c>
      <c r="R365" s="1" t="s">
        <v>8022</v>
      </c>
      <c r="S365" s="6" t="s">
        <v>132</v>
      </c>
      <c r="T365" s="1" t="s">
        <v>8023</v>
      </c>
      <c r="U365" s="1" t="s">
        <v>8024</v>
      </c>
      <c r="V365" s="7" t="str">
        <f>IFERROR(__xludf.DUMMYFUNCTION("GOOGLETRANSLATE(C365, ""en"", ""ms"")"),"Ganti butang Hantar dengan tindakan cepat")</f>
        <v>Ganti butang Hantar dengan tindakan cepat</v>
      </c>
      <c r="W365" s="1" t="s">
        <v>8025</v>
      </c>
      <c r="X365" s="7" t="str">
        <f>IFERROR(__xludf.DUMMYFUNCTION("GOOGLETRANSLATE(C365, ""en"", ""no"")"),"Erstatt Send-knappen med rask handling")</f>
        <v>Erstatt Send-knappen med rask handling</v>
      </c>
      <c r="Y365" s="1" t="s">
        <v>8026</v>
      </c>
      <c r="Z365" s="1" t="s">
        <v>8027</v>
      </c>
      <c r="AA365" s="7" t="str">
        <f>IFERROR(__xludf.DUMMYFUNCTION("GOOGLETRANSLATE(C365, ""en"", ""ro"")"),"Înlocuiți butonul Trimitere cu acțiune rapidă")</f>
        <v>Înlocuiți butonul Trimitere cu acțiune rapidă</v>
      </c>
      <c r="AB365" s="1" t="s">
        <v>8028</v>
      </c>
      <c r="AC365" s="1" t="s">
        <v>8029</v>
      </c>
      <c r="AD365" s="6" t="s">
        <v>132</v>
      </c>
      <c r="AE365" s="1" t="s">
        <v>8030</v>
      </c>
      <c r="AF365" s="1" t="s">
        <v>8031</v>
      </c>
      <c r="AG365" s="6" t="s">
        <v>132</v>
      </c>
      <c r="AH365" s="7" t="str">
        <f>IFERROR(__xludf.DUMMYFUNCTION("GOOGLETRANSLATE(C365, ""en"", ""tr"")"),"Hızlı işlem ile Gönder düğmesini değiştirin")</f>
        <v>Hızlı işlem ile Gönder düğmesini değiştirin</v>
      </c>
      <c r="AI365" s="6" t="s">
        <v>8032</v>
      </c>
      <c r="AJ365" s="6" t="s">
        <v>8033</v>
      </c>
      <c r="AK365" s="7" t="str">
        <f>IFERROR(__xludf.DUMMYFUNCTION("GOOGLETRANSLATE(C365, ""en"", ""zh"")"),"用快速操作替换发送按钮")</f>
        <v>用快速操作替换发送按钮</v>
      </c>
      <c r="AL365" s="6" t="s">
        <v>8034</v>
      </c>
    </row>
    <row r="366" ht="15.75" customHeight="1">
      <c r="A366" s="1" t="s">
        <v>127</v>
      </c>
      <c r="B366" s="1" t="s">
        <v>8035</v>
      </c>
      <c r="C366" s="1" t="s">
        <v>8036</v>
      </c>
      <c r="D366" s="8" t="s">
        <v>8037</v>
      </c>
      <c r="E366" s="1" t="s">
        <v>8038</v>
      </c>
      <c r="F366" s="6" t="s">
        <v>132</v>
      </c>
      <c r="G366" s="1" t="s">
        <v>8039</v>
      </c>
      <c r="H366" s="1" t="s">
        <v>8040</v>
      </c>
      <c r="I366" s="1" t="s">
        <v>8041</v>
      </c>
      <c r="J366" s="6" t="s">
        <v>8042</v>
      </c>
      <c r="K366" s="1" t="s">
        <v>8043</v>
      </c>
      <c r="L366" s="1" t="s">
        <v>8044</v>
      </c>
      <c r="M366" s="1" t="s">
        <v>8045</v>
      </c>
      <c r="N366" s="6" t="s">
        <v>132</v>
      </c>
      <c r="O366" s="6" t="s">
        <v>8046</v>
      </c>
      <c r="P366" s="1" t="s">
        <v>8036</v>
      </c>
      <c r="Q366" s="1" t="s">
        <v>8047</v>
      </c>
      <c r="R366" s="1" t="s">
        <v>8036</v>
      </c>
      <c r="S366" s="10" t="s">
        <v>8048</v>
      </c>
      <c r="T366" s="1" t="s">
        <v>8049</v>
      </c>
      <c r="U366" s="1" t="s">
        <v>8050</v>
      </c>
      <c r="V366" s="1" t="s">
        <v>8051</v>
      </c>
      <c r="W366" s="1" t="s">
        <v>8052</v>
      </c>
      <c r="X366" s="1" t="s">
        <v>8053</v>
      </c>
      <c r="Y366" s="1" t="s">
        <v>8054</v>
      </c>
      <c r="Z366" s="1" t="s">
        <v>8055</v>
      </c>
      <c r="AA366" s="1" t="s">
        <v>8056</v>
      </c>
      <c r="AB366" s="1" t="s">
        <v>8057</v>
      </c>
      <c r="AC366" s="1" t="s">
        <v>8058</v>
      </c>
      <c r="AD366" s="6" t="s">
        <v>8059</v>
      </c>
      <c r="AE366" s="1" t="s">
        <v>8060</v>
      </c>
      <c r="AF366" s="1" t="s">
        <v>8061</v>
      </c>
      <c r="AG366" s="6" t="s">
        <v>8062</v>
      </c>
      <c r="AH366" s="1" t="s">
        <v>8063</v>
      </c>
      <c r="AI366" s="6" t="s">
        <v>132</v>
      </c>
      <c r="AJ366" s="6" t="s">
        <v>8064</v>
      </c>
      <c r="AK366" s="1" t="s">
        <v>8065</v>
      </c>
      <c r="AL366" s="6" t="s">
        <v>132</v>
      </c>
    </row>
    <row r="367" ht="15.75" hidden="1" customHeight="1">
      <c r="A367" s="1" t="s">
        <v>38</v>
      </c>
      <c r="B367" s="1" t="s">
        <v>8066</v>
      </c>
      <c r="C367" s="1" t="s">
        <v>8067</v>
      </c>
      <c r="D367" s="8" t="s">
        <v>8068</v>
      </c>
      <c r="E367" s="1" t="s">
        <v>8069</v>
      </c>
      <c r="F367" s="6" t="s">
        <v>8070</v>
      </c>
      <c r="G367" s="7" t="str">
        <f>IFERROR(__xludf.DUMMYFUNCTION("GOOGLETRANSLATE(C367, ""en"", ""cs"")"),"Omemo otisk zprávy")</f>
        <v>Omemo otisk zprávy</v>
      </c>
      <c r="H367" s="7" t="str">
        <f>IFERROR(__xludf.DUMMYFUNCTION("GOOGLETRANSLATE(C367, ""en"", ""da"")"),"Omemo fingeraftryk af besked")</f>
        <v>Omemo fingeraftryk af besked</v>
      </c>
      <c r="I367" s="1" t="s">
        <v>8071</v>
      </c>
      <c r="J367" s="6" t="s">
        <v>132</v>
      </c>
      <c r="K367" s="1" t="s">
        <v>8072</v>
      </c>
      <c r="L367" s="7" t="str">
        <f>IFERROR(__xludf.DUMMYFUNCTION("GOOGLETRANSLATE(C367, ""en"", ""fi"")"),"OMEMO Sormenjälki viesti")</f>
        <v>OMEMO Sormenjälki viesti</v>
      </c>
      <c r="M367" s="1" t="s">
        <v>8073</v>
      </c>
      <c r="N367" s="6" t="s">
        <v>8074</v>
      </c>
      <c r="O367" s="6" t="s">
        <v>132</v>
      </c>
      <c r="P367" s="1" t="s">
        <v>8075</v>
      </c>
      <c r="Q367" s="7" t="str">
        <f>IFERROR(__xludf.DUMMYFUNCTION("GOOGLETRANSLATE(C367, ""en"", ""in"")"),"Omemo sidik jari pesan")</f>
        <v>Omemo sidik jari pesan</v>
      </c>
      <c r="R367" s="1" t="s">
        <v>8076</v>
      </c>
      <c r="S367" s="6" t="s">
        <v>132</v>
      </c>
      <c r="T367" s="1" t="s">
        <v>8077</v>
      </c>
      <c r="U367" s="1" t="s">
        <v>8078</v>
      </c>
      <c r="V367" s="7" t="str">
        <f>IFERROR(__xludf.DUMMYFUNCTION("GOOGLETRANSLATE(C367, ""en"", ""ms"")"),"Omemo cap jari mesej")</f>
        <v>Omemo cap jari mesej</v>
      </c>
      <c r="W367" s="1" t="s">
        <v>8079</v>
      </c>
      <c r="X367" s="7" t="str">
        <f>IFERROR(__xludf.DUMMYFUNCTION("GOOGLETRANSLATE(C367, ""en"", ""no"")"),"OMEMO Fingeravtrykk av melding")</f>
        <v>OMEMO Fingeravtrykk av melding</v>
      </c>
      <c r="Y367" s="1" t="s">
        <v>8080</v>
      </c>
      <c r="Z367" s="1" t="s">
        <v>8081</v>
      </c>
      <c r="AA367" s="7" t="str">
        <f>IFERROR(__xludf.DUMMYFUNCTION("GOOGLETRANSLATE(C367, ""en"", ""ro"")"),"Omemo amprentă de mesaj")</f>
        <v>Omemo amprentă de mesaj</v>
      </c>
      <c r="AB367" s="1" t="s">
        <v>8082</v>
      </c>
      <c r="AC367" s="1" t="s">
        <v>8083</v>
      </c>
      <c r="AD367" s="6" t="s">
        <v>132</v>
      </c>
      <c r="AE367" s="1" t="s">
        <v>8084</v>
      </c>
      <c r="AF367" s="1" t="s">
        <v>8085</v>
      </c>
      <c r="AG367" s="6" t="s">
        <v>132</v>
      </c>
      <c r="AH367" s="7" t="str">
        <f>IFERROR(__xludf.DUMMYFUNCTION("GOOGLETRANSLATE(C367, ""en"", ""tr"")"),"Omemo mesajın parmak izi")</f>
        <v>Omemo mesajın parmak izi</v>
      </c>
      <c r="AI367" s="6" t="s">
        <v>8086</v>
      </c>
      <c r="AJ367" s="6" t="s">
        <v>8087</v>
      </c>
      <c r="AK367" s="7" t="str">
        <f>IFERROR(__xludf.DUMMYFUNCTION("GOOGLETRANSLATE(C367, ""en"", ""zh"")"),"omemo指纹消息")</f>
        <v>omemo指纹消息</v>
      </c>
      <c r="AL367" s="6" t="s">
        <v>8088</v>
      </c>
    </row>
    <row r="368" ht="15.75" customHeight="1">
      <c r="A368" s="1" t="s">
        <v>127</v>
      </c>
      <c r="B368" s="1" t="s">
        <v>8089</v>
      </c>
      <c r="C368" s="1" t="s">
        <v>6389</v>
      </c>
      <c r="D368" s="8" t="s">
        <v>6390</v>
      </c>
      <c r="E368" s="1" t="s">
        <v>6391</v>
      </c>
      <c r="F368" s="6" t="s">
        <v>132</v>
      </c>
      <c r="G368" s="1" t="s">
        <v>6392</v>
      </c>
      <c r="H368" s="1" t="s">
        <v>6393</v>
      </c>
      <c r="I368" s="1" t="s">
        <v>6394</v>
      </c>
      <c r="J368" s="6" t="s">
        <v>6395</v>
      </c>
      <c r="K368" s="1" t="s">
        <v>6396</v>
      </c>
      <c r="L368" s="1" t="s">
        <v>6397</v>
      </c>
      <c r="M368" s="1" t="s">
        <v>6398</v>
      </c>
      <c r="N368" s="6" t="s">
        <v>132</v>
      </c>
      <c r="O368" s="6" t="s">
        <v>6399</v>
      </c>
      <c r="P368" s="1" t="s">
        <v>6400</v>
      </c>
      <c r="Q368" s="1" t="s">
        <v>6401</v>
      </c>
      <c r="R368" s="1" t="s">
        <v>6402</v>
      </c>
      <c r="S368" s="10" t="s">
        <v>6403</v>
      </c>
      <c r="T368" s="1" t="s">
        <v>8090</v>
      </c>
      <c r="U368" s="1" t="s">
        <v>6405</v>
      </c>
      <c r="V368" s="1" t="s">
        <v>6401</v>
      </c>
      <c r="W368" s="1" t="s">
        <v>6406</v>
      </c>
      <c r="X368" s="1" t="s">
        <v>6407</v>
      </c>
      <c r="Y368" s="1" t="s">
        <v>6408</v>
      </c>
      <c r="Z368" s="1" t="s">
        <v>6396</v>
      </c>
      <c r="AA368" s="1" t="s">
        <v>6409</v>
      </c>
      <c r="AB368" s="1" t="s">
        <v>6410</v>
      </c>
      <c r="AC368" s="1" t="s">
        <v>6392</v>
      </c>
      <c r="AD368" s="6" t="s">
        <v>6411</v>
      </c>
      <c r="AE368" s="1" t="s">
        <v>6411</v>
      </c>
      <c r="AF368" s="1" t="s">
        <v>6412</v>
      </c>
      <c r="AG368" s="6" t="s">
        <v>6413</v>
      </c>
      <c r="AH368" s="1" t="s">
        <v>6414</v>
      </c>
      <c r="AI368" s="6" t="s">
        <v>132</v>
      </c>
      <c r="AJ368" s="6" t="s">
        <v>6415</v>
      </c>
      <c r="AK368" s="1" t="s">
        <v>6416</v>
      </c>
      <c r="AL368" s="6" t="s">
        <v>6417</v>
      </c>
    </row>
    <row r="369" ht="15.75" customHeight="1">
      <c r="A369" s="1" t="s">
        <v>127</v>
      </c>
      <c r="B369" s="1" t="s">
        <v>8091</v>
      </c>
      <c r="C369" s="1" t="s">
        <v>8092</v>
      </c>
      <c r="D369" s="8" t="s">
        <v>8093</v>
      </c>
      <c r="E369" s="1" t="s">
        <v>8094</v>
      </c>
      <c r="F369" s="6" t="s">
        <v>132</v>
      </c>
      <c r="G369" s="1" t="s">
        <v>8095</v>
      </c>
      <c r="H369" s="1" t="s">
        <v>8096</v>
      </c>
      <c r="I369" s="1" t="s">
        <v>8097</v>
      </c>
      <c r="J369" s="6" t="s">
        <v>8098</v>
      </c>
      <c r="K369" s="1" t="s">
        <v>8099</v>
      </c>
      <c r="L369" s="1" t="s">
        <v>8100</v>
      </c>
      <c r="M369" s="1" t="s">
        <v>8101</v>
      </c>
      <c r="N369" s="6" t="s">
        <v>132</v>
      </c>
      <c r="O369" s="6" t="s">
        <v>8102</v>
      </c>
      <c r="P369" s="1" t="s">
        <v>8103</v>
      </c>
      <c r="Q369" s="1" t="s">
        <v>8104</v>
      </c>
      <c r="R369" s="1" t="s">
        <v>8105</v>
      </c>
      <c r="S369" s="10" t="s">
        <v>8106</v>
      </c>
      <c r="T369" s="1" t="s">
        <v>8107</v>
      </c>
      <c r="U369" s="1" t="s">
        <v>8108</v>
      </c>
      <c r="V369" s="1" t="s">
        <v>8104</v>
      </c>
      <c r="W369" s="1" t="s">
        <v>8109</v>
      </c>
      <c r="X369" s="1" t="s">
        <v>8110</v>
      </c>
      <c r="Y369" s="1" t="s">
        <v>8111</v>
      </c>
      <c r="Z369" s="1" t="s">
        <v>8112</v>
      </c>
      <c r="AA369" s="1" t="s">
        <v>8113</v>
      </c>
      <c r="AB369" s="1" t="s">
        <v>8114</v>
      </c>
      <c r="AC369" s="1" t="s">
        <v>8115</v>
      </c>
      <c r="AD369" s="6" t="s">
        <v>8116</v>
      </c>
      <c r="AE369" s="1" t="s">
        <v>8117</v>
      </c>
      <c r="AF369" s="1" t="s">
        <v>8118</v>
      </c>
      <c r="AG369" s="6" t="s">
        <v>8119</v>
      </c>
      <c r="AH369" s="1" t="s">
        <v>8120</v>
      </c>
      <c r="AI369" s="6" t="s">
        <v>132</v>
      </c>
      <c r="AJ369" s="6" t="s">
        <v>8121</v>
      </c>
      <c r="AK369" s="1" t="s">
        <v>8122</v>
      </c>
      <c r="AL369" s="6" t="s">
        <v>8123</v>
      </c>
    </row>
    <row r="370" ht="15.75" hidden="1" customHeight="1">
      <c r="A370" s="1" t="s">
        <v>38</v>
      </c>
      <c r="B370" s="1" t="s">
        <v>8124</v>
      </c>
      <c r="C370" s="1" t="s">
        <v>8125</v>
      </c>
      <c r="D370" s="8" t="s">
        <v>8126</v>
      </c>
      <c r="E370" s="1" t="s">
        <v>8127</v>
      </c>
      <c r="F370" s="6" t="s">
        <v>8128</v>
      </c>
      <c r="G370" s="7" t="str">
        <f>IFERROR(__xludf.DUMMYFUNCTION("GOOGLETRANSLATE(C370, ""en"", ""cs"")"),"Nebyla nalezena žádná žádost o sdílení URI")</f>
        <v>Nebyla nalezena žádná žádost o sdílení URI</v>
      </c>
      <c r="H370" s="7" t="str">
        <f>IFERROR(__xludf.DUMMYFUNCTION("GOOGLETRANSLATE(C370, ""en"", ""da"")"),"Ingen ansøgning fundet at dele URI")</f>
        <v>Ingen ansøgning fundet at dele URI</v>
      </c>
      <c r="I370" s="1" t="s">
        <v>8129</v>
      </c>
      <c r="J370" s="6" t="s">
        <v>132</v>
      </c>
      <c r="K370" s="1" t="s">
        <v>8130</v>
      </c>
      <c r="L370" s="7" t="str">
        <f>IFERROR(__xludf.DUMMYFUNCTION("GOOGLETRANSLATE(C370, ""en"", ""fi"")"),"Ei sovellusta ei löytynyt jakaa URI")</f>
        <v>Ei sovellusta ei löytynyt jakaa URI</v>
      </c>
      <c r="M370" s="1" t="s">
        <v>8131</v>
      </c>
      <c r="N370" s="6" t="s">
        <v>8132</v>
      </c>
      <c r="O370" s="6" t="s">
        <v>132</v>
      </c>
      <c r="P370" s="1" t="s">
        <v>8133</v>
      </c>
      <c r="Q370" s="7" t="str">
        <f>IFERROR(__xludf.DUMMYFUNCTION("GOOGLETRANSLATE(C370, ""en"", ""in"")"),"Tidak ditemukan aplikasi untuk berbagi URI")</f>
        <v>Tidak ditemukan aplikasi untuk berbagi URI</v>
      </c>
      <c r="R370" s="1" t="s">
        <v>8134</v>
      </c>
      <c r="S370" s="6" t="s">
        <v>132</v>
      </c>
      <c r="T370" s="1" t="s">
        <v>8135</v>
      </c>
      <c r="U370" s="1" t="s">
        <v>8136</v>
      </c>
      <c r="V370" s="7" t="str">
        <f>IFERROR(__xludf.DUMMYFUNCTION("GOOGLETRANSLATE(C370, ""en"", ""ms"")"),"Tiada permohonan yang didapati berkongsi URI")</f>
        <v>Tiada permohonan yang didapati berkongsi URI</v>
      </c>
      <c r="W370" s="1" t="s">
        <v>8137</v>
      </c>
      <c r="X370" s="7" t="str">
        <f>IFERROR(__xludf.DUMMYFUNCTION("GOOGLETRANSLATE(C370, ""en"", ""no"")"),"Ingen søknad funnet å dele URI")</f>
        <v>Ingen søknad funnet å dele URI</v>
      </c>
      <c r="Y370" s="1" t="s">
        <v>8138</v>
      </c>
      <c r="Z370" s="1" t="s">
        <v>8139</v>
      </c>
      <c r="AA370" s="7" t="str">
        <f>IFERROR(__xludf.DUMMYFUNCTION("GOOGLETRANSLATE(C370, ""en"", ""ro"")"),"Nici o cerere nu a fost găsită pe URI")</f>
        <v>Nici o cerere nu a fost găsită pe URI</v>
      </c>
      <c r="AB370" s="1" t="s">
        <v>8140</v>
      </c>
      <c r="AC370" s="7" t="str">
        <f>IFERROR(__xludf.DUMMYFUNCTION("GOOGLETRANSLATE(C370, ""en"", ""sk"")"),"Žiadna žiadosť zdieľanie URI")</f>
        <v>Žiadna žiadosť zdieľanie URI</v>
      </c>
      <c r="AD370" s="6" t="s">
        <v>132</v>
      </c>
      <c r="AE370" s="1" t="s">
        <v>8141</v>
      </c>
      <c r="AF370" s="1" t="s">
        <v>8142</v>
      </c>
      <c r="AG370" s="6" t="s">
        <v>132</v>
      </c>
      <c r="AH370" s="7" t="str">
        <f>IFERROR(__xludf.DUMMYFUNCTION("GOOGLETRANSLATE(C370, ""en"", ""tr"")"),"Uri paylaşmak için hiçbir uygulama bulunamadı")</f>
        <v>Uri paylaşmak için hiçbir uygulama bulunamadı</v>
      </c>
      <c r="AI370" s="6" t="s">
        <v>8143</v>
      </c>
      <c r="AJ370" s="6" t="s">
        <v>132</v>
      </c>
      <c r="AK370" s="7" t="str">
        <f>IFERROR(__xludf.DUMMYFUNCTION("GOOGLETRANSLATE(C370, ""en"", ""zh"")"),"没有发现应用程序分享URI")</f>
        <v>没有发现应用程序分享URI</v>
      </c>
      <c r="AL370" s="6" t="s">
        <v>8144</v>
      </c>
    </row>
    <row r="371" ht="15.75" customHeight="1">
      <c r="A371" s="1" t="s">
        <v>127</v>
      </c>
      <c r="B371" s="1" t="s">
        <v>8145</v>
      </c>
      <c r="C371" s="1" t="s">
        <v>8146</v>
      </c>
      <c r="D371" s="1" t="s">
        <v>8147</v>
      </c>
      <c r="E371" s="1" t="s">
        <v>8146</v>
      </c>
      <c r="F371" s="6" t="s">
        <v>8147</v>
      </c>
      <c r="G371" s="7" t="str">
        <f>IFERROR(__xludf.DUMMYFUNCTION("GOOGLETRANSLATE(C371, ""en"", ""cs"")"),"Zůstaňte aktualizován")</f>
        <v>Zůstaňte aktualizován</v>
      </c>
      <c r="H371" s="1" t="s">
        <v>8148</v>
      </c>
      <c r="I371" s="1" t="s">
        <v>8149</v>
      </c>
      <c r="J371" s="6" t="s">
        <v>132</v>
      </c>
      <c r="K371" s="1" t="s">
        <v>8150</v>
      </c>
      <c r="L371" s="1" t="s">
        <v>8151</v>
      </c>
      <c r="M371" s="1" t="s">
        <v>8152</v>
      </c>
      <c r="N371" s="6" t="s">
        <v>8153</v>
      </c>
      <c r="O371" s="6" t="s">
        <v>8154</v>
      </c>
      <c r="P371" s="1" t="s">
        <v>8155</v>
      </c>
      <c r="Q371" s="1" t="s">
        <v>8154</v>
      </c>
      <c r="R371" s="1" t="s">
        <v>8156</v>
      </c>
      <c r="S371" s="6" t="s">
        <v>132</v>
      </c>
      <c r="T371" s="1" t="s">
        <v>8157</v>
      </c>
      <c r="U371" s="1" t="s">
        <v>8158</v>
      </c>
      <c r="V371" s="1" t="s">
        <v>8159</v>
      </c>
      <c r="W371" s="1" t="s">
        <v>8147</v>
      </c>
      <c r="X371" s="1" t="s">
        <v>8160</v>
      </c>
      <c r="Y371" s="1" t="s">
        <v>8161</v>
      </c>
      <c r="Z371" s="1" t="s">
        <v>8162</v>
      </c>
      <c r="AA371" s="7" t="str">
        <f>IFERROR(__xludf.DUMMYFUNCTION("GOOGLETRANSLATE(C371, ""en"", ""ro"")"),"Rămâneți actualizat")</f>
        <v>Rămâneți actualizat</v>
      </c>
      <c r="AB371" s="1" t="s">
        <v>8153</v>
      </c>
      <c r="AC371" s="7" t="str">
        <f>IFERROR(__xludf.DUMMYFUNCTION("GOOGLETRANSLATE(C371, ""en"", ""sk"")"),"Zostaňte aktualizované")</f>
        <v>Zostaňte aktualizované</v>
      </c>
      <c r="AD371" s="6" t="s">
        <v>132</v>
      </c>
      <c r="AE371" s="1" t="s">
        <v>8163</v>
      </c>
      <c r="AF371" s="1" t="s">
        <v>8164</v>
      </c>
      <c r="AG371" s="6" t="s">
        <v>132</v>
      </c>
      <c r="AH371" s="1" t="s">
        <v>8165</v>
      </c>
      <c r="AI371" s="6" t="s">
        <v>132</v>
      </c>
      <c r="AJ371" s="6" t="s">
        <v>132</v>
      </c>
      <c r="AK371" s="1" t="s">
        <v>8166</v>
      </c>
      <c r="AL371" s="6" t="s">
        <v>132</v>
      </c>
    </row>
    <row r="372" ht="15.75" customHeight="1">
      <c r="A372" s="1" t="s">
        <v>127</v>
      </c>
      <c r="B372" s="1" t="s">
        <v>8167</v>
      </c>
      <c r="C372" s="1" t="s">
        <v>8168</v>
      </c>
      <c r="D372" s="8" t="s">
        <v>8169</v>
      </c>
      <c r="E372" s="1" t="s">
        <v>8170</v>
      </c>
      <c r="F372" s="6" t="s">
        <v>132</v>
      </c>
      <c r="G372" s="1" t="s">
        <v>8171</v>
      </c>
      <c r="H372" s="1" t="s">
        <v>8172</v>
      </c>
      <c r="I372" s="1" t="s">
        <v>8173</v>
      </c>
      <c r="J372" s="6" t="s">
        <v>8174</v>
      </c>
      <c r="K372" s="1" t="s">
        <v>8175</v>
      </c>
      <c r="L372" s="1" t="s">
        <v>8176</v>
      </c>
      <c r="M372" s="1" t="s">
        <v>8168</v>
      </c>
      <c r="N372" s="6" t="s">
        <v>132</v>
      </c>
      <c r="O372" s="6" t="s">
        <v>8177</v>
      </c>
      <c r="P372" s="1" t="s">
        <v>8168</v>
      </c>
      <c r="Q372" s="1" t="s">
        <v>8178</v>
      </c>
      <c r="R372" s="1" t="s">
        <v>8179</v>
      </c>
      <c r="S372" s="10" t="s">
        <v>8180</v>
      </c>
      <c r="T372" s="1" t="s">
        <v>8181</v>
      </c>
      <c r="U372" s="1" t="s">
        <v>8182</v>
      </c>
      <c r="V372" s="1" t="s">
        <v>8183</v>
      </c>
      <c r="W372" s="1" t="s">
        <v>8184</v>
      </c>
      <c r="X372" s="1" t="s">
        <v>8185</v>
      </c>
      <c r="Y372" s="1" t="s">
        <v>8186</v>
      </c>
      <c r="Z372" s="1" t="s">
        <v>8187</v>
      </c>
      <c r="AA372" s="1" t="s">
        <v>8188</v>
      </c>
      <c r="AB372" s="1" t="s">
        <v>8189</v>
      </c>
      <c r="AC372" s="1" t="s">
        <v>8171</v>
      </c>
      <c r="AD372" s="6" t="s">
        <v>8190</v>
      </c>
      <c r="AE372" s="1" t="s">
        <v>8117</v>
      </c>
      <c r="AF372" s="1" t="s">
        <v>8191</v>
      </c>
      <c r="AG372" s="6" t="s">
        <v>8192</v>
      </c>
      <c r="AH372" s="1" t="s">
        <v>8193</v>
      </c>
      <c r="AI372" s="6" t="s">
        <v>132</v>
      </c>
      <c r="AJ372" s="6" t="s">
        <v>8194</v>
      </c>
      <c r="AK372" s="1" t="s">
        <v>8195</v>
      </c>
      <c r="AL372" s="6" t="s">
        <v>8196</v>
      </c>
    </row>
    <row r="373" ht="15.75" hidden="1" customHeight="1">
      <c r="A373" s="1" t="s">
        <v>38</v>
      </c>
      <c r="B373" s="1" t="s">
        <v>8197</v>
      </c>
      <c r="C373" s="1" t="s">
        <v>8198</v>
      </c>
      <c r="D373" s="7" t="str">
        <f>IFERROR(__xludf.DUMMYFUNCTION("GOOGLETRANSLATE(C373, ""en"", ""ar"")"),"لا توجد جهات اتصال نشطة")</f>
        <v>لا توجد جهات اتصال نشطة</v>
      </c>
      <c r="E373" s="7" t="str">
        <f>IFERROR(__xludf.DUMMYFUNCTION("GOOGLETRANSLATE(C373, ""en"", ""bg"")"),"Няма активни контакти")</f>
        <v>Няма активни контакти</v>
      </c>
      <c r="F373" s="6" t="s">
        <v>132</v>
      </c>
      <c r="G373" s="7" t="str">
        <f>IFERROR(__xludf.DUMMYFUNCTION("GOOGLETRANSLATE(C373, ""en"", ""cs"")"),"Žádné aktivní kontakty")</f>
        <v>Žádné aktivní kontakty</v>
      </c>
      <c r="H373" s="7" t="str">
        <f>IFERROR(__xludf.DUMMYFUNCTION("GOOGLETRANSLATE(C373, ""en"", ""da"")"),"Ingen aktive kontakter")</f>
        <v>Ingen aktive kontakter</v>
      </c>
      <c r="I373" s="1" t="s">
        <v>8199</v>
      </c>
      <c r="J373" s="6" t="s">
        <v>132</v>
      </c>
      <c r="K373" s="1" t="s">
        <v>8200</v>
      </c>
      <c r="L373" s="7" t="str">
        <f>IFERROR(__xludf.DUMMYFUNCTION("GOOGLETRANSLATE(C373, ""en"", ""fi"")"),"Ei aktiivisia yhteystietoja")</f>
        <v>Ei aktiivisia yhteystietoja</v>
      </c>
      <c r="M373" s="1" t="s">
        <v>8201</v>
      </c>
      <c r="N373" s="6" t="s">
        <v>132</v>
      </c>
      <c r="O373" s="6" t="s">
        <v>132</v>
      </c>
      <c r="P373" s="1" t="s">
        <v>8202</v>
      </c>
      <c r="Q373" s="7" t="str">
        <f>IFERROR(__xludf.DUMMYFUNCTION("GOOGLETRANSLATE(C373, ""en"", ""in"")"),"Tidak ada kontak aktif")</f>
        <v>Tidak ada kontak aktif</v>
      </c>
      <c r="R373" s="7" t="str">
        <f>IFERROR(__xludf.DUMMYFUNCTION("GOOGLETRANSLATE(C373, ""en"", ""it"")"),"Nessun contatto attivo")</f>
        <v>Nessun contatto attivo</v>
      </c>
      <c r="S373" s="6" t="s">
        <v>132</v>
      </c>
      <c r="T373" s="7" t="str">
        <f>IFERROR(__xludf.DUMMYFUNCTION("GOOGLETRANSLATE(C373, ""en"", ""ja"")"),"アクティブコンタクトなし")</f>
        <v>アクティブコンタクトなし</v>
      </c>
      <c r="U373" s="7" t="str">
        <f>IFERROR(__xludf.DUMMYFUNCTION("GOOGLETRANSLATE(C373, ""en"", ""ko"")"),"활성 연락처 없음")</f>
        <v>활성 연락처 없음</v>
      </c>
      <c r="V373" s="7" t="str">
        <f>IFERROR(__xludf.DUMMYFUNCTION("GOOGLETRANSLATE(C373, ""en"", ""ms"")"),"Tiada kenalan aktif")</f>
        <v>Tiada kenalan aktif</v>
      </c>
      <c r="W373" s="7" t="str">
        <f>IFERROR(__xludf.DUMMYFUNCTION("GOOGLETRANSLATE(C373, ""en"", ""nl"")"),"Geen actieve contacten")</f>
        <v>Geen actieve contacten</v>
      </c>
      <c r="X373" s="7" t="str">
        <f>IFERROR(__xludf.DUMMYFUNCTION("GOOGLETRANSLATE(C373, ""en"", ""no"")"),"Ingen aktive kontakter")</f>
        <v>Ingen aktive kontakter</v>
      </c>
      <c r="Y373" s="7" t="str">
        <f>IFERROR(__xludf.DUMMYFUNCTION("GOOGLETRANSLATE(C373, ""en"", ""pl"")"),"Brak aktywnych kontaktów")</f>
        <v>Brak aktywnych kontaktów</v>
      </c>
      <c r="Z373" s="7" t="str">
        <f>IFERROR(__xludf.DUMMYFUNCTION("GOOGLETRANSLATE(C373, ""en"", ""pt"")"),"Não há contatos ativos")</f>
        <v>Não há contatos ativos</v>
      </c>
      <c r="AA373" s="7" t="str">
        <f>IFERROR(__xludf.DUMMYFUNCTION("GOOGLETRANSLATE(C373, ""en"", ""ro"")"),"Nu există contacte active")</f>
        <v>Nu există contacte active</v>
      </c>
      <c r="AB373" s="1" t="s">
        <v>8203</v>
      </c>
      <c r="AC373" s="7" t="str">
        <f>IFERROR(__xludf.DUMMYFUNCTION("GOOGLETRANSLATE(C373, ""en"", ""sk"")"),"Žiadne aktívne kontakty")</f>
        <v>Žiadne aktívne kontakty</v>
      </c>
      <c r="AD373" s="6" t="s">
        <v>132</v>
      </c>
      <c r="AE373" s="1" t="s">
        <v>8204</v>
      </c>
      <c r="AF373" s="7" t="str">
        <f>IFERROR(__xludf.DUMMYFUNCTION("GOOGLETRANSLATE(C373, ""en"", ""sv"")"),"Inga aktiva kontakter")</f>
        <v>Inga aktiva kontakter</v>
      </c>
      <c r="AG373" s="6" t="s">
        <v>132</v>
      </c>
      <c r="AH373" s="7" t="str">
        <f>IFERROR(__xludf.DUMMYFUNCTION("GOOGLETRANSLATE(C373, ""en"", ""tr"")"),"Aktif temas yok")</f>
        <v>Aktif temas yok</v>
      </c>
      <c r="AI373" s="6" t="s">
        <v>132</v>
      </c>
      <c r="AJ373" s="6" t="s">
        <v>132</v>
      </c>
      <c r="AK373" s="7" t="str">
        <f>IFERROR(__xludf.DUMMYFUNCTION("GOOGLETRANSLATE(C373, ""en"", ""zh"")"),"没有积极的联系人")</f>
        <v>没有积极的联系人</v>
      </c>
      <c r="AL373" s="6" t="s">
        <v>132</v>
      </c>
    </row>
    <row r="374" ht="15.75" hidden="1" customHeight="1">
      <c r="A374" s="1" t="s">
        <v>38</v>
      </c>
      <c r="B374" s="1" t="s">
        <v>8205</v>
      </c>
      <c r="C374" s="1" t="s">
        <v>8206</v>
      </c>
      <c r="D374" s="8" t="s">
        <v>8207</v>
      </c>
      <c r="E374" s="1" t="s">
        <v>8208</v>
      </c>
      <c r="F374" s="6" t="s">
        <v>8209</v>
      </c>
      <c r="G374" s="7" t="str">
        <f>IFERROR(__xludf.DUMMYFUNCTION("GOOGLETRANSLATE(C374, ""en"", ""cs"")"),"Zdarma pro chat")</f>
        <v>Zdarma pro chat</v>
      </c>
      <c r="H374" s="7" t="str">
        <f>IFERROR(__xludf.DUMMYFUNCTION("GOOGLETRANSLATE(C374, ""en"", ""da"")"),"Gratis til chat")</f>
        <v>Gratis til chat</v>
      </c>
      <c r="I374" s="1" t="s">
        <v>8210</v>
      </c>
      <c r="J374" s="6" t="s">
        <v>132</v>
      </c>
      <c r="K374" s="1" t="s">
        <v>8211</v>
      </c>
      <c r="L374" s="7" t="str">
        <f>IFERROR(__xludf.DUMMYFUNCTION("GOOGLETRANSLATE(C374, ""en"", ""fi"")"),"Ilmainen keskusteluun")</f>
        <v>Ilmainen keskusteluun</v>
      </c>
      <c r="M374" s="1" t="s">
        <v>8212</v>
      </c>
      <c r="N374" s="6" t="s">
        <v>8213</v>
      </c>
      <c r="O374" s="6" t="s">
        <v>132</v>
      </c>
      <c r="P374" s="1" t="s">
        <v>8214</v>
      </c>
      <c r="Q374" s="9" t="s">
        <v>8215</v>
      </c>
      <c r="R374" s="1" t="s">
        <v>8216</v>
      </c>
      <c r="S374" s="6" t="s">
        <v>132</v>
      </c>
      <c r="T374" s="1" t="s">
        <v>8217</v>
      </c>
      <c r="U374" s="1" t="s">
        <v>8218</v>
      </c>
      <c r="V374" s="7" t="str">
        <f>IFERROR(__xludf.DUMMYFUNCTION("GOOGLETRANSLATE(C374, ""en"", ""ms"")"),"Percuma untuk berbual")</f>
        <v>Percuma untuk berbual</v>
      </c>
      <c r="W374" s="1" t="s">
        <v>8219</v>
      </c>
      <c r="X374" s="7" t="str">
        <f>IFERROR(__xludf.DUMMYFUNCTION("GOOGLETRANSLATE(C374, ""en"", ""no"")"),"Gratis for chat")</f>
        <v>Gratis for chat</v>
      </c>
      <c r="Y374" s="1" t="s">
        <v>8220</v>
      </c>
      <c r="Z374" s="1" t="s">
        <v>8221</v>
      </c>
      <c r="AA374" s="7" t="str">
        <f>IFERROR(__xludf.DUMMYFUNCTION("GOOGLETRANSLATE(C374, ""en"", ""ro"")"),"Gratuit pentru chat.")</f>
        <v>Gratuit pentru chat.</v>
      </c>
      <c r="AB374" s="1" t="s">
        <v>8222</v>
      </c>
      <c r="AC374" s="7" t="str">
        <f>IFERROR(__xludf.DUMMYFUNCTION("GOOGLETRANSLATE(C374, ""en"", ""sk"")"),"Zadarmo pre chat")</f>
        <v>Zadarmo pre chat</v>
      </c>
      <c r="AD374" s="6" t="s">
        <v>132</v>
      </c>
      <c r="AE374" s="1" t="s">
        <v>8223</v>
      </c>
      <c r="AF374" s="1" t="s">
        <v>8224</v>
      </c>
      <c r="AG374" s="6" t="s">
        <v>132</v>
      </c>
      <c r="AH374" s="7" t="str">
        <f>IFERROR(__xludf.DUMMYFUNCTION("GOOGLETRANSLATE(C374, ""en"", ""tr"")"),"Sohbet için ücretsiz")</f>
        <v>Sohbet için ücretsiz</v>
      </c>
      <c r="AI374" s="6" t="s">
        <v>8225</v>
      </c>
      <c r="AJ374" s="6" t="s">
        <v>132</v>
      </c>
      <c r="AK374" s="7" t="str">
        <f>IFERROR(__xludf.DUMMYFUNCTION("GOOGLETRANSLATE(C374, ""en"", ""zh"")"),"免费聊天")</f>
        <v>免费聊天</v>
      </c>
      <c r="AL374" s="6" t="s">
        <v>8226</v>
      </c>
    </row>
    <row r="375" ht="15.75" hidden="1" customHeight="1">
      <c r="A375" s="1" t="s">
        <v>38</v>
      </c>
      <c r="B375" s="1" t="s">
        <v>8227</v>
      </c>
      <c r="C375" s="1" t="s">
        <v>8228</v>
      </c>
      <c r="D375" s="7" t="str">
        <f>IFERROR(__xludf.DUMMYFUNCTION("GOOGLETRANSLATE(C375, ""en"", ""ar"")"),"هل أنت متأكد من أنك تريد إزالة المفتاح العام OpenPGP الخاص بك من إعلان التواجد الخاص بك؟ لم تعد جهات اتصال \ Nyour قادرا على إرسال رسائل مشفرة OpenPGP.")</f>
        <v>هل أنت متأكد من أنك تريد إزالة المفتاح العام OpenPGP الخاص بك من إعلان التواجد الخاص بك؟ لم تعد جهات اتصال \ Nyour قادرا على إرسال رسائل مشفرة OpenPGP.</v>
      </c>
      <c r="E375" s="1" t="s">
        <v>8229</v>
      </c>
      <c r="F375" s="6" t="s">
        <v>8230</v>
      </c>
      <c r="G375" s="7" t="str">
        <f>IFERROR(__xludf.DUMMYFUNCTION("GOOGLETRANSLATE(C375, ""en"", ""cs"")"),"Opravdu chcete odebrat veřejný klíč OpenPGP z vašeho oznámení o přítomnosti? \ T")</f>
        <v>Opravdu chcete odebrat veřejný klíč OpenPGP z vašeho oznámení o přítomnosti? \ T</v>
      </c>
      <c r="H375" s="7" t="str">
        <f>IFERROR(__xludf.DUMMYFUNCTION("GOOGLETRANSLATE(C375, ""en"", ""da"")"),"Er du sikker på, at du vil fjerne din OpenPGP Public-nøgle fra din tilstedeværelsesmeddelelse? \ NYOUR Kontakter vil ikke længere kunne sende dig OpenPGP-krypterede meddelelser.")</f>
        <v>Er du sikker på, at du vil fjerne din OpenPGP Public-nøgle fra din tilstedeværelsesmeddelelse? \ NYOUR Kontakter vil ikke længere kunne sende dig OpenPGP-krypterede meddelelser.</v>
      </c>
      <c r="I375" s="1" t="s">
        <v>8231</v>
      </c>
      <c r="J375" s="6" t="s">
        <v>132</v>
      </c>
      <c r="K375" s="1" t="s">
        <v>8232</v>
      </c>
      <c r="L375" s="7" t="str">
        <f>IFERROR(__xludf.DUMMYFUNCTION("GOOGLETRANSLATE(C375, ""en"", ""fi"")"),"Haluatko varmasti poistaa OpenPGP-julkisen avaimen läsnäoloilmoituksestasi? \ Nyour-yhteystiedot eivät enää pysty lähettämään sinulle OpenPGP-salattuja viestejä.")</f>
        <v>Haluatko varmasti poistaa OpenPGP-julkisen avaimen läsnäoloilmoituksestasi? \ Nyour-yhteystiedot eivät enää pysty lähettämään sinulle OpenPGP-salattuja viestejä.</v>
      </c>
      <c r="M375" s="1" t="s">
        <v>8233</v>
      </c>
      <c r="N375" s="6" t="s">
        <v>8234</v>
      </c>
      <c r="O375" s="6" t="s">
        <v>132</v>
      </c>
      <c r="P375" s="1" t="s">
        <v>8235</v>
      </c>
      <c r="Q375" s="7" t="str">
        <f>IFERROR(__xludf.DUMMYFUNCTION("GOOGLETRANSLATE(C375, ""en"", ""in"")"),"Anda yakin ingin menghapus kunci publik OpenPGP Anda dari pengumuman keberadaan Anda? \ Nyour Kontak tidak akan lagi dapat mengirimi Anda pesan terenkripsi OpenPGP.")</f>
        <v>Anda yakin ingin menghapus kunci publik OpenPGP Anda dari pengumuman keberadaan Anda? \ Nyour Kontak tidak akan lagi dapat mengirimi Anda pesan terenkripsi OpenPGP.</v>
      </c>
      <c r="R375" s="1" t="s">
        <v>8236</v>
      </c>
      <c r="S375" s="6" t="s">
        <v>132</v>
      </c>
      <c r="T375" s="1" t="s">
        <v>8237</v>
      </c>
      <c r="U375" s="7" t="str">
        <f>IFERROR(__xludf.DUMMYFUNCTION("GOOGLETRANSLATE(C375, ""en"", ""ko"")"),"현재 상태 알림에서 OpenPGP 공개 키를 제거 하시겠습니까? \ nyour 연락처는 더 이상 OpenPGP 암호화 된 메시지를 보낼 수 없습니다.")</f>
        <v>현재 상태 알림에서 OpenPGP 공개 키를 제거 하시겠습니까? \ nyour 연락처는 더 이상 OpenPGP 암호화 된 메시지를 보낼 수 없습니다.</v>
      </c>
      <c r="V375" s="7" t="str">
        <f>IFERROR(__xludf.DUMMYFUNCTION("GOOGLETRANSLATE(C375, ""en"", ""ms"")"),"Adakah anda pasti mahu mengeluarkan kunci awam OpenPGP anda dari pengumuman kehadiran anda? \ Nyour Kenalan tidak lagi akan dapat menghantar mesej yang disulitkan OpenPGP.")</f>
        <v>Adakah anda pasti mahu mengeluarkan kunci awam OpenPGP anda dari pengumuman kehadiran anda? \ Nyour Kenalan tidak lagi akan dapat menghantar mesej yang disulitkan OpenPGP.</v>
      </c>
      <c r="W375" s="1" t="s">
        <v>8238</v>
      </c>
      <c r="X375" s="7" t="str">
        <f>IFERROR(__xludf.DUMMYFUNCTION("GOOGLETRANSLATE(C375, ""en"", ""no"")"),"Er du sikker på at du vil fjerne din OpenPGP offentlig nøkkel fra din tilstedeværelsesmelding? \ Nyour-kontakter vil ikke lenger kunne sende deg OpenPGP-krypterte meldinger.")</f>
        <v>Er du sikker på at du vil fjerne din OpenPGP offentlig nøkkel fra din tilstedeværelsesmelding? \ Nyour-kontakter vil ikke lenger kunne sende deg OpenPGP-krypterte meldinger.</v>
      </c>
      <c r="Y375" s="1" t="s">
        <v>8239</v>
      </c>
      <c r="Z375" s="7" t="str">
        <f>IFERROR(__xludf.DUMMYFUNCTION("GOOGLETRANSLATE(C375, ""en"", ""pt"")"),"Tem certeza de que deseja remover sua chave pública do OpenPGP do seu anúncio de presença? \ Nyour Contatos não poderão mais enviar mensagens criptografadas do OpenPGP.")</f>
        <v>Tem certeza de que deseja remover sua chave pública do OpenPGP do seu anúncio de presença? \ Nyour Contatos não poderão mais enviar mensagens criptografadas do OpenPGP.</v>
      </c>
      <c r="AA375" s="7" t="str">
        <f>IFERROR(__xludf.DUMMYFUNCTION("GOOGLETRANSLATE(C375, ""en"", ""ro"")"),"Sigur doriți să eliminați cheia publică OpenPGP din anunțul dvs. de prezență? \ Nyour Contacte nu va mai putea să vă trimită mesaje criptate OpenPGP.")</f>
        <v>Sigur doriți să eliminați cheia publică OpenPGP din anunțul dvs. de prezență? \ Nyour Contacte nu va mai putea să vă trimită mesaje criptate OpenPGP.</v>
      </c>
      <c r="AB375" s="1" t="s">
        <v>8240</v>
      </c>
      <c r="AC375" s="7" t="str">
        <f>IFERROR(__xludf.DUMMYFUNCTION("GOOGLETRANSLATE(C375, ""en"", ""sk"")"),"Ste si istý, že chcete odstrániť verejný kľúč OpenPGP z vášho oznámenia o prítomnosti? \ T")</f>
        <v>Ste si istý, že chcete odstrániť verejný kľúč OpenPGP z vášho oznámenia o prítomnosti? \ T</v>
      </c>
      <c r="AD375" s="6" t="s">
        <v>132</v>
      </c>
      <c r="AE375" s="1" t="s">
        <v>8241</v>
      </c>
      <c r="AF375" s="1" t="s">
        <v>8242</v>
      </c>
      <c r="AG375" s="6" t="s">
        <v>132</v>
      </c>
      <c r="AH375" s="7" t="str">
        <f>IFERROR(__xludf.DUMMYFUNCTION("GOOGLETRANSLATE(C375, ""en"", ""tr"")"),"OpenPGP Genel Anahtarınızı varlığınızın duyurulunuzdan kaldırmak istediğinizden emin misiniz? \ NYOUR kontaklar artık Size OpenPGP şifreli mesajları gönderemezsiniz.")</f>
        <v>OpenPGP Genel Anahtarınızı varlığınızın duyurulunuzdan kaldırmak istediğinizden emin misiniz? \ NYOUR kontaklar artık Size OpenPGP şifreli mesajları gönderemezsiniz.</v>
      </c>
      <c r="AI375" s="6" t="s">
        <v>8243</v>
      </c>
      <c r="AJ375" s="6" t="s">
        <v>132</v>
      </c>
      <c r="AK375" s="7" t="str">
        <f>IFERROR(__xludf.DUMMYFUNCTION("GOOGLETRANSLATE(C375, ""en"", ""zh"")"),"您确定要从状态公告中删除OpenPGP公钥吗？\ nyour联系人将无法再能够向您发送OpenPGP加密消息。")</f>
        <v>您确定要从状态公告中删除OpenPGP公钥吗？\ nyour联系人将无法再能够向您发送OpenPGP加密消息。</v>
      </c>
      <c r="AL375" s="6" t="s">
        <v>8244</v>
      </c>
    </row>
    <row r="376" ht="15.75" customHeight="1">
      <c r="A376" s="1" t="s">
        <v>127</v>
      </c>
      <c r="B376" s="1" t="s">
        <v>8245</v>
      </c>
      <c r="C376" s="1" t="s">
        <v>8246</v>
      </c>
      <c r="D376" s="8" t="s">
        <v>8247</v>
      </c>
      <c r="E376" s="1" t="s">
        <v>8248</v>
      </c>
      <c r="F376" s="6" t="s">
        <v>132</v>
      </c>
      <c r="G376" s="1" t="s">
        <v>8249</v>
      </c>
      <c r="H376" s="1" t="s">
        <v>8250</v>
      </c>
      <c r="I376" s="1" t="s">
        <v>8251</v>
      </c>
      <c r="J376" s="6" t="s">
        <v>8252</v>
      </c>
      <c r="K376" s="1" t="s">
        <v>8253</v>
      </c>
      <c r="L376" s="1" t="s">
        <v>8254</v>
      </c>
      <c r="M376" s="1" t="s">
        <v>8255</v>
      </c>
      <c r="N376" s="6" t="s">
        <v>132</v>
      </c>
      <c r="O376" s="6" t="s">
        <v>8256</v>
      </c>
      <c r="P376" s="1" t="s">
        <v>8257</v>
      </c>
      <c r="Q376" s="1" t="s">
        <v>8258</v>
      </c>
      <c r="R376" s="1" t="s">
        <v>8259</v>
      </c>
      <c r="S376" s="10" t="s">
        <v>8260</v>
      </c>
      <c r="T376" s="1" t="s">
        <v>8261</v>
      </c>
      <c r="U376" s="1" t="s">
        <v>8262</v>
      </c>
      <c r="V376" s="1" t="s">
        <v>8263</v>
      </c>
      <c r="W376" s="1" t="s">
        <v>8264</v>
      </c>
      <c r="X376" s="1" t="s">
        <v>8265</v>
      </c>
      <c r="Y376" s="1" t="s">
        <v>8266</v>
      </c>
      <c r="Z376" s="1" t="s">
        <v>8267</v>
      </c>
      <c r="AA376" s="1" t="s">
        <v>8268</v>
      </c>
      <c r="AB376" s="1" t="s">
        <v>8269</v>
      </c>
      <c r="AC376" s="1" t="s">
        <v>8270</v>
      </c>
      <c r="AD376" s="6" t="s">
        <v>8271</v>
      </c>
      <c r="AE376" s="1" t="s">
        <v>8272</v>
      </c>
      <c r="AF376" s="1" t="s">
        <v>8273</v>
      </c>
      <c r="AG376" s="6" t="s">
        <v>8274</v>
      </c>
      <c r="AH376" s="1" t="s">
        <v>8275</v>
      </c>
      <c r="AI376" s="6" t="s">
        <v>132</v>
      </c>
      <c r="AJ376" s="6" t="s">
        <v>8276</v>
      </c>
      <c r="AK376" s="1" t="s">
        <v>8277</v>
      </c>
      <c r="AL376" s="6" t="s">
        <v>132</v>
      </c>
    </row>
    <row r="377" ht="15.75" hidden="1" customHeight="1">
      <c r="A377" s="1" t="s">
        <v>38</v>
      </c>
      <c r="B377" s="1" t="s">
        <v>8278</v>
      </c>
      <c r="C377" s="1" t="s">
        <v>8279</v>
      </c>
      <c r="D377" s="7" t="str">
        <f>IFERROR(__xludf.DUMMYFUNCTION("GOOGLETRANSLATE(C377, ""en"", ""ar"")"),"عنوان")</f>
        <v>عنوان</v>
      </c>
      <c r="E377" s="1" t="s">
        <v>8280</v>
      </c>
      <c r="F377" s="6" t="s">
        <v>8281</v>
      </c>
      <c r="G377" s="7" t="str">
        <f>IFERROR(__xludf.DUMMYFUNCTION("GOOGLETRANSLATE(C377, ""en"", ""cs"")"),"Téma")</f>
        <v>Téma</v>
      </c>
      <c r="H377" s="7" t="str">
        <f>IFERROR(__xludf.DUMMYFUNCTION("GOOGLETRANSLATE(C377, ""en"", ""da"")"),"Emne")</f>
        <v>Emne</v>
      </c>
      <c r="I377" s="1" t="s">
        <v>8282</v>
      </c>
      <c r="J377" s="6" t="s">
        <v>132</v>
      </c>
      <c r="K377" s="1" t="s">
        <v>8283</v>
      </c>
      <c r="L377" s="7" t="str">
        <f>IFERROR(__xludf.DUMMYFUNCTION("GOOGLETRANSLATE(C377, ""en"", ""fi"")"),"Aihe")</f>
        <v>Aihe</v>
      </c>
      <c r="M377" s="1" t="s">
        <v>8284</v>
      </c>
      <c r="N377" s="6" t="s">
        <v>8283</v>
      </c>
      <c r="O377" s="6" t="s">
        <v>132</v>
      </c>
      <c r="P377" s="1" t="s">
        <v>8285</v>
      </c>
      <c r="Q377" s="7" t="str">
        <f>IFERROR(__xludf.DUMMYFUNCTION("GOOGLETRANSLATE(C377, ""en"", ""in"")"),"Tema")</f>
        <v>Tema</v>
      </c>
      <c r="R377" s="1" t="s">
        <v>8286</v>
      </c>
      <c r="S377" s="6" t="s">
        <v>132</v>
      </c>
      <c r="T377" s="7" t="str">
        <f>IFERROR(__xludf.DUMMYFUNCTION("GOOGLETRANSLATE(C377, ""en"", ""ja"")"),"トピック")</f>
        <v>トピック</v>
      </c>
      <c r="U377" s="7" t="str">
        <f>IFERROR(__xludf.DUMMYFUNCTION("GOOGLETRANSLATE(C377, ""en"", ""ko"")"),"이야기")</f>
        <v>이야기</v>
      </c>
      <c r="V377" s="7" t="str">
        <f>IFERROR(__xludf.DUMMYFUNCTION("GOOGLETRANSLATE(C377, ""en"", ""ms"")"),"Topik.")</f>
        <v>Topik.</v>
      </c>
      <c r="W377" s="1" t="s">
        <v>8287</v>
      </c>
      <c r="X377" s="7" t="str">
        <f>IFERROR(__xludf.DUMMYFUNCTION("GOOGLETRANSLATE(C377, ""en"", ""no"")"),"Emne")</f>
        <v>Emne</v>
      </c>
      <c r="Y377" s="1" t="s">
        <v>8288</v>
      </c>
      <c r="Z377" s="1" t="s">
        <v>8289</v>
      </c>
      <c r="AA377" s="7" t="str">
        <f>IFERROR(__xludf.DUMMYFUNCTION("GOOGLETRANSLATE(C377, ""en"", ""ro"")"),"Subiect")</f>
        <v>Subiect</v>
      </c>
      <c r="AB377" s="1" t="s">
        <v>8280</v>
      </c>
      <c r="AC377" s="7" t="str">
        <f>IFERROR(__xludf.DUMMYFUNCTION("GOOGLETRANSLATE(C377, ""en"", ""sk"")"),"Téma")</f>
        <v>Téma</v>
      </c>
      <c r="AD377" s="6" t="s">
        <v>132</v>
      </c>
      <c r="AE377" s="1" t="s">
        <v>8280</v>
      </c>
      <c r="AF377" s="7" t="str">
        <f>IFERROR(__xludf.DUMMYFUNCTION("GOOGLETRANSLATE(C377, ""en"", ""sv"")"),"Ämne")</f>
        <v>Ämne</v>
      </c>
      <c r="AG377" s="6" t="s">
        <v>132</v>
      </c>
      <c r="AH377" s="7" t="str">
        <f>IFERROR(__xludf.DUMMYFUNCTION("GOOGLETRANSLATE(C377, ""en"", ""tr"")"),"Başlık")</f>
        <v>Başlık</v>
      </c>
      <c r="AI377" s="6" t="s">
        <v>132</v>
      </c>
      <c r="AJ377" s="6" t="s">
        <v>132</v>
      </c>
      <c r="AK377" s="7" t="str">
        <f>IFERROR(__xludf.DUMMYFUNCTION("GOOGLETRANSLATE(C377, ""en"", ""zh"")"),"话题")</f>
        <v>话题</v>
      </c>
      <c r="AL377" s="6" t="s">
        <v>132</v>
      </c>
    </row>
    <row r="378" ht="15.75" hidden="1" customHeight="1">
      <c r="A378" s="1" t="s">
        <v>38</v>
      </c>
      <c r="B378" s="1" t="s">
        <v>8290</v>
      </c>
      <c r="C378" s="1" t="s">
        <v>8291</v>
      </c>
      <c r="D378" s="8" t="s">
        <v>8292</v>
      </c>
      <c r="E378" s="1" t="s">
        <v>8293</v>
      </c>
      <c r="F378" s="6" t="s">
        <v>8294</v>
      </c>
      <c r="G378" s="7" t="str">
        <f>IFERROR(__xludf.DUMMYFUNCTION("GOOGLETRANSLATE(C378, ""en"", ""cs"")"),"Umístění")</f>
        <v>Umístění</v>
      </c>
      <c r="H378" s="7" t="str">
        <f>IFERROR(__xludf.DUMMYFUNCTION("GOOGLETRANSLATE(C378, ""en"", ""da"")"),"Beliggenhed")</f>
        <v>Beliggenhed</v>
      </c>
      <c r="I378" s="1" t="s">
        <v>8295</v>
      </c>
      <c r="J378" s="6" t="s">
        <v>132</v>
      </c>
      <c r="K378" s="1" t="s">
        <v>8296</v>
      </c>
      <c r="L378" s="7" t="str">
        <f>IFERROR(__xludf.DUMMYFUNCTION("GOOGLETRANSLATE(C378, ""en"", ""fi"")"),"Sijainti")</f>
        <v>Sijainti</v>
      </c>
      <c r="M378" s="1" t="s">
        <v>4836</v>
      </c>
      <c r="N378" s="6" t="s">
        <v>8297</v>
      </c>
      <c r="O378" s="6" t="s">
        <v>132</v>
      </c>
      <c r="P378" s="1" t="s">
        <v>8298</v>
      </c>
      <c r="Q378" s="9" t="s">
        <v>8299</v>
      </c>
      <c r="R378" s="1" t="s">
        <v>4846</v>
      </c>
      <c r="S378" s="6" t="s">
        <v>132</v>
      </c>
      <c r="T378" s="1" t="s">
        <v>8300</v>
      </c>
      <c r="U378" s="1" t="s">
        <v>3211</v>
      </c>
      <c r="V378" s="7" t="str">
        <f>IFERROR(__xludf.DUMMYFUNCTION("GOOGLETRANSLATE(C378, ""en"", ""ms"")"),"Lokasi")</f>
        <v>Lokasi</v>
      </c>
      <c r="W378" s="1" t="s">
        <v>8301</v>
      </c>
      <c r="X378" s="7" t="str">
        <f>IFERROR(__xludf.DUMMYFUNCTION("GOOGLETRANSLATE(C378, ""en"", ""no"")"),"plassering")</f>
        <v>plassering</v>
      </c>
      <c r="Y378" s="1" t="s">
        <v>8302</v>
      </c>
      <c r="Z378" s="1" t="s">
        <v>8303</v>
      </c>
      <c r="AA378" s="7" t="str">
        <f>IFERROR(__xludf.DUMMYFUNCTION("GOOGLETRANSLATE(C378, ""en"", ""ro"")"),"Locație")</f>
        <v>Locație</v>
      </c>
      <c r="AB378" s="1" t="s">
        <v>8293</v>
      </c>
      <c r="AC378" s="1" t="s">
        <v>8304</v>
      </c>
      <c r="AD378" s="6" t="s">
        <v>132</v>
      </c>
      <c r="AE378" s="1" t="s">
        <v>8305</v>
      </c>
      <c r="AF378" s="1" t="s">
        <v>4836</v>
      </c>
      <c r="AG378" s="6" t="s">
        <v>132</v>
      </c>
      <c r="AH378" s="7" t="str">
        <f>IFERROR(__xludf.DUMMYFUNCTION("GOOGLETRANSLATE(C378, ""en"", ""tr"")"),"yer")</f>
        <v>yer</v>
      </c>
      <c r="AI378" s="6" t="s">
        <v>8306</v>
      </c>
      <c r="AJ378" s="6" t="s">
        <v>4860</v>
      </c>
      <c r="AK378" s="7" t="str">
        <f>IFERROR(__xludf.DUMMYFUNCTION("GOOGLETRANSLATE(C378, ""en"", ""zh"")"),"地点")</f>
        <v>地点</v>
      </c>
      <c r="AL378" s="6" t="s">
        <v>8300</v>
      </c>
    </row>
    <row r="379" ht="15.75" customHeight="1">
      <c r="A379" s="1" t="s">
        <v>127</v>
      </c>
      <c r="B379" s="1" t="s">
        <v>8307</v>
      </c>
      <c r="C379" s="1" t="s">
        <v>8308</v>
      </c>
      <c r="D379" s="8" t="s">
        <v>8309</v>
      </c>
      <c r="E379" s="1" t="s">
        <v>8310</v>
      </c>
      <c r="F379" s="6" t="s">
        <v>132</v>
      </c>
      <c r="G379" s="1" t="s">
        <v>8311</v>
      </c>
      <c r="H379" s="1" t="s">
        <v>8312</v>
      </c>
      <c r="I379" s="1" t="s">
        <v>8313</v>
      </c>
      <c r="J379" s="6" t="s">
        <v>8314</v>
      </c>
      <c r="K379" s="1" t="s">
        <v>8315</v>
      </c>
      <c r="L379" s="1" t="s">
        <v>8316</v>
      </c>
      <c r="M379" s="1" t="s">
        <v>8317</v>
      </c>
      <c r="N379" s="6" t="s">
        <v>132</v>
      </c>
      <c r="O379" s="6" t="s">
        <v>8318</v>
      </c>
      <c r="P379" s="1" t="s">
        <v>8319</v>
      </c>
      <c r="Q379" s="1" t="s">
        <v>8320</v>
      </c>
      <c r="R379" s="1" t="s">
        <v>8321</v>
      </c>
      <c r="S379" s="10" t="s">
        <v>8322</v>
      </c>
      <c r="T379" s="1" t="s">
        <v>8308</v>
      </c>
      <c r="U379" s="1" t="s">
        <v>8323</v>
      </c>
      <c r="V379" s="1" t="s">
        <v>8320</v>
      </c>
      <c r="W379" s="1" t="s">
        <v>8324</v>
      </c>
      <c r="X379" s="1" t="s">
        <v>8325</v>
      </c>
      <c r="Y379" s="1" t="s">
        <v>8326</v>
      </c>
      <c r="Z379" s="1" t="s">
        <v>8327</v>
      </c>
      <c r="AA379" s="1" t="s">
        <v>8328</v>
      </c>
      <c r="AB379" s="1" t="s">
        <v>8329</v>
      </c>
      <c r="AC379" s="1" t="s">
        <v>8330</v>
      </c>
      <c r="AD379" s="6" t="s">
        <v>8331</v>
      </c>
      <c r="AE379" s="1" t="s">
        <v>8332</v>
      </c>
      <c r="AF379" s="1" t="s">
        <v>8333</v>
      </c>
      <c r="AG379" s="6" t="s">
        <v>8334</v>
      </c>
      <c r="AH379" s="1" t="s">
        <v>8335</v>
      </c>
      <c r="AI379" s="6" t="s">
        <v>132</v>
      </c>
      <c r="AJ379" s="6" t="s">
        <v>8336</v>
      </c>
      <c r="AK379" s="1" t="s">
        <v>8337</v>
      </c>
      <c r="AL379" s="6" t="s">
        <v>132</v>
      </c>
    </row>
    <row r="380" ht="15.75" hidden="1" customHeight="1">
      <c r="A380" s="1" t="s">
        <v>38</v>
      </c>
      <c r="B380" s="1" t="s">
        <v>8338</v>
      </c>
      <c r="C380" s="1" t="s">
        <v>8339</v>
      </c>
      <c r="D380" s="7" t="str">
        <f>IFERROR(__xludf.DUMMYFUNCTION("GOOGLETRANSLATE(C380, ""en"", ""ar"")"),"شارك الموقع البرنامج المساعد")</f>
        <v>شارك الموقع البرنامج المساعد</v>
      </c>
      <c r="E380" s="1" t="s">
        <v>8340</v>
      </c>
      <c r="F380" s="6" t="s">
        <v>8341</v>
      </c>
      <c r="G380" s="7" t="str">
        <f>IFERROR(__xludf.DUMMYFUNCTION("GOOGLETRANSLATE(C380, ""en"", ""cs"")"),"Sdílení umístění plugin.")</f>
        <v>Sdílení umístění plugin.</v>
      </c>
      <c r="H380" s="7" t="str">
        <f>IFERROR(__xludf.DUMMYFUNCTION("GOOGLETRANSLATE(C380, ""en"", ""da"")"),"Del placering plugin.")</f>
        <v>Del placering plugin.</v>
      </c>
      <c r="I380" s="1" t="s">
        <v>8342</v>
      </c>
      <c r="J380" s="6" t="s">
        <v>132</v>
      </c>
      <c r="K380" s="1" t="s">
        <v>8343</v>
      </c>
      <c r="L380" s="7" t="str">
        <f>IFERROR(__xludf.DUMMYFUNCTION("GOOGLETRANSLATE(C380, ""en"", ""fi"")"),"Jaa sijainti plugin")</f>
        <v>Jaa sijainti plugin</v>
      </c>
      <c r="M380" s="1" t="s">
        <v>8344</v>
      </c>
      <c r="N380" s="6" t="s">
        <v>8345</v>
      </c>
      <c r="O380" s="6" t="s">
        <v>132</v>
      </c>
      <c r="P380" s="1" t="s">
        <v>8346</v>
      </c>
      <c r="Q380" s="7" t="str">
        <f>IFERROR(__xludf.DUMMYFUNCTION("GOOGLETRANSLATE(C380, ""en"", ""in"")"),"Bagikan Lokasi Plugin")</f>
        <v>Bagikan Lokasi Plugin</v>
      </c>
      <c r="R380" s="1" t="s">
        <v>8347</v>
      </c>
      <c r="S380" s="6" t="s">
        <v>132</v>
      </c>
      <c r="T380" s="7" t="str">
        <f>IFERROR(__xludf.DUMMYFUNCTION("GOOGLETRANSLATE(C380, ""en"", ""ja"")"),"ロケーションプラグインを共有します")</f>
        <v>ロケーションプラグインを共有します</v>
      </c>
      <c r="U380" s="7" t="str">
        <f>IFERROR(__xludf.DUMMYFUNCTION("GOOGLETRANSLATE(C380, ""en"", ""ko"")"),"위치 플러그인 공유")</f>
        <v>위치 플러그인 공유</v>
      </c>
      <c r="V380" s="7" t="str">
        <f>IFERROR(__xludf.DUMMYFUNCTION("GOOGLETRANSLATE(C380, ""en"", ""ms"")"),"Plugin Lokasi Kongsi")</f>
        <v>Plugin Lokasi Kongsi</v>
      </c>
      <c r="W380" s="1" t="s">
        <v>8348</v>
      </c>
      <c r="X380" s="7" t="str">
        <f>IFERROR(__xludf.DUMMYFUNCTION("GOOGLETRANSLATE(C380, ""en"", ""no"")"),"Del plassering plugin.")</f>
        <v>Del plassering plugin.</v>
      </c>
      <c r="Y380" s="1" t="s">
        <v>8349</v>
      </c>
      <c r="Z380" s="7" t="str">
        <f>IFERROR(__xludf.DUMMYFUNCTION("GOOGLETRANSLATE(C380, ""en"", ""pt"")"),"Compartilhar plugin de localização")</f>
        <v>Compartilhar plugin de localização</v>
      </c>
      <c r="AA380" s="7" t="str">
        <f>IFERROR(__xludf.DUMMYFUNCTION("GOOGLETRANSLATE(C380, ""en"", ""ro"")"),"Partajați pluginul locației")</f>
        <v>Partajați pluginul locației</v>
      </c>
      <c r="AB380" s="7" t="str">
        <f>IFERROR(__xludf.DUMMYFUNCTION("GOOGLETRANSLATE(C380, ""en"", ""ru"")"),"Поделиться плагином")</f>
        <v>Поделиться плагином</v>
      </c>
      <c r="AC380" s="7" t="str">
        <f>IFERROR(__xludf.DUMMYFUNCTION("GOOGLETRANSLATE(C380, ""en"", ""sk"")"),"Plugin zdieľania")</f>
        <v>Plugin zdieľania</v>
      </c>
      <c r="AD380" s="6" t="s">
        <v>132</v>
      </c>
      <c r="AE380" s="7" t="str">
        <f>IFERROR(__xludf.DUMMYFUNCTION("GOOGLETRANSLATE(C380, ""en"", ""sr"")"),"Поделите додатак за локацију")</f>
        <v>Поделите додатак за локацију</v>
      </c>
      <c r="AF380" s="7" t="str">
        <f>IFERROR(__xludf.DUMMYFUNCTION("GOOGLETRANSLATE(C380, ""en"", ""sv"")"),"Dela Plugin Plugin")</f>
        <v>Dela Plugin Plugin</v>
      </c>
      <c r="AG380" s="6" t="s">
        <v>132</v>
      </c>
      <c r="AH380" s="7" t="str">
        <f>IFERROR(__xludf.DUMMYFUNCTION("GOOGLETRANSLATE(C380, ""en"", ""tr"")"),"Konum eklentisini paylaşın")</f>
        <v>Konum eklentisini paylaşın</v>
      </c>
      <c r="AI380" s="6" t="s">
        <v>132</v>
      </c>
      <c r="AJ380" s="6" t="s">
        <v>132</v>
      </c>
      <c r="AK380" s="7" t="str">
        <f>IFERROR(__xludf.DUMMYFUNCTION("GOOGLETRANSLATE(C380, ""en"", ""zh"")"),"分享位置插件")</f>
        <v>分享位置插件</v>
      </c>
      <c r="AL380" s="6" t="s">
        <v>132</v>
      </c>
    </row>
    <row r="381" ht="15.75" customHeight="1">
      <c r="A381" s="1" t="s">
        <v>127</v>
      </c>
      <c r="B381" s="1" t="s">
        <v>8350</v>
      </c>
      <c r="C381" s="1" t="s">
        <v>8351</v>
      </c>
      <c r="D381" s="8" t="s">
        <v>8352</v>
      </c>
      <c r="E381" s="1" t="s">
        <v>8353</v>
      </c>
      <c r="F381" s="6" t="s">
        <v>132</v>
      </c>
      <c r="G381" s="1" t="s">
        <v>8354</v>
      </c>
      <c r="H381" s="1" t="s">
        <v>8355</v>
      </c>
      <c r="I381" s="1" t="s">
        <v>8356</v>
      </c>
      <c r="J381" s="6" t="s">
        <v>8357</v>
      </c>
      <c r="K381" s="1" t="s">
        <v>8358</v>
      </c>
      <c r="L381" s="1" t="s">
        <v>8359</v>
      </c>
      <c r="M381" s="1" t="s">
        <v>8360</v>
      </c>
      <c r="N381" s="6" t="s">
        <v>132</v>
      </c>
      <c r="O381" s="6" t="s">
        <v>8361</v>
      </c>
      <c r="P381" s="1" t="s">
        <v>8362</v>
      </c>
      <c r="Q381" s="1" t="s">
        <v>8363</v>
      </c>
      <c r="R381" s="1" t="s">
        <v>8364</v>
      </c>
      <c r="S381" s="10" t="s">
        <v>8365</v>
      </c>
      <c r="T381" s="1" t="s">
        <v>8366</v>
      </c>
      <c r="U381" s="1" t="s">
        <v>8367</v>
      </c>
      <c r="V381" s="1" t="s">
        <v>8368</v>
      </c>
      <c r="W381" s="1" t="s">
        <v>8369</v>
      </c>
      <c r="X381" s="1" t="s">
        <v>8370</v>
      </c>
      <c r="Y381" s="1" t="s">
        <v>8371</v>
      </c>
      <c r="Z381" s="1" t="s">
        <v>8372</v>
      </c>
      <c r="AA381" s="1" t="s">
        <v>8373</v>
      </c>
      <c r="AB381" s="1" t="s">
        <v>8374</v>
      </c>
      <c r="AC381" s="1" t="s">
        <v>8375</v>
      </c>
      <c r="AD381" s="6" t="s">
        <v>132</v>
      </c>
      <c r="AE381" s="1" t="s">
        <v>8376</v>
      </c>
      <c r="AF381" s="1" t="s">
        <v>8355</v>
      </c>
      <c r="AG381" s="6" t="s">
        <v>8377</v>
      </c>
      <c r="AH381" s="1" t="s">
        <v>8378</v>
      </c>
      <c r="AI381" s="6" t="s">
        <v>132</v>
      </c>
      <c r="AJ381" s="6" t="s">
        <v>8379</v>
      </c>
      <c r="AK381" s="1" t="s">
        <v>8380</v>
      </c>
      <c r="AL381" s="6" t="s">
        <v>132</v>
      </c>
    </row>
    <row r="382" ht="15.75" hidden="1" customHeight="1">
      <c r="A382" s="1" t="s">
        <v>38</v>
      </c>
      <c r="B382" s="1" t="s">
        <v>8381</v>
      </c>
      <c r="C382" s="1" t="s">
        <v>8382</v>
      </c>
      <c r="D382" s="7" t="str">
        <f>IFERROR(__xludf.DUMMYFUNCTION("GOOGLETRANSLATE(C382, ""en"", ""ar"")"),"خدمة المقدمة")</f>
        <v>خدمة المقدمة</v>
      </c>
      <c r="E382" s="1" t="s">
        <v>8383</v>
      </c>
      <c r="F382" s="6" t="s">
        <v>132</v>
      </c>
      <c r="G382" s="7" t="str">
        <f>IFERROR(__xludf.DUMMYFUNCTION("GOOGLETRANSLATE(C382, ""en"", ""cs"")"),"Služba popředí")</f>
        <v>Služba popředí</v>
      </c>
      <c r="H382" s="7" t="str">
        <f>IFERROR(__xludf.DUMMYFUNCTION("GOOGLETRANSLATE(C382, ""en"", ""da"")"),"Forgrundsservice")</f>
        <v>Forgrundsservice</v>
      </c>
      <c r="I382" s="1" t="s">
        <v>8384</v>
      </c>
      <c r="J382" s="6" t="s">
        <v>132</v>
      </c>
      <c r="K382" s="1" t="s">
        <v>8385</v>
      </c>
      <c r="L382" s="7" t="str">
        <f>IFERROR(__xludf.DUMMYFUNCTION("GOOGLETRANSLATE(C382, ""en"", ""fi"")"),"Etualalla oleva palvelu")</f>
        <v>Etualalla oleva palvelu</v>
      </c>
      <c r="M382" s="1" t="s">
        <v>8386</v>
      </c>
      <c r="N382" s="6" t="s">
        <v>8387</v>
      </c>
      <c r="O382" s="6" t="s">
        <v>132</v>
      </c>
      <c r="P382" s="1" t="s">
        <v>8388</v>
      </c>
      <c r="Q382" s="7" t="str">
        <f>IFERROR(__xludf.DUMMYFUNCTION("GOOGLETRANSLATE(C382, ""en"", ""in"")"),"Layanan latar depan")</f>
        <v>Layanan latar depan</v>
      </c>
      <c r="R382" s="1" t="s">
        <v>8389</v>
      </c>
      <c r="S382" s="6" t="s">
        <v>132</v>
      </c>
      <c r="T382" s="7" t="str">
        <f>IFERROR(__xludf.DUMMYFUNCTION("GOOGLETRANSLATE(C382, ""en"", ""ja"")"),"フォアグラウンドサービス")</f>
        <v>フォアグラウンドサービス</v>
      </c>
      <c r="U382" s="7" t="str">
        <f>IFERROR(__xludf.DUMMYFUNCTION("GOOGLETRANSLATE(C382, ""en"", ""ko"")"),"전경 서비스")</f>
        <v>전경 서비스</v>
      </c>
      <c r="V382" s="7" t="str">
        <f>IFERROR(__xludf.DUMMYFUNCTION("GOOGLETRANSLATE(C382, ""en"", ""ms"")"),"Perkhidmatan latar depan")</f>
        <v>Perkhidmatan latar depan</v>
      </c>
      <c r="W382" s="1" t="s">
        <v>8390</v>
      </c>
      <c r="X382" s="7" t="str">
        <f>IFERROR(__xludf.DUMMYFUNCTION("GOOGLETRANSLATE(C382, ""en"", ""no"")"),"Forgrunns service")</f>
        <v>Forgrunns service</v>
      </c>
      <c r="Y382" s="1" t="s">
        <v>8391</v>
      </c>
      <c r="Z382" s="7" t="str">
        <f>IFERROR(__xludf.DUMMYFUNCTION("GOOGLETRANSLATE(C382, ""en"", ""pt"")"),"Serviço de primeiro plano")</f>
        <v>Serviço de primeiro plano</v>
      </c>
      <c r="AA382" s="7" t="str">
        <f>IFERROR(__xludf.DUMMYFUNCTION("GOOGLETRANSLATE(C382, ""en"", ""ro"")"),"Serviciul din prim plan")</f>
        <v>Serviciul din prim plan</v>
      </c>
      <c r="AB382" s="7" t="str">
        <f>IFERROR(__xludf.DUMMYFUNCTION("GOOGLETRANSLATE(C382, ""en"", ""ru"")"),"Сервис переднего плана")</f>
        <v>Сервис переднего плана</v>
      </c>
      <c r="AC382" s="7" t="str">
        <f>IFERROR(__xludf.DUMMYFUNCTION("GOOGLETRANSLATE(C382, ""en"", ""sk"")"),"Služba popredia")</f>
        <v>Služba popredia</v>
      </c>
      <c r="AD382" s="6" t="s">
        <v>132</v>
      </c>
      <c r="AE382" s="7" t="str">
        <f>IFERROR(__xludf.DUMMYFUNCTION("GOOGLETRANSLATE(C382, ""en"", ""sr"")"),"Услуга предњег плана")</f>
        <v>Услуга предњег плана</v>
      </c>
      <c r="AF382" s="7" t="str">
        <f>IFERROR(__xludf.DUMMYFUNCTION("GOOGLETRANSLATE(C382, ""en"", ""sv"")"),"Förgrundstjänst")</f>
        <v>Förgrundstjänst</v>
      </c>
      <c r="AG382" s="6" t="s">
        <v>132</v>
      </c>
      <c r="AH382" s="7" t="str">
        <f>IFERROR(__xludf.DUMMYFUNCTION("GOOGLETRANSLATE(C382, ""en"", ""tr"")"),"Ön plan servisi")</f>
        <v>Ön plan servisi</v>
      </c>
      <c r="AI382" s="6" t="s">
        <v>132</v>
      </c>
      <c r="AJ382" s="6" t="s">
        <v>132</v>
      </c>
      <c r="AK382" s="7" t="str">
        <f>IFERROR(__xludf.DUMMYFUNCTION("GOOGLETRANSLATE(C382, ""en"", ""zh"")"),"前景服务")</f>
        <v>前景服务</v>
      </c>
      <c r="AL382" s="6" t="s">
        <v>132</v>
      </c>
    </row>
    <row r="383" ht="15.75" hidden="1" customHeight="1">
      <c r="A383" s="1" t="s">
        <v>38</v>
      </c>
      <c r="B383" s="1" t="s">
        <v>8392</v>
      </c>
      <c r="C383" s="1" t="s">
        <v>8393</v>
      </c>
      <c r="D383" s="8" t="s">
        <v>8394</v>
      </c>
      <c r="E383" s="1" t="s">
        <v>8395</v>
      </c>
      <c r="F383" s="6" t="s">
        <v>8396</v>
      </c>
      <c r="G383" s="7" t="str">
        <f>IFERROR(__xludf.DUMMYFUNCTION("GOOGLETRANSLATE(C383, ""en"", ""cs"")"),"Vložte více zpráv")</f>
        <v>Vložte více zpráv</v>
      </c>
      <c r="H383" s="7" t="str">
        <f>IFERROR(__xludf.DUMMYFUNCTION("GOOGLETRANSLATE(C383, ""en"", ""da"")"),"Indlæs flere beskeder.")</f>
        <v>Indlæs flere beskeder.</v>
      </c>
      <c r="I383" s="1" t="s">
        <v>8397</v>
      </c>
      <c r="J383" s="6" t="s">
        <v>132</v>
      </c>
      <c r="K383" s="1" t="s">
        <v>8398</v>
      </c>
      <c r="L383" s="7" t="str">
        <f>IFERROR(__xludf.DUMMYFUNCTION("GOOGLETRANSLATE(C383, ""en"", ""fi"")"),"Lataa lisää viestejä")</f>
        <v>Lataa lisää viestejä</v>
      </c>
      <c r="M383" s="1" t="s">
        <v>8399</v>
      </c>
      <c r="N383" s="6" t="s">
        <v>8400</v>
      </c>
      <c r="O383" s="6" t="s">
        <v>132</v>
      </c>
      <c r="P383" s="1" t="s">
        <v>8401</v>
      </c>
      <c r="Q383" s="7" t="str">
        <f>IFERROR(__xludf.DUMMYFUNCTION("GOOGLETRANSLATE(C383, ""en"", ""in"")"),"Muat lebih banyak pesan")</f>
        <v>Muat lebih banyak pesan</v>
      </c>
      <c r="R383" s="1" t="s">
        <v>8402</v>
      </c>
      <c r="S383" s="6" t="s">
        <v>132</v>
      </c>
      <c r="T383" s="1" t="s">
        <v>8403</v>
      </c>
      <c r="U383" s="1" t="s">
        <v>8404</v>
      </c>
      <c r="V383" s="7" t="str">
        <f>IFERROR(__xludf.DUMMYFUNCTION("GOOGLETRANSLATE(C383, ""en"", ""ms"")"),"Muatkan lebih banyak mesej")</f>
        <v>Muatkan lebih banyak mesej</v>
      </c>
      <c r="W383" s="1" t="s">
        <v>8405</v>
      </c>
      <c r="X383" s="7" t="str">
        <f>IFERROR(__xludf.DUMMYFUNCTION("GOOGLETRANSLATE(C383, ""en"", ""no"")"),"Last flere meldinger")</f>
        <v>Last flere meldinger</v>
      </c>
      <c r="Y383" s="1" t="s">
        <v>8406</v>
      </c>
      <c r="Z383" s="1" t="s">
        <v>8407</v>
      </c>
      <c r="AA383" s="7" t="str">
        <f>IFERROR(__xludf.DUMMYFUNCTION("GOOGLETRANSLATE(C383, ""en"", ""ro"")"),"Încărcați mai multe mesaje")</f>
        <v>Încărcați mai multe mesaje</v>
      </c>
      <c r="AB383" s="1" t="s">
        <v>8408</v>
      </c>
      <c r="AC383" s="7" t="str">
        <f>IFERROR(__xludf.DUMMYFUNCTION("GOOGLETRANSLATE(C383, ""en"", ""sk"")"),"Načítajte viac správ")</f>
        <v>Načítajte viac správ</v>
      </c>
      <c r="AD383" s="6" t="s">
        <v>132</v>
      </c>
      <c r="AE383" s="1" t="s">
        <v>8409</v>
      </c>
      <c r="AF383" s="1" t="s">
        <v>8410</v>
      </c>
      <c r="AG383" s="6" t="s">
        <v>132</v>
      </c>
      <c r="AH383" s="7" t="str">
        <f>IFERROR(__xludf.DUMMYFUNCTION("GOOGLETRANSLATE(C383, ""en"", ""tr"")"),"Daha fazla mesaj yükleyin")</f>
        <v>Daha fazla mesaj yükleyin</v>
      </c>
      <c r="AI383" s="6" t="s">
        <v>8411</v>
      </c>
      <c r="AJ383" s="6" t="s">
        <v>132</v>
      </c>
      <c r="AK383" s="7" t="str">
        <f>IFERROR(__xludf.DUMMYFUNCTION("GOOGLETRANSLATE(C383, ""en"", ""zh"")"),"加载更多消息")</f>
        <v>加载更多消息</v>
      </c>
      <c r="AL383" s="6" t="s">
        <v>8412</v>
      </c>
    </row>
    <row r="384" ht="15.75" hidden="1" customHeight="1">
      <c r="A384" s="1" t="s">
        <v>38</v>
      </c>
      <c r="B384" s="1" t="s">
        <v>8413</v>
      </c>
      <c r="C384" s="1" t="s">
        <v>8414</v>
      </c>
      <c r="D384" s="7" t="str">
        <f>IFERROR(__xludf.DUMMYFUNCTION("GOOGLETRANSLATE(C384, ""en"", ""ar"")"),"هل أنت متأكد من أنك تريد تعطيل تشفير OMEMO لهذه المحادثة؟ \ Nthis سيسمح للمسؤول الخادم بقراءة رسائلك، ولكن قد تكون الطريقة الوحيدة للتواصل مع الأشخاص الذين يستخدمون عملاء قديمين.")</f>
        <v>هل أنت متأكد من أنك تريد تعطيل تشفير OMEMO لهذه المحادثة؟ \ Nthis سيسمح للمسؤول الخادم بقراءة رسائلك، ولكن قد تكون الطريقة الوحيدة للتواصل مع الأشخاص الذين يستخدمون عملاء قديمين.</v>
      </c>
      <c r="E384" s="1" t="s">
        <v>8415</v>
      </c>
      <c r="F384" s="6" t="s">
        <v>8416</v>
      </c>
      <c r="G384" s="7" t="str">
        <f>IFERROR(__xludf.DUMMYFUNCTION("GOOGLETRANSLATE(C384, ""en"", ""cs"")"),"Opravdu chcete zakázat Encryption Omemo pro tuto konverzaci?")</f>
        <v>Opravdu chcete zakázat Encryption Omemo pro tuto konverzaci?</v>
      </c>
      <c r="H384" s="7" t="str">
        <f>IFERROR(__xludf.DUMMYFUNCTION("GOOGLETRANSLATE(C384, ""en"", ""da"")"),"Er du sikker på, at du vil deaktivere OMEMO-kryptering til denne samtale? \ NThis vil tillade din serveradministrator at læse dine beskeder, men det kan være den eneste måde at kommunikere med mennesker, der bruger forældede klienter.")</f>
        <v>Er du sikker på, at du vil deaktivere OMEMO-kryptering til denne samtale? \ NThis vil tillade din serveradministrator at læse dine beskeder, men det kan være den eneste måde at kommunikere med mennesker, der bruger forældede klienter.</v>
      </c>
      <c r="I384" s="1" t="s">
        <v>8417</v>
      </c>
      <c r="J384" s="6" t="s">
        <v>132</v>
      </c>
      <c r="K384" s="1" t="s">
        <v>8418</v>
      </c>
      <c r="L384" s="7" t="str">
        <f>IFERROR(__xludf.DUMMYFUNCTION("GOOGLETRANSLATE(C384, ""en"", ""fi"")"),"Haluatko varmasti poistaa tämän keskustelun OMEMO-salauksen käytöstä?")</f>
        <v>Haluatko varmasti poistaa tämän keskustelun OMEMO-salauksen käytöstä?</v>
      </c>
      <c r="M384" s="1" t="s">
        <v>8419</v>
      </c>
      <c r="N384" s="6" t="s">
        <v>8420</v>
      </c>
      <c r="O384" s="6" t="s">
        <v>132</v>
      </c>
      <c r="P384" s="1" t="s">
        <v>8421</v>
      </c>
      <c r="Q384" s="7" t="str">
        <f>IFERROR(__xludf.DUMMYFUNCTION("GOOGLETRANSLATE(C384, ""en"", ""in"")"),"Apakah Anda yakin ingin menonaktifkan enkripsi omemo untuk percakapan ini? \ NHI akan memungkinkan administrator server Anda membaca pesan Anda, tetapi mungkin satu-satunya cara untuk berkomunikasi dengan orang-orang yang menggunakan klien usang.")</f>
        <v>Apakah Anda yakin ingin menonaktifkan enkripsi omemo untuk percakapan ini? \ NHI akan memungkinkan administrator server Anda membaca pesan Anda, tetapi mungkin satu-satunya cara untuk berkomunikasi dengan orang-orang yang menggunakan klien usang.</v>
      </c>
      <c r="R384" s="1" t="s">
        <v>8422</v>
      </c>
      <c r="S384" s="6" t="s">
        <v>132</v>
      </c>
      <c r="T384" s="7" t="str">
        <f>IFERROR(__xludf.DUMMYFUNCTION("GOOGLETRANSLATE(C384, ""en"", ""ja"")"),"この会話のOmemo暗号化を無効にしてもよろしいですか？\ Nthisは、サーバー管理者がメッセージを読み取ることを可能にしますが、古いクライアントを使用している人々と通信する唯一の方法かもしれません。")</f>
        <v>この会話のOmemo暗号化を無効にしてもよろしいですか？\ Nthisは、サーバー管理者がメッセージを読み取ることを可能にしますが、古いクライアントを使用している人々と通信する唯一の方法かもしれません。</v>
      </c>
      <c r="U384" s="7" t="str">
        <f>IFERROR(__xludf.DUMMYFUNCTION("GOOGLETRANSLATE(C384, ""en"", ""ko"")"),"이 대화에 대해 OMEMO 암호화를 사용하지 않으려고합니다. \ n 서버 관리자가 메시지를 읽을 수 있지만 오래된 클라이언트를 사용하여 사람들과 통신하는 유일한 방법 일 수 있습니다.")</f>
        <v>이 대화에 대해 OMEMO 암호화를 사용하지 않으려고합니다. \ n 서버 관리자가 메시지를 읽을 수 있지만 오래된 클라이언트를 사용하여 사람들과 통신하는 유일한 방법 일 수 있습니다.</v>
      </c>
      <c r="V384" s="7" t="str">
        <f>IFERROR(__xludf.DUMMYFUNCTION("GOOGLETRANSLATE(C384, ""en"", ""ms"")"),"Adakah anda pasti mahu melumpuhkan penyulitan omemo untuk perbualan ini? \ NThis akan membolehkan pentadbir pelayan anda membaca mesej anda, tetapi mungkin satu-satunya cara untuk berkomunikasi dengan orang yang menggunakan pelanggan yang sudah lapuk.")</f>
        <v>Adakah anda pasti mahu melumpuhkan penyulitan omemo untuk perbualan ini? \ NThis akan membolehkan pentadbir pelayan anda membaca mesej anda, tetapi mungkin satu-satunya cara untuk berkomunikasi dengan orang yang menggunakan pelanggan yang sudah lapuk.</v>
      </c>
      <c r="W384" s="1" t="s">
        <v>8423</v>
      </c>
      <c r="X384" s="7" t="str">
        <f>IFERROR(__xludf.DUMMYFUNCTION("GOOGLETRANSLATE(C384, ""en"", ""no"")"),"Er du sikker på at du vil deaktivere Omemo-kryptering for denne samtalen? \ NThis vil tillate serveradministratoren din å lese meldingene dine, men det kan være den eneste måten å kommunisere med folk som bruker utdaterte klienter.")</f>
        <v>Er du sikker på at du vil deaktivere Omemo-kryptering for denne samtalen? \ NThis vil tillate serveradministratoren din å lese meldingene dine, men det kan være den eneste måten å kommunisere med folk som bruker utdaterte klienter.</v>
      </c>
      <c r="Y384" s="1" t="s">
        <v>8424</v>
      </c>
      <c r="Z384" s="7" t="str">
        <f>IFERROR(__xludf.DUMMYFUNCTION("GOOGLETRANSLATE(C384, ""en"", ""pt"")"),"Tem certeza de que deseja desabilitar a criptografia OMEMO para essa conversa? \ NTis permitirá que seu administrador do servidor leia suas mensagens, mas pode ser a única maneira de se comunicar com pessoas usando clientes desatualizados.")</f>
        <v>Tem certeza de que deseja desabilitar a criptografia OMEMO para essa conversa? \ NTis permitirá que seu administrador do servidor leia suas mensagens, mas pode ser a única maneira de se comunicar com pessoas usando clientes desatualizados.</v>
      </c>
      <c r="AA384" s="7" t="str">
        <f>IFERROR(__xludf.DUMMYFUNCTION("GOOGLETRANSLATE(C384, ""en"", ""ro"")"),"Sunteți sigur că doriți să dezactivați criptarea Omemo pentru această conversație?")</f>
        <v>Sunteți sigur că doriți să dezactivați criptarea Omemo pentru această conversație?</v>
      </c>
      <c r="AB384" s="7" t="str">
        <f>IFERROR(__xludf.DUMMYFUNCTION("GOOGLETRANSLATE(C384, ""en"", ""ru"")"),"Вы уверены, что хотите отключить шифрование OmeMo для этого разговора? \ NTHIS позволит вашему администратору сервера прочитать ваши сообщения, но это может быть единственным способом общаться с людьми, использующими устаревшие клиенты.")</f>
        <v>Вы уверены, что хотите отключить шифрование OmeMo для этого разговора? \ NTHIS позволит вашему администратору сервера прочитать ваши сообщения, но это может быть единственным способом общаться с людьми, использующими устаревшие клиенты.</v>
      </c>
      <c r="AC384" s="7" t="str">
        <f>IFERROR(__xludf.DUMMYFUNCTION("GOOGLETRANSLATE(C384, ""en"", ""sk"")"),"Ste si istí, že chcete vypnúť šifrovanie OMEMO pre túto konverzáciu? NTHIS umožní vášmu správcovi servera prečítať vaše správy, ale môže to byť jediný spôsob, ako komunikovať s ľuďmi pomocou zastaraných klientov.")</f>
        <v>Ste si istí, že chcete vypnúť šifrovanie OMEMO pre túto konverzáciu? NTHIS umožní vášmu správcovi servera prečítať vaše správy, ale môže to byť jediný spôsob, ako komunikovať s ľuďmi pomocou zastaraných klientov.</v>
      </c>
      <c r="AD384" s="6" t="s">
        <v>132</v>
      </c>
      <c r="AE384" s="7" t="str">
        <f>IFERROR(__xludf.DUMMYFUNCTION("GOOGLETRANSLATE(C384, ""en"", ""sr"")"),"Јесте ли сигурни да желите да онемогућите ОМЕМО енкрипцију за овај разговор? \ НТХИС ће омогућити вашем администратору вашег сервера да прочита ваше поруке, али можда је једини начин да комуницира са људима који користе застареле клијенте.")</f>
        <v>Јесте ли сигурни да желите да онемогућите ОМЕМО енкрипцију за овај разговор? \ НТХИС ће омогућити вашем администратору вашег сервера да прочита ваше поруке, али можда је једини начин да комуницира са људима који користе застареле клијенте.</v>
      </c>
      <c r="AF384" s="7" t="str">
        <f>IFERROR(__xludf.DUMMYFUNCTION("GOOGLETRANSLATE(C384, ""en"", ""sv"")"),"Är du säker på att du vill inaktivera Omemo-kryptering för den här konversationen? \ NDetta låter din serveradministratör läsa dina meddelanden, men det kan vara det enda sättet att kommunicera med personer som använder föråldrade kunder.")</f>
        <v>Är du säker på att du vill inaktivera Omemo-kryptering för den här konversationen? \ NDetta låter din serveradministratör läsa dina meddelanden, men det kan vara det enda sättet att kommunicera med personer som använder föråldrade kunder.</v>
      </c>
      <c r="AG384" s="6" t="s">
        <v>132</v>
      </c>
      <c r="AH384" s="7" t="str">
        <f>IFERROR(__xludf.DUMMYFUNCTION("GOOGLETRANSLATE(C384, ""en"", ""tr"")"),"Bu sohbet için OMEMO şifrelemesini devre dışı bırakmak istediğinizden emin misiniz? \ Nthis, sunucu yöneticinizin mesajlarınızı okumasına izin verir, ancak eski istemcileri kullanan kişilerle iletişim kurmanın tek yolu olabilir.")</f>
        <v>Bu sohbet için OMEMO şifrelemesini devre dışı bırakmak istediğinizden emin misiniz? \ Nthis, sunucu yöneticinizin mesajlarınızı okumasına izin verir, ancak eski istemcileri kullanan kişilerle iletişim kurmanın tek yolu olabilir.</v>
      </c>
      <c r="AI384" s="6" t="s">
        <v>132</v>
      </c>
      <c r="AJ384" s="6" t="s">
        <v>132</v>
      </c>
      <c r="AK384" s="7" t="str">
        <f>IFERROR(__xludf.DUMMYFUNCTION("GOOGLETRANSLATE(C384, ""en"", ""zh"")"),"您确定要禁用此对话的omemo加密吗？\ nthis将允许您的服务器管理员阅读您的消息，但它可能是与使用过时客户端的人员通信的唯一方法。")</f>
        <v>您确定要禁用此对话的omemo加密吗？\ nthis将允许您的服务器管理员阅读您的消息，但它可能是与使用过时客户端的人员通信的唯一方法。</v>
      </c>
      <c r="AL384" s="6" t="s">
        <v>132</v>
      </c>
    </row>
    <row r="385" ht="15.75" hidden="1" customHeight="1">
      <c r="A385" s="1" t="s">
        <v>38</v>
      </c>
      <c r="B385" s="1" t="s">
        <v>8425</v>
      </c>
      <c r="C385" s="1" t="s">
        <v>8426</v>
      </c>
      <c r="D385" s="8" t="s">
        <v>8427</v>
      </c>
      <c r="E385" s="1" t="s">
        <v>8428</v>
      </c>
      <c r="F385" s="6" t="s">
        <v>8429</v>
      </c>
      <c r="G385" s="7" t="str">
        <f>IFERROR(__xludf.DUMMYFUNCTION("GOOGLETRANSLATE(C385, ""en"", ""cs"")"),"Certifikát neobsahuje Jabber ID")</f>
        <v>Certifikát neobsahuje Jabber ID</v>
      </c>
      <c r="H385" s="7" t="str">
        <f>IFERROR(__xludf.DUMMYFUNCTION("GOOGLETRANSLATE(C385, ""en"", ""da"")"),"Certifikat indeholder ikke et jabber-id")</f>
        <v>Certifikat indeholder ikke et jabber-id</v>
      </c>
      <c r="I385" s="1" t="s">
        <v>8430</v>
      </c>
      <c r="J385" s="6" t="s">
        <v>132</v>
      </c>
      <c r="K385" s="1" t="s">
        <v>8431</v>
      </c>
      <c r="L385" s="7" t="str">
        <f>IFERROR(__xludf.DUMMYFUNCTION("GOOGLETRANSLATE(C385, ""en"", ""fi"")"),"Varmenne ei sisällä Jabber-tunnusta")</f>
        <v>Varmenne ei sisällä Jabber-tunnusta</v>
      </c>
      <c r="M385" s="1" t="s">
        <v>8432</v>
      </c>
      <c r="N385" s="6" t="s">
        <v>8433</v>
      </c>
      <c r="O385" s="6" t="s">
        <v>132</v>
      </c>
      <c r="P385" s="1" t="s">
        <v>8434</v>
      </c>
      <c r="Q385" s="7" t="str">
        <f>IFERROR(__xludf.DUMMYFUNCTION("GOOGLETRANSLATE(C385, ""en"", ""in"")"),"Sertifikat tidak mengandung ID Jabber")</f>
        <v>Sertifikat tidak mengandung ID Jabber</v>
      </c>
      <c r="R385" s="1" t="s">
        <v>8435</v>
      </c>
      <c r="S385" s="6" t="s">
        <v>132</v>
      </c>
      <c r="T385" s="1" t="s">
        <v>8436</v>
      </c>
      <c r="U385" s="7" t="str">
        <f>IFERROR(__xludf.DUMMYFUNCTION("GOOGLETRANSLATE(C385, ""en"", ""ko"")"),"인증서에는 Jabber ID가 포함되어 있지 않습니다")</f>
        <v>인증서에는 Jabber ID가 포함되어 있지 않습니다</v>
      </c>
      <c r="V385" s="7" t="str">
        <f>IFERROR(__xludf.DUMMYFUNCTION("GOOGLETRANSLATE(C385, ""en"", ""ms"")"),"Sijil tidak mengandungi ID Jabber")</f>
        <v>Sijil tidak mengandungi ID Jabber</v>
      </c>
      <c r="W385" s="1" t="s">
        <v>8437</v>
      </c>
      <c r="X385" s="7" t="str">
        <f>IFERROR(__xludf.DUMMYFUNCTION("GOOGLETRANSLATE(C385, ""en"", ""no"")"),"Sertifikatet inneholder ikke en Jabber ID")</f>
        <v>Sertifikatet inneholder ikke en Jabber ID</v>
      </c>
      <c r="Y385" s="1" t="s">
        <v>8438</v>
      </c>
      <c r="Z385" s="7" t="str">
        <f>IFERROR(__xludf.DUMMYFUNCTION("GOOGLETRANSLATE(C385, ""en"", ""pt"")"),"O certificado não contém um id de jabber")</f>
        <v>O certificado não contém um id de jabber</v>
      </c>
      <c r="AA385" s="7" t="str">
        <f>IFERROR(__xludf.DUMMYFUNCTION("GOOGLETRANSLATE(C385, ""en"", ""ro"")"),"Certificatul nu conține un ID Jabber")</f>
        <v>Certificatul nu conține un ID Jabber</v>
      </c>
      <c r="AB385" s="1" t="s">
        <v>8439</v>
      </c>
      <c r="AC385" s="7" t="str">
        <f>IFERROR(__xludf.DUMMYFUNCTION("GOOGLETRANSLATE(C385, ""en"", ""sk"")"),"Certifikát neobsahuje ID Jabber")</f>
        <v>Certifikát neobsahuje ID Jabber</v>
      </c>
      <c r="AD385" s="6" t="s">
        <v>132</v>
      </c>
      <c r="AE385" s="1" t="s">
        <v>8440</v>
      </c>
      <c r="AF385" s="7" t="str">
        <f>IFERROR(__xludf.DUMMYFUNCTION("GOOGLETRANSLATE(C385, ""en"", ""sv"")"),"Certifikatet innehåller inte ett Jabber-ID")</f>
        <v>Certifikatet innehåller inte ett Jabber-ID</v>
      </c>
      <c r="AG385" s="6" t="s">
        <v>132</v>
      </c>
      <c r="AH385" s="7" t="str">
        <f>IFERROR(__xludf.DUMMYFUNCTION("GOOGLETRANSLATE(C385, ""en"", ""tr"")"),"Sertifika bir jabber kimliği içermiyor")</f>
        <v>Sertifika bir jabber kimliği içermiyor</v>
      </c>
      <c r="AI385" s="6" t="s">
        <v>8441</v>
      </c>
      <c r="AJ385" s="6" t="s">
        <v>132</v>
      </c>
      <c r="AK385" s="7" t="str">
        <f>IFERROR(__xludf.DUMMYFUNCTION("GOOGLETRANSLATE(C385, ""en"", ""zh"")"),"证书不包含jabber ID")</f>
        <v>证书不包含jabber ID</v>
      </c>
      <c r="AL385" s="6" t="s">
        <v>132</v>
      </c>
    </row>
    <row r="386" ht="15.75" customHeight="1">
      <c r="A386" s="1" t="s">
        <v>127</v>
      </c>
      <c r="B386" s="1" t="s">
        <v>8442</v>
      </c>
      <c r="C386" s="1" t="s">
        <v>4418</v>
      </c>
      <c r="D386" s="8" t="s">
        <v>4419</v>
      </c>
      <c r="E386" s="1" t="s">
        <v>4420</v>
      </c>
      <c r="F386" s="6" t="s">
        <v>132</v>
      </c>
      <c r="G386" s="1" t="s">
        <v>4421</v>
      </c>
      <c r="H386" s="1" t="s">
        <v>4422</v>
      </c>
      <c r="I386" s="1" t="s">
        <v>4423</v>
      </c>
      <c r="J386" s="6" t="s">
        <v>4424</v>
      </c>
      <c r="K386" s="1" t="s">
        <v>4425</v>
      </c>
      <c r="L386" s="1" t="s">
        <v>4426</v>
      </c>
      <c r="M386" s="1" t="s">
        <v>4427</v>
      </c>
      <c r="N386" s="6" t="s">
        <v>132</v>
      </c>
      <c r="O386" s="6" t="s">
        <v>4428</v>
      </c>
      <c r="P386" s="1" t="s">
        <v>4429</v>
      </c>
      <c r="Q386" s="1" t="s">
        <v>4430</v>
      </c>
      <c r="R386" s="1" t="s">
        <v>4431</v>
      </c>
      <c r="S386" s="10" t="s">
        <v>4432</v>
      </c>
      <c r="T386" s="1" t="s">
        <v>4433</v>
      </c>
      <c r="U386" s="1" t="s">
        <v>4434</v>
      </c>
      <c r="V386" s="1" t="s">
        <v>4430</v>
      </c>
      <c r="W386" s="1" t="s">
        <v>4435</v>
      </c>
      <c r="X386" s="1" t="s">
        <v>4436</v>
      </c>
      <c r="Y386" s="1" t="s">
        <v>4437</v>
      </c>
      <c r="Z386" s="1" t="s">
        <v>4438</v>
      </c>
      <c r="AA386" s="1" t="s">
        <v>4439</v>
      </c>
      <c r="AB386" s="1" t="s">
        <v>4440</v>
      </c>
      <c r="AC386" s="1" t="s">
        <v>4421</v>
      </c>
      <c r="AD386" s="6" t="s">
        <v>132</v>
      </c>
      <c r="AE386" s="1" t="s">
        <v>4442</v>
      </c>
      <c r="AF386" s="1" t="s">
        <v>4422</v>
      </c>
      <c r="AG386" s="6" t="s">
        <v>4443</v>
      </c>
      <c r="AH386" s="1" t="s">
        <v>8443</v>
      </c>
      <c r="AI386" s="6" t="s">
        <v>132</v>
      </c>
      <c r="AJ386" s="6" t="s">
        <v>4445</v>
      </c>
      <c r="AK386" s="1" t="s">
        <v>4446</v>
      </c>
      <c r="AL386" s="6" t="s">
        <v>4447</v>
      </c>
    </row>
    <row r="387" ht="15.75" hidden="1" customHeight="1">
      <c r="A387" s="1" t="s">
        <v>38</v>
      </c>
      <c r="B387" s="1" t="s">
        <v>8444</v>
      </c>
      <c r="C387" s="1" t="s">
        <v>8445</v>
      </c>
      <c r="D387" s="8" t="s">
        <v>8446</v>
      </c>
      <c r="E387" s="1" t="s">
        <v>8447</v>
      </c>
      <c r="F387" s="6" t="s">
        <v>8448</v>
      </c>
      <c r="G387" s="7" t="str">
        <f>IFERROR(__xludf.DUMMYFUNCTION("GOOGLETRANSLATE(C387, ""en"", ""cs"")"),"% s do tohoto bodu")</f>
        <v>% s do tohoto bodu</v>
      </c>
      <c r="H387" s="7" t="str">
        <f>IFERROR(__xludf.DUMMYFUNCTION("GOOGLETRANSLATE(C387, ""en"", ""da"")"),"% s har læst op til dette punkt")</f>
        <v>% s har læst op til dette punkt</v>
      </c>
      <c r="I387" s="1" t="s">
        <v>8449</v>
      </c>
      <c r="J387" s="6" t="s">
        <v>132</v>
      </c>
      <c r="K387" s="1" t="s">
        <v>8450</v>
      </c>
      <c r="L387" s="7" t="str">
        <f>IFERROR(__xludf.DUMMYFUNCTION("GOOGLETRANSLATE(C387, ""en"", ""fi"")"),"% s on lukenut tähän pisteeseen")</f>
        <v>% s on lukenut tähän pisteeseen</v>
      </c>
      <c r="M387" s="1" t="s">
        <v>8451</v>
      </c>
      <c r="N387" s="6" t="s">
        <v>8452</v>
      </c>
      <c r="O387" s="6" t="s">
        <v>132</v>
      </c>
      <c r="P387" s="1" t="s">
        <v>8453</v>
      </c>
      <c r="Q387" s="7" t="str">
        <f>IFERROR(__xludf.DUMMYFUNCTION("GOOGLETRANSLATE(C387, ""en"", ""in"")"),"% s telah membaca sampai titik ini")</f>
        <v>% s telah membaca sampai titik ini</v>
      </c>
      <c r="R387" s="1" t="s">
        <v>8454</v>
      </c>
      <c r="S387" s="6" t="s">
        <v>132</v>
      </c>
      <c r="T387" s="7" t="str">
        <f>IFERROR(__xludf.DUMMYFUNCTION("GOOGLETRANSLATE(C387, ""en"", ""ja"")"),"％sはこの点まで読みました")</f>
        <v>％sはこの点まで読みました</v>
      </c>
      <c r="U387" s="7" t="str">
        <f>IFERROR(__xludf.DUMMYFUNCTION("GOOGLETRANSLATE(C387, ""en"", ""ko"")"),"% s 가이 시점까지 읽었습니다")</f>
        <v>% s 가이 시점까지 읽었습니다</v>
      </c>
      <c r="V387" s="7" t="str">
        <f>IFERROR(__xludf.DUMMYFUNCTION("GOOGLETRANSLATE(C387, ""en"", ""ms"")"),"% s telah membaca sehingga titik ini")</f>
        <v>% s telah membaca sehingga titik ini</v>
      </c>
      <c r="W387" s="1" t="s">
        <v>8455</v>
      </c>
      <c r="X387" s="7" t="str">
        <f>IFERROR(__xludf.DUMMYFUNCTION("GOOGLETRANSLATE(C387, ""en"", ""no"")"),"% s har lest opp til dette punktet")</f>
        <v>% s har lest opp til dette punktet</v>
      </c>
      <c r="Y387" s="1" t="s">
        <v>8456</v>
      </c>
      <c r="Z387" s="7" t="str">
        <f>IFERROR(__xludf.DUMMYFUNCTION("GOOGLETRANSLATE(C387, ""en"", ""pt"")"),"% s leram até este ponto")</f>
        <v>% s leram até este ponto</v>
      </c>
      <c r="AA387" s="7" t="str">
        <f>IFERROR(__xludf.DUMMYFUNCTION("GOOGLETRANSLATE(C387, ""en"", ""ro"")"),"% s au citit până la acest punct")</f>
        <v>% s au citit până la acest punct</v>
      </c>
      <c r="AB387" s="1" t="s">
        <v>8457</v>
      </c>
      <c r="AC387" s="7" t="str">
        <f>IFERROR(__xludf.DUMMYFUNCTION("GOOGLETRANSLATE(C387, ""en"", ""sk"")"),"% s čítaním do tohto bodu")</f>
        <v>% s čítaním do tohto bodu</v>
      </c>
      <c r="AD387" s="6" t="s">
        <v>132</v>
      </c>
      <c r="AE387" s="1" t="s">
        <v>8458</v>
      </c>
      <c r="AF387" s="7" t="str">
        <f>IFERROR(__xludf.DUMMYFUNCTION("GOOGLETRANSLATE(C387, ""en"", ""sv"")"),"% s har läst upp till denna punkt")</f>
        <v>% s har läst upp till denna punkt</v>
      </c>
      <c r="AG387" s="6" t="s">
        <v>132</v>
      </c>
      <c r="AH387" s="7" t="str">
        <f>IFERROR(__xludf.DUMMYFUNCTION("GOOGLETRANSLATE(C387, ""en"", ""tr"")"),"% s bu noktaya kadar okudu")</f>
        <v>% s bu noktaya kadar okudu</v>
      </c>
      <c r="AI387" s="6" t="s">
        <v>132</v>
      </c>
      <c r="AJ387" s="6" t="s">
        <v>132</v>
      </c>
      <c r="AK387" s="7" t="str">
        <f>IFERROR(__xludf.DUMMYFUNCTION("GOOGLETRANSLATE(C387, ""en"", ""zh"")"),"％s已读到这一点")</f>
        <v>％s已读到这一点</v>
      </c>
      <c r="AL387" s="6" t="s">
        <v>132</v>
      </c>
    </row>
    <row r="388" ht="15.75" hidden="1" customHeight="1">
      <c r="A388" s="1" t="s">
        <v>38</v>
      </c>
      <c r="B388" s="1" t="s">
        <v>8459</v>
      </c>
      <c r="C388" s="1" t="s">
        <v>8460</v>
      </c>
      <c r="D388" s="7" t="str">
        <f>IFERROR(__xludf.DUMMYFUNCTION("GOOGLETRANSLATE(C388, ""en"", ""ar"")"),"سويسرا")</f>
        <v>سويسرا</v>
      </c>
      <c r="E388" s="7" t="str">
        <f>IFERROR(__xludf.DUMMYFUNCTION("GOOGLETRANSLATE(C388, ""en"", ""bg"")"),"Швейцария")</f>
        <v>Швейцария</v>
      </c>
      <c r="F388" s="6" t="s">
        <v>132</v>
      </c>
      <c r="G388" s="7" t="str">
        <f>IFERROR(__xludf.DUMMYFUNCTION("GOOGLETRANSLATE(C388, ""en"", ""cs"")"),"Švýcarsko")</f>
        <v>Švýcarsko</v>
      </c>
      <c r="H388" s="7" t="str">
        <f>IFERROR(__xludf.DUMMYFUNCTION("GOOGLETRANSLATE(C388, ""en"", ""da"")"),"Schweiz")</f>
        <v>Schweiz</v>
      </c>
      <c r="I388" s="1" t="s">
        <v>8461</v>
      </c>
      <c r="J388" s="6" t="s">
        <v>132</v>
      </c>
      <c r="K388" s="1" t="s">
        <v>8462</v>
      </c>
      <c r="L388" s="7" t="str">
        <f>IFERROR(__xludf.DUMMYFUNCTION("GOOGLETRANSLATE(C388, ""en"", ""fi"")"),"Sveitsi")</f>
        <v>Sveitsi</v>
      </c>
      <c r="M388" s="1" t="s">
        <v>8463</v>
      </c>
      <c r="N388" s="6" t="s">
        <v>132</v>
      </c>
      <c r="O388" s="6" t="s">
        <v>132</v>
      </c>
      <c r="P388" s="1" t="s">
        <v>8460</v>
      </c>
      <c r="Q388" s="7" t="str">
        <f>IFERROR(__xludf.DUMMYFUNCTION("GOOGLETRANSLATE(C388, ""en"", ""in"")"),"Swiss.")</f>
        <v>Swiss.</v>
      </c>
      <c r="R388" s="7" t="str">
        <f>IFERROR(__xludf.DUMMYFUNCTION("GOOGLETRANSLATE(C388, ""en"", ""it"")"),"Svizzera")</f>
        <v>Svizzera</v>
      </c>
      <c r="S388" s="6" t="s">
        <v>132</v>
      </c>
      <c r="T388" s="7" t="str">
        <f>IFERROR(__xludf.DUMMYFUNCTION("GOOGLETRANSLATE(C388, ""en"", ""ja"")"),"スイス")</f>
        <v>スイス</v>
      </c>
      <c r="U388" s="7" t="str">
        <f>IFERROR(__xludf.DUMMYFUNCTION("GOOGLETRANSLATE(C388, ""en"", ""ko"")"),"스위스")</f>
        <v>스위스</v>
      </c>
      <c r="V388" s="7" t="str">
        <f>IFERROR(__xludf.DUMMYFUNCTION("GOOGLETRANSLATE(C388, ""en"", ""ms"")"),"Switzerland.")</f>
        <v>Switzerland.</v>
      </c>
      <c r="W388" s="7" t="str">
        <f>IFERROR(__xludf.DUMMYFUNCTION("GOOGLETRANSLATE(C388, ""en"", ""nl"")"),"Zwitserland")</f>
        <v>Zwitserland</v>
      </c>
      <c r="X388" s="7" t="str">
        <f>IFERROR(__xludf.DUMMYFUNCTION("GOOGLETRANSLATE(C388, ""en"", ""no"")"),"Sveits")</f>
        <v>Sveits</v>
      </c>
      <c r="Y388" s="7" t="str">
        <f>IFERROR(__xludf.DUMMYFUNCTION("GOOGLETRANSLATE(C388, ""en"", ""pl"")"),"Szwajcaria")</f>
        <v>Szwajcaria</v>
      </c>
      <c r="Z388" s="7" t="str">
        <f>IFERROR(__xludf.DUMMYFUNCTION("GOOGLETRANSLATE(C388, ""en"", ""pt"")"),"Suíça")</f>
        <v>Suíça</v>
      </c>
      <c r="AA388" s="7" t="str">
        <f>IFERROR(__xludf.DUMMYFUNCTION("GOOGLETRANSLATE(C388, ""en"", ""ro"")"),"Elveţia")</f>
        <v>Elveţia</v>
      </c>
      <c r="AB388" s="1" t="s">
        <v>8464</v>
      </c>
      <c r="AC388" s="7" t="str">
        <f>IFERROR(__xludf.DUMMYFUNCTION("GOOGLETRANSLATE(C388, ""en"", ""sk"")"),"Švajčiarsko")</f>
        <v>Švajčiarsko</v>
      </c>
      <c r="AD388" s="6" t="s">
        <v>132</v>
      </c>
      <c r="AE388" s="1" t="s">
        <v>8465</v>
      </c>
      <c r="AF388" s="7" t="str">
        <f>IFERROR(__xludf.DUMMYFUNCTION("GOOGLETRANSLATE(C388, ""en"", ""sv"")"),"Switzerland")</f>
        <v>Switzerland</v>
      </c>
      <c r="AG388" s="6" t="s">
        <v>132</v>
      </c>
      <c r="AH388" s="7" t="str">
        <f>IFERROR(__xludf.DUMMYFUNCTION("GOOGLETRANSLATE(C388, ""en"", ""tr"")"),"İsviçre")</f>
        <v>İsviçre</v>
      </c>
      <c r="AI388" s="6" t="s">
        <v>132</v>
      </c>
      <c r="AJ388" s="6" t="s">
        <v>132</v>
      </c>
      <c r="AK388" s="7" t="str">
        <f>IFERROR(__xludf.DUMMYFUNCTION("GOOGLETRANSLATE(C388, ""en"", ""zh"")"),"瑞士")</f>
        <v>瑞士</v>
      </c>
      <c r="AL388" s="6" t="s">
        <v>132</v>
      </c>
    </row>
    <row r="389" ht="15.75" customHeight="1">
      <c r="A389" s="1" t="s">
        <v>127</v>
      </c>
      <c r="B389" s="1" t="s">
        <v>8466</v>
      </c>
      <c r="C389" s="1" t="s">
        <v>8467</v>
      </c>
      <c r="D389" s="8" t="s">
        <v>8468</v>
      </c>
      <c r="E389" s="1" t="s">
        <v>8469</v>
      </c>
      <c r="F389" s="6" t="s">
        <v>132</v>
      </c>
      <c r="G389" s="1" t="s">
        <v>8470</v>
      </c>
      <c r="H389" s="1" t="s">
        <v>8471</v>
      </c>
      <c r="I389" s="1" t="s">
        <v>8472</v>
      </c>
      <c r="J389" s="6" t="s">
        <v>8473</v>
      </c>
      <c r="K389" s="1" t="s">
        <v>8474</v>
      </c>
      <c r="L389" s="1" t="s">
        <v>8475</v>
      </c>
      <c r="M389" s="1" t="s">
        <v>8476</v>
      </c>
      <c r="N389" s="6" t="s">
        <v>132</v>
      </c>
      <c r="O389" s="6" t="s">
        <v>8477</v>
      </c>
      <c r="P389" s="1" t="s">
        <v>8478</v>
      </c>
      <c r="Q389" s="1" t="s">
        <v>8479</v>
      </c>
      <c r="R389" s="1" t="s">
        <v>8480</v>
      </c>
      <c r="S389" s="10" t="s">
        <v>8481</v>
      </c>
      <c r="T389" s="1" t="s">
        <v>8482</v>
      </c>
      <c r="U389" s="1" t="s">
        <v>8483</v>
      </c>
      <c r="V389" s="1" t="s">
        <v>8484</v>
      </c>
      <c r="W389" s="1" t="s">
        <v>8485</v>
      </c>
      <c r="X389" s="1" t="s">
        <v>8471</v>
      </c>
      <c r="Y389" s="1" t="s">
        <v>8486</v>
      </c>
      <c r="Z389" s="1" t="s">
        <v>8487</v>
      </c>
      <c r="AA389" s="1" t="s">
        <v>8488</v>
      </c>
      <c r="AB389" s="1" t="s">
        <v>8489</v>
      </c>
      <c r="AC389" s="1" t="s">
        <v>8490</v>
      </c>
      <c r="AD389" s="6" t="s">
        <v>132</v>
      </c>
      <c r="AE389" s="1" t="s">
        <v>8491</v>
      </c>
      <c r="AF389" s="1" t="s">
        <v>8492</v>
      </c>
      <c r="AG389" s="6" t="s">
        <v>8493</v>
      </c>
      <c r="AH389" s="1" t="s">
        <v>8494</v>
      </c>
      <c r="AI389" s="6" t="s">
        <v>132</v>
      </c>
      <c r="AJ389" s="6" t="s">
        <v>8495</v>
      </c>
      <c r="AK389" s="1" t="s">
        <v>8496</v>
      </c>
      <c r="AL389" s="6" t="s">
        <v>132</v>
      </c>
    </row>
    <row r="390" ht="15.75" customHeight="1">
      <c r="A390" s="1" t="s">
        <v>127</v>
      </c>
      <c r="B390" s="1" t="s">
        <v>8497</v>
      </c>
      <c r="C390" s="1" t="s">
        <v>8498</v>
      </c>
      <c r="D390" s="8" t="s">
        <v>8499</v>
      </c>
      <c r="E390" s="1" t="s">
        <v>8500</v>
      </c>
      <c r="F390" s="6" t="s">
        <v>132</v>
      </c>
      <c r="G390" s="1" t="s">
        <v>8501</v>
      </c>
      <c r="H390" s="1" t="s">
        <v>8502</v>
      </c>
      <c r="I390" s="1" t="s">
        <v>8503</v>
      </c>
      <c r="J390" s="6" t="s">
        <v>8504</v>
      </c>
      <c r="K390" s="1" t="s">
        <v>8505</v>
      </c>
      <c r="L390" s="1" t="s">
        <v>8506</v>
      </c>
      <c r="M390" s="1" t="s">
        <v>8507</v>
      </c>
      <c r="N390" s="6" t="s">
        <v>132</v>
      </c>
      <c r="O390" s="6" t="s">
        <v>8508</v>
      </c>
      <c r="P390" s="1" t="s">
        <v>8509</v>
      </c>
      <c r="Q390" s="1" t="s">
        <v>8510</v>
      </c>
      <c r="R390" s="1" t="s">
        <v>8511</v>
      </c>
      <c r="S390" s="10" t="s">
        <v>8512</v>
      </c>
      <c r="T390" s="1" t="s">
        <v>8513</v>
      </c>
      <c r="U390" s="1" t="s">
        <v>8514</v>
      </c>
      <c r="V390" s="1" t="s">
        <v>8515</v>
      </c>
      <c r="W390" s="1" t="s">
        <v>8516</v>
      </c>
      <c r="X390" s="1" t="s">
        <v>8517</v>
      </c>
      <c r="Y390" s="1" t="s">
        <v>8518</v>
      </c>
      <c r="Z390" s="1" t="s">
        <v>8519</v>
      </c>
      <c r="AA390" s="1" t="s">
        <v>8520</v>
      </c>
      <c r="AB390" s="1" t="s">
        <v>8521</v>
      </c>
      <c r="AC390" s="1" t="s">
        <v>8522</v>
      </c>
      <c r="AD390" s="6" t="s">
        <v>132</v>
      </c>
      <c r="AE390" s="1" t="s">
        <v>8523</v>
      </c>
      <c r="AF390" s="1" t="s">
        <v>8524</v>
      </c>
      <c r="AG390" s="6" t="s">
        <v>8525</v>
      </c>
      <c r="AH390" s="1" t="s">
        <v>8526</v>
      </c>
      <c r="AI390" s="6" t="s">
        <v>132</v>
      </c>
      <c r="AJ390" s="6" t="s">
        <v>8527</v>
      </c>
      <c r="AK390" s="7" t="str">
        <f>IFERROR(__xludf.DUMMYFUNCTION("GOOGLETRANSLATE(C390, ""en"", ""zh"")"),"刷新更多信息，如组成和比率！")</f>
        <v>刷新更多信息，如组成和比率！</v>
      </c>
      <c r="AL390" s="6" t="s">
        <v>132</v>
      </c>
    </row>
    <row r="391" ht="15.75" customHeight="1">
      <c r="A391" s="1" t="s">
        <v>8528</v>
      </c>
      <c r="B391" s="1" t="s">
        <v>8529</v>
      </c>
      <c r="C391" s="1" t="s">
        <v>8530</v>
      </c>
      <c r="D391" s="8" t="s">
        <v>8531</v>
      </c>
      <c r="E391" s="1" t="s">
        <v>8532</v>
      </c>
      <c r="F391" s="6" t="s">
        <v>132</v>
      </c>
      <c r="G391" s="1" t="s">
        <v>8533</v>
      </c>
      <c r="H391" s="1" t="s">
        <v>8534</v>
      </c>
      <c r="I391" s="7" t="str">
        <f>IFERROR(__xludf.DUMMYFUNCTION("GOOGLETRANSLATE(C391, ""en"", ""de"")"),"Huawei Assistant")</f>
        <v>Huawei Assistant</v>
      </c>
      <c r="J391" s="6" t="s">
        <v>8535</v>
      </c>
      <c r="K391" s="7" t="str">
        <f>IFERROR(__xludf.DUMMYFUNCTION("GOOGLETRANSLATE(C391, ""en"", ""es"")"),"Asistente de Huawei")</f>
        <v>Asistente de Huawei</v>
      </c>
      <c r="L391" s="1" t="s">
        <v>8536</v>
      </c>
      <c r="M391" s="1" t="s">
        <v>8537</v>
      </c>
      <c r="N391" s="6" t="s">
        <v>132</v>
      </c>
      <c r="O391" s="6" t="s">
        <v>8538</v>
      </c>
      <c r="P391" s="1" t="s">
        <v>8539</v>
      </c>
      <c r="Q391" s="1" t="s">
        <v>8540</v>
      </c>
      <c r="R391" s="1" t="s">
        <v>8541</v>
      </c>
      <c r="S391" s="10" t="s">
        <v>8542</v>
      </c>
      <c r="T391" s="1" t="s">
        <v>8530</v>
      </c>
      <c r="U391" s="1" t="s">
        <v>8543</v>
      </c>
      <c r="V391" s="1" t="s">
        <v>8530</v>
      </c>
      <c r="W391" s="1" t="s">
        <v>8530</v>
      </c>
      <c r="X391" s="1" t="s">
        <v>8544</v>
      </c>
      <c r="Y391" s="11" t="s">
        <v>8530</v>
      </c>
      <c r="Z391" s="1" t="s">
        <v>8545</v>
      </c>
      <c r="AA391" s="1" t="s">
        <v>8533</v>
      </c>
      <c r="AB391" s="7" t="str">
        <f>IFERROR(__xludf.DUMMYFUNCTION("GOOGLETRANSLATE(C391, ""en"", ""ru"")"),"Помощник Huawei")</f>
        <v>Помощник Huawei</v>
      </c>
      <c r="AC391" s="1" t="s">
        <v>8533</v>
      </c>
      <c r="AD391" s="6" t="s">
        <v>8546</v>
      </c>
      <c r="AE391" s="7" t="str">
        <f>IFERROR(__xludf.DUMMYFUNCTION("GOOGLETRANSLATE(C391, ""en"", ""sr"")"),"Хуавеи асистент")</f>
        <v>Хуавеи асистент</v>
      </c>
      <c r="AF391" s="1" t="s">
        <v>8530</v>
      </c>
      <c r="AG391" s="6" t="s">
        <v>8547</v>
      </c>
      <c r="AH391" s="1" t="s">
        <v>8548</v>
      </c>
      <c r="AI391" s="6" t="s">
        <v>132</v>
      </c>
      <c r="AJ391" s="6" t="s">
        <v>8549</v>
      </c>
      <c r="AK391" s="14" t="s">
        <v>8550</v>
      </c>
      <c r="AL391" s="6" t="s">
        <v>132</v>
      </c>
    </row>
    <row r="392" ht="15.75" customHeight="1">
      <c r="A392" s="1" t="s">
        <v>127</v>
      </c>
      <c r="B392" s="1" t="s">
        <v>8551</v>
      </c>
      <c r="C392" s="1" t="s">
        <v>8552</v>
      </c>
      <c r="D392" s="8" t="s">
        <v>8553</v>
      </c>
      <c r="E392" s="1" t="s">
        <v>8554</v>
      </c>
      <c r="F392" s="6" t="s">
        <v>132</v>
      </c>
      <c r="G392" s="1" t="s">
        <v>8555</v>
      </c>
      <c r="H392" s="1" t="s">
        <v>8556</v>
      </c>
      <c r="I392" s="1" t="s">
        <v>8557</v>
      </c>
      <c r="J392" s="6" t="s">
        <v>8558</v>
      </c>
      <c r="K392" s="13" t="s">
        <v>8559</v>
      </c>
      <c r="L392" s="1" t="s">
        <v>8560</v>
      </c>
      <c r="M392" s="1" t="s">
        <v>8561</v>
      </c>
      <c r="N392" s="6" t="s">
        <v>132</v>
      </c>
      <c r="O392" s="6" t="s">
        <v>8562</v>
      </c>
      <c r="P392" s="13" t="s">
        <v>8563</v>
      </c>
      <c r="Q392" s="1" t="s">
        <v>8564</v>
      </c>
      <c r="R392" s="1" t="s">
        <v>8565</v>
      </c>
      <c r="S392" s="10" t="s">
        <v>8566</v>
      </c>
      <c r="T392" s="1" t="s">
        <v>8567</v>
      </c>
      <c r="U392" s="1" t="s">
        <v>8568</v>
      </c>
      <c r="V392" s="1" t="s">
        <v>8564</v>
      </c>
      <c r="W392" s="1" t="s">
        <v>8569</v>
      </c>
      <c r="X392" s="1" t="s">
        <v>8556</v>
      </c>
      <c r="Y392" s="1" t="s">
        <v>8563</v>
      </c>
      <c r="Z392" s="13" t="s">
        <v>8559</v>
      </c>
      <c r="AA392" s="1" t="s">
        <v>8570</v>
      </c>
      <c r="AB392" s="1" t="s">
        <v>8571</v>
      </c>
      <c r="AC392" s="1" t="s">
        <v>8572</v>
      </c>
      <c r="AD392" s="6" t="s">
        <v>8573</v>
      </c>
      <c r="AE392" s="13" t="s">
        <v>8563</v>
      </c>
      <c r="AF392" s="1" t="s">
        <v>8574</v>
      </c>
      <c r="AG392" s="6" t="s">
        <v>8575</v>
      </c>
      <c r="AH392" s="1" t="s">
        <v>8576</v>
      </c>
      <c r="AI392" s="6" t="s">
        <v>132</v>
      </c>
      <c r="AJ392" s="6" t="s">
        <v>8577</v>
      </c>
      <c r="AK392" s="1" t="s">
        <v>8578</v>
      </c>
      <c r="AL392" s="6" t="s">
        <v>8579</v>
      </c>
    </row>
    <row r="393" ht="15.75" customHeight="1">
      <c r="A393" s="1" t="s">
        <v>127</v>
      </c>
      <c r="B393" s="1" t="s">
        <v>8580</v>
      </c>
      <c r="C393" s="1" t="s">
        <v>8581</v>
      </c>
      <c r="D393" s="8" t="s">
        <v>8582</v>
      </c>
      <c r="E393" s="1" t="s">
        <v>8583</v>
      </c>
      <c r="F393" s="6" t="s">
        <v>132</v>
      </c>
      <c r="G393" s="1" t="s">
        <v>8584</v>
      </c>
      <c r="H393" s="1" t="s">
        <v>8585</v>
      </c>
      <c r="I393" s="1" t="s">
        <v>8586</v>
      </c>
      <c r="J393" s="6" t="s">
        <v>8587</v>
      </c>
      <c r="K393" s="1" t="s">
        <v>8588</v>
      </c>
      <c r="L393" s="1" t="s">
        <v>8589</v>
      </c>
      <c r="M393" s="1" t="s">
        <v>8590</v>
      </c>
      <c r="N393" s="6" t="s">
        <v>132</v>
      </c>
      <c r="O393" s="6" t="s">
        <v>8591</v>
      </c>
      <c r="P393" s="1" t="s">
        <v>8592</v>
      </c>
      <c r="Q393" s="1" t="s">
        <v>8593</v>
      </c>
      <c r="R393" s="1" t="s">
        <v>8594</v>
      </c>
      <c r="S393" s="10" t="s">
        <v>8595</v>
      </c>
      <c r="T393" s="1" t="s">
        <v>8596</v>
      </c>
      <c r="U393" s="1" t="s">
        <v>8597</v>
      </c>
      <c r="V393" s="1" t="s">
        <v>8598</v>
      </c>
      <c r="W393" s="1" t="s">
        <v>8599</v>
      </c>
      <c r="X393" s="1" t="s">
        <v>8600</v>
      </c>
      <c r="Y393" s="1" t="s">
        <v>8601</v>
      </c>
      <c r="Z393" s="1" t="s">
        <v>8602</v>
      </c>
      <c r="AA393" s="1" t="s">
        <v>8603</v>
      </c>
      <c r="AB393" s="1" t="s">
        <v>8604</v>
      </c>
      <c r="AC393" s="1" t="s">
        <v>8605</v>
      </c>
      <c r="AD393" s="6" t="s">
        <v>8606</v>
      </c>
      <c r="AE393" s="1" t="s">
        <v>8607</v>
      </c>
      <c r="AF393" s="1" t="s">
        <v>8608</v>
      </c>
      <c r="AG393" s="6" t="s">
        <v>8609</v>
      </c>
      <c r="AH393" s="1" t="s">
        <v>8610</v>
      </c>
      <c r="AI393" s="6" t="s">
        <v>132</v>
      </c>
      <c r="AJ393" s="6" t="s">
        <v>8611</v>
      </c>
      <c r="AK393" s="1" t="s">
        <v>8612</v>
      </c>
      <c r="AL393" s="6" t="s">
        <v>132</v>
      </c>
    </row>
    <row r="394" ht="15.75" hidden="1" customHeight="1">
      <c r="A394" s="1" t="s">
        <v>38</v>
      </c>
      <c r="B394" s="1" t="s">
        <v>8613</v>
      </c>
      <c r="C394" s="1" t="s">
        <v>8614</v>
      </c>
      <c r="D394" s="7" t="str">
        <f>IFERROR(__xludf.DUMMYFUNCTION("GOOGLETRANSLATE(C394, ""en"", ""ar"")"),"غير متاح مؤقتا. حاول مرة أخرى في وقت لاحق.")</f>
        <v>غير متاح مؤقتا. حاول مرة أخرى في وقت لاحق.</v>
      </c>
      <c r="E394" s="1" t="s">
        <v>8615</v>
      </c>
      <c r="F394" s="6" t="s">
        <v>132</v>
      </c>
      <c r="G394" s="7" t="str">
        <f>IFERROR(__xludf.DUMMYFUNCTION("GOOGLETRANSLATE(C394, ""en"", ""cs"")"),"Dočasně nedostupné. Zkuste to později.")</f>
        <v>Dočasně nedostupné. Zkuste to později.</v>
      </c>
      <c r="H394" s="7" t="str">
        <f>IFERROR(__xludf.DUMMYFUNCTION("GOOGLETRANSLATE(C394, ""en"", ""da"")"),"Midlertidigt utilgængelig. Prøv igen senere.")</f>
        <v>Midlertidigt utilgængelig. Prøv igen senere.</v>
      </c>
      <c r="I394" s="1" t="s">
        <v>8616</v>
      </c>
      <c r="J394" s="6" t="s">
        <v>132</v>
      </c>
      <c r="K394" s="1" t="s">
        <v>8617</v>
      </c>
      <c r="L394" s="7" t="str">
        <f>IFERROR(__xludf.DUMMYFUNCTION("GOOGLETRANSLATE(C394, ""en"", ""fi"")"),"Väliaikaisesti ei saatavilla. Yritä myöhemmin uudelleen.")</f>
        <v>Väliaikaisesti ei saatavilla. Yritä myöhemmin uudelleen.</v>
      </c>
      <c r="M394" s="7" t="str">
        <f>IFERROR(__xludf.DUMMYFUNCTION("GOOGLETRANSLATE(C394, ""en"", ""fr"")"),"Temporairement indisponible. Réessayez plus tard.")</f>
        <v>Temporairement indisponible. Réessayez plus tard.</v>
      </c>
      <c r="N394" s="6" t="s">
        <v>8618</v>
      </c>
      <c r="O394" s="6" t="s">
        <v>132</v>
      </c>
      <c r="P394" s="1" t="s">
        <v>8619</v>
      </c>
      <c r="Q394" s="7" t="str">
        <f>IFERROR(__xludf.DUMMYFUNCTION("GOOGLETRANSLATE(C394, ""en"", ""in"")"),"Tidak tersedia untuk sementara. Coba lagi nanti.")</f>
        <v>Tidak tersedia untuk sementara. Coba lagi nanti.</v>
      </c>
      <c r="R394" s="1" t="s">
        <v>8620</v>
      </c>
      <c r="S394" s="6" t="s">
        <v>132</v>
      </c>
      <c r="T394" s="7" t="str">
        <f>IFERROR(__xludf.DUMMYFUNCTION("GOOGLETRANSLATE(C394, ""en"", ""ja"")"),"一時的に利用できません。あとでもう一度試してみてください。")</f>
        <v>一時的に利用できません。あとでもう一度試してみてください。</v>
      </c>
      <c r="U394" s="7" t="str">
        <f>IFERROR(__xludf.DUMMYFUNCTION("GOOGLETRANSLATE(C394, ""en"", ""ko"")"),"일시적으로 사용할 수 없습니다. 나중에 다시 시도하십시오.")</f>
        <v>일시적으로 사용할 수 없습니다. 나중에 다시 시도하십시오.</v>
      </c>
      <c r="V394" s="7" t="str">
        <f>IFERROR(__xludf.DUMMYFUNCTION("GOOGLETRANSLATE(C394, ""en"", ""ms"")"),"Sementara tidak tersedia. Cuba lagi nanti.")</f>
        <v>Sementara tidak tersedia. Cuba lagi nanti.</v>
      </c>
      <c r="W394" s="1" t="s">
        <v>8621</v>
      </c>
      <c r="X394" s="7" t="str">
        <f>IFERROR(__xludf.DUMMYFUNCTION("GOOGLETRANSLATE(C394, ""en"", ""no"")"),"Midlertidig utilgjengelig. Prøv igjen senere.")</f>
        <v>Midlertidig utilgjengelig. Prøv igjen senere.</v>
      </c>
      <c r="Y394" s="1" t="s">
        <v>8622</v>
      </c>
      <c r="Z394" s="7" t="str">
        <f>IFERROR(__xludf.DUMMYFUNCTION("GOOGLETRANSLATE(C394, ""en"", ""pt"")"),"Temporariamente indisponível. Tente mais tarde.")</f>
        <v>Temporariamente indisponível. Tente mais tarde.</v>
      </c>
      <c r="AA394" s="7" t="str">
        <f>IFERROR(__xludf.DUMMYFUNCTION("GOOGLETRANSLATE(C394, ""en"", ""ro"")"),"Temporar indisponibil. Încercați mai târziu.")</f>
        <v>Temporar indisponibil. Încercați mai târziu.</v>
      </c>
      <c r="AB394" s="7" t="str">
        <f>IFERROR(__xludf.DUMMYFUNCTION("GOOGLETRANSLATE(C394, ""en"", ""ru"")"),"Временно недоступен. Попробуйте позже.")</f>
        <v>Временно недоступен. Попробуйте позже.</v>
      </c>
      <c r="AC394" s="7" t="str">
        <f>IFERROR(__xludf.DUMMYFUNCTION("GOOGLETRANSLATE(C394, ""en"", ""sk"")"),"Dočasne nedostupné. Skúste to znova neskôr.")</f>
        <v>Dočasne nedostupné. Skúste to znova neskôr.</v>
      </c>
      <c r="AD394" s="6" t="s">
        <v>132</v>
      </c>
      <c r="AE394" s="7" t="str">
        <f>IFERROR(__xludf.DUMMYFUNCTION("GOOGLETRANSLATE(C394, ""en"", ""sr"")"),"Привремено недоступан. Покушајте поново касније.")</f>
        <v>Привремено недоступан. Покушајте поново касније.</v>
      </c>
      <c r="AF394" s="7" t="str">
        <f>IFERROR(__xludf.DUMMYFUNCTION("GOOGLETRANSLATE(C394, ""en"", ""sv"")"),"Tillfälligt otillgänglig. Försök igen senare.")</f>
        <v>Tillfälligt otillgänglig. Försök igen senare.</v>
      </c>
      <c r="AG394" s="6" t="s">
        <v>132</v>
      </c>
      <c r="AH394" s="7" t="str">
        <f>IFERROR(__xludf.DUMMYFUNCTION("GOOGLETRANSLATE(C394, ""en"", ""tr"")"),"Geçici olarak kullanım dışı. Daha sonra tekrar deneyin.")</f>
        <v>Geçici olarak kullanım dışı. Daha sonra tekrar deneyin.</v>
      </c>
      <c r="AI394" s="6" t="s">
        <v>132</v>
      </c>
      <c r="AJ394" s="6" t="s">
        <v>132</v>
      </c>
      <c r="AK394" s="7" t="str">
        <f>IFERROR(__xludf.DUMMYFUNCTION("GOOGLETRANSLATE(C394, ""en"", ""zh"")"),"暂时不可用。稍后再试。")</f>
        <v>暂时不可用。稍后再试。</v>
      </c>
      <c r="AL394" s="6" t="s">
        <v>132</v>
      </c>
    </row>
    <row r="395" ht="15.75" customHeight="1">
      <c r="A395" s="1" t="s">
        <v>127</v>
      </c>
      <c r="B395" s="1" t="s">
        <v>8623</v>
      </c>
      <c r="C395" s="1" t="s">
        <v>8624</v>
      </c>
      <c r="D395" s="8" t="s">
        <v>8625</v>
      </c>
      <c r="E395" s="1" t="s">
        <v>8626</v>
      </c>
      <c r="F395" s="6" t="s">
        <v>132</v>
      </c>
      <c r="G395" s="1" t="s">
        <v>8627</v>
      </c>
      <c r="H395" s="1" t="s">
        <v>8628</v>
      </c>
      <c r="I395" s="1" t="s">
        <v>8629</v>
      </c>
      <c r="J395" s="6" t="s">
        <v>8630</v>
      </c>
      <c r="K395" s="1" t="s">
        <v>8631</v>
      </c>
      <c r="L395" s="1" t="s">
        <v>8632</v>
      </c>
      <c r="M395" s="1" t="s">
        <v>8633</v>
      </c>
      <c r="N395" s="6" t="s">
        <v>132</v>
      </c>
      <c r="O395" s="6" t="s">
        <v>8634</v>
      </c>
      <c r="P395" s="1" t="s">
        <v>8631</v>
      </c>
      <c r="Q395" s="1" t="s">
        <v>8635</v>
      </c>
      <c r="R395" s="1" t="s">
        <v>8636</v>
      </c>
      <c r="S395" s="10" t="s">
        <v>8637</v>
      </c>
      <c r="T395" s="1" t="s">
        <v>8638</v>
      </c>
      <c r="U395" s="1" t="s">
        <v>8639</v>
      </c>
      <c r="V395" s="1" t="s">
        <v>8640</v>
      </c>
      <c r="W395" s="1" t="s">
        <v>8641</v>
      </c>
      <c r="X395" s="1" t="s">
        <v>8642</v>
      </c>
      <c r="Y395" s="1" t="s">
        <v>8643</v>
      </c>
      <c r="Z395" s="1" t="s">
        <v>8644</v>
      </c>
      <c r="AA395" s="1" t="s">
        <v>8645</v>
      </c>
      <c r="AB395" s="1" t="s">
        <v>8646</v>
      </c>
      <c r="AC395" s="1" t="s">
        <v>8647</v>
      </c>
      <c r="AD395" s="6" t="s">
        <v>8648</v>
      </c>
      <c r="AE395" s="1" t="s">
        <v>8649</v>
      </c>
      <c r="AF395" s="1" t="s">
        <v>8650</v>
      </c>
      <c r="AG395" s="6" t="s">
        <v>8651</v>
      </c>
      <c r="AH395" s="1" t="s">
        <v>8652</v>
      </c>
      <c r="AI395" s="6" t="s">
        <v>132</v>
      </c>
      <c r="AJ395" s="6" t="s">
        <v>8653</v>
      </c>
      <c r="AK395" s="1" t="s">
        <v>8654</v>
      </c>
      <c r="AL395" s="6" t="s">
        <v>8655</v>
      </c>
    </row>
    <row r="396" ht="15.75" hidden="1" customHeight="1">
      <c r="A396" s="1" t="s">
        <v>38</v>
      </c>
      <c r="B396" s="1" t="s">
        <v>8656</v>
      </c>
      <c r="C396" s="1" t="s">
        <v>8657</v>
      </c>
      <c r="D396" s="7" t="str">
        <f>IFERROR(__xludf.DUMMYFUNCTION("GOOGLETRANSLATE(C396, ""en"", ""ar"")"),"جزر فوكلاند (مالفيناس)")</f>
        <v>جزر فوكلاند (مالفيناس)</v>
      </c>
      <c r="E396" s="7" t="str">
        <f>IFERROR(__xludf.DUMMYFUNCTION("GOOGLETRANSLATE(C396, ""en"", ""bg"")"),"Фолклендски острови (Малвинас)")</f>
        <v>Фолклендски острови (Малвинас)</v>
      </c>
      <c r="F396" s="6" t="s">
        <v>132</v>
      </c>
      <c r="G396" s="7" t="str">
        <f>IFERROR(__xludf.DUMMYFUNCTION("GOOGLETRANSLATE(C396, ""en"", ""cs"")"),"Falklandské ostrovy (Malvinas)")</f>
        <v>Falklandské ostrovy (Malvinas)</v>
      </c>
      <c r="H396" s="7" t="str">
        <f>IFERROR(__xludf.DUMMYFUNCTION("GOOGLETRANSLATE(C396, ""en"", ""da"")"),"Falklandsøerne (Malvinas)")</f>
        <v>Falklandsøerne (Malvinas)</v>
      </c>
      <c r="I396" s="1" t="s">
        <v>8658</v>
      </c>
      <c r="J396" s="6" t="s">
        <v>132</v>
      </c>
      <c r="K396" s="1" t="s">
        <v>8659</v>
      </c>
      <c r="L396" s="7" t="str">
        <f>IFERROR(__xludf.DUMMYFUNCTION("GOOGLETRANSLATE(C396, ""en"", ""fi"")"),"Falklandin saaret (Malvinas)")</f>
        <v>Falklandin saaret (Malvinas)</v>
      </c>
      <c r="M396" s="1" t="s">
        <v>8660</v>
      </c>
      <c r="N396" s="6" t="s">
        <v>132</v>
      </c>
      <c r="O396" s="6" t="s">
        <v>132</v>
      </c>
      <c r="P396" s="1" t="s">
        <v>8657</v>
      </c>
      <c r="Q396" s="7" t="str">
        <f>IFERROR(__xludf.DUMMYFUNCTION("GOOGLETRANSLATE(C396, ""en"", ""in"")"),"Kepulauan Falkland (Malvina)")</f>
        <v>Kepulauan Falkland (Malvina)</v>
      </c>
      <c r="R396" s="7" t="str">
        <f>IFERROR(__xludf.DUMMYFUNCTION("GOOGLETRANSLATE(C396, ""en"", ""it"")"),"Isole Falkland (Malvinas)")</f>
        <v>Isole Falkland (Malvinas)</v>
      </c>
      <c r="S396" s="6" t="s">
        <v>132</v>
      </c>
      <c r="T396" s="7" t="str">
        <f>IFERROR(__xludf.DUMMYFUNCTION("GOOGLETRANSLATE(C396, ""en"", ""ja"")"),"フォークランド諸島（Malvinas）")</f>
        <v>フォークランド諸島（Malvinas）</v>
      </c>
      <c r="U396" s="7" t="str">
        <f>IFERROR(__xludf.DUMMYFUNCTION("GOOGLETRANSLATE(C396, ""en"", ""ko"")"),"포클랜드 제도 (말바나스)")</f>
        <v>포클랜드 제도 (말바나스)</v>
      </c>
      <c r="V396" s="7" t="str">
        <f>IFERROR(__xludf.DUMMYFUNCTION("GOOGLETRANSLATE(C396, ""en"", ""ms"")"),"Kepulauan Falkland (Malvinas)")</f>
        <v>Kepulauan Falkland (Malvinas)</v>
      </c>
      <c r="W396" s="7" t="str">
        <f>IFERROR(__xludf.DUMMYFUNCTION("GOOGLETRANSLATE(C396, ""en"", ""nl"")"),"FALKLAND Islands (Malvinas)")</f>
        <v>FALKLAND Islands (Malvinas)</v>
      </c>
      <c r="X396" s="7" t="str">
        <f>IFERROR(__xludf.DUMMYFUNCTION("GOOGLETRANSLATE(C396, ""en"", ""no"")"),"Falklandsøyene (Malvinas)")</f>
        <v>Falklandsøyene (Malvinas)</v>
      </c>
      <c r="Y396" s="7" t="str">
        <f>IFERROR(__xludf.DUMMYFUNCTION("GOOGLETRANSLATE(C396, ""en"", ""pl"")"),"Wyspy Falkland (Malvinas)")</f>
        <v>Wyspy Falkland (Malvinas)</v>
      </c>
      <c r="Z396" s="7" t="str">
        <f>IFERROR(__xludf.DUMMYFUNCTION("GOOGLETRANSLATE(C396, ""en"", ""pt"")"),"Ilhas Falkland (Malvinas)")</f>
        <v>Ilhas Falkland (Malvinas)</v>
      </c>
      <c r="AA396" s="7" t="str">
        <f>IFERROR(__xludf.DUMMYFUNCTION("GOOGLETRANSLATE(C396, ""en"", ""ro"")"),"Insulele Falkland (Malvinas)")</f>
        <v>Insulele Falkland (Malvinas)</v>
      </c>
      <c r="AB396" s="1" t="s">
        <v>8661</v>
      </c>
      <c r="AC396" s="7" t="str">
        <f>IFERROR(__xludf.DUMMYFUNCTION("GOOGLETRANSLATE(C396, ""en"", ""sk"")"),"Falklandské ostrovy (Malvinas)")</f>
        <v>Falklandské ostrovy (Malvinas)</v>
      </c>
      <c r="AD396" s="6" t="s">
        <v>132</v>
      </c>
      <c r="AE396" s="1" t="s">
        <v>8662</v>
      </c>
      <c r="AF396" s="7" t="str">
        <f>IFERROR(__xludf.DUMMYFUNCTION("GOOGLETRANSLATE(C396, ""en"", ""sv"")"),"Falklandsöarna (Malvinas)")</f>
        <v>Falklandsöarna (Malvinas)</v>
      </c>
      <c r="AG396" s="6" t="s">
        <v>132</v>
      </c>
      <c r="AH396" s="7" t="str">
        <f>IFERROR(__xludf.DUMMYFUNCTION("GOOGLETRANSLATE(C396, ""en"", ""tr"")"),"Falkland Adaları (Malvinas)")</f>
        <v>Falkland Adaları (Malvinas)</v>
      </c>
      <c r="AI396" s="6" t="s">
        <v>132</v>
      </c>
      <c r="AJ396" s="6" t="s">
        <v>132</v>
      </c>
      <c r="AK396" s="7" t="str">
        <f>IFERROR(__xludf.DUMMYFUNCTION("GOOGLETRANSLATE(C396, ""en"", ""zh"")"),"福克兰群岛（Malvinas）")</f>
        <v>福克兰群岛（Malvinas）</v>
      </c>
      <c r="AL396" s="6" t="s">
        <v>132</v>
      </c>
    </row>
    <row r="397" ht="15.75" customHeight="1">
      <c r="A397" s="1" t="s">
        <v>127</v>
      </c>
      <c r="B397" s="1" t="s">
        <v>8663</v>
      </c>
      <c r="C397" s="1" t="s">
        <v>8664</v>
      </c>
      <c r="D397" s="8" t="s">
        <v>8665</v>
      </c>
      <c r="E397" s="1" t="s">
        <v>8666</v>
      </c>
      <c r="F397" s="6" t="s">
        <v>132</v>
      </c>
      <c r="G397" s="1" t="s">
        <v>8667</v>
      </c>
      <c r="H397" s="1" t="s">
        <v>8668</v>
      </c>
      <c r="I397" s="1" t="s">
        <v>8669</v>
      </c>
      <c r="J397" s="6" t="s">
        <v>8670</v>
      </c>
      <c r="K397" s="1" t="s">
        <v>8664</v>
      </c>
      <c r="L397" s="1" t="s">
        <v>8671</v>
      </c>
      <c r="M397" s="1" t="s">
        <v>8664</v>
      </c>
      <c r="N397" s="6" t="s">
        <v>132</v>
      </c>
      <c r="O397" s="6" t="s">
        <v>8672</v>
      </c>
      <c r="P397" s="1" t="s">
        <v>8664</v>
      </c>
      <c r="Q397" s="1" t="s">
        <v>8673</v>
      </c>
      <c r="R397" s="1" t="s">
        <v>8674</v>
      </c>
      <c r="S397" s="10" t="s">
        <v>8675</v>
      </c>
      <c r="T397" s="1" t="s">
        <v>8676</v>
      </c>
      <c r="U397" s="1" t="s">
        <v>8677</v>
      </c>
      <c r="V397" s="1" t="s">
        <v>8678</v>
      </c>
      <c r="W397" s="1" t="s">
        <v>8679</v>
      </c>
      <c r="X397" s="1" t="s">
        <v>8668</v>
      </c>
      <c r="Y397" s="1" t="s">
        <v>8680</v>
      </c>
      <c r="Z397" s="1" t="s">
        <v>8681</v>
      </c>
      <c r="AA397" s="1" t="s">
        <v>8682</v>
      </c>
      <c r="AB397" s="1" t="s">
        <v>8683</v>
      </c>
      <c r="AC397" s="1" t="s">
        <v>8684</v>
      </c>
      <c r="AD397" s="6" t="s">
        <v>8667</v>
      </c>
      <c r="AE397" s="1" t="s">
        <v>8664</v>
      </c>
      <c r="AF397" s="1" t="s">
        <v>8685</v>
      </c>
      <c r="AG397" s="6" t="s">
        <v>8686</v>
      </c>
      <c r="AH397" s="1" t="s">
        <v>8687</v>
      </c>
      <c r="AI397" s="6" t="s">
        <v>132</v>
      </c>
      <c r="AJ397" s="6" t="s">
        <v>8688</v>
      </c>
      <c r="AK397" s="1" t="s">
        <v>8689</v>
      </c>
      <c r="AL397" s="6" t="s">
        <v>8690</v>
      </c>
    </row>
    <row r="398" ht="15.75" customHeight="1">
      <c r="A398" s="1" t="s">
        <v>127</v>
      </c>
      <c r="B398" s="1" t="s">
        <v>8691</v>
      </c>
      <c r="C398" s="1" t="s">
        <v>8692</v>
      </c>
      <c r="D398" s="8" t="s">
        <v>8693</v>
      </c>
      <c r="E398" s="1" t="s">
        <v>8694</v>
      </c>
      <c r="F398" s="6" t="s">
        <v>132</v>
      </c>
      <c r="G398" s="1" t="s">
        <v>8695</v>
      </c>
      <c r="H398" s="1" t="s">
        <v>8696</v>
      </c>
      <c r="I398" s="1" t="s">
        <v>8697</v>
      </c>
      <c r="J398" s="6" t="s">
        <v>8698</v>
      </c>
      <c r="K398" s="1" t="s">
        <v>8699</v>
      </c>
      <c r="L398" s="1" t="s">
        <v>8700</v>
      </c>
      <c r="M398" s="1" t="s">
        <v>8701</v>
      </c>
      <c r="N398" s="6" t="s">
        <v>132</v>
      </c>
      <c r="O398" s="6" t="s">
        <v>8702</v>
      </c>
      <c r="P398" s="1" t="s">
        <v>8703</v>
      </c>
      <c r="Q398" s="1" t="s">
        <v>8704</v>
      </c>
      <c r="R398" s="1" t="s">
        <v>8705</v>
      </c>
      <c r="S398" s="10" t="s">
        <v>8706</v>
      </c>
      <c r="T398" s="1" t="s">
        <v>8707</v>
      </c>
      <c r="U398" s="1" t="s">
        <v>8708</v>
      </c>
      <c r="V398" s="1" t="s">
        <v>8704</v>
      </c>
      <c r="W398" s="1" t="s">
        <v>8709</v>
      </c>
      <c r="X398" s="1" t="s">
        <v>8696</v>
      </c>
      <c r="Y398" s="1" t="s">
        <v>8695</v>
      </c>
      <c r="Z398" s="1" t="s">
        <v>8710</v>
      </c>
      <c r="AA398" s="1" t="s">
        <v>8711</v>
      </c>
      <c r="AB398" s="1" t="s">
        <v>8694</v>
      </c>
      <c r="AC398" s="1" t="s">
        <v>8712</v>
      </c>
      <c r="AD398" s="6" t="s">
        <v>8713</v>
      </c>
      <c r="AE398" s="1" t="s">
        <v>8713</v>
      </c>
      <c r="AF398" s="1" t="s">
        <v>8696</v>
      </c>
      <c r="AG398" s="6" t="s">
        <v>8714</v>
      </c>
      <c r="AH398" s="1" t="s">
        <v>8715</v>
      </c>
      <c r="AI398" s="6" t="s">
        <v>132</v>
      </c>
      <c r="AJ398" s="6" t="s">
        <v>8716</v>
      </c>
      <c r="AK398" s="1" t="s">
        <v>8717</v>
      </c>
      <c r="AL398" s="6" t="s">
        <v>8718</v>
      </c>
    </row>
    <row r="399" ht="15.75" hidden="1" customHeight="1">
      <c r="A399" s="1" t="s">
        <v>38</v>
      </c>
      <c r="B399" s="1" t="s">
        <v>8719</v>
      </c>
      <c r="C399" s="1" t="s">
        <v>8720</v>
      </c>
      <c r="D399" s="8" t="s">
        <v>8721</v>
      </c>
      <c r="E399" s="1" t="s">
        <v>8722</v>
      </c>
      <c r="F399" s="6" t="s">
        <v>8723</v>
      </c>
      <c r="G399" s="7" t="str">
        <f>IFERROR(__xludf.DUMMYFUNCTION("GOOGLETRANSLATE(C399, ""en"", ""cs"")"),"Načtení historie ze serveru")</f>
        <v>Načtení historie ze serveru</v>
      </c>
      <c r="H399" s="7" t="str">
        <f>IFERROR(__xludf.DUMMYFUNCTION("GOOGLETRANSLATE(C399, ""en"", ""da"")"),"Hent historie fra serveren")</f>
        <v>Hent historie fra serveren</v>
      </c>
      <c r="I399" s="1" t="s">
        <v>8724</v>
      </c>
      <c r="J399" s="6" t="s">
        <v>132</v>
      </c>
      <c r="K399" s="1" t="s">
        <v>8725</v>
      </c>
      <c r="L399" s="7" t="str">
        <f>IFERROR(__xludf.DUMMYFUNCTION("GOOGLETRANSLATE(C399, ""en"", ""fi"")"),"Hae historia palvelimelta")</f>
        <v>Hae historia palvelimelta</v>
      </c>
      <c r="M399" s="1" t="s">
        <v>8726</v>
      </c>
      <c r="N399" s="6" t="s">
        <v>8727</v>
      </c>
      <c r="O399" s="6" t="s">
        <v>132</v>
      </c>
      <c r="P399" s="1" t="s">
        <v>8728</v>
      </c>
      <c r="Q399" s="9" t="s">
        <v>8729</v>
      </c>
      <c r="R399" s="1" t="s">
        <v>8730</v>
      </c>
      <c r="S399" s="6" t="s">
        <v>132</v>
      </c>
      <c r="T399" s="1" t="s">
        <v>8731</v>
      </c>
      <c r="U399" s="1" t="s">
        <v>8732</v>
      </c>
      <c r="V399" s="7" t="str">
        <f>IFERROR(__xludf.DUMMYFUNCTION("GOOGLETRANSLATE(C399, ""en"", ""ms"")"),"Mengambil sejarah dari pelayan")</f>
        <v>Mengambil sejarah dari pelayan</v>
      </c>
      <c r="W399" s="1" t="s">
        <v>8733</v>
      </c>
      <c r="X399" s="7" t="str">
        <f>IFERROR(__xludf.DUMMYFUNCTION("GOOGLETRANSLATE(C399, ""en"", ""no"")"),"Hent historie fra serveren")</f>
        <v>Hent historie fra serveren</v>
      </c>
      <c r="Y399" s="1" t="s">
        <v>8734</v>
      </c>
      <c r="Z399" s="1" t="s">
        <v>8735</v>
      </c>
      <c r="AA399" s="7" t="str">
        <f>IFERROR(__xludf.DUMMYFUNCTION("GOOGLETRANSLATE(C399, ""en"", ""ro"")"),"Fetching istoric de la server")</f>
        <v>Fetching istoric de la server</v>
      </c>
      <c r="AB399" s="1" t="s">
        <v>8736</v>
      </c>
      <c r="AC399" s="1" t="s">
        <v>8737</v>
      </c>
      <c r="AD399" s="6" t="s">
        <v>132</v>
      </c>
      <c r="AE399" s="1" t="s">
        <v>8738</v>
      </c>
      <c r="AF399" s="1" t="s">
        <v>8739</v>
      </c>
      <c r="AG399" s="6" t="s">
        <v>132</v>
      </c>
      <c r="AH399" s="7" t="str">
        <f>IFERROR(__xludf.DUMMYFUNCTION("GOOGLETRANSLATE(C399, ""en"", ""tr"")"),"Sunucudan Tarih Alınan")</f>
        <v>Sunucudan Tarih Alınan</v>
      </c>
      <c r="AI399" s="6" t="s">
        <v>8740</v>
      </c>
      <c r="AJ399" s="6" t="s">
        <v>8741</v>
      </c>
      <c r="AK399" s="7" t="str">
        <f>IFERROR(__xludf.DUMMYFUNCTION("GOOGLETRANSLATE(C399, ""en"", ""zh"")"),"从服务器获取历史记录")</f>
        <v>从服务器获取历史记录</v>
      </c>
      <c r="AL399" s="6" t="s">
        <v>8742</v>
      </c>
    </row>
    <row r="400" ht="15.75" hidden="1" customHeight="1">
      <c r="A400" s="1" t="s">
        <v>38</v>
      </c>
      <c r="B400" s="1" t="s">
        <v>8743</v>
      </c>
      <c r="C400" s="1" t="s">
        <v>3004</v>
      </c>
      <c r="D400" s="8" t="s">
        <v>3005</v>
      </c>
      <c r="E400" s="1" t="s">
        <v>3006</v>
      </c>
      <c r="F400" s="6" t="s">
        <v>8744</v>
      </c>
      <c r="G400" s="7" t="str">
        <f>IFERROR(__xludf.DUMMYFUNCTION("GOOGLETRANSLATE(C400, ""en"", ""cs"")"),"Nastavení")</f>
        <v>Nastavení</v>
      </c>
      <c r="H400" s="7" t="str">
        <f>IFERROR(__xludf.DUMMYFUNCTION("GOOGLETRANSLATE(C400, ""en"", ""da"")"),"Indstillinger.")</f>
        <v>Indstillinger.</v>
      </c>
      <c r="I400" s="1" t="s">
        <v>3009</v>
      </c>
      <c r="J400" s="6" t="s">
        <v>132</v>
      </c>
      <c r="K400" s="1" t="s">
        <v>3011</v>
      </c>
      <c r="L400" s="7" t="str">
        <f>IFERROR(__xludf.DUMMYFUNCTION("GOOGLETRANSLATE(C400, ""en"", ""fi"")"),"asetukset")</f>
        <v>asetukset</v>
      </c>
      <c r="M400" s="1" t="s">
        <v>3013</v>
      </c>
      <c r="N400" s="6" t="s">
        <v>8745</v>
      </c>
      <c r="O400" s="6" t="s">
        <v>132</v>
      </c>
      <c r="P400" s="1" t="s">
        <v>3015</v>
      </c>
      <c r="Q400" s="9" t="s">
        <v>3016</v>
      </c>
      <c r="R400" s="1" t="s">
        <v>3017</v>
      </c>
      <c r="S400" s="6" t="s">
        <v>132</v>
      </c>
      <c r="T400" s="1" t="s">
        <v>3019</v>
      </c>
      <c r="U400" s="1" t="s">
        <v>3020</v>
      </c>
      <c r="V400" s="7" t="str">
        <f>IFERROR(__xludf.DUMMYFUNCTION("GOOGLETRANSLATE(C400, ""en"", ""ms"")"),"Tetapan")</f>
        <v>Tetapan</v>
      </c>
      <c r="W400" s="1" t="s">
        <v>3022</v>
      </c>
      <c r="X400" s="7" t="str">
        <f>IFERROR(__xludf.DUMMYFUNCTION("GOOGLETRANSLATE(C400, ""en"", ""no"")"),"Innstillinger")</f>
        <v>Innstillinger</v>
      </c>
      <c r="Y400" s="1" t="s">
        <v>3024</v>
      </c>
      <c r="Z400" s="1" t="s">
        <v>8746</v>
      </c>
      <c r="AA400" s="7" t="str">
        <f>IFERROR(__xludf.DUMMYFUNCTION("GOOGLETRANSLATE(C400, ""en"", ""ro"")"),"Setări.")</f>
        <v>Setări.</v>
      </c>
      <c r="AB400" s="1" t="s">
        <v>3006</v>
      </c>
      <c r="AC400" s="1" t="s">
        <v>3027</v>
      </c>
      <c r="AD400" s="6" t="s">
        <v>132</v>
      </c>
      <c r="AE400" s="1" t="s">
        <v>8747</v>
      </c>
      <c r="AF400" s="1" t="s">
        <v>3030</v>
      </c>
      <c r="AG400" s="6" t="s">
        <v>132</v>
      </c>
      <c r="AH400" s="7" t="str">
        <f>IFERROR(__xludf.DUMMYFUNCTION("GOOGLETRANSLATE(C400, ""en"", ""tr"")"),"Ayarlar")</f>
        <v>Ayarlar</v>
      </c>
      <c r="AI400" s="6" t="s">
        <v>8748</v>
      </c>
      <c r="AJ400" s="6" t="s">
        <v>3033</v>
      </c>
      <c r="AK400" s="7" t="str">
        <f>IFERROR(__xludf.DUMMYFUNCTION("GOOGLETRANSLATE(C400, ""en"", ""zh"")"),"设置")</f>
        <v>设置</v>
      </c>
      <c r="AL400" s="6" t="s">
        <v>3019</v>
      </c>
    </row>
    <row r="401" ht="15.75" hidden="1" customHeight="1">
      <c r="A401" s="1" t="s">
        <v>38</v>
      </c>
      <c r="B401" s="1" t="s">
        <v>8749</v>
      </c>
      <c r="C401" s="1" t="s">
        <v>8750</v>
      </c>
      <c r="D401" s="7" t="str">
        <f>IFERROR(__xludf.DUMMYFUNCTION("GOOGLETRANSLATE(C401, ""en"", ""ar"")"),"تحقق٪ 1 $ S الحجم على٪ 2 $ s")</f>
        <v>تحقق٪ 1 $ S الحجم على٪ 2 $ s</v>
      </c>
      <c r="E401" s="1" t="s">
        <v>8751</v>
      </c>
      <c r="F401" s="6" t="s">
        <v>8752</v>
      </c>
      <c r="G401" s="13" t="s">
        <v>8753</v>
      </c>
      <c r="H401" s="13" t="s">
        <v>8754</v>
      </c>
      <c r="I401" s="1" t="s">
        <v>8755</v>
      </c>
      <c r="J401" s="6" t="s">
        <v>132</v>
      </c>
      <c r="K401" s="1" t="s">
        <v>8756</v>
      </c>
      <c r="L401" s="13" t="s">
        <v>8757</v>
      </c>
      <c r="M401" s="1" t="s">
        <v>8758</v>
      </c>
      <c r="N401" s="6" t="s">
        <v>8759</v>
      </c>
      <c r="O401" s="6" t="s">
        <v>132</v>
      </c>
      <c r="P401" s="1" t="s">
        <v>8760</v>
      </c>
      <c r="Q401" s="13" t="s">
        <v>8761</v>
      </c>
      <c r="R401" s="1" t="s">
        <v>8762</v>
      </c>
      <c r="S401" s="6" t="s">
        <v>132</v>
      </c>
      <c r="T401" s="1" t="s">
        <v>8763</v>
      </c>
      <c r="U401" s="1" t="s">
        <v>8764</v>
      </c>
      <c r="V401" s="13" t="s">
        <v>8765</v>
      </c>
      <c r="W401" s="1" t="s">
        <v>8766</v>
      </c>
      <c r="X401" s="13" t="s">
        <v>8767</v>
      </c>
      <c r="Y401" s="1" t="s">
        <v>8768</v>
      </c>
      <c r="Z401" s="1" t="s">
        <v>8769</v>
      </c>
      <c r="AA401" s="13" t="s">
        <v>8770</v>
      </c>
      <c r="AB401" s="1" t="s">
        <v>8771</v>
      </c>
      <c r="AC401" s="13" t="s">
        <v>8772</v>
      </c>
      <c r="AD401" s="6" t="s">
        <v>132</v>
      </c>
      <c r="AE401" s="1" t="s">
        <v>8773</v>
      </c>
      <c r="AF401" s="1" t="s">
        <v>8774</v>
      </c>
      <c r="AG401" s="6" t="s">
        <v>132</v>
      </c>
      <c r="AH401" s="13" t="s">
        <v>8775</v>
      </c>
      <c r="AI401" s="6" t="s">
        <v>8776</v>
      </c>
      <c r="AJ401" s="6" t="s">
        <v>132</v>
      </c>
      <c r="AK401" s="7" t="str">
        <f>IFERROR(__xludf.DUMMYFUNCTION("GOOGLETRANSLATE(C401, ""en"", ""zh"")"),"在％2 $ s上检查％1 $ s尺寸")</f>
        <v>在％2 $ s上检查％1 $ s尺寸</v>
      </c>
      <c r="AL401" s="6" t="s">
        <v>8777</v>
      </c>
    </row>
    <row r="402" ht="15.75" customHeight="1">
      <c r="A402" s="1" t="s">
        <v>127</v>
      </c>
      <c r="B402" s="1" t="s">
        <v>8778</v>
      </c>
      <c r="C402" s="1" t="s">
        <v>8779</v>
      </c>
      <c r="D402" s="8" t="s">
        <v>8780</v>
      </c>
      <c r="E402" s="1" t="s">
        <v>8781</v>
      </c>
      <c r="F402" s="6" t="s">
        <v>132</v>
      </c>
      <c r="G402" s="1" t="s">
        <v>8782</v>
      </c>
      <c r="H402" s="1" t="s">
        <v>8783</v>
      </c>
      <c r="I402" s="1" t="s">
        <v>8784</v>
      </c>
      <c r="J402" s="6" t="s">
        <v>8785</v>
      </c>
      <c r="K402" s="1" t="s">
        <v>8786</v>
      </c>
      <c r="L402" s="1" t="s">
        <v>8787</v>
      </c>
      <c r="M402" s="1" t="s">
        <v>8788</v>
      </c>
      <c r="N402" s="6" t="s">
        <v>132</v>
      </c>
      <c r="O402" s="6" t="s">
        <v>8789</v>
      </c>
      <c r="P402" s="1" t="s">
        <v>8790</v>
      </c>
      <c r="Q402" s="1" t="s">
        <v>8791</v>
      </c>
      <c r="R402" s="1" t="s">
        <v>8792</v>
      </c>
      <c r="S402" s="10" t="s">
        <v>8793</v>
      </c>
      <c r="T402" s="1" t="s">
        <v>8794</v>
      </c>
      <c r="U402" s="1" t="s">
        <v>8795</v>
      </c>
      <c r="V402" s="1" t="s">
        <v>8791</v>
      </c>
      <c r="W402" s="1" t="s">
        <v>8779</v>
      </c>
      <c r="X402" s="1" t="s">
        <v>8796</v>
      </c>
      <c r="Y402" s="1" t="s">
        <v>8797</v>
      </c>
      <c r="Z402" s="1" t="s">
        <v>8798</v>
      </c>
      <c r="AA402" s="1" t="s">
        <v>8799</v>
      </c>
      <c r="AB402" s="1" t="s">
        <v>8800</v>
      </c>
      <c r="AC402" s="1" t="s">
        <v>8801</v>
      </c>
      <c r="AD402" s="6" t="s">
        <v>8802</v>
      </c>
      <c r="AE402" s="1" t="s">
        <v>8803</v>
      </c>
      <c r="AF402" s="1" t="s">
        <v>8804</v>
      </c>
      <c r="AG402" s="6" t="s">
        <v>8805</v>
      </c>
      <c r="AH402" s="1" t="s">
        <v>8806</v>
      </c>
      <c r="AI402" s="6" t="s">
        <v>132</v>
      </c>
      <c r="AJ402" s="6" t="s">
        <v>8807</v>
      </c>
      <c r="AK402" s="1" t="s">
        <v>1266</v>
      </c>
      <c r="AL402" s="6" t="s">
        <v>132</v>
      </c>
    </row>
    <row r="403" ht="15.75" hidden="1" customHeight="1">
      <c r="A403" s="1" t="s">
        <v>38</v>
      </c>
      <c r="B403" s="1" t="s">
        <v>8808</v>
      </c>
      <c r="C403" s="1" t="s">
        <v>3004</v>
      </c>
      <c r="D403" s="8" t="s">
        <v>8809</v>
      </c>
      <c r="E403" s="1" t="s">
        <v>3006</v>
      </c>
      <c r="F403" s="6" t="s">
        <v>8810</v>
      </c>
      <c r="G403" s="7" t="str">
        <f>IFERROR(__xludf.DUMMYFUNCTION("GOOGLETRANSLATE(C403, ""en"", ""cs"")"),"Nastavení")</f>
        <v>Nastavení</v>
      </c>
      <c r="H403" s="7" t="str">
        <f>IFERROR(__xludf.DUMMYFUNCTION("GOOGLETRANSLATE(C403, ""en"", ""da"")"),"Indstillinger.")</f>
        <v>Indstillinger.</v>
      </c>
      <c r="I403" s="1" t="s">
        <v>3009</v>
      </c>
      <c r="J403" s="6" t="s">
        <v>132</v>
      </c>
      <c r="K403" s="1" t="s">
        <v>3011</v>
      </c>
      <c r="L403" s="7" t="str">
        <f>IFERROR(__xludf.DUMMYFUNCTION("GOOGLETRANSLATE(C403, ""en"", ""fi"")"),"asetukset")</f>
        <v>asetukset</v>
      </c>
      <c r="M403" s="1" t="s">
        <v>3013</v>
      </c>
      <c r="N403" s="6" t="s">
        <v>8745</v>
      </c>
      <c r="O403" s="6" t="s">
        <v>132</v>
      </c>
      <c r="P403" s="1" t="s">
        <v>3015</v>
      </c>
      <c r="Q403" s="9" t="s">
        <v>3016</v>
      </c>
      <c r="R403" s="1" t="s">
        <v>3017</v>
      </c>
      <c r="S403" s="6" t="s">
        <v>132</v>
      </c>
      <c r="T403" s="1" t="s">
        <v>3019</v>
      </c>
      <c r="U403" s="1" t="s">
        <v>3020</v>
      </c>
      <c r="V403" s="7" t="str">
        <f>IFERROR(__xludf.DUMMYFUNCTION("GOOGLETRANSLATE(C403, ""en"", ""ms"")"),"Tetapan")</f>
        <v>Tetapan</v>
      </c>
      <c r="W403" s="1" t="s">
        <v>3022</v>
      </c>
      <c r="X403" s="7" t="str">
        <f>IFERROR(__xludf.DUMMYFUNCTION("GOOGLETRANSLATE(C403, ""en"", ""no"")"),"Innstillinger")</f>
        <v>Innstillinger</v>
      </c>
      <c r="Y403" s="1" t="s">
        <v>3024</v>
      </c>
      <c r="Z403" s="1" t="s">
        <v>8746</v>
      </c>
      <c r="AA403" s="7" t="str">
        <f>IFERROR(__xludf.DUMMYFUNCTION("GOOGLETRANSLATE(C403, ""en"", ""ro"")"),"Setări.")</f>
        <v>Setări.</v>
      </c>
      <c r="AB403" s="1" t="s">
        <v>3006</v>
      </c>
      <c r="AC403" s="1" t="s">
        <v>3027</v>
      </c>
      <c r="AD403" s="6" t="s">
        <v>132</v>
      </c>
      <c r="AE403" s="1" t="s">
        <v>8747</v>
      </c>
      <c r="AF403" s="1" t="s">
        <v>3030</v>
      </c>
      <c r="AG403" s="6" t="s">
        <v>132</v>
      </c>
      <c r="AH403" s="7" t="str">
        <f>IFERROR(__xludf.DUMMYFUNCTION("GOOGLETRANSLATE(C403, ""en"", ""tr"")"),"Ayarlar")</f>
        <v>Ayarlar</v>
      </c>
      <c r="AI403" s="6" t="s">
        <v>8748</v>
      </c>
      <c r="AJ403" s="6" t="s">
        <v>3033</v>
      </c>
      <c r="AK403" s="7" t="str">
        <f>IFERROR(__xludf.DUMMYFUNCTION("GOOGLETRANSLATE(C403, ""en"", ""zh"")"),"设置")</f>
        <v>设置</v>
      </c>
      <c r="AL403" s="6" t="s">
        <v>8811</v>
      </c>
    </row>
    <row r="404" ht="15.75" customHeight="1">
      <c r="A404" s="1" t="s">
        <v>127</v>
      </c>
      <c r="B404" s="1" t="s">
        <v>8812</v>
      </c>
      <c r="C404" s="1" t="s">
        <v>8813</v>
      </c>
      <c r="D404" s="8" t="s">
        <v>8814</v>
      </c>
      <c r="E404" s="1" t="s">
        <v>8815</v>
      </c>
      <c r="F404" s="6" t="s">
        <v>132</v>
      </c>
      <c r="G404" s="1" t="s">
        <v>8816</v>
      </c>
      <c r="H404" s="1" t="s">
        <v>8817</v>
      </c>
      <c r="I404" s="1" t="s">
        <v>8818</v>
      </c>
      <c r="J404" s="6" t="s">
        <v>8819</v>
      </c>
      <c r="K404" s="1" t="s">
        <v>8820</v>
      </c>
      <c r="L404" s="1" t="s">
        <v>8821</v>
      </c>
      <c r="M404" s="1" t="s">
        <v>8813</v>
      </c>
      <c r="N404" s="6" t="s">
        <v>132</v>
      </c>
      <c r="O404" s="6" t="s">
        <v>8822</v>
      </c>
      <c r="P404" s="1" t="s">
        <v>8823</v>
      </c>
      <c r="Q404" s="1" t="s">
        <v>8824</v>
      </c>
      <c r="R404" s="1" t="s">
        <v>8825</v>
      </c>
      <c r="S404" s="10" t="s">
        <v>8826</v>
      </c>
      <c r="T404" s="1" t="s">
        <v>8827</v>
      </c>
      <c r="U404" s="1" t="s">
        <v>8828</v>
      </c>
      <c r="V404" s="1" t="s">
        <v>8829</v>
      </c>
      <c r="W404" s="1" t="s">
        <v>8813</v>
      </c>
      <c r="X404" s="1" t="s">
        <v>8830</v>
      </c>
      <c r="Y404" s="1" t="s">
        <v>8831</v>
      </c>
      <c r="Z404" s="1" t="s">
        <v>8832</v>
      </c>
      <c r="AA404" s="1" t="s">
        <v>8833</v>
      </c>
      <c r="AB404" s="1" t="s">
        <v>8834</v>
      </c>
      <c r="AC404" s="1" t="s">
        <v>8835</v>
      </c>
      <c r="AD404" s="6" t="s">
        <v>8836</v>
      </c>
      <c r="AE404" s="1" t="s">
        <v>8837</v>
      </c>
      <c r="AF404" s="1" t="s">
        <v>8838</v>
      </c>
      <c r="AG404" s="6" t="s">
        <v>8839</v>
      </c>
      <c r="AH404" s="1" t="s">
        <v>8840</v>
      </c>
      <c r="AI404" s="6" t="s">
        <v>132</v>
      </c>
      <c r="AJ404" s="6" t="s">
        <v>8841</v>
      </c>
      <c r="AK404" s="1" t="s">
        <v>8842</v>
      </c>
      <c r="AL404" s="6" t="s">
        <v>132</v>
      </c>
    </row>
    <row r="405" ht="15.75" hidden="1" customHeight="1">
      <c r="A405" s="1" t="s">
        <v>38</v>
      </c>
      <c r="B405" s="1" t="s">
        <v>8843</v>
      </c>
      <c r="C405" s="1" t="s">
        <v>8844</v>
      </c>
      <c r="D405" s="8" t="s">
        <v>8845</v>
      </c>
      <c r="E405" s="1" t="s">
        <v>8846</v>
      </c>
      <c r="F405" s="6" t="s">
        <v>8847</v>
      </c>
      <c r="G405" s="7" t="str">
        <f>IFERROR(__xludf.DUMMYFUNCTION("GOOGLETRANSLATE(C405, ""en"", ""cs"")"),"V Omemo otisk prstu")</f>
        <v>V Omemo otisk prstu</v>
      </c>
      <c r="H405" s="7" t="str">
        <f>IFERROR(__xludf.DUMMYFUNCTION("GOOGLETRANSLATE(C405, ""en"", ""da"")"),"v \\ omemo fingeraftryk")</f>
        <v>v \\ omemo fingeraftryk</v>
      </c>
      <c r="I405" s="1" t="s">
        <v>8848</v>
      </c>
      <c r="J405" s="6" t="s">
        <v>132</v>
      </c>
      <c r="K405" s="1" t="s">
        <v>8849</v>
      </c>
      <c r="L405" s="7" t="str">
        <f>IFERROR(__xludf.DUMMYFUNCTION("GOOGLETRANSLATE(C405, ""en"", ""fi"")"),"v \\ omemo sormenjälki")</f>
        <v>v \\ omemo sormenjälki</v>
      </c>
      <c r="M405" s="1" t="s">
        <v>8850</v>
      </c>
      <c r="N405" s="6" t="s">
        <v>8851</v>
      </c>
      <c r="O405" s="6" t="s">
        <v>132</v>
      </c>
      <c r="P405" s="1" t="s">
        <v>8852</v>
      </c>
      <c r="Q405" s="7" t="str">
        <f>IFERROR(__xludf.DUMMYFUNCTION("GOOGLETRANSLATE(C405, ""en"", ""in"")"),"v \\ omemo sidik jari")</f>
        <v>v \\ omemo sidik jari</v>
      </c>
      <c r="R405" s="1" t="s">
        <v>8853</v>
      </c>
      <c r="S405" s="6" t="s">
        <v>132</v>
      </c>
      <c r="T405" s="1" t="s">
        <v>8854</v>
      </c>
      <c r="U405" s="1" t="s">
        <v>8855</v>
      </c>
      <c r="V405" s="7" t="str">
        <f>IFERROR(__xludf.DUMMYFUNCTION("GOOGLETRANSLATE(C405, ""en"", ""ms"")"),"v \\ Omemo cap jari")</f>
        <v>v \\ Omemo cap jari</v>
      </c>
      <c r="W405" s="1" t="s">
        <v>8856</v>
      </c>
      <c r="X405" s="7" t="str">
        <f>IFERROR(__xludf.DUMMYFUNCTION("GOOGLETRANSLATE(C405, ""en"", ""no"")"),"v \\ omemo fingeravtrykk")</f>
        <v>v \\ omemo fingeravtrykk</v>
      </c>
      <c r="Y405" s="1" t="s">
        <v>8857</v>
      </c>
      <c r="Z405" s="1" t="s">
        <v>8858</v>
      </c>
      <c r="AA405" s="7" t="str">
        <f>IFERROR(__xludf.DUMMYFUNCTION("GOOGLETRANSLATE(C405, ""en"", ""ro"")"),"v \\ amprenta de omemo")</f>
        <v>v \\ amprenta de omemo</v>
      </c>
      <c r="AB405" s="1" t="s">
        <v>8859</v>
      </c>
      <c r="AC405" s="7" t="str">
        <f>IFERROR(__xludf.DUMMYFUNCTION("GOOGLETRANSLATE(C405, ""en"", ""sk"")"),"v \\ Omemo odtlačok prsta")</f>
        <v>v \\ Omemo odtlačok prsta</v>
      </c>
      <c r="AD405" s="6" t="s">
        <v>132</v>
      </c>
      <c r="AE405" s="1" t="s">
        <v>8860</v>
      </c>
      <c r="AF405" s="1" t="s">
        <v>8861</v>
      </c>
      <c r="AG405" s="6" t="s">
        <v>132</v>
      </c>
      <c r="AH405" s="7" t="str">
        <f>IFERROR(__xludf.DUMMYFUNCTION("GOOGLETRANSLATE(C405, ""en"", ""tr"")"),"v \\ omemo parmak izi")</f>
        <v>v \\ omemo parmak izi</v>
      </c>
      <c r="AI405" s="6" t="s">
        <v>8862</v>
      </c>
      <c r="AJ405" s="6" t="s">
        <v>8863</v>
      </c>
      <c r="AK405" s="7" t="str">
        <f>IFERROR(__xludf.DUMMYFUNCTION("GOOGLETRANSLATE(C405, ""en"", ""zh"")"),"v \\ Omemo指纹")</f>
        <v>v \\ Omemo指纹</v>
      </c>
      <c r="AL405" s="6" t="s">
        <v>8864</v>
      </c>
    </row>
    <row r="406" ht="15.75" hidden="1" customHeight="1">
      <c r="A406" s="1" t="s">
        <v>38</v>
      </c>
      <c r="B406" s="1" t="s">
        <v>8865</v>
      </c>
      <c r="C406" s="1" t="s">
        <v>8866</v>
      </c>
      <c r="D406" s="8" t="s">
        <v>8867</v>
      </c>
      <c r="E406" s="1" t="s">
        <v>8868</v>
      </c>
      <c r="F406" s="6" t="s">
        <v>8869</v>
      </c>
      <c r="G406" s="7" t="str">
        <f>IFERROR(__xludf.DUMMYFUNCTION("GOOGLETRANSLATE(C406, ""en"", ""cs"")"),"Nechte své kontakty zpětně upravit jejich zprávy")</f>
        <v>Nechte své kontakty zpětně upravit jejich zprávy</v>
      </c>
      <c r="H406" s="7" t="str">
        <f>IFERROR(__xludf.DUMMYFUNCTION("GOOGLETRANSLATE(C406, ""en"", ""da"")"),"Tillad dine kontakter at redigere deres meddelelser med tilbagevirkende kraft")</f>
        <v>Tillad dine kontakter at redigere deres meddelelser med tilbagevirkende kraft</v>
      </c>
      <c r="I406" s="1" t="s">
        <v>8870</v>
      </c>
      <c r="J406" s="6" t="s">
        <v>132</v>
      </c>
      <c r="K406" s="1" t="s">
        <v>8871</v>
      </c>
      <c r="L406" s="7" t="str">
        <f>IFERROR(__xludf.DUMMYFUNCTION("GOOGLETRANSLATE(C406, ""en"", ""fi"")"),"Salli yhteystietosi muokata viestejä")</f>
        <v>Salli yhteystietosi muokata viestejä</v>
      </c>
      <c r="M406" s="1" t="s">
        <v>8872</v>
      </c>
      <c r="N406" s="6" t="s">
        <v>8873</v>
      </c>
      <c r="O406" s="6" t="s">
        <v>132</v>
      </c>
      <c r="P406" s="1" t="s">
        <v>8874</v>
      </c>
      <c r="Q406" s="7" t="str">
        <f>IFERROR(__xludf.DUMMYFUNCTION("GOOGLETRANSLATE(C406, ""en"", ""in"")"),"Izinkan kontak Anda untuk meretroaktif mengedit pesan mereka")</f>
        <v>Izinkan kontak Anda untuk meretroaktif mengedit pesan mereka</v>
      </c>
      <c r="R406" s="1" t="s">
        <v>8875</v>
      </c>
      <c r="S406" s="6" t="s">
        <v>132</v>
      </c>
      <c r="T406" s="1" t="s">
        <v>8876</v>
      </c>
      <c r="U406" s="1" t="s">
        <v>8877</v>
      </c>
      <c r="V406" s="7" t="str">
        <f>IFERROR(__xludf.DUMMYFUNCTION("GOOGLETRANSLATE(C406, ""en"", ""ms"")"),"Benarkan kenalan anda untuk mengedit mesej mereka secara retroaktif")</f>
        <v>Benarkan kenalan anda untuk mengedit mesej mereka secara retroaktif</v>
      </c>
      <c r="W406" s="1" t="s">
        <v>8878</v>
      </c>
      <c r="X406" s="7" t="str">
        <f>IFERROR(__xludf.DUMMYFUNCTION("GOOGLETRANSLATE(C406, ""en"", ""no"")"),"Tillat at kontaktene dine tilbakekaller sine meldinger tilbakekalling")</f>
        <v>Tillat at kontaktene dine tilbakekaller sine meldinger tilbakekalling</v>
      </c>
      <c r="Y406" s="1" t="s">
        <v>8879</v>
      </c>
      <c r="Z406" s="1" t="s">
        <v>8880</v>
      </c>
      <c r="AA406" s="7" t="str">
        <f>IFERROR(__xludf.DUMMYFUNCTION("GOOGLETRANSLATE(C406, ""en"", ""ro"")"),"Permiteți contactelor dvs. să-și editeze retroactiv mesajele")</f>
        <v>Permiteți contactelor dvs. să-și editeze retroactiv mesajele</v>
      </c>
      <c r="AB406" s="1" t="s">
        <v>8881</v>
      </c>
      <c r="AC406" s="7" t="str">
        <f>IFERROR(__xludf.DUMMYFUNCTION("GOOGLETRANSLATE(C406, ""en"", ""sk"")"),"Nechajte svoje kontakty spätne upraviť svoje správy")</f>
        <v>Nechajte svoje kontakty spätne upraviť svoje správy</v>
      </c>
      <c r="AD406" s="6" t="s">
        <v>132</v>
      </c>
      <c r="AE406" s="1" t="s">
        <v>8882</v>
      </c>
      <c r="AF406" s="1" t="s">
        <v>8883</v>
      </c>
      <c r="AG406" s="6" t="s">
        <v>132</v>
      </c>
      <c r="AH406" s="7" t="str">
        <f>IFERROR(__xludf.DUMMYFUNCTION("GOOGLETRANSLATE(C406, ""en"", ""tr"")"),"Kişilerinizin mesajlarını geriye dönük olarak düzenlemesine izin verin")</f>
        <v>Kişilerinizin mesajlarını geriye dönük olarak düzenlemesine izin verin</v>
      </c>
      <c r="AI406" s="6" t="s">
        <v>8884</v>
      </c>
      <c r="AJ406" s="6" t="s">
        <v>132</v>
      </c>
      <c r="AK406" s="7" t="str">
        <f>IFERROR(__xludf.DUMMYFUNCTION("GOOGLETRANSLATE(C406, ""en"", ""zh"")"),"允许您的联系人追溯编辑他们的消息")</f>
        <v>允许您的联系人追溯编辑他们的消息</v>
      </c>
      <c r="AL406" s="6" t="s">
        <v>8885</v>
      </c>
    </row>
    <row r="407" ht="15.75" customHeight="1">
      <c r="A407" s="1" t="s">
        <v>127</v>
      </c>
      <c r="B407" s="1" t="s">
        <v>8886</v>
      </c>
      <c r="C407" s="1" t="s">
        <v>8887</v>
      </c>
      <c r="D407" s="8" t="s">
        <v>8888</v>
      </c>
      <c r="E407" s="1" t="s">
        <v>8889</v>
      </c>
      <c r="F407" s="6" t="s">
        <v>132</v>
      </c>
      <c r="G407" s="1" t="s">
        <v>8890</v>
      </c>
      <c r="H407" s="1" t="s">
        <v>8891</v>
      </c>
      <c r="I407" s="1" t="s">
        <v>8892</v>
      </c>
      <c r="J407" s="6" t="s">
        <v>8893</v>
      </c>
      <c r="K407" s="1" t="s">
        <v>8894</v>
      </c>
      <c r="L407" s="1" t="s">
        <v>8895</v>
      </c>
      <c r="M407" s="1" t="s">
        <v>8896</v>
      </c>
      <c r="N407" s="6" t="s">
        <v>132</v>
      </c>
      <c r="O407" s="6" t="s">
        <v>8897</v>
      </c>
      <c r="P407" s="1" t="s">
        <v>8898</v>
      </c>
      <c r="Q407" s="1" t="s">
        <v>8899</v>
      </c>
      <c r="R407" s="1" t="s">
        <v>8900</v>
      </c>
      <c r="S407" s="10" t="s">
        <v>8901</v>
      </c>
      <c r="T407" s="1" t="s">
        <v>8902</v>
      </c>
      <c r="U407" s="1" t="s">
        <v>8903</v>
      </c>
      <c r="V407" s="1" t="s">
        <v>8899</v>
      </c>
      <c r="W407" s="1" t="s">
        <v>8904</v>
      </c>
      <c r="X407" s="1" t="s">
        <v>8891</v>
      </c>
      <c r="Y407" s="1" t="s">
        <v>8905</v>
      </c>
      <c r="Z407" s="1" t="s">
        <v>8906</v>
      </c>
      <c r="AA407" s="1" t="s">
        <v>8907</v>
      </c>
      <c r="AB407" s="1" t="s">
        <v>8908</v>
      </c>
      <c r="AC407" s="1" t="s">
        <v>8909</v>
      </c>
      <c r="AD407" s="6" t="s">
        <v>8910</v>
      </c>
      <c r="AE407" s="1" t="s">
        <v>8911</v>
      </c>
      <c r="AF407" s="1" t="s">
        <v>8891</v>
      </c>
      <c r="AG407" s="6" t="s">
        <v>8912</v>
      </c>
      <c r="AH407" s="1" t="s">
        <v>8913</v>
      </c>
      <c r="AI407" s="6" t="s">
        <v>132</v>
      </c>
      <c r="AJ407" s="6" t="s">
        <v>8914</v>
      </c>
      <c r="AK407" s="1" t="s">
        <v>8915</v>
      </c>
      <c r="AL407" s="6" t="s">
        <v>8916</v>
      </c>
    </row>
    <row r="408" ht="15.75" customHeight="1">
      <c r="A408" s="1" t="s">
        <v>127</v>
      </c>
      <c r="B408" s="1" t="s">
        <v>8917</v>
      </c>
      <c r="C408" s="1" t="s">
        <v>8918</v>
      </c>
      <c r="D408" s="8" t="s">
        <v>8919</v>
      </c>
      <c r="E408" s="1" t="s">
        <v>8920</v>
      </c>
      <c r="F408" s="6" t="s">
        <v>132</v>
      </c>
      <c r="G408" s="1" t="s">
        <v>8921</v>
      </c>
      <c r="H408" s="1" t="s">
        <v>8922</v>
      </c>
      <c r="I408" s="1" t="s">
        <v>8923</v>
      </c>
      <c r="J408" s="6" t="s">
        <v>8924</v>
      </c>
      <c r="K408" s="1" t="s">
        <v>8925</v>
      </c>
      <c r="L408" s="1" t="s">
        <v>8926</v>
      </c>
      <c r="M408" s="1" t="s">
        <v>8927</v>
      </c>
      <c r="N408" s="6" t="s">
        <v>132</v>
      </c>
      <c r="O408" s="6" t="s">
        <v>8928</v>
      </c>
      <c r="P408" s="1" t="s">
        <v>8929</v>
      </c>
      <c r="Q408" s="1" t="s">
        <v>8930</v>
      </c>
      <c r="R408" s="1" t="s">
        <v>8931</v>
      </c>
      <c r="S408" s="10" t="s">
        <v>8932</v>
      </c>
      <c r="T408" s="1" t="s">
        <v>8933</v>
      </c>
      <c r="U408" s="1" t="s">
        <v>8934</v>
      </c>
      <c r="V408" s="1" t="s">
        <v>8935</v>
      </c>
      <c r="W408" s="1" t="s">
        <v>8936</v>
      </c>
      <c r="X408" s="1" t="s">
        <v>8937</v>
      </c>
      <c r="Y408" s="1" t="s">
        <v>8938</v>
      </c>
      <c r="Z408" s="1" t="s">
        <v>8939</v>
      </c>
      <c r="AA408" s="1" t="s">
        <v>8940</v>
      </c>
      <c r="AB408" s="1" t="s">
        <v>8941</v>
      </c>
      <c r="AC408" s="1" t="s">
        <v>8942</v>
      </c>
      <c r="AD408" s="6" t="s">
        <v>8943</v>
      </c>
      <c r="AE408" s="1" t="s">
        <v>8944</v>
      </c>
      <c r="AF408" s="1" t="s">
        <v>8945</v>
      </c>
      <c r="AG408" s="6" t="s">
        <v>8946</v>
      </c>
      <c r="AH408" s="1" t="s">
        <v>8947</v>
      </c>
      <c r="AI408" s="6" t="s">
        <v>132</v>
      </c>
      <c r="AJ408" s="6" t="s">
        <v>5897</v>
      </c>
      <c r="AK408" s="1" t="s">
        <v>8948</v>
      </c>
      <c r="AL408" s="6" t="s">
        <v>8949</v>
      </c>
    </row>
    <row r="409" ht="15.75" hidden="1" customHeight="1">
      <c r="A409" s="1" t="s">
        <v>38</v>
      </c>
      <c r="B409" s="1" t="s">
        <v>8950</v>
      </c>
      <c r="C409" s="1" t="s">
        <v>8951</v>
      </c>
      <c r="D409" s="7" t="str">
        <f>IFERROR(__xludf.DUMMYFUNCTION("GOOGLETRANSLATE(C409, ""en"", ""ar"")"),"تم تدمير هذه الدردشة الجماعية")</f>
        <v>تم تدمير هذه الدردشة الجماعية</v>
      </c>
      <c r="E409" s="1" t="s">
        <v>8952</v>
      </c>
      <c r="F409" s="6" t="s">
        <v>8953</v>
      </c>
      <c r="G409" s="7" t="str">
        <f>IFERROR(__xludf.DUMMYFUNCTION("GOOGLETRANSLATE(C409, ""en"", ""cs"")"),"Tento skupinový chat byl zničen")</f>
        <v>Tento skupinový chat byl zničen</v>
      </c>
      <c r="H409" s="7" t="str">
        <f>IFERROR(__xludf.DUMMYFUNCTION("GOOGLETRANSLATE(C409, ""en"", ""da"")"),"Denne gruppe chat er blevet ødelagt")</f>
        <v>Denne gruppe chat er blevet ødelagt</v>
      </c>
      <c r="I409" s="1" t="s">
        <v>8954</v>
      </c>
      <c r="J409" s="6" t="s">
        <v>132</v>
      </c>
      <c r="K409" s="1" t="s">
        <v>8955</v>
      </c>
      <c r="L409" s="7" t="str">
        <f>IFERROR(__xludf.DUMMYFUNCTION("GOOGLETRANSLATE(C409, ""en"", ""fi"")"),"Tämä ryhmäkeskustelu on tuhottu")</f>
        <v>Tämä ryhmäkeskustelu on tuhottu</v>
      </c>
      <c r="M409" s="1" t="s">
        <v>8956</v>
      </c>
      <c r="N409" s="6" t="s">
        <v>8957</v>
      </c>
      <c r="O409" s="6" t="s">
        <v>132</v>
      </c>
      <c r="P409" s="1" t="s">
        <v>8958</v>
      </c>
      <c r="Q409" s="7" t="str">
        <f>IFERROR(__xludf.DUMMYFUNCTION("GOOGLETRANSLATE(C409, ""en"", ""in"")"),"Obrolan grup ini telah dihancurkan")</f>
        <v>Obrolan grup ini telah dihancurkan</v>
      </c>
      <c r="R409" s="1" t="s">
        <v>8959</v>
      </c>
      <c r="S409" s="6" t="s">
        <v>132</v>
      </c>
      <c r="T409" s="7" t="str">
        <f>IFERROR(__xludf.DUMMYFUNCTION("GOOGLETRANSLATE(C409, ""en"", ""ja"")"),"このグループチャットは破壊されました")</f>
        <v>このグループチャットは破壊されました</v>
      </c>
      <c r="U409" s="7" t="str">
        <f>IFERROR(__xludf.DUMMYFUNCTION("GOOGLETRANSLATE(C409, ""en"", ""ko"")"),"이 그룹 채팅이 파괴되었습니다")</f>
        <v>이 그룹 채팅이 파괴되었습니다</v>
      </c>
      <c r="V409" s="7" t="str">
        <f>IFERROR(__xludf.DUMMYFUNCTION("GOOGLETRANSLATE(C409, ""en"", ""ms"")"),"Sembang kumpulan ini telah dimusnahkan")</f>
        <v>Sembang kumpulan ini telah dimusnahkan</v>
      </c>
      <c r="W409" s="1" t="s">
        <v>8960</v>
      </c>
      <c r="X409" s="7" t="str">
        <f>IFERROR(__xludf.DUMMYFUNCTION("GOOGLETRANSLATE(C409, ""en"", ""no"")"),"Denne gruppen chat har blitt ødelagt")</f>
        <v>Denne gruppen chat har blitt ødelagt</v>
      </c>
      <c r="Y409" s="1" t="s">
        <v>8961</v>
      </c>
      <c r="Z409" s="7" t="str">
        <f>IFERROR(__xludf.DUMMYFUNCTION("GOOGLETRANSLATE(C409, ""en"", ""pt"")"),"Este bate-papo do grupo foi destruído")</f>
        <v>Este bate-papo do grupo foi destruído</v>
      </c>
      <c r="AA409" s="7" t="str">
        <f>IFERROR(__xludf.DUMMYFUNCTION("GOOGLETRANSLATE(C409, ""en"", ""ro"")"),"Acest chat de grup a fost distrus")</f>
        <v>Acest chat de grup a fost distrus</v>
      </c>
      <c r="AB409" s="7" t="str">
        <f>IFERROR(__xludf.DUMMYFUNCTION("GOOGLETRANSLATE(C409, ""en"", ""ru"")"),"Этот групповой чат был уничтожен")</f>
        <v>Этот групповой чат был уничтожен</v>
      </c>
      <c r="AC409" s="7" t="str">
        <f>IFERROR(__xludf.DUMMYFUNCTION("GOOGLETRANSLATE(C409, ""en"", ""sk"")"),"Táto skupina Chat bola zničená")</f>
        <v>Táto skupina Chat bola zničená</v>
      </c>
      <c r="AD409" s="6" t="s">
        <v>132</v>
      </c>
      <c r="AE409" s="1" t="s">
        <v>8962</v>
      </c>
      <c r="AF409" s="7" t="str">
        <f>IFERROR(__xludf.DUMMYFUNCTION("GOOGLETRANSLATE(C409, ""en"", ""sv"")"),"Denna gruppchatt har förstörts")</f>
        <v>Denna gruppchatt har förstörts</v>
      </c>
      <c r="AG409" s="6" t="s">
        <v>132</v>
      </c>
      <c r="AH409" s="7" t="str">
        <f>IFERROR(__xludf.DUMMYFUNCTION("GOOGLETRANSLATE(C409, ""en"", ""tr"")"),"Bu grup sohbeti tahrip edildi")</f>
        <v>Bu grup sohbeti tahrip edildi</v>
      </c>
      <c r="AI409" s="6" t="s">
        <v>132</v>
      </c>
      <c r="AJ409" s="6" t="s">
        <v>132</v>
      </c>
      <c r="AK409" s="7" t="str">
        <f>IFERROR(__xludf.DUMMYFUNCTION("GOOGLETRANSLATE(C409, ""en"", ""zh"")"),"这个群组聊天已被销毁")</f>
        <v>这个群组聊天已被销毁</v>
      </c>
      <c r="AL409" s="6" t="s">
        <v>132</v>
      </c>
    </row>
    <row r="410" ht="15.75" hidden="1" customHeight="1">
      <c r="A410" s="1" t="s">
        <v>38</v>
      </c>
      <c r="B410" s="1" t="s">
        <v>8963</v>
      </c>
      <c r="C410" s="1" t="s">
        <v>8964</v>
      </c>
      <c r="D410" s="8" t="s">
        <v>8965</v>
      </c>
      <c r="E410" s="1" t="s">
        <v>8966</v>
      </c>
      <c r="F410" s="6" t="s">
        <v>8967</v>
      </c>
      <c r="G410" s="7" t="str">
        <f>IFERROR(__xludf.DUMMYFUNCTION("GOOGLETRANSLATE(C410, ""en"", ""cs"")"),"Regenerovat Omemo Key.")</f>
        <v>Regenerovat Omemo Key.</v>
      </c>
      <c r="H410" s="7" t="str">
        <f>IFERROR(__xludf.DUMMYFUNCTION("GOOGLETRANSLATE(C410, ""en"", ""da"")"),"Regenerate Omemo Key.")</f>
        <v>Regenerate Omemo Key.</v>
      </c>
      <c r="I410" s="1" t="s">
        <v>8968</v>
      </c>
      <c r="J410" s="6" t="s">
        <v>132</v>
      </c>
      <c r="K410" s="1" t="s">
        <v>8969</v>
      </c>
      <c r="L410" s="7" t="str">
        <f>IFERROR(__xludf.DUMMYFUNCTION("GOOGLETRANSLATE(C410, ""en"", ""fi"")"),"Regeneroi omemon avain")</f>
        <v>Regeneroi omemon avain</v>
      </c>
      <c r="M410" s="1" t="s">
        <v>8970</v>
      </c>
      <c r="N410" s="6" t="s">
        <v>8971</v>
      </c>
      <c r="O410" s="6" t="s">
        <v>132</v>
      </c>
      <c r="P410" s="1" t="s">
        <v>8972</v>
      </c>
      <c r="Q410" s="7" t="str">
        <f>IFERROR(__xludf.DUMMYFUNCTION("GOOGLETRANSLATE(C410, ""en"", ""in"")"),"Regenerasi Omemo Key.")</f>
        <v>Regenerasi Omemo Key.</v>
      </c>
      <c r="R410" s="1" t="s">
        <v>8973</v>
      </c>
      <c r="S410" s="6" t="s">
        <v>132</v>
      </c>
      <c r="T410" s="1" t="s">
        <v>8974</v>
      </c>
      <c r="U410" s="1" t="s">
        <v>8975</v>
      </c>
      <c r="V410" s="7" t="str">
        <f>IFERROR(__xludf.DUMMYFUNCTION("GOOGLETRANSLATE(C410, ""en"", ""ms"")"),"Regenerate Omemo Key.")</f>
        <v>Regenerate Omemo Key.</v>
      </c>
      <c r="W410" s="1" t="s">
        <v>8976</v>
      </c>
      <c r="X410" s="7" t="str">
        <f>IFERROR(__xludf.DUMMYFUNCTION("GOOGLETRANSLATE(C410, ""en"", ""no"")"),"Regenerere OMEMO-tasten")</f>
        <v>Regenerere OMEMO-tasten</v>
      </c>
      <c r="Y410" s="1" t="s">
        <v>8977</v>
      </c>
      <c r="Z410" s="1" t="s">
        <v>8978</v>
      </c>
      <c r="AA410" s="7" t="str">
        <f>IFERROR(__xludf.DUMMYFUNCTION("GOOGLETRANSLATE(C410, ""en"", ""ro"")"),"Regenerați cheia Omemo.")</f>
        <v>Regenerați cheia Omemo.</v>
      </c>
      <c r="AB410" s="1" t="s">
        <v>8979</v>
      </c>
      <c r="AC410" s="7" t="str">
        <f>IFERROR(__xludf.DUMMYFUNCTION("GOOGLETRANSLATE(C410, ""en"", ""sk"")"),"Regenerovať OMEMO KEY")</f>
        <v>Regenerovať OMEMO KEY</v>
      </c>
      <c r="AD410" s="6" t="s">
        <v>132</v>
      </c>
      <c r="AE410" s="1" t="s">
        <v>8980</v>
      </c>
      <c r="AF410" s="1" t="s">
        <v>8981</v>
      </c>
      <c r="AG410" s="6" t="s">
        <v>132</v>
      </c>
      <c r="AH410" s="7" t="str">
        <f>IFERROR(__xludf.DUMMYFUNCTION("GOOGLETRANSLATE(C410, ""en"", ""tr"")"),"OMEMO anahtarını yenilemek")</f>
        <v>OMEMO anahtarını yenilemek</v>
      </c>
      <c r="AI410" s="6" t="s">
        <v>8982</v>
      </c>
      <c r="AJ410" s="6" t="s">
        <v>8983</v>
      </c>
      <c r="AK410" s="7" t="str">
        <f>IFERROR(__xludf.DUMMYFUNCTION("GOOGLETRANSLATE(C410, ""en"", ""zh"")"),"重新生成omemo钥匙")</f>
        <v>重新生成omemo钥匙</v>
      </c>
      <c r="AL410" s="6" t="s">
        <v>8984</v>
      </c>
    </row>
    <row r="411" ht="15.75" hidden="1" customHeight="1">
      <c r="A411" s="1" t="s">
        <v>38</v>
      </c>
      <c r="B411" s="1" t="s">
        <v>8985</v>
      </c>
      <c r="C411" s="1" t="s">
        <v>8986</v>
      </c>
      <c r="D411" s="7" t="str">
        <f>IFERROR(__xludf.DUMMYFUNCTION("GOOGLETRANSLATE(C411, ""en"", ""ar"")"),"الولايات المتحدة الامريكية")</f>
        <v>الولايات المتحدة الامريكية</v>
      </c>
      <c r="E411" s="7" t="str">
        <f>IFERROR(__xludf.DUMMYFUNCTION("GOOGLETRANSLATE(C411, ""en"", ""bg"")"),"Съединени Американски щати")</f>
        <v>Съединени Американски щати</v>
      </c>
      <c r="F411" s="6" t="s">
        <v>132</v>
      </c>
      <c r="G411" s="7" t="str">
        <f>IFERROR(__xludf.DUMMYFUNCTION("GOOGLETRANSLATE(C411, ""en"", ""cs"")"),"Spojené státy americké")</f>
        <v>Spojené státy americké</v>
      </c>
      <c r="H411" s="7" t="str">
        <f>IFERROR(__xludf.DUMMYFUNCTION("GOOGLETRANSLATE(C411, ""en"", ""da"")"),"Amerikas Forenede Stater")</f>
        <v>Amerikas Forenede Stater</v>
      </c>
      <c r="I411" s="1" t="s">
        <v>8987</v>
      </c>
      <c r="J411" s="6" t="s">
        <v>132</v>
      </c>
      <c r="K411" s="1" t="s">
        <v>8988</v>
      </c>
      <c r="L411" s="7" t="str">
        <f>IFERROR(__xludf.DUMMYFUNCTION("GOOGLETRANSLATE(C411, ""en"", ""fi"")"),"Yhdysvallat")</f>
        <v>Yhdysvallat</v>
      </c>
      <c r="M411" s="1" t="s">
        <v>8989</v>
      </c>
      <c r="N411" s="6" t="s">
        <v>132</v>
      </c>
      <c r="O411" s="6" t="s">
        <v>132</v>
      </c>
      <c r="P411" s="1" t="s">
        <v>8986</v>
      </c>
      <c r="Q411" s="7" t="str">
        <f>IFERROR(__xludf.DUMMYFUNCTION("GOOGLETRANSLATE(C411, ""en"", ""in"")"),"Amerika Serikat")</f>
        <v>Amerika Serikat</v>
      </c>
      <c r="R411" s="13" t="s">
        <v>8990</v>
      </c>
      <c r="S411" s="6" t="s">
        <v>132</v>
      </c>
      <c r="T411" s="7" t="str">
        <f>IFERROR(__xludf.DUMMYFUNCTION("GOOGLETRANSLATE(C411, ""en"", ""ja"")"),"アメリカ合衆国")</f>
        <v>アメリカ合衆国</v>
      </c>
      <c r="U411" s="7" t="str">
        <f>IFERROR(__xludf.DUMMYFUNCTION("GOOGLETRANSLATE(C411, ""en"", ""ko"")"),"미국의 미국")</f>
        <v>미국의 미국</v>
      </c>
      <c r="V411" s="7" t="str">
        <f>IFERROR(__xludf.DUMMYFUNCTION("GOOGLETRANSLATE(C411, ""en"", ""ms"")"),"Amerika Syarikat")</f>
        <v>Amerika Syarikat</v>
      </c>
      <c r="W411" s="7" t="str">
        <f>IFERROR(__xludf.DUMMYFUNCTION("GOOGLETRANSLATE(C411, ""en"", ""nl"")"),"Verenigde Staten van Amerika")</f>
        <v>Verenigde Staten van Amerika</v>
      </c>
      <c r="X411" s="7" t="str">
        <f>IFERROR(__xludf.DUMMYFUNCTION("GOOGLETRANSLATE(C411, ""en"", ""no"")"),"Amerikas forente stater")</f>
        <v>Amerikas forente stater</v>
      </c>
      <c r="Y411" s="7" t="str">
        <f>IFERROR(__xludf.DUMMYFUNCTION("GOOGLETRANSLATE(C411, ""en"", ""pl"")"),"Stany Zjednoczone Ameryki")</f>
        <v>Stany Zjednoczone Ameryki</v>
      </c>
      <c r="Z411" s="7" t="str">
        <f>IFERROR(__xludf.DUMMYFUNCTION("GOOGLETRANSLATE(C411, ""en"", ""pt"")"),"Estados Unidos da América")</f>
        <v>Estados Unidos da América</v>
      </c>
      <c r="AA411" s="7" t="str">
        <f>IFERROR(__xludf.DUMMYFUNCTION("GOOGLETRANSLATE(C411, ""en"", ""ro"")"),"Statele Unite ale Americii")</f>
        <v>Statele Unite ale Americii</v>
      </c>
      <c r="AB411" s="1" t="s">
        <v>8991</v>
      </c>
      <c r="AC411" s="7" t="str">
        <f>IFERROR(__xludf.DUMMYFUNCTION("GOOGLETRANSLATE(C411, ""en"", ""sk"")"),"Spojené štáty americké")</f>
        <v>Spojené štáty americké</v>
      </c>
      <c r="AD411" s="6" t="s">
        <v>132</v>
      </c>
      <c r="AE411" s="1" t="s">
        <v>8992</v>
      </c>
      <c r="AF411" s="7" t="str">
        <f>IFERROR(__xludf.DUMMYFUNCTION("GOOGLETRANSLATE(C411, ""en"", ""sv"")"),"Förenta staterna")</f>
        <v>Förenta staterna</v>
      </c>
      <c r="AG411" s="6" t="s">
        <v>132</v>
      </c>
      <c r="AH411" s="7" t="str">
        <f>IFERROR(__xludf.DUMMYFUNCTION("GOOGLETRANSLATE(C411, ""en"", ""tr"")"),"Amerika Birleşik Devletleri")</f>
        <v>Amerika Birleşik Devletleri</v>
      </c>
      <c r="AI411" s="6" t="s">
        <v>132</v>
      </c>
      <c r="AJ411" s="6" t="s">
        <v>132</v>
      </c>
      <c r="AK411" s="7" t="str">
        <f>IFERROR(__xludf.DUMMYFUNCTION("GOOGLETRANSLATE(C411, ""en"", ""zh"")"),"美国")</f>
        <v>美国</v>
      </c>
      <c r="AL411" s="6" t="s">
        <v>132</v>
      </c>
    </row>
    <row r="412" ht="15.75" hidden="1" customHeight="1">
      <c r="A412" s="1" t="s">
        <v>38</v>
      </c>
      <c r="B412" s="1" t="s">
        <v>8993</v>
      </c>
      <c r="C412" s="1" t="s">
        <v>8994</v>
      </c>
      <c r="D412" s="7" t="str">
        <f>IFERROR(__xludf.DUMMYFUNCTION("GOOGLETRANSLATE(C412, ""en"", ""ar"")"),"غوام")</f>
        <v>غوام</v>
      </c>
      <c r="E412" s="7" t="str">
        <f>IFERROR(__xludf.DUMMYFUNCTION("GOOGLETRANSLATE(C412, ""en"", ""bg"")"),"Гуша")</f>
        <v>Гуша</v>
      </c>
      <c r="F412" s="6" t="s">
        <v>132</v>
      </c>
      <c r="G412" s="7" t="str">
        <f>IFERROR(__xludf.DUMMYFUNCTION("GOOGLETRANSLATE(C412, ""en"", ""cs"")"),"Guam")</f>
        <v>Guam</v>
      </c>
      <c r="H412" s="7" t="str">
        <f>IFERROR(__xludf.DUMMYFUNCTION("GOOGLETRANSLATE(C412, ""en"", ""da"")"),"Guam.")</f>
        <v>Guam.</v>
      </c>
      <c r="I412" s="1" t="s">
        <v>8994</v>
      </c>
      <c r="J412" s="6" t="s">
        <v>132</v>
      </c>
      <c r="K412" s="1" t="s">
        <v>8994</v>
      </c>
      <c r="L412" s="7" t="str">
        <f>IFERROR(__xludf.DUMMYFUNCTION("GOOGLETRANSLATE(C412, ""en"", ""fi"")"),"Guam")</f>
        <v>Guam</v>
      </c>
      <c r="M412" s="1" t="s">
        <v>8994</v>
      </c>
      <c r="N412" s="6" t="s">
        <v>132</v>
      </c>
      <c r="O412" s="6" t="s">
        <v>132</v>
      </c>
      <c r="P412" s="1" t="s">
        <v>8994</v>
      </c>
      <c r="Q412" s="7" t="str">
        <f>IFERROR(__xludf.DUMMYFUNCTION("GOOGLETRANSLATE(C412, ""en"", ""in"")"),"Guam.")</f>
        <v>Guam.</v>
      </c>
      <c r="R412" s="7" t="str">
        <f>IFERROR(__xludf.DUMMYFUNCTION("GOOGLETRANSLATE(C412, ""en"", ""it"")"),"Guam.")</f>
        <v>Guam.</v>
      </c>
      <c r="S412" s="6" t="s">
        <v>132</v>
      </c>
      <c r="T412" s="7" t="str">
        <f>IFERROR(__xludf.DUMMYFUNCTION("GOOGLETRANSLATE(C412, ""en"", ""ja"")"),"グラム")</f>
        <v>グラム</v>
      </c>
      <c r="U412" s="7" t="str">
        <f>IFERROR(__xludf.DUMMYFUNCTION("GOOGLETRANSLATE(C412, ""en"", ""ko"")"),"괌")</f>
        <v>괌</v>
      </c>
      <c r="V412" s="7" t="str">
        <f>IFERROR(__xludf.DUMMYFUNCTION("GOOGLETRANSLATE(C412, ""en"", ""ms"")"),"Guam")</f>
        <v>Guam</v>
      </c>
      <c r="W412" s="7" t="str">
        <f>IFERROR(__xludf.DUMMYFUNCTION("GOOGLETRANSLATE(C412, ""en"", ""nl"")"),"Guam")</f>
        <v>Guam</v>
      </c>
      <c r="X412" s="7" t="str">
        <f>IFERROR(__xludf.DUMMYFUNCTION("GOOGLETRANSLATE(C412, ""en"", ""no"")"),"Guam")</f>
        <v>Guam</v>
      </c>
      <c r="Y412" s="7" t="str">
        <f>IFERROR(__xludf.DUMMYFUNCTION("GOOGLETRANSLATE(C412, ""en"", ""pl"")"),"Guam")</f>
        <v>Guam</v>
      </c>
      <c r="Z412" s="7" t="str">
        <f>IFERROR(__xludf.DUMMYFUNCTION("GOOGLETRANSLATE(C412, ""en"", ""pt"")"),"Guam")</f>
        <v>Guam</v>
      </c>
      <c r="AA412" s="7" t="str">
        <f>IFERROR(__xludf.DUMMYFUNCTION("GOOGLETRANSLATE(C412, ""en"", ""ro"")"),"Guam.")</f>
        <v>Guam.</v>
      </c>
      <c r="AB412" s="1" t="s">
        <v>8995</v>
      </c>
      <c r="AC412" s="7" t="str">
        <f>IFERROR(__xludf.DUMMYFUNCTION("GOOGLETRANSLATE(C412, ""en"", ""sk"")"),"Guma")</f>
        <v>Guma</v>
      </c>
      <c r="AD412" s="6" t="s">
        <v>132</v>
      </c>
      <c r="AE412" s="1" t="s">
        <v>8994</v>
      </c>
      <c r="AF412" s="7" t="str">
        <f>IFERROR(__xludf.DUMMYFUNCTION("GOOGLETRANSLATE(C412, ""en"", ""sv"")"),"Guam")</f>
        <v>Guam</v>
      </c>
      <c r="AG412" s="6" t="s">
        <v>132</v>
      </c>
      <c r="AH412" s="7" t="str">
        <f>IFERROR(__xludf.DUMMYFUNCTION("GOOGLETRANSLATE(C412, ""en"", ""tr"")"),"Guam")</f>
        <v>Guam</v>
      </c>
      <c r="AI412" s="6" t="s">
        <v>132</v>
      </c>
      <c r="AJ412" s="6" t="s">
        <v>132</v>
      </c>
      <c r="AK412" s="7" t="str">
        <f>IFERROR(__xludf.DUMMYFUNCTION("GOOGLETRANSLATE(C412, ""en"", ""zh"")"),"关岛")</f>
        <v>关岛</v>
      </c>
      <c r="AL412" s="6" t="s">
        <v>132</v>
      </c>
    </row>
    <row r="413" ht="15.75" customHeight="1">
      <c r="A413" s="1" t="s">
        <v>127</v>
      </c>
      <c r="B413" s="1" t="s">
        <v>8996</v>
      </c>
      <c r="C413" s="1" t="s">
        <v>8997</v>
      </c>
      <c r="D413" s="8" t="s">
        <v>8998</v>
      </c>
      <c r="E413" s="1" t="s">
        <v>8999</v>
      </c>
      <c r="F413" s="6" t="s">
        <v>132</v>
      </c>
      <c r="G413" s="1" t="s">
        <v>9000</v>
      </c>
      <c r="H413" s="1" t="s">
        <v>9001</v>
      </c>
      <c r="I413" s="1" t="s">
        <v>8997</v>
      </c>
      <c r="J413" s="6" t="s">
        <v>9002</v>
      </c>
      <c r="K413" s="1" t="s">
        <v>9003</v>
      </c>
      <c r="L413" s="1" t="s">
        <v>9004</v>
      </c>
      <c r="M413" s="1" t="s">
        <v>9005</v>
      </c>
      <c r="N413" s="6" t="s">
        <v>132</v>
      </c>
      <c r="O413" s="6" t="s">
        <v>9006</v>
      </c>
      <c r="P413" s="1" t="s">
        <v>9007</v>
      </c>
      <c r="Q413" s="1" t="s">
        <v>9008</v>
      </c>
      <c r="R413" s="1" t="s">
        <v>9009</v>
      </c>
      <c r="S413" s="10" t="s">
        <v>9010</v>
      </c>
      <c r="T413" s="1" t="s">
        <v>9011</v>
      </c>
      <c r="U413" s="1" t="s">
        <v>9012</v>
      </c>
      <c r="V413" s="1" t="s">
        <v>9008</v>
      </c>
      <c r="W413" s="1" t="s">
        <v>9013</v>
      </c>
      <c r="X413" s="1" t="s">
        <v>9001</v>
      </c>
      <c r="Y413" s="1" t="s">
        <v>9014</v>
      </c>
      <c r="Z413" s="1" t="s">
        <v>9009</v>
      </c>
      <c r="AA413" s="1" t="s">
        <v>9015</v>
      </c>
      <c r="AB413" s="1" t="s">
        <v>9016</v>
      </c>
      <c r="AC413" s="1" t="s">
        <v>9017</v>
      </c>
      <c r="AD413" s="6" t="s">
        <v>9018</v>
      </c>
      <c r="AE413" s="1" t="s">
        <v>9018</v>
      </c>
      <c r="AF413" s="1" t="s">
        <v>9019</v>
      </c>
      <c r="AG413" s="6" t="s">
        <v>9020</v>
      </c>
      <c r="AH413" s="1" t="s">
        <v>9021</v>
      </c>
      <c r="AI413" s="6" t="s">
        <v>132</v>
      </c>
      <c r="AJ413" s="6" t="s">
        <v>9022</v>
      </c>
      <c r="AK413" s="1" t="s">
        <v>9023</v>
      </c>
      <c r="AL413" s="6" t="s">
        <v>9024</v>
      </c>
    </row>
    <row r="414" ht="15.75" hidden="1" customHeight="1">
      <c r="A414" s="1" t="s">
        <v>38</v>
      </c>
      <c r="B414" s="1" t="s">
        <v>9025</v>
      </c>
      <c r="C414" s="1" t="s">
        <v>9026</v>
      </c>
      <c r="D414" s="8" t="s">
        <v>9027</v>
      </c>
      <c r="E414" s="1" t="s">
        <v>9028</v>
      </c>
      <c r="F414" s="6" t="s">
        <v>9029</v>
      </c>
      <c r="G414" s="7" t="str">
        <f>IFERROR(__xludf.DUMMYFUNCTION("GOOGLETRANSLATE(C414, ""en"", ""cs"")"),"Kopírovat Omemo otisk prstu do schránky")</f>
        <v>Kopírovat Omemo otisk prstu do schránky</v>
      </c>
      <c r="H414" s="7" t="str">
        <f>IFERROR(__xludf.DUMMYFUNCTION("GOOGLETRANSLATE(C414, ""en"", ""da"")"),"Kopier Omemo fingeraftryk på udklipsholder")</f>
        <v>Kopier Omemo fingeraftryk på udklipsholder</v>
      </c>
      <c r="I414" s="1" t="s">
        <v>9030</v>
      </c>
      <c r="J414" s="6" t="s">
        <v>132</v>
      </c>
      <c r="K414" s="1" t="s">
        <v>9031</v>
      </c>
      <c r="L414" s="7" t="str">
        <f>IFERROR(__xludf.DUMMYFUNCTION("GOOGLETRANSLATE(C414, ""en"", ""fi"")"),"Kopioi OMEMO sormenjälki leikepöydälle")</f>
        <v>Kopioi OMEMO sormenjälki leikepöydälle</v>
      </c>
      <c r="M414" s="1" t="s">
        <v>9032</v>
      </c>
      <c r="N414" s="6" t="s">
        <v>9033</v>
      </c>
      <c r="O414" s="6" t="s">
        <v>132</v>
      </c>
      <c r="P414" s="1" t="s">
        <v>9034</v>
      </c>
      <c r="Q414" s="7" t="str">
        <f>IFERROR(__xludf.DUMMYFUNCTION("GOOGLETRANSLATE(C414, ""en"", ""in"")"),"Salin omemo sidik jari ke clipboard")</f>
        <v>Salin omemo sidik jari ke clipboard</v>
      </c>
      <c r="R414" s="1" t="s">
        <v>9035</v>
      </c>
      <c r="S414" s="6" t="s">
        <v>132</v>
      </c>
      <c r="T414" s="1" t="s">
        <v>9036</v>
      </c>
      <c r="U414" s="1" t="s">
        <v>9037</v>
      </c>
      <c r="V414" s="7" t="str">
        <f>IFERROR(__xludf.DUMMYFUNCTION("GOOGLETRANSLATE(C414, ""en"", ""ms"")"),"Salin cap jari omemo ke papan klip")</f>
        <v>Salin cap jari omemo ke papan klip</v>
      </c>
      <c r="W414" s="1" t="s">
        <v>9038</v>
      </c>
      <c r="X414" s="7" t="str">
        <f>IFERROR(__xludf.DUMMYFUNCTION("GOOGLETRANSLATE(C414, ""en"", ""no"")"),"Kopier OMEMO fingeravtrykk til utklippstavlen")</f>
        <v>Kopier OMEMO fingeravtrykk til utklippstavlen</v>
      </c>
      <c r="Y414" s="1" t="s">
        <v>9039</v>
      </c>
      <c r="Z414" s="1" t="s">
        <v>9040</v>
      </c>
      <c r="AA414" s="7" t="str">
        <f>IFERROR(__xludf.DUMMYFUNCTION("GOOGLETRANSLATE(C414, ""en"", ""ro"")"),"Copiați amprenta Omemo în clipboard")</f>
        <v>Copiați amprenta Omemo în clipboard</v>
      </c>
      <c r="AB414" s="1" t="s">
        <v>9041</v>
      </c>
      <c r="AC414" s="1" t="s">
        <v>9042</v>
      </c>
      <c r="AD414" s="6" t="s">
        <v>132</v>
      </c>
      <c r="AE414" s="1" t="s">
        <v>9043</v>
      </c>
      <c r="AF414" s="1" t="s">
        <v>9044</v>
      </c>
      <c r="AG414" s="6" t="s">
        <v>132</v>
      </c>
      <c r="AH414" s="7" t="str">
        <f>IFERROR(__xludf.DUMMYFUNCTION("GOOGLETRANSLATE(C414, ""en"", ""tr"")"),"Omemo Parmak İzini Panoya Kopyala")</f>
        <v>Omemo Parmak İzini Panoya Kopyala</v>
      </c>
      <c r="AI414" s="6" t="s">
        <v>9045</v>
      </c>
      <c r="AJ414" s="6" t="s">
        <v>9046</v>
      </c>
      <c r="AK414" s="7" t="str">
        <f>IFERROR(__xludf.DUMMYFUNCTION("GOOGLETRANSLATE(C414, ""en"", ""zh"")"),"将omemo指纹复制到剪贴板")</f>
        <v>将omemo指纹复制到剪贴板</v>
      </c>
      <c r="AL414" s="6" t="s">
        <v>9047</v>
      </c>
    </row>
    <row r="415" ht="15.75" customHeight="1">
      <c r="A415" s="1" t="s">
        <v>127</v>
      </c>
      <c r="B415" s="1" t="s">
        <v>9048</v>
      </c>
      <c r="C415" s="1" t="s">
        <v>6396</v>
      </c>
      <c r="D415" s="8" t="s">
        <v>9049</v>
      </c>
      <c r="E415" s="1" t="s">
        <v>9050</v>
      </c>
      <c r="F415" s="6" t="s">
        <v>132</v>
      </c>
      <c r="G415" s="1" t="s">
        <v>9051</v>
      </c>
      <c r="H415" s="1" t="s">
        <v>6393</v>
      </c>
      <c r="I415" s="1" t="s">
        <v>6396</v>
      </c>
      <c r="J415" s="6" t="s">
        <v>9052</v>
      </c>
      <c r="K415" s="1" t="s">
        <v>6396</v>
      </c>
      <c r="L415" s="1" t="s">
        <v>6396</v>
      </c>
      <c r="M415" s="1" t="s">
        <v>6396</v>
      </c>
      <c r="N415" s="6" t="s">
        <v>132</v>
      </c>
      <c r="O415" s="6" t="s">
        <v>9053</v>
      </c>
      <c r="P415" s="1" t="s">
        <v>6396</v>
      </c>
      <c r="Q415" s="1" t="s">
        <v>6396</v>
      </c>
      <c r="R415" s="1" t="s">
        <v>6402</v>
      </c>
      <c r="S415" s="10" t="s">
        <v>9054</v>
      </c>
      <c r="T415" s="1" t="s">
        <v>6396</v>
      </c>
      <c r="U415" s="1" t="s">
        <v>6396</v>
      </c>
      <c r="V415" s="1" t="s">
        <v>6396</v>
      </c>
      <c r="W415" s="1" t="s">
        <v>6396</v>
      </c>
      <c r="X415" s="1" t="s">
        <v>6396</v>
      </c>
      <c r="Y415" s="1" t="s">
        <v>6396</v>
      </c>
      <c r="Z415" s="1" t="s">
        <v>6396</v>
      </c>
      <c r="AA415" s="1" t="s">
        <v>6409</v>
      </c>
      <c r="AB415" s="1" t="s">
        <v>6396</v>
      </c>
      <c r="AC415" s="1" t="s">
        <v>6392</v>
      </c>
      <c r="AD415" s="6" t="s">
        <v>9055</v>
      </c>
      <c r="AE415" s="1" t="s">
        <v>6396</v>
      </c>
      <c r="AF415" s="1" t="s">
        <v>6396</v>
      </c>
      <c r="AG415" s="6" t="s">
        <v>6396</v>
      </c>
      <c r="AH415" s="1" t="s">
        <v>9056</v>
      </c>
      <c r="AI415" s="6" t="s">
        <v>132</v>
      </c>
      <c r="AJ415" s="6" t="s">
        <v>9057</v>
      </c>
      <c r="AK415" s="1" t="s">
        <v>9058</v>
      </c>
      <c r="AL415" s="6" t="s">
        <v>9059</v>
      </c>
    </row>
    <row r="416" ht="15.75" hidden="1" customHeight="1">
      <c r="A416" s="1" t="s">
        <v>38</v>
      </c>
      <c r="B416" s="1" t="s">
        <v>9060</v>
      </c>
      <c r="C416" s="1" t="s">
        <v>9061</v>
      </c>
      <c r="D416" s="7" t="str">
        <f>IFERROR(__xludf.DUMMYFUNCTION("GOOGLETRANSLATE(C416, ""en"", ""ar"")"),"الكاميرون")</f>
        <v>الكاميرون</v>
      </c>
      <c r="E416" s="7" t="str">
        <f>IFERROR(__xludf.DUMMYFUNCTION("GOOGLETRANSLATE(C416, ""en"", ""bg"")"),"Камерун")</f>
        <v>Камерун</v>
      </c>
      <c r="F416" s="6" t="s">
        <v>132</v>
      </c>
      <c r="G416" s="7" t="str">
        <f>IFERROR(__xludf.DUMMYFUNCTION("GOOGLETRANSLATE(C416, ""en"", ""cs"")"),"Kamerán")</f>
        <v>Kamerán</v>
      </c>
      <c r="H416" s="7" t="str">
        <f>IFERROR(__xludf.DUMMYFUNCTION("GOOGLETRANSLATE(C416, ""en"", ""da"")"),"Kamerun")</f>
        <v>Kamerun</v>
      </c>
      <c r="I416" s="1" t="s">
        <v>9062</v>
      </c>
      <c r="J416" s="6" t="s">
        <v>132</v>
      </c>
      <c r="K416" s="1" t="s">
        <v>9063</v>
      </c>
      <c r="L416" s="7" t="str">
        <f>IFERROR(__xludf.DUMMYFUNCTION("GOOGLETRANSLATE(C416, ""en"", ""fi"")"),"Kamerun")</f>
        <v>Kamerun</v>
      </c>
      <c r="M416" s="1" t="s">
        <v>9064</v>
      </c>
      <c r="N416" s="6" t="s">
        <v>132</v>
      </c>
      <c r="O416" s="6" t="s">
        <v>132</v>
      </c>
      <c r="P416" s="1" t="s">
        <v>9061</v>
      </c>
      <c r="Q416" s="7" t="str">
        <f>IFERROR(__xludf.DUMMYFUNCTION("GOOGLETRANSLATE(C416, ""en"", ""in"")"),"Kamerun.")</f>
        <v>Kamerun.</v>
      </c>
      <c r="R416" s="7" t="str">
        <f>IFERROR(__xludf.DUMMYFUNCTION("GOOGLETRANSLATE(C416, ""en"", ""it"")"),"Camerun")</f>
        <v>Camerun</v>
      </c>
      <c r="S416" s="6" t="s">
        <v>132</v>
      </c>
      <c r="T416" s="7" t="str">
        <f>IFERROR(__xludf.DUMMYFUNCTION("GOOGLETRANSLATE(C416, ""en"", ""ja"")"),"カメルーン")</f>
        <v>カメルーン</v>
      </c>
      <c r="U416" s="7" t="str">
        <f>IFERROR(__xludf.DUMMYFUNCTION("GOOGLETRANSLATE(C416, ""en"", ""ko"")"),"카메룬")</f>
        <v>카메룬</v>
      </c>
      <c r="V416" s="7" t="str">
        <f>IFERROR(__xludf.DUMMYFUNCTION("GOOGLETRANSLATE(C416, ""en"", ""ms"")"),"Cameroon")</f>
        <v>Cameroon</v>
      </c>
      <c r="W416" s="7" t="str">
        <f>IFERROR(__xludf.DUMMYFUNCTION("GOOGLETRANSLATE(C416, ""en"", ""nl"")"),"Kameroen")</f>
        <v>Kameroen</v>
      </c>
      <c r="X416" s="7" t="str">
        <f>IFERROR(__xludf.DUMMYFUNCTION("GOOGLETRANSLATE(C416, ""en"", ""no"")"),"Kamerun")</f>
        <v>Kamerun</v>
      </c>
      <c r="Y416" s="7" t="str">
        <f>IFERROR(__xludf.DUMMYFUNCTION("GOOGLETRANSLATE(C416, ""en"", ""pl"")"),"Kamerun")</f>
        <v>Kamerun</v>
      </c>
      <c r="Z416" s="7" t="str">
        <f>IFERROR(__xludf.DUMMYFUNCTION("GOOGLETRANSLATE(C416, ""en"", ""pt"")"),"Camarões")</f>
        <v>Camarões</v>
      </c>
      <c r="AA416" s="7" t="str">
        <f>IFERROR(__xludf.DUMMYFUNCTION("GOOGLETRANSLATE(C416, ""en"", ""ro"")"),"Camerun")</f>
        <v>Camerun</v>
      </c>
      <c r="AB416" s="1" t="s">
        <v>9065</v>
      </c>
      <c r="AC416" s="7" t="str">
        <f>IFERROR(__xludf.DUMMYFUNCTION("GOOGLETRANSLATE(C416, ""en"", ""sk"")"),"Kamene")</f>
        <v>Kamene</v>
      </c>
      <c r="AD416" s="6" t="s">
        <v>132</v>
      </c>
      <c r="AE416" s="1" t="s">
        <v>9062</v>
      </c>
      <c r="AF416" s="7" t="str">
        <f>IFERROR(__xludf.DUMMYFUNCTION("GOOGLETRANSLATE(C416, ""en"", ""sv"")"),"Kamerun")</f>
        <v>Kamerun</v>
      </c>
      <c r="AG416" s="6" t="s">
        <v>132</v>
      </c>
      <c r="AH416" s="7" t="str">
        <f>IFERROR(__xludf.DUMMYFUNCTION("GOOGLETRANSLATE(C416, ""en"", ""tr"")"),"Kamerun")</f>
        <v>Kamerun</v>
      </c>
      <c r="AI416" s="6" t="s">
        <v>132</v>
      </c>
      <c r="AJ416" s="6" t="s">
        <v>132</v>
      </c>
      <c r="AK416" s="7" t="str">
        <f>IFERROR(__xludf.DUMMYFUNCTION("GOOGLETRANSLATE(C416, ""en"", ""zh"")"),"喀麦隆")</f>
        <v>喀麦隆</v>
      </c>
      <c r="AL416" s="6" t="s">
        <v>132</v>
      </c>
    </row>
    <row r="417" ht="15.75" hidden="1" customHeight="1">
      <c r="A417" s="1" t="s">
        <v>38</v>
      </c>
      <c r="B417" s="1" t="s">
        <v>9066</v>
      </c>
      <c r="C417" s="1" t="s">
        <v>9067</v>
      </c>
      <c r="D417" s="7" t="str">
        <f>IFERROR(__xludf.DUMMYFUNCTION("GOOGLETRANSLATE(C417, ""en"", ""ar"")"),"مالطا")</f>
        <v>مالطا</v>
      </c>
      <c r="E417" s="7" t="str">
        <f>IFERROR(__xludf.DUMMYFUNCTION("GOOGLETRANSLATE(C417, ""en"", ""bg"")"),"Малта")</f>
        <v>Малта</v>
      </c>
      <c r="F417" s="6" t="s">
        <v>132</v>
      </c>
      <c r="G417" s="7" t="str">
        <f>IFERROR(__xludf.DUMMYFUNCTION("GOOGLETRANSLATE(C417, ""en"", ""cs"")"),"Malta")</f>
        <v>Malta</v>
      </c>
      <c r="H417" s="7" t="str">
        <f>IFERROR(__xludf.DUMMYFUNCTION("GOOGLETRANSLATE(C417, ""en"", ""da"")"),"Maltra.")</f>
        <v>Maltra.</v>
      </c>
      <c r="I417" s="1" t="s">
        <v>9067</v>
      </c>
      <c r="J417" s="6" t="s">
        <v>132</v>
      </c>
      <c r="K417" s="1" t="s">
        <v>9067</v>
      </c>
      <c r="L417" s="7" t="str">
        <f>IFERROR(__xludf.DUMMYFUNCTION("GOOGLETRANSLATE(C417, ""en"", ""fi"")"),"Malta")</f>
        <v>Malta</v>
      </c>
      <c r="M417" s="1" t="s">
        <v>9068</v>
      </c>
      <c r="N417" s="6" t="s">
        <v>132</v>
      </c>
      <c r="O417" s="6" t="s">
        <v>132</v>
      </c>
      <c r="P417" s="1" t="s">
        <v>9067</v>
      </c>
      <c r="Q417" s="7" t="str">
        <f>IFERROR(__xludf.DUMMYFUNCTION("GOOGLETRANSLATE(C417, ""en"", ""in"")"),"Malta")</f>
        <v>Malta</v>
      </c>
      <c r="R417" s="7" t="str">
        <f>IFERROR(__xludf.DUMMYFUNCTION("GOOGLETRANSLATE(C417, ""en"", ""it"")"),"Malta")</f>
        <v>Malta</v>
      </c>
      <c r="S417" s="6" t="s">
        <v>132</v>
      </c>
      <c r="T417" s="7" t="str">
        <f>IFERROR(__xludf.DUMMYFUNCTION("GOOGLETRANSLATE(C417, ""en"", ""ja"")"),"マルタ")</f>
        <v>マルタ</v>
      </c>
      <c r="U417" s="7" t="str">
        <f>IFERROR(__xludf.DUMMYFUNCTION("GOOGLETRANSLATE(C417, ""en"", ""ko"")"),"몰타")</f>
        <v>몰타</v>
      </c>
      <c r="V417" s="7" t="str">
        <f>IFERROR(__xludf.DUMMYFUNCTION("GOOGLETRANSLATE(C417, ""en"", ""ms"")"),"Malta.")</f>
        <v>Malta.</v>
      </c>
      <c r="W417" s="7" t="str">
        <f>IFERROR(__xludf.DUMMYFUNCTION("GOOGLETRANSLATE(C417, ""en"", ""nl"")"),"Malta")</f>
        <v>Malta</v>
      </c>
      <c r="X417" s="7" t="str">
        <f>IFERROR(__xludf.DUMMYFUNCTION("GOOGLETRANSLATE(C417, ""en"", ""no"")"),"Malta.")</f>
        <v>Malta.</v>
      </c>
      <c r="Y417" s="7" t="str">
        <f>IFERROR(__xludf.DUMMYFUNCTION("GOOGLETRANSLATE(C417, ""en"", ""pl"")"),"Malta.")</f>
        <v>Malta.</v>
      </c>
      <c r="Z417" s="7" t="str">
        <f>IFERROR(__xludf.DUMMYFUNCTION("GOOGLETRANSLATE(C417, ""en"", ""pt"")"),"Malta")</f>
        <v>Malta</v>
      </c>
      <c r="AA417" s="7" t="str">
        <f>IFERROR(__xludf.DUMMYFUNCTION("GOOGLETRANSLATE(C417, ""en"", ""ro"")"),"Malta")</f>
        <v>Malta</v>
      </c>
      <c r="AB417" s="1" t="s">
        <v>9069</v>
      </c>
      <c r="AC417" s="7" t="str">
        <f>IFERROR(__xludf.DUMMYFUNCTION("GOOGLETRANSLATE(C417, ""en"", ""sk"")"),"Malta")</f>
        <v>Malta</v>
      </c>
      <c r="AD417" s="6" t="s">
        <v>132</v>
      </c>
      <c r="AE417" s="1" t="s">
        <v>9067</v>
      </c>
      <c r="AF417" s="7" t="str">
        <f>IFERROR(__xludf.DUMMYFUNCTION("GOOGLETRANSLATE(C417, ""en"", ""sv"")"),"Malta")</f>
        <v>Malta</v>
      </c>
      <c r="AG417" s="6" t="s">
        <v>132</v>
      </c>
      <c r="AH417" s="7" t="str">
        <f>IFERROR(__xludf.DUMMYFUNCTION("GOOGLETRANSLATE(C417, ""en"", ""tr"")"),"Malta")</f>
        <v>Malta</v>
      </c>
      <c r="AI417" s="6" t="s">
        <v>132</v>
      </c>
      <c r="AJ417" s="6" t="s">
        <v>132</v>
      </c>
      <c r="AK417" s="7" t="str">
        <f>IFERROR(__xludf.DUMMYFUNCTION("GOOGLETRANSLATE(C417, ""en"", ""zh"")"),"马耳他")</f>
        <v>马耳他</v>
      </c>
      <c r="AL417" s="6" t="s">
        <v>132</v>
      </c>
    </row>
    <row r="418" ht="15.75" hidden="1" customHeight="1">
      <c r="A418" s="1" t="s">
        <v>38</v>
      </c>
      <c r="B418" s="1" t="s">
        <v>9070</v>
      </c>
      <c r="C418" s="1" t="s">
        <v>9071</v>
      </c>
      <c r="D418" s="8" t="s">
        <v>9072</v>
      </c>
      <c r="E418" s="1" t="s">
        <v>9073</v>
      </c>
      <c r="F418" s="6" t="s">
        <v>9074</v>
      </c>
      <c r="G418" s="7" t="str">
        <f>IFERROR(__xludf.DUMMYFUNCTION("GOOGLETRANSLATE(C418, ""en"", ""cs"")"),"XEP-0191: Blokování příkazu")</f>
        <v>XEP-0191: Blokování příkazu</v>
      </c>
      <c r="H418" s="7" t="str">
        <f>IFERROR(__xludf.DUMMYFUNCTION("GOOGLETRANSLATE(C418, ""en"", ""da"")"),"XEP-0191: Blokeringskommando")</f>
        <v>XEP-0191: Blokeringskommando</v>
      </c>
      <c r="I418" s="1" t="s">
        <v>9071</v>
      </c>
      <c r="J418" s="6" t="s">
        <v>132</v>
      </c>
      <c r="K418" s="1" t="s">
        <v>9071</v>
      </c>
      <c r="L418" s="7" t="str">
        <f>IFERROR(__xludf.DUMMYFUNCTION("GOOGLETRANSLATE(C418, ""en"", ""fi"")"),"XEP-0191: estokomento")</f>
        <v>XEP-0191: estokomento</v>
      </c>
      <c r="M418" s="1" t="s">
        <v>9075</v>
      </c>
      <c r="N418" s="6" t="s">
        <v>9076</v>
      </c>
      <c r="O418" s="6" t="s">
        <v>132</v>
      </c>
      <c r="P418" s="1" t="s">
        <v>9071</v>
      </c>
      <c r="Q418" s="9" t="s">
        <v>9071</v>
      </c>
      <c r="R418" s="1" t="s">
        <v>9071</v>
      </c>
      <c r="S418" s="6" t="s">
        <v>132</v>
      </c>
      <c r="T418" s="1" t="s">
        <v>9077</v>
      </c>
      <c r="U418" s="1" t="s">
        <v>9071</v>
      </c>
      <c r="V418" s="7" t="str">
        <f>IFERROR(__xludf.DUMMYFUNCTION("GOOGLETRANSLATE(C418, ""en"", ""ms"")"),"Xep-0191: menyekat arahan")</f>
        <v>Xep-0191: menyekat arahan</v>
      </c>
      <c r="W418" s="1" t="s">
        <v>9071</v>
      </c>
      <c r="X418" s="7" t="str">
        <f>IFERROR(__xludf.DUMMYFUNCTION("GOOGLETRANSLATE(C418, ""en"", ""no"")"),"XEP-0191: Blokkeringskommando")</f>
        <v>XEP-0191: Blokkeringskommando</v>
      </c>
      <c r="Y418" s="1" t="s">
        <v>9071</v>
      </c>
      <c r="Z418" s="1" t="s">
        <v>9071</v>
      </c>
      <c r="AA418" s="7" t="str">
        <f>IFERROR(__xludf.DUMMYFUNCTION("GOOGLETRANSLATE(C418, ""en"", ""ro"")"),"Xep-0191: Blocarea comenzii")</f>
        <v>Xep-0191: Blocarea comenzii</v>
      </c>
      <c r="AB418" s="1" t="s">
        <v>9078</v>
      </c>
      <c r="AC418" s="1" t="s">
        <v>9071</v>
      </c>
      <c r="AD418" s="6" t="s">
        <v>132</v>
      </c>
      <c r="AE418" s="1" t="s">
        <v>9079</v>
      </c>
      <c r="AF418" s="1" t="s">
        <v>9071</v>
      </c>
      <c r="AG418" s="6" t="s">
        <v>132</v>
      </c>
      <c r="AH418" s="7" t="str">
        <f>IFERROR(__xludf.DUMMYFUNCTION("GOOGLETRANSLATE(C418, ""en"", ""tr"")"),"XEP-0191: Engelleme komutu")</f>
        <v>XEP-0191: Engelleme komutu</v>
      </c>
      <c r="AI418" s="6" t="s">
        <v>9080</v>
      </c>
      <c r="AJ418" s="6" t="s">
        <v>9071</v>
      </c>
      <c r="AK418" s="7" t="str">
        <f>IFERROR(__xludf.DUMMYFUNCTION("GOOGLETRANSLATE(C418, ""en"", ""zh"")"),"XEP-0191：阻塞命令")</f>
        <v>XEP-0191：阻塞命令</v>
      </c>
      <c r="AL418" s="6" t="s">
        <v>9081</v>
      </c>
    </row>
    <row r="419" ht="15.75" customHeight="1">
      <c r="A419" s="1" t="s">
        <v>127</v>
      </c>
      <c r="B419" s="1" t="s">
        <v>9082</v>
      </c>
      <c r="C419" s="1" t="s">
        <v>9083</v>
      </c>
      <c r="D419" s="8" t="s">
        <v>9084</v>
      </c>
      <c r="E419" s="1" t="s">
        <v>9085</v>
      </c>
      <c r="F419" s="6" t="s">
        <v>132</v>
      </c>
      <c r="G419" s="1" t="s">
        <v>9086</v>
      </c>
      <c r="H419" s="1" t="s">
        <v>9087</v>
      </c>
      <c r="I419" s="1" t="s">
        <v>9088</v>
      </c>
      <c r="J419" s="6" t="s">
        <v>9089</v>
      </c>
      <c r="K419" s="1" t="s">
        <v>9090</v>
      </c>
      <c r="L419" s="1" t="s">
        <v>9091</v>
      </c>
      <c r="M419" s="1" t="s">
        <v>9092</v>
      </c>
      <c r="N419" s="6" t="s">
        <v>132</v>
      </c>
      <c r="O419" s="6" t="s">
        <v>9093</v>
      </c>
      <c r="P419" s="1" t="s">
        <v>9094</v>
      </c>
      <c r="Q419" s="1" t="s">
        <v>9095</v>
      </c>
      <c r="R419" s="1" t="s">
        <v>9096</v>
      </c>
      <c r="S419" s="10" t="s">
        <v>9097</v>
      </c>
      <c r="T419" s="1" t="s">
        <v>9098</v>
      </c>
      <c r="U419" s="1" t="s">
        <v>9099</v>
      </c>
      <c r="V419" s="1" t="s">
        <v>9100</v>
      </c>
      <c r="W419" s="1" t="s">
        <v>9101</v>
      </c>
      <c r="X419" s="1" t="s">
        <v>9102</v>
      </c>
      <c r="Y419" s="1" t="s">
        <v>9103</v>
      </c>
      <c r="Z419" s="1" t="s">
        <v>9104</v>
      </c>
      <c r="AA419" s="1" t="s">
        <v>9105</v>
      </c>
      <c r="AB419" s="1" t="s">
        <v>3551</v>
      </c>
      <c r="AC419" s="1" t="s">
        <v>9106</v>
      </c>
      <c r="AD419" s="6" t="s">
        <v>9107</v>
      </c>
      <c r="AE419" s="1" t="s">
        <v>9108</v>
      </c>
      <c r="AF419" s="1" t="s">
        <v>9109</v>
      </c>
      <c r="AG419" s="6" t="s">
        <v>9110</v>
      </c>
      <c r="AH419" s="1" t="s">
        <v>9111</v>
      </c>
      <c r="AI419" s="6" t="s">
        <v>132</v>
      </c>
      <c r="AJ419" s="6" t="s">
        <v>9112</v>
      </c>
      <c r="AK419" s="1" t="s">
        <v>9113</v>
      </c>
      <c r="AL419" s="6" t="s">
        <v>9114</v>
      </c>
    </row>
    <row r="420" ht="15.75" hidden="1" customHeight="1">
      <c r="A420" s="1" t="s">
        <v>38</v>
      </c>
      <c r="B420" s="1" t="s">
        <v>9115</v>
      </c>
      <c r="C420" s="1" t="s">
        <v>9116</v>
      </c>
      <c r="D420" s="8" t="s">
        <v>9117</v>
      </c>
      <c r="E420" s="1" t="s">
        <v>9118</v>
      </c>
      <c r="F420" s="6" t="s">
        <v>9119</v>
      </c>
      <c r="G420" s="7" t="str">
        <f>IFERROR(__xludf.DUMMYFUNCTION("GOOGLETRANSLATE(C420, ""en"", ""cs"")"),"Nikdy neposílejte havárie")</f>
        <v>Nikdy neposílejte havárie</v>
      </c>
      <c r="H420" s="7" t="str">
        <f>IFERROR(__xludf.DUMMYFUNCTION("GOOGLETRANSLATE(C420, ""en"", ""da"")"),"Send aldrig kollisionsrapporter")</f>
        <v>Send aldrig kollisionsrapporter</v>
      </c>
      <c r="I420" s="1" t="s">
        <v>9120</v>
      </c>
      <c r="J420" s="6" t="s">
        <v>132</v>
      </c>
      <c r="K420" s="1" t="s">
        <v>9121</v>
      </c>
      <c r="L420" s="7" t="str">
        <f>IFERROR(__xludf.DUMMYFUNCTION("GOOGLETRANSLATE(C420, ""en"", ""fi"")"),"Älä koskaan lähetä törmäysraportteja")</f>
        <v>Älä koskaan lähetä törmäysraportteja</v>
      </c>
      <c r="M420" s="1" t="s">
        <v>9122</v>
      </c>
      <c r="N420" s="6" t="s">
        <v>9123</v>
      </c>
      <c r="O420" s="6" t="s">
        <v>132</v>
      </c>
      <c r="P420" s="1" t="s">
        <v>9124</v>
      </c>
      <c r="Q420" s="9" t="s">
        <v>9125</v>
      </c>
      <c r="R420" s="1" t="s">
        <v>9126</v>
      </c>
      <c r="S420" s="6" t="s">
        <v>132</v>
      </c>
      <c r="T420" s="1" t="s">
        <v>9127</v>
      </c>
      <c r="U420" s="1" t="s">
        <v>9128</v>
      </c>
      <c r="V420" s="7" t="str">
        <f>IFERROR(__xludf.DUMMYFUNCTION("GOOGLETRANSLATE(C420, ""en"", ""ms"")"),"Jangan hantar laporan kemalangan")</f>
        <v>Jangan hantar laporan kemalangan</v>
      </c>
      <c r="W420" s="1" t="s">
        <v>9129</v>
      </c>
      <c r="X420" s="7" t="str">
        <f>IFERROR(__xludf.DUMMYFUNCTION("GOOGLETRANSLATE(C420, ""en"", ""no"")"),"Send aldri krasjrapporter")</f>
        <v>Send aldri krasjrapporter</v>
      </c>
      <c r="Y420" s="1" t="s">
        <v>9130</v>
      </c>
      <c r="Z420" s="1" t="s">
        <v>9131</v>
      </c>
      <c r="AA420" s="7" t="str">
        <f>IFERROR(__xludf.DUMMYFUNCTION("GOOGLETRANSLATE(C420, ""en"", ""ro"")"),"Nu trimiteți niciodată rapoarte de accident")</f>
        <v>Nu trimiteți niciodată rapoarte de accident</v>
      </c>
      <c r="AB420" s="1" t="s">
        <v>9132</v>
      </c>
      <c r="AC420" s="1" t="s">
        <v>9133</v>
      </c>
      <c r="AD420" s="6" t="s">
        <v>132</v>
      </c>
      <c r="AE420" s="1" t="s">
        <v>9134</v>
      </c>
      <c r="AF420" s="1" t="s">
        <v>9135</v>
      </c>
      <c r="AG420" s="6" t="s">
        <v>132</v>
      </c>
      <c r="AH420" s="7" t="str">
        <f>IFERROR(__xludf.DUMMYFUNCTION("GOOGLETRANSLATE(C420, ""en"", ""tr"")"),"Asla çarpışma raporları gönderme")</f>
        <v>Asla çarpışma raporları gönderme</v>
      </c>
      <c r="AI420" s="6" t="s">
        <v>9136</v>
      </c>
      <c r="AJ420" s="6" t="s">
        <v>9137</v>
      </c>
      <c r="AK420" s="7" t="str">
        <f>IFERROR(__xludf.DUMMYFUNCTION("GOOGLETRANSLATE(C420, ""en"", ""zh"")"),"永远不要发送崩溃报告")</f>
        <v>永远不要发送崩溃报告</v>
      </c>
      <c r="AL420" s="6" t="s">
        <v>9138</v>
      </c>
    </row>
    <row r="421" ht="15.75" customHeight="1">
      <c r="A421" s="1" t="s">
        <v>127</v>
      </c>
      <c r="B421" s="1" t="s">
        <v>9139</v>
      </c>
      <c r="C421" s="1" t="s">
        <v>9140</v>
      </c>
      <c r="D421" s="8" t="s">
        <v>9141</v>
      </c>
      <c r="E421" s="1" t="s">
        <v>9142</v>
      </c>
      <c r="F421" s="6" t="s">
        <v>132</v>
      </c>
      <c r="G421" s="1" t="s">
        <v>9143</v>
      </c>
      <c r="H421" s="1" t="s">
        <v>9144</v>
      </c>
      <c r="I421" s="1" t="s">
        <v>9145</v>
      </c>
      <c r="J421" s="6" t="s">
        <v>9146</v>
      </c>
      <c r="K421" s="1" t="s">
        <v>9147</v>
      </c>
      <c r="L421" s="1" t="s">
        <v>9148</v>
      </c>
      <c r="M421" s="1" t="s">
        <v>9149</v>
      </c>
      <c r="N421" s="6" t="s">
        <v>132</v>
      </c>
      <c r="O421" s="6" t="s">
        <v>9150</v>
      </c>
      <c r="P421" s="1" t="s">
        <v>9151</v>
      </c>
      <c r="Q421" s="1" t="s">
        <v>9152</v>
      </c>
      <c r="R421" s="1" t="s">
        <v>9153</v>
      </c>
      <c r="S421" s="10" t="s">
        <v>9154</v>
      </c>
      <c r="T421" s="1" t="s">
        <v>9155</v>
      </c>
      <c r="U421" s="1" t="s">
        <v>9156</v>
      </c>
      <c r="V421" s="1" t="s">
        <v>9152</v>
      </c>
      <c r="W421" s="1" t="s">
        <v>9144</v>
      </c>
      <c r="X421" s="1" t="s">
        <v>9144</v>
      </c>
      <c r="Y421" s="1" t="s">
        <v>9157</v>
      </c>
      <c r="Z421" s="1" t="s">
        <v>9158</v>
      </c>
      <c r="AA421" s="1" t="s">
        <v>9159</v>
      </c>
      <c r="AB421" s="1" t="s">
        <v>9160</v>
      </c>
      <c r="AC421" s="1" t="s">
        <v>9143</v>
      </c>
      <c r="AD421" s="6" t="s">
        <v>9161</v>
      </c>
      <c r="AE421" s="1" t="s">
        <v>9162</v>
      </c>
      <c r="AF421" s="1" t="s">
        <v>9163</v>
      </c>
      <c r="AG421" s="6" t="s">
        <v>9164</v>
      </c>
      <c r="AH421" s="1" t="s">
        <v>9165</v>
      </c>
      <c r="AI421" s="6" t="s">
        <v>132</v>
      </c>
      <c r="AJ421" s="6" t="s">
        <v>9166</v>
      </c>
      <c r="AK421" s="1" t="s">
        <v>9167</v>
      </c>
      <c r="AL421" s="6" t="s">
        <v>9168</v>
      </c>
    </row>
    <row r="422" ht="15.75" hidden="1" customHeight="1">
      <c r="A422" s="1" t="s">
        <v>38</v>
      </c>
      <c r="B422" s="1" t="s">
        <v>9169</v>
      </c>
      <c r="C422" s="1" t="s">
        <v>9170</v>
      </c>
      <c r="D422" s="7" t="str">
        <f>IFERROR(__xludf.DUMMYFUNCTION("GOOGLETRANSLATE(C422, ""en"", ""ar"")"),"كاليدونيا الجديدة")</f>
        <v>كاليدونيا الجديدة</v>
      </c>
      <c r="E422" s="7" t="str">
        <f>IFERROR(__xludf.DUMMYFUNCTION("GOOGLETRANSLATE(C422, ""en"", ""bg"")"),"Нова Каледония")</f>
        <v>Нова Каледония</v>
      </c>
      <c r="F422" s="6" t="s">
        <v>132</v>
      </c>
      <c r="G422" s="7" t="str">
        <f>IFERROR(__xludf.DUMMYFUNCTION("GOOGLETRANSLATE(C422, ""en"", ""cs"")"),"Nová Kaledonie")</f>
        <v>Nová Kaledonie</v>
      </c>
      <c r="H422" s="7" t="str">
        <f>IFERROR(__xludf.DUMMYFUNCTION("GOOGLETRANSLATE(C422, ""en"", ""da"")"),"Ny Kaledonien")</f>
        <v>Ny Kaledonien</v>
      </c>
      <c r="I422" s="1" t="s">
        <v>9171</v>
      </c>
      <c r="J422" s="6" t="s">
        <v>132</v>
      </c>
      <c r="K422" s="1" t="s">
        <v>9172</v>
      </c>
      <c r="L422" s="7" t="str">
        <f>IFERROR(__xludf.DUMMYFUNCTION("GOOGLETRANSLATE(C422, ""en"", ""fi"")"),"Uusi-Caledonia")</f>
        <v>Uusi-Caledonia</v>
      </c>
      <c r="M422" s="1" t="s">
        <v>9173</v>
      </c>
      <c r="N422" s="6" t="s">
        <v>132</v>
      </c>
      <c r="O422" s="6" t="s">
        <v>132</v>
      </c>
      <c r="P422" s="1" t="s">
        <v>9170</v>
      </c>
      <c r="Q422" s="7" t="str">
        <f>IFERROR(__xludf.DUMMYFUNCTION("GOOGLETRANSLATE(C422, ""en"", ""in"")"),"Kaledonia Baru")</f>
        <v>Kaledonia Baru</v>
      </c>
      <c r="R422" s="7" t="str">
        <f>IFERROR(__xludf.DUMMYFUNCTION("GOOGLETRANSLATE(C422, ""en"", ""it"")"),"Nuova Caledonia")</f>
        <v>Nuova Caledonia</v>
      </c>
      <c r="S422" s="6" t="s">
        <v>132</v>
      </c>
      <c r="T422" s="7" t="str">
        <f>IFERROR(__xludf.DUMMYFUNCTION("GOOGLETRANSLATE(C422, ""en"", ""ja"")"),"ニューカレドニア")</f>
        <v>ニューカレドニア</v>
      </c>
      <c r="U422" s="7" t="str">
        <f>IFERROR(__xludf.DUMMYFUNCTION("GOOGLETRANSLATE(C422, ""en"", ""ko"")"),"뉴 칼레도니아")</f>
        <v>뉴 칼레도니아</v>
      </c>
      <c r="V422" s="7" t="str">
        <f>IFERROR(__xludf.DUMMYFUNCTION("GOOGLETRANSLATE(C422, ""en"", ""ms"")"),"New Caledonia")</f>
        <v>New Caledonia</v>
      </c>
      <c r="W422" s="7" t="str">
        <f>IFERROR(__xludf.DUMMYFUNCTION("GOOGLETRANSLATE(C422, ""en"", ""nl"")"),"Nieuw-Caledonië")</f>
        <v>Nieuw-Caledonië</v>
      </c>
      <c r="X422" s="7" t="str">
        <f>IFERROR(__xludf.DUMMYFUNCTION("GOOGLETRANSLATE(C422, ""en"", ""no"")"),"Ny Caledonia")</f>
        <v>Ny Caledonia</v>
      </c>
      <c r="Y422" s="7" t="str">
        <f>IFERROR(__xludf.DUMMYFUNCTION("GOOGLETRANSLATE(C422, ""en"", ""pl"")"),"Nowa Kaledonia")</f>
        <v>Nowa Kaledonia</v>
      </c>
      <c r="Z422" s="7" t="str">
        <f>IFERROR(__xludf.DUMMYFUNCTION("GOOGLETRANSLATE(C422, ""en"", ""pt"")"),"Nova Caledônia")</f>
        <v>Nova Caledônia</v>
      </c>
      <c r="AA422" s="7" t="str">
        <f>IFERROR(__xludf.DUMMYFUNCTION("GOOGLETRANSLATE(C422, ""en"", ""ro"")"),"Noua Caledonie")</f>
        <v>Noua Caledonie</v>
      </c>
      <c r="AB422" s="1" t="s">
        <v>9174</v>
      </c>
      <c r="AC422" s="7" t="str">
        <f>IFERROR(__xludf.DUMMYFUNCTION("GOOGLETRANSLATE(C422, ""en"", ""sk"")"),"Nová Kaledónia")</f>
        <v>Nová Kaledónia</v>
      </c>
      <c r="AD422" s="6" t="s">
        <v>132</v>
      </c>
      <c r="AE422" s="1" t="s">
        <v>9175</v>
      </c>
      <c r="AF422" s="7" t="str">
        <f>IFERROR(__xludf.DUMMYFUNCTION("GOOGLETRANSLATE(C422, ""en"", ""sv"")"),"Nya Kaledonien")</f>
        <v>Nya Kaledonien</v>
      </c>
      <c r="AG422" s="6" t="s">
        <v>132</v>
      </c>
      <c r="AH422" s="7" t="str">
        <f>IFERROR(__xludf.DUMMYFUNCTION("GOOGLETRANSLATE(C422, ""en"", ""tr"")"),"Yeni Kaledonya")</f>
        <v>Yeni Kaledonya</v>
      </c>
      <c r="AI422" s="6" t="s">
        <v>132</v>
      </c>
      <c r="AJ422" s="6" t="s">
        <v>132</v>
      </c>
      <c r="AK422" s="7" t="str">
        <f>IFERROR(__xludf.DUMMYFUNCTION("GOOGLETRANSLATE(C422, ""en"", ""zh"")"),"新喀里多尼亚")</f>
        <v>新喀里多尼亚</v>
      </c>
      <c r="AL422" s="6" t="s">
        <v>132</v>
      </c>
    </row>
    <row r="423" ht="15.75" customHeight="1">
      <c r="A423" s="1" t="s">
        <v>127</v>
      </c>
      <c r="B423" s="1" t="s">
        <v>9176</v>
      </c>
      <c r="C423" s="1" t="s">
        <v>9177</v>
      </c>
      <c r="D423" s="8" t="s">
        <v>9178</v>
      </c>
      <c r="E423" s="1" t="s">
        <v>9179</v>
      </c>
      <c r="F423" s="6" t="s">
        <v>132</v>
      </c>
      <c r="G423" s="1" t="s">
        <v>9180</v>
      </c>
      <c r="H423" s="1" t="s">
        <v>9181</v>
      </c>
      <c r="I423" s="1" t="s">
        <v>9182</v>
      </c>
      <c r="J423" s="6" t="s">
        <v>9183</v>
      </c>
      <c r="K423" s="1" t="s">
        <v>9184</v>
      </c>
      <c r="L423" s="1" t="s">
        <v>9185</v>
      </c>
      <c r="M423" s="1" t="s">
        <v>9186</v>
      </c>
      <c r="N423" s="6" t="s">
        <v>132</v>
      </c>
      <c r="O423" s="6" t="s">
        <v>9187</v>
      </c>
      <c r="P423" s="1" t="s">
        <v>9188</v>
      </c>
      <c r="Q423" s="1" t="s">
        <v>9189</v>
      </c>
      <c r="R423" s="1" t="s">
        <v>9190</v>
      </c>
      <c r="S423" s="10" t="s">
        <v>9191</v>
      </c>
      <c r="T423" s="1" t="s">
        <v>9192</v>
      </c>
      <c r="U423" s="1" t="s">
        <v>9193</v>
      </c>
      <c r="V423" s="1" t="s">
        <v>9194</v>
      </c>
      <c r="W423" s="1" t="s">
        <v>9195</v>
      </c>
      <c r="X423" s="1" t="s">
        <v>9181</v>
      </c>
      <c r="Y423" s="1" t="s">
        <v>9196</v>
      </c>
      <c r="Z423" s="1" t="s">
        <v>9184</v>
      </c>
      <c r="AA423" s="1" t="s">
        <v>9197</v>
      </c>
      <c r="AB423" s="1" t="s">
        <v>9198</v>
      </c>
      <c r="AC423" s="1" t="s">
        <v>9199</v>
      </c>
      <c r="AD423" s="6" t="s">
        <v>9200</v>
      </c>
      <c r="AE423" s="1" t="s">
        <v>9201</v>
      </c>
      <c r="AF423" s="1" t="s">
        <v>9202</v>
      </c>
      <c r="AG423" s="6" t="s">
        <v>9203</v>
      </c>
      <c r="AH423" s="1" t="s">
        <v>9204</v>
      </c>
      <c r="AI423" s="6" t="s">
        <v>132</v>
      </c>
      <c r="AJ423" s="6" t="s">
        <v>9205</v>
      </c>
      <c r="AK423" s="1" t="s">
        <v>9206</v>
      </c>
      <c r="AL423" s="6" t="s">
        <v>9207</v>
      </c>
    </row>
    <row r="424" ht="15.75" hidden="1" customHeight="1">
      <c r="A424" s="1" t="s">
        <v>38</v>
      </c>
      <c r="B424" s="1" t="s">
        <v>9208</v>
      </c>
      <c r="C424" s="1" t="s">
        <v>9209</v>
      </c>
      <c r="D424" s="7" t="str">
        <f>IFERROR(__xludf.DUMMYFUNCTION("GOOGLETRANSLATE(C424, ""en"", ""ar"")"),"ماكاو (SAR الصين)")</f>
        <v>ماكاو (SAR الصين)</v>
      </c>
      <c r="E424" s="7" t="str">
        <f>IFERROR(__xludf.DUMMYFUNCTION("GOOGLETRANSLATE(C424, ""en"", ""bg"")"),"Макао (SAR Китай)")</f>
        <v>Макао (SAR Китай)</v>
      </c>
      <c r="F424" s="6" t="s">
        <v>132</v>
      </c>
      <c r="G424" s="7" t="str">
        <f>IFERROR(__xludf.DUMMYFUNCTION("GOOGLETRANSLATE(C424, ""en"", ""cs"")"),"Macao (SAR Čína)")</f>
        <v>Macao (SAR Čína)</v>
      </c>
      <c r="H424" s="7" t="str">
        <f>IFERROR(__xludf.DUMMYFUNCTION("GOOGLETRANSLATE(C424, ""en"", ""da"")"),"Macao (SAR Kina)")</f>
        <v>Macao (SAR Kina)</v>
      </c>
      <c r="I424" s="1" t="s">
        <v>9210</v>
      </c>
      <c r="J424" s="6" t="s">
        <v>132</v>
      </c>
      <c r="K424" s="1" t="s">
        <v>9211</v>
      </c>
      <c r="L424" s="7" t="str">
        <f>IFERROR(__xludf.DUMMYFUNCTION("GOOGLETRANSLATE(C424, ""en"", ""fi"")"),"Macao (SAR Kiina)")</f>
        <v>Macao (SAR Kiina)</v>
      </c>
      <c r="M424" s="1" t="s">
        <v>9209</v>
      </c>
      <c r="N424" s="6" t="s">
        <v>132</v>
      </c>
      <c r="O424" s="6" t="s">
        <v>132</v>
      </c>
      <c r="P424" s="1" t="s">
        <v>9209</v>
      </c>
      <c r="Q424" s="7" t="str">
        <f>IFERROR(__xludf.DUMMYFUNCTION("GOOGLETRANSLATE(C424, ""en"", ""in"")"),"Macao (SAR China)")</f>
        <v>Macao (SAR China)</v>
      </c>
      <c r="R424" s="7" t="str">
        <f>IFERROR(__xludf.DUMMYFUNCTION("GOOGLETRANSLATE(C424, ""en"", ""it"")"),"Macao (SAR Cina)")</f>
        <v>Macao (SAR Cina)</v>
      </c>
      <c r="S424" s="6" t="s">
        <v>132</v>
      </c>
      <c r="T424" s="7" t="str">
        <f>IFERROR(__xludf.DUMMYFUNCTION("GOOGLETRANSLATE(C424, ""en"", ""ja"")"),"マカオ（SAR中国）")</f>
        <v>マカオ（SAR中国）</v>
      </c>
      <c r="U424" s="7" t="str">
        <f>IFERROR(__xludf.DUMMYFUNCTION("GOOGLETRANSLATE(C424, ""en"", ""ko"")"),"마카오 (SAR 중국)")</f>
        <v>마카오 (SAR 중국)</v>
      </c>
      <c r="V424" s="7" t="str">
        <f>IFERROR(__xludf.DUMMYFUNCTION("GOOGLETRANSLATE(C424, ""en"", ""ms"")"),"Macao (SAR China)")</f>
        <v>Macao (SAR China)</v>
      </c>
      <c r="W424" s="7" t="str">
        <f>IFERROR(__xludf.DUMMYFUNCTION("GOOGLETRANSLATE(C424, ""en"", ""nl"")"),"Macao (SAR China)")</f>
        <v>Macao (SAR China)</v>
      </c>
      <c r="X424" s="7" t="str">
        <f>IFERROR(__xludf.DUMMYFUNCTION("GOOGLETRANSLATE(C424, ""en"", ""no"")"),"Macao (SAR Kina)")</f>
        <v>Macao (SAR Kina)</v>
      </c>
      <c r="Y424" s="7" t="str">
        <f>IFERROR(__xludf.DUMMYFUNCTION("GOOGLETRANSLATE(C424, ""en"", ""pl"")"),"Macao (SAR Chiny)")</f>
        <v>Macao (SAR Chiny)</v>
      </c>
      <c r="Z424" s="7" t="str">
        <f>IFERROR(__xludf.DUMMYFUNCTION("GOOGLETRANSLATE(C424, ""en"", ""pt"")"),"Macau (SAR China)")</f>
        <v>Macau (SAR China)</v>
      </c>
      <c r="AA424" s="7" t="str">
        <f>IFERROR(__xludf.DUMMYFUNCTION("GOOGLETRANSLATE(C424, ""en"", ""ro"")"),"Macao (Sar China)")</f>
        <v>Macao (Sar China)</v>
      </c>
      <c r="AB424" s="1" t="s">
        <v>9212</v>
      </c>
      <c r="AC424" s="7" t="str">
        <f>IFERROR(__xludf.DUMMYFUNCTION("GOOGLETRANSLATE(C424, ""en"", ""sk"")"),"Macao (SAR Čína)")</f>
        <v>Macao (SAR Čína)</v>
      </c>
      <c r="AD424" s="6" t="s">
        <v>132</v>
      </c>
      <c r="AE424" s="1" t="s">
        <v>9213</v>
      </c>
      <c r="AF424" s="7" t="str">
        <f>IFERROR(__xludf.DUMMYFUNCTION("GOOGLETRANSLATE(C424, ""en"", ""sv"")"),"Macao (SAR Kina)")</f>
        <v>Macao (SAR Kina)</v>
      </c>
      <c r="AG424" s="6" t="s">
        <v>132</v>
      </c>
      <c r="AH424" s="7" t="str">
        <f>IFERROR(__xludf.DUMMYFUNCTION("GOOGLETRANSLATE(C424, ""en"", ""tr"")"),"Macao (SAR Çin)")</f>
        <v>Macao (SAR Çin)</v>
      </c>
      <c r="AI424" s="6" t="s">
        <v>132</v>
      </c>
      <c r="AJ424" s="6" t="s">
        <v>132</v>
      </c>
      <c r="AK424" s="7" t="str">
        <f>IFERROR(__xludf.DUMMYFUNCTION("GOOGLETRANSLATE(C424, ""en"", ""zh"")"),"澳门（SAR中国）")</f>
        <v>澳门（SAR中国）</v>
      </c>
      <c r="AL424" s="6" t="s">
        <v>132</v>
      </c>
    </row>
    <row r="425" ht="15.75" hidden="1" customHeight="1">
      <c r="A425" s="1" t="s">
        <v>38</v>
      </c>
      <c r="B425" s="1" t="s">
        <v>9214</v>
      </c>
      <c r="C425" s="1" t="s">
        <v>9215</v>
      </c>
      <c r="D425" s="8" t="s">
        <v>9216</v>
      </c>
      <c r="E425" s="1" t="s">
        <v>9217</v>
      </c>
      <c r="F425" s="6" t="s">
        <v>9218</v>
      </c>
      <c r="G425" s="7" t="str">
        <f>IFERROR(__xludf.DUMMYFUNCTION("GOOGLETRANSLATE(C425, ""en"", ""cs"")"),"Nemohl upravit možnosti chatu skupiny")</f>
        <v>Nemohl upravit možnosti chatu skupiny</v>
      </c>
      <c r="H425" s="7" t="str">
        <f>IFERROR(__xludf.DUMMYFUNCTION("GOOGLETRANSLATE(C425, ""en"", ""da"")"),"Kunne ikke ændre gruppe chat muligheder")</f>
        <v>Kunne ikke ændre gruppe chat muligheder</v>
      </c>
      <c r="I425" s="1" t="s">
        <v>9219</v>
      </c>
      <c r="J425" s="6" t="s">
        <v>132</v>
      </c>
      <c r="K425" s="1" t="s">
        <v>9220</v>
      </c>
      <c r="L425" s="7" t="str">
        <f>IFERROR(__xludf.DUMMYFUNCTION("GOOGLETRANSLATE(C425, ""en"", ""fi"")"),"Ryhmäkeskusteluasetuksia ei voitu muuttaa")</f>
        <v>Ryhmäkeskusteluasetuksia ei voitu muuttaa</v>
      </c>
      <c r="M425" s="1" t="s">
        <v>9221</v>
      </c>
      <c r="N425" s="6" t="s">
        <v>9222</v>
      </c>
      <c r="O425" s="6" t="s">
        <v>132</v>
      </c>
      <c r="P425" s="1" t="s">
        <v>9223</v>
      </c>
      <c r="Q425" s="7" t="str">
        <f>IFERROR(__xludf.DUMMYFUNCTION("GOOGLETRANSLATE(C425, ""en"", ""in"")"),"Tidak dapat memodifikasi opsi obrolan grup")</f>
        <v>Tidak dapat memodifikasi opsi obrolan grup</v>
      </c>
      <c r="R425" s="1" t="s">
        <v>9224</v>
      </c>
      <c r="S425" s="6" t="s">
        <v>132</v>
      </c>
      <c r="T425" s="1" t="s">
        <v>9225</v>
      </c>
      <c r="U425" s="7" t="str">
        <f>IFERROR(__xludf.DUMMYFUNCTION("GOOGLETRANSLATE(C425, ""en"", ""ko"")"),"그룹 채팅 옵션을 수정할 수 없습니다")</f>
        <v>그룹 채팅 옵션을 수정할 수 없습니다</v>
      </c>
      <c r="V425" s="7" t="str">
        <f>IFERROR(__xludf.DUMMYFUNCTION("GOOGLETRANSLATE(C425, ""en"", ""ms"")"),"Tidak dapat mengubah suai pilihan sembang kumpulan")</f>
        <v>Tidak dapat mengubah suai pilihan sembang kumpulan</v>
      </c>
      <c r="W425" s="1" t="s">
        <v>9226</v>
      </c>
      <c r="X425" s="7" t="str">
        <f>IFERROR(__xludf.DUMMYFUNCTION("GOOGLETRANSLATE(C425, ""en"", ""no"")"),"Kunne ikke endre gruppekattalternativer")</f>
        <v>Kunne ikke endre gruppekattalternativer</v>
      </c>
      <c r="Y425" s="1" t="s">
        <v>9227</v>
      </c>
      <c r="Z425" s="1" t="s">
        <v>9228</v>
      </c>
      <c r="AA425" s="7" t="str">
        <f>IFERROR(__xludf.DUMMYFUNCTION("GOOGLETRANSLATE(C425, ""en"", ""ro"")"),"Nu a putut modifica opțiunile de chat de grup")</f>
        <v>Nu a putut modifica opțiunile de chat de grup</v>
      </c>
      <c r="AB425" s="1" t="s">
        <v>9229</v>
      </c>
      <c r="AC425" s="7" t="str">
        <f>IFERROR(__xludf.DUMMYFUNCTION("GOOGLETRANSLATE(C425, ""en"", ""sk"")"),"Nemohli upraviť možnosti chatovania skupiny")</f>
        <v>Nemohli upraviť možnosti chatovania skupiny</v>
      </c>
      <c r="AD425" s="6" t="s">
        <v>132</v>
      </c>
      <c r="AE425" s="1" t="s">
        <v>9230</v>
      </c>
      <c r="AF425" s="7" t="str">
        <f>IFERROR(__xludf.DUMMYFUNCTION("GOOGLETRANSLATE(C425, ""en"", ""sv"")"),"Kunde inte ändra gruppchattalternativ")</f>
        <v>Kunde inte ändra gruppchattalternativ</v>
      </c>
      <c r="AG425" s="6" t="s">
        <v>132</v>
      </c>
      <c r="AH425" s="7" t="str">
        <f>IFERROR(__xludf.DUMMYFUNCTION("GOOGLETRANSLATE(C425, ""en"", ""tr"")"),"Grup sohbet seçeneklerini değiştiremedi")</f>
        <v>Grup sohbet seçeneklerini değiştiremedi</v>
      </c>
      <c r="AI425" s="6" t="s">
        <v>132</v>
      </c>
      <c r="AJ425" s="6" t="s">
        <v>132</v>
      </c>
      <c r="AK425" s="7" t="str">
        <f>IFERROR(__xludf.DUMMYFUNCTION("GOOGLETRANSLATE(C425, ""en"", ""zh"")"),"无法修改组聊天选项")</f>
        <v>无法修改组聊天选项</v>
      </c>
      <c r="AL425" s="6" t="s">
        <v>132</v>
      </c>
    </row>
    <row r="426" ht="15.75" hidden="1" customHeight="1">
      <c r="A426" s="1" t="s">
        <v>38</v>
      </c>
      <c r="B426" s="1" t="s">
        <v>9231</v>
      </c>
      <c r="C426" s="1" t="s">
        <v>9232</v>
      </c>
      <c r="D426" s="7" t="str">
        <f>IFERROR(__xludf.DUMMYFUNCTION("GOOGLETRANSLATE(C426, ""en"", ""ar"")"),"اليونان")</f>
        <v>اليونان</v>
      </c>
      <c r="E426" s="7" t="str">
        <f>IFERROR(__xludf.DUMMYFUNCTION("GOOGLETRANSLATE(C426, ""en"", ""bg"")"),"Гърция")</f>
        <v>Гърция</v>
      </c>
      <c r="F426" s="6" t="s">
        <v>132</v>
      </c>
      <c r="G426" s="7" t="str">
        <f>IFERROR(__xludf.DUMMYFUNCTION("GOOGLETRANSLATE(C426, ""en"", ""cs"")"),"Řecko")</f>
        <v>Řecko</v>
      </c>
      <c r="H426" s="7" t="str">
        <f>IFERROR(__xludf.DUMMYFUNCTION("GOOGLETRANSLATE(C426, ""en"", ""da"")"),"Grækenland")</f>
        <v>Grækenland</v>
      </c>
      <c r="I426" s="1" t="s">
        <v>9233</v>
      </c>
      <c r="J426" s="6" t="s">
        <v>132</v>
      </c>
      <c r="K426" s="1" t="s">
        <v>9234</v>
      </c>
      <c r="L426" s="7" t="str">
        <f>IFERROR(__xludf.DUMMYFUNCTION("GOOGLETRANSLATE(C426, ""en"", ""fi"")"),"Kreikka")</f>
        <v>Kreikka</v>
      </c>
      <c r="M426" s="1" t="s">
        <v>9235</v>
      </c>
      <c r="N426" s="6" t="s">
        <v>132</v>
      </c>
      <c r="O426" s="6" t="s">
        <v>132</v>
      </c>
      <c r="P426" s="1" t="s">
        <v>9232</v>
      </c>
      <c r="Q426" s="7" t="str">
        <f>IFERROR(__xludf.DUMMYFUNCTION("GOOGLETRANSLATE(C426, ""en"", ""in"")"),"Yunani")</f>
        <v>Yunani</v>
      </c>
      <c r="R426" s="7" t="str">
        <f>IFERROR(__xludf.DUMMYFUNCTION("GOOGLETRANSLATE(C426, ""en"", ""it"")"),"Grecia")</f>
        <v>Grecia</v>
      </c>
      <c r="S426" s="6" t="s">
        <v>132</v>
      </c>
      <c r="T426" s="7" t="str">
        <f>IFERROR(__xludf.DUMMYFUNCTION("GOOGLETRANSLATE(C426, ""en"", ""ja"")"),"ギリシャ")</f>
        <v>ギリシャ</v>
      </c>
      <c r="U426" s="7" t="str">
        <f>IFERROR(__xludf.DUMMYFUNCTION("GOOGLETRANSLATE(C426, ""en"", ""ko"")"),"그리스")</f>
        <v>그리스</v>
      </c>
      <c r="V426" s="7" t="str">
        <f>IFERROR(__xludf.DUMMYFUNCTION("GOOGLETRANSLATE(C426, ""en"", ""ms"")"),"Greece.")</f>
        <v>Greece.</v>
      </c>
      <c r="W426" s="7" t="str">
        <f>IFERROR(__xludf.DUMMYFUNCTION("GOOGLETRANSLATE(C426, ""en"", ""nl"")"),"Griekenland")</f>
        <v>Griekenland</v>
      </c>
      <c r="X426" s="7" t="str">
        <f>IFERROR(__xludf.DUMMYFUNCTION("GOOGLETRANSLATE(C426, ""en"", ""no"")"),"Hellas")</f>
        <v>Hellas</v>
      </c>
      <c r="Y426" s="7" t="str">
        <f>IFERROR(__xludf.DUMMYFUNCTION("GOOGLETRANSLATE(C426, ""en"", ""pl"")"),"Grecja")</f>
        <v>Grecja</v>
      </c>
      <c r="Z426" s="7" t="str">
        <f>IFERROR(__xludf.DUMMYFUNCTION("GOOGLETRANSLATE(C426, ""en"", ""pt"")"),"Grécia")</f>
        <v>Grécia</v>
      </c>
      <c r="AA426" s="7" t="str">
        <f>IFERROR(__xludf.DUMMYFUNCTION("GOOGLETRANSLATE(C426, ""en"", ""ro"")"),"Grecia")</f>
        <v>Grecia</v>
      </c>
      <c r="AB426" s="1" t="s">
        <v>9236</v>
      </c>
      <c r="AC426" s="7" t="str">
        <f>IFERROR(__xludf.DUMMYFUNCTION("GOOGLETRANSLATE(C426, ""en"", ""sk"")"),"Grécko")</f>
        <v>Grécko</v>
      </c>
      <c r="AD426" s="6" t="s">
        <v>132</v>
      </c>
      <c r="AE426" s="1" t="s">
        <v>9237</v>
      </c>
      <c r="AF426" s="7" t="str">
        <f>IFERROR(__xludf.DUMMYFUNCTION("GOOGLETRANSLATE(C426, ""en"", ""sv"")"),"Grekland")</f>
        <v>Grekland</v>
      </c>
      <c r="AG426" s="6" t="s">
        <v>132</v>
      </c>
      <c r="AH426" s="7" t="str">
        <f>IFERROR(__xludf.DUMMYFUNCTION("GOOGLETRANSLATE(C426, ""en"", ""tr"")"),"Yunanistan")</f>
        <v>Yunanistan</v>
      </c>
      <c r="AI426" s="6" t="s">
        <v>132</v>
      </c>
      <c r="AJ426" s="6" t="s">
        <v>132</v>
      </c>
      <c r="AK426" s="7" t="str">
        <f>IFERROR(__xludf.DUMMYFUNCTION("GOOGLETRANSLATE(C426, ""en"", ""zh"")"),"希腊")</f>
        <v>希腊</v>
      </c>
      <c r="AL426" s="6" t="s">
        <v>132</v>
      </c>
    </row>
    <row r="427" ht="15.75" customHeight="1">
      <c r="A427" s="1" t="s">
        <v>127</v>
      </c>
      <c r="B427" s="1" t="s">
        <v>9238</v>
      </c>
      <c r="C427" s="1" t="s">
        <v>9239</v>
      </c>
      <c r="D427" s="8" t="s">
        <v>9240</v>
      </c>
      <c r="E427" s="1" t="s">
        <v>9241</v>
      </c>
      <c r="F427" s="6" t="s">
        <v>132</v>
      </c>
      <c r="G427" s="1" t="s">
        <v>9242</v>
      </c>
      <c r="H427" s="1" t="s">
        <v>9243</v>
      </c>
      <c r="I427" s="1" t="s">
        <v>9244</v>
      </c>
      <c r="J427" s="6" t="s">
        <v>9245</v>
      </c>
      <c r="K427" s="1" t="s">
        <v>9246</v>
      </c>
      <c r="L427" s="1" t="s">
        <v>9247</v>
      </c>
      <c r="M427" s="1" t="s">
        <v>9248</v>
      </c>
      <c r="N427" s="6" t="s">
        <v>132</v>
      </c>
      <c r="O427" s="6" t="s">
        <v>9249</v>
      </c>
      <c r="P427" s="1" t="s">
        <v>9250</v>
      </c>
      <c r="Q427" s="1" t="s">
        <v>9251</v>
      </c>
      <c r="R427" s="1" t="s">
        <v>9252</v>
      </c>
      <c r="S427" s="10" t="s">
        <v>9253</v>
      </c>
      <c r="T427" s="1" t="s">
        <v>9254</v>
      </c>
      <c r="U427" s="1" t="s">
        <v>9255</v>
      </c>
      <c r="V427" s="1" t="s">
        <v>9251</v>
      </c>
      <c r="W427" s="1" t="s">
        <v>9244</v>
      </c>
      <c r="X427" s="1" t="s">
        <v>9244</v>
      </c>
      <c r="Y427" s="1" t="s">
        <v>9256</v>
      </c>
      <c r="Z427" s="1" t="s">
        <v>9257</v>
      </c>
      <c r="AA427" s="1" t="s">
        <v>9258</v>
      </c>
      <c r="AB427" s="1" t="s">
        <v>9259</v>
      </c>
      <c r="AC427" s="1" t="s">
        <v>9242</v>
      </c>
      <c r="AD427" s="6" t="s">
        <v>9260</v>
      </c>
      <c r="AE427" s="1" t="s">
        <v>9260</v>
      </c>
      <c r="AF427" s="1" t="s">
        <v>9243</v>
      </c>
      <c r="AG427" s="6" t="s">
        <v>9261</v>
      </c>
      <c r="AH427" s="1" t="s">
        <v>9262</v>
      </c>
      <c r="AI427" s="6" t="s">
        <v>132</v>
      </c>
      <c r="AJ427" s="6" t="s">
        <v>9263</v>
      </c>
      <c r="AK427" s="1" t="s">
        <v>9264</v>
      </c>
      <c r="AL427" s="6" t="s">
        <v>9265</v>
      </c>
    </row>
    <row r="428" ht="15.75" hidden="1" customHeight="1">
      <c r="A428" s="1" t="s">
        <v>38</v>
      </c>
      <c r="B428" s="1" t="s">
        <v>9266</v>
      </c>
      <c r="C428" s="1" t="s">
        <v>9267</v>
      </c>
      <c r="D428" s="7" t="str">
        <f>IFERROR(__xludf.DUMMYFUNCTION("GOOGLETRANSLATE(C428, ""en"", ""ar"")"),"٪ S ليس رقم هاتف صالح.")</f>
        <v>٪ S ليس رقم هاتف صالح.</v>
      </c>
      <c r="E428" s="1" t="s">
        <v>9268</v>
      </c>
      <c r="F428" s="6" t="s">
        <v>132</v>
      </c>
      <c r="G428" s="7" t="str">
        <f>IFERROR(__xludf.DUMMYFUNCTION("GOOGLETRANSLATE(C428, ""en"", ""cs"")"),"% s není platné telefonní číslo.")</f>
        <v>% s není platné telefonní číslo.</v>
      </c>
      <c r="H428" s="7" t="str">
        <f>IFERROR(__xludf.DUMMYFUNCTION("GOOGLETRANSLATE(C428, ""en"", ""da"")"),"% s er ikke et gyldigt telefonnummer.")</f>
        <v>% s er ikke et gyldigt telefonnummer.</v>
      </c>
      <c r="I428" s="1" t="s">
        <v>9269</v>
      </c>
      <c r="J428" s="6" t="s">
        <v>132</v>
      </c>
      <c r="K428" s="1" t="s">
        <v>9270</v>
      </c>
      <c r="L428" s="7" t="str">
        <f>IFERROR(__xludf.DUMMYFUNCTION("GOOGLETRANSLATE(C428, ""en"", ""fi"")"),"% s ei ole kelvollinen puhelinnumero.")</f>
        <v>% s ei ole kelvollinen puhelinnumero.</v>
      </c>
      <c r="M428" s="1" t="s">
        <v>9271</v>
      </c>
      <c r="N428" s="6" t="s">
        <v>9272</v>
      </c>
      <c r="O428" s="6" t="s">
        <v>132</v>
      </c>
      <c r="P428" s="1" t="s">
        <v>9273</v>
      </c>
      <c r="Q428" s="7" t="str">
        <f>IFERROR(__xludf.DUMMYFUNCTION("GOOGLETRANSLATE(C428, ""en"", ""in"")"),"% s bukan nomor telepon yang valid.")</f>
        <v>% s bukan nomor telepon yang valid.</v>
      </c>
      <c r="R428" s="1" t="s">
        <v>9274</v>
      </c>
      <c r="S428" s="6" t="s">
        <v>132</v>
      </c>
      <c r="T428" s="7" t="str">
        <f>IFERROR(__xludf.DUMMYFUNCTION("GOOGLETRANSLATE(C428, ""en"", ""ja"")"),"％sは有効な電話番号ではありません。")</f>
        <v>％sは有効な電話番号ではありません。</v>
      </c>
      <c r="U428" s="7" t="str">
        <f>IFERROR(__xludf.DUMMYFUNCTION("GOOGLETRANSLATE(C428, ""en"", ""ko"")"),"% s는 유효한 전화 번호가 아닙니다.")</f>
        <v>% s는 유효한 전화 번호가 아닙니다.</v>
      </c>
      <c r="V428" s="7" t="str">
        <f>IFERROR(__xludf.DUMMYFUNCTION("GOOGLETRANSLATE(C428, ""en"", ""ms"")"),"% s bukan nombor telefon yang sah.")</f>
        <v>% s bukan nombor telefon yang sah.</v>
      </c>
      <c r="W428" s="1" t="s">
        <v>9275</v>
      </c>
      <c r="X428" s="7" t="str">
        <f>IFERROR(__xludf.DUMMYFUNCTION("GOOGLETRANSLATE(C428, ""en"", ""no"")"),"% s er ikke et gyldig telefonnummer.")</f>
        <v>% s er ikke et gyldig telefonnummer.</v>
      </c>
      <c r="Y428" s="1" t="s">
        <v>9276</v>
      </c>
      <c r="Z428" s="7" t="str">
        <f>IFERROR(__xludf.DUMMYFUNCTION("GOOGLETRANSLATE(C428, ""en"", ""pt"")"),"% s não é um número de telefone válido.")</f>
        <v>% s não é um número de telefone válido.</v>
      </c>
      <c r="AA428" s="7" t="str">
        <f>IFERROR(__xludf.DUMMYFUNCTION("GOOGLETRANSLATE(C428, ""en"", ""ro"")"),"% s nu este un număr de telefon valid.")</f>
        <v>% s nu este un număr de telefon valid.</v>
      </c>
      <c r="AB428" s="7" t="str">
        <f>IFERROR(__xludf.DUMMYFUNCTION("GOOGLETRANSLATE(C428, ""en"", ""ru"")"),"% s не является действительным номером телефона.")</f>
        <v>% s не является действительным номером телефона.</v>
      </c>
      <c r="AC428" s="7" t="str">
        <f>IFERROR(__xludf.DUMMYFUNCTION("GOOGLETRANSLATE(C428, ""en"", ""sk"")"),"% s nie je platné telefónne číslo.")</f>
        <v>% s nie je platné telefónne číslo.</v>
      </c>
      <c r="AD428" s="6" t="s">
        <v>132</v>
      </c>
      <c r="AE428" s="7" t="str">
        <f>IFERROR(__xludf.DUMMYFUNCTION("GOOGLETRANSLATE(C428, ""en"", ""sr"")"),"% с није важећи број телефона.")</f>
        <v>% с није важећи број телефона.</v>
      </c>
      <c r="AF428" s="7" t="str">
        <f>IFERROR(__xludf.DUMMYFUNCTION("GOOGLETRANSLATE(C428, ""en"", ""sv"")"),"% s är inte ett giltigt telefonnummer.")</f>
        <v>% s är inte ett giltigt telefonnummer.</v>
      </c>
      <c r="AG428" s="6" t="s">
        <v>132</v>
      </c>
      <c r="AH428" s="7" t="str">
        <f>IFERROR(__xludf.DUMMYFUNCTION("GOOGLETRANSLATE(C428, ""en"", ""tr"")"),"% S geçerli bir telefon numarası değildir.")</f>
        <v>% S geçerli bir telefon numarası değildir.</v>
      </c>
      <c r="AI428" s="6" t="s">
        <v>132</v>
      </c>
      <c r="AJ428" s="6" t="s">
        <v>132</v>
      </c>
      <c r="AK428" s="7" t="str">
        <f>IFERROR(__xludf.DUMMYFUNCTION("GOOGLETRANSLATE(C428, ""en"", ""zh"")"),"％s不是有效的电话号码。")</f>
        <v>％s不是有效的电话号码。</v>
      </c>
      <c r="AL428" s="6" t="s">
        <v>132</v>
      </c>
    </row>
    <row r="429" ht="15.75" hidden="1" customHeight="1">
      <c r="A429" s="1" t="s">
        <v>38</v>
      </c>
      <c r="B429" s="1" t="s">
        <v>9277</v>
      </c>
      <c r="C429" s="1" t="s">
        <v>9278</v>
      </c>
      <c r="D429" s="7" t="str">
        <f>IFERROR(__xludf.DUMMYFUNCTION("GOOGLETRANSLATE(C429, ""en"", ""ar"")"),"يحتاج ماسح رمز الاستجابة السريعة إلى الوصول إلى الكاميرا")</f>
        <v>يحتاج ماسح رمز الاستجابة السريعة إلى الوصول إلى الكاميرا</v>
      </c>
      <c r="E429" s="1" t="s">
        <v>9279</v>
      </c>
      <c r="F429" s="6" t="s">
        <v>9280</v>
      </c>
      <c r="G429" s="7" t="str">
        <f>IFERROR(__xludf.DUMMYFUNCTION("GOOGLETRANSLATE(C429, ""en"", ""cs"")"),"Skener Scanner QR potřebuje přístup k fotoaparátu")</f>
        <v>Skener Scanner QR potřebuje přístup k fotoaparátu</v>
      </c>
      <c r="H429" s="7" t="str">
        <f>IFERROR(__xludf.DUMMYFUNCTION("GOOGLETRANSLATE(C429, ""en"", ""da"")"),"QR-kodescanneren har brug for adgang til kameraet")</f>
        <v>QR-kodescanneren har brug for adgang til kameraet</v>
      </c>
      <c r="I429" s="1" t="s">
        <v>9281</v>
      </c>
      <c r="J429" s="6" t="s">
        <v>132</v>
      </c>
      <c r="K429" s="1" t="s">
        <v>9282</v>
      </c>
      <c r="L429" s="7" t="str">
        <f>IFERROR(__xludf.DUMMYFUNCTION("GOOGLETRANSLATE(C429, ""en"", ""fi"")"),"QR-koodin skanneri tarvitsee pääsyn kameraan")</f>
        <v>QR-koodin skanneri tarvitsee pääsyn kameraan</v>
      </c>
      <c r="M429" s="1" t="s">
        <v>9283</v>
      </c>
      <c r="N429" s="6" t="s">
        <v>9284</v>
      </c>
      <c r="O429" s="6" t="s">
        <v>132</v>
      </c>
      <c r="P429" s="1" t="s">
        <v>9285</v>
      </c>
      <c r="Q429" s="7" t="str">
        <f>IFERROR(__xludf.DUMMYFUNCTION("GOOGLETRANSLATE(C429, ""en"", ""in"")"),"Pemindai Kode QR membutuhkan akses ke kamera")</f>
        <v>Pemindai Kode QR membutuhkan akses ke kamera</v>
      </c>
      <c r="R429" s="1" t="s">
        <v>9286</v>
      </c>
      <c r="S429" s="6" t="s">
        <v>132</v>
      </c>
      <c r="T429" s="7" t="str">
        <f>IFERROR(__xludf.DUMMYFUNCTION("GOOGLETRANSLATE(C429, ""en"", ""ja"")"),"QRコードスキャナはカメラにアクセスする必要があります")</f>
        <v>QRコードスキャナはカメラにアクセスする必要があります</v>
      </c>
      <c r="U429" s="7" t="str">
        <f>IFERROR(__xludf.DUMMYFUNCTION("GOOGLETRANSLATE(C429, ""en"", ""ko"")"),"QR 코드 스캐너는 카메라에 액세스해야합니다")</f>
        <v>QR 코드 스캐너는 카메라에 액세스해야합니다</v>
      </c>
      <c r="V429" s="7" t="str">
        <f>IFERROR(__xludf.DUMMYFUNCTION("GOOGLETRANSLATE(C429, ""en"", ""ms"")"),"Pengimbas Kod QR memerlukan akses kepada kamera")</f>
        <v>Pengimbas Kod QR memerlukan akses kepada kamera</v>
      </c>
      <c r="W429" s="1" t="s">
        <v>9287</v>
      </c>
      <c r="X429" s="7" t="str">
        <f>IFERROR(__xludf.DUMMYFUNCTION("GOOGLETRANSLATE(C429, ""en"", ""no"")"),"QR-kodeskanneren trenger tilgang til kameraet")</f>
        <v>QR-kodeskanneren trenger tilgang til kameraet</v>
      </c>
      <c r="Y429" s="1" t="s">
        <v>9288</v>
      </c>
      <c r="Z429" s="7" t="str">
        <f>IFERROR(__xludf.DUMMYFUNCTION("GOOGLETRANSLATE(C429, ""en"", ""pt"")"),"O scanner de código QR precisa de acesso à câmera")</f>
        <v>O scanner de código QR precisa de acesso à câmera</v>
      </c>
      <c r="AA429" s="7" t="str">
        <f>IFERROR(__xludf.DUMMYFUNCTION("GOOGLETRANSLATE(C429, ""en"", ""ro"")"),"Scanerul de cod QR are nevoie de acces la cameră")</f>
        <v>Scanerul de cod QR are nevoie de acces la cameră</v>
      </c>
      <c r="AB429" s="7" t="str">
        <f>IFERROR(__xludf.DUMMYFUNCTION("GOOGLETRANSLATE(C429, ""en"", ""ru"")"),"Сканер QR код нуждается в доступе к камере")</f>
        <v>Сканер QR код нуждается в доступе к камере</v>
      </c>
      <c r="AC429" s="7" t="str">
        <f>IFERROR(__xludf.DUMMYFUNCTION("GOOGLETRANSLATE(C429, ""en"", ""sk"")"),"Skener QR Code potrebuje prístup k fotoaparátu")</f>
        <v>Skener QR Code potrebuje prístup k fotoaparátu</v>
      </c>
      <c r="AD429" s="6" t="s">
        <v>132</v>
      </c>
      <c r="AE429" s="7" t="str">
        <f>IFERROR(__xludf.DUMMYFUNCTION("GOOGLETRANSLATE(C429, ""en"", ""sr"")"),"Скенеру КР кода је потребан приступ фотоапарату")</f>
        <v>Скенеру КР кода је потребан приступ фотоапарату</v>
      </c>
      <c r="AF429" s="7" t="str">
        <f>IFERROR(__xludf.DUMMYFUNCTION("GOOGLETRANSLATE(C429, ""en"", ""sv"")"),"QR-kodskannern behöver tillgång till kameran")</f>
        <v>QR-kodskannern behöver tillgång till kameran</v>
      </c>
      <c r="AG429" s="6" t="s">
        <v>132</v>
      </c>
      <c r="AH429" s="7" t="str">
        <f>IFERROR(__xludf.DUMMYFUNCTION("GOOGLETRANSLATE(C429, ""en"", ""tr"")"),"QR kodu tarayıcısının kameraya erişmesi gerekiyor")</f>
        <v>QR kodu tarayıcısının kameraya erişmesi gerekiyor</v>
      </c>
      <c r="AI429" s="6" t="s">
        <v>132</v>
      </c>
      <c r="AJ429" s="6" t="s">
        <v>132</v>
      </c>
      <c r="AK429" s="7" t="str">
        <f>IFERROR(__xludf.DUMMYFUNCTION("GOOGLETRANSLATE(C429, ""en"", ""zh"")"),"QR码扫描仪需要访问相机")</f>
        <v>QR码扫描仪需要访问相机</v>
      </c>
      <c r="AL429" s="6" t="s">
        <v>132</v>
      </c>
    </row>
    <row r="430" ht="15.75" hidden="1" customHeight="1">
      <c r="A430" s="1" t="s">
        <v>38</v>
      </c>
      <c r="B430" s="1" t="s">
        <v>9289</v>
      </c>
      <c r="C430" s="1" t="s">
        <v>9290</v>
      </c>
      <c r="D430" s="7" t="str">
        <f>IFERROR(__xludf.DUMMYFUNCTION("GOOGLETRANSLATE(C430, ""en"", ""ar"")"),"أدخل رمز الرقم 5")</f>
        <v>أدخل رمز الرقم 5</v>
      </c>
      <c r="E430" s="7" t="str">
        <f>IFERROR(__xludf.DUMMYFUNCTION("GOOGLETRANSLATE(C430, ""en"", ""bg"")"),"Въведете 5-цифрен код")</f>
        <v>Въведете 5-цифрен код</v>
      </c>
      <c r="F430" s="6" t="s">
        <v>132</v>
      </c>
      <c r="G430" s="7" t="str">
        <f>IFERROR(__xludf.DUMMYFUNCTION("GOOGLETRANSLATE(C430, ""en"", ""cs"")"),"Zadejte 5 - číslicový kód")</f>
        <v>Zadejte 5 - číslicový kód</v>
      </c>
      <c r="H430" s="7" t="str">
        <f>IFERROR(__xludf.DUMMYFUNCTION("GOOGLETRANSLATE(C430, ""en"", ""da"")"),"Indtast 5-cifret kode")</f>
        <v>Indtast 5-cifret kode</v>
      </c>
      <c r="I430" s="7" t="str">
        <f>IFERROR(__xludf.DUMMYFUNCTION("GOOGLETRANSLATE(C430, ""en"", ""de"")"),"Geben Sie einen 5-stelligen Code ein")</f>
        <v>Geben Sie einen 5-stelligen Code ein</v>
      </c>
      <c r="J430" s="6" t="s">
        <v>132</v>
      </c>
      <c r="K430" s="7" t="str">
        <f>IFERROR(__xludf.DUMMYFUNCTION("GOOGLETRANSLATE(C430, ""en"", ""es"")"),"Ingrese el código 5 - DIGIT")</f>
        <v>Ingrese el código 5 - DIGIT</v>
      </c>
      <c r="L430" s="7" t="str">
        <f>IFERROR(__xludf.DUMMYFUNCTION("GOOGLETRANSLATE(C430, ""en"", ""fi"")"),"Syötä 5 - Digit-koodi")</f>
        <v>Syötä 5 - Digit-koodi</v>
      </c>
      <c r="M430" s="7" t="str">
        <f>IFERROR(__xludf.DUMMYFUNCTION("GOOGLETRANSLATE(C430, ""en"", ""fr"")"),"Entrez 5 - code chiffre")</f>
        <v>Entrez 5 - code chiffre</v>
      </c>
      <c r="N430" s="6" t="s">
        <v>132</v>
      </c>
      <c r="O430" s="6" t="s">
        <v>132</v>
      </c>
      <c r="P430" s="7" t="str">
        <f>IFERROR(__xludf.DUMMYFUNCTION("GOOGLETRANSLATE(C430, ""en"", ""hu"")"),"Írja be az 5 - DIGIT kódot")</f>
        <v>Írja be az 5 - DIGIT kódot</v>
      </c>
      <c r="Q430" s="7" t="str">
        <f>IFERROR(__xludf.DUMMYFUNCTION("GOOGLETRANSLATE(C430, ""en"", ""in"")"),"Masukkan kode 5 - digit")</f>
        <v>Masukkan kode 5 - digit</v>
      </c>
      <c r="R430" s="7" t="str">
        <f>IFERROR(__xludf.DUMMYFUNCTION("GOOGLETRANSLATE(C430, ""en"", ""it"")"),"Inserire il codice a 5 cifre")</f>
        <v>Inserire il codice a 5 cifre</v>
      </c>
      <c r="S430" s="6" t="s">
        <v>132</v>
      </c>
      <c r="T430" s="7" t="str">
        <f>IFERROR(__xludf.DUMMYFUNCTION("GOOGLETRANSLATE(C430, ""en"", ""ja"")"),"5桁のコードを入力してください")</f>
        <v>5桁のコードを入力してください</v>
      </c>
      <c r="U430" s="7" t="str">
        <f>IFERROR(__xludf.DUMMYFUNCTION("GOOGLETRANSLATE(C430, ""en"", ""ko"")"),"5 자리 코드를 입력하십시오")</f>
        <v>5 자리 코드를 입력하십시오</v>
      </c>
      <c r="V430" s="7" t="str">
        <f>IFERROR(__xludf.DUMMYFUNCTION("GOOGLETRANSLATE(C430, ""en"", ""ms"")"),"Masukkan kod 5 - digit")</f>
        <v>Masukkan kod 5 - digit</v>
      </c>
      <c r="W430" s="7" t="str">
        <f>IFERROR(__xludf.DUMMYFUNCTION("GOOGLETRANSLATE(C430, ""en"", ""nl"")"),"Voer 5 - Cijferige code in")</f>
        <v>Voer 5 - Cijferige code in</v>
      </c>
      <c r="X430" s="7" t="str">
        <f>IFERROR(__xludf.DUMMYFUNCTION("GOOGLETRANSLATE(C430, ""en"", ""no"")"),"Skriv inn 5-sifret kode")</f>
        <v>Skriv inn 5-sifret kode</v>
      </c>
      <c r="Y430" s="7" t="str">
        <f>IFERROR(__xludf.DUMMYFUNCTION("GOOGLETRANSLATE(C430, ""en"", ""pl"")"),"Wpisz 5-cyfrowy kod")</f>
        <v>Wpisz 5-cyfrowy kod</v>
      </c>
      <c r="Z430" s="7" t="str">
        <f>IFERROR(__xludf.DUMMYFUNCTION("GOOGLETRANSLATE(C430, ""en"", ""pt"")"),"Digite o código de 5 dígitos")</f>
        <v>Digite o código de 5 dígitos</v>
      </c>
      <c r="AA430" s="7" t="str">
        <f>IFERROR(__xludf.DUMMYFUNCTION("GOOGLETRANSLATE(C430, ""en"", ""ro"")"),"Introduceți codul de 5 cifre")</f>
        <v>Introduceți codul de 5 cifre</v>
      </c>
      <c r="AB430" s="7" t="str">
        <f>IFERROR(__xludf.DUMMYFUNCTION("GOOGLETRANSLATE(C430, ""en"", ""ru"")"),"Введите 5 - цифр код")</f>
        <v>Введите 5 - цифр код</v>
      </c>
      <c r="AC430" s="7" t="str">
        <f>IFERROR(__xludf.DUMMYFUNCTION("GOOGLETRANSLATE(C430, ""en"", ""sk"")"),"Zadajte 5-miestny kód")</f>
        <v>Zadajte 5-miestny kód</v>
      </c>
      <c r="AD430" s="6" t="s">
        <v>132</v>
      </c>
      <c r="AE430" s="7" t="str">
        <f>IFERROR(__xludf.DUMMYFUNCTION("GOOGLETRANSLATE(C430, ""en"", ""sr"")"),"Унесите 5-цифрени код")</f>
        <v>Унесите 5-цифрени код</v>
      </c>
      <c r="AF430" s="7" t="str">
        <f>IFERROR(__xludf.DUMMYFUNCTION("GOOGLETRANSLATE(C430, ""en"", ""sv"")"),"Ange 5-siffriga kod")</f>
        <v>Ange 5-siffriga kod</v>
      </c>
      <c r="AG430" s="6" t="s">
        <v>132</v>
      </c>
      <c r="AH430" s="7" t="str">
        <f>IFERROR(__xludf.DUMMYFUNCTION("GOOGLETRANSLATE(C430, ""en"", ""tr"")"),"5 numaralı basamak kodunu girin")</f>
        <v>5 numaralı basamak kodunu girin</v>
      </c>
      <c r="AI430" s="6" t="s">
        <v>132</v>
      </c>
      <c r="AJ430" s="6" t="s">
        <v>132</v>
      </c>
      <c r="AK430" s="7" t="str">
        <f>IFERROR(__xludf.DUMMYFUNCTION("GOOGLETRANSLATE(C430, ""en"", ""zh"")"),"输入5  - 数字代码")</f>
        <v>输入5  - 数字代码</v>
      </c>
      <c r="AL430" s="6" t="s">
        <v>132</v>
      </c>
    </row>
    <row r="431" ht="15.75" hidden="1" customHeight="1">
      <c r="A431" s="1" t="s">
        <v>38</v>
      </c>
      <c r="B431" s="1" t="s">
        <v>9291</v>
      </c>
      <c r="C431" s="1" t="s">
        <v>9292</v>
      </c>
      <c r="D431" s="7" t="str">
        <f>IFERROR(__xludf.DUMMYFUNCTION("GOOGLETRANSLATE(C431, ""en"", ""ar"")"),"ميانمار")</f>
        <v>ميانمار</v>
      </c>
      <c r="E431" s="7" t="str">
        <f>IFERROR(__xludf.DUMMYFUNCTION("GOOGLETRANSLATE(C431, ""en"", ""bg"")"),"Мианмар")</f>
        <v>Мианмар</v>
      </c>
      <c r="F431" s="6" t="s">
        <v>132</v>
      </c>
      <c r="G431" s="7" t="str">
        <f>IFERROR(__xludf.DUMMYFUNCTION("GOOGLETRANSLATE(C431, ""en"", ""cs"")"),"Myanmar.")</f>
        <v>Myanmar.</v>
      </c>
      <c r="H431" s="7" t="str">
        <f>IFERROR(__xludf.DUMMYFUNCTION("GOOGLETRANSLATE(C431, ""en"", ""da"")"),"Myanmar.")</f>
        <v>Myanmar.</v>
      </c>
      <c r="I431" s="1" t="s">
        <v>9292</v>
      </c>
      <c r="J431" s="6" t="s">
        <v>132</v>
      </c>
      <c r="K431" s="1" t="s">
        <v>9292</v>
      </c>
      <c r="L431" s="7" t="str">
        <f>IFERROR(__xludf.DUMMYFUNCTION("GOOGLETRANSLATE(C431, ""en"", ""fi"")"),"Myanmar")</f>
        <v>Myanmar</v>
      </c>
      <c r="M431" s="1" t="s">
        <v>9292</v>
      </c>
      <c r="N431" s="6" t="s">
        <v>132</v>
      </c>
      <c r="O431" s="6" t="s">
        <v>132</v>
      </c>
      <c r="P431" s="1" t="s">
        <v>9292</v>
      </c>
      <c r="Q431" s="7" t="str">
        <f>IFERROR(__xludf.DUMMYFUNCTION("GOOGLETRANSLATE(C431, ""en"", ""in"")"),"Myanmar.")</f>
        <v>Myanmar.</v>
      </c>
      <c r="R431" s="7" t="str">
        <f>IFERROR(__xludf.DUMMYFUNCTION("GOOGLETRANSLATE(C431, ""en"", ""it"")"),"Myanmar.")</f>
        <v>Myanmar.</v>
      </c>
      <c r="S431" s="6" t="s">
        <v>132</v>
      </c>
      <c r="T431" s="7" t="str">
        <f>IFERROR(__xludf.DUMMYFUNCTION("GOOGLETRANSLATE(C431, ""en"", ""ja"")"),"ミャンマー")</f>
        <v>ミャンマー</v>
      </c>
      <c r="U431" s="7" t="str">
        <f>IFERROR(__xludf.DUMMYFUNCTION("GOOGLETRANSLATE(C431, ""en"", ""ko"")"),"미얀마")</f>
        <v>미얀마</v>
      </c>
      <c r="V431" s="7" t="str">
        <f>IFERROR(__xludf.DUMMYFUNCTION("GOOGLETRANSLATE(C431, ""en"", ""ms"")"),"Myanmar.")</f>
        <v>Myanmar.</v>
      </c>
      <c r="W431" s="7" t="str">
        <f>IFERROR(__xludf.DUMMYFUNCTION("GOOGLETRANSLATE(C431, ""en"", ""nl"")"),"Myanmar")</f>
        <v>Myanmar</v>
      </c>
      <c r="X431" s="7" t="str">
        <f>IFERROR(__xludf.DUMMYFUNCTION("GOOGLETRANSLATE(C431, ""en"", ""no"")"),"Myanmar.")</f>
        <v>Myanmar.</v>
      </c>
      <c r="Y431" s="7" t="str">
        <f>IFERROR(__xludf.DUMMYFUNCTION("GOOGLETRANSLATE(C431, ""en"", ""pl"")"),"Myanmar")</f>
        <v>Myanmar</v>
      </c>
      <c r="Z431" s="7" t="str">
        <f>IFERROR(__xludf.DUMMYFUNCTION("GOOGLETRANSLATE(C431, ""en"", ""pt"")"),"Myanmar")</f>
        <v>Myanmar</v>
      </c>
      <c r="AA431" s="7" t="str">
        <f>IFERROR(__xludf.DUMMYFUNCTION("GOOGLETRANSLATE(C431, ""en"", ""ro"")"),"Myanmar.")</f>
        <v>Myanmar.</v>
      </c>
      <c r="AB431" s="1" t="s">
        <v>9293</v>
      </c>
      <c r="AC431" s="7" t="str">
        <f>IFERROR(__xludf.DUMMYFUNCTION("GOOGLETRANSLATE(C431, ""en"", ""sk"")"),"Mjanmarsko")</f>
        <v>Mjanmarsko</v>
      </c>
      <c r="AD431" s="6" t="s">
        <v>132</v>
      </c>
      <c r="AE431" s="1" t="s">
        <v>9294</v>
      </c>
      <c r="AF431" s="7" t="str">
        <f>IFERROR(__xludf.DUMMYFUNCTION("GOOGLETRANSLATE(C431, ""en"", ""sv"")"),"Myanmar")</f>
        <v>Myanmar</v>
      </c>
      <c r="AG431" s="6" t="s">
        <v>132</v>
      </c>
      <c r="AH431" s="7" t="str">
        <f>IFERROR(__xludf.DUMMYFUNCTION("GOOGLETRANSLATE(C431, ""en"", ""tr"")"),"Myanmar")</f>
        <v>Myanmar</v>
      </c>
      <c r="AI431" s="6" t="s">
        <v>132</v>
      </c>
      <c r="AJ431" s="6" t="s">
        <v>132</v>
      </c>
      <c r="AK431" s="7" t="str">
        <f>IFERROR(__xludf.DUMMYFUNCTION("GOOGLETRANSLATE(C431, ""en"", ""zh"")"),"缅甸")</f>
        <v>缅甸</v>
      </c>
      <c r="AL431" s="6" t="s">
        <v>132</v>
      </c>
    </row>
    <row r="432" ht="15.75" customHeight="1">
      <c r="A432" s="1" t="s">
        <v>127</v>
      </c>
      <c r="B432" s="1" t="s">
        <v>9295</v>
      </c>
      <c r="C432" s="1" t="s">
        <v>9296</v>
      </c>
      <c r="D432" s="8" t="s">
        <v>9297</v>
      </c>
      <c r="E432" s="1" t="s">
        <v>9298</v>
      </c>
      <c r="F432" s="6" t="s">
        <v>132</v>
      </c>
      <c r="G432" s="1" t="s">
        <v>9299</v>
      </c>
      <c r="H432" s="1" t="s">
        <v>9300</v>
      </c>
      <c r="I432" s="1" t="s">
        <v>9301</v>
      </c>
      <c r="J432" s="6" t="s">
        <v>9302</v>
      </c>
      <c r="K432" s="1" t="s">
        <v>9303</v>
      </c>
      <c r="L432" s="1" t="s">
        <v>9304</v>
      </c>
      <c r="M432" s="1" t="s">
        <v>9305</v>
      </c>
      <c r="N432" s="6" t="s">
        <v>132</v>
      </c>
      <c r="O432" s="6" t="s">
        <v>9306</v>
      </c>
      <c r="P432" s="1" t="s">
        <v>9307</v>
      </c>
      <c r="Q432" s="1" t="s">
        <v>9308</v>
      </c>
      <c r="R432" s="1" t="s">
        <v>9309</v>
      </c>
      <c r="S432" s="10" t="s">
        <v>9310</v>
      </c>
      <c r="T432" s="1" t="s">
        <v>9311</v>
      </c>
      <c r="U432" s="1" t="s">
        <v>9312</v>
      </c>
      <c r="V432" s="1" t="s">
        <v>9308</v>
      </c>
      <c r="W432" s="1" t="s">
        <v>9313</v>
      </c>
      <c r="X432" s="1" t="s">
        <v>9300</v>
      </c>
      <c r="Y432" s="1" t="s">
        <v>9314</v>
      </c>
      <c r="Z432" s="1" t="s">
        <v>9315</v>
      </c>
      <c r="AA432" s="1" t="s">
        <v>9316</v>
      </c>
      <c r="AB432" s="1" t="s">
        <v>9317</v>
      </c>
      <c r="AC432" s="1" t="s">
        <v>9318</v>
      </c>
      <c r="AD432" s="6" t="s">
        <v>9319</v>
      </c>
      <c r="AE432" s="1" t="s">
        <v>9320</v>
      </c>
      <c r="AF432" s="1" t="s">
        <v>9321</v>
      </c>
      <c r="AG432" s="6" t="s">
        <v>9322</v>
      </c>
      <c r="AH432" s="1" t="s">
        <v>9323</v>
      </c>
      <c r="AI432" s="6" t="s">
        <v>132</v>
      </c>
      <c r="AJ432" s="6" t="s">
        <v>9324</v>
      </c>
      <c r="AK432" s="1" t="s">
        <v>9325</v>
      </c>
      <c r="AL432" s="6" t="s">
        <v>132</v>
      </c>
    </row>
    <row r="433" ht="15.75" customHeight="1">
      <c r="A433" s="1" t="s">
        <v>127</v>
      </c>
      <c r="B433" s="1" t="s">
        <v>9326</v>
      </c>
      <c r="C433" s="1" t="s">
        <v>9327</v>
      </c>
      <c r="D433" s="8" t="s">
        <v>9328</v>
      </c>
      <c r="E433" s="1" t="s">
        <v>9329</v>
      </c>
      <c r="F433" s="6" t="s">
        <v>132</v>
      </c>
      <c r="G433" s="1" t="s">
        <v>9330</v>
      </c>
      <c r="H433" s="1" t="s">
        <v>9331</v>
      </c>
      <c r="I433" s="1" t="s">
        <v>9332</v>
      </c>
      <c r="J433" s="6" t="s">
        <v>9333</v>
      </c>
      <c r="K433" s="1" t="s">
        <v>9334</v>
      </c>
      <c r="L433" s="1" t="s">
        <v>9335</v>
      </c>
      <c r="M433" s="1" t="s">
        <v>9327</v>
      </c>
      <c r="N433" s="6" t="s">
        <v>132</v>
      </c>
      <c r="O433" s="6" t="s">
        <v>9336</v>
      </c>
      <c r="P433" s="1" t="s">
        <v>9327</v>
      </c>
      <c r="Q433" s="1" t="s">
        <v>9337</v>
      </c>
      <c r="R433" s="1" t="s">
        <v>9338</v>
      </c>
      <c r="S433" s="10" t="s">
        <v>9339</v>
      </c>
      <c r="T433" s="1" t="s">
        <v>9340</v>
      </c>
      <c r="U433" s="1" t="s">
        <v>9341</v>
      </c>
      <c r="V433" s="1" t="s">
        <v>9342</v>
      </c>
      <c r="W433" s="1" t="s">
        <v>9343</v>
      </c>
      <c r="X433" s="1" t="s">
        <v>9344</v>
      </c>
      <c r="Y433" s="1" t="s">
        <v>9345</v>
      </c>
      <c r="Z433" s="1" t="s">
        <v>9346</v>
      </c>
      <c r="AA433" s="1" t="s">
        <v>9347</v>
      </c>
      <c r="AB433" s="1" t="s">
        <v>9348</v>
      </c>
      <c r="AC433" s="1" t="s">
        <v>9349</v>
      </c>
      <c r="AD433" s="6" t="s">
        <v>9350</v>
      </c>
      <c r="AE433" s="1" t="s">
        <v>9351</v>
      </c>
      <c r="AF433" s="1" t="s">
        <v>9352</v>
      </c>
      <c r="AG433" s="6" t="s">
        <v>9353</v>
      </c>
      <c r="AH433" s="1" t="s">
        <v>9354</v>
      </c>
      <c r="AI433" s="6" t="s">
        <v>132</v>
      </c>
      <c r="AJ433" s="6" t="s">
        <v>9355</v>
      </c>
      <c r="AK433" s="1" t="s">
        <v>9356</v>
      </c>
      <c r="AL433" s="6" t="s">
        <v>132</v>
      </c>
    </row>
    <row r="434" ht="15.75" customHeight="1">
      <c r="A434" s="1" t="s">
        <v>127</v>
      </c>
      <c r="B434" s="1" t="s">
        <v>9357</v>
      </c>
      <c r="C434" s="1" t="s">
        <v>9358</v>
      </c>
      <c r="D434" s="8" t="s">
        <v>9359</v>
      </c>
      <c r="E434" s="1" t="s">
        <v>9360</v>
      </c>
      <c r="F434" s="6" t="s">
        <v>132</v>
      </c>
      <c r="G434" s="1" t="s">
        <v>9361</v>
      </c>
      <c r="H434" s="1" t="s">
        <v>9362</v>
      </c>
      <c r="I434" s="1" t="s">
        <v>9363</v>
      </c>
      <c r="J434" s="6" t="s">
        <v>9364</v>
      </c>
      <c r="K434" s="1" t="s">
        <v>9358</v>
      </c>
      <c r="L434" s="1" t="s">
        <v>9365</v>
      </c>
      <c r="M434" s="1" t="s">
        <v>9358</v>
      </c>
      <c r="N434" s="6" t="s">
        <v>132</v>
      </c>
      <c r="O434" s="6" t="s">
        <v>9366</v>
      </c>
      <c r="P434" s="1" t="s">
        <v>9358</v>
      </c>
      <c r="Q434" s="1" t="s">
        <v>9367</v>
      </c>
      <c r="R434" s="1" t="s">
        <v>9368</v>
      </c>
      <c r="S434" s="10" t="s">
        <v>9369</v>
      </c>
      <c r="T434" s="1" t="s">
        <v>9370</v>
      </c>
      <c r="U434" s="1" t="s">
        <v>9371</v>
      </c>
      <c r="V434" s="1" t="s">
        <v>9372</v>
      </c>
      <c r="W434" s="1" t="s">
        <v>9373</v>
      </c>
      <c r="X434" s="1" t="s">
        <v>9374</v>
      </c>
      <c r="Y434" s="1" t="s">
        <v>9375</v>
      </c>
      <c r="Z434" s="1" t="s">
        <v>9376</v>
      </c>
      <c r="AA434" s="1" t="s">
        <v>9377</v>
      </c>
      <c r="AB434" s="1" t="s">
        <v>9378</v>
      </c>
      <c r="AC434" s="1" t="s">
        <v>9379</v>
      </c>
      <c r="AD434" s="6" t="s">
        <v>9361</v>
      </c>
      <c r="AE434" s="1" t="s">
        <v>9358</v>
      </c>
      <c r="AF434" s="1" t="s">
        <v>9380</v>
      </c>
      <c r="AG434" s="6" t="s">
        <v>9381</v>
      </c>
      <c r="AH434" s="1" t="s">
        <v>9382</v>
      </c>
      <c r="AI434" s="6" t="s">
        <v>132</v>
      </c>
      <c r="AJ434" s="6" t="s">
        <v>9383</v>
      </c>
      <c r="AK434" s="1" t="s">
        <v>9384</v>
      </c>
      <c r="AL434" s="6" t="s">
        <v>9385</v>
      </c>
    </row>
    <row r="435" ht="15.75" customHeight="1">
      <c r="A435" s="1" t="s">
        <v>127</v>
      </c>
      <c r="B435" s="1" t="s">
        <v>9386</v>
      </c>
      <c r="C435" s="1" t="s">
        <v>9387</v>
      </c>
      <c r="D435" s="8" t="s">
        <v>9388</v>
      </c>
      <c r="E435" s="1" t="s">
        <v>9389</v>
      </c>
      <c r="F435" s="6" t="s">
        <v>132</v>
      </c>
      <c r="G435" s="1" t="s">
        <v>9390</v>
      </c>
      <c r="H435" s="1" t="s">
        <v>9391</v>
      </c>
      <c r="I435" s="1" t="s">
        <v>9392</v>
      </c>
      <c r="J435" s="6" t="s">
        <v>9393</v>
      </c>
      <c r="K435" s="1" t="s">
        <v>9394</v>
      </c>
      <c r="L435" s="1" t="s">
        <v>9395</v>
      </c>
      <c r="M435" s="1" t="s">
        <v>9387</v>
      </c>
      <c r="N435" s="6" t="s">
        <v>132</v>
      </c>
      <c r="O435" s="6" t="s">
        <v>9396</v>
      </c>
      <c r="P435" s="1" t="s">
        <v>9397</v>
      </c>
      <c r="Q435" s="1" t="s">
        <v>9398</v>
      </c>
      <c r="R435" s="1" t="s">
        <v>9399</v>
      </c>
      <c r="S435" s="10" t="s">
        <v>9400</v>
      </c>
      <c r="T435" s="1" t="s">
        <v>9401</v>
      </c>
      <c r="U435" s="1" t="s">
        <v>9402</v>
      </c>
      <c r="V435" s="1" t="s">
        <v>9403</v>
      </c>
      <c r="W435" s="1" t="s">
        <v>9404</v>
      </c>
      <c r="X435" s="1" t="s">
        <v>9405</v>
      </c>
      <c r="Y435" s="1" t="s">
        <v>9406</v>
      </c>
      <c r="Z435" s="1" t="s">
        <v>9407</v>
      </c>
      <c r="AA435" s="1" t="s">
        <v>9408</v>
      </c>
      <c r="AB435" s="1" t="s">
        <v>9409</v>
      </c>
      <c r="AC435" s="1" t="s">
        <v>9390</v>
      </c>
      <c r="AD435" s="6" t="s">
        <v>9410</v>
      </c>
      <c r="AE435" s="1" t="s">
        <v>9411</v>
      </c>
      <c r="AF435" s="1" t="s">
        <v>9412</v>
      </c>
      <c r="AG435" s="6" t="s">
        <v>9413</v>
      </c>
      <c r="AH435" s="1" t="s">
        <v>9414</v>
      </c>
      <c r="AI435" s="6" t="s">
        <v>132</v>
      </c>
      <c r="AJ435" s="6" t="s">
        <v>9415</v>
      </c>
      <c r="AK435" s="1" t="s">
        <v>9416</v>
      </c>
      <c r="AL435" s="6" t="s">
        <v>9417</v>
      </c>
    </row>
    <row r="436" ht="15.75" hidden="1" customHeight="1">
      <c r="A436" s="1" t="s">
        <v>38</v>
      </c>
      <c r="B436" s="1" t="s">
        <v>9418</v>
      </c>
      <c r="C436" s="1" t="s">
        <v>9419</v>
      </c>
      <c r="D436" s="7" t="str">
        <f>IFERROR(__xludf.DUMMYFUNCTION("GOOGLETRANSLATE(C436, ""en"", ""ar"")"),"ليتوانيا")</f>
        <v>ليتوانيا</v>
      </c>
      <c r="E436" s="7" t="str">
        <f>IFERROR(__xludf.DUMMYFUNCTION("GOOGLETRANSLATE(C436, ""en"", ""bg"")"),"Литва")</f>
        <v>Литва</v>
      </c>
      <c r="F436" s="6" t="s">
        <v>132</v>
      </c>
      <c r="G436" s="7" t="str">
        <f>IFERROR(__xludf.DUMMYFUNCTION("GOOGLETRANSLATE(C436, ""en"", ""cs"")"),"Litva.")</f>
        <v>Litva.</v>
      </c>
      <c r="H436" s="7" t="str">
        <f>IFERROR(__xludf.DUMMYFUNCTION("GOOGLETRANSLATE(C436, ""en"", ""da"")"),"Litauen")</f>
        <v>Litauen</v>
      </c>
      <c r="I436" s="1" t="s">
        <v>9420</v>
      </c>
      <c r="J436" s="6" t="s">
        <v>132</v>
      </c>
      <c r="K436" s="1" t="s">
        <v>9419</v>
      </c>
      <c r="L436" s="7" t="str">
        <f>IFERROR(__xludf.DUMMYFUNCTION("GOOGLETRANSLATE(C436, ""en"", ""fi"")"),"Liettua")</f>
        <v>Liettua</v>
      </c>
      <c r="M436" s="1" t="s">
        <v>9421</v>
      </c>
      <c r="N436" s="6" t="s">
        <v>132</v>
      </c>
      <c r="O436" s="6" t="s">
        <v>132</v>
      </c>
      <c r="P436" s="1" t="s">
        <v>9419</v>
      </c>
      <c r="Q436" s="7" t="str">
        <f>IFERROR(__xludf.DUMMYFUNCTION("GOOGLETRANSLATE(C436, ""en"", ""in"")"),"Lithuania")</f>
        <v>Lithuania</v>
      </c>
      <c r="R436" s="7" t="str">
        <f>IFERROR(__xludf.DUMMYFUNCTION("GOOGLETRANSLATE(C436, ""en"", ""it"")"),"Lituania")</f>
        <v>Lituania</v>
      </c>
      <c r="S436" s="6" t="s">
        <v>132</v>
      </c>
      <c r="T436" s="7" t="str">
        <f>IFERROR(__xludf.DUMMYFUNCTION("GOOGLETRANSLATE(C436, ""en"", ""ja"")"),"リトアニア")</f>
        <v>リトアニア</v>
      </c>
      <c r="U436" s="7" t="str">
        <f>IFERROR(__xludf.DUMMYFUNCTION("GOOGLETRANSLATE(C436, ""en"", ""ko"")"),"리투아니아")</f>
        <v>리투아니아</v>
      </c>
      <c r="V436" s="7" t="str">
        <f>IFERROR(__xludf.DUMMYFUNCTION("GOOGLETRANSLATE(C436, ""en"", ""ms"")"),"Lithuania")</f>
        <v>Lithuania</v>
      </c>
      <c r="W436" s="7" t="str">
        <f>IFERROR(__xludf.DUMMYFUNCTION("GOOGLETRANSLATE(C436, ""en"", ""nl"")"),"Litouwen")</f>
        <v>Litouwen</v>
      </c>
      <c r="X436" s="7" t="str">
        <f>IFERROR(__xludf.DUMMYFUNCTION("GOOGLETRANSLATE(C436, ""en"", ""no"")"),"Litauen")</f>
        <v>Litauen</v>
      </c>
      <c r="Y436" s="7" t="str">
        <f>IFERROR(__xludf.DUMMYFUNCTION("GOOGLETRANSLATE(C436, ""en"", ""pl"")"),"Litwa")</f>
        <v>Litwa</v>
      </c>
      <c r="Z436" s="7" t="str">
        <f>IFERROR(__xludf.DUMMYFUNCTION("GOOGLETRANSLATE(C436, ""en"", ""pt"")"),"Lituânia")</f>
        <v>Lituânia</v>
      </c>
      <c r="AA436" s="7" t="str">
        <f>IFERROR(__xludf.DUMMYFUNCTION("GOOGLETRANSLATE(C436, ""en"", ""ro"")"),"Lituania")</f>
        <v>Lituania</v>
      </c>
      <c r="AB436" s="1" t="s">
        <v>9422</v>
      </c>
      <c r="AC436" s="7" t="str">
        <f>IFERROR(__xludf.DUMMYFUNCTION("GOOGLETRANSLATE(C436, ""en"", ""sk"")"),"Litva")</f>
        <v>Litva</v>
      </c>
      <c r="AD436" s="6" t="s">
        <v>132</v>
      </c>
      <c r="AE436" s="1" t="s">
        <v>9423</v>
      </c>
      <c r="AF436" s="7" t="str">
        <f>IFERROR(__xludf.DUMMYFUNCTION("GOOGLETRANSLATE(C436, ""en"", ""sv"")"),"Litauen")</f>
        <v>Litauen</v>
      </c>
      <c r="AG436" s="6" t="s">
        <v>132</v>
      </c>
      <c r="AH436" s="7" t="str">
        <f>IFERROR(__xludf.DUMMYFUNCTION("GOOGLETRANSLATE(C436, ""en"", ""tr"")"),"Litvanya")</f>
        <v>Litvanya</v>
      </c>
      <c r="AI436" s="6" t="s">
        <v>132</v>
      </c>
      <c r="AJ436" s="6" t="s">
        <v>132</v>
      </c>
      <c r="AK436" s="7" t="str">
        <f>IFERROR(__xludf.DUMMYFUNCTION("GOOGLETRANSLATE(C436, ""en"", ""zh"")"),"立陶宛")</f>
        <v>立陶宛</v>
      </c>
      <c r="AL436" s="6" t="s">
        <v>132</v>
      </c>
    </row>
    <row r="437" ht="15.75" customHeight="1">
      <c r="A437" s="1" t="s">
        <v>127</v>
      </c>
      <c r="B437" s="1" t="s">
        <v>9424</v>
      </c>
      <c r="C437" s="1" t="s">
        <v>9425</v>
      </c>
      <c r="D437" s="8" t="s">
        <v>9426</v>
      </c>
      <c r="E437" s="1" t="s">
        <v>9427</v>
      </c>
      <c r="F437" s="6" t="s">
        <v>132</v>
      </c>
      <c r="G437" s="1" t="s">
        <v>9428</v>
      </c>
      <c r="H437" s="1" t="s">
        <v>9429</v>
      </c>
      <c r="I437" s="1" t="s">
        <v>9430</v>
      </c>
      <c r="J437" s="6" t="s">
        <v>9431</v>
      </c>
      <c r="K437" s="1" t="s">
        <v>9432</v>
      </c>
      <c r="L437" s="1" t="s">
        <v>9433</v>
      </c>
      <c r="M437" s="1" t="s">
        <v>9425</v>
      </c>
      <c r="N437" s="6" t="s">
        <v>132</v>
      </c>
      <c r="O437" s="6" t="s">
        <v>9434</v>
      </c>
      <c r="P437" s="1" t="s">
        <v>9435</v>
      </c>
      <c r="Q437" s="1" t="s">
        <v>9436</v>
      </c>
      <c r="R437" s="1" t="s">
        <v>9437</v>
      </c>
      <c r="S437" s="10" t="s">
        <v>9438</v>
      </c>
      <c r="T437" s="1" t="s">
        <v>9439</v>
      </c>
      <c r="U437" s="1" t="s">
        <v>9440</v>
      </c>
      <c r="V437" s="1" t="s">
        <v>9441</v>
      </c>
      <c r="W437" s="1" t="s">
        <v>9442</v>
      </c>
      <c r="X437" s="1" t="s">
        <v>9443</v>
      </c>
      <c r="Y437" s="1" t="s">
        <v>9444</v>
      </c>
      <c r="Z437" s="1" t="s">
        <v>9445</v>
      </c>
      <c r="AA437" s="1" t="s">
        <v>9446</v>
      </c>
      <c r="AB437" s="1" t="s">
        <v>9447</v>
      </c>
      <c r="AC437" s="1" t="s">
        <v>9448</v>
      </c>
      <c r="AD437" s="6" t="s">
        <v>9428</v>
      </c>
      <c r="AE437" s="1" t="s">
        <v>9425</v>
      </c>
      <c r="AF437" s="1" t="s">
        <v>9449</v>
      </c>
      <c r="AG437" s="6" t="s">
        <v>9450</v>
      </c>
      <c r="AH437" s="1" t="s">
        <v>9451</v>
      </c>
      <c r="AI437" s="6" t="s">
        <v>132</v>
      </c>
      <c r="AJ437" s="6" t="s">
        <v>9452</v>
      </c>
      <c r="AK437" s="1" t="s">
        <v>9453</v>
      </c>
      <c r="AL437" s="6" t="s">
        <v>9454</v>
      </c>
    </row>
    <row r="438" ht="15.75" customHeight="1">
      <c r="A438" s="1" t="s">
        <v>127</v>
      </c>
      <c r="B438" s="1" t="s">
        <v>9455</v>
      </c>
      <c r="C438" s="1" t="s">
        <v>9456</v>
      </c>
      <c r="D438" s="8" t="s">
        <v>9457</v>
      </c>
      <c r="E438" s="1" t="s">
        <v>9458</v>
      </c>
      <c r="F438" s="6" t="s">
        <v>132</v>
      </c>
      <c r="G438" s="1" t="s">
        <v>9459</v>
      </c>
      <c r="H438" s="1" t="s">
        <v>9460</v>
      </c>
      <c r="I438" s="1" t="s">
        <v>9461</v>
      </c>
      <c r="J438" s="6" t="s">
        <v>9462</v>
      </c>
      <c r="K438" s="1" t="s">
        <v>9463</v>
      </c>
      <c r="L438" s="1" t="s">
        <v>9464</v>
      </c>
      <c r="M438" s="1" t="s">
        <v>9465</v>
      </c>
      <c r="N438" s="6" t="s">
        <v>132</v>
      </c>
      <c r="O438" s="6" t="s">
        <v>9466</v>
      </c>
      <c r="P438" s="1" t="s">
        <v>9467</v>
      </c>
      <c r="Q438" s="1" t="s">
        <v>9468</v>
      </c>
      <c r="R438" s="1" t="s">
        <v>9469</v>
      </c>
      <c r="S438" s="10" t="s">
        <v>9470</v>
      </c>
      <c r="T438" s="1" t="s">
        <v>9471</v>
      </c>
      <c r="U438" s="1" t="s">
        <v>9472</v>
      </c>
      <c r="V438" s="1" t="s">
        <v>9468</v>
      </c>
      <c r="W438" s="1" t="s">
        <v>9473</v>
      </c>
      <c r="X438" s="1" t="s">
        <v>9474</v>
      </c>
      <c r="Y438" s="1" t="s">
        <v>9475</v>
      </c>
      <c r="Z438" s="1" t="s">
        <v>9476</v>
      </c>
      <c r="AA438" s="1" t="s">
        <v>9477</v>
      </c>
      <c r="AB438" s="1" t="s">
        <v>9478</v>
      </c>
      <c r="AC438" s="1" t="s">
        <v>9479</v>
      </c>
      <c r="AD438" s="6" t="s">
        <v>9480</v>
      </c>
      <c r="AE438" s="1" t="s">
        <v>9481</v>
      </c>
      <c r="AF438" s="1" t="s">
        <v>9482</v>
      </c>
      <c r="AG438" s="6" t="s">
        <v>9483</v>
      </c>
      <c r="AH438" s="1" t="s">
        <v>9484</v>
      </c>
      <c r="AI438" s="6" t="s">
        <v>132</v>
      </c>
      <c r="AJ438" s="6" t="s">
        <v>9485</v>
      </c>
      <c r="AK438" s="1" t="s">
        <v>9486</v>
      </c>
      <c r="AL438" s="6" t="s">
        <v>132</v>
      </c>
    </row>
    <row r="439" ht="15.75" customHeight="1">
      <c r="A439" s="1" t="s">
        <v>127</v>
      </c>
      <c r="B439" s="1" t="s">
        <v>9487</v>
      </c>
      <c r="C439" s="1" t="s">
        <v>9488</v>
      </c>
      <c r="D439" s="8" t="s">
        <v>9489</v>
      </c>
      <c r="E439" s="1" t="s">
        <v>9329</v>
      </c>
      <c r="F439" s="6" t="s">
        <v>132</v>
      </c>
      <c r="G439" s="1" t="s">
        <v>9490</v>
      </c>
      <c r="H439" s="1" t="s">
        <v>9491</v>
      </c>
      <c r="I439" s="1" t="s">
        <v>9492</v>
      </c>
      <c r="J439" s="6" t="s">
        <v>9333</v>
      </c>
      <c r="K439" s="1" t="s">
        <v>9493</v>
      </c>
      <c r="L439" s="1" t="s">
        <v>9335</v>
      </c>
      <c r="M439" s="1" t="s">
        <v>9488</v>
      </c>
      <c r="N439" s="6" t="s">
        <v>132</v>
      </c>
      <c r="O439" s="6" t="s">
        <v>9494</v>
      </c>
      <c r="P439" s="1" t="s">
        <v>9495</v>
      </c>
      <c r="Q439" s="1" t="s">
        <v>9496</v>
      </c>
      <c r="R439" s="1" t="s">
        <v>9338</v>
      </c>
      <c r="S439" s="10" t="s">
        <v>9497</v>
      </c>
      <c r="T439" s="1" t="s">
        <v>9488</v>
      </c>
      <c r="U439" s="1" t="s">
        <v>9341</v>
      </c>
      <c r="V439" s="1" t="s">
        <v>9498</v>
      </c>
      <c r="W439" s="1" t="s">
        <v>9499</v>
      </c>
      <c r="X439" s="1" t="s">
        <v>9500</v>
      </c>
      <c r="Y439" s="1" t="s">
        <v>9501</v>
      </c>
      <c r="Z439" s="1" t="s">
        <v>9502</v>
      </c>
      <c r="AA439" s="1" t="s">
        <v>9503</v>
      </c>
      <c r="AB439" s="1" t="s">
        <v>9504</v>
      </c>
      <c r="AC439" s="1" t="s">
        <v>9505</v>
      </c>
      <c r="AD439" s="6" t="s">
        <v>9350</v>
      </c>
      <c r="AE439" s="1" t="s">
        <v>9506</v>
      </c>
      <c r="AF439" s="1" t="s">
        <v>9507</v>
      </c>
      <c r="AG439" s="6" t="s">
        <v>9353</v>
      </c>
      <c r="AH439" s="1" t="s">
        <v>9508</v>
      </c>
      <c r="AI439" s="6" t="s">
        <v>132</v>
      </c>
      <c r="AJ439" s="6" t="s">
        <v>9509</v>
      </c>
      <c r="AK439" s="1" t="s">
        <v>9510</v>
      </c>
      <c r="AL439" s="6" t="s">
        <v>9511</v>
      </c>
    </row>
    <row r="440" ht="15.75" hidden="1" customHeight="1">
      <c r="A440" s="1" t="s">
        <v>38</v>
      </c>
      <c r="B440" s="1" t="s">
        <v>9512</v>
      </c>
      <c r="C440" s="1" t="s">
        <v>9513</v>
      </c>
      <c r="D440" s="8" t="s">
        <v>6544</v>
      </c>
      <c r="E440" s="1" t="s">
        <v>6545</v>
      </c>
      <c r="F440" s="6" t="s">
        <v>6546</v>
      </c>
      <c r="G440" s="7" t="str">
        <f>IFERROR(__xludf.DUMMYFUNCTION("GOOGLETRANSLATE(C440, ""en"", ""cs"")"),"Upravit Stavová zpráva")</f>
        <v>Upravit Stavová zpráva</v>
      </c>
      <c r="H440" s="7" t="str">
        <f>IFERROR(__xludf.DUMMYFUNCTION("GOOGLETRANSLATE(C440, ""en"", ""da"")"),"Rediger statusmeddelelse")</f>
        <v>Rediger statusmeddelelse</v>
      </c>
      <c r="I440" s="1" t="s">
        <v>6547</v>
      </c>
      <c r="J440" s="6" t="s">
        <v>132</v>
      </c>
      <c r="K440" s="1" t="s">
        <v>9514</v>
      </c>
      <c r="L440" s="7" t="str">
        <f>IFERROR(__xludf.DUMMYFUNCTION("GOOGLETRANSLATE(C440, ""en"", ""fi"")"),"Muokkaa tilaviestiä")</f>
        <v>Muokkaa tilaviestiä</v>
      </c>
      <c r="M440" s="1" t="s">
        <v>9515</v>
      </c>
      <c r="N440" s="6" t="s">
        <v>9516</v>
      </c>
      <c r="O440" s="6" t="s">
        <v>132</v>
      </c>
      <c r="P440" s="1" t="s">
        <v>9517</v>
      </c>
      <c r="Q440" s="7" t="str">
        <f>IFERROR(__xludf.DUMMYFUNCTION("GOOGLETRANSLATE(C440, ""en"", ""in"")"),"Edit pesan status")</f>
        <v>Edit pesan status</v>
      </c>
      <c r="R440" s="1" t="s">
        <v>9518</v>
      </c>
      <c r="S440" s="6" t="s">
        <v>132</v>
      </c>
      <c r="T440" s="1" t="s">
        <v>6553</v>
      </c>
      <c r="U440" s="7" t="str">
        <f>IFERROR(__xludf.DUMMYFUNCTION("GOOGLETRANSLATE(C440, ""en"", ""ko"")"),"상태 메시지 편집")</f>
        <v>상태 메시지 편집</v>
      </c>
      <c r="V440" s="7" t="str">
        <f>IFERROR(__xludf.DUMMYFUNCTION("GOOGLETRANSLATE(C440, ""en"", ""ms"")"),"Edit mesej status")</f>
        <v>Edit mesej status</v>
      </c>
      <c r="W440" s="1" t="s">
        <v>6554</v>
      </c>
      <c r="X440" s="7" t="str">
        <f>IFERROR(__xludf.DUMMYFUNCTION("GOOGLETRANSLATE(C440, ""en"", ""no"")"),"Rediger statusmelding")</f>
        <v>Rediger statusmelding</v>
      </c>
      <c r="Y440" s="1" t="s">
        <v>6555</v>
      </c>
      <c r="Z440" s="7" t="str">
        <f>IFERROR(__xludf.DUMMYFUNCTION("GOOGLETRANSLATE(C440, ""en"", ""pt"")"),"Editar mensagem de status")</f>
        <v>Editar mensagem de status</v>
      </c>
      <c r="AA440" s="7" t="str">
        <f>IFERROR(__xludf.DUMMYFUNCTION("GOOGLETRANSLATE(C440, ""en"", ""ro"")"),"Editați mesajul de stare")</f>
        <v>Editați mesajul de stare</v>
      </c>
      <c r="AB440" s="1" t="s">
        <v>6556</v>
      </c>
      <c r="AC440" s="7" t="str">
        <f>IFERROR(__xludf.DUMMYFUNCTION("GOOGLETRANSLATE(C440, ""en"", ""sk"")"),"Upraviť stavovú správu")</f>
        <v>Upraviť stavovú správu</v>
      </c>
      <c r="AD440" s="6" t="s">
        <v>132</v>
      </c>
      <c r="AE440" s="7" t="str">
        <f>IFERROR(__xludf.DUMMYFUNCTION("GOOGLETRANSLATE(C440, ""en"", ""sr"")"),"Уређивање статусне поруке")</f>
        <v>Уређивање статусне поруке</v>
      </c>
      <c r="AF440" s="7" t="str">
        <f>IFERROR(__xludf.DUMMYFUNCTION("GOOGLETRANSLATE(C440, ""en"", ""sv"")"),"Redigera statusmeddelande")</f>
        <v>Redigera statusmeddelande</v>
      </c>
      <c r="AG440" s="6" t="s">
        <v>132</v>
      </c>
      <c r="AH440" s="7" t="str">
        <f>IFERROR(__xludf.DUMMYFUNCTION("GOOGLETRANSLATE(C440, ""en"", ""tr"")"),"Durum mesajını düzenle")</f>
        <v>Durum mesajını düzenle</v>
      </c>
      <c r="AI440" s="6" t="s">
        <v>132</v>
      </c>
      <c r="AJ440" s="6" t="s">
        <v>132</v>
      </c>
      <c r="AK440" s="7" t="str">
        <f>IFERROR(__xludf.DUMMYFUNCTION("GOOGLETRANSLATE(C440, ""en"", ""zh"")"),"编辑状态消息")</f>
        <v>编辑状态消息</v>
      </c>
      <c r="AL440" s="6" t="s">
        <v>132</v>
      </c>
    </row>
    <row r="441" ht="15.75" hidden="1" customHeight="1">
      <c r="A441" s="1" t="s">
        <v>38</v>
      </c>
      <c r="B441" s="1" t="s">
        <v>9519</v>
      </c>
      <c r="C441" s="1" t="s">
        <v>9520</v>
      </c>
      <c r="D441" s="8" t="s">
        <v>9521</v>
      </c>
      <c r="E441" s="1" t="s">
        <v>9522</v>
      </c>
      <c r="F441" s="6" t="s">
        <v>9523</v>
      </c>
      <c r="G441" s="7" t="str">
        <f>IFERROR(__xludf.DUMMYFUNCTION("GOOGLETRANSLATE(C441, ""en"", ""cs"")"),"Dovolit")</f>
        <v>Dovolit</v>
      </c>
      <c r="H441" s="7" t="str">
        <f>IFERROR(__xludf.DUMMYFUNCTION("GOOGLETRANSLATE(C441, ""en"", ""da"")"),"Give lov til")</f>
        <v>Give lov til</v>
      </c>
      <c r="I441" s="1" t="s">
        <v>9524</v>
      </c>
      <c r="J441" s="6" t="s">
        <v>132</v>
      </c>
      <c r="K441" s="1" t="s">
        <v>9525</v>
      </c>
      <c r="L441" s="7" t="str">
        <f>IFERROR(__xludf.DUMMYFUNCTION("GOOGLETRANSLATE(C441, ""en"", ""fi"")"),"Sallia")</f>
        <v>Sallia</v>
      </c>
      <c r="M441" s="1" t="s">
        <v>9526</v>
      </c>
      <c r="N441" s="6" t="s">
        <v>9525</v>
      </c>
      <c r="O441" s="6" t="s">
        <v>132</v>
      </c>
      <c r="P441" s="1" t="s">
        <v>9527</v>
      </c>
      <c r="Q441" s="7" t="str">
        <f>IFERROR(__xludf.DUMMYFUNCTION("GOOGLETRANSLATE(C441, ""en"", ""in"")"),"Mengizinkan")</f>
        <v>Mengizinkan</v>
      </c>
      <c r="R441" s="1" t="s">
        <v>9528</v>
      </c>
      <c r="S441" s="6" t="s">
        <v>132</v>
      </c>
      <c r="T441" s="1" t="s">
        <v>9529</v>
      </c>
      <c r="U441" s="1" t="s">
        <v>9530</v>
      </c>
      <c r="V441" s="7" t="str">
        <f>IFERROR(__xludf.DUMMYFUNCTION("GOOGLETRANSLATE(C441, ""en"", ""ms"")"),"Membenarkan")</f>
        <v>Membenarkan</v>
      </c>
      <c r="W441" s="1" t="s">
        <v>9531</v>
      </c>
      <c r="X441" s="7" t="str">
        <f>IFERROR(__xludf.DUMMYFUNCTION("GOOGLETRANSLATE(C441, ""en"", ""no"")"),"Tillate")</f>
        <v>Tillate</v>
      </c>
      <c r="Y441" s="1" t="s">
        <v>9532</v>
      </c>
      <c r="Z441" s="1" t="s">
        <v>9525</v>
      </c>
      <c r="AA441" s="7" t="str">
        <f>IFERROR(__xludf.DUMMYFUNCTION("GOOGLETRANSLATE(C441, ""en"", ""ro"")"),"Permite")</f>
        <v>Permite</v>
      </c>
      <c r="AB441" s="1" t="s">
        <v>9533</v>
      </c>
      <c r="AC441" s="7" t="str">
        <f>IFERROR(__xludf.DUMMYFUNCTION("GOOGLETRANSLATE(C441, ""en"", ""sk"")"),"Povoliť")</f>
        <v>Povoliť</v>
      </c>
      <c r="AD441" s="6" t="s">
        <v>132</v>
      </c>
      <c r="AE441" s="1" t="s">
        <v>9534</v>
      </c>
      <c r="AF441" s="1" t="s">
        <v>9535</v>
      </c>
      <c r="AG441" s="6" t="s">
        <v>132</v>
      </c>
      <c r="AH441" s="7" t="str">
        <f>IFERROR(__xludf.DUMMYFUNCTION("GOOGLETRANSLATE(C441, ""en"", ""tr"")"),"İzin vermek")</f>
        <v>İzin vermek</v>
      </c>
      <c r="AI441" s="6" t="s">
        <v>9536</v>
      </c>
      <c r="AJ441" s="6" t="s">
        <v>132</v>
      </c>
      <c r="AK441" s="7" t="str">
        <f>IFERROR(__xludf.DUMMYFUNCTION("GOOGLETRANSLATE(C441, ""en"", ""zh"")"),"允许")</f>
        <v>允许</v>
      </c>
      <c r="AL441" s="6" t="s">
        <v>9537</v>
      </c>
    </row>
    <row r="442" ht="15.75" hidden="1" customHeight="1">
      <c r="A442" s="1" t="s">
        <v>38</v>
      </c>
      <c r="B442" s="1" t="s">
        <v>9538</v>
      </c>
      <c r="C442" s="1" t="s">
        <v>9539</v>
      </c>
      <c r="D442" s="7" t="str">
        <f>IFERROR(__xludf.DUMMYFUNCTION("GOOGLETRANSLATE(C442, ""en"", ""ar"")"),"اسمك")</f>
        <v>اسمك</v>
      </c>
      <c r="E442" s="1" t="s">
        <v>9540</v>
      </c>
      <c r="F442" s="6" t="s">
        <v>132</v>
      </c>
      <c r="G442" s="7" t="str">
        <f>IFERROR(__xludf.DUMMYFUNCTION("GOOGLETRANSLATE(C442, ""en"", ""cs"")"),"Tvé jméno")</f>
        <v>Tvé jméno</v>
      </c>
      <c r="H442" s="7" t="str">
        <f>IFERROR(__xludf.DUMMYFUNCTION("GOOGLETRANSLATE(C442, ""en"", ""da"")"),"Dit navn")</f>
        <v>Dit navn</v>
      </c>
      <c r="I442" s="1" t="s">
        <v>9541</v>
      </c>
      <c r="J442" s="6" t="s">
        <v>132</v>
      </c>
      <c r="K442" s="1" t="s">
        <v>9542</v>
      </c>
      <c r="L442" s="7" t="str">
        <f>IFERROR(__xludf.DUMMYFUNCTION("GOOGLETRANSLATE(C442, ""en"", ""fi"")"),"Sinun nimesi")</f>
        <v>Sinun nimesi</v>
      </c>
      <c r="M442" s="7" t="str">
        <f>IFERROR(__xludf.DUMMYFUNCTION("GOOGLETRANSLATE(C442, ""en"", ""fr"")"),"Votre nom")</f>
        <v>Votre nom</v>
      </c>
      <c r="N442" s="6" t="s">
        <v>9543</v>
      </c>
      <c r="O442" s="6" t="s">
        <v>132</v>
      </c>
      <c r="P442" s="1" t="s">
        <v>9544</v>
      </c>
      <c r="Q442" s="7" t="str">
        <f>IFERROR(__xludf.DUMMYFUNCTION("GOOGLETRANSLATE(C442, ""en"", ""in"")"),"Namamu")</f>
        <v>Namamu</v>
      </c>
      <c r="R442" s="1" t="s">
        <v>9545</v>
      </c>
      <c r="S442" s="6" t="s">
        <v>132</v>
      </c>
      <c r="T442" s="7" t="str">
        <f>IFERROR(__xludf.DUMMYFUNCTION("GOOGLETRANSLATE(C442, ""en"", ""ja"")"),"あなたの名前")</f>
        <v>あなたの名前</v>
      </c>
      <c r="U442" s="7" t="str">
        <f>IFERROR(__xludf.DUMMYFUNCTION("GOOGLETRANSLATE(C442, ""en"", ""ko"")"),"당신의 이름")</f>
        <v>당신의 이름</v>
      </c>
      <c r="V442" s="7" t="str">
        <f>IFERROR(__xludf.DUMMYFUNCTION("GOOGLETRANSLATE(C442, ""en"", ""ms"")"),"Nama awak")</f>
        <v>Nama awak</v>
      </c>
      <c r="W442" s="1" t="s">
        <v>9546</v>
      </c>
      <c r="X442" s="7" t="str">
        <f>IFERROR(__xludf.DUMMYFUNCTION("GOOGLETRANSLATE(C442, ""en"", ""no"")"),"Navnet ditt")</f>
        <v>Navnet ditt</v>
      </c>
      <c r="Y442" s="1" t="s">
        <v>9547</v>
      </c>
      <c r="Z442" s="7" t="str">
        <f>IFERROR(__xludf.DUMMYFUNCTION("GOOGLETRANSLATE(C442, ""en"", ""pt"")"),"Seu nome")</f>
        <v>Seu nome</v>
      </c>
      <c r="AA442" s="7" t="str">
        <f>IFERROR(__xludf.DUMMYFUNCTION("GOOGLETRANSLATE(C442, ""en"", ""ro"")"),"Numele dumneavoastră")</f>
        <v>Numele dumneavoastră</v>
      </c>
      <c r="AB442" s="7" t="str">
        <f>IFERROR(__xludf.DUMMYFUNCTION("GOOGLETRANSLATE(C442, ""en"", ""ru"")"),"Твое имя")</f>
        <v>Твое имя</v>
      </c>
      <c r="AC442" s="7" t="str">
        <f>IFERROR(__xludf.DUMMYFUNCTION("GOOGLETRANSLATE(C442, ""en"", ""sk"")"),"Tvoje meno")</f>
        <v>Tvoje meno</v>
      </c>
      <c r="AD442" s="6" t="s">
        <v>132</v>
      </c>
      <c r="AE442" s="7" t="str">
        <f>IFERROR(__xludf.DUMMYFUNCTION("GOOGLETRANSLATE(C442, ""en"", ""sr"")"),"Твоје име")</f>
        <v>Твоје име</v>
      </c>
      <c r="AF442" s="7" t="str">
        <f>IFERROR(__xludf.DUMMYFUNCTION("GOOGLETRANSLATE(C442, ""en"", ""sv"")"),"Ditt namn")</f>
        <v>Ditt namn</v>
      </c>
      <c r="AG442" s="6" t="s">
        <v>132</v>
      </c>
      <c r="AH442" s="7" t="str">
        <f>IFERROR(__xludf.DUMMYFUNCTION("GOOGLETRANSLATE(C442, ""en"", ""tr"")"),"Adınız")</f>
        <v>Adınız</v>
      </c>
      <c r="AI442" s="6" t="s">
        <v>132</v>
      </c>
      <c r="AJ442" s="6" t="s">
        <v>132</v>
      </c>
      <c r="AK442" s="7" t="str">
        <f>IFERROR(__xludf.DUMMYFUNCTION("GOOGLETRANSLATE(C442, ""en"", ""zh"")"),"你的名字")</f>
        <v>你的名字</v>
      </c>
      <c r="AL442" s="6" t="s">
        <v>132</v>
      </c>
    </row>
    <row r="443" ht="15.75" customHeight="1">
      <c r="A443" s="1" t="s">
        <v>127</v>
      </c>
      <c r="B443" s="1" t="s">
        <v>9548</v>
      </c>
      <c r="C443" s="1" t="s">
        <v>9549</v>
      </c>
      <c r="D443" s="8" t="s">
        <v>9550</v>
      </c>
      <c r="E443" s="1" t="s">
        <v>9549</v>
      </c>
      <c r="F443" s="6" t="s">
        <v>132</v>
      </c>
      <c r="G443" s="1" t="s">
        <v>9549</v>
      </c>
      <c r="H443" s="1" t="s">
        <v>9549</v>
      </c>
      <c r="I443" s="1" t="s">
        <v>9549</v>
      </c>
      <c r="J443" s="6" t="s">
        <v>9549</v>
      </c>
      <c r="K443" s="1" t="s">
        <v>9549</v>
      </c>
      <c r="L443" s="1" t="s">
        <v>9551</v>
      </c>
      <c r="M443" s="1" t="s">
        <v>9549</v>
      </c>
      <c r="N443" s="6" t="s">
        <v>132</v>
      </c>
      <c r="O443" s="6" t="s">
        <v>9552</v>
      </c>
      <c r="P443" s="1" t="s">
        <v>9549</v>
      </c>
      <c r="Q443" s="1" t="s">
        <v>9553</v>
      </c>
      <c r="R443" s="1" t="s">
        <v>9549</v>
      </c>
      <c r="S443" s="10" t="s">
        <v>9554</v>
      </c>
      <c r="T443" s="1" t="s">
        <v>9555</v>
      </c>
      <c r="U443" s="1" t="s">
        <v>9556</v>
      </c>
      <c r="V443" s="1" t="s">
        <v>9553</v>
      </c>
      <c r="W443" s="1" t="s">
        <v>9549</v>
      </c>
      <c r="X443" s="1" t="s">
        <v>9549</v>
      </c>
      <c r="Y443" s="1" t="s">
        <v>9549</v>
      </c>
      <c r="Z443" s="1" t="s">
        <v>9549</v>
      </c>
      <c r="AA443" s="1" t="s">
        <v>9549</v>
      </c>
      <c r="AB443" s="1" t="s">
        <v>9549</v>
      </c>
      <c r="AC443" s="1" t="s">
        <v>9549</v>
      </c>
      <c r="AD443" s="6" t="s">
        <v>9549</v>
      </c>
      <c r="AE443" s="1" t="s">
        <v>9549</v>
      </c>
      <c r="AF443" s="1" t="s">
        <v>9549</v>
      </c>
      <c r="AG443" s="6" t="s">
        <v>9549</v>
      </c>
      <c r="AH443" s="1" t="s">
        <v>9557</v>
      </c>
      <c r="AI443" s="6" t="s">
        <v>132</v>
      </c>
      <c r="AJ443" s="6" t="s">
        <v>9558</v>
      </c>
      <c r="AK443" s="1" t="s">
        <v>9559</v>
      </c>
      <c r="AL443" s="6" t="s">
        <v>9560</v>
      </c>
    </row>
    <row r="444" ht="15.75" customHeight="1">
      <c r="A444" s="1" t="s">
        <v>127</v>
      </c>
      <c r="B444" s="1" t="s">
        <v>9561</v>
      </c>
      <c r="C444" s="12" t="s">
        <v>132</v>
      </c>
      <c r="D444" s="8" t="s">
        <v>9562</v>
      </c>
      <c r="E444" s="7" t="str">
        <f>IFERROR(__xludf.DUMMYFUNCTION("GOOGLETRANSLATE(C444, ""en"", ""bg"")"),"#VALUE!")</f>
        <v>#VALUE!</v>
      </c>
      <c r="F444" s="6" t="s">
        <v>132</v>
      </c>
      <c r="G444" s="7" t="str">
        <f>IFERROR(__xludf.DUMMYFUNCTION("GOOGLETRANSLATE(C444, ""en"", ""cs"")"),"#VALUE!")</f>
        <v>#VALUE!</v>
      </c>
      <c r="H444" s="7" t="str">
        <f>IFERROR(__xludf.DUMMYFUNCTION("GOOGLETRANSLATE(C444, ""en"", ""da"")"),"#VALUE!")</f>
        <v>#VALUE!</v>
      </c>
      <c r="I444" s="7" t="str">
        <f>IFERROR(__xludf.DUMMYFUNCTION("GOOGLETRANSLATE(C444, ""en"", ""de"")"),"#VALUE!")</f>
        <v>#VALUE!</v>
      </c>
      <c r="J444" s="6" t="s">
        <v>132</v>
      </c>
      <c r="K444" s="7" t="str">
        <f>IFERROR(__xludf.DUMMYFUNCTION("GOOGLETRANSLATE(C444, ""en"", ""es"")"),"#VALUE!")</f>
        <v>#VALUE!</v>
      </c>
      <c r="L444" s="7" t="str">
        <f>IFERROR(__xludf.DUMMYFUNCTION("GOOGLETRANSLATE(C444, ""en"", ""fi"")"),"#VALUE!")</f>
        <v>#VALUE!</v>
      </c>
      <c r="M444" s="7" t="str">
        <f>IFERROR(__xludf.DUMMYFUNCTION("GOOGLETRANSLATE(C444, ""en"", ""fr"")"),"#VALUE!")</f>
        <v>#VALUE!</v>
      </c>
      <c r="N444" s="6" t="s">
        <v>132</v>
      </c>
      <c r="O444" s="6" t="s">
        <v>132</v>
      </c>
      <c r="P444" s="7" t="str">
        <f>IFERROR(__xludf.DUMMYFUNCTION("GOOGLETRANSLATE(C444, ""en"", ""hu"")"),"#VALUE!")</f>
        <v>#VALUE!</v>
      </c>
      <c r="Q444" s="7" t="str">
        <f>IFERROR(__xludf.DUMMYFUNCTION("GOOGLETRANSLATE(C444, ""en"", ""in"")"),"#VALUE!")</f>
        <v>#VALUE!</v>
      </c>
      <c r="R444" s="7" t="str">
        <f>IFERROR(__xludf.DUMMYFUNCTION("GOOGLETRANSLATE(C444, ""en"", ""it"")"),"#VALUE!")</f>
        <v>#VALUE!</v>
      </c>
      <c r="S444" s="6" t="s">
        <v>132</v>
      </c>
      <c r="T444" s="7" t="str">
        <f>IFERROR(__xludf.DUMMYFUNCTION("GOOGLETRANSLATE(C444, ""en"", ""ja"")"),"#VALUE!")</f>
        <v>#VALUE!</v>
      </c>
      <c r="U444" s="1" t="s">
        <v>7047</v>
      </c>
      <c r="V444" s="7" t="str">
        <f>IFERROR(__xludf.DUMMYFUNCTION("GOOGLETRANSLATE(C444, ""en"", ""ms"")"),"#VALUE!")</f>
        <v>#VALUE!</v>
      </c>
      <c r="W444" s="7" t="str">
        <f>IFERROR(__xludf.DUMMYFUNCTION("GOOGLETRANSLATE(C444, ""en"", ""nl"")"),"#VALUE!")</f>
        <v>#VALUE!</v>
      </c>
      <c r="X444" s="7" t="str">
        <f>IFERROR(__xludf.DUMMYFUNCTION("GOOGLETRANSLATE(C444, ""en"", ""no"")"),"#VALUE!")</f>
        <v>#VALUE!</v>
      </c>
      <c r="Y444" s="7" t="str">
        <f>IFERROR(__xludf.DUMMYFUNCTION("GOOGLETRANSLATE(C444, ""en"", ""pl"")"),"#VALUE!")</f>
        <v>#VALUE!</v>
      </c>
      <c r="Z444" s="7" t="str">
        <f>IFERROR(__xludf.DUMMYFUNCTION("GOOGLETRANSLATE(C444, ""en"", ""pt"")"),"#VALUE!")</f>
        <v>#VALUE!</v>
      </c>
      <c r="AA444" s="7" t="str">
        <f>IFERROR(__xludf.DUMMYFUNCTION("GOOGLETRANSLATE(C444, ""en"", ""ro"")"),"#VALUE!")</f>
        <v>#VALUE!</v>
      </c>
      <c r="AB444" s="7" t="str">
        <f>IFERROR(__xludf.DUMMYFUNCTION("GOOGLETRANSLATE(C444, ""en"", ""ru"")"),"#VALUE!")</f>
        <v>#VALUE!</v>
      </c>
      <c r="AC444" s="7" t="str">
        <f>IFERROR(__xludf.DUMMYFUNCTION("GOOGLETRANSLATE(C444, ""en"", ""sk"")"),"#VALUE!")</f>
        <v>#VALUE!</v>
      </c>
      <c r="AD444" s="6" t="s">
        <v>132</v>
      </c>
      <c r="AE444" s="7" t="str">
        <f>IFERROR(__xludf.DUMMYFUNCTION("GOOGLETRANSLATE(C444, ""en"", ""sr"")"),"#VALUE!")</f>
        <v>#VALUE!</v>
      </c>
      <c r="AF444" s="7" t="str">
        <f>IFERROR(__xludf.DUMMYFUNCTION("GOOGLETRANSLATE(C444, ""en"", ""sv"")"),"#VALUE!")</f>
        <v>#VALUE!</v>
      </c>
      <c r="AG444" s="6" t="s">
        <v>132</v>
      </c>
      <c r="AH444" s="7" t="str">
        <f>IFERROR(__xludf.DUMMYFUNCTION("GOOGLETRANSLATE(C444, ""en"", ""tr"")"),"#VALUE!")</f>
        <v>#VALUE!</v>
      </c>
      <c r="AI444" s="6" t="s">
        <v>132</v>
      </c>
      <c r="AJ444" s="6" t="s">
        <v>132</v>
      </c>
      <c r="AK444" s="7" t="str">
        <f>IFERROR(__xludf.DUMMYFUNCTION("GOOGLETRANSLATE(C444, ""en"", ""zh"")"),"#VALUE!")</f>
        <v>#VALUE!</v>
      </c>
      <c r="AL444" s="6" t="s">
        <v>132</v>
      </c>
    </row>
    <row r="445" ht="15.75" hidden="1" customHeight="1">
      <c r="A445" s="1" t="s">
        <v>38</v>
      </c>
      <c r="B445" s="1" t="s">
        <v>9563</v>
      </c>
      <c r="C445" s="1" t="s">
        <v>9564</v>
      </c>
      <c r="D445" s="7" t="str">
        <f>IFERROR(__xludf.DUMMYFUNCTION("GOOGLETRANSLATE(C445, ""en"", ""ar"")"),"دومينيكا")</f>
        <v>دومينيكا</v>
      </c>
      <c r="E445" s="7" t="str">
        <f>IFERROR(__xludf.DUMMYFUNCTION("GOOGLETRANSLATE(C445, ""en"", ""bg"")"),"Доминика")</f>
        <v>Доминика</v>
      </c>
      <c r="F445" s="6" t="s">
        <v>132</v>
      </c>
      <c r="G445" s="7" t="str">
        <f>IFERROR(__xludf.DUMMYFUNCTION("GOOGLETRANSLATE(C445, ""en"", ""cs"")"),"Dominika")</f>
        <v>Dominika</v>
      </c>
      <c r="H445" s="7" t="str">
        <f>IFERROR(__xludf.DUMMYFUNCTION("GOOGLETRANSLATE(C445, ""en"", ""da"")"),"Dominica.")</f>
        <v>Dominica.</v>
      </c>
      <c r="I445" s="1" t="s">
        <v>9565</v>
      </c>
      <c r="J445" s="6" t="s">
        <v>132</v>
      </c>
      <c r="K445" s="1" t="s">
        <v>9564</v>
      </c>
      <c r="L445" s="7" t="str">
        <f>IFERROR(__xludf.DUMMYFUNCTION("GOOGLETRANSLATE(C445, ""en"", ""fi"")"),"Dominica")</f>
        <v>Dominica</v>
      </c>
      <c r="M445" s="1" t="s">
        <v>9566</v>
      </c>
      <c r="N445" s="6" t="s">
        <v>132</v>
      </c>
      <c r="O445" s="6" t="s">
        <v>132</v>
      </c>
      <c r="P445" s="1" t="s">
        <v>9564</v>
      </c>
      <c r="Q445" s="7" t="str">
        <f>IFERROR(__xludf.DUMMYFUNCTION("GOOGLETRANSLATE(C445, ""en"", ""in"")"),"Dominica.")</f>
        <v>Dominica.</v>
      </c>
      <c r="R445" s="7" t="str">
        <f>IFERROR(__xludf.DUMMYFUNCTION("GOOGLETRANSLATE(C445, ""en"", ""it"")"),"Dominica")</f>
        <v>Dominica</v>
      </c>
      <c r="S445" s="6" t="s">
        <v>132</v>
      </c>
      <c r="T445" s="7" t="str">
        <f>IFERROR(__xludf.DUMMYFUNCTION("GOOGLETRANSLATE(C445, ""en"", ""ja"")"),"ドミニカ")</f>
        <v>ドミニカ</v>
      </c>
      <c r="U445" s="7" t="str">
        <f>IFERROR(__xludf.DUMMYFUNCTION("GOOGLETRANSLATE(C445, ""en"", ""ko"")"),"도미니카")</f>
        <v>도미니카</v>
      </c>
      <c r="V445" s="7" t="str">
        <f>IFERROR(__xludf.DUMMYFUNCTION("GOOGLETRANSLATE(C445, ""en"", ""ms"")"),"Dominica.")</f>
        <v>Dominica.</v>
      </c>
      <c r="W445" s="7" t="str">
        <f>IFERROR(__xludf.DUMMYFUNCTION("GOOGLETRANSLATE(C445, ""en"", ""nl"")"),"Dominica")</f>
        <v>Dominica</v>
      </c>
      <c r="X445" s="7" t="str">
        <f>IFERROR(__xludf.DUMMYFUNCTION("GOOGLETRANSLATE(C445, ""en"", ""no"")"),"DOMINICA")</f>
        <v>DOMINICA</v>
      </c>
      <c r="Y445" s="7" t="str">
        <f>IFERROR(__xludf.DUMMYFUNCTION("GOOGLETRANSLATE(C445, ""en"", ""pl"")"),"Dominika")</f>
        <v>Dominika</v>
      </c>
      <c r="Z445" s="7" t="str">
        <f>IFERROR(__xludf.DUMMYFUNCTION("GOOGLETRANSLATE(C445, ""en"", ""pt"")"),"Dominica.")</f>
        <v>Dominica.</v>
      </c>
      <c r="AA445" s="7" t="str">
        <f>IFERROR(__xludf.DUMMYFUNCTION("GOOGLETRANSLATE(C445, ""en"", ""ro"")"),"Dominica.")</f>
        <v>Dominica.</v>
      </c>
      <c r="AB445" s="1" t="s">
        <v>9567</v>
      </c>
      <c r="AC445" s="7" t="str">
        <f>IFERROR(__xludf.DUMMYFUNCTION("GOOGLETRANSLATE(C445, ""en"", ""sk"")"),"Dominica")</f>
        <v>Dominica</v>
      </c>
      <c r="AD445" s="6" t="s">
        <v>132</v>
      </c>
      <c r="AE445" s="1" t="s">
        <v>9565</v>
      </c>
      <c r="AF445" s="7" t="str">
        <f>IFERROR(__xludf.DUMMYFUNCTION("GOOGLETRANSLATE(C445, ""en"", ""sv"")"),"Dominica")</f>
        <v>Dominica</v>
      </c>
      <c r="AG445" s="6" t="s">
        <v>132</v>
      </c>
      <c r="AH445" s="7" t="str">
        <f>IFERROR(__xludf.DUMMYFUNCTION("GOOGLETRANSLATE(C445, ""en"", ""tr"")"),"Dominika")</f>
        <v>Dominika</v>
      </c>
      <c r="AI445" s="6" t="s">
        <v>132</v>
      </c>
      <c r="AJ445" s="6" t="s">
        <v>132</v>
      </c>
      <c r="AK445" s="7" t="str">
        <f>IFERROR(__xludf.DUMMYFUNCTION("GOOGLETRANSLATE(C445, ""en"", ""zh"")"),"多米尼克")</f>
        <v>多米尼克</v>
      </c>
      <c r="AL445" s="6" t="s">
        <v>132</v>
      </c>
    </row>
    <row r="446" ht="15.75" hidden="1" customHeight="1">
      <c r="A446" s="1" t="s">
        <v>38</v>
      </c>
      <c r="B446" s="1" t="s">
        <v>9568</v>
      </c>
      <c r="C446" s="1" t="s">
        <v>9569</v>
      </c>
      <c r="D446" s="8" t="s">
        <v>9570</v>
      </c>
      <c r="E446" s="1" t="s">
        <v>9571</v>
      </c>
      <c r="F446" s="6" t="s">
        <v>9572</v>
      </c>
      <c r="G446" s="7" t="str">
        <f>IFERROR(__xludf.DUMMYFUNCTION("GOOGLETRANSLATE(C446, ""en"", ""cs"")"),"Nikdy se zeptat znovu")</f>
        <v>Nikdy se zeptat znovu</v>
      </c>
      <c r="H446" s="7" t="str">
        <f>IFERROR(__xludf.DUMMYFUNCTION("GOOGLETRANSLATE(C446, ""en"", ""da"")"),"Spørg aldrig igen")</f>
        <v>Spørg aldrig igen</v>
      </c>
      <c r="I446" s="1" t="s">
        <v>9573</v>
      </c>
      <c r="J446" s="6" t="s">
        <v>132</v>
      </c>
      <c r="K446" s="1" t="s">
        <v>9574</v>
      </c>
      <c r="L446" s="7" t="str">
        <f>IFERROR(__xludf.DUMMYFUNCTION("GOOGLETRANSLATE(C446, ""en"", ""fi"")"),"Älä koskaan kysy uudelleen")</f>
        <v>Älä koskaan kysy uudelleen</v>
      </c>
      <c r="M446" s="1" t="s">
        <v>9575</v>
      </c>
      <c r="N446" s="6" t="s">
        <v>9576</v>
      </c>
      <c r="O446" s="6" t="s">
        <v>132</v>
      </c>
      <c r="P446" s="1" t="s">
        <v>9577</v>
      </c>
      <c r="Q446" s="9" t="s">
        <v>9578</v>
      </c>
      <c r="R446" s="1" t="s">
        <v>9579</v>
      </c>
      <c r="S446" s="6" t="s">
        <v>132</v>
      </c>
      <c r="T446" s="1" t="s">
        <v>9580</v>
      </c>
      <c r="U446" s="1" t="s">
        <v>9581</v>
      </c>
      <c r="V446" s="7" t="str">
        <f>IFERROR(__xludf.DUMMYFUNCTION("GOOGLETRANSLATE(C446, ""en"", ""ms"")"),"Jangan sekali-kali bertanya lagi")</f>
        <v>Jangan sekali-kali bertanya lagi</v>
      </c>
      <c r="W446" s="1" t="s">
        <v>9582</v>
      </c>
      <c r="X446" s="7" t="str">
        <f>IFERROR(__xludf.DUMMYFUNCTION("GOOGLETRANSLATE(C446, ""en"", ""no"")"),"Aldri spør igjen")</f>
        <v>Aldri spør igjen</v>
      </c>
      <c r="Y446" s="1" t="s">
        <v>9583</v>
      </c>
      <c r="Z446" s="1" t="s">
        <v>9584</v>
      </c>
      <c r="AA446" s="7" t="str">
        <f>IFERROR(__xludf.DUMMYFUNCTION("GOOGLETRANSLATE(C446, ""en"", ""ro"")"),"Nu cereți niciodată din nou")</f>
        <v>Nu cereți niciodată din nou</v>
      </c>
      <c r="AB446" s="1" t="s">
        <v>9585</v>
      </c>
      <c r="AC446" s="1" t="s">
        <v>9586</v>
      </c>
      <c r="AD446" s="6" t="s">
        <v>132</v>
      </c>
      <c r="AE446" s="1" t="s">
        <v>9587</v>
      </c>
      <c r="AF446" s="1" t="s">
        <v>9588</v>
      </c>
      <c r="AG446" s="6" t="s">
        <v>132</v>
      </c>
      <c r="AH446" s="7" t="str">
        <f>IFERROR(__xludf.DUMMYFUNCTION("GOOGLETRANSLATE(C446, ""en"", ""tr"")"),"Asla tekrar sorma")</f>
        <v>Asla tekrar sorma</v>
      </c>
      <c r="AI446" s="6" t="s">
        <v>9589</v>
      </c>
      <c r="AJ446" s="6" t="s">
        <v>9590</v>
      </c>
      <c r="AK446" s="7" t="str">
        <f>IFERROR(__xludf.DUMMYFUNCTION("GOOGLETRANSLATE(C446, ""en"", ""zh"")"),"永远不要再问一下")</f>
        <v>永远不要再问一下</v>
      </c>
      <c r="AL446" s="6" t="s">
        <v>9591</v>
      </c>
    </row>
    <row r="447" ht="15.75" hidden="1" customHeight="1">
      <c r="A447" s="1" t="s">
        <v>38</v>
      </c>
      <c r="B447" s="1" t="s">
        <v>9592</v>
      </c>
      <c r="C447" s="1" t="s">
        <v>9593</v>
      </c>
      <c r="D447" s="7" t="str">
        <f>IFERROR(__xludf.DUMMYFUNCTION("GOOGLETRANSLATE(C447, ""en"", ""ar"")"),"بالاو")</f>
        <v>بالاو</v>
      </c>
      <c r="E447" s="7" t="str">
        <f>IFERROR(__xludf.DUMMYFUNCTION("GOOGLETRANSLATE(C447, ""en"", ""bg"")"),"Палау")</f>
        <v>Палау</v>
      </c>
      <c r="F447" s="6" t="s">
        <v>132</v>
      </c>
      <c r="G447" s="7" t="str">
        <f>IFERROR(__xludf.DUMMYFUNCTION("GOOGLETRANSLATE(C447, ""en"", ""cs"")"),"Pálivý")</f>
        <v>Pálivý</v>
      </c>
      <c r="H447" s="7" t="str">
        <f>IFERROR(__xludf.DUMMYFUNCTION("GOOGLETRANSLATE(C447, ""en"", ""da"")"),"Palau")</f>
        <v>Palau</v>
      </c>
      <c r="I447" s="1" t="s">
        <v>9594</v>
      </c>
      <c r="J447" s="6" t="s">
        <v>132</v>
      </c>
      <c r="K447" s="1" t="s">
        <v>9593</v>
      </c>
      <c r="L447" s="7" t="str">
        <f>IFERROR(__xludf.DUMMYFUNCTION("GOOGLETRANSLATE(C447, ""en"", ""fi"")"),"Palau")</f>
        <v>Palau</v>
      </c>
      <c r="M447" s="1" t="s">
        <v>9595</v>
      </c>
      <c r="N447" s="6" t="s">
        <v>132</v>
      </c>
      <c r="O447" s="6" t="s">
        <v>132</v>
      </c>
      <c r="P447" s="1" t="s">
        <v>9593</v>
      </c>
      <c r="Q447" s="7" t="str">
        <f>IFERROR(__xludf.DUMMYFUNCTION("GOOGLETRANSLATE(C447, ""en"", ""in"")"),"Palau.")</f>
        <v>Palau.</v>
      </c>
      <c r="R447" s="7" t="str">
        <f>IFERROR(__xludf.DUMMYFUNCTION("GOOGLETRANSLATE(C447, ""en"", ""it"")"),"Palau.")</f>
        <v>Palau.</v>
      </c>
      <c r="S447" s="6" t="s">
        <v>132</v>
      </c>
      <c r="T447" s="7" t="str">
        <f>IFERROR(__xludf.DUMMYFUNCTION("GOOGLETRANSLATE(C447, ""en"", ""ja"")"),"パラオ")</f>
        <v>パラオ</v>
      </c>
      <c r="U447" s="7" t="str">
        <f>IFERROR(__xludf.DUMMYFUNCTION("GOOGLETRANSLATE(C447, ""en"", ""ko"")"),"팔라우")</f>
        <v>팔라우</v>
      </c>
      <c r="V447" s="7" t="str">
        <f>IFERROR(__xludf.DUMMYFUNCTION("GOOGLETRANSLATE(C447, ""en"", ""ms"")"),"Palau.")</f>
        <v>Palau.</v>
      </c>
      <c r="W447" s="7" t="str">
        <f>IFERROR(__xludf.DUMMYFUNCTION("GOOGLETRANSLATE(C447, ""en"", ""nl"")"),"Palau")</f>
        <v>Palau</v>
      </c>
      <c r="X447" s="7" t="str">
        <f>IFERROR(__xludf.DUMMYFUNCTION("GOOGLETRANSLATE(C447, ""en"", ""no"")"),"Palau")</f>
        <v>Palau</v>
      </c>
      <c r="Y447" s="7" t="str">
        <f>IFERROR(__xludf.DUMMYFUNCTION("GOOGLETRANSLATE(C447, ""en"", ""pl"")"),"Palau")</f>
        <v>Palau</v>
      </c>
      <c r="Z447" s="7" t="str">
        <f>IFERROR(__xludf.DUMMYFUNCTION("GOOGLETRANSLATE(C447, ""en"", ""pt"")"),"Palau.")</f>
        <v>Palau.</v>
      </c>
      <c r="AA447" s="7" t="str">
        <f>IFERROR(__xludf.DUMMYFUNCTION("GOOGLETRANSLATE(C447, ""en"", ""ro"")"),"Palau.")</f>
        <v>Palau.</v>
      </c>
      <c r="AB447" s="1" t="s">
        <v>9596</v>
      </c>
      <c r="AC447" s="7" t="str">
        <f>IFERROR(__xludf.DUMMYFUNCTION("GOOGLETRANSLATE(C447, ""en"", ""sk"")"),"Palác")</f>
        <v>Palác</v>
      </c>
      <c r="AD447" s="6" t="s">
        <v>132</v>
      </c>
      <c r="AE447" s="1" t="s">
        <v>9593</v>
      </c>
      <c r="AF447" s="7" t="str">
        <f>IFERROR(__xludf.DUMMYFUNCTION("GOOGLETRANSLATE(C447, ""en"", ""sv"")"),"Palau")</f>
        <v>Palau</v>
      </c>
      <c r="AG447" s="6" t="s">
        <v>132</v>
      </c>
      <c r="AH447" s="7" t="str">
        <f>IFERROR(__xludf.DUMMYFUNCTION("GOOGLETRANSLATE(C447, ""en"", ""tr"")"),"Palau")</f>
        <v>Palau</v>
      </c>
      <c r="AI447" s="6" t="s">
        <v>132</v>
      </c>
      <c r="AJ447" s="6" t="s">
        <v>132</v>
      </c>
      <c r="AK447" s="7" t="str">
        <f>IFERROR(__xludf.DUMMYFUNCTION("GOOGLETRANSLATE(C447, ""en"", ""zh"")"),"帕劳")</f>
        <v>帕劳</v>
      </c>
      <c r="AL447" s="6" t="s">
        <v>132</v>
      </c>
    </row>
    <row r="448" ht="15.75" customHeight="1">
      <c r="A448" s="1" t="s">
        <v>127</v>
      </c>
      <c r="B448" s="1" t="s">
        <v>9597</v>
      </c>
      <c r="C448" s="1" t="s">
        <v>9555</v>
      </c>
      <c r="D448" s="8" t="s">
        <v>9598</v>
      </c>
      <c r="E448" s="1" t="s">
        <v>9555</v>
      </c>
      <c r="F448" s="6" t="s">
        <v>132</v>
      </c>
      <c r="G448" s="1" t="s">
        <v>9555</v>
      </c>
      <c r="H448" s="1" t="s">
        <v>9555</v>
      </c>
      <c r="I448" s="1" t="s">
        <v>9555</v>
      </c>
      <c r="J448" s="6" t="s">
        <v>9555</v>
      </c>
      <c r="K448" s="1" t="s">
        <v>9555</v>
      </c>
      <c r="L448" s="1" t="s">
        <v>9555</v>
      </c>
      <c r="M448" s="1" t="s">
        <v>9555</v>
      </c>
      <c r="N448" s="6" t="s">
        <v>132</v>
      </c>
      <c r="O448" s="6" t="s">
        <v>9599</v>
      </c>
      <c r="P448" s="1" t="s">
        <v>9555</v>
      </c>
      <c r="Q448" s="1" t="s">
        <v>9555</v>
      </c>
      <c r="R448" s="1" t="s">
        <v>9555</v>
      </c>
      <c r="S448" s="10" t="s">
        <v>9600</v>
      </c>
      <c r="T448" s="1" t="s">
        <v>9555</v>
      </c>
      <c r="U448" s="1" t="s">
        <v>9555</v>
      </c>
      <c r="V448" s="1" t="s">
        <v>9555</v>
      </c>
      <c r="W448" s="1" t="s">
        <v>9555</v>
      </c>
      <c r="X448" s="1" t="s">
        <v>9555</v>
      </c>
      <c r="Y448" s="1" t="s">
        <v>9555</v>
      </c>
      <c r="Z448" s="1" t="s">
        <v>9555</v>
      </c>
      <c r="AA448" s="1" t="s">
        <v>9555</v>
      </c>
      <c r="AB448" s="1" t="s">
        <v>9601</v>
      </c>
      <c r="AC448" s="1" t="s">
        <v>9555</v>
      </c>
      <c r="AD448" s="6" t="s">
        <v>9555</v>
      </c>
      <c r="AE448" s="1" t="s">
        <v>9555</v>
      </c>
      <c r="AF448" s="1" t="s">
        <v>9555</v>
      </c>
      <c r="AG448" s="6" t="s">
        <v>9555</v>
      </c>
      <c r="AH448" s="1" t="s">
        <v>9555</v>
      </c>
      <c r="AI448" s="6" t="s">
        <v>132</v>
      </c>
      <c r="AJ448" s="6" t="s">
        <v>9555</v>
      </c>
      <c r="AK448" s="1" t="s">
        <v>9602</v>
      </c>
      <c r="AL448" s="6" t="s">
        <v>9603</v>
      </c>
    </row>
    <row r="449" ht="15.75" customHeight="1">
      <c r="A449" s="1" t="s">
        <v>127</v>
      </c>
      <c r="B449" s="1" t="s">
        <v>9604</v>
      </c>
      <c r="C449" s="1" t="s">
        <v>9605</v>
      </c>
      <c r="D449" s="8" t="s">
        <v>9606</v>
      </c>
      <c r="E449" s="1" t="s">
        <v>9607</v>
      </c>
      <c r="F449" s="6" t="s">
        <v>132</v>
      </c>
      <c r="G449" s="1" t="s">
        <v>9608</v>
      </c>
      <c r="H449" s="1" t="s">
        <v>9609</v>
      </c>
      <c r="I449" s="1" t="s">
        <v>9610</v>
      </c>
      <c r="J449" s="6" t="s">
        <v>9611</v>
      </c>
      <c r="K449" s="1" t="s">
        <v>9612</v>
      </c>
      <c r="L449" s="1" t="s">
        <v>9613</v>
      </c>
      <c r="M449" s="1" t="s">
        <v>9614</v>
      </c>
      <c r="N449" s="6" t="s">
        <v>132</v>
      </c>
      <c r="O449" s="6" t="s">
        <v>9615</v>
      </c>
      <c r="P449" s="1" t="s">
        <v>9616</v>
      </c>
      <c r="Q449" s="1" t="s">
        <v>9617</v>
      </c>
      <c r="R449" s="1" t="s">
        <v>9618</v>
      </c>
      <c r="S449" s="10" t="s">
        <v>9619</v>
      </c>
      <c r="T449" s="1" t="s">
        <v>9620</v>
      </c>
      <c r="U449" s="1" t="s">
        <v>9621</v>
      </c>
      <c r="V449" s="1" t="s">
        <v>9622</v>
      </c>
      <c r="W449" s="1" t="s">
        <v>9623</v>
      </c>
      <c r="X449" s="1" t="s">
        <v>9624</v>
      </c>
      <c r="Y449" s="1" t="s">
        <v>9625</v>
      </c>
      <c r="Z449" s="1" t="s">
        <v>9626</v>
      </c>
      <c r="AA449" s="1" t="s">
        <v>9627</v>
      </c>
      <c r="AB449" s="1" t="s">
        <v>9628</v>
      </c>
      <c r="AC449" s="1" t="s">
        <v>9629</v>
      </c>
      <c r="AD449" s="6" t="s">
        <v>9630</v>
      </c>
      <c r="AE449" s="1" t="s">
        <v>9631</v>
      </c>
      <c r="AF449" s="1" t="s">
        <v>9632</v>
      </c>
      <c r="AG449" s="6" t="s">
        <v>9633</v>
      </c>
      <c r="AH449" s="1" t="s">
        <v>9634</v>
      </c>
      <c r="AI449" s="6" t="s">
        <v>132</v>
      </c>
      <c r="AJ449" s="6" t="s">
        <v>9635</v>
      </c>
      <c r="AK449" s="1" t="s">
        <v>9636</v>
      </c>
      <c r="AL449" s="6" t="s">
        <v>132</v>
      </c>
    </row>
    <row r="450" ht="15.75" hidden="1" customHeight="1">
      <c r="A450" s="1" t="s">
        <v>38</v>
      </c>
      <c r="B450" s="1" t="s">
        <v>9637</v>
      </c>
      <c r="C450" s="1" t="s">
        <v>9638</v>
      </c>
      <c r="D450" s="7" t="str">
        <f>IFERROR(__xludf.DUMMYFUNCTION("GOOGLETRANSLATE(C450, ""en"", ""ar"")"),"نظام التشغيل الخاص بك يقيد المحادثات من الوصول إلى الإنترنت عند الخلفية. لتلقي إعلامات الرسائل الجديدة، يجب أن تسمح للمحادثات بالوصول غير المقيد عند تشغيل البيانات. \ Nconversations ستظل جهدا لحفظ البيانات عند الإمكان.")</f>
        <v>نظام التشغيل الخاص بك يقيد المحادثات من الوصول إلى الإنترنت عند الخلفية. لتلقي إعلامات الرسائل الجديدة، يجب أن تسمح للمحادثات بالوصول غير المقيد عند تشغيل البيانات. \ Nconversations ستظل جهدا لحفظ البيانات عند الإمكان.</v>
      </c>
      <c r="E450" s="1" t="s">
        <v>9639</v>
      </c>
      <c r="F450" s="6" t="s">
        <v>9640</v>
      </c>
      <c r="G450" s="7" t="str">
        <f>IFERROR(__xludf.DUMMYFUNCTION("GOOGLETRANSLATE(C450, ""en"", ""cs"")"),"Váš operační systém omezuje konverzace z přístupu k Internetu, když v pozadí. Chcete-li přijímat oznámení o nových zprávách, měli byste povolení konverzací neomezený přístup, když je spořič dat zapnuto.")</f>
        <v>Váš operační systém omezuje konverzace z přístupu k Internetu, když v pozadí. Chcete-li přijímat oznámení o nových zprávách, měli byste povolení konverzací neomezený přístup, když je spořič dat zapnuto.</v>
      </c>
      <c r="H450" s="7" t="str">
        <f>IFERROR(__xludf.DUMMYFUNCTION("GOOGLETRANSLATE(C450, ""en"", ""da"")"),"Dit operativsystem begrænser samtaler fra at få adgang til internettet, når de er i baggrunden. For at modtage meddelelser om nye meddelelser skal du tillade samtaler ubegrænset adgang, når datasparer er tændt. \ NConversations vil stadig gøre en indsats "&amp;"for at gemme data, når det er muligt.")</f>
        <v>Dit operativsystem begrænser samtaler fra at få adgang til internettet, når de er i baggrunden. For at modtage meddelelser om nye meddelelser skal du tillade samtaler ubegrænset adgang, når datasparer er tændt. \ NConversations vil stadig gøre en indsats for at gemme data, når det er muligt.</v>
      </c>
      <c r="I450" s="1" t="s">
        <v>9641</v>
      </c>
      <c r="J450" s="6" t="s">
        <v>132</v>
      </c>
      <c r="K450" s="1" t="s">
        <v>9642</v>
      </c>
      <c r="L450" s="7" t="str">
        <f>IFERROR(__xludf.DUMMYFUNCTION("GOOGLETRANSLATE(C450, ""en"", ""fi"")"),"Käyttöjärjestelmä rajoittaa keskusteluja pääsemästä Internetiin taustalla. Uusien viestien ilmoitusten vastaanottaminen Voit sallia keskustelut Rajoittamaton käyttöoikeus tietojen säästäjän on päällä. \ NConVerations pyrkii edelleen tallentamaan tietoja m"&amp;"ahdollisuuksien mukaan.")</f>
        <v>Käyttöjärjestelmä rajoittaa keskusteluja pääsemästä Internetiin taustalla. Uusien viestien ilmoitusten vastaanottaminen Voit sallia keskustelut Rajoittamaton käyttöoikeus tietojen säästäjän on päällä. \ NConVerations pyrkii edelleen tallentamaan tietoja mahdollisuuksien mukaan.</v>
      </c>
      <c r="M450" s="1" t="s">
        <v>9643</v>
      </c>
      <c r="N450" s="6" t="s">
        <v>9644</v>
      </c>
      <c r="O450" s="6" t="s">
        <v>132</v>
      </c>
      <c r="P450" s="1" t="s">
        <v>9645</v>
      </c>
      <c r="Q450" s="7" t="str">
        <f>IFERROR(__xludf.DUMMYFUNCTION("GOOGLETRANSLATE(C450, ""en"", ""in"")"),"Sistem operasi Anda membatasi percakapan dari mengakses Internet saat berada di latar belakang. Untuk menerima pemberitahuan pesan baru, Anda harus mengizinkan percakapan akses tidak terbatas ketika penghemat data aktif. \ Nonversion akan tetap berupaya u"&amp;"ntuk menyimpan data jika memungkinkan.")</f>
        <v>Sistem operasi Anda membatasi percakapan dari mengakses Internet saat berada di latar belakang. Untuk menerima pemberitahuan pesan baru, Anda harus mengizinkan percakapan akses tidak terbatas ketika penghemat data aktif. \ Nonversion akan tetap berupaya untuk menyimpan data jika memungkinkan.</v>
      </c>
      <c r="R450" s="1" t="s">
        <v>9646</v>
      </c>
      <c r="S450" s="6" t="s">
        <v>132</v>
      </c>
      <c r="T450" s="1" t="s">
        <v>9647</v>
      </c>
      <c r="U450" s="1" t="s">
        <v>9648</v>
      </c>
      <c r="V450" s="7" t="str">
        <f>IFERROR(__xludf.DUMMYFUNCTION("GOOGLETRANSLATE(C450, ""en"", ""ms"")"),"Sistem pengendalian anda menyekat perbualan daripada mengakses Internet apabila di latar belakang. Untuk menerima pemberitahuan mesej baru, anda harus membenarkan perbualan yang tidak terbatas apabila penjimat data dihidupkan. \ Nconversations masih akan "&amp;"berusaha untuk menyimpan data apabila mungkin.")</f>
        <v>Sistem pengendalian anda menyekat perbualan daripada mengakses Internet apabila di latar belakang. Untuk menerima pemberitahuan mesej baru, anda harus membenarkan perbualan yang tidak terbatas apabila penjimat data dihidupkan. \ Nconversations masih akan berusaha untuk menyimpan data apabila mungkin.</v>
      </c>
      <c r="W450" s="1" t="s">
        <v>9649</v>
      </c>
      <c r="X450" s="7" t="str">
        <f>IFERROR(__xludf.DUMMYFUNCTION("GOOGLETRANSLATE(C450, ""en"", ""no"")"),"Operativsystemet ditt begrenser samtaler fra å få tilgang til Internett når i bakgrunnen. For å motta varsler om nye meldinger, bør du tillate samtaler ubegrenset tilgang når datasparer er på. \ NConversations vil fortsatt gjøre en innsats for å lagre dat"&amp;"a når det er mulig.")</f>
        <v>Operativsystemet ditt begrenser samtaler fra å få tilgang til Internett når i bakgrunnen. For å motta varsler om nye meldinger, bør du tillate samtaler ubegrenset tilgang når datasparer er på. \ NConversations vil fortsatt gjøre en innsats for å lagre data når det er mulig.</v>
      </c>
      <c r="Y450" s="1" t="s">
        <v>9650</v>
      </c>
      <c r="Z450" s="7" t="str">
        <f>IFERROR(__xludf.DUMMYFUNCTION("GOOGLETRANSLATE(C450, ""en"", ""pt"")"),"Seu sistema operacional está restringindo as conversas de acessar a Internet quando no fundo. Para receber notificações de novas mensagens, você deve permitir que as conversas acesso irrestrito quando o Data Saver estiver ativado. \ NConversations ainda f"&amp;"ará um esforço para salvar os dados quando possível.")</f>
        <v>Seu sistema operacional está restringindo as conversas de acessar a Internet quando no fundo. Para receber notificações de novas mensagens, você deve permitir que as conversas acesso irrestrito quando o Data Saver estiver ativado. \ NConversations ainda fará um esforço para salvar os dados quando possível.</v>
      </c>
      <c r="AA450" s="7" t="str">
        <f>IFERROR(__xludf.DUMMYFUNCTION("GOOGLETRANSLATE(C450, ""en"", ""ro"")"),"Sistemul dvs. de operare restricționează conversațiile de la accesarea internetului atunci când este în fundal. Pentru a primi notificări despre mesajele noi, ar trebui să permiteți conversații acces nelimitat atunci când economizorul de date este activat"&amp;". \ Nconversariile vor face totuși un efort pentru a salva datele atunci când este posibil.")</f>
        <v>Sistemul dvs. de operare restricționează conversațiile de la accesarea internetului atunci când este în fundal. Pentru a primi notificări despre mesajele noi, ar trebui să permiteți conversații acces nelimitat atunci când economizorul de date este activat. \ Nconversariile vor face totuși un efort pentru a salva datele atunci când este posibil.</v>
      </c>
      <c r="AB450" s="1" t="s">
        <v>9651</v>
      </c>
      <c r="AC450" s="7" t="str">
        <f>IFERROR(__xludf.DUMMYFUNCTION("GOOGLETRANSLATE(C450, ""en"", ""sk"")"),"Váš operačný systém obmedzuje konverzácie z prístupu k internetu, keď v pozadí. Ak chcete prijímať oznámenia o nových správach, mali by ste povoliť, aby sa konverzácie neobmedzený prístup, keď je sporiteľ údajov zapnutý. \ T")</f>
        <v>Váš operačný systém obmedzuje konverzácie z prístupu k internetu, keď v pozadí. Ak chcete prijímať oznámenia o nových správach, mali by ste povoliť, aby sa konverzácie neobmedzený prístup, keď je sporiteľ údajov zapnutý. \ T</v>
      </c>
      <c r="AD450" s="6" t="s">
        <v>132</v>
      </c>
      <c r="AE450" s="1" t="s">
        <v>9652</v>
      </c>
      <c r="AF450" s="1" t="s">
        <v>9653</v>
      </c>
      <c r="AG450" s="6" t="s">
        <v>132</v>
      </c>
      <c r="AH450" s="7" t="str">
        <f>IFERROR(__xludf.DUMMYFUNCTION("GOOGLETRANSLATE(C450, ""en"", ""tr"")"),"İşletim sisteminiz, arka planda olduğunda internete erişmelerini engellemektedir. Yeni mesajların bildirimlerini almak için, Veri Tasarrufu açıkken konuşmaların sınırsız erişmesine izin vermelisiniz. \ NGONVersations mümkün olduğunda veri kaydetmek için h"&amp;"ala bir çaba gösterecektir.")</f>
        <v>İşletim sisteminiz, arka planda olduğunda internete erişmelerini engellemektedir. Yeni mesajların bildirimlerini almak için, Veri Tasarrufu açıkken konuşmaların sınırsız erişmesine izin vermelisiniz. \ NGONVersations mümkün olduğunda veri kaydetmek için hala bir çaba gösterecektir.</v>
      </c>
      <c r="AI450" s="6" t="s">
        <v>9654</v>
      </c>
      <c r="AJ450" s="6" t="s">
        <v>132</v>
      </c>
      <c r="AK450" s="7" t="str">
        <f>IFERROR(__xludf.DUMMYFUNCTION("GOOGLETRANSLATE(C450, ""en"", ""zh"")"),"您的操作系统在背景中限制对话访问Internet。要接收新消息的通知，您应该允许在数据保护程序上时进行对话不受限制的访问。\ nconstations仍然会努力在可能的情况下保存数据。")</f>
        <v>您的操作系统在背景中限制对话访问Internet。要接收新消息的通知，您应该允许在数据保护程序上时进行对话不受限制的访问。\ nconstations仍然会努力在可能的情况下保存数据。</v>
      </c>
      <c r="AL450" s="6" t="s">
        <v>9655</v>
      </c>
    </row>
    <row r="451" ht="15.75" hidden="1" customHeight="1">
      <c r="A451" s="1" t="s">
        <v>38</v>
      </c>
      <c r="B451" s="1" t="s">
        <v>9656</v>
      </c>
      <c r="C451" s="1" t="s">
        <v>9657</v>
      </c>
      <c r="D451" s="7" t="str">
        <f>IFERROR(__xludf.DUMMYFUNCTION("GOOGLETRANSLATE(C451, ""en"", ""ar"")"),"نسخ عنوان الويب")</f>
        <v>نسخ عنوان الويب</v>
      </c>
      <c r="E451" s="1" t="s">
        <v>9658</v>
      </c>
      <c r="F451" s="6" t="s">
        <v>9659</v>
      </c>
      <c r="G451" s="7" t="str">
        <f>IFERROR(__xludf.DUMMYFUNCTION("GOOGLETRANSLATE(C451, ""en"", ""cs"")"),"Kopírovat webovou adresu")</f>
        <v>Kopírovat webovou adresu</v>
      </c>
      <c r="H451" s="7" t="str">
        <f>IFERROR(__xludf.DUMMYFUNCTION("GOOGLETRANSLATE(C451, ""en"", ""da"")"),"Kopier webadresse")</f>
        <v>Kopier webadresse</v>
      </c>
      <c r="I451" s="1" t="s">
        <v>9660</v>
      </c>
      <c r="J451" s="6" t="s">
        <v>132</v>
      </c>
      <c r="K451" s="1" t="s">
        <v>9661</v>
      </c>
      <c r="L451" s="7" t="str">
        <f>IFERROR(__xludf.DUMMYFUNCTION("GOOGLETRANSLATE(C451, ""en"", ""fi"")"),"Kopioi Web-osoite")</f>
        <v>Kopioi Web-osoite</v>
      </c>
      <c r="M451" s="1" t="s">
        <v>9662</v>
      </c>
      <c r="N451" s="6" t="s">
        <v>9663</v>
      </c>
      <c r="O451" s="6" t="s">
        <v>132</v>
      </c>
      <c r="P451" s="1" t="s">
        <v>9664</v>
      </c>
      <c r="Q451" s="7" t="str">
        <f>IFERROR(__xludf.DUMMYFUNCTION("GOOGLETRANSLATE(C451, ""en"", ""in"")"),"Salin Alamat Web")</f>
        <v>Salin Alamat Web</v>
      </c>
      <c r="R451" s="1" t="s">
        <v>9665</v>
      </c>
      <c r="S451" s="6" t="s">
        <v>132</v>
      </c>
      <c r="T451" s="1" t="s">
        <v>9666</v>
      </c>
      <c r="U451" s="7" t="str">
        <f>IFERROR(__xludf.DUMMYFUNCTION("GOOGLETRANSLATE(C451, ""en"", ""ko"")"),"웹 주소 복사")</f>
        <v>웹 주소 복사</v>
      </c>
      <c r="V451" s="7" t="str">
        <f>IFERROR(__xludf.DUMMYFUNCTION("GOOGLETRANSLATE(C451, ""en"", ""ms"")"),"Salin alamat web")</f>
        <v>Salin alamat web</v>
      </c>
      <c r="W451" s="1" t="s">
        <v>9667</v>
      </c>
      <c r="X451" s="7" t="str">
        <f>IFERROR(__xludf.DUMMYFUNCTION("GOOGLETRANSLATE(C451, ""en"", ""no"")"),"Kopier webadresse")</f>
        <v>Kopier webadresse</v>
      </c>
      <c r="Y451" s="1" t="s">
        <v>9668</v>
      </c>
      <c r="Z451" s="7" t="str">
        <f>IFERROR(__xludf.DUMMYFUNCTION("GOOGLETRANSLATE(C451, ""en"", ""pt"")"),"Copie o endereço da Web.")</f>
        <v>Copie o endereço da Web.</v>
      </c>
      <c r="AA451" s="7" t="str">
        <f>IFERROR(__xludf.DUMMYFUNCTION("GOOGLETRANSLATE(C451, ""en"", ""ro"")"),"Copiați adresa web")</f>
        <v>Copiați adresa web</v>
      </c>
      <c r="AB451" s="7" t="str">
        <f>IFERROR(__xludf.DUMMYFUNCTION("GOOGLETRANSLATE(C451, ""en"", ""ru"")"),"Скопируйте веб-адрес")</f>
        <v>Скопируйте веб-адрес</v>
      </c>
      <c r="AC451" s="7" t="str">
        <f>IFERROR(__xludf.DUMMYFUNCTION("GOOGLETRANSLATE(C451, ""en"", ""sk"")"),"Skopírujte webovú adresu")</f>
        <v>Skopírujte webovú adresu</v>
      </c>
      <c r="AD451" s="6" t="s">
        <v>132</v>
      </c>
      <c r="AE451" s="1" t="s">
        <v>9669</v>
      </c>
      <c r="AF451" s="7" t="str">
        <f>IFERROR(__xludf.DUMMYFUNCTION("GOOGLETRANSLATE(C451, ""en"", ""sv"")"),"Kopiera webbadress")</f>
        <v>Kopiera webbadress</v>
      </c>
      <c r="AG451" s="6" t="s">
        <v>132</v>
      </c>
      <c r="AH451" s="7" t="str">
        <f>IFERROR(__xludf.DUMMYFUNCTION("GOOGLETRANSLATE(C451, ""en"", ""tr"")"),"Web Adresini Kopyala")</f>
        <v>Web Adresini Kopyala</v>
      </c>
      <c r="AI451" s="6" t="s">
        <v>132</v>
      </c>
      <c r="AJ451" s="6" t="s">
        <v>132</v>
      </c>
      <c r="AK451" s="7" t="str">
        <f>IFERROR(__xludf.DUMMYFUNCTION("GOOGLETRANSLATE(C451, ""en"", ""zh"")"),"复制Web地址")</f>
        <v>复制Web地址</v>
      </c>
      <c r="AL451" s="6" t="s">
        <v>132</v>
      </c>
    </row>
    <row r="452" ht="15.75" hidden="1" customHeight="1">
      <c r="A452" s="1" t="s">
        <v>38</v>
      </c>
      <c r="B452" s="1" t="s">
        <v>9670</v>
      </c>
      <c r="C452" s="1" t="s">
        <v>9671</v>
      </c>
      <c r="D452" s="8" t="s">
        <v>9672</v>
      </c>
      <c r="E452" s="1" t="s">
        <v>9673</v>
      </c>
      <c r="F452" s="6" t="s">
        <v>9674</v>
      </c>
      <c r="G452" s="7" t="str">
        <f>IFERROR(__xludf.DUMMYFUNCTION("GOOGLETRANSLATE(C452, ""en"", ""cs"")"),"Soubor byl smazán")</f>
        <v>Soubor byl smazán</v>
      </c>
      <c r="H452" s="7" t="str">
        <f>IFERROR(__xludf.DUMMYFUNCTION("GOOGLETRANSLATE(C452, ""en"", ""da"")"),"Filen er blevet slettet")</f>
        <v>Filen er blevet slettet</v>
      </c>
      <c r="I452" s="1" t="s">
        <v>9675</v>
      </c>
      <c r="J452" s="6" t="s">
        <v>132</v>
      </c>
      <c r="K452" s="1" t="s">
        <v>9676</v>
      </c>
      <c r="L452" s="7" t="str">
        <f>IFERROR(__xludf.DUMMYFUNCTION("GOOGLETRANSLATE(C452, ""en"", ""fi"")"),"Tiedosto on poistettu")</f>
        <v>Tiedosto on poistettu</v>
      </c>
      <c r="M452" s="1" t="s">
        <v>9677</v>
      </c>
      <c r="N452" s="6" t="s">
        <v>9678</v>
      </c>
      <c r="O452" s="6" t="s">
        <v>132</v>
      </c>
      <c r="P452" s="1" t="s">
        <v>9679</v>
      </c>
      <c r="Q452" s="9" t="s">
        <v>9680</v>
      </c>
      <c r="R452" s="1" t="s">
        <v>9681</v>
      </c>
      <c r="S452" s="6" t="s">
        <v>132</v>
      </c>
      <c r="T452" s="1" t="s">
        <v>9682</v>
      </c>
      <c r="U452" s="1" t="s">
        <v>9683</v>
      </c>
      <c r="V452" s="7" t="str">
        <f>IFERROR(__xludf.DUMMYFUNCTION("GOOGLETRANSLATE(C452, ""en"", ""ms"")"),"Fail telah dipadamkan")</f>
        <v>Fail telah dipadamkan</v>
      </c>
      <c r="W452" s="1" t="s">
        <v>9684</v>
      </c>
      <c r="X452" s="7" t="str">
        <f>IFERROR(__xludf.DUMMYFUNCTION("GOOGLETRANSLATE(C452, ""en"", ""no"")"),"Filen er slettet")</f>
        <v>Filen er slettet</v>
      </c>
      <c r="Y452" s="1" t="s">
        <v>9685</v>
      </c>
      <c r="Z452" s="1" t="s">
        <v>9686</v>
      </c>
      <c r="AA452" s="7" t="str">
        <f>IFERROR(__xludf.DUMMYFUNCTION("GOOGLETRANSLATE(C452, ""en"", ""ro"")"),"Fișierul a fost șters")</f>
        <v>Fișierul a fost șters</v>
      </c>
      <c r="AB452" s="1" t="s">
        <v>9687</v>
      </c>
      <c r="AC452" s="1" t="s">
        <v>9688</v>
      </c>
      <c r="AD452" s="6" t="s">
        <v>132</v>
      </c>
      <c r="AE452" s="1" t="s">
        <v>9689</v>
      </c>
      <c r="AF452" s="1" t="s">
        <v>9690</v>
      </c>
      <c r="AG452" s="6" t="s">
        <v>132</v>
      </c>
      <c r="AH452" s="7" t="str">
        <f>IFERROR(__xludf.DUMMYFUNCTION("GOOGLETRANSLATE(C452, ""en"", ""tr"")"),"Dosya silindi")</f>
        <v>Dosya silindi</v>
      </c>
      <c r="AI452" s="6" t="s">
        <v>9691</v>
      </c>
      <c r="AJ452" s="6" t="s">
        <v>9692</v>
      </c>
      <c r="AK452" s="7" t="str">
        <f>IFERROR(__xludf.DUMMYFUNCTION("GOOGLETRANSLATE(C452, ""en"", ""zh"")"),"该文件已被删除")</f>
        <v>该文件已被删除</v>
      </c>
      <c r="AL452" s="6" t="s">
        <v>9693</v>
      </c>
    </row>
    <row r="453" ht="15.75" customHeight="1">
      <c r="A453" s="1" t="s">
        <v>127</v>
      </c>
      <c r="B453" s="1" t="s">
        <v>9694</v>
      </c>
      <c r="C453" s="1" t="s">
        <v>9695</v>
      </c>
      <c r="D453" s="8" t="s">
        <v>9696</v>
      </c>
      <c r="E453" s="1" t="s">
        <v>9697</v>
      </c>
      <c r="F453" s="6" t="s">
        <v>132</v>
      </c>
      <c r="G453" s="1" t="s">
        <v>9698</v>
      </c>
      <c r="H453" s="1" t="s">
        <v>9699</v>
      </c>
      <c r="I453" s="1" t="s">
        <v>9700</v>
      </c>
      <c r="J453" s="6" t="s">
        <v>9701</v>
      </c>
      <c r="K453" s="1" t="s">
        <v>9702</v>
      </c>
      <c r="L453" s="1" t="s">
        <v>9703</v>
      </c>
      <c r="M453" s="1" t="s">
        <v>9704</v>
      </c>
      <c r="N453" s="6" t="s">
        <v>132</v>
      </c>
      <c r="O453" s="6" t="s">
        <v>9705</v>
      </c>
      <c r="P453" s="1" t="s">
        <v>9706</v>
      </c>
      <c r="Q453" s="1" t="s">
        <v>9707</v>
      </c>
      <c r="R453" s="1" t="s">
        <v>9708</v>
      </c>
      <c r="S453" s="10" t="s">
        <v>9709</v>
      </c>
      <c r="T453" s="1" t="s">
        <v>9710</v>
      </c>
      <c r="U453" s="1" t="s">
        <v>9711</v>
      </c>
      <c r="V453" s="1" t="s">
        <v>9712</v>
      </c>
      <c r="W453" s="1" t="s">
        <v>9713</v>
      </c>
      <c r="X453" s="1" t="s">
        <v>9714</v>
      </c>
      <c r="Y453" s="1" t="s">
        <v>9715</v>
      </c>
      <c r="Z453" s="1" t="s">
        <v>9716</v>
      </c>
      <c r="AA453" s="1" t="s">
        <v>9717</v>
      </c>
      <c r="AB453" s="1" t="s">
        <v>9718</v>
      </c>
      <c r="AC453" s="1" t="s">
        <v>9719</v>
      </c>
      <c r="AD453" s="6" t="s">
        <v>9720</v>
      </c>
      <c r="AE453" s="1" t="s">
        <v>9721</v>
      </c>
      <c r="AF453" s="1" t="s">
        <v>9722</v>
      </c>
      <c r="AG453" s="6" t="s">
        <v>9723</v>
      </c>
      <c r="AH453" s="1" t="s">
        <v>9724</v>
      </c>
      <c r="AI453" s="6" t="s">
        <v>132</v>
      </c>
      <c r="AJ453" s="6" t="s">
        <v>9725</v>
      </c>
      <c r="AK453" s="1" t="s">
        <v>9726</v>
      </c>
      <c r="AL453" s="6" t="s">
        <v>9727</v>
      </c>
    </row>
    <row r="454" ht="15.75" customHeight="1">
      <c r="A454" s="1" t="s">
        <v>127</v>
      </c>
      <c r="B454" s="1" t="s">
        <v>9728</v>
      </c>
      <c r="C454" s="1" t="s">
        <v>9729</v>
      </c>
      <c r="D454" s="8" t="s">
        <v>9730</v>
      </c>
      <c r="E454" s="1" t="s">
        <v>9731</v>
      </c>
      <c r="F454" s="6" t="s">
        <v>132</v>
      </c>
      <c r="G454" s="1" t="s">
        <v>9732</v>
      </c>
      <c r="H454" s="1" t="s">
        <v>9733</v>
      </c>
      <c r="I454" s="1" t="s">
        <v>9734</v>
      </c>
      <c r="J454" s="6" t="s">
        <v>9735</v>
      </c>
      <c r="K454" s="1" t="s">
        <v>9736</v>
      </c>
      <c r="L454" s="1" t="s">
        <v>9737</v>
      </c>
      <c r="M454" s="1" t="s">
        <v>9738</v>
      </c>
      <c r="N454" s="6" t="s">
        <v>132</v>
      </c>
      <c r="O454" s="6" t="s">
        <v>9739</v>
      </c>
      <c r="P454" s="1" t="s">
        <v>9740</v>
      </c>
      <c r="Q454" s="1" t="s">
        <v>9741</v>
      </c>
      <c r="R454" s="1" t="s">
        <v>9742</v>
      </c>
      <c r="S454" s="10" t="s">
        <v>9743</v>
      </c>
      <c r="T454" s="1" t="s">
        <v>9744</v>
      </c>
      <c r="U454" s="1" t="s">
        <v>9745</v>
      </c>
      <c r="V454" s="1" t="s">
        <v>9746</v>
      </c>
      <c r="W454" s="1" t="s">
        <v>9747</v>
      </c>
      <c r="X454" s="1" t="s">
        <v>9748</v>
      </c>
      <c r="Y454" s="1" t="s">
        <v>9749</v>
      </c>
      <c r="Z454" s="1" t="s">
        <v>9750</v>
      </c>
      <c r="AA454" s="1" t="s">
        <v>9751</v>
      </c>
      <c r="AB454" s="1" t="s">
        <v>9752</v>
      </c>
      <c r="AC454" s="1" t="s">
        <v>9753</v>
      </c>
      <c r="AD454" s="6" t="s">
        <v>9754</v>
      </c>
      <c r="AE454" s="1" t="s">
        <v>9755</v>
      </c>
      <c r="AF454" s="1" t="s">
        <v>9756</v>
      </c>
      <c r="AG454" s="6" t="s">
        <v>9757</v>
      </c>
      <c r="AH454" s="1" t="s">
        <v>9758</v>
      </c>
      <c r="AI454" s="6" t="s">
        <v>132</v>
      </c>
      <c r="AJ454" s="6" t="s">
        <v>9759</v>
      </c>
      <c r="AK454" s="1" t="s">
        <v>9760</v>
      </c>
      <c r="AL454" s="6" t="s">
        <v>9761</v>
      </c>
    </row>
    <row r="455" ht="15.75" hidden="1" customHeight="1">
      <c r="A455" s="1" t="s">
        <v>38</v>
      </c>
      <c r="B455" s="1" t="s">
        <v>9762</v>
      </c>
      <c r="C455" s="1" t="s">
        <v>9763</v>
      </c>
      <c r="D455" s="8" t="s">
        <v>9764</v>
      </c>
      <c r="E455" s="1" t="s">
        <v>9765</v>
      </c>
      <c r="F455" s="6" t="s">
        <v>9766</v>
      </c>
      <c r="G455" s="7" t="str">
        <f>IFERROR(__xludf.DUMMYFUNCTION("GOOGLETRANSLATE(C455, ""en"", ""cs"")"),"OpenPGP veřejný klíč byl publikován.")</f>
        <v>OpenPGP veřejný klíč byl publikován.</v>
      </c>
      <c r="H455" s="7" t="str">
        <f>IFERROR(__xludf.DUMMYFUNCTION("GOOGLETRANSLATE(C455, ""en"", ""da"")"),"OpenPGP Public Key er blevet offentliggjort.")</f>
        <v>OpenPGP Public Key er blevet offentliggjort.</v>
      </c>
      <c r="I455" s="1" t="s">
        <v>9767</v>
      </c>
      <c r="J455" s="6" t="s">
        <v>132</v>
      </c>
      <c r="K455" s="1" t="s">
        <v>9768</v>
      </c>
      <c r="L455" s="7" t="str">
        <f>IFERROR(__xludf.DUMMYFUNCTION("GOOGLETRANSLATE(C455, ""en"", ""fi"")"),"OpenPGP-julkinen avain on julkaistu.")</f>
        <v>OpenPGP-julkinen avain on julkaistu.</v>
      </c>
      <c r="M455" s="1" t="s">
        <v>9769</v>
      </c>
      <c r="N455" s="6" t="s">
        <v>9770</v>
      </c>
      <c r="O455" s="6" t="s">
        <v>132</v>
      </c>
      <c r="P455" s="1" t="s">
        <v>9771</v>
      </c>
      <c r="Q455" s="7" t="str">
        <f>IFERROR(__xludf.DUMMYFUNCTION("GOOGLETRANSLATE(C455, ""en"", ""in"")"),"OpenPGP Public Key telah dipublikasikan.")</f>
        <v>OpenPGP Public Key telah dipublikasikan.</v>
      </c>
      <c r="R455" s="1" t="s">
        <v>9772</v>
      </c>
      <c r="S455" s="6" t="s">
        <v>132</v>
      </c>
      <c r="T455" s="1" t="s">
        <v>9773</v>
      </c>
      <c r="U455" s="1" t="s">
        <v>9774</v>
      </c>
      <c r="V455" s="7" t="str">
        <f>IFERROR(__xludf.DUMMYFUNCTION("GOOGLETRANSLATE(C455, ""en"", ""ms"")"),"Kunci Public OpenPGP telah diterbitkan.")</f>
        <v>Kunci Public OpenPGP telah diterbitkan.</v>
      </c>
      <c r="W455" s="1" t="s">
        <v>9775</v>
      </c>
      <c r="X455" s="7" t="str">
        <f>IFERROR(__xludf.DUMMYFUNCTION("GOOGLETRANSLATE(C455, ""en"", ""no"")"),"OpenPGP offentlig nøkkel er publisert.")</f>
        <v>OpenPGP offentlig nøkkel er publisert.</v>
      </c>
      <c r="Y455" s="1" t="s">
        <v>9776</v>
      </c>
      <c r="Z455" s="7" t="str">
        <f>IFERROR(__xludf.DUMMYFUNCTION("GOOGLETRANSLATE(C455, ""en"", ""pt"")"),"A chave pública do OpenPGP foi publicada.")</f>
        <v>A chave pública do OpenPGP foi publicada.</v>
      </c>
      <c r="AA455" s="7" t="str">
        <f>IFERROR(__xludf.DUMMYFUNCTION("GOOGLETRANSLATE(C455, ""en"", ""ro"")"),"Cheia publică OpenPGP a fost publicată.")</f>
        <v>Cheia publică OpenPGP a fost publicată.</v>
      </c>
      <c r="AB455" s="1" t="s">
        <v>9777</v>
      </c>
      <c r="AC455" s="7" t="str">
        <f>IFERROR(__xludf.DUMMYFUNCTION("GOOGLETRANSLATE(C455, ""en"", ""sk"")"),"OpenPGP verejný kľúč bol uverejnený.")</f>
        <v>OpenPGP verejný kľúč bol uverejnený.</v>
      </c>
      <c r="AD455" s="6" t="s">
        <v>132</v>
      </c>
      <c r="AE455" s="1" t="s">
        <v>9778</v>
      </c>
      <c r="AF455" s="1" t="s">
        <v>9779</v>
      </c>
      <c r="AG455" s="6" t="s">
        <v>132</v>
      </c>
      <c r="AH455" s="7" t="str">
        <f>IFERROR(__xludf.DUMMYFUNCTION("GOOGLETRANSLATE(C455, ""en"", ""tr"")"),"OpenPGP Genel Anahtarı yayınlandı.")</f>
        <v>OpenPGP Genel Anahtarı yayınlandı.</v>
      </c>
      <c r="AI455" s="6" t="s">
        <v>9780</v>
      </c>
      <c r="AJ455" s="6" t="s">
        <v>9781</v>
      </c>
      <c r="AK455" s="7" t="str">
        <f>IFERROR(__xludf.DUMMYFUNCTION("GOOGLETRANSLATE(C455, ""en"", ""zh"")"),"OpenPGP公钥已发布。")</f>
        <v>OpenPGP公钥已发布。</v>
      </c>
      <c r="AL455" s="6" t="s">
        <v>9782</v>
      </c>
    </row>
    <row r="456" ht="15.75" customHeight="1">
      <c r="A456" s="1" t="s">
        <v>127</v>
      </c>
      <c r="B456" s="1" t="s">
        <v>9783</v>
      </c>
      <c r="C456" s="1" t="s">
        <v>9784</v>
      </c>
      <c r="D456" s="8" t="s">
        <v>9785</v>
      </c>
      <c r="E456" s="1" t="s">
        <v>9786</v>
      </c>
      <c r="F456" s="6" t="s">
        <v>132</v>
      </c>
      <c r="G456" s="1" t="s">
        <v>9787</v>
      </c>
      <c r="H456" s="1" t="s">
        <v>9784</v>
      </c>
      <c r="I456" s="1" t="s">
        <v>9788</v>
      </c>
      <c r="J456" s="6" t="s">
        <v>9789</v>
      </c>
      <c r="K456" s="1" t="s">
        <v>9784</v>
      </c>
      <c r="L456" s="1" t="s">
        <v>9784</v>
      </c>
      <c r="M456" s="1" t="s">
        <v>9784</v>
      </c>
      <c r="N456" s="6" t="s">
        <v>132</v>
      </c>
      <c r="O456" s="6" t="s">
        <v>9790</v>
      </c>
      <c r="P456" s="1" t="s">
        <v>9791</v>
      </c>
      <c r="Q456" s="1" t="s">
        <v>9784</v>
      </c>
      <c r="R456" s="1" t="s">
        <v>9792</v>
      </c>
      <c r="S456" s="10" t="s">
        <v>9793</v>
      </c>
      <c r="T456" s="1" t="s">
        <v>9794</v>
      </c>
      <c r="U456" s="1" t="s">
        <v>9795</v>
      </c>
      <c r="V456" s="1" t="s">
        <v>9784</v>
      </c>
      <c r="W456" s="1" t="s">
        <v>9796</v>
      </c>
      <c r="X456" s="1" t="s">
        <v>9784</v>
      </c>
      <c r="Y456" s="1" t="s">
        <v>9797</v>
      </c>
      <c r="Z456" s="1" t="s">
        <v>9784</v>
      </c>
      <c r="AA456" s="1" t="s">
        <v>9784</v>
      </c>
      <c r="AB456" s="1" t="s">
        <v>9798</v>
      </c>
      <c r="AC456" s="1" t="s">
        <v>9784</v>
      </c>
      <c r="AD456" s="6" t="s">
        <v>9784</v>
      </c>
      <c r="AE456" s="1" t="s">
        <v>9784</v>
      </c>
      <c r="AF456" s="1" t="s">
        <v>9796</v>
      </c>
      <c r="AG456" s="6" t="s">
        <v>9799</v>
      </c>
      <c r="AH456" s="1" t="s">
        <v>9784</v>
      </c>
      <c r="AI456" s="6" t="s">
        <v>132</v>
      </c>
      <c r="AJ456" s="6" t="s">
        <v>9800</v>
      </c>
      <c r="AK456" s="1" t="s">
        <v>9801</v>
      </c>
      <c r="AL456" s="6" t="s">
        <v>132</v>
      </c>
    </row>
    <row r="457" ht="15.75" hidden="1" customHeight="1">
      <c r="A457" s="1" t="s">
        <v>38</v>
      </c>
      <c r="B457" s="1" t="s">
        <v>9802</v>
      </c>
      <c r="C457" s="1" t="s">
        <v>9803</v>
      </c>
      <c r="D457" s="8" t="s">
        <v>9804</v>
      </c>
      <c r="E457" s="1" t="s">
        <v>9805</v>
      </c>
      <c r="F457" s="6" t="s">
        <v>9806</v>
      </c>
      <c r="G457" s="7" t="str">
        <f>IFERROR(__xludf.DUMMYFUNCTION("GOOGLETRANSLATE(C457, ""en"", ""cs"")"),"Změňte klíč emotikony na klíč ENTER")</f>
        <v>Změňte klíč emotikony na klíč ENTER</v>
      </c>
      <c r="H457" s="7" t="str">
        <f>IFERROR(__xludf.DUMMYFUNCTION("GOOGLETRANSLATE(C457, ""en"", ""da"")"),"Skift Emoticons-tasten til en indtastningstast")</f>
        <v>Skift Emoticons-tasten til en indtastningstast</v>
      </c>
      <c r="I457" s="1" t="s">
        <v>9807</v>
      </c>
      <c r="J457" s="6" t="s">
        <v>132</v>
      </c>
      <c r="K457" s="1" t="s">
        <v>9808</v>
      </c>
      <c r="L457" s="7" t="str">
        <f>IFERROR(__xludf.DUMMYFUNCTION("GOOGLETRANSLATE(C457, ""en"", ""fi"")"),"Muuta hymiöiden avain Enter-näppäintä")</f>
        <v>Muuta hymiöiden avain Enter-näppäintä</v>
      </c>
      <c r="M457" s="1" t="s">
        <v>9809</v>
      </c>
      <c r="N457" s="6" t="s">
        <v>9810</v>
      </c>
      <c r="O457" s="6" t="s">
        <v>132</v>
      </c>
      <c r="P457" s="1" t="s">
        <v>9811</v>
      </c>
      <c r="Q457" s="9" t="s">
        <v>9812</v>
      </c>
      <c r="R457" s="1" t="s">
        <v>9813</v>
      </c>
      <c r="S457" s="6" t="s">
        <v>132</v>
      </c>
      <c r="T457" s="1" t="s">
        <v>9814</v>
      </c>
      <c r="U457" s="1" t="s">
        <v>9815</v>
      </c>
      <c r="V457" s="7" t="str">
        <f>IFERROR(__xludf.DUMMYFUNCTION("GOOGLETRANSLATE(C457, ""en"", ""ms"")"),"Tukar kunci emotikon ke kekunci Enter")</f>
        <v>Tukar kunci emotikon ke kekunci Enter</v>
      </c>
      <c r="W457" s="1" t="s">
        <v>9816</v>
      </c>
      <c r="X457" s="7" t="str">
        <f>IFERROR(__xludf.DUMMYFUNCTION("GOOGLETRANSLATE(C457, ""en"", ""no"")"),"Endre emoticons-tasten til en ENTER-tast")</f>
        <v>Endre emoticons-tasten til en ENTER-tast</v>
      </c>
      <c r="Y457" s="1" t="s">
        <v>9817</v>
      </c>
      <c r="Z457" s="1" t="s">
        <v>9818</v>
      </c>
      <c r="AA457" s="7" t="str">
        <f>IFERROR(__xludf.DUMMYFUNCTION("GOOGLETRANSLATE(C457, ""en"", ""ro"")"),"Modificați tasta Emoticons la o cheie de introducere")</f>
        <v>Modificați tasta Emoticons la o cheie de introducere</v>
      </c>
      <c r="AB457" s="1" t="s">
        <v>9819</v>
      </c>
      <c r="AC457" s="1" t="s">
        <v>9820</v>
      </c>
      <c r="AD457" s="6" t="s">
        <v>132</v>
      </c>
      <c r="AE457" s="1" t="s">
        <v>9821</v>
      </c>
      <c r="AF457" s="1" t="s">
        <v>9822</v>
      </c>
      <c r="AG457" s="6" t="s">
        <v>132</v>
      </c>
      <c r="AH457" s="7" t="str">
        <f>IFERROR(__xludf.DUMMYFUNCTION("GOOGLETRANSLATE(C457, ""en"", ""tr"")"),"İfadeleri anahtarını bir Enter tuşuna değiştirin")</f>
        <v>İfadeleri anahtarını bir Enter tuşuna değiştirin</v>
      </c>
      <c r="AI457" s="6" t="s">
        <v>9823</v>
      </c>
      <c r="AJ457" s="6" t="s">
        <v>9824</v>
      </c>
      <c r="AK457" s="7" t="str">
        <f>IFERROR(__xludf.DUMMYFUNCTION("GOOGLETRANSLATE(C457, ""en"", ""zh"")"),"将表情符号更改为输入键")</f>
        <v>将表情符号更改为输入键</v>
      </c>
      <c r="AL457" s="6" t="s">
        <v>9825</v>
      </c>
    </row>
    <row r="458" ht="15.75" hidden="1" customHeight="1">
      <c r="A458" s="1" t="s">
        <v>38</v>
      </c>
      <c r="B458" s="1" t="s">
        <v>9826</v>
      </c>
      <c r="C458" s="1" t="s">
        <v>9827</v>
      </c>
      <c r="D458" s="8" t="s">
        <v>9828</v>
      </c>
      <c r="E458" s="1" t="s">
        <v>9829</v>
      </c>
      <c r="F458" s="6" t="s">
        <v>9830</v>
      </c>
      <c r="G458" s="7" t="str">
        <f>IFERROR(__xludf.DUMMYFUNCTION("GOOGLETRANSLATE(C458, ""en"", ""cs"")"),"Správa účtů")</f>
        <v>Správa účtů</v>
      </c>
      <c r="H458" s="7" t="str">
        <f>IFERROR(__xludf.DUMMYFUNCTION("GOOGLETRANSLATE(C458, ""en"", ""da"")"),"Administrer konti")</f>
        <v>Administrer konti</v>
      </c>
      <c r="I458" s="1" t="s">
        <v>9831</v>
      </c>
      <c r="J458" s="6" t="s">
        <v>132</v>
      </c>
      <c r="K458" s="1" t="s">
        <v>9832</v>
      </c>
      <c r="L458" s="7" t="str">
        <f>IFERROR(__xludf.DUMMYFUNCTION("GOOGLETRANSLATE(C458, ""en"", ""fi"")"),"Hallinnoi tilejä")</f>
        <v>Hallinnoi tilejä</v>
      </c>
      <c r="M458" s="1" t="s">
        <v>9833</v>
      </c>
      <c r="N458" s="6" t="s">
        <v>9834</v>
      </c>
      <c r="O458" s="6" t="s">
        <v>132</v>
      </c>
      <c r="P458" s="1" t="s">
        <v>9835</v>
      </c>
      <c r="Q458" s="9" t="s">
        <v>9836</v>
      </c>
      <c r="R458" s="1" t="s">
        <v>7667</v>
      </c>
      <c r="S458" s="6" t="s">
        <v>132</v>
      </c>
      <c r="T458" s="1" t="s">
        <v>7668</v>
      </c>
      <c r="U458" s="1" t="s">
        <v>9837</v>
      </c>
      <c r="V458" s="7" t="str">
        <f>IFERROR(__xludf.DUMMYFUNCTION("GOOGLETRANSLATE(C458, ""en"", ""ms"")"),"Urus akaun")</f>
        <v>Urus akaun</v>
      </c>
      <c r="W458" s="1" t="s">
        <v>9838</v>
      </c>
      <c r="X458" s="7" t="str">
        <f>IFERROR(__xludf.DUMMYFUNCTION("GOOGLETRANSLATE(C458, ""en"", ""no"")"),"Administrer kontoer")</f>
        <v>Administrer kontoer</v>
      </c>
      <c r="Y458" s="1" t="s">
        <v>9839</v>
      </c>
      <c r="Z458" s="1" t="s">
        <v>9840</v>
      </c>
      <c r="AA458" s="7" t="str">
        <f>IFERROR(__xludf.DUMMYFUNCTION("GOOGLETRANSLATE(C458, ""en"", ""ro"")"),"Gestionați conturile")</f>
        <v>Gestionați conturile</v>
      </c>
      <c r="AB458" s="1" t="s">
        <v>9841</v>
      </c>
      <c r="AC458" s="1" t="s">
        <v>9842</v>
      </c>
      <c r="AD458" s="6" t="s">
        <v>132</v>
      </c>
      <c r="AE458" s="1" t="s">
        <v>9843</v>
      </c>
      <c r="AF458" s="1" t="s">
        <v>9844</v>
      </c>
      <c r="AG458" s="6" t="s">
        <v>132</v>
      </c>
      <c r="AH458" s="7" t="str">
        <f>IFERROR(__xludf.DUMMYFUNCTION("GOOGLETRANSLATE(C458, ""en"", ""tr"")"),"Hesapları yönet")</f>
        <v>Hesapları yönet</v>
      </c>
      <c r="AI458" s="6" t="s">
        <v>9845</v>
      </c>
      <c r="AJ458" s="6" t="s">
        <v>9846</v>
      </c>
      <c r="AK458" s="7" t="str">
        <f>IFERROR(__xludf.DUMMYFUNCTION("GOOGLETRANSLATE(C458, ""en"", ""zh"")"),"管理帐户")</f>
        <v>管理帐户</v>
      </c>
      <c r="AL458" s="6" t="s">
        <v>9847</v>
      </c>
    </row>
    <row r="459" ht="15.75" customHeight="1">
      <c r="A459" s="13" t="s">
        <v>127</v>
      </c>
      <c r="B459" s="1" t="s">
        <v>9848</v>
      </c>
      <c r="C459" s="1" t="s">
        <v>9849</v>
      </c>
      <c r="D459" s="7" t="str">
        <f>IFERROR(__xludf.DUMMYFUNCTION("GOOGLETRANSLATE(C459, ""en"", ""ar"")"),"نوصي")</f>
        <v>نوصي</v>
      </c>
      <c r="E459" s="7" t="str">
        <f>IFERROR(__xludf.DUMMYFUNCTION("GOOGLETRANSLATE(C459, ""en"", ""bg"")"),"Препоръчвам")</f>
        <v>Препоръчвам</v>
      </c>
      <c r="F459" s="6" t="s">
        <v>132</v>
      </c>
      <c r="G459" s="7" t="str">
        <f>IFERROR(__xludf.DUMMYFUNCTION("GOOGLETRANSLATE(C459, ""en"", ""cs"")"),"Doporučit")</f>
        <v>Doporučit</v>
      </c>
      <c r="H459" s="1" t="s">
        <v>9850</v>
      </c>
      <c r="I459" s="1" t="s">
        <v>9851</v>
      </c>
      <c r="J459" s="6" t="s">
        <v>132</v>
      </c>
      <c r="K459" s="1" t="s">
        <v>9852</v>
      </c>
      <c r="L459" s="1" t="s">
        <v>9853</v>
      </c>
      <c r="M459" s="1" t="s">
        <v>9854</v>
      </c>
      <c r="N459" s="6" t="s">
        <v>132</v>
      </c>
      <c r="O459" s="6" t="s">
        <v>132</v>
      </c>
      <c r="P459" s="1" t="s">
        <v>9855</v>
      </c>
      <c r="Q459" s="1" t="s">
        <v>9855</v>
      </c>
      <c r="R459" s="1" t="s">
        <v>9856</v>
      </c>
      <c r="S459" s="6" t="s">
        <v>132</v>
      </c>
      <c r="T459" s="1" t="s">
        <v>9857</v>
      </c>
      <c r="U459" s="1" t="s">
        <v>9855</v>
      </c>
      <c r="V459" s="1" t="s">
        <v>9858</v>
      </c>
      <c r="W459" s="1" t="s">
        <v>9855</v>
      </c>
      <c r="X459" s="1" t="s">
        <v>9859</v>
      </c>
      <c r="Y459" s="1" t="s">
        <v>9860</v>
      </c>
      <c r="Z459" s="1" t="s">
        <v>9861</v>
      </c>
      <c r="AA459" s="7" t="str">
        <f>IFERROR(__xludf.DUMMYFUNCTION("GOOGLETRANSLATE(C459, ""en"", ""ro"")"),"Recomanda")</f>
        <v>Recomanda</v>
      </c>
      <c r="AB459" s="1" t="s">
        <v>9862</v>
      </c>
      <c r="AC459" s="7" t="str">
        <f>IFERROR(__xludf.DUMMYFUNCTION("GOOGLETRANSLATE(C459, ""en"", ""sk"")"),"Odporučiť")</f>
        <v>Odporučiť</v>
      </c>
      <c r="AD459" s="6" t="s">
        <v>132</v>
      </c>
      <c r="AE459" s="1" t="s">
        <v>9863</v>
      </c>
      <c r="AF459" s="1" t="s">
        <v>9864</v>
      </c>
      <c r="AG459" s="6" t="s">
        <v>132</v>
      </c>
      <c r="AH459" s="1" t="s">
        <v>9855</v>
      </c>
      <c r="AI459" s="6" t="s">
        <v>132</v>
      </c>
      <c r="AJ459" s="6" t="s">
        <v>132</v>
      </c>
      <c r="AK459" s="1" t="s">
        <v>9865</v>
      </c>
      <c r="AL459" s="6" t="s">
        <v>132</v>
      </c>
    </row>
    <row r="460" ht="15.75" hidden="1" customHeight="1">
      <c r="A460" s="1" t="s">
        <v>38</v>
      </c>
      <c r="B460" s="1" t="s">
        <v>9866</v>
      </c>
      <c r="C460" s="1" t="s">
        <v>9867</v>
      </c>
      <c r="D460" s="8" t="s">
        <v>9868</v>
      </c>
      <c r="E460" s="1" t="s">
        <v>9869</v>
      </c>
      <c r="F460" s="6" t="s">
        <v>9870</v>
      </c>
      <c r="G460" s="7" t="str">
        <f>IFERROR(__xludf.DUMMYFUNCTION("GOOGLETRANSLATE(C460, ""en"", ""cs"")"),"Moderovaný")</f>
        <v>Moderovaný</v>
      </c>
      <c r="H460" s="7" t="str">
        <f>IFERROR(__xludf.DUMMYFUNCTION("GOOGLETRANSLATE(C460, ""en"", ""da"")"),"Modereret")</f>
        <v>Modereret</v>
      </c>
      <c r="I460" s="1" t="s">
        <v>9871</v>
      </c>
      <c r="J460" s="6" t="s">
        <v>132</v>
      </c>
      <c r="K460" s="1" t="s">
        <v>9872</v>
      </c>
      <c r="L460" s="7" t="str">
        <f>IFERROR(__xludf.DUMMYFUNCTION("GOOGLETRANSLATE(C460, ""en"", ""fi"")"),"Maltillinen")</f>
        <v>Maltillinen</v>
      </c>
      <c r="M460" s="1" t="s">
        <v>9873</v>
      </c>
      <c r="N460" s="6" t="s">
        <v>9872</v>
      </c>
      <c r="O460" s="6" t="s">
        <v>132</v>
      </c>
      <c r="P460" s="1" t="s">
        <v>9874</v>
      </c>
      <c r="Q460" s="7" t="str">
        <f>IFERROR(__xludf.DUMMYFUNCTION("GOOGLETRANSLATE(C460, ""en"", ""in"")"),"Dimoderasi")</f>
        <v>Dimoderasi</v>
      </c>
      <c r="R460" s="1" t="s">
        <v>9875</v>
      </c>
      <c r="S460" s="6" t="s">
        <v>132</v>
      </c>
      <c r="T460" s="1" t="s">
        <v>9876</v>
      </c>
      <c r="U460" s="1" t="s">
        <v>9877</v>
      </c>
      <c r="V460" s="7" t="str">
        <f>IFERROR(__xludf.DUMMYFUNCTION("GOOGLETRANSLATE(C460, ""en"", ""ms"")"),"Disederhanakan")</f>
        <v>Disederhanakan</v>
      </c>
      <c r="W460" s="1" t="s">
        <v>9878</v>
      </c>
      <c r="X460" s="7" t="str">
        <f>IFERROR(__xludf.DUMMYFUNCTION("GOOGLETRANSLATE(C460, ""en"", ""no"")"),"Moderert")</f>
        <v>Moderert</v>
      </c>
      <c r="Y460" s="1" t="s">
        <v>9879</v>
      </c>
      <c r="Z460" s="1" t="s">
        <v>9880</v>
      </c>
      <c r="AA460" s="7" t="str">
        <f>IFERROR(__xludf.DUMMYFUNCTION("GOOGLETRANSLATE(C460, ""en"", ""ro"")"),"Moderată")</f>
        <v>Moderată</v>
      </c>
      <c r="AB460" s="1" t="s">
        <v>9881</v>
      </c>
      <c r="AC460" s="7" t="str">
        <f>IFERROR(__xludf.DUMMYFUNCTION("GOOGLETRANSLATE(C460, ""en"", ""sk"")"),"Moderovaný")</f>
        <v>Moderovaný</v>
      </c>
      <c r="AD460" s="6" t="s">
        <v>132</v>
      </c>
      <c r="AE460" s="1" t="s">
        <v>9882</v>
      </c>
      <c r="AF460" s="1" t="s">
        <v>9883</v>
      </c>
      <c r="AG460" s="6" t="s">
        <v>132</v>
      </c>
      <c r="AH460" s="7" t="str">
        <f>IFERROR(__xludf.DUMMYFUNCTION("GOOGLETRANSLATE(C460, ""en"", ""tr"")"),"Ilımlı")</f>
        <v>Ilımlı</v>
      </c>
      <c r="AI460" s="6" t="s">
        <v>9884</v>
      </c>
      <c r="AJ460" s="6" t="s">
        <v>9885</v>
      </c>
      <c r="AK460" s="7" t="str">
        <f>IFERROR(__xludf.DUMMYFUNCTION("GOOGLETRANSLATE(C460, ""en"", ""zh"")"),"适度")</f>
        <v>适度</v>
      </c>
      <c r="AL460" s="6" t="s">
        <v>5244</v>
      </c>
    </row>
    <row r="461" ht="15.75" customHeight="1">
      <c r="A461" s="1" t="s">
        <v>127</v>
      </c>
      <c r="B461" s="1" t="s">
        <v>9886</v>
      </c>
      <c r="C461" s="1" t="s">
        <v>9887</v>
      </c>
      <c r="D461" s="8" t="s">
        <v>9888</v>
      </c>
      <c r="E461" s="1" t="s">
        <v>9889</v>
      </c>
      <c r="F461" s="6" t="s">
        <v>132</v>
      </c>
      <c r="G461" s="1" t="s">
        <v>9890</v>
      </c>
      <c r="H461" s="1" t="s">
        <v>9891</v>
      </c>
      <c r="I461" s="1" t="s">
        <v>9892</v>
      </c>
      <c r="J461" s="6" t="s">
        <v>9893</v>
      </c>
      <c r="K461" s="1" t="s">
        <v>9894</v>
      </c>
      <c r="L461" s="1" t="s">
        <v>9895</v>
      </c>
      <c r="M461" s="1" t="s">
        <v>9896</v>
      </c>
      <c r="N461" s="6" t="s">
        <v>132</v>
      </c>
      <c r="O461" s="6" t="s">
        <v>9897</v>
      </c>
      <c r="P461" s="1" t="s">
        <v>9898</v>
      </c>
      <c r="Q461" s="1" t="s">
        <v>9899</v>
      </c>
      <c r="R461" s="1" t="s">
        <v>9900</v>
      </c>
      <c r="S461" s="10" t="s">
        <v>9901</v>
      </c>
      <c r="T461" s="1" t="s">
        <v>9902</v>
      </c>
      <c r="U461" s="1" t="s">
        <v>9903</v>
      </c>
      <c r="V461" s="1" t="s">
        <v>9904</v>
      </c>
      <c r="W461" s="1" t="s">
        <v>9905</v>
      </c>
      <c r="X461" s="1" t="s">
        <v>9906</v>
      </c>
      <c r="Y461" s="1" t="s">
        <v>9907</v>
      </c>
      <c r="Z461" s="1" t="s">
        <v>9908</v>
      </c>
      <c r="AA461" s="1" t="s">
        <v>9909</v>
      </c>
      <c r="AB461" s="1" t="s">
        <v>9910</v>
      </c>
      <c r="AC461" s="1" t="s">
        <v>9911</v>
      </c>
      <c r="AD461" s="6" t="s">
        <v>9912</v>
      </c>
      <c r="AE461" s="1" t="s">
        <v>9913</v>
      </c>
      <c r="AF461" s="1" t="s">
        <v>9914</v>
      </c>
      <c r="AG461" s="6" t="s">
        <v>9915</v>
      </c>
      <c r="AH461" s="1" t="s">
        <v>9916</v>
      </c>
      <c r="AI461" s="6" t="s">
        <v>132</v>
      </c>
      <c r="AJ461" s="6" t="s">
        <v>9917</v>
      </c>
      <c r="AK461" s="1" t="s">
        <v>9918</v>
      </c>
      <c r="AL461" s="6" t="s">
        <v>9919</v>
      </c>
    </row>
    <row r="462" ht="15.75" hidden="1" customHeight="1">
      <c r="A462" s="1" t="s">
        <v>38</v>
      </c>
      <c r="B462" s="1" t="s">
        <v>9920</v>
      </c>
      <c r="C462" s="1" t="s">
        <v>9921</v>
      </c>
      <c r="D462" s="8" t="s">
        <v>9922</v>
      </c>
      <c r="E462" s="1" t="s">
        <v>9923</v>
      </c>
      <c r="F462" s="6" t="s">
        <v>9924</v>
      </c>
      <c r="G462" s="7" t="str">
        <f>IFERROR(__xludf.DUMMYFUNCTION("GOOGLETRANSLATE(C462, ""en"", ""cs"")"),"Opakovat dešifrování")</f>
        <v>Opakovat dešifrování</v>
      </c>
      <c r="H462" s="7" t="str">
        <f>IFERROR(__xludf.DUMMYFUNCTION("GOOGLETRANSLATE(C462, ""en"", ""da"")"),"Prøv igen dekryptering")</f>
        <v>Prøv igen dekryptering</v>
      </c>
      <c r="I462" s="1" t="s">
        <v>9925</v>
      </c>
      <c r="J462" s="6" t="s">
        <v>132</v>
      </c>
      <c r="K462" s="1" t="s">
        <v>9926</v>
      </c>
      <c r="L462" s="7" t="str">
        <f>IFERROR(__xludf.DUMMYFUNCTION("GOOGLETRANSLATE(C462, ""en"", ""fi"")"),"Yritä uudelleen salauksen purku")</f>
        <v>Yritä uudelleen salauksen purku</v>
      </c>
      <c r="M462" s="1" t="s">
        <v>9927</v>
      </c>
      <c r="N462" s="6" t="s">
        <v>9928</v>
      </c>
      <c r="O462" s="6" t="s">
        <v>132</v>
      </c>
      <c r="P462" s="1" t="s">
        <v>9929</v>
      </c>
      <c r="Q462" s="7" t="str">
        <f>IFERROR(__xludf.DUMMYFUNCTION("GOOGLETRANSLATE(C462, ""en"", ""in"")"),"Coba lagi dekripsi.")</f>
        <v>Coba lagi dekripsi.</v>
      </c>
      <c r="R462" s="1" t="s">
        <v>9930</v>
      </c>
      <c r="S462" s="6" t="s">
        <v>132</v>
      </c>
      <c r="T462" s="1" t="s">
        <v>9931</v>
      </c>
      <c r="U462" s="7" t="str">
        <f>IFERROR(__xludf.DUMMYFUNCTION("GOOGLETRANSLATE(C462, ""en"", ""ko"")"),"복호 해독 재시도")</f>
        <v>복호 해독 재시도</v>
      </c>
      <c r="V462" s="7" t="str">
        <f>IFERROR(__xludf.DUMMYFUNCTION("GOOGLETRANSLATE(C462, ""en"", ""ms"")"),"Retry Decryption.")</f>
        <v>Retry Decryption.</v>
      </c>
      <c r="W462" s="1" t="s">
        <v>9932</v>
      </c>
      <c r="X462" s="7" t="str">
        <f>IFERROR(__xludf.DUMMYFUNCTION("GOOGLETRANSLATE(C462, ""en"", ""no"")"),"Retry dekryptering")</f>
        <v>Retry dekryptering</v>
      </c>
      <c r="Y462" s="1" t="s">
        <v>9933</v>
      </c>
      <c r="Z462" s="7" t="str">
        <f>IFERROR(__xludf.DUMMYFUNCTION("GOOGLETRANSLATE(C462, ""en"", ""pt"")"),"Repita a descriptografia")</f>
        <v>Repita a descriptografia</v>
      </c>
      <c r="AA462" s="7" t="str">
        <f>IFERROR(__xludf.DUMMYFUNCTION("GOOGLETRANSLATE(C462, ""en"", ""ro"")"),"Reîncercați decriptarea")</f>
        <v>Reîncercați decriptarea</v>
      </c>
      <c r="AB462" s="1" t="s">
        <v>9934</v>
      </c>
      <c r="AC462" s="7" t="str">
        <f>IFERROR(__xludf.DUMMYFUNCTION("GOOGLETRANSLATE(C462, ""en"", ""sk"")"),"Opakovať dešifrovanie")</f>
        <v>Opakovať dešifrovanie</v>
      </c>
      <c r="AD462" s="6" t="s">
        <v>132</v>
      </c>
      <c r="AE462" s="1" t="s">
        <v>9935</v>
      </c>
      <c r="AF462" s="1" t="s">
        <v>9936</v>
      </c>
      <c r="AG462" s="6" t="s">
        <v>132</v>
      </c>
      <c r="AH462" s="7" t="str">
        <f>IFERROR(__xludf.DUMMYFUNCTION("GOOGLETRANSLATE(C462, ""en"", ""tr"")"),"Yeniden deneme şifresi")</f>
        <v>Yeniden deneme şifresi</v>
      </c>
      <c r="AI462" s="6" t="s">
        <v>9937</v>
      </c>
      <c r="AJ462" s="6" t="s">
        <v>132</v>
      </c>
      <c r="AK462" s="7" t="str">
        <f>IFERROR(__xludf.DUMMYFUNCTION("GOOGLETRANSLATE(C462, ""en"", ""zh"")"),"重试解密")</f>
        <v>重试解密</v>
      </c>
      <c r="AL462" s="6" t="s">
        <v>9938</v>
      </c>
    </row>
    <row r="463" ht="15.75" customHeight="1">
      <c r="A463" s="1" t="s">
        <v>127</v>
      </c>
      <c r="B463" s="1" t="s">
        <v>9939</v>
      </c>
      <c r="C463" s="1" t="s">
        <v>3459</v>
      </c>
      <c r="D463" s="8" t="s">
        <v>9940</v>
      </c>
      <c r="E463" s="1" t="s">
        <v>3460</v>
      </c>
      <c r="F463" s="6" t="s">
        <v>132</v>
      </c>
      <c r="G463" s="1" t="s">
        <v>9941</v>
      </c>
      <c r="H463" s="1" t="s">
        <v>3461</v>
      </c>
      <c r="I463" s="1" t="s">
        <v>3461</v>
      </c>
      <c r="J463" s="6" t="s">
        <v>9942</v>
      </c>
      <c r="K463" s="1" t="s">
        <v>3462</v>
      </c>
      <c r="L463" s="1" t="s">
        <v>9943</v>
      </c>
      <c r="M463" s="1" t="s">
        <v>9944</v>
      </c>
      <c r="N463" s="6" t="s">
        <v>132</v>
      </c>
      <c r="O463" s="6" t="s">
        <v>9945</v>
      </c>
      <c r="P463" s="1" t="s">
        <v>3464</v>
      </c>
      <c r="Q463" s="1" t="s">
        <v>9946</v>
      </c>
      <c r="R463" s="1" t="s">
        <v>3463</v>
      </c>
      <c r="S463" s="10" t="s">
        <v>9947</v>
      </c>
      <c r="T463" s="1" t="s">
        <v>3466</v>
      </c>
      <c r="U463" s="1" t="s">
        <v>9948</v>
      </c>
      <c r="V463" s="1" t="s">
        <v>9946</v>
      </c>
      <c r="W463" s="1" t="s">
        <v>3461</v>
      </c>
      <c r="X463" s="1" t="s">
        <v>3461</v>
      </c>
      <c r="Y463" s="1" t="s">
        <v>3467</v>
      </c>
      <c r="Z463" s="1" t="s">
        <v>9949</v>
      </c>
      <c r="AA463" s="1" t="s">
        <v>9950</v>
      </c>
      <c r="AB463" s="1" t="s">
        <v>3460</v>
      </c>
      <c r="AC463" s="1" t="s">
        <v>9951</v>
      </c>
      <c r="AD463" s="6" t="s">
        <v>9950</v>
      </c>
      <c r="AE463" s="1" t="s">
        <v>9950</v>
      </c>
      <c r="AF463" s="1" t="s">
        <v>3461</v>
      </c>
      <c r="AG463" s="6" t="s">
        <v>9952</v>
      </c>
      <c r="AH463" s="1" t="s">
        <v>9953</v>
      </c>
      <c r="AI463" s="6" t="s">
        <v>132</v>
      </c>
      <c r="AJ463" s="6" t="s">
        <v>9954</v>
      </c>
      <c r="AK463" s="1" t="s">
        <v>9955</v>
      </c>
      <c r="AL463" s="6" t="s">
        <v>9956</v>
      </c>
    </row>
    <row r="464" ht="15.75" hidden="1" customHeight="1">
      <c r="A464" s="1" t="s">
        <v>38</v>
      </c>
      <c r="B464" s="1" t="s">
        <v>9957</v>
      </c>
      <c r="C464" s="1" t="s">
        <v>9958</v>
      </c>
      <c r="D464" s="8" t="s">
        <v>9959</v>
      </c>
      <c r="E464" s="1" t="s">
        <v>9960</v>
      </c>
      <c r="F464" s="6" t="s">
        <v>9961</v>
      </c>
      <c r="G464" s="7" t="str">
        <f>IFERROR(__xludf.DUMMYFUNCTION("GOOGLETRANSLATE(C464, ""en"", ""cs"")"),"Aktuální heslo")</f>
        <v>Aktuální heslo</v>
      </c>
      <c r="H464" s="7" t="str">
        <f>IFERROR(__xludf.DUMMYFUNCTION("GOOGLETRANSLATE(C464, ""en"", ""da"")"),"Nuværende kodeord")</f>
        <v>Nuværende kodeord</v>
      </c>
      <c r="I464" s="1" t="s">
        <v>9962</v>
      </c>
      <c r="J464" s="6" t="s">
        <v>132</v>
      </c>
      <c r="K464" s="1" t="s">
        <v>9963</v>
      </c>
      <c r="L464" s="7" t="str">
        <f>IFERROR(__xludf.DUMMYFUNCTION("GOOGLETRANSLATE(C464, ""en"", ""fi"")"),"Nykyinen salasana")</f>
        <v>Nykyinen salasana</v>
      </c>
      <c r="M464" s="1" t="s">
        <v>9964</v>
      </c>
      <c r="N464" s="6" t="s">
        <v>9965</v>
      </c>
      <c r="O464" s="6" t="s">
        <v>132</v>
      </c>
      <c r="P464" s="1" t="s">
        <v>9966</v>
      </c>
      <c r="Q464" s="9" t="s">
        <v>9967</v>
      </c>
      <c r="R464" s="1" t="s">
        <v>9968</v>
      </c>
      <c r="S464" s="6" t="s">
        <v>132</v>
      </c>
      <c r="T464" s="1" t="s">
        <v>9969</v>
      </c>
      <c r="U464" s="1" t="s">
        <v>9970</v>
      </c>
      <c r="V464" s="7" t="str">
        <f>IFERROR(__xludf.DUMMYFUNCTION("GOOGLETRANSLATE(C464, ""en"", ""ms"")"),"Kata Laluan semasa.")</f>
        <v>Kata Laluan semasa.</v>
      </c>
      <c r="W464" s="1" t="s">
        <v>9971</v>
      </c>
      <c r="X464" s="7" t="str">
        <f>IFERROR(__xludf.DUMMYFUNCTION("GOOGLETRANSLATE(C464, ""en"", ""no"")"),"Nåværende passord")</f>
        <v>Nåværende passord</v>
      </c>
      <c r="Y464" s="1" t="s">
        <v>9972</v>
      </c>
      <c r="Z464" s="1" t="s">
        <v>9973</v>
      </c>
      <c r="AA464" s="7" t="str">
        <f>IFERROR(__xludf.DUMMYFUNCTION("GOOGLETRANSLATE(C464, ""en"", ""ro"")"),"Parola actuală")</f>
        <v>Parola actuală</v>
      </c>
      <c r="AB464" s="1" t="s">
        <v>9974</v>
      </c>
      <c r="AC464" s="1" t="s">
        <v>9975</v>
      </c>
      <c r="AD464" s="6" t="s">
        <v>132</v>
      </c>
      <c r="AE464" s="1" t="s">
        <v>9976</v>
      </c>
      <c r="AF464" s="1" t="s">
        <v>9977</v>
      </c>
      <c r="AG464" s="6" t="s">
        <v>132</v>
      </c>
      <c r="AH464" s="7" t="str">
        <f>IFERROR(__xludf.DUMMYFUNCTION("GOOGLETRANSLATE(C464, ""en"", ""tr"")"),"Şimdiki Şifre")</f>
        <v>Şimdiki Şifre</v>
      </c>
      <c r="AI464" s="6" t="s">
        <v>9978</v>
      </c>
      <c r="AJ464" s="6" t="s">
        <v>9979</v>
      </c>
      <c r="AK464" s="7" t="str">
        <f>IFERROR(__xludf.DUMMYFUNCTION("GOOGLETRANSLATE(C464, ""en"", ""zh"")"),"当前密码")</f>
        <v>当前密码</v>
      </c>
      <c r="AL464" s="6" t="s">
        <v>9980</v>
      </c>
    </row>
    <row r="465" ht="15.75" customHeight="1">
      <c r="A465" s="1" t="s">
        <v>127</v>
      </c>
      <c r="B465" s="1" t="s">
        <v>9981</v>
      </c>
      <c r="C465" s="1" t="s">
        <v>9982</v>
      </c>
      <c r="D465" s="8" t="s">
        <v>9983</v>
      </c>
      <c r="E465" s="1" t="s">
        <v>9984</v>
      </c>
      <c r="F465" s="6" t="s">
        <v>132</v>
      </c>
      <c r="G465" s="1" t="s">
        <v>9985</v>
      </c>
      <c r="H465" s="1" t="s">
        <v>9986</v>
      </c>
      <c r="I465" s="1" t="s">
        <v>9987</v>
      </c>
      <c r="J465" s="6" t="s">
        <v>9988</v>
      </c>
      <c r="K465" s="1" t="s">
        <v>9989</v>
      </c>
      <c r="L465" s="1" t="s">
        <v>9990</v>
      </c>
      <c r="M465" s="1" t="s">
        <v>9991</v>
      </c>
      <c r="N465" s="6" t="s">
        <v>132</v>
      </c>
      <c r="O465" s="6" t="s">
        <v>9992</v>
      </c>
      <c r="P465" s="1" t="s">
        <v>9993</v>
      </c>
      <c r="Q465" s="1" t="s">
        <v>9994</v>
      </c>
      <c r="R465" s="1" t="s">
        <v>9995</v>
      </c>
      <c r="S465" s="10" t="s">
        <v>9996</v>
      </c>
      <c r="T465" s="1" t="s">
        <v>9997</v>
      </c>
      <c r="U465" s="1" t="s">
        <v>9998</v>
      </c>
      <c r="V465" s="1" t="s">
        <v>9994</v>
      </c>
      <c r="W465" s="1" t="s">
        <v>9999</v>
      </c>
      <c r="X465" s="1" t="s">
        <v>10000</v>
      </c>
      <c r="Y465" s="1" t="s">
        <v>10001</v>
      </c>
      <c r="Z465" s="1" t="s">
        <v>9989</v>
      </c>
      <c r="AA465" s="1" t="s">
        <v>10002</v>
      </c>
      <c r="AB465" s="1" t="s">
        <v>10003</v>
      </c>
      <c r="AC465" s="1" t="s">
        <v>10004</v>
      </c>
      <c r="AD465" s="6" t="s">
        <v>10005</v>
      </c>
      <c r="AE465" s="1" t="s">
        <v>10006</v>
      </c>
      <c r="AF465" s="1" t="s">
        <v>10007</v>
      </c>
      <c r="AG465" s="6" t="s">
        <v>10008</v>
      </c>
      <c r="AH465" s="1" t="s">
        <v>10009</v>
      </c>
      <c r="AI465" s="6" t="s">
        <v>132</v>
      </c>
      <c r="AJ465" s="6" t="s">
        <v>10010</v>
      </c>
      <c r="AK465" s="1" t="s">
        <v>10011</v>
      </c>
      <c r="AL465" s="6" t="s">
        <v>132</v>
      </c>
    </row>
    <row r="466" ht="15.75" hidden="1" customHeight="1">
      <c r="A466" s="1" t="s">
        <v>38</v>
      </c>
      <c r="B466" s="1" t="s">
        <v>10012</v>
      </c>
      <c r="C466" s="1" t="s">
        <v>10013</v>
      </c>
      <c r="D466" s="7" t="str">
        <f>IFERROR(__xludf.DUMMYFUNCTION("GOOGLETRANSLATE(C466, ""en"", ""ar"")"),"أنت على وشك التحقق من مفاتيح OMEMO الخاصة ب٪ 1 $ S بعد النقر على رابط. هذا آمن فقط إذا اتبعت هذا الرابط من مصدر موثوق به حيث يمكن فقط نشر NO٪ 2 $ S هذا الرابط.")</f>
        <v>أنت على وشك التحقق من مفاتيح OMEMO الخاصة ب٪ 1 $ S بعد النقر على رابط. هذا آمن فقط إذا اتبعت هذا الرابط من مصدر موثوق به حيث يمكن فقط نشر NO٪ 2 $ S هذا الرابط.</v>
      </c>
      <c r="E466" s="1" t="s">
        <v>10014</v>
      </c>
      <c r="F466" s="6" t="s">
        <v>10015</v>
      </c>
      <c r="G466" s="7" t="str">
        <f>IFERROR(__xludf.DUMMYFUNCTION("GOOGLETRANSLATE(C466, ""en"", ""cs"")"),"Chystáte se ověřit klíče Omemo% 1 $ s po kliknutí na odkaz. To je pouze zabezpečené, pokud sledujete tento odkaz z důvěryhodného zdroje, kde pouze% 2 $ S mohlo zveřejnit tento odkaz.")</f>
        <v>Chystáte se ověřit klíče Omemo% 1 $ s po kliknutí na odkaz. To je pouze zabezpečené, pokud sledujete tento odkaz z důvěryhodného zdroje, kde pouze% 2 $ S mohlo zveřejnit tento odkaz.</v>
      </c>
      <c r="H466" s="7" t="str">
        <f>IFERROR(__xludf.DUMMYFUNCTION("GOOGLETRANSLATE(C466, ""en"", ""da"")"),"Du er ved at bekræfte OMEMO-tasterne på% 1 $ s efter at have klikket på et link. Dette er kun sikkert, hvis du fulgte dette link fra en betroet kilde, hvor kun% 2 $ s kunne have udgivet dette link.")</f>
        <v>Du er ved at bekræfte OMEMO-tasterne på% 1 $ s efter at have klikket på et link. Dette er kun sikkert, hvis du fulgte dette link fra en betroet kilde, hvor kun% 2 $ s kunne have udgivet dette link.</v>
      </c>
      <c r="I466" s="1" t="s">
        <v>10016</v>
      </c>
      <c r="J466" s="6" t="s">
        <v>132</v>
      </c>
      <c r="K466" s="1" t="s">
        <v>10017</v>
      </c>
      <c r="L466" s="13" t="s">
        <v>10018</v>
      </c>
      <c r="M466" s="1" t="s">
        <v>10019</v>
      </c>
      <c r="N466" s="6" t="s">
        <v>10020</v>
      </c>
      <c r="O466" s="6" t="s">
        <v>132</v>
      </c>
      <c r="P466" s="1" t="s">
        <v>10021</v>
      </c>
      <c r="Q466" s="7" t="str">
        <f>IFERROR(__xludf.DUMMYFUNCTION("GOOGLETRANSLATE(C466, ""en"", ""in"")"),"Anda akan memverifikasi kunci Omemo dari% 1 $ S setelah mengklik tautan. Ini hanya aman jika Anda mengikuti tautan ini dari sumber tepercaya di mana hanya% 2 $ S dapat menerbitkan tautan ini.")</f>
        <v>Anda akan memverifikasi kunci Omemo dari% 1 $ S setelah mengklik tautan. Ini hanya aman jika Anda mengikuti tautan ini dari sumber tepercaya di mana hanya% 2 $ S dapat menerbitkan tautan ini.</v>
      </c>
      <c r="R466" s="1" t="s">
        <v>10022</v>
      </c>
      <c r="S466" s="6" t="s">
        <v>132</v>
      </c>
      <c r="T466" s="1" t="s">
        <v>10023</v>
      </c>
      <c r="U466" s="1" t="s">
        <v>10024</v>
      </c>
      <c r="V466" s="7" t="str">
        <f>IFERROR(__xludf.DUMMYFUNCTION("GOOGLETRANSLATE(C466, ""en"", ""ms"")"),"Anda akan mengesahkan kunci Omemo sebanyak% 1 $ S selepas mengklik pautan. Ini hanya selamat jika anda mengikuti pautan ini dari sumber yang dipercayai di mana hanya% 2 $ S boleh menerbitkan pautan ini.")</f>
        <v>Anda akan mengesahkan kunci Omemo sebanyak% 1 $ S selepas mengklik pautan. Ini hanya selamat jika anda mengikuti pautan ini dari sumber yang dipercayai di mana hanya% 2 $ S boleh menerbitkan pautan ini.</v>
      </c>
      <c r="W466" s="1" t="s">
        <v>10025</v>
      </c>
      <c r="X466" s="13" t="s">
        <v>10026</v>
      </c>
      <c r="Y466" s="1" t="s">
        <v>10027</v>
      </c>
      <c r="Z466" s="7" t="str">
        <f>IFERROR(__xludf.DUMMYFUNCTION("GOOGLETRANSLATE(C466, ""en"", ""pt"")"),"Você está prestes a verificar as teclas OMEMO de% 1 $ s depois de clicar em um link. Isso só é seguro se você seguiu este link de uma fonte confiável, onde apenas% 2 $ S poderia ter publicado este link.")</f>
        <v>Você está prestes a verificar as teclas OMEMO de% 1 $ s depois de clicar em um link. Isso só é seguro se você seguiu este link de uma fonte confiável, onde apenas% 2 $ S poderia ter publicado este link.</v>
      </c>
      <c r="AA466" s="7" t="str">
        <f>IFERROR(__xludf.DUMMYFUNCTION("GOOGLETRANSLATE(C466, ""en"", ""ro"")"),"Sunteți pe cale să verificați cheile de omemo de% 1 $ după ce faceți clic pe un link. Acest lucru este sigur numai dacă ați urmat acest link de la o sursă de încredere în care numai% 2 $ s ar fi putut publica acest link.")</f>
        <v>Sunteți pe cale să verificați cheile de omemo de% 1 $ după ce faceți clic pe un link. Acest lucru este sigur numai dacă ați urmat acest link de la o sursă de încredere în care numai% 2 $ s ar fi putut publica acest link.</v>
      </c>
      <c r="AB466" s="1" t="s">
        <v>10028</v>
      </c>
      <c r="AC466" s="7" t="str">
        <f>IFERROR(__xludf.DUMMYFUNCTION("GOOGLETRANSLATE(C466, ""en"", ""sk"")"),"Po kliknutí na prepojenie sa chystáte overiť klávesy OMEMO% 1 $ s. To je bezpečné len vtedy, ak ste nasledovali tento odkaz z dôveryhodného zdroja, kde len% 2 $ s mohlo zverejniť tento odkaz.")</f>
        <v>Po kliknutí na prepojenie sa chystáte overiť klávesy OMEMO% 1 $ s. To je bezpečné len vtedy, ak ste nasledovali tento odkaz z dôveryhodného zdroja, kde len% 2 $ s mohlo zverejniť tento odkaz.</v>
      </c>
      <c r="AD466" s="6" t="s">
        <v>132</v>
      </c>
      <c r="AE466" s="7" t="str">
        <f>IFERROR(__xludf.DUMMYFUNCTION("GOOGLETRANSLATE(C466, ""en"", ""sr"")"),"Ускоро ћете проверити омемо кључеве од% 1 $ с након клика на везу. Ово је само сигурно ако сте пратили ову везу из поузданог извора где је само% 2 $ С могао да објави ову везу.")</f>
        <v>Ускоро ћете проверити омемо кључеве од% 1 $ с након клика на везу. Ово је само сигурно ако сте пратили ову везу из поузданог извора где је само% 2 $ С могао да објави ову везу.</v>
      </c>
      <c r="AF466" s="1" t="s">
        <v>10029</v>
      </c>
      <c r="AG466" s="6" t="s">
        <v>132</v>
      </c>
      <c r="AH466" s="13" t="s">
        <v>10030</v>
      </c>
      <c r="AI466" s="6" t="s">
        <v>10031</v>
      </c>
      <c r="AJ466" s="6" t="s">
        <v>132</v>
      </c>
      <c r="AK466" s="7" t="str">
        <f>IFERROR(__xludf.DUMMYFUNCTION("GOOGLETRANSLATE(C466, ""en"", ""zh"")"),"您即将在单击链接后验证％1 $ s的omemo键。如果您从受信任的源遵循此链接，则才能安全，其中只有2美元可以发布此链接。")</f>
        <v>您即将在单击链接后验证％1 $ s的omemo键。如果您从受信任的源遵循此链接，则才能安全，其中只有2美元可以发布此链接。</v>
      </c>
      <c r="AL466" s="6" t="s">
        <v>10032</v>
      </c>
    </row>
    <row r="467" ht="15.75" customHeight="1">
      <c r="A467" s="1" t="s">
        <v>127</v>
      </c>
      <c r="B467" s="1" t="s">
        <v>10033</v>
      </c>
      <c r="C467" s="1" t="s">
        <v>10034</v>
      </c>
      <c r="D467" s="8" t="s">
        <v>10035</v>
      </c>
      <c r="E467" s="1" t="s">
        <v>10034</v>
      </c>
      <c r="F467" s="6" t="s">
        <v>132</v>
      </c>
      <c r="G467" s="1" t="s">
        <v>10034</v>
      </c>
      <c r="H467" s="1" t="s">
        <v>10034</v>
      </c>
      <c r="I467" s="1" t="s">
        <v>10034</v>
      </c>
      <c r="J467" s="6" t="s">
        <v>10034</v>
      </c>
      <c r="K467" s="1" t="s">
        <v>10034</v>
      </c>
      <c r="L467" s="1" t="s">
        <v>10034</v>
      </c>
      <c r="M467" s="1" t="s">
        <v>10034</v>
      </c>
      <c r="N467" s="6" t="s">
        <v>132</v>
      </c>
      <c r="O467" s="6" t="s">
        <v>10036</v>
      </c>
      <c r="P467" s="1" t="s">
        <v>10034</v>
      </c>
      <c r="Q467" s="1" t="s">
        <v>10034</v>
      </c>
      <c r="R467" s="1" t="s">
        <v>10034</v>
      </c>
      <c r="S467" s="10" t="s">
        <v>10037</v>
      </c>
      <c r="T467" s="1" t="s">
        <v>10034</v>
      </c>
      <c r="U467" s="1" t="s">
        <v>10034</v>
      </c>
      <c r="V467" s="1" t="s">
        <v>10034</v>
      </c>
      <c r="W467" s="1" t="s">
        <v>10034</v>
      </c>
      <c r="X467" s="1" t="s">
        <v>10034</v>
      </c>
      <c r="Y467" s="1" t="s">
        <v>10034</v>
      </c>
      <c r="Z467" s="1" t="s">
        <v>10034</v>
      </c>
      <c r="AA467" s="1" t="s">
        <v>10034</v>
      </c>
      <c r="AB467" s="1" t="s">
        <v>10038</v>
      </c>
      <c r="AC467" s="1" t="s">
        <v>10034</v>
      </c>
      <c r="AD467" s="6" t="s">
        <v>10034</v>
      </c>
      <c r="AE467" s="1" t="s">
        <v>10034</v>
      </c>
      <c r="AF467" s="1" t="s">
        <v>10034</v>
      </c>
      <c r="AG467" s="6" t="s">
        <v>10039</v>
      </c>
      <c r="AH467" s="1" t="s">
        <v>10040</v>
      </c>
      <c r="AI467" s="6" t="s">
        <v>132</v>
      </c>
      <c r="AJ467" s="6" t="s">
        <v>10034</v>
      </c>
      <c r="AK467" s="1" t="s">
        <v>10041</v>
      </c>
      <c r="AL467" s="6" t="s">
        <v>10042</v>
      </c>
    </row>
    <row r="468" ht="15.75" customHeight="1">
      <c r="A468" s="1" t="s">
        <v>127</v>
      </c>
      <c r="B468" s="1" t="s">
        <v>10043</v>
      </c>
      <c r="C468" s="1" t="s">
        <v>10044</v>
      </c>
      <c r="D468" s="1" t="s">
        <v>10044</v>
      </c>
      <c r="E468" s="1" t="s">
        <v>10044</v>
      </c>
      <c r="F468" s="6" t="s">
        <v>132</v>
      </c>
      <c r="G468" s="1" t="s">
        <v>10044</v>
      </c>
      <c r="H468" s="1" t="s">
        <v>10044</v>
      </c>
      <c r="I468" s="1" t="s">
        <v>10044</v>
      </c>
      <c r="J468" s="6" t="s">
        <v>10045</v>
      </c>
      <c r="K468" s="1" t="s">
        <v>10044</v>
      </c>
      <c r="L468" s="1" t="s">
        <v>10044</v>
      </c>
      <c r="M468" s="1" t="s">
        <v>10044</v>
      </c>
      <c r="N468" s="6" t="s">
        <v>132</v>
      </c>
      <c r="O468" s="6" t="s">
        <v>10046</v>
      </c>
      <c r="P468" s="1" t="s">
        <v>10044</v>
      </c>
      <c r="Q468" s="1" t="s">
        <v>10044</v>
      </c>
      <c r="R468" s="1" t="s">
        <v>10047</v>
      </c>
      <c r="S468" s="10" t="s">
        <v>10048</v>
      </c>
      <c r="T468" s="1" t="s">
        <v>10049</v>
      </c>
      <c r="U468" s="1" t="s">
        <v>10050</v>
      </c>
      <c r="V468" s="1" t="s">
        <v>10044</v>
      </c>
      <c r="W468" s="1" t="s">
        <v>10044</v>
      </c>
      <c r="X468" s="1" t="s">
        <v>10044</v>
      </c>
      <c r="Y468" s="1" t="s">
        <v>10051</v>
      </c>
      <c r="Z468" s="1" t="s">
        <v>10052</v>
      </c>
      <c r="AA468" s="1" t="s">
        <v>10044</v>
      </c>
      <c r="AB468" s="1" t="s">
        <v>10044</v>
      </c>
      <c r="AC468" s="1" t="s">
        <v>10044</v>
      </c>
      <c r="AD468" s="6" t="s">
        <v>10044</v>
      </c>
      <c r="AE468" s="1" t="s">
        <v>10044</v>
      </c>
      <c r="AF468" s="1" t="s">
        <v>10044</v>
      </c>
      <c r="AG468" s="6" t="s">
        <v>10044</v>
      </c>
      <c r="AH468" s="1" t="s">
        <v>10053</v>
      </c>
      <c r="AI468" s="6" t="s">
        <v>132</v>
      </c>
      <c r="AJ468" s="6" t="s">
        <v>10054</v>
      </c>
      <c r="AK468" s="1" t="s">
        <v>10055</v>
      </c>
      <c r="AL468" s="6" t="s">
        <v>10056</v>
      </c>
    </row>
    <row r="469" ht="15.75" customHeight="1">
      <c r="A469" s="1" t="s">
        <v>127</v>
      </c>
      <c r="B469" s="1" t="s">
        <v>10057</v>
      </c>
      <c r="C469" s="1" t="s">
        <v>10058</v>
      </c>
      <c r="D469" s="8" t="s">
        <v>10059</v>
      </c>
      <c r="E469" s="1" t="s">
        <v>10060</v>
      </c>
      <c r="F469" s="6" t="s">
        <v>132</v>
      </c>
      <c r="G469" s="1" t="s">
        <v>10061</v>
      </c>
      <c r="H469" s="1" t="s">
        <v>10062</v>
      </c>
      <c r="I469" s="1" t="s">
        <v>10063</v>
      </c>
      <c r="J469" s="6" t="s">
        <v>10064</v>
      </c>
      <c r="K469" s="1" t="s">
        <v>10065</v>
      </c>
      <c r="L469" s="1" t="s">
        <v>10066</v>
      </c>
      <c r="M469" s="1" t="s">
        <v>10067</v>
      </c>
      <c r="N469" s="6" t="s">
        <v>132</v>
      </c>
      <c r="O469" s="6" t="s">
        <v>10068</v>
      </c>
      <c r="P469" s="1" t="s">
        <v>10069</v>
      </c>
      <c r="Q469" s="1" t="s">
        <v>10070</v>
      </c>
      <c r="R469" s="1" t="s">
        <v>10071</v>
      </c>
      <c r="S469" s="10" t="s">
        <v>10072</v>
      </c>
      <c r="T469" s="1" t="s">
        <v>10073</v>
      </c>
      <c r="U469" s="1" t="s">
        <v>10074</v>
      </c>
      <c r="V469" s="1" t="s">
        <v>10070</v>
      </c>
      <c r="W469" s="1" t="s">
        <v>10075</v>
      </c>
      <c r="X469" s="1" t="s">
        <v>10076</v>
      </c>
      <c r="Y469" s="1" t="s">
        <v>10077</v>
      </c>
      <c r="Z469" s="1" t="s">
        <v>10065</v>
      </c>
      <c r="AA469" s="1" t="s">
        <v>10078</v>
      </c>
      <c r="AB469" s="1" t="s">
        <v>10079</v>
      </c>
      <c r="AC469" s="1" t="s">
        <v>10080</v>
      </c>
      <c r="AD469" s="6" t="s">
        <v>10081</v>
      </c>
      <c r="AE469" s="1" t="s">
        <v>10082</v>
      </c>
      <c r="AF469" s="1" t="s">
        <v>10083</v>
      </c>
      <c r="AG469" s="6" t="s">
        <v>10084</v>
      </c>
      <c r="AH469" s="1" t="s">
        <v>10085</v>
      </c>
      <c r="AI469" s="6" t="s">
        <v>132</v>
      </c>
      <c r="AJ469" s="6" t="s">
        <v>10086</v>
      </c>
      <c r="AK469" s="1" t="s">
        <v>10087</v>
      </c>
      <c r="AL469" s="6" t="s">
        <v>10088</v>
      </c>
    </row>
    <row r="470" ht="15.75" hidden="1" customHeight="1">
      <c r="A470" s="1" t="s">
        <v>38</v>
      </c>
      <c r="B470" s="1" t="s">
        <v>10089</v>
      </c>
      <c r="C470" s="1" t="s">
        <v>10090</v>
      </c>
      <c r="D470" s="8" t="s">
        <v>10091</v>
      </c>
      <c r="E470" s="1" t="s">
        <v>10092</v>
      </c>
      <c r="F470" s="6" t="s">
        <v>10093</v>
      </c>
      <c r="G470" s="7" t="str">
        <f>IFERROR(__xludf.DUMMYFUNCTION("GOOGLETRANSLATE(C470, ""en"", ""cs"")"),"Toto zařízení již není používáno")</f>
        <v>Toto zařízení již není používáno</v>
      </c>
      <c r="H470" s="7" t="str">
        <f>IFERROR(__xludf.DUMMYFUNCTION("GOOGLETRANSLATE(C470, ""en"", ""da"")"),"Denne enhed er ikke længere i brug")</f>
        <v>Denne enhed er ikke længere i brug</v>
      </c>
      <c r="I470" s="1" t="s">
        <v>10094</v>
      </c>
      <c r="J470" s="6" t="s">
        <v>132</v>
      </c>
      <c r="K470" s="1" t="s">
        <v>10095</v>
      </c>
      <c r="L470" s="7" t="str">
        <f>IFERROR(__xludf.DUMMYFUNCTION("GOOGLETRANSLATE(C470, ""en"", ""fi"")"),"Tämä laite ei ole enää käytössä")</f>
        <v>Tämä laite ei ole enää käytössä</v>
      </c>
      <c r="M470" s="1" t="s">
        <v>10096</v>
      </c>
      <c r="N470" s="6" t="s">
        <v>10097</v>
      </c>
      <c r="O470" s="6" t="s">
        <v>132</v>
      </c>
      <c r="P470" s="1" t="s">
        <v>10098</v>
      </c>
      <c r="Q470" s="7" t="str">
        <f>IFERROR(__xludf.DUMMYFUNCTION("GOOGLETRANSLATE(C470, ""en"", ""in"")"),"Perangkat ini tidak lagi digunakan")</f>
        <v>Perangkat ini tidak lagi digunakan</v>
      </c>
      <c r="R470" s="1" t="s">
        <v>10099</v>
      </c>
      <c r="S470" s="6" t="s">
        <v>132</v>
      </c>
      <c r="T470" s="1" t="s">
        <v>10100</v>
      </c>
      <c r="U470" s="1" t="s">
        <v>10101</v>
      </c>
      <c r="V470" s="7" t="str">
        <f>IFERROR(__xludf.DUMMYFUNCTION("GOOGLETRANSLATE(C470, ""en"", ""ms"")"),"Peranti ini tidak lagi digunakan")</f>
        <v>Peranti ini tidak lagi digunakan</v>
      </c>
      <c r="W470" s="1" t="s">
        <v>10102</v>
      </c>
      <c r="X470" s="7" t="str">
        <f>IFERROR(__xludf.DUMMYFUNCTION("GOOGLETRANSLATE(C470, ""en"", ""no"")"),"Denne enheten er ikke lenger i bruk")</f>
        <v>Denne enheten er ikke lenger i bruk</v>
      </c>
      <c r="Y470" s="1" t="s">
        <v>10103</v>
      </c>
      <c r="Z470" s="1" t="s">
        <v>10104</v>
      </c>
      <c r="AA470" s="7" t="str">
        <f>IFERROR(__xludf.DUMMYFUNCTION("GOOGLETRANSLATE(C470, ""en"", ""ro"")"),"Acest dispozitiv nu mai este utilizat")</f>
        <v>Acest dispozitiv nu mai este utilizat</v>
      </c>
      <c r="AB470" s="1" t="s">
        <v>10105</v>
      </c>
      <c r="AC470" s="7" t="str">
        <f>IFERROR(__xludf.DUMMYFUNCTION("GOOGLETRANSLATE(C470, ""en"", ""sk"")"),"Toto zariadenie sa už nepoužíva")</f>
        <v>Toto zariadenie sa už nepoužíva</v>
      </c>
      <c r="AD470" s="6" t="s">
        <v>132</v>
      </c>
      <c r="AE470" s="1" t="s">
        <v>10106</v>
      </c>
      <c r="AF470" s="1" t="s">
        <v>10107</v>
      </c>
      <c r="AG470" s="6" t="s">
        <v>132</v>
      </c>
      <c r="AH470" s="7" t="str">
        <f>IFERROR(__xludf.DUMMYFUNCTION("GOOGLETRANSLATE(C470, ""en"", ""tr"")"),"Bu cihaz artık kullanımda değil")</f>
        <v>Bu cihaz artık kullanımda değil</v>
      </c>
      <c r="AI470" s="6" t="s">
        <v>10108</v>
      </c>
      <c r="AJ470" s="6" t="s">
        <v>132</v>
      </c>
      <c r="AK470" s="7" t="str">
        <f>IFERROR(__xludf.DUMMYFUNCTION("GOOGLETRANSLATE(C470, ""en"", ""zh"")"),"该设备不再使用")</f>
        <v>该设备不再使用</v>
      </c>
      <c r="AL470" s="6" t="s">
        <v>10109</v>
      </c>
    </row>
    <row r="471" ht="15.75" hidden="1" customHeight="1">
      <c r="A471" s="1" t="s">
        <v>5830</v>
      </c>
      <c r="B471" s="1" t="s">
        <v>10110</v>
      </c>
      <c r="C471" s="1" t="s">
        <v>10111</v>
      </c>
      <c r="D471" s="7" t="str">
        <f>IFERROR(__xludf.DUMMYFUNCTION("GOOGLETRANSLATE(C471, ""en"", ""ar"")"),"البقاء حتى الآن مع تغطية الأخبار العاجلة على مدار 24/7 وتنبيهات الأسعار الشخصية الخاصة بك.")</f>
        <v>البقاء حتى الآن مع تغطية الأخبار العاجلة على مدار 24/7 وتنبيهات الأسعار الشخصية الخاصة بك.</v>
      </c>
      <c r="E471" s="7" t="str">
        <f>IFERROR(__xludf.DUMMYFUNCTION("GOOGLETRANSLATE(C471, ""en"", ""bg"")"),"Бъдете в крак с 24/7 счупване на новини и лични сигнали за цените.")</f>
        <v>Бъдете в крак с 24/7 счупване на новини и лични сигнали за цените.</v>
      </c>
      <c r="F471" s="6" t="s">
        <v>132</v>
      </c>
      <c r="G471" s="7" t="str">
        <f>IFERROR(__xludf.DUMMYFUNCTION("GOOGLETRANSLATE(C471, ""en"", ""cs"")"),"Zůstaňte aktuální s 24/7 lámací zpravodajství a vaše osobní cenové upozornění.")</f>
        <v>Zůstaňte aktuální s 24/7 lámací zpravodajství a vaše osobní cenové upozornění.</v>
      </c>
      <c r="H471" s="1" t="s">
        <v>10112</v>
      </c>
      <c r="I471" s="1" t="s">
        <v>10113</v>
      </c>
      <c r="J471" s="6" t="s">
        <v>132</v>
      </c>
      <c r="K471" s="1" t="s">
        <v>10114</v>
      </c>
      <c r="L471" s="1" t="s">
        <v>10115</v>
      </c>
      <c r="M471" s="1" t="s">
        <v>10116</v>
      </c>
      <c r="N471" s="6" t="s">
        <v>132</v>
      </c>
      <c r="O471" s="6" t="s">
        <v>132</v>
      </c>
      <c r="P471" s="1" t="s">
        <v>10117</v>
      </c>
      <c r="Q471" s="1" t="s">
        <v>10118</v>
      </c>
      <c r="R471" s="1" t="s">
        <v>10119</v>
      </c>
      <c r="S471" s="6" t="s">
        <v>132</v>
      </c>
      <c r="T471" s="1" t="s">
        <v>10120</v>
      </c>
      <c r="U471" s="1" t="s">
        <v>10121</v>
      </c>
      <c r="V471" s="1" t="s">
        <v>10122</v>
      </c>
      <c r="W471" s="1" t="s">
        <v>10123</v>
      </c>
      <c r="X471" s="1" t="s">
        <v>10124</v>
      </c>
      <c r="Y471" s="1" t="s">
        <v>10125</v>
      </c>
      <c r="Z471" s="1" t="s">
        <v>10126</v>
      </c>
      <c r="AA471" s="7" t="str">
        <f>IFERROR(__xludf.DUMMYFUNCTION("GOOGLETRANSLATE(C471, ""en"", ""ro"")"),"Rămâneți la curent cu acoperirea știrilor de 24/7 și a alertelor personale ale prețurilor.")</f>
        <v>Rămâneți la curent cu acoperirea știrilor de 24/7 și a alertelor personale ale prețurilor.</v>
      </c>
      <c r="AB471" s="1" t="s">
        <v>10127</v>
      </c>
      <c r="AC471" s="7" t="str">
        <f>IFERROR(__xludf.DUMMYFUNCTION("GOOGLETRANSLATE(C471, ""en"", ""sk"")"),"Zostaňte aktuálne s 24/7 Breaking News pokrytie a vaše osobné upozornenia na osobné ceny.")</f>
        <v>Zostaňte aktuálne s 24/7 Breaking News pokrytie a vaše osobné upozornenia na osobné ceny.</v>
      </c>
      <c r="AD471" s="6" t="s">
        <v>132</v>
      </c>
      <c r="AE471" s="1" t="s">
        <v>10128</v>
      </c>
      <c r="AF471" s="7" t="str">
        <f>IFERROR(__xludf.DUMMYFUNCTION("GOOGLETRANSLATE(C471, ""en"", ""sv"")"),"Håll dig uppdaterad med 24/7 bryta nyhetsskydd och dina personliga prisvarningar.")</f>
        <v>Håll dig uppdaterad med 24/7 bryta nyhetsskydd och dina personliga prisvarningar.</v>
      </c>
      <c r="AG471" s="6" t="s">
        <v>132</v>
      </c>
      <c r="AH471" s="1" t="s">
        <v>10129</v>
      </c>
      <c r="AI471" s="6" t="s">
        <v>132</v>
      </c>
      <c r="AJ471" s="6" t="s">
        <v>132</v>
      </c>
      <c r="AK471" s="1" t="s">
        <v>10130</v>
      </c>
      <c r="AL471" s="6" t="s">
        <v>132</v>
      </c>
    </row>
    <row r="472" ht="15.75" customHeight="1">
      <c r="A472" s="1" t="s">
        <v>127</v>
      </c>
      <c r="B472" s="1" t="s">
        <v>10131</v>
      </c>
      <c r="C472" s="1" t="s">
        <v>10132</v>
      </c>
      <c r="D472" s="8" t="s">
        <v>10133</v>
      </c>
      <c r="E472" s="1" t="s">
        <v>10134</v>
      </c>
      <c r="F472" s="6" t="s">
        <v>132</v>
      </c>
      <c r="G472" s="1" t="s">
        <v>10135</v>
      </c>
      <c r="H472" s="1" t="s">
        <v>10136</v>
      </c>
      <c r="I472" s="1" t="s">
        <v>10137</v>
      </c>
      <c r="J472" s="6" t="s">
        <v>10138</v>
      </c>
      <c r="K472" s="1" t="s">
        <v>10139</v>
      </c>
      <c r="L472" s="1" t="s">
        <v>10140</v>
      </c>
      <c r="M472" s="1" t="s">
        <v>9186</v>
      </c>
      <c r="N472" s="6" t="s">
        <v>132</v>
      </c>
      <c r="O472" s="6" t="s">
        <v>10141</v>
      </c>
      <c r="P472" s="1" t="s">
        <v>10142</v>
      </c>
      <c r="Q472" s="1" t="s">
        <v>10143</v>
      </c>
      <c r="R472" s="1" t="s">
        <v>10144</v>
      </c>
      <c r="S472" s="10" t="s">
        <v>10145</v>
      </c>
      <c r="T472" s="1" t="s">
        <v>10146</v>
      </c>
      <c r="U472" s="1" t="s">
        <v>10147</v>
      </c>
      <c r="V472" s="1" t="s">
        <v>10143</v>
      </c>
      <c r="W472" s="1" t="s">
        <v>10148</v>
      </c>
      <c r="X472" s="1" t="s">
        <v>10136</v>
      </c>
      <c r="Y472" s="1" t="s">
        <v>10149</v>
      </c>
      <c r="Z472" s="1" t="s">
        <v>10150</v>
      </c>
      <c r="AA472" s="1" t="s">
        <v>10151</v>
      </c>
      <c r="AB472" s="1" t="s">
        <v>10152</v>
      </c>
      <c r="AC472" s="1" t="s">
        <v>10153</v>
      </c>
      <c r="AD472" s="6" t="s">
        <v>10154</v>
      </c>
      <c r="AE472" s="1" t="s">
        <v>10155</v>
      </c>
      <c r="AF472" s="1" t="s">
        <v>10136</v>
      </c>
      <c r="AG472" s="6" t="s">
        <v>9203</v>
      </c>
      <c r="AH472" s="1" t="s">
        <v>10156</v>
      </c>
      <c r="AI472" s="6" t="s">
        <v>132</v>
      </c>
      <c r="AJ472" s="6" t="s">
        <v>10157</v>
      </c>
      <c r="AK472" s="1" t="s">
        <v>10158</v>
      </c>
      <c r="AL472" s="6" t="s">
        <v>10159</v>
      </c>
    </row>
    <row r="473" ht="15.75" customHeight="1">
      <c r="A473" s="1" t="s">
        <v>127</v>
      </c>
      <c r="B473" s="1" t="s">
        <v>10160</v>
      </c>
      <c r="C473" s="1" t="s">
        <v>10161</v>
      </c>
      <c r="D473" s="8" t="s">
        <v>10162</v>
      </c>
      <c r="E473" s="1" t="s">
        <v>10161</v>
      </c>
      <c r="F473" s="6" t="s">
        <v>132</v>
      </c>
      <c r="G473" s="1" t="s">
        <v>10161</v>
      </c>
      <c r="H473" s="1" t="s">
        <v>10161</v>
      </c>
      <c r="I473" s="1" t="s">
        <v>10161</v>
      </c>
      <c r="J473" s="6" t="s">
        <v>10161</v>
      </c>
      <c r="K473" s="1" t="s">
        <v>10161</v>
      </c>
      <c r="L473" s="1" t="s">
        <v>10161</v>
      </c>
      <c r="M473" s="1" t="s">
        <v>10161</v>
      </c>
      <c r="N473" s="6" t="s">
        <v>132</v>
      </c>
      <c r="O473" s="6" t="s">
        <v>10161</v>
      </c>
      <c r="P473" s="1" t="s">
        <v>10161</v>
      </c>
      <c r="Q473" s="1" t="s">
        <v>10161</v>
      </c>
      <c r="R473" s="1" t="s">
        <v>10161</v>
      </c>
      <c r="S473" s="6" t="s">
        <v>10161</v>
      </c>
      <c r="T473" s="1" t="s">
        <v>10161</v>
      </c>
      <c r="U473" s="1" t="s">
        <v>10161</v>
      </c>
      <c r="V473" s="1" t="s">
        <v>10161</v>
      </c>
      <c r="W473" s="1" t="s">
        <v>10161</v>
      </c>
      <c r="X473" s="1" t="s">
        <v>10161</v>
      </c>
      <c r="Y473" s="1" t="s">
        <v>10161</v>
      </c>
      <c r="Z473" s="1" t="s">
        <v>10161</v>
      </c>
      <c r="AA473" s="1" t="s">
        <v>10161</v>
      </c>
      <c r="AB473" s="1" t="s">
        <v>10161</v>
      </c>
      <c r="AC473" s="1" t="s">
        <v>10161</v>
      </c>
      <c r="AD473" s="6" t="s">
        <v>10161</v>
      </c>
      <c r="AE473" s="1" t="s">
        <v>10161</v>
      </c>
      <c r="AF473" s="1" t="s">
        <v>10161</v>
      </c>
      <c r="AG473" s="6" t="s">
        <v>10161</v>
      </c>
      <c r="AH473" s="1" t="s">
        <v>10161</v>
      </c>
      <c r="AI473" s="6" t="s">
        <v>132</v>
      </c>
      <c r="AJ473" s="6" t="s">
        <v>10161</v>
      </c>
      <c r="AK473" s="1" t="s">
        <v>10163</v>
      </c>
      <c r="AL473" s="6" t="s">
        <v>10164</v>
      </c>
    </row>
    <row r="474" ht="15.75" customHeight="1">
      <c r="A474" s="1" t="s">
        <v>127</v>
      </c>
      <c r="B474" s="1" t="s">
        <v>10165</v>
      </c>
      <c r="C474" s="1" t="s">
        <v>10166</v>
      </c>
      <c r="D474" s="8" t="s">
        <v>10167</v>
      </c>
      <c r="E474" s="1" t="s">
        <v>10168</v>
      </c>
      <c r="F474" s="6" t="s">
        <v>132</v>
      </c>
      <c r="G474" s="1" t="s">
        <v>10169</v>
      </c>
      <c r="H474" s="1" t="s">
        <v>10170</v>
      </c>
      <c r="I474" s="1" t="s">
        <v>10171</v>
      </c>
      <c r="J474" s="6" t="s">
        <v>10172</v>
      </c>
      <c r="K474" s="1" t="s">
        <v>10173</v>
      </c>
      <c r="L474" s="1" t="s">
        <v>10174</v>
      </c>
      <c r="M474" s="1" t="s">
        <v>10175</v>
      </c>
      <c r="N474" s="6" t="s">
        <v>132</v>
      </c>
      <c r="O474" s="6" t="s">
        <v>10176</v>
      </c>
      <c r="P474" s="1" t="s">
        <v>10177</v>
      </c>
      <c r="Q474" s="1" t="s">
        <v>10178</v>
      </c>
      <c r="R474" s="1" t="s">
        <v>10179</v>
      </c>
      <c r="S474" s="10" t="s">
        <v>10180</v>
      </c>
      <c r="T474" s="1" t="s">
        <v>10181</v>
      </c>
      <c r="U474" s="1" t="s">
        <v>10182</v>
      </c>
      <c r="V474" s="1" t="s">
        <v>10178</v>
      </c>
      <c r="W474" s="1" t="s">
        <v>10183</v>
      </c>
      <c r="X474" s="1" t="s">
        <v>10184</v>
      </c>
      <c r="Y474" s="1" t="s">
        <v>10185</v>
      </c>
      <c r="Z474" s="1" t="s">
        <v>10186</v>
      </c>
      <c r="AA474" s="1" t="s">
        <v>10187</v>
      </c>
      <c r="AB474" s="1" t="s">
        <v>10188</v>
      </c>
      <c r="AC474" s="1" t="s">
        <v>10189</v>
      </c>
      <c r="AD474" s="6" t="s">
        <v>10190</v>
      </c>
      <c r="AE474" s="1" t="s">
        <v>10191</v>
      </c>
      <c r="AF474" s="1" t="s">
        <v>10192</v>
      </c>
      <c r="AG474" s="6" t="s">
        <v>10193</v>
      </c>
      <c r="AH474" s="1" t="s">
        <v>10194</v>
      </c>
      <c r="AI474" s="6" t="s">
        <v>132</v>
      </c>
      <c r="AJ474" s="6" t="s">
        <v>10195</v>
      </c>
      <c r="AK474" s="1" t="s">
        <v>10196</v>
      </c>
      <c r="AL474" s="6" t="s">
        <v>10197</v>
      </c>
    </row>
    <row r="475" ht="15.75" customHeight="1">
      <c r="A475" s="1" t="s">
        <v>127</v>
      </c>
      <c r="B475" s="1" t="s">
        <v>10198</v>
      </c>
      <c r="C475" s="1" t="s">
        <v>10199</v>
      </c>
      <c r="D475" s="8" t="s">
        <v>10200</v>
      </c>
      <c r="E475" s="1" t="s">
        <v>10201</v>
      </c>
      <c r="F475" s="6" t="s">
        <v>132</v>
      </c>
      <c r="G475" s="1" t="s">
        <v>10202</v>
      </c>
      <c r="H475" s="1" t="s">
        <v>10203</v>
      </c>
      <c r="I475" s="1" t="s">
        <v>10204</v>
      </c>
      <c r="J475" s="6" t="s">
        <v>10205</v>
      </c>
      <c r="K475" s="1" t="s">
        <v>10206</v>
      </c>
      <c r="L475" s="1" t="s">
        <v>10207</v>
      </c>
      <c r="M475" s="1" t="s">
        <v>10199</v>
      </c>
      <c r="N475" s="6" t="s">
        <v>132</v>
      </c>
      <c r="O475" s="6" t="s">
        <v>10208</v>
      </c>
      <c r="P475" s="1" t="s">
        <v>10209</v>
      </c>
      <c r="Q475" s="1" t="s">
        <v>10210</v>
      </c>
      <c r="R475" s="1" t="s">
        <v>10211</v>
      </c>
      <c r="S475" s="10" t="s">
        <v>10212</v>
      </c>
      <c r="T475" s="1" t="s">
        <v>10213</v>
      </c>
      <c r="U475" s="1" t="s">
        <v>10214</v>
      </c>
      <c r="V475" s="1" t="s">
        <v>10210</v>
      </c>
      <c r="W475" s="1" t="s">
        <v>10215</v>
      </c>
      <c r="X475" s="1" t="s">
        <v>10216</v>
      </c>
      <c r="Y475" s="1" t="s">
        <v>10217</v>
      </c>
      <c r="Z475" s="1" t="s">
        <v>10218</v>
      </c>
      <c r="AA475" s="1" t="s">
        <v>10219</v>
      </c>
      <c r="AB475" s="1" t="s">
        <v>10220</v>
      </c>
      <c r="AC475" s="1" t="s">
        <v>10221</v>
      </c>
      <c r="AD475" s="6" t="s">
        <v>10222</v>
      </c>
      <c r="AE475" s="1" t="s">
        <v>10223</v>
      </c>
      <c r="AF475" s="1" t="s">
        <v>10224</v>
      </c>
      <c r="AG475" s="6" t="s">
        <v>10225</v>
      </c>
      <c r="AH475" s="1" t="s">
        <v>10226</v>
      </c>
      <c r="AI475" s="6" t="s">
        <v>132</v>
      </c>
      <c r="AJ475" s="6" t="s">
        <v>10227</v>
      </c>
      <c r="AK475" s="1" t="s">
        <v>10228</v>
      </c>
      <c r="AL475" s="6" t="s">
        <v>132</v>
      </c>
    </row>
    <row r="476" ht="15.75" customHeight="1">
      <c r="A476" s="1" t="s">
        <v>127</v>
      </c>
      <c r="B476" s="1" t="s">
        <v>10229</v>
      </c>
      <c r="C476" s="1" t="s">
        <v>10230</v>
      </c>
      <c r="D476" s="8" t="s">
        <v>10231</v>
      </c>
      <c r="E476" s="1" t="s">
        <v>10232</v>
      </c>
      <c r="F476" s="6" t="s">
        <v>132</v>
      </c>
      <c r="G476" s="1" t="s">
        <v>10233</v>
      </c>
      <c r="H476" s="1" t="s">
        <v>10234</v>
      </c>
      <c r="I476" s="1" t="s">
        <v>10230</v>
      </c>
      <c r="J476" s="6" t="s">
        <v>10230</v>
      </c>
      <c r="K476" s="1" t="s">
        <v>10230</v>
      </c>
      <c r="L476" s="1" t="s">
        <v>10235</v>
      </c>
      <c r="M476" s="1" t="s">
        <v>10236</v>
      </c>
      <c r="N476" s="6" t="s">
        <v>132</v>
      </c>
      <c r="O476" s="6" t="s">
        <v>10237</v>
      </c>
      <c r="P476" s="1" t="s">
        <v>10230</v>
      </c>
      <c r="Q476" s="1" t="s">
        <v>10238</v>
      </c>
      <c r="R476" s="1" t="s">
        <v>10230</v>
      </c>
      <c r="S476" s="10" t="s">
        <v>10239</v>
      </c>
      <c r="T476" s="1" t="s">
        <v>10240</v>
      </c>
      <c r="U476" s="1" t="s">
        <v>10241</v>
      </c>
      <c r="V476" s="1" t="s">
        <v>10242</v>
      </c>
      <c r="W476" s="1" t="s">
        <v>10230</v>
      </c>
      <c r="X476" s="1" t="s">
        <v>10243</v>
      </c>
      <c r="Y476" s="1" t="s">
        <v>10230</v>
      </c>
      <c r="Z476" s="1" t="s">
        <v>10244</v>
      </c>
      <c r="AA476" s="1" t="s">
        <v>10245</v>
      </c>
      <c r="AB476" s="1" t="s">
        <v>10246</v>
      </c>
      <c r="AC476" s="1" t="s">
        <v>10247</v>
      </c>
      <c r="AD476" s="6" t="s">
        <v>10248</v>
      </c>
      <c r="AE476" s="1" t="s">
        <v>10230</v>
      </c>
      <c r="AF476" s="1" t="s">
        <v>10249</v>
      </c>
      <c r="AG476" s="6" t="s">
        <v>10250</v>
      </c>
      <c r="AH476" s="1" t="s">
        <v>10251</v>
      </c>
      <c r="AI476" s="6" t="s">
        <v>132</v>
      </c>
      <c r="AJ476" s="6" t="s">
        <v>10252</v>
      </c>
      <c r="AK476" s="1" t="s">
        <v>10253</v>
      </c>
      <c r="AL476" s="6" t="s">
        <v>10254</v>
      </c>
    </row>
    <row r="477" ht="15.75" customHeight="1">
      <c r="A477" s="1" t="s">
        <v>4051</v>
      </c>
      <c r="B477" s="1" t="s">
        <v>10255</v>
      </c>
      <c r="C477" s="1" t="s">
        <v>10256</v>
      </c>
      <c r="D477" s="8" t="s">
        <v>10257</v>
      </c>
      <c r="E477" s="1" t="s">
        <v>10258</v>
      </c>
      <c r="F477" s="6" t="s">
        <v>132</v>
      </c>
      <c r="G477" s="1" t="s">
        <v>10259</v>
      </c>
      <c r="H477" s="1" t="s">
        <v>10260</v>
      </c>
      <c r="I477" s="7" t="str">
        <f>IFERROR(__xludf.DUMMYFUNCTION("GOOGLETRANSLATE(C477, ""en"", ""de"")"),"Das Telefonformat ist nicht gültig.")</f>
        <v>Das Telefonformat ist nicht gültig.</v>
      </c>
      <c r="J477" s="6" t="s">
        <v>10261</v>
      </c>
      <c r="K477" s="1" t="s">
        <v>10262</v>
      </c>
      <c r="L477" s="1" t="s">
        <v>10263</v>
      </c>
      <c r="M477" s="13" t="s">
        <v>10264</v>
      </c>
      <c r="N477" s="6" t="s">
        <v>132</v>
      </c>
      <c r="O477" s="6" t="s">
        <v>10265</v>
      </c>
      <c r="P477" s="1" t="s">
        <v>10266</v>
      </c>
      <c r="Q477" s="1" t="s">
        <v>10267</v>
      </c>
      <c r="R477" s="1" t="s">
        <v>10268</v>
      </c>
      <c r="S477" s="10" t="s">
        <v>10269</v>
      </c>
      <c r="T477" s="1" t="s">
        <v>10270</v>
      </c>
      <c r="U477" s="1" t="s">
        <v>10271</v>
      </c>
      <c r="V477" s="1" t="s">
        <v>10272</v>
      </c>
      <c r="W477" s="1" t="s">
        <v>10273</v>
      </c>
      <c r="X477" s="1" t="s">
        <v>10274</v>
      </c>
      <c r="Y477" s="11" t="s">
        <v>10275</v>
      </c>
      <c r="Z477" s="1" t="s">
        <v>10276</v>
      </c>
      <c r="AA477" s="1" t="s">
        <v>10277</v>
      </c>
      <c r="AB477" s="7" t="str">
        <f>IFERROR(__xludf.DUMMYFUNCTION("GOOGLETRANSLATE(C477, ""en"", ""ru"")"),"Формат телефона недействителен.")</f>
        <v>Формат телефона недействителен.</v>
      </c>
      <c r="AC477" s="1" t="s">
        <v>10278</v>
      </c>
      <c r="AD477" s="6" t="s">
        <v>10279</v>
      </c>
      <c r="AE477" s="7" t="str">
        <f>IFERROR(__xludf.DUMMYFUNCTION("GOOGLETRANSLATE(C477, ""en"", ""sr"")"),"Формат телефона није валидан.")</f>
        <v>Формат телефона није валидан.</v>
      </c>
      <c r="AF477" s="1" t="s">
        <v>10280</v>
      </c>
      <c r="AG477" s="6" t="s">
        <v>10281</v>
      </c>
      <c r="AH477" s="1" t="s">
        <v>10282</v>
      </c>
      <c r="AI477" s="6" t="s">
        <v>132</v>
      </c>
      <c r="AJ477" s="6" t="s">
        <v>10283</v>
      </c>
      <c r="AK477" s="14" t="s">
        <v>10284</v>
      </c>
      <c r="AL477" s="6" t="s">
        <v>132</v>
      </c>
    </row>
    <row r="478" ht="15.75" customHeight="1">
      <c r="A478" s="1" t="s">
        <v>127</v>
      </c>
      <c r="B478" s="1" t="s">
        <v>10285</v>
      </c>
      <c r="C478" s="1" t="s">
        <v>10286</v>
      </c>
      <c r="D478" s="8" t="s">
        <v>10287</v>
      </c>
      <c r="E478" s="1" t="s">
        <v>10288</v>
      </c>
      <c r="F478" s="6" t="s">
        <v>132</v>
      </c>
      <c r="G478" s="1" t="s">
        <v>10289</v>
      </c>
      <c r="H478" s="1" t="s">
        <v>10290</v>
      </c>
      <c r="I478" s="1" t="s">
        <v>10291</v>
      </c>
      <c r="J478" s="6" t="s">
        <v>10292</v>
      </c>
      <c r="K478" s="1" t="s">
        <v>10293</v>
      </c>
      <c r="L478" s="1" t="s">
        <v>10294</v>
      </c>
      <c r="M478" s="1" t="s">
        <v>10295</v>
      </c>
      <c r="N478" s="6" t="s">
        <v>132</v>
      </c>
      <c r="O478" s="6" t="s">
        <v>10296</v>
      </c>
      <c r="P478" s="1" t="s">
        <v>10297</v>
      </c>
      <c r="Q478" s="1" t="s">
        <v>10298</v>
      </c>
      <c r="R478" s="1" t="s">
        <v>10299</v>
      </c>
      <c r="S478" s="10" t="s">
        <v>10300</v>
      </c>
      <c r="T478" s="1" t="s">
        <v>10301</v>
      </c>
      <c r="U478" s="1" t="s">
        <v>10302</v>
      </c>
      <c r="V478" s="1" t="s">
        <v>10298</v>
      </c>
      <c r="W478" s="1" t="s">
        <v>10303</v>
      </c>
      <c r="X478" s="1" t="s">
        <v>10304</v>
      </c>
      <c r="Y478" s="1" t="s">
        <v>10305</v>
      </c>
      <c r="Z478" s="1" t="s">
        <v>10306</v>
      </c>
      <c r="AA478" s="1" t="s">
        <v>10307</v>
      </c>
      <c r="AB478" s="1" t="s">
        <v>10308</v>
      </c>
      <c r="AC478" s="1" t="s">
        <v>10309</v>
      </c>
      <c r="AD478" s="6" t="s">
        <v>10310</v>
      </c>
      <c r="AE478" s="1" t="s">
        <v>10311</v>
      </c>
      <c r="AF478" s="1" t="s">
        <v>10312</v>
      </c>
      <c r="AG478" s="6" t="s">
        <v>10313</v>
      </c>
      <c r="AH478" s="1" t="s">
        <v>10314</v>
      </c>
      <c r="AI478" s="6" t="s">
        <v>132</v>
      </c>
      <c r="AJ478" s="6" t="s">
        <v>10315</v>
      </c>
      <c r="AK478" s="1" t="s">
        <v>10316</v>
      </c>
      <c r="AL478" s="6" t="s">
        <v>10317</v>
      </c>
    </row>
    <row r="479" ht="15.75" hidden="1" customHeight="1">
      <c r="A479" s="1" t="s">
        <v>38</v>
      </c>
      <c r="B479" s="1" t="s">
        <v>10318</v>
      </c>
      <c r="C479" s="1" t="s">
        <v>10319</v>
      </c>
      <c r="D479" s="8" t="s">
        <v>10320</v>
      </c>
      <c r="E479" s="1" t="s">
        <v>10321</v>
      </c>
      <c r="F479" s="6" t="s">
        <v>10322</v>
      </c>
      <c r="G479" s="7" t="str">
        <f>IFERROR(__xludf.DUMMYFUNCTION("GOOGLETRANSLATE(C479, ""en"", ""cs"")"),"Zkus to znovu")</f>
        <v>Zkus to znovu</v>
      </c>
      <c r="H479" s="7" t="str">
        <f>IFERROR(__xludf.DUMMYFUNCTION("GOOGLETRANSLATE(C479, ""en"", ""da"")"),"Prøv igen")</f>
        <v>Prøv igen</v>
      </c>
      <c r="I479" s="1" t="s">
        <v>10323</v>
      </c>
      <c r="J479" s="6" t="s">
        <v>132</v>
      </c>
      <c r="K479" s="1" t="s">
        <v>10324</v>
      </c>
      <c r="L479" s="7" t="str">
        <f>IFERROR(__xludf.DUMMYFUNCTION("GOOGLETRANSLATE(C479, ""en"", ""fi"")"),"Yritä uudelleen")</f>
        <v>Yritä uudelleen</v>
      </c>
      <c r="M479" s="1" t="s">
        <v>10325</v>
      </c>
      <c r="N479" s="6" t="s">
        <v>10326</v>
      </c>
      <c r="O479" s="6" t="s">
        <v>132</v>
      </c>
      <c r="P479" s="1" t="s">
        <v>10327</v>
      </c>
      <c r="Q479" s="9" t="s">
        <v>10328</v>
      </c>
      <c r="R479" s="1" t="s">
        <v>10329</v>
      </c>
      <c r="S479" s="6" t="s">
        <v>132</v>
      </c>
      <c r="T479" s="1" t="s">
        <v>10330</v>
      </c>
      <c r="U479" s="1" t="s">
        <v>10331</v>
      </c>
      <c r="V479" s="7" t="str">
        <f>IFERROR(__xludf.DUMMYFUNCTION("GOOGLETRANSLATE(C479, ""en"", ""ms"")"),"Cuba lagi")</f>
        <v>Cuba lagi</v>
      </c>
      <c r="W479" s="1" t="s">
        <v>10332</v>
      </c>
      <c r="X479" s="7" t="str">
        <f>IFERROR(__xludf.DUMMYFUNCTION("GOOGLETRANSLATE(C479, ""en"", ""no"")"),"Prøv igjen")</f>
        <v>Prøv igjen</v>
      </c>
      <c r="Y479" s="1" t="s">
        <v>10333</v>
      </c>
      <c r="Z479" s="1" t="s">
        <v>10334</v>
      </c>
      <c r="AA479" s="7" t="str">
        <f>IFERROR(__xludf.DUMMYFUNCTION("GOOGLETRANSLATE(C479, ""en"", ""ro"")"),"Încearcă din nou")</f>
        <v>Încearcă din nou</v>
      </c>
      <c r="AB479" s="1" t="s">
        <v>10335</v>
      </c>
      <c r="AC479" s="1" t="s">
        <v>10336</v>
      </c>
      <c r="AD479" s="6" t="s">
        <v>132</v>
      </c>
      <c r="AE479" s="1" t="s">
        <v>10337</v>
      </c>
      <c r="AF479" s="1" t="s">
        <v>10338</v>
      </c>
      <c r="AG479" s="6" t="s">
        <v>132</v>
      </c>
      <c r="AH479" s="7" t="str">
        <f>IFERROR(__xludf.DUMMYFUNCTION("GOOGLETRANSLATE(C479, ""en"", ""tr"")"),"Tekrar deneyin")</f>
        <v>Tekrar deneyin</v>
      </c>
      <c r="AI479" s="6" t="s">
        <v>10339</v>
      </c>
      <c r="AJ479" s="6" t="s">
        <v>10340</v>
      </c>
      <c r="AK479" s="7" t="str">
        <f>IFERROR(__xludf.DUMMYFUNCTION("GOOGLETRANSLATE(C479, ""en"", ""zh"")"),"再试一次")</f>
        <v>再试一次</v>
      </c>
      <c r="AL479" s="6" t="s">
        <v>10341</v>
      </c>
    </row>
    <row r="480" ht="15.75" hidden="1" customHeight="1">
      <c r="A480" s="1" t="s">
        <v>38</v>
      </c>
      <c r="B480" s="1" t="s">
        <v>10342</v>
      </c>
      <c r="C480" s="1" t="s">
        <v>10343</v>
      </c>
      <c r="D480" s="7" t="str">
        <f>IFERROR(__xludf.DUMMYFUNCTION("GOOGLETRANSLATE(C480, ""en"", ""ar"")"),"يقوم جهازك بالقيام ببعض تحسينات البطارية الثقيلة على دردشة Baha التي قد تؤدي إلى تأخير الإخطارات أو حتى خسارة الرسائل. \ NIT ينصح بتعطيل أولئك.")</f>
        <v>يقوم جهازك بالقيام ببعض تحسينات البطارية الثقيلة على دردشة Baha التي قد تؤدي إلى تأخير الإخطارات أو حتى خسارة الرسائل. \ NIT ينصح بتعطيل أولئك.</v>
      </c>
      <c r="E480" s="1" t="s">
        <v>10344</v>
      </c>
      <c r="F480" s="6" t="s">
        <v>10345</v>
      </c>
      <c r="G480" s="7" t="str">
        <f>IFERROR(__xludf.DUMMYFUNCTION("GOOGLETRANSLATE(C480, ""en"", ""cs"")"),"Vaše zařízení dělá některá těžká optimalizace baterií na BAHA chatu, které by mohlo vést k zpožděným oznámením nebo dokonce ztrátě zpráv. NIT se doporučuje zakázat ty.")</f>
        <v>Vaše zařízení dělá některá těžká optimalizace baterií na BAHA chatu, které by mohlo vést k zpožděným oznámením nebo dokonce ztrátě zpráv. NIT se doporučuje zakázat ty.</v>
      </c>
      <c r="H480" s="7" t="str">
        <f>IFERROR(__xludf.DUMMYFUNCTION("GOOGLETRANSLATE(C480, ""en"", ""da"")"),"Din enhed gør nogle tunge batterioptimeringer på BAHA-chat, der kan føre til forsinkede meddelelser eller endda besked tab. \ NIT anbefales at deaktivere dem.")</f>
        <v>Din enhed gør nogle tunge batterioptimeringer på BAHA-chat, der kan føre til forsinkede meddelelser eller endda besked tab. \ NIT anbefales at deaktivere dem.</v>
      </c>
      <c r="I480" s="1" t="s">
        <v>10346</v>
      </c>
      <c r="J480" s="6" t="s">
        <v>132</v>
      </c>
      <c r="K480" s="1" t="s">
        <v>10347</v>
      </c>
      <c r="L480" s="7" t="str">
        <f>IFERROR(__xludf.DUMMYFUNCTION("GOOGLETRANSLATE(C480, ""en"", ""fi"")"),"Laite tekee joitakin raskas akun optimointia Baha-keskustelussa, jotka saattavat johtaa viivästyneisiin ilmoituksiin tai jopa viestin menetykseen. \ NE suositellaan ne.")</f>
        <v>Laite tekee joitakin raskas akun optimointia Baha-keskustelussa, jotka saattavat johtaa viivästyneisiin ilmoituksiin tai jopa viestin menetykseen. \ NE suositellaan ne.</v>
      </c>
      <c r="M480" s="1" t="s">
        <v>10348</v>
      </c>
      <c r="N480" s="6" t="s">
        <v>10349</v>
      </c>
      <c r="O480" s="6" t="s">
        <v>132</v>
      </c>
      <c r="P480" s="1" t="s">
        <v>10350</v>
      </c>
      <c r="Q480" s="7" t="str">
        <f>IFERROR(__xludf.DUMMYFUNCTION("GOOGLETRANSLATE(C480, ""en"", ""in"")"),"Perangkat Anda melakukan beberapa optimasi baterai yang berat pada obrolan Baha yang dapat menyebabkan pemberitahuan yang tertunda atau bahkan kehilangan pesan. \ NIT disarankan untuk menonaktifkannya.")</f>
        <v>Perangkat Anda melakukan beberapa optimasi baterai yang berat pada obrolan Baha yang dapat menyebabkan pemberitahuan yang tertunda atau bahkan kehilangan pesan. \ NIT disarankan untuk menonaktifkannya.</v>
      </c>
      <c r="R480" s="1" t="s">
        <v>10351</v>
      </c>
      <c r="S480" s="6" t="s">
        <v>132</v>
      </c>
      <c r="T480" s="1" t="s">
        <v>10352</v>
      </c>
      <c r="U480" s="1" t="s">
        <v>10353</v>
      </c>
      <c r="V480" s="7" t="str">
        <f>IFERROR(__xludf.DUMMYFUNCTION("GOOGLETRANSLATE(C480, ""en"", ""ms"")"),"Peranti anda melakukan beberapa pengoptimuman bateri yang berat di Baha Chat yang mungkin membawa kepada pemberitahuan tertunda atau bahkan kehilangan mesej. \ Nit disyorkan untuk melumpuhkan mereka.")</f>
        <v>Peranti anda melakukan beberapa pengoptimuman bateri yang berat di Baha Chat yang mungkin membawa kepada pemberitahuan tertunda atau bahkan kehilangan mesej. \ Nit disyorkan untuk melumpuhkan mereka.</v>
      </c>
      <c r="W480" s="1" t="s">
        <v>10354</v>
      </c>
      <c r="X480" s="7" t="str">
        <f>IFERROR(__xludf.DUMMYFUNCTION("GOOGLETRANSLATE(C480, ""en"", ""no"")"),"Enheten gjør litt tunge batteri optimaliseringer på Baha Chat som kan føre til forsinkede varsler eller til og med meldingstap. \ Nit anbefales å deaktivere dem.")</f>
        <v>Enheten gjør litt tunge batteri optimaliseringer på Baha Chat som kan føre til forsinkede varsler eller til og med meldingstap. \ Nit anbefales å deaktivere dem.</v>
      </c>
      <c r="Y480" s="1" t="s">
        <v>10355</v>
      </c>
      <c r="Z480" s="1" t="s">
        <v>10356</v>
      </c>
      <c r="AA480" s="7" t="str">
        <f>IFERROR(__xludf.DUMMYFUNCTION("GOOGLETRANSLATE(C480, ""en"", ""ro"")"),"Dispozitivul dvs. face unele optimizări grele de baterie pe chat-ul Baha care ar putea duce la notificări întârziate sau chiar pierderi de mesaje. \ NIT este recomandat să le dezactiveze.")</f>
        <v>Dispozitivul dvs. face unele optimizări grele de baterie pe chat-ul Baha care ar putea duce la notificări întârziate sau chiar pierderi de mesaje. \ NIT este recomandat să le dezactiveze.</v>
      </c>
      <c r="AB480" s="1" t="s">
        <v>10357</v>
      </c>
      <c r="AC480" s="7" t="str">
        <f>IFERROR(__xludf.DUMMYFUNCTION("GOOGLETRANSLATE(C480, ""en"", ""sk"")"),"Vaše zariadenie robí niektoré ťažké optimalizácie batérií na chatu BahA, ktoré by mohli viesť k oneskoreným oznámeniam alebo dokonca straty správy.")</f>
        <v>Vaše zariadenie robí niektoré ťažké optimalizácie batérií na chatu BahA, ktoré by mohli viesť k oneskoreným oznámeniam alebo dokonca straty správy.</v>
      </c>
      <c r="AD480" s="6" t="s">
        <v>132</v>
      </c>
      <c r="AE480" s="1" t="s">
        <v>10358</v>
      </c>
      <c r="AF480" s="1" t="s">
        <v>10359</v>
      </c>
      <c r="AG480" s="6" t="s">
        <v>132</v>
      </c>
      <c r="AH480" s="13" t="s">
        <v>10360</v>
      </c>
      <c r="AI480" s="6" t="s">
        <v>10361</v>
      </c>
      <c r="AJ480" s="6" t="s">
        <v>10362</v>
      </c>
      <c r="AK480" s="7" t="str">
        <f>IFERROR(__xludf.DUMMYFUNCTION("GOOGLETRANSLATE(C480, ""en"", ""zh"")"),"您的设备正在对BAHA聊天进行一些重量的电池优化，可能导致通知延迟或甚至消息丢失。建议禁用这些\ nit。")</f>
        <v>您的设备正在对BAHA聊天进行一些重量的电池优化，可能导致通知延迟或甚至消息丢失。建议禁用这些\ nit。</v>
      </c>
      <c r="AL480" s="6" t="s">
        <v>10363</v>
      </c>
    </row>
    <row r="481" ht="15.75" hidden="1" customHeight="1">
      <c r="A481" s="1" t="s">
        <v>38</v>
      </c>
      <c r="B481" s="1" t="s">
        <v>10364</v>
      </c>
      <c r="C481" s="1" t="s">
        <v>10365</v>
      </c>
      <c r="D481" s="7" t="str">
        <f>IFERROR(__xludf.DUMMYFUNCTION("GOOGLETRANSLATE(C481, ""en"", ""ar"")"),"نيجيريا")</f>
        <v>نيجيريا</v>
      </c>
      <c r="E481" s="7" t="str">
        <f>IFERROR(__xludf.DUMMYFUNCTION("GOOGLETRANSLATE(C481, ""en"", ""bg"")"),"Нигерия")</f>
        <v>Нигерия</v>
      </c>
      <c r="F481" s="6" t="s">
        <v>132</v>
      </c>
      <c r="G481" s="7" t="str">
        <f>IFERROR(__xludf.DUMMYFUNCTION("GOOGLETRANSLATE(C481, ""en"", ""cs"")"),"Nigérie")</f>
        <v>Nigérie</v>
      </c>
      <c r="H481" s="7" t="str">
        <f>IFERROR(__xludf.DUMMYFUNCTION("GOOGLETRANSLATE(C481, ""en"", ""da"")"),"Nigeria.")</f>
        <v>Nigeria.</v>
      </c>
      <c r="I481" s="1" t="s">
        <v>10365</v>
      </c>
      <c r="J481" s="6" t="s">
        <v>132</v>
      </c>
      <c r="K481" s="1" t="s">
        <v>10365</v>
      </c>
      <c r="L481" s="7" t="str">
        <f>IFERROR(__xludf.DUMMYFUNCTION("GOOGLETRANSLATE(C481, ""en"", ""fi"")"),"Nigeria")</f>
        <v>Nigeria</v>
      </c>
      <c r="M481" s="1" t="s">
        <v>10365</v>
      </c>
      <c r="N481" s="6" t="s">
        <v>132</v>
      </c>
      <c r="O481" s="6" t="s">
        <v>132</v>
      </c>
      <c r="P481" s="1" t="s">
        <v>10365</v>
      </c>
      <c r="Q481" s="7" t="str">
        <f>IFERROR(__xludf.DUMMYFUNCTION("GOOGLETRANSLATE(C481, ""en"", ""in"")"),"Nigeria")</f>
        <v>Nigeria</v>
      </c>
      <c r="R481" s="7" t="str">
        <f>IFERROR(__xludf.DUMMYFUNCTION("GOOGLETRANSLATE(C481, ""en"", ""it"")"),"Nigeria")</f>
        <v>Nigeria</v>
      </c>
      <c r="S481" s="6" t="s">
        <v>132</v>
      </c>
      <c r="T481" s="7" t="str">
        <f>IFERROR(__xludf.DUMMYFUNCTION("GOOGLETRANSLATE(C481, ""en"", ""ja"")"),"ナイジェリア")</f>
        <v>ナイジェリア</v>
      </c>
      <c r="U481" s="7" t="str">
        <f>IFERROR(__xludf.DUMMYFUNCTION("GOOGLETRANSLATE(C481, ""en"", ""ko"")"),"나이지리아")</f>
        <v>나이지리아</v>
      </c>
      <c r="V481" s="7" t="str">
        <f>IFERROR(__xludf.DUMMYFUNCTION("GOOGLETRANSLATE(C481, ""en"", ""ms"")"),"Nigeria")</f>
        <v>Nigeria</v>
      </c>
      <c r="W481" s="7" t="str">
        <f>IFERROR(__xludf.DUMMYFUNCTION("GOOGLETRANSLATE(C481, ""en"", ""nl"")"),"Nigeria")</f>
        <v>Nigeria</v>
      </c>
      <c r="X481" s="7" t="str">
        <f>IFERROR(__xludf.DUMMYFUNCTION("GOOGLETRANSLATE(C481, ""en"", ""no"")"),"Nigeria")</f>
        <v>Nigeria</v>
      </c>
      <c r="Y481" s="7" t="str">
        <f>IFERROR(__xludf.DUMMYFUNCTION("GOOGLETRANSLATE(C481, ""en"", ""pl"")"),"Nigeria")</f>
        <v>Nigeria</v>
      </c>
      <c r="Z481" s="7" t="str">
        <f>IFERROR(__xludf.DUMMYFUNCTION("GOOGLETRANSLATE(C481, ""en"", ""pt"")"),"Nigéria")</f>
        <v>Nigéria</v>
      </c>
      <c r="AA481" s="7" t="str">
        <f>IFERROR(__xludf.DUMMYFUNCTION("GOOGLETRANSLATE(C481, ""en"", ""ro"")"),"Nigeria")</f>
        <v>Nigeria</v>
      </c>
      <c r="AB481" s="1" t="s">
        <v>10366</v>
      </c>
      <c r="AC481" s="7" t="str">
        <f>IFERROR(__xludf.DUMMYFUNCTION("GOOGLETRANSLATE(C481, ""en"", ""sk"")"),"Nigéria")</f>
        <v>Nigéria</v>
      </c>
      <c r="AD481" s="6" t="s">
        <v>132</v>
      </c>
      <c r="AE481" s="1" t="s">
        <v>10367</v>
      </c>
      <c r="AF481" s="7" t="str">
        <f>IFERROR(__xludf.DUMMYFUNCTION("GOOGLETRANSLATE(C481, ""en"", ""sv"")"),"Nigeria")</f>
        <v>Nigeria</v>
      </c>
      <c r="AG481" s="6" t="s">
        <v>132</v>
      </c>
      <c r="AH481" s="7" t="str">
        <f>IFERROR(__xludf.DUMMYFUNCTION("GOOGLETRANSLATE(C481, ""en"", ""tr"")"),"Nijerya")</f>
        <v>Nijerya</v>
      </c>
      <c r="AI481" s="6" t="s">
        <v>132</v>
      </c>
      <c r="AJ481" s="6" t="s">
        <v>132</v>
      </c>
      <c r="AK481" s="7" t="str">
        <f>IFERROR(__xludf.DUMMYFUNCTION("GOOGLETRANSLATE(C481, ""en"", ""zh"")"),"尼日利亚")</f>
        <v>尼日利亚</v>
      </c>
      <c r="AL481" s="6" t="s">
        <v>132</v>
      </c>
    </row>
    <row r="482" ht="15.75" customHeight="1">
      <c r="A482" s="1" t="s">
        <v>127</v>
      </c>
      <c r="B482" s="1" t="s">
        <v>10368</v>
      </c>
      <c r="C482" s="1" t="s">
        <v>10369</v>
      </c>
      <c r="D482" s="8" t="s">
        <v>10370</v>
      </c>
      <c r="E482" s="1" t="s">
        <v>10371</v>
      </c>
      <c r="F482" s="6" t="s">
        <v>132</v>
      </c>
      <c r="G482" s="1" t="s">
        <v>8782</v>
      </c>
      <c r="H482" s="1" t="s">
        <v>10372</v>
      </c>
      <c r="I482" s="1" t="s">
        <v>10373</v>
      </c>
      <c r="J482" s="6" t="s">
        <v>10374</v>
      </c>
      <c r="K482" s="1" t="s">
        <v>10375</v>
      </c>
      <c r="L482" s="1" t="s">
        <v>10376</v>
      </c>
      <c r="M482" s="1" t="s">
        <v>10377</v>
      </c>
      <c r="N482" s="6" t="s">
        <v>132</v>
      </c>
      <c r="O482" s="6" t="s">
        <v>10378</v>
      </c>
      <c r="P482" s="1" t="s">
        <v>10379</v>
      </c>
      <c r="Q482" s="1" t="s">
        <v>10380</v>
      </c>
      <c r="R482" s="1" t="s">
        <v>10381</v>
      </c>
      <c r="S482" s="10" t="s">
        <v>10382</v>
      </c>
      <c r="T482" s="1" t="s">
        <v>10383</v>
      </c>
      <c r="U482" s="1" t="s">
        <v>10384</v>
      </c>
      <c r="V482" s="1" t="s">
        <v>10380</v>
      </c>
      <c r="W482" s="1" t="s">
        <v>10385</v>
      </c>
      <c r="X482" s="1" t="s">
        <v>10386</v>
      </c>
      <c r="Y482" s="1" t="s">
        <v>1255</v>
      </c>
      <c r="Z482" s="1" t="s">
        <v>10387</v>
      </c>
      <c r="AA482" s="1" t="s">
        <v>10388</v>
      </c>
      <c r="AB482" s="1" t="s">
        <v>8800</v>
      </c>
      <c r="AC482" s="1" t="s">
        <v>8801</v>
      </c>
      <c r="AD482" s="6" t="s">
        <v>10389</v>
      </c>
      <c r="AE482" s="1" t="s">
        <v>8803</v>
      </c>
      <c r="AF482" s="1" t="s">
        <v>10390</v>
      </c>
      <c r="AG482" s="6" t="s">
        <v>10391</v>
      </c>
      <c r="AH482" s="1" t="s">
        <v>10392</v>
      </c>
      <c r="AI482" s="6" t="s">
        <v>132</v>
      </c>
      <c r="AJ482" s="6" t="s">
        <v>10393</v>
      </c>
      <c r="AK482" s="1" t="s">
        <v>10394</v>
      </c>
      <c r="AL482" s="6" t="s">
        <v>10395</v>
      </c>
    </row>
    <row r="483" ht="15.75" hidden="1" customHeight="1">
      <c r="A483" s="1" t="s">
        <v>38</v>
      </c>
      <c r="B483" s="1" t="s">
        <v>10396</v>
      </c>
      <c r="C483" s="1" t="s">
        <v>10397</v>
      </c>
      <c r="D483" s="8" t="s">
        <v>9828</v>
      </c>
      <c r="E483" s="1" t="s">
        <v>9829</v>
      </c>
      <c r="F483" s="6" t="s">
        <v>9830</v>
      </c>
      <c r="G483" s="7" t="str">
        <f>IFERROR(__xludf.DUMMYFUNCTION("GOOGLETRANSLATE(C483, ""en"", ""cs"")"),"Správa účtů")</f>
        <v>Správa účtů</v>
      </c>
      <c r="H483" s="7" t="str">
        <f>IFERROR(__xludf.DUMMYFUNCTION("GOOGLETRANSLATE(C483, ""en"", ""da"")"),"Administrer konti")</f>
        <v>Administrer konti</v>
      </c>
      <c r="I483" s="1" t="s">
        <v>9831</v>
      </c>
      <c r="J483" s="6" t="s">
        <v>132</v>
      </c>
      <c r="K483" s="1" t="s">
        <v>10398</v>
      </c>
      <c r="L483" s="7" t="str">
        <f>IFERROR(__xludf.DUMMYFUNCTION("GOOGLETRANSLATE(C483, ""en"", ""fi"")"),"Hallinnoi tilejä")</f>
        <v>Hallinnoi tilejä</v>
      </c>
      <c r="M483" s="1" t="s">
        <v>10399</v>
      </c>
      <c r="N483" s="6" t="s">
        <v>9834</v>
      </c>
      <c r="O483" s="6" t="s">
        <v>132</v>
      </c>
      <c r="P483" s="1" t="s">
        <v>9835</v>
      </c>
      <c r="Q483" s="9" t="s">
        <v>9836</v>
      </c>
      <c r="R483" s="1" t="s">
        <v>7667</v>
      </c>
      <c r="S483" s="6" t="s">
        <v>132</v>
      </c>
      <c r="T483" s="1" t="s">
        <v>7668</v>
      </c>
      <c r="U483" s="1" t="s">
        <v>10400</v>
      </c>
      <c r="V483" s="7" t="str">
        <f>IFERROR(__xludf.DUMMYFUNCTION("GOOGLETRANSLATE(C483, ""en"", ""ms"")"),"Urus akaun")</f>
        <v>Urus akaun</v>
      </c>
      <c r="W483" s="1" t="s">
        <v>9838</v>
      </c>
      <c r="X483" s="7" t="str">
        <f>IFERROR(__xludf.DUMMYFUNCTION("GOOGLETRANSLATE(C483, ""en"", ""no"")"),"Administrer kontoer")</f>
        <v>Administrer kontoer</v>
      </c>
      <c r="Y483" s="1" t="s">
        <v>9839</v>
      </c>
      <c r="Z483" s="1" t="s">
        <v>9840</v>
      </c>
      <c r="AA483" s="7" t="str">
        <f>IFERROR(__xludf.DUMMYFUNCTION("GOOGLETRANSLATE(C483, ""en"", ""ro"")"),"Gestionați conturile")</f>
        <v>Gestionați conturile</v>
      </c>
      <c r="AB483" s="1" t="s">
        <v>9841</v>
      </c>
      <c r="AC483" s="1" t="s">
        <v>9842</v>
      </c>
      <c r="AD483" s="6" t="s">
        <v>132</v>
      </c>
      <c r="AE483" s="1" t="s">
        <v>10401</v>
      </c>
      <c r="AF483" s="1" t="s">
        <v>10402</v>
      </c>
      <c r="AG483" s="6" t="s">
        <v>132</v>
      </c>
      <c r="AH483" s="7" t="str">
        <f>IFERROR(__xludf.DUMMYFUNCTION("GOOGLETRANSLATE(C483, ""en"", ""tr"")"),"Hesapları yönet")</f>
        <v>Hesapları yönet</v>
      </c>
      <c r="AI483" s="6" t="s">
        <v>9845</v>
      </c>
      <c r="AJ483" s="6" t="s">
        <v>9846</v>
      </c>
      <c r="AK483" s="7" t="str">
        <f>IFERROR(__xludf.DUMMYFUNCTION("GOOGLETRANSLATE(C483, ""en"", ""zh"")"),"管理帐户")</f>
        <v>管理帐户</v>
      </c>
      <c r="AL483" s="6" t="s">
        <v>9847</v>
      </c>
    </row>
    <row r="484" ht="15.75" hidden="1" customHeight="1">
      <c r="A484" s="1" t="s">
        <v>38</v>
      </c>
      <c r="B484" s="1" t="s">
        <v>10403</v>
      </c>
      <c r="C484" s="1" t="s">
        <v>10404</v>
      </c>
      <c r="D484" s="8" t="s">
        <v>10405</v>
      </c>
      <c r="E484" s="1" t="s">
        <v>10406</v>
      </c>
      <c r="F484" s="6" t="s">
        <v>10407</v>
      </c>
      <c r="G484" s="7" t="str">
        <f>IFERROR(__xludf.DUMMYFUNCTION("GOOGLETRANSLATE(C484, ""en"", ""cs"")"),"Došlo k chybě")</f>
        <v>Došlo k chybě</v>
      </c>
      <c r="H484" s="7" t="str">
        <f>IFERROR(__xludf.DUMMYFUNCTION("GOOGLETRANSLATE(C484, ""en"", ""da"")"),"Der opstod en fejl")</f>
        <v>Der opstod en fejl</v>
      </c>
      <c r="I484" s="1" t="s">
        <v>10408</v>
      </c>
      <c r="J484" s="6" t="s">
        <v>132</v>
      </c>
      <c r="K484" s="1" t="s">
        <v>10409</v>
      </c>
      <c r="L484" s="7" t="str">
        <f>IFERROR(__xludf.DUMMYFUNCTION("GOOGLETRANSLATE(C484, ""en"", ""fi"")"),"Tapahtui virhe")</f>
        <v>Tapahtui virhe</v>
      </c>
      <c r="M484" s="1" t="s">
        <v>10410</v>
      </c>
      <c r="N484" s="6" t="s">
        <v>10411</v>
      </c>
      <c r="O484" s="6" t="s">
        <v>132</v>
      </c>
      <c r="P484" s="1" t="s">
        <v>10412</v>
      </c>
      <c r="Q484" s="9" t="s">
        <v>10413</v>
      </c>
      <c r="R484" s="1" t="s">
        <v>10414</v>
      </c>
      <c r="S484" s="6" t="s">
        <v>132</v>
      </c>
      <c r="T484" s="1" t="s">
        <v>10415</v>
      </c>
      <c r="U484" s="1" t="s">
        <v>10416</v>
      </c>
      <c r="V484" s="7" t="str">
        <f>IFERROR(__xludf.DUMMYFUNCTION("GOOGLETRANSLATE(C484, ""en"", ""ms"")"),"Ralat telah berlaku")</f>
        <v>Ralat telah berlaku</v>
      </c>
      <c r="W484" s="1" t="s">
        <v>10417</v>
      </c>
      <c r="X484" s="7" t="str">
        <f>IFERROR(__xludf.DUMMYFUNCTION("GOOGLETRANSLATE(C484, ""en"", ""no"")"),"Det har oppstått en feil")</f>
        <v>Det har oppstått en feil</v>
      </c>
      <c r="Y484" s="1" t="s">
        <v>10418</v>
      </c>
      <c r="Z484" s="1" t="s">
        <v>10419</v>
      </c>
      <c r="AA484" s="7" t="str">
        <f>IFERROR(__xludf.DUMMYFUNCTION("GOOGLETRANSLATE(C484, ""en"", ""ro"")"),"a avut loc o eroare")</f>
        <v>a avut loc o eroare</v>
      </c>
      <c r="AB484" s="1" t="s">
        <v>10420</v>
      </c>
      <c r="AC484" s="1" t="s">
        <v>10421</v>
      </c>
      <c r="AD484" s="6" t="s">
        <v>132</v>
      </c>
      <c r="AE484" s="1" t="s">
        <v>10422</v>
      </c>
      <c r="AF484" s="1" t="s">
        <v>10423</v>
      </c>
      <c r="AG484" s="6" t="s">
        <v>132</v>
      </c>
      <c r="AH484" s="7" t="str">
        <f>IFERROR(__xludf.DUMMYFUNCTION("GOOGLETRANSLATE(C484, ""en"", ""tr"")"),"bir hata oluştu")</f>
        <v>bir hata oluştu</v>
      </c>
      <c r="AI484" s="6" t="s">
        <v>10424</v>
      </c>
      <c r="AJ484" s="6" t="s">
        <v>10425</v>
      </c>
      <c r="AK484" s="7" t="str">
        <f>IFERROR(__xludf.DUMMYFUNCTION("GOOGLETRANSLATE(C484, ""en"", ""zh"")"),"发生了错误")</f>
        <v>发生了错误</v>
      </c>
      <c r="AL484" s="6" t="s">
        <v>10426</v>
      </c>
    </row>
    <row r="485" ht="15.75" hidden="1" customHeight="1">
      <c r="A485" s="1" t="s">
        <v>38</v>
      </c>
      <c r="B485" s="1" t="s">
        <v>10427</v>
      </c>
      <c r="C485" s="1" t="s">
        <v>10428</v>
      </c>
      <c r="D485" s="7" t="str">
        <f>IFERROR(__xludf.DUMMYFUNCTION("GOOGLETRANSLATE(C485, ""en"", ""ar"")"),"الرسائل الصامتة")</f>
        <v>الرسائل الصامتة</v>
      </c>
      <c r="E485" s="1" t="s">
        <v>10429</v>
      </c>
      <c r="F485" s="6" t="s">
        <v>132</v>
      </c>
      <c r="G485" s="7" t="str">
        <f>IFERROR(__xludf.DUMMYFUNCTION("GOOGLETRANSLATE(C485, ""en"", ""cs"")"),"Tiché zprávy")</f>
        <v>Tiché zprávy</v>
      </c>
      <c r="H485" s="7" t="str">
        <f>IFERROR(__xludf.DUMMYFUNCTION("GOOGLETRANSLATE(C485, ""en"", ""da"")"),"Tavse meddelelser.")</f>
        <v>Tavse meddelelser.</v>
      </c>
      <c r="I485" s="1" t="s">
        <v>10430</v>
      </c>
      <c r="J485" s="6" t="s">
        <v>132</v>
      </c>
      <c r="K485" s="1" t="s">
        <v>10431</v>
      </c>
      <c r="L485" s="7" t="str">
        <f>IFERROR(__xludf.DUMMYFUNCTION("GOOGLETRANSLATE(C485, ""en"", ""fi"")"),"Hiljaiset viestit")</f>
        <v>Hiljaiset viestit</v>
      </c>
      <c r="M485" s="1" t="s">
        <v>10432</v>
      </c>
      <c r="N485" s="6" t="s">
        <v>10433</v>
      </c>
      <c r="O485" s="6" t="s">
        <v>132</v>
      </c>
      <c r="P485" s="1" t="s">
        <v>10434</v>
      </c>
      <c r="Q485" s="7" t="str">
        <f>IFERROR(__xludf.DUMMYFUNCTION("GOOGLETRANSLATE(C485, ""en"", ""in"")"),"PESAN SILENT.")</f>
        <v>PESAN SILENT.</v>
      </c>
      <c r="R485" s="1" t="s">
        <v>10435</v>
      </c>
      <c r="S485" s="6" t="s">
        <v>132</v>
      </c>
      <c r="T485" s="7" t="str">
        <f>IFERROR(__xludf.DUMMYFUNCTION("GOOGLETRANSLATE(C485, ""en"", ""ja"")"),"サイレントメッセージ")</f>
        <v>サイレントメッセージ</v>
      </c>
      <c r="U485" s="7" t="str">
        <f>IFERROR(__xludf.DUMMYFUNCTION("GOOGLETRANSLATE(C485, ""en"", ""ko"")"),"자동 메시지")</f>
        <v>자동 메시지</v>
      </c>
      <c r="V485" s="7" t="str">
        <f>IFERROR(__xludf.DUMMYFUNCTION("GOOGLETRANSLATE(C485, ""en"", ""ms"")"),"Mesej senyap.")</f>
        <v>Mesej senyap.</v>
      </c>
      <c r="W485" s="1" t="s">
        <v>10436</v>
      </c>
      <c r="X485" s="7" t="str">
        <f>IFERROR(__xludf.DUMMYFUNCTION("GOOGLETRANSLATE(C485, ""en"", ""no"")"),"Stille meldinger")</f>
        <v>Stille meldinger</v>
      </c>
      <c r="Y485" s="1" t="s">
        <v>10437</v>
      </c>
      <c r="Z485" s="7" t="str">
        <f>IFERROR(__xludf.DUMMYFUNCTION("GOOGLETRANSLATE(C485, ""en"", ""pt"")"),"Mensagens silenciosas")</f>
        <v>Mensagens silenciosas</v>
      </c>
      <c r="AA485" s="7" t="str">
        <f>IFERROR(__xludf.DUMMYFUNCTION("GOOGLETRANSLATE(C485, ""en"", ""ro"")"),"Mesaje silențioase")</f>
        <v>Mesaje silențioase</v>
      </c>
      <c r="AB485" s="7" t="str">
        <f>IFERROR(__xludf.DUMMYFUNCTION("GOOGLETRANSLATE(C485, ""en"", ""ru"")"),"Тихие сообщения")</f>
        <v>Тихие сообщения</v>
      </c>
      <c r="AC485" s="7" t="str">
        <f>IFERROR(__xludf.DUMMYFUNCTION("GOOGLETRANSLATE(C485, ""en"", ""sk"")"),"Tiché správy")</f>
        <v>Tiché správy</v>
      </c>
      <c r="AD485" s="6" t="s">
        <v>132</v>
      </c>
      <c r="AE485" s="1" t="s">
        <v>10438</v>
      </c>
      <c r="AF485" s="7" t="str">
        <f>IFERROR(__xludf.DUMMYFUNCTION("GOOGLETRANSLATE(C485, ""en"", ""sv"")"),"Tysta meddelanden")</f>
        <v>Tysta meddelanden</v>
      </c>
      <c r="AG485" s="6" t="s">
        <v>132</v>
      </c>
      <c r="AH485" s="7" t="str">
        <f>IFERROR(__xludf.DUMMYFUNCTION("GOOGLETRANSLATE(C485, ""en"", ""tr"")"),"Sessiz Mesajlar")</f>
        <v>Sessiz Mesajlar</v>
      </c>
      <c r="AI485" s="6" t="s">
        <v>132</v>
      </c>
      <c r="AJ485" s="6" t="s">
        <v>132</v>
      </c>
      <c r="AK485" s="7" t="str">
        <f>IFERROR(__xludf.DUMMYFUNCTION("GOOGLETRANSLATE(C485, ""en"", ""zh"")"),"沉默的消息")</f>
        <v>沉默的消息</v>
      </c>
      <c r="AL485" s="6" t="s">
        <v>132</v>
      </c>
    </row>
    <row r="486" ht="15.75" customHeight="1">
      <c r="A486" s="1" t="s">
        <v>127</v>
      </c>
      <c r="B486" s="1" t="s">
        <v>10439</v>
      </c>
      <c r="C486" s="1" t="s">
        <v>10440</v>
      </c>
      <c r="D486" s="1" t="s">
        <v>10441</v>
      </c>
      <c r="E486" s="1" t="s">
        <v>10440</v>
      </c>
      <c r="F486" s="6" t="s">
        <v>132</v>
      </c>
      <c r="G486" s="1" t="s">
        <v>10440</v>
      </c>
      <c r="H486" s="1" t="s">
        <v>10440</v>
      </c>
      <c r="I486" s="1" t="s">
        <v>10440</v>
      </c>
      <c r="J486" s="6" t="s">
        <v>10440</v>
      </c>
      <c r="K486" s="7" t="str">
        <f>IFERROR(__xludf.DUMMYFUNCTION("GOOGLETRANSLATE(C486, ""en"", ""es"")"),"\ n \ nhttps: //play.google.com/store/apps/details? id = com.teltratrader.Android")</f>
        <v>\ n \ nhttps: //play.google.com/store/apps/details? id = com.teltratrader.Android</v>
      </c>
      <c r="L486" s="1" t="s">
        <v>10440</v>
      </c>
      <c r="M486" s="1" t="s">
        <v>10440</v>
      </c>
      <c r="N486" s="6" t="s">
        <v>132</v>
      </c>
      <c r="O486" s="6" t="s">
        <v>10440</v>
      </c>
      <c r="P486" s="1" t="s">
        <v>10440</v>
      </c>
      <c r="Q486" s="1" t="s">
        <v>10440</v>
      </c>
      <c r="R486" s="1" t="s">
        <v>10440</v>
      </c>
      <c r="S486" s="6" t="s">
        <v>10440</v>
      </c>
      <c r="T486" s="1" t="s">
        <v>10440</v>
      </c>
      <c r="U486" s="1" t="s">
        <v>10440</v>
      </c>
      <c r="V486" s="1" t="s">
        <v>10440</v>
      </c>
      <c r="W486" s="1" t="s">
        <v>10440</v>
      </c>
      <c r="X486" s="1" t="s">
        <v>10440</v>
      </c>
      <c r="Y486" s="11" t="s">
        <v>10440</v>
      </c>
      <c r="Z486" s="1" t="s">
        <v>10440</v>
      </c>
      <c r="AA486" s="1" t="s">
        <v>10440</v>
      </c>
      <c r="AB486" s="7" t="str">
        <f>IFERROR(__xludf.DUMMYFUNCTION("GOOGLETRANSLATE(C486, ""en"", ""ru"")"),"\ n \ nhttps: //play.google.com/store/apps/details? Id = com.teletrader.android")</f>
        <v>\ n \ nhttps: //play.google.com/store/apps/details? Id = com.teletrader.android</v>
      </c>
      <c r="AC486" s="1" t="s">
        <v>10440</v>
      </c>
      <c r="AD486" s="6" t="s">
        <v>10440</v>
      </c>
      <c r="AE486" s="7" t="str">
        <f>IFERROR(__xludf.DUMMYFUNCTION("GOOGLETRANSLATE(C486, ""en"", ""sr"")"),"\ н \ нхттпс: //плаи.гоогле.цом/сторе/аппс/детаилс? ид = цом.телетрадер.андроид")</f>
        <v>\ н \ нхттпс: //плаи.гоогле.цом/сторе/аппс/детаилс? ид = цом.телетрадер.андроид</v>
      </c>
      <c r="AF486" s="1" t="s">
        <v>10440</v>
      </c>
      <c r="AG486" s="6" t="s">
        <v>10440</v>
      </c>
      <c r="AH486" s="1" t="s">
        <v>10442</v>
      </c>
      <c r="AI486" s="6" t="s">
        <v>132</v>
      </c>
      <c r="AJ486" s="6" t="s">
        <v>10440</v>
      </c>
      <c r="AK486" s="1" t="s">
        <v>10440</v>
      </c>
      <c r="AL486" s="6" t="s">
        <v>10443</v>
      </c>
    </row>
    <row r="487" ht="15.75" customHeight="1">
      <c r="A487" s="1" t="s">
        <v>127</v>
      </c>
      <c r="B487" s="1" t="s">
        <v>10444</v>
      </c>
      <c r="C487" s="1" t="s">
        <v>10445</v>
      </c>
      <c r="D487" s="8" t="s">
        <v>10446</v>
      </c>
      <c r="E487" s="1" t="s">
        <v>10447</v>
      </c>
      <c r="F487" s="6" t="s">
        <v>132</v>
      </c>
      <c r="G487" s="1" t="s">
        <v>10448</v>
      </c>
      <c r="H487" s="1" t="s">
        <v>10449</v>
      </c>
      <c r="I487" s="1" t="s">
        <v>10450</v>
      </c>
      <c r="J487" s="6" t="s">
        <v>10451</v>
      </c>
      <c r="K487" s="1" t="s">
        <v>10452</v>
      </c>
      <c r="L487" s="1" t="s">
        <v>10453</v>
      </c>
      <c r="M487" s="1" t="s">
        <v>10454</v>
      </c>
      <c r="N487" s="6" t="s">
        <v>132</v>
      </c>
      <c r="O487" s="6" t="s">
        <v>10455</v>
      </c>
      <c r="P487" s="1" t="s">
        <v>10456</v>
      </c>
      <c r="Q487" s="1" t="s">
        <v>10457</v>
      </c>
      <c r="R487" s="1" t="s">
        <v>10458</v>
      </c>
      <c r="S487" s="10" t="s">
        <v>10459</v>
      </c>
      <c r="T487" s="1" t="s">
        <v>10460</v>
      </c>
      <c r="U487" s="1" t="s">
        <v>10461</v>
      </c>
      <c r="V487" s="1" t="s">
        <v>10462</v>
      </c>
      <c r="W487" s="1" t="s">
        <v>10463</v>
      </c>
      <c r="X487" s="1" t="s">
        <v>10464</v>
      </c>
      <c r="Y487" s="1" t="s">
        <v>10465</v>
      </c>
      <c r="Z487" s="1" t="s">
        <v>10466</v>
      </c>
      <c r="AA487" s="1" t="s">
        <v>10467</v>
      </c>
      <c r="AB487" s="1" t="s">
        <v>10468</v>
      </c>
      <c r="AC487" s="1" t="s">
        <v>10469</v>
      </c>
      <c r="AD487" s="6" t="s">
        <v>10470</v>
      </c>
      <c r="AE487" s="1" t="s">
        <v>10471</v>
      </c>
      <c r="AF487" s="1" t="s">
        <v>10472</v>
      </c>
      <c r="AG487" s="6" t="s">
        <v>10473</v>
      </c>
      <c r="AH487" s="1" t="s">
        <v>10474</v>
      </c>
      <c r="AI487" s="6" t="s">
        <v>132</v>
      </c>
      <c r="AJ487" s="6" t="s">
        <v>10475</v>
      </c>
      <c r="AK487" s="1" t="s">
        <v>10476</v>
      </c>
      <c r="AL487" s="6" t="s">
        <v>132</v>
      </c>
    </row>
    <row r="488" ht="15.75" customHeight="1">
      <c r="A488" s="1" t="s">
        <v>127</v>
      </c>
      <c r="B488" s="1" t="s">
        <v>10477</v>
      </c>
      <c r="C488" s="1" t="s">
        <v>10478</v>
      </c>
      <c r="D488" s="8" t="s">
        <v>10479</v>
      </c>
      <c r="E488" s="1" t="s">
        <v>10480</v>
      </c>
      <c r="F488" s="6" t="s">
        <v>132</v>
      </c>
      <c r="G488" s="1" t="s">
        <v>10481</v>
      </c>
      <c r="H488" s="1" t="s">
        <v>10482</v>
      </c>
      <c r="I488" s="1" t="s">
        <v>10483</v>
      </c>
      <c r="J488" s="6" t="s">
        <v>10484</v>
      </c>
      <c r="K488" s="1" t="s">
        <v>10485</v>
      </c>
      <c r="L488" s="1" t="s">
        <v>10486</v>
      </c>
      <c r="M488" s="1" t="s">
        <v>10487</v>
      </c>
      <c r="N488" s="6" t="s">
        <v>132</v>
      </c>
      <c r="O488" s="6" t="s">
        <v>10488</v>
      </c>
      <c r="P488" s="1" t="s">
        <v>10489</v>
      </c>
      <c r="Q488" s="1" t="s">
        <v>10490</v>
      </c>
      <c r="R488" s="1" t="s">
        <v>10491</v>
      </c>
      <c r="S488" s="10" t="s">
        <v>10492</v>
      </c>
      <c r="T488" s="1" t="s">
        <v>10493</v>
      </c>
      <c r="U488" s="1" t="s">
        <v>10494</v>
      </c>
      <c r="V488" s="1" t="s">
        <v>10490</v>
      </c>
      <c r="W488" s="1" t="s">
        <v>10495</v>
      </c>
      <c r="X488" s="1" t="s">
        <v>10496</v>
      </c>
      <c r="Y488" s="1" t="s">
        <v>10497</v>
      </c>
      <c r="Z488" s="1" t="s">
        <v>10485</v>
      </c>
      <c r="AA488" s="1" t="s">
        <v>10498</v>
      </c>
      <c r="AB488" s="1" t="s">
        <v>10499</v>
      </c>
      <c r="AC488" s="1" t="s">
        <v>10500</v>
      </c>
      <c r="AD488" s="6" t="s">
        <v>10501</v>
      </c>
      <c r="AE488" s="1" t="s">
        <v>10502</v>
      </c>
      <c r="AF488" s="1" t="s">
        <v>10503</v>
      </c>
      <c r="AG488" s="6" t="s">
        <v>10504</v>
      </c>
      <c r="AH488" s="1" t="s">
        <v>10505</v>
      </c>
      <c r="AI488" s="6" t="s">
        <v>132</v>
      </c>
      <c r="AJ488" s="6" t="s">
        <v>10506</v>
      </c>
      <c r="AK488" s="1" t="s">
        <v>10507</v>
      </c>
      <c r="AL488" s="6" t="s">
        <v>132</v>
      </c>
    </row>
    <row r="489" ht="15.75" customHeight="1">
      <c r="A489" s="1" t="s">
        <v>127</v>
      </c>
      <c r="B489" s="1" t="s">
        <v>10508</v>
      </c>
      <c r="C489" s="1" t="s">
        <v>10509</v>
      </c>
      <c r="D489" s="8" t="s">
        <v>10510</v>
      </c>
      <c r="E489" s="1" t="s">
        <v>10511</v>
      </c>
      <c r="F489" s="6" t="s">
        <v>132</v>
      </c>
      <c r="G489" s="1" t="s">
        <v>10512</v>
      </c>
      <c r="H489" s="1" t="s">
        <v>10513</v>
      </c>
      <c r="I489" s="1" t="s">
        <v>10514</v>
      </c>
      <c r="J489" s="6" t="s">
        <v>10515</v>
      </c>
      <c r="K489" s="1" t="s">
        <v>10516</v>
      </c>
      <c r="L489" s="1" t="s">
        <v>10517</v>
      </c>
      <c r="M489" s="1" t="s">
        <v>10518</v>
      </c>
      <c r="N489" s="6" t="s">
        <v>132</v>
      </c>
      <c r="O489" s="6" t="s">
        <v>10519</v>
      </c>
      <c r="P489" s="1" t="s">
        <v>10520</v>
      </c>
      <c r="Q489" s="1" t="s">
        <v>10521</v>
      </c>
      <c r="R489" s="1" t="s">
        <v>10522</v>
      </c>
      <c r="S489" s="10" t="s">
        <v>10523</v>
      </c>
      <c r="T489" s="1" t="s">
        <v>10524</v>
      </c>
      <c r="U489" s="1" t="s">
        <v>10525</v>
      </c>
      <c r="V489" s="1" t="s">
        <v>10526</v>
      </c>
      <c r="W489" s="1" t="s">
        <v>10527</v>
      </c>
      <c r="X489" s="1" t="s">
        <v>10528</v>
      </c>
      <c r="Y489" s="1" t="s">
        <v>10529</v>
      </c>
      <c r="Z489" s="1" t="s">
        <v>10530</v>
      </c>
      <c r="AA489" s="1" t="s">
        <v>10531</v>
      </c>
      <c r="AB489" s="1" t="s">
        <v>10532</v>
      </c>
      <c r="AC489" s="1" t="s">
        <v>10533</v>
      </c>
      <c r="AD489" s="6" t="s">
        <v>10534</v>
      </c>
      <c r="AE489" s="1" t="s">
        <v>10535</v>
      </c>
      <c r="AF489" s="1" t="s">
        <v>10513</v>
      </c>
      <c r="AG489" s="6" t="s">
        <v>10536</v>
      </c>
      <c r="AH489" s="1" t="s">
        <v>10537</v>
      </c>
      <c r="AI489" s="6" t="s">
        <v>132</v>
      </c>
      <c r="AJ489" s="6" t="s">
        <v>10538</v>
      </c>
      <c r="AK489" s="1" t="s">
        <v>10539</v>
      </c>
      <c r="AL489" s="6" t="s">
        <v>132</v>
      </c>
    </row>
    <row r="490" ht="15.75" hidden="1" customHeight="1">
      <c r="A490" s="1" t="s">
        <v>38</v>
      </c>
      <c r="B490" s="1" t="s">
        <v>10540</v>
      </c>
      <c r="C490" s="1" t="s">
        <v>10541</v>
      </c>
      <c r="D490" s="8" t="s">
        <v>10542</v>
      </c>
      <c r="E490" s="1" t="s">
        <v>10543</v>
      </c>
      <c r="F490" s="6" t="s">
        <v>10544</v>
      </c>
      <c r="G490" s="7" t="str">
        <f>IFERROR(__xludf.DUMMYFUNCTION("GOOGLETRANSLATE(C490, ""en"", ""cs"")"),"Upozornit na zprávy přijaté od cizinců.")</f>
        <v>Upozornit na zprávy přijaté od cizinců.</v>
      </c>
      <c r="H490" s="7" t="str">
        <f>IFERROR(__xludf.DUMMYFUNCTION("GOOGLETRANSLATE(C490, ""en"", ""da"")"),"Underretning om meddelelser modtaget fra fremmede.")</f>
        <v>Underretning om meddelelser modtaget fra fremmede.</v>
      </c>
      <c r="I490" s="1" t="s">
        <v>10545</v>
      </c>
      <c r="J490" s="6" t="s">
        <v>132</v>
      </c>
      <c r="K490" s="1" t="s">
        <v>10546</v>
      </c>
      <c r="L490" s="7" t="str">
        <f>IFERROR(__xludf.DUMMYFUNCTION("GOOGLETRANSLATE(C490, ""en"", ""fi"")"),"Ilmoita vieraiden vastaanottamista viesteistä.")</f>
        <v>Ilmoita vieraiden vastaanottamista viesteistä.</v>
      </c>
      <c r="M490" s="1" t="s">
        <v>10547</v>
      </c>
      <c r="N490" s="6" t="s">
        <v>10548</v>
      </c>
      <c r="O490" s="6" t="s">
        <v>132</v>
      </c>
      <c r="P490" s="1" t="s">
        <v>10549</v>
      </c>
      <c r="Q490" s="7" t="str">
        <f>IFERROR(__xludf.DUMMYFUNCTION("GOOGLETRANSLATE(C490, ""en"", ""in"")"),"Beri tahu untuk pesan yang diterima dari orang asing.")</f>
        <v>Beri tahu untuk pesan yang diterima dari orang asing.</v>
      </c>
      <c r="R490" s="1" t="s">
        <v>10550</v>
      </c>
      <c r="S490" s="6" t="s">
        <v>132</v>
      </c>
      <c r="T490" s="1" t="s">
        <v>10551</v>
      </c>
      <c r="U490" s="1" t="s">
        <v>10552</v>
      </c>
      <c r="V490" s="7" t="str">
        <f>IFERROR(__xludf.DUMMYFUNCTION("GOOGLETRANSLATE(C490, ""en"", ""ms"")"),"Beritahu mesej yang diterima daripada orang yang tidak dikenali.")</f>
        <v>Beritahu mesej yang diterima daripada orang yang tidak dikenali.</v>
      </c>
      <c r="W490" s="1" t="s">
        <v>10553</v>
      </c>
      <c r="X490" s="7" t="str">
        <f>IFERROR(__xludf.DUMMYFUNCTION("GOOGLETRANSLATE(C490, ""en"", ""no"")"),"Varsle om meldinger mottatt fra fremmede.")</f>
        <v>Varsle om meldinger mottatt fra fremmede.</v>
      </c>
      <c r="Y490" s="1" t="s">
        <v>10554</v>
      </c>
      <c r="Z490" s="7" t="str">
        <f>IFERROR(__xludf.DUMMYFUNCTION("GOOGLETRANSLATE(C490, ""en"", ""pt"")"),"Notifique as mensagens recebidas de estranhos.")</f>
        <v>Notifique as mensagens recebidas de estranhos.</v>
      </c>
      <c r="AA490" s="7" t="str">
        <f>IFERROR(__xludf.DUMMYFUNCTION("GOOGLETRANSLATE(C490, ""en"", ""ro"")"),"Notificați pentru mesajele primite de la străini.")</f>
        <v>Notificați pentru mesajele primite de la străini.</v>
      </c>
      <c r="AB490" s="1" t="s">
        <v>10555</v>
      </c>
      <c r="AC490" s="7" t="str">
        <f>IFERROR(__xludf.DUMMYFUNCTION("GOOGLETRANSLATE(C490, ""en"", ""sk"")"),"Upozorniť na správy prijaté od cudzincov.")</f>
        <v>Upozorniť na správy prijaté od cudzincov.</v>
      </c>
      <c r="AD490" s="6" t="s">
        <v>132</v>
      </c>
      <c r="AE490" s="1" t="s">
        <v>10556</v>
      </c>
      <c r="AF490" s="1" t="s">
        <v>10557</v>
      </c>
      <c r="AG490" s="6" t="s">
        <v>132</v>
      </c>
      <c r="AH490" s="7" t="str">
        <f>IFERROR(__xludf.DUMMYFUNCTION("GOOGLETRANSLATE(C490, ""en"", ""tr"")"),"Yabancılardan alınan mesajlar için haber verin.")</f>
        <v>Yabancılardan alınan mesajlar için haber verin.</v>
      </c>
      <c r="AI490" s="6" t="s">
        <v>10558</v>
      </c>
      <c r="AJ490" s="6" t="s">
        <v>132</v>
      </c>
      <c r="AK490" s="7" t="str">
        <f>IFERROR(__xludf.DUMMYFUNCTION("GOOGLETRANSLATE(C490, ""en"", ""zh"")"),"通知从陌生人收到的邮件。")</f>
        <v>通知从陌生人收到的邮件。</v>
      </c>
      <c r="AL490" s="6" t="s">
        <v>10559</v>
      </c>
    </row>
    <row r="491" ht="15.75" customHeight="1">
      <c r="A491" s="1" t="s">
        <v>127</v>
      </c>
      <c r="B491" s="1" t="s">
        <v>10560</v>
      </c>
      <c r="C491" s="1" t="s">
        <v>10561</v>
      </c>
      <c r="D491" s="8" t="s">
        <v>10562</v>
      </c>
      <c r="E491" s="1" t="s">
        <v>10563</v>
      </c>
      <c r="F491" s="6" t="s">
        <v>132</v>
      </c>
      <c r="G491" s="1" t="s">
        <v>10564</v>
      </c>
      <c r="H491" s="1" t="s">
        <v>10565</v>
      </c>
      <c r="I491" s="1" t="s">
        <v>10566</v>
      </c>
      <c r="J491" s="6" t="s">
        <v>10567</v>
      </c>
      <c r="K491" s="1" t="s">
        <v>10568</v>
      </c>
      <c r="L491" s="1" t="s">
        <v>10569</v>
      </c>
      <c r="M491" s="1" t="s">
        <v>10570</v>
      </c>
      <c r="N491" s="6" t="s">
        <v>132</v>
      </c>
      <c r="O491" s="6" t="s">
        <v>10571</v>
      </c>
      <c r="P491" s="1" t="s">
        <v>10572</v>
      </c>
      <c r="Q491" s="1" t="s">
        <v>10573</v>
      </c>
      <c r="R491" s="1" t="s">
        <v>10574</v>
      </c>
      <c r="S491" s="10" t="s">
        <v>10575</v>
      </c>
      <c r="T491" s="1" t="s">
        <v>10576</v>
      </c>
      <c r="U491" s="1" t="s">
        <v>10577</v>
      </c>
      <c r="V491" s="1" t="s">
        <v>10578</v>
      </c>
      <c r="W491" s="1" t="s">
        <v>10579</v>
      </c>
      <c r="X491" s="1" t="s">
        <v>10580</v>
      </c>
      <c r="Y491" s="1" t="s">
        <v>10581</v>
      </c>
      <c r="Z491" s="1" t="s">
        <v>10582</v>
      </c>
      <c r="AA491" s="1" t="s">
        <v>10583</v>
      </c>
      <c r="AB491" s="1" t="s">
        <v>10584</v>
      </c>
      <c r="AC491" s="1" t="s">
        <v>10585</v>
      </c>
      <c r="AD491" s="6" t="s">
        <v>10586</v>
      </c>
      <c r="AE491" s="1" t="s">
        <v>10587</v>
      </c>
      <c r="AF491" s="1" t="s">
        <v>10588</v>
      </c>
      <c r="AG491" s="6" t="s">
        <v>10589</v>
      </c>
      <c r="AH491" s="1" t="s">
        <v>10590</v>
      </c>
      <c r="AI491" s="6" t="s">
        <v>132</v>
      </c>
      <c r="AJ491" s="6" t="s">
        <v>10591</v>
      </c>
      <c r="AK491" s="1" t="s">
        <v>10592</v>
      </c>
      <c r="AL491" s="6" t="s">
        <v>132</v>
      </c>
    </row>
    <row r="492" ht="15.75" hidden="1" customHeight="1">
      <c r="A492" s="1" t="s">
        <v>38</v>
      </c>
      <c r="B492" s="1" t="s">
        <v>10593</v>
      </c>
      <c r="C492" s="1" t="s">
        <v>10594</v>
      </c>
      <c r="D492" s="8" t="s">
        <v>10595</v>
      </c>
      <c r="E492" s="1" t="s">
        <v>10596</v>
      </c>
      <c r="F492" s="6" t="s">
        <v>10597</v>
      </c>
      <c r="G492" s="7" t="str">
        <f>IFERROR(__xludf.DUMMYFUNCTION("GOOGLETRANSLATE(C492, ""en"", ""cs"")"),"Chcete odblokovat% s a umožnit jim poslat zprávy?")</f>
        <v>Chcete odblokovat% s a umožnit jim poslat zprávy?</v>
      </c>
      <c r="H492" s="7" t="str">
        <f>IFERROR(__xludf.DUMMYFUNCTION("GOOGLETRANSLATE(C492, ""en"", ""da"")"),"Vil du gerne blokere% s og tillade dem at sende dig beskeder?")</f>
        <v>Vil du gerne blokere% s og tillade dem at sende dig beskeder?</v>
      </c>
      <c r="I492" s="1" t="s">
        <v>10598</v>
      </c>
      <c r="J492" s="6" t="s">
        <v>132</v>
      </c>
      <c r="K492" s="1" t="s">
        <v>10599</v>
      </c>
      <c r="L492" s="7" t="str">
        <f>IFERROR(__xludf.DUMMYFUNCTION("GOOGLETRANSLATE(C492, ""en"", ""fi"")"),"Haluatko estää% s ja antaa heille mahdollisuuden lähettää sinulle viestejä?")</f>
        <v>Haluatko estää% s ja antaa heille mahdollisuuden lähettää sinulle viestejä?</v>
      </c>
      <c r="M492" s="1" t="s">
        <v>10600</v>
      </c>
      <c r="N492" s="6" t="s">
        <v>10601</v>
      </c>
      <c r="O492" s="6" t="s">
        <v>132</v>
      </c>
      <c r="P492" s="1" t="s">
        <v>10602</v>
      </c>
      <c r="Q492" s="9" t="s">
        <v>10603</v>
      </c>
      <c r="R492" s="1" t="s">
        <v>10604</v>
      </c>
      <c r="S492" s="6" t="s">
        <v>132</v>
      </c>
      <c r="T492" s="1" t="s">
        <v>10605</v>
      </c>
      <c r="U492" s="1" t="s">
        <v>10606</v>
      </c>
      <c r="V492" s="7" t="str">
        <f>IFERROR(__xludf.DUMMYFUNCTION("GOOGLETRANSLATE(C492, ""en"", ""ms"")"),"Adakah anda ingin menyahsekat% s dan membolehkan mereka menghantar mesej kepada anda?")</f>
        <v>Adakah anda ingin menyahsekat% s dan membolehkan mereka menghantar mesej kepada anda?</v>
      </c>
      <c r="W492" s="1" t="s">
        <v>10607</v>
      </c>
      <c r="X492" s="7" t="str">
        <f>IFERROR(__xludf.DUMMYFUNCTION("GOOGLETRANSLATE(C492, ""en"", ""no"")"),"Vil du unlock% s og la dem sende deg meldinger?")</f>
        <v>Vil du unlock% s og la dem sende deg meldinger?</v>
      </c>
      <c r="Y492" s="1" t="s">
        <v>10608</v>
      </c>
      <c r="Z492" s="1" t="s">
        <v>10609</v>
      </c>
      <c r="AA492" s="7" t="str">
        <f>IFERROR(__xludf.DUMMYFUNCTION("GOOGLETRANSLATE(C492, ""en"", ""ro"")"),"Doriți să deblocați% s și să le permiteți să vă trimită mesaje?")</f>
        <v>Doriți să deblocați% s și să le permiteți să vă trimită mesaje?</v>
      </c>
      <c r="AB492" s="1" t="s">
        <v>10610</v>
      </c>
      <c r="AC492" s="1" t="s">
        <v>10611</v>
      </c>
      <c r="AD492" s="6" t="s">
        <v>132</v>
      </c>
      <c r="AE492" s="1" t="s">
        <v>10612</v>
      </c>
      <c r="AF492" s="1" t="s">
        <v>10613</v>
      </c>
      <c r="AG492" s="6" t="s">
        <v>132</v>
      </c>
      <c r="AH492" s="13" t="s">
        <v>10614</v>
      </c>
      <c r="AI492" s="6" t="s">
        <v>10615</v>
      </c>
      <c r="AJ492" s="6" t="s">
        <v>10616</v>
      </c>
      <c r="AK492" s="7" t="str">
        <f>IFERROR(__xludf.DUMMYFUNCTION("GOOGLETRANSLATE(C492, ""en"", ""zh"")"),"你想解除％s吗？并允许他们向您发送消息？")</f>
        <v>你想解除％s吗？并允许他们向您发送消息？</v>
      </c>
      <c r="AL492" s="6" t="s">
        <v>10617</v>
      </c>
    </row>
    <row r="493" ht="15.75" hidden="1" customHeight="1">
      <c r="A493" s="1" t="s">
        <v>38</v>
      </c>
      <c r="B493" s="1" t="s">
        <v>10618</v>
      </c>
      <c r="C493" s="1" t="s">
        <v>10619</v>
      </c>
      <c r="D493" s="7" t="str">
        <f>IFERROR(__xludf.DUMMYFUNCTION("GOOGLETRANSLATE(C493, ""en"", ""ar"")"),"لقد أرسلنا لك رسالة نصية قصيرة أخرى مع رمز 5 أرقام.")</f>
        <v>لقد أرسلنا لك رسالة نصية قصيرة أخرى مع رمز 5 أرقام.</v>
      </c>
      <c r="E493" s="1" t="s">
        <v>10620</v>
      </c>
      <c r="F493" s="6" t="s">
        <v>132</v>
      </c>
      <c r="G493" s="7" t="str">
        <f>IFERROR(__xludf.DUMMYFUNCTION("GOOGLETRANSLATE(C493, ""en"", ""cs"")"),"Poslali jsme vám další SMS s 5místným kódem.")</f>
        <v>Poslali jsme vám další SMS s 5místným kódem.</v>
      </c>
      <c r="H493" s="7" t="str">
        <f>IFERROR(__xludf.DUMMYFUNCTION("GOOGLETRANSLATE(C493, ""en"", ""da"")"),"Vi har sendt dig en anden SMS med en 5-cifret kode.")</f>
        <v>Vi har sendt dig en anden SMS med en 5-cifret kode.</v>
      </c>
      <c r="I493" s="1" t="s">
        <v>10621</v>
      </c>
      <c r="J493" s="6" t="s">
        <v>132</v>
      </c>
      <c r="K493" s="1" t="s">
        <v>10622</v>
      </c>
      <c r="L493" s="7" t="str">
        <f>IFERROR(__xludf.DUMMYFUNCTION("GOOGLETRANSLATE(C493, ""en"", ""fi"")"),"Olemme lähettäneet sinulle toisen tekstiviestin, jossa on 5-numeroinen koodi.")</f>
        <v>Olemme lähettäneet sinulle toisen tekstiviestin, jossa on 5-numeroinen koodi.</v>
      </c>
      <c r="M493" s="1" t="s">
        <v>10623</v>
      </c>
      <c r="N493" s="6" t="s">
        <v>10624</v>
      </c>
      <c r="O493" s="6" t="s">
        <v>132</v>
      </c>
      <c r="P493" s="1" t="s">
        <v>10625</v>
      </c>
      <c r="Q493" s="7" t="str">
        <f>IFERROR(__xludf.DUMMYFUNCTION("GOOGLETRANSLATE(C493, ""en"", ""in"")"),"Kami telah mengirimi Anda SMS lain dengan kode 5 digit.")</f>
        <v>Kami telah mengirimi Anda SMS lain dengan kode 5 digit.</v>
      </c>
      <c r="R493" s="1" t="s">
        <v>10626</v>
      </c>
      <c r="S493" s="6" t="s">
        <v>132</v>
      </c>
      <c r="T493" s="7" t="str">
        <f>IFERROR(__xludf.DUMMYFUNCTION("GOOGLETRANSLATE(C493, ""en"", ""ja"")"),"5桁のコードで別のSMSを送りました。")</f>
        <v>5桁のコードで別のSMSを送りました。</v>
      </c>
      <c r="U493" s="7" t="str">
        <f>IFERROR(__xludf.DUMMYFUNCTION("GOOGLETRANSLATE(C493, ""en"", ""ko"")"),"우리는 5 자리 코드로 다른 SMS를 보냈습니다.")</f>
        <v>우리는 5 자리 코드로 다른 SMS를 보냈습니다.</v>
      </c>
      <c r="V493" s="7" t="str">
        <f>IFERROR(__xludf.DUMMYFUNCTION("GOOGLETRANSLATE(C493, ""en"", ""ms"")"),"Kami telah menghantar anda satu lagi SMS dengan kod 5 digit.")</f>
        <v>Kami telah menghantar anda satu lagi SMS dengan kod 5 digit.</v>
      </c>
      <c r="W493" s="1" t="s">
        <v>10627</v>
      </c>
      <c r="X493" s="7" t="str">
        <f>IFERROR(__xludf.DUMMYFUNCTION("GOOGLETRANSLATE(C493, ""en"", ""no"")"),"Vi har sendt deg en annen SMS med en 5-sifret kode.")</f>
        <v>Vi har sendt deg en annen SMS med en 5-sifret kode.</v>
      </c>
      <c r="Y493" s="1" t="s">
        <v>10628</v>
      </c>
      <c r="Z493" s="7" t="str">
        <f>IFERROR(__xludf.DUMMYFUNCTION("GOOGLETRANSLATE(C493, ""en"", ""pt"")"),"Nós lhe enviamos outro SMS com um código de 5 dígitos.")</f>
        <v>Nós lhe enviamos outro SMS com um código de 5 dígitos.</v>
      </c>
      <c r="AA493" s="7" t="str">
        <f>IFERROR(__xludf.DUMMYFUNCTION("GOOGLETRANSLATE(C493, ""en"", ""ro"")"),"V-am trimis un alt SMS cu un cod de 5 cifre.")</f>
        <v>V-am trimis un alt SMS cu un cod de 5 cifre.</v>
      </c>
      <c r="AB493" s="7" t="str">
        <f>IFERROR(__xludf.DUMMYFUNCTION("GOOGLETRANSLATE(C493, ""en"", ""ru"")"),"Мы отправили вам еще один SMS с 5-значным кодом.")</f>
        <v>Мы отправили вам еще один SMS с 5-значным кодом.</v>
      </c>
      <c r="AC493" s="7" t="str">
        <f>IFERROR(__xludf.DUMMYFUNCTION("GOOGLETRANSLATE(C493, ""en"", ""sk"")"),"Poslali sme vám ďalšie SMS s 5-miestnym kódom.")</f>
        <v>Poslali sme vám ďalšie SMS s 5-miestnym kódom.</v>
      </c>
      <c r="AD493" s="6" t="s">
        <v>132</v>
      </c>
      <c r="AE493" s="7" t="str">
        <f>IFERROR(__xludf.DUMMYFUNCTION("GOOGLETRANSLATE(C493, ""en"", ""sr"")"),"Послали смо вам још један СМС са 5-цифреним кодом.")</f>
        <v>Послали смо вам још један СМС са 5-цифреним кодом.</v>
      </c>
      <c r="AF493" s="7" t="str">
        <f>IFERROR(__xludf.DUMMYFUNCTION("GOOGLETRANSLATE(C493, ""en"", ""sv"")"),"Vi har skickat dig ett annat SMS med en 5-siffrig kod.")</f>
        <v>Vi har skickat dig ett annat SMS med en 5-siffrig kod.</v>
      </c>
      <c r="AG493" s="6" t="s">
        <v>132</v>
      </c>
      <c r="AH493" s="7" t="str">
        <f>IFERROR(__xludf.DUMMYFUNCTION("GOOGLETRANSLATE(C493, ""en"", ""tr"")"),"5 basamaklı bir kodla size başka bir SMS gönderdik.")</f>
        <v>5 basamaklı bir kodla size başka bir SMS gönderdik.</v>
      </c>
      <c r="AI493" s="6" t="s">
        <v>132</v>
      </c>
      <c r="AJ493" s="6" t="s">
        <v>132</v>
      </c>
      <c r="AK493" s="7" t="str">
        <f>IFERROR(__xludf.DUMMYFUNCTION("GOOGLETRANSLATE(C493, ""en"", ""zh"")"),"我们已经向您发送了一个带有5位数代码的另一个短信。")</f>
        <v>我们已经向您发送了一个带有5位数代码的另一个短信。</v>
      </c>
      <c r="AL493" s="6" t="s">
        <v>132</v>
      </c>
    </row>
    <row r="494" ht="15.75" hidden="1" customHeight="1">
      <c r="A494" s="1" t="s">
        <v>38</v>
      </c>
      <c r="B494" s="1" t="s">
        <v>10629</v>
      </c>
      <c r="C494" s="1" t="s">
        <v>10630</v>
      </c>
      <c r="D494" s="7" t="str">
        <f>IFERROR(__xludf.DUMMYFUNCTION("GOOGLETRANSLATE(C494, ""en"", ""ar"")"),"إرسال الرسم البياني من قبل الدردشة")</f>
        <v>إرسال الرسم البياني من قبل الدردشة</v>
      </c>
      <c r="E494" s="7" t="str">
        <f>IFERROR(__xludf.DUMMYFUNCTION("GOOGLETRANSLATE(C494, ""en"", ""bg"")"),"Изпратете диаграма по чат")</f>
        <v>Изпратете диаграма по чат</v>
      </c>
      <c r="F494" s="6" t="s">
        <v>132</v>
      </c>
      <c r="G494" s="7" t="str">
        <f>IFERROR(__xludf.DUMMYFUNCTION("GOOGLETRANSLATE(C494, ""en"", ""cs"")"),"Odeslat graf chatem")</f>
        <v>Odeslat graf chatem</v>
      </c>
      <c r="H494" s="7" t="str">
        <f>IFERROR(__xludf.DUMMYFUNCTION("GOOGLETRANSLATE(C494, ""en"", ""da"")"),"Send diagram ved chat")</f>
        <v>Send diagram ved chat</v>
      </c>
      <c r="I494" s="1" t="s">
        <v>10631</v>
      </c>
      <c r="J494" s="6" t="s">
        <v>132</v>
      </c>
      <c r="K494" s="1" t="s">
        <v>10632</v>
      </c>
      <c r="L494" s="7" t="str">
        <f>IFERROR(__xludf.DUMMYFUNCTION("GOOGLETRANSLATE(C494, ""en"", ""fi"")"),"Lähetä kaavio Chat")</f>
        <v>Lähetä kaavio Chat</v>
      </c>
      <c r="M494" s="1" t="s">
        <v>10633</v>
      </c>
      <c r="N494" s="6" t="s">
        <v>132</v>
      </c>
      <c r="O494" s="6" t="s">
        <v>132</v>
      </c>
      <c r="P494" s="1" t="s">
        <v>10634</v>
      </c>
      <c r="Q494" s="7" t="str">
        <f>IFERROR(__xludf.DUMMYFUNCTION("GOOGLETRANSLATE(C494, ""en"", ""in"")"),"Kirim bagan dengan obrolan")</f>
        <v>Kirim bagan dengan obrolan</v>
      </c>
      <c r="R494" s="7" t="str">
        <f>IFERROR(__xludf.DUMMYFUNCTION("GOOGLETRANSLATE(C494, ""en"", ""it"")"),"Invia grafico per chat")</f>
        <v>Invia grafico per chat</v>
      </c>
      <c r="S494" s="6" t="s">
        <v>132</v>
      </c>
      <c r="T494" s="7" t="str">
        <f>IFERROR(__xludf.DUMMYFUNCTION("GOOGLETRANSLATE(C494, ""en"", ""ja"")"),"チャットでチャートを送信します")</f>
        <v>チャットでチャートを送信します</v>
      </c>
      <c r="U494" s="7" t="str">
        <f>IFERROR(__xludf.DUMMYFUNCTION("GOOGLETRANSLATE(C494, ""en"", ""ko"")"),"채팅으로 차트를 보냅니다")</f>
        <v>채팅으로 차트를 보냅니다</v>
      </c>
      <c r="V494" s="7" t="str">
        <f>IFERROR(__xludf.DUMMYFUNCTION("GOOGLETRANSLATE(C494, ""en"", ""ms"")"),"Hantar carta dengan sembang")</f>
        <v>Hantar carta dengan sembang</v>
      </c>
      <c r="W494" s="7" t="str">
        <f>IFERROR(__xludf.DUMMYFUNCTION("GOOGLETRANSLATE(C494, ""en"", ""nl"")"),"Stuur diagram door chat")</f>
        <v>Stuur diagram door chat</v>
      </c>
      <c r="X494" s="7" t="str">
        <f>IFERROR(__xludf.DUMMYFUNCTION("GOOGLETRANSLATE(C494, ""en"", ""no"")"),"Send diagram via chat")</f>
        <v>Send diagram via chat</v>
      </c>
      <c r="Y494" s="7" t="str">
        <f>IFERROR(__xludf.DUMMYFUNCTION("GOOGLETRANSLATE(C494, ""en"", ""pl"")"),"Wyślij wykres na czacie")</f>
        <v>Wyślij wykres na czacie</v>
      </c>
      <c r="Z494" s="7" t="str">
        <f>IFERROR(__xludf.DUMMYFUNCTION("GOOGLETRANSLATE(C494, ""en"", ""pt"")"),"Enviar gráfico por bate-papo")</f>
        <v>Enviar gráfico por bate-papo</v>
      </c>
      <c r="AA494" s="7" t="str">
        <f>IFERROR(__xludf.DUMMYFUNCTION("GOOGLETRANSLATE(C494, ""en"", ""ro"")"),"Trimiteți diagrama prin chat")</f>
        <v>Trimiteți diagrama prin chat</v>
      </c>
      <c r="AB494" s="1" t="s">
        <v>10635</v>
      </c>
      <c r="AC494" s="7" t="str">
        <f>IFERROR(__xludf.DUMMYFUNCTION("GOOGLETRANSLATE(C494, ""en"", ""sk"")"),"Odosielať graf podľa chatu")</f>
        <v>Odosielať graf podľa chatu</v>
      </c>
      <c r="AD494" s="6" t="s">
        <v>132</v>
      </c>
      <c r="AE494" s="1" t="s">
        <v>10636</v>
      </c>
      <c r="AF494" s="7" t="str">
        <f>IFERROR(__xludf.DUMMYFUNCTION("GOOGLETRANSLATE(C494, ""en"", ""sv"")"),"Skicka diagram med chatt")</f>
        <v>Skicka diagram med chatt</v>
      </c>
      <c r="AG494" s="6" t="s">
        <v>132</v>
      </c>
      <c r="AH494" s="7" t="str">
        <f>IFERROR(__xludf.DUMMYFUNCTION("GOOGLETRANSLATE(C494, ""en"", ""tr"")"),"Sohbetle Grafik Gönder")</f>
        <v>Sohbetle Grafik Gönder</v>
      </c>
      <c r="AI494" s="6" t="s">
        <v>132</v>
      </c>
      <c r="AJ494" s="6" t="s">
        <v>132</v>
      </c>
      <c r="AK494" s="7" t="str">
        <f>IFERROR(__xludf.DUMMYFUNCTION("GOOGLETRANSLATE(C494, ""en"", ""zh"")"),"通过聊天发送图表")</f>
        <v>通过聊天发送图表</v>
      </c>
      <c r="AL494" s="6" t="s">
        <v>132</v>
      </c>
    </row>
    <row r="495" ht="15.75" customHeight="1">
      <c r="A495" s="1" t="s">
        <v>127</v>
      </c>
      <c r="B495" s="1" t="s">
        <v>10637</v>
      </c>
      <c r="C495" s="1" t="s">
        <v>10638</v>
      </c>
      <c r="D495" s="8" t="s">
        <v>8780</v>
      </c>
      <c r="E495" s="1" t="s">
        <v>8781</v>
      </c>
      <c r="F495" s="6" t="s">
        <v>132</v>
      </c>
      <c r="G495" s="1" t="s">
        <v>8782</v>
      </c>
      <c r="H495" s="1" t="s">
        <v>8783</v>
      </c>
      <c r="I495" s="1" t="s">
        <v>10639</v>
      </c>
      <c r="J495" s="6" t="s">
        <v>8785</v>
      </c>
      <c r="K495" s="1" t="s">
        <v>8786</v>
      </c>
      <c r="L495" s="1" t="s">
        <v>8787</v>
      </c>
      <c r="M495" s="1" t="s">
        <v>10640</v>
      </c>
      <c r="N495" s="6" t="s">
        <v>132</v>
      </c>
      <c r="O495" s="6" t="s">
        <v>8789</v>
      </c>
      <c r="P495" s="1" t="s">
        <v>10379</v>
      </c>
      <c r="Q495" s="1" t="s">
        <v>10641</v>
      </c>
      <c r="R495" s="1" t="s">
        <v>8792</v>
      </c>
      <c r="S495" s="10" t="s">
        <v>8793</v>
      </c>
      <c r="T495" s="1" t="s">
        <v>8794</v>
      </c>
      <c r="U495" s="1" t="s">
        <v>8795</v>
      </c>
      <c r="V495" s="1" t="s">
        <v>10641</v>
      </c>
      <c r="W495" s="1" t="s">
        <v>10642</v>
      </c>
      <c r="X495" s="1" t="s">
        <v>8796</v>
      </c>
      <c r="Y495" s="1" t="s">
        <v>10643</v>
      </c>
      <c r="Z495" s="1" t="s">
        <v>10644</v>
      </c>
      <c r="AA495" s="1" t="s">
        <v>8799</v>
      </c>
      <c r="AB495" s="1" t="s">
        <v>10645</v>
      </c>
      <c r="AC495" s="1" t="s">
        <v>8801</v>
      </c>
      <c r="AD495" s="6" t="s">
        <v>10389</v>
      </c>
      <c r="AE495" s="1" t="s">
        <v>10646</v>
      </c>
      <c r="AF495" s="1" t="s">
        <v>8804</v>
      </c>
      <c r="AG495" s="6" t="s">
        <v>8805</v>
      </c>
      <c r="AH495" s="1" t="s">
        <v>8806</v>
      </c>
      <c r="AI495" s="6" t="s">
        <v>132</v>
      </c>
      <c r="AJ495" s="6" t="s">
        <v>8807</v>
      </c>
      <c r="AK495" s="1" t="s">
        <v>1266</v>
      </c>
      <c r="AL495" s="6" t="s">
        <v>1267</v>
      </c>
    </row>
    <row r="496" ht="15.75" hidden="1" customHeight="1">
      <c r="A496" s="1" t="s">
        <v>38</v>
      </c>
      <c r="B496" s="1" t="s">
        <v>10647</v>
      </c>
      <c r="C496" s="1" t="s">
        <v>10648</v>
      </c>
      <c r="D496" s="8" t="s">
        <v>10649</v>
      </c>
      <c r="E496" s="1" t="s">
        <v>10650</v>
      </c>
      <c r="F496" s="6" t="s">
        <v>10651</v>
      </c>
      <c r="G496" s="7" t="str">
        <f>IFERROR(__xludf.DUMMYFUNCTION("GOOGLETRANSLATE(C496, ""en"", ""cs"")"),"XEP-0280: Zprávy Carbons")</f>
        <v>XEP-0280: Zprávy Carbons</v>
      </c>
      <c r="H496" s="7" t="str">
        <f>IFERROR(__xludf.DUMMYFUNCTION("GOOGLETRANSLATE(C496, ""en"", ""da"")"),"XEP-0280: Message Carbons")</f>
        <v>XEP-0280: Message Carbons</v>
      </c>
      <c r="I496" s="1" t="s">
        <v>10648</v>
      </c>
      <c r="J496" s="6" t="s">
        <v>132</v>
      </c>
      <c r="K496" s="1" t="s">
        <v>10648</v>
      </c>
      <c r="L496" s="7" t="str">
        <f>IFERROR(__xludf.DUMMYFUNCTION("GOOGLETRANSLATE(C496, ""en"", ""fi"")"),"XEP-0280: Viesti Carbons")</f>
        <v>XEP-0280: Viesti Carbons</v>
      </c>
      <c r="M496" s="1" t="s">
        <v>10652</v>
      </c>
      <c r="N496" s="6" t="s">
        <v>10653</v>
      </c>
      <c r="O496" s="6" t="s">
        <v>132</v>
      </c>
      <c r="P496" s="1" t="s">
        <v>10648</v>
      </c>
      <c r="Q496" s="9" t="s">
        <v>10648</v>
      </c>
      <c r="R496" s="1" t="s">
        <v>10648</v>
      </c>
      <c r="S496" s="6" t="s">
        <v>132</v>
      </c>
      <c r="T496" s="1" t="s">
        <v>10654</v>
      </c>
      <c r="U496" s="1" t="s">
        <v>10648</v>
      </c>
      <c r="V496" s="7" t="str">
        <f>IFERROR(__xludf.DUMMYFUNCTION("GOOGLETRANSLATE(C496, ""en"", ""ms"")"),"Xep-0280: Carbon Mesej")</f>
        <v>Xep-0280: Carbon Mesej</v>
      </c>
      <c r="W496" s="1" t="s">
        <v>10648</v>
      </c>
      <c r="X496" s="7" t="str">
        <f>IFERROR(__xludf.DUMMYFUNCTION("GOOGLETRANSLATE(C496, ""en"", ""no"")"),"XEP-0280: Melding Carbons")</f>
        <v>XEP-0280: Melding Carbons</v>
      </c>
      <c r="Y496" s="1" t="s">
        <v>10655</v>
      </c>
      <c r="Z496" s="1" t="s">
        <v>10648</v>
      </c>
      <c r="AA496" s="7" t="str">
        <f>IFERROR(__xludf.DUMMYFUNCTION("GOOGLETRANSLATE(C496, ""en"", ""ro"")"),"XEP-0280: Mesaj Carbons")</f>
        <v>XEP-0280: Mesaj Carbons</v>
      </c>
      <c r="AB496" s="1" t="s">
        <v>10656</v>
      </c>
      <c r="AC496" s="1" t="s">
        <v>10648</v>
      </c>
      <c r="AD496" s="6" t="s">
        <v>132</v>
      </c>
      <c r="AE496" s="1" t="s">
        <v>10657</v>
      </c>
      <c r="AF496" s="1" t="s">
        <v>10648</v>
      </c>
      <c r="AG496" s="6" t="s">
        <v>132</v>
      </c>
      <c r="AH496" s="7" t="str">
        <f>IFERROR(__xludf.DUMMYFUNCTION("GOOGLETRANSLATE(C496, ""en"", ""tr"")"),"XEP-0280: Mesaj karbonları")</f>
        <v>XEP-0280: Mesaj karbonları</v>
      </c>
      <c r="AI496" s="6" t="s">
        <v>10658</v>
      </c>
      <c r="AJ496" s="6" t="s">
        <v>10648</v>
      </c>
      <c r="AK496" s="7" t="str">
        <f>IFERROR(__xludf.DUMMYFUNCTION("GOOGLETRANSLATE(C496, ""en"", ""zh"")"),"XEP-0280：消息碳")</f>
        <v>XEP-0280：消息碳</v>
      </c>
      <c r="AL496" s="6" t="s">
        <v>10659</v>
      </c>
    </row>
    <row r="497" ht="15.75" customHeight="1">
      <c r="A497" s="1" t="s">
        <v>127</v>
      </c>
      <c r="B497" s="1" t="s">
        <v>10660</v>
      </c>
      <c r="C497" s="1" t="s">
        <v>10661</v>
      </c>
      <c r="D497" s="8" t="s">
        <v>10662</v>
      </c>
      <c r="E497" s="1" t="s">
        <v>10663</v>
      </c>
      <c r="F497" s="6" t="s">
        <v>132</v>
      </c>
      <c r="G497" s="1" t="s">
        <v>10664</v>
      </c>
      <c r="H497" s="1" t="s">
        <v>10665</v>
      </c>
      <c r="I497" s="1" t="s">
        <v>10666</v>
      </c>
      <c r="J497" s="6" t="s">
        <v>10667</v>
      </c>
      <c r="K497" s="1" t="s">
        <v>10668</v>
      </c>
      <c r="L497" s="1" t="s">
        <v>10669</v>
      </c>
      <c r="M497" s="1" t="s">
        <v>10670</v>
      </c>
      <c r="N497" s="6" t="s">
        <v>132</v>
      </c>
      <c r="O497" s="6" t="s">
        <v>10671</v>
      </c>
      <c r="P497" s="1" t="s">
        <v>10672</v>
      </c>
      <c r="Q497" s="1" t="s">
        <v>10673</v>
      </c>
      <c r="R497" s="1" t="s">
        <v>10674</v>
      </c>
      <c r="S497" s="10" t="s">
        <v>10675</v>
      </c>
      <c r="T497" s="1" t="s">
        <v>10676</v>
      </c>
      <c r="U497" s="1" t="s">
        <v>10677</v>
      </c>
      <c r="V497" s="1" t="s">
        <v>10678</v>
      </c>
      <c r="W497" s="1" t="s">
        <v>10679</v>
      </c>
      <c r="X497" s="1" t="s">
        <v>10680</v>
      </c>
      <c r="Y497" s="1" t="s">
        <v>10681</v>
      </c>
      <c r="Z497" s="1" t="s">
        <v>10682</v>
      </c>
      <c r="AA497" s="1" t="s">
        <v>10683</v>
      </c>
      <c r="AB497" s="1" t="s">
        <v>10684</v>
      </c>
      <c r="AC497" s="1" t="s">
        <v>10685</v>
      </c>
      <c r="AD497" s="6" t="s">
        <v>10686</v>
      </c>
      <c r="AE497" s="1" t="s">
        <v>10687</v>
      </c>
      <c r="AF497" s="1" t="s">
        <v>10688</v>
      </c>
      <c r="AG497" s="6" t="s">
        <v>10689</v>
      </c>
      <c r="AH497" s="1" t="s">
        <v>10690</v>
      </c>
      <c r="AI497" s="6" t="s">
        <v>132</v>
      </c>
      <c r="AJ497" s="6" t="s">
        <v>10691</v>
      </c>
      <c r="AK497" s="1" t="s">
        <v>10692</v>
      </c>
      <c r="AL497" s="6" t="s">
        <v>10693</v>
      </c>
    </row>
    <row r="498" ht="15.75" hidden="1" customHeight="1">
      <c r="A498" s="1" t="s">
        <v>38</v>
      </c>
      <c r="B498" s="1" t="s">
        <v>10694</v>
      </c>
      <c r="C498" s="1" t="s">
        <v>10695</v>
      </c>
      <c r="D498" s="7" t="str">
        <f>IFERROR(__xludf.DUMMYFUNCTION("GOOGLETRANSLATE(C498, ""en"", ""ar"")"),"أرجو الإنتظار…")</f>
        <v>أرجو الإنتظار…</v>
      </c>
      <c r="E498" s="1" t="s">
        <v>10696</v>
      </c>
      <c r="F498" s="6" t="s">
        <v>10697</v>
      </c>
      <c r="G498" s="7" t="str">
        <f>IFERROR(__xludf.DUMMYFUNCTION("GOOGLETRANSLATE(C498, ""en"", ""cs"")"),"Prosím, čekejte…")</f>
        <v>Prosím, čekejte…</v>
      </c>
      <c r="H498" s="7" t="str">
        <f>IFERROR(__xludf.DUMMYFUNCTION("GOOGLETRANSLATE(C498, ""en"", ""da"")"),"Vent venligst…")</f>
        <v>Vent venligst…</v>
      </c>
      <c r="I498" s="1" t="s">
        <v>10698</v>
      </c>
      <c r="J498" s="6" t="s">
        <v>132</v>
      </c>
      <c r="K498" s="1" t="s">
        <v>10699</v>
      </c>
      <c r="L498" s="7" t="str">
        <f>IFERROR(__xludf.DUMMYFUNCTION("GOOGLETRANSLATE(C498, ""en"", ""fi"")"),"Odota…")</f>
        <v>Odota…</v>
      </c>
      <c r="M498" s="1" t="s">
        <v>10700</v>
      </c>
      <c r="N498" s="6" t="s">
        <v>10701</v>
      </c>
      <c r="O498" s="6" t="s">
        <v>132</v>
      </c>
      <c r="P498" s="1" t="s">
        <v>10702</v>
      </c>
      <c r="Q498" s="7" t="str">
        <f>IFERROR(__xludf.DUMMYFUNCTION("GOOGLETRANSLATE(C498, ""en"", ""in"")"),"Mohon tunggu…")</f>
        <v>Mohon tunggu…</v>
      </c>
      <c r="R498" s="1" t="s">
        <v>10703</v>
      </c>
      <c r="S498" s="6" t="s">
        <v>132</v>
      </c>
      <c r="T498" s="1" t="s">
        <v>10704</v>
      </c>
      <c r="U498" s="7" t="str">
        <f>IFERROR(__xludf.DUMMYFUNCTION("GOOGLETRANSLATE(C498, ""en"", ""ko"")"),"기다려주세요 ...")</f>
        <v>기다려주세요 ...</v>
      </c>
      <c r="V498" s="7" t="str">
        <f>IFERROR(__xludf.DUMMYFUNCTION("GOOGLETRANSLATE(C498, ""en"", ""ms"")"),"Sila tunggu…")</f>
        <v>Sila tunggu…</v>
      </c>
      <c r="W498" s="1" t="s">
        <v>10705</v>
      </c>
      <c r="X498" s="7" t="str">
        <f>IFERROR(__xludf.DUMMYFUNCTION("GOOGLETRANSLATE(C498, ""en"", ""no"")"),"Vennligst vent…")</f>
        <v>Vennligst vent…</v>
      </c>
      <c r="Y498" s="1" t="s">
        <v>10706</v>
      </c>
      <c r="Z498" s="7" t="str">
        <f>IFERROR(__xludf.DUMMYFUNCTION("GOOGLETRANSLATE(C498, ""en"", ""pt"")"),"Por favor, aguarde…")</f>
        <v>Por favor, aguarde…</v>
      </c>
      <c r="AA498" s="7" t="str">
        <f>IFERROR(__xludf.DUMMYFUNCTION("GOOGLETRANSLATE(C498, ""en"", ""ro"")"),"Te rog asteapta…")</f>
        <v>Te rog asteapta…</v>
      </c>
      <c r="AB498" s="1" t="s">
        <v>10707</v>
      </c>
      <c r="AC498" s="7" t="str">
        <f>IFERROR(__xludf.DUMMYFUNCTION("GOOGLETRANSLATE(C498, ""en"", ""sk"")"),"Prosím čakajte…")</f>
        <v>Prosím čakajte…</v>
      </c>
      <c r="AD498" s="6" t="s">
        <v>132</v>
      </c>
      <c r="AE498" s="1" t="s">
        <v>10708</v>
      </c>
      <c r="AF498" s="7" t="str">
        <f>IFERROR(__xludf.DUMMYFUNCTION("GOOGLETRANSLATE(C498, ""en"", ""sv"")"),"Vänta…")</f>
        <v>Vänta…</v>
      </c>
      <c r="AG498" s="6" t="s">
        <v>132</v>
      </c>
      <c r="AH498" s="7" t="str">
        <f>IFERROR(__xludf.DUMMYFUNCTION("GOOGLETRANSLATE(C498, ""en"", ""tr"")"),"Lütfen bekle…")</f>
        <v>Lütfen bekle…</v>
      </c>
      <c r="AI498" s="6" t="s">
        <v>132</v>
      </c>
      <c r="AJ498" s="6" t="s">
        <v>132</v>
      </c>
      <c r="AK498" s="7" t="str">
        <f>IFERROR(__xludf.DUMMYFUNCTION("GOOGLETRANSLATE(C498, ""en"", ""zh"")"),"请稍等…")</f>
        <v>请稍等…</v>
      </c>
      <c r="AL498" s="6" t="s">
        <v>132</v>
      </c>
    </row>
    <row r="499" ht="15.75" hidden="1" customHeight="1">
      <c r="A499" s="1" t="s">
        <v>38</v>
      </c>
      <c r="B499" s="1" t="s">
        <v>10709</v>
      </c>
      <c r="C499" s="1" t="s">
        <v>10710</v>
      </c>
      <c r="D499" s="7" t="str">
        <f>IFERROR(__xludf.DUMMYFUNCTION("GOOGLETRANSLATE(C499, ""en"", ""ar"")"),"يمثل موردك ك ""لا تزعج"" عندما يكون الجهاز في اهتزاز")</f>
        <v>يمثل موردك ك "لا تزعج" عندما يكون الجهاز في اهتزاز</v>
      </c>
      <c r="E499" s="1" t="s">
        <v>10711</v>
      </c>
      <c r="F499" s="6" t="s">
        <v>10712</v>
      </c>
      <c r="G499" s="7" t="str">
        <f>IFERROR(__xludf.DUMMYFUNCTION("GOOGLETRANSLATE(C499, ""en"", ""cs"")"),"Označuje váš zdroj jako ""Nerušit"", když je zařízení na vibrování")</f>
        <v>Označuje váš zdroj jako "Nerušit", když je zařízení na vibrování</v>
      </c>
      <c r="H499" s="7" t="str">
        <f>IFERROR(__xludf.DUMMYFUNCTION("GOOGLETRANSLATE(C499, ""en"", ""da"")"),"Markerer din ressource som ""ikke forstyrre"", når enheden er på vibration")</f>
        <v>Markerer din ressource som "ikke forstyrre", når enheden er på vibration</v>
      </c>
      <c r="I499" s="1" t="s">
        <v>10713</v>
      </c>
      <c r="J499" s="6" t="s">
        <v>132</v>
      </c>
      <c r="K499" s="1" t="s">
        <v>10714</v>
      </c>
      <c r="L499" s="7" t="str">
        <f>IFERROR(__xludf.DUMMYFUNCTION("GOOGLETRANSLATE(C499, ""en"", ""fi"")"),"Merkitsee resurssiasi ""Älä häiritse"", kun laite on väristyksessä")</f>
        <v>Merkitsee resurssiasi "Älä häiritse", kun laite on väristyksessä</v>
      </c>
      <c r="M499" s="1" t="s">
        <v>10715</v>
      </c>
      <c r="N499" s="6" t="s">
        <v>10716</v>
      </c>
      <c r="O499" s="6" t="s">
        <v>132</v>
      </c>
      <c r="P499" s="1" t="s">
        <v>10717</v>
      </c>
      <c r="Q499" s="7" t="str">
        <f>IFERROR(__xludf.DUMMYFUNCTION("GOOGLETRANSLATE(C499, ""en"", ""in"")"),"Menandai sumber daya Anda sebagai ""jangan ganggu"" ketika perangkat pada getar")</f>
        <v>Menandai sumber daya Anda sebagai "jangan ganggu" ketika perangkat pada getar</v>
      </c>
      <c r="R499" s="1" t="s">
        <v>10718</v>
      </c>
      <c r="S499" s="6" t="s">
        <v>132</v>
      </c>
      <c r="T499" s="1" t="s">
        <v>10719</v>
      </c>
      <c r="U499" s="7" t="str">
        <f>IFERROR(__xludf.DUMMYFUNCTION("GOOGLETRANSLATE(C499, ""en"", ""ko"")"),"장치가 진동 중일 때 ""방해하지 마십시오""로 자원을 표시합니다.")</f>
        <v>장치가 진동 중일 때 "방해하지 마십시오"로 자원을 표시합니다.</v>
      </c>
      <c r="V499" s="7" t="str">
        <f>IFERROR(__xludf.DUMMYFUNCTION("GOOGLETRANSLATE(C499, ""en"", ""ms"")"),"Menandakan sumber anda sebagai ""Jangan Ganggu"" apabila peranti sedang bergetar")</f>
        <v>Menandakan sumber anda sebagai "Jangan Ganggu" apabila peranti sedang bergetar</v>
      </c>
      <c r="W499" s="1" t="s">
        <v>10720</v>
      </c>
      <c r="X499" s="7" t="str">
        <f>IFERROR(__xludf.DUMMYFUNCTION("GOOGLETRANSLATE(C499, ""en"", ""no"")"),"Markerer ressursen din som ""ikke forstyrr"" når enheten er på vibrere")</f>
        <v>Markerer ressursen din som "ikke forstyrr" når enheten er på vibrere</v>
      </c>
      <c r="Y499" s="1" t="s">
        <v>10721</v>
      </c>
      <c r="Z499" s="7" t="str">
        <f>IFERROR(__xludf.DUMMYFUNCTION("GOOGLETRANSLATE(C499, ""en"", ""pt"")"),"Marca seu recurso como ""não perturbe"" quando o dispositivo está em vibração")</f>
        <v>Marca seu recurso como "não perturbe" quando o dispositivo está em vibração</v>
      </c>
      <c r="AA499" s="7" t="str">
        <f>IFERROR(__xludf.DUMMYFUNCTION("GOOGLETRANSLATE(C499, ""en"", ""ro"")"),"Marchează resursele dvs. ca ""nu deranjați"" când dispozitivul este vibrat")</f>
        <v>Marchează resursele dvs. ca "nu deranjați" când dispozitivul este vibrat</v>
      </c>
      <c r="AB499" s="1" t="s">
        <v>10722</v>
      </c>
      <c r="AC499" s="7" t="str">
        <f>IFERROR(__xludf.DUMMYFUNCTION("GOOGLETRANSLATE(C499, ""en"", ""sk"")"),"Značí váš zdroj, keď je zariadenie na vibrácii")</f>
        <v>Značí váš zdroj, keď je zariadenie na vibrácii</v>
      </c>
      <c r="AD499" s="6" t="s">
        <v>132</v>
      </c>
      <c r="AE499" s="1" t="s">
        <v>10723</v>
      </c>
      <c r="AF499" s="7" t="str">
        <f>IFERROR(__xludf.DUMMYFUNCTION("GOOGLETRANSLATE(C499, ""en"", ""sv"")"),"Markerar din resurs som ""stör inte"" när enheten är på vibrera")</f>
        <v>Markerar din resurs som "stör inte" när enheten är på vibrera</v>
      </c>
      <c r="AG499" s="6" t="s">
        <v>132</v>
      </c>
      <c r="AH499" s="7" t="str">
        <f>IFERROR(__xludf.DUMMYFUNCTION("GOOGLETRANSLATE(C499, ""en"", ""tr"")"),"Cihaz titremeye başladığında kaynağınızı ""rahatsız etme"" olarak işaretler")</f>
        <v>Cihaz titremeye başladığında kaynağınızı "rahatsız etme" olarak işaretler</v>
      </c>
      <c r="AI499" s="6" t="s">
        <v>10724</v>
      </c>
      <c r="AJ499" s="6" t="s">
        <v>132</v>
      </c>
      <c r="AK499" s="7" t="str">
        <f>IFERROR(__xludf.DUMMYFUNCTION("GOOGLETRANSLATE(C499, ""en"", ""zh"")"),"当设备振动时，将您的资源标记为“请勿打扰”")</f>
        <v>当设备振动时，将您的资源标记为“请勿打扰”</v>
      </c>
      <c r="AL499" s="6" t="s">
        <v>132</v>
      </c>
    </row>
    <row r="500" ht="15.75" hidden="1" customHeight="1">
      <c r="A500" s="1" t="s">
        <v>38</v>
      </c>
      <c r="B500" s="1" t="s">
        <v>10725</v>
      </c>
      <c r="C500" s="1" t="s">
        <v>10726</v>
      </c>
      <c r="D500" s="7" t="str">
        <f>IFERROR(__xludf.DUMMYFUNCTION("GOOGLETRANSLATE(C500, ""en"", ""ar"")"),"بلجيكا")</f>
        <v>بلجيكا</v>
      </c>
      <c r="E500" s="7" t="str">
        <f>IFERROR(__xludf.DUMMYFUNCTION("GOOGLETRANSLATE(C500, ""en"", ""bg"")"),"БЕЛГИЯ")</f>
        <v>БЕЛГИЯ</v>
      </c>
      <c r="F500" s="6" t="s">
        <v>132</v>
      </c>
      <c r="G500" s="7" t="str">
        <f>IFERROR(__xludf.DUMMYFUNCTION("GOOGLETRANSLATE(C500, ""en"", ""cs"")"),"Belgie")</f>
        <v>Belgie</v>
      </c>
      <c r="H500" s="7" t="str">
        <f>IFERROR(__xludf.DUMMYFUNCTION("GOOGLETRANSLATE(C500, ""en"", ""da"")"),"Belgien.")</f>
        <v>Belgien.</v>
      </c>
      <c r="I500" s="1" t="s">
        <v>10727</v>
      </c>
      <c r="J500" s="6" t="s">
        <v>132</v>
      </c>
      <c r="K500" s="1" t="s">
        <v>10728</v>
      </c>
      <c r="L500" s="7" t="str">
        <f>IFERROR(__xludf.DUMMYFUNCTION("GOOGLETRANSLATE(C500, ""en"", ""fi"")"),"Belgia")</f>
        <v>Belgia</v>
      </c>
      <c r="M500" s="1" t="s">
        <v>10729</v>
      </c>
      <c r="N500" s="6" t="s">
        <v>132</v>
      </c>
      <c r="O500" s="6" t="s">
        <v>132</v>
      </c>
      <c r="P500" s="1" t="s">
        <v>10726</v>
      </c>
      <c r="Q500" s="7" t="str">
        <f>IFERROR(__xludf.DUMMYFUNCTION("GOOGLETRANSLATE(C500, ""en"", ""in"")"),"Belgium")</f>
        <v>Belgium</v>
      </c>
      <c r="R500" s="7" t="str">
        <f>IFERROR(__xludf.DUMMYFUNCTION("GOOGLETRANSLATE(C500, ""en"", ""it"")"),"Belgio")</f>
        <v>Belgio</v>
      </c>
      <c r="S500" s="6" t="s">
        <v>132</v>
      </c>
      <c r="T500" s="7" t="str">
        <f>IFERROR(__xludf.DUMMYFUNCTION("GOOGLETRANSLATE(C500, ""en"", ""ja"")"),"ベルギー")</f>
        <v>ベルギー</v>
      </c>
      <c r="U500" s="7" t="str">
        <f>IFERROR(__xludf.DUMMYFUNCTION("GOOGLETRANSLATE(C500, ""en"", ""ko"")"),"벨기에")</f>
        <v>벨기에</v>
      </c>
      <c r="V500" s="7" t="str">
        <f>IFERROR(__xludf.DUMMYFUNCTION("GOOGLETRANSLATE(C500, ""en"", ""ms"")"),"Belgium")</f>
        <v>Belgium</v>
      </c>
      <c r="W500" s="7" t="str">
        <f>IFERROR(__xludf.DUMMYFUNCTION("GOOGLETRANSLATE(C500, ""en"", ""nl"")"),"België")</f>
        <v>België</v>
      </c>
      <c r="X500" s="7" t="str">
        <f>IFERROR(__xludf.DUMMYFUNCTION("GOOGLETRANSLATE(C500, ""en"", ""no"")"),"Belgia")</f>
        <v>Belgia</v>
      </c>
      <c r="Y500" s="7" t="str">
        <f>IFERROR(__xludf.DUMMYFUNCTION("GOOGLETRANSLATE(C500, ""en"", ""pl"")"),"Belgia")</f>
        <v>Belgia</v>
      </c>
      <c r="Z500" s="7" t="str">
        <f>IFERROR(__xludf.DUMMYFUNCTION("GOOGLETRANSLATE(C500, ""en"", ""pt"")"),"Bélgica")</f>
        <v>Bélgica</v>
      </c>
      <c r="AA500" s="7" t="str">
        <f>IFERROR(__xludf.DUMMYFUNCTION("GOOGLETRANSLATE(C500, ""en"", ""ro"")"),"Belgia")</f>
        <v>Belgia</v>
      </c>
      <c r="AB500" s="1" t="s">
        <v>10730</v>
      </c>
      <c r="AC500" s="7" t="str">
        <f>IFERROR(__xludf.DUMMYFUNCTION("GOOGLETRANSLATE(C500, ""en"", ""sk"")"),"Belgicko")</f>
        <v>Belgicko</v>
      </c>
      <c r="AD500" s="6" t="s">
        <v>132</v>
      </c>
      <c r="AE500" s="1" t="s">
        <v>10731</v>
      </c>
      <c r="AF500" s="7" t="str">
        <f>IFERROR(__xludf.DUMMYFUNCTION("GOOGLETRANSLATE(C500, ""en"", ""sv"")"),"Belgien")</f>
        <v>Belgien</v>
      </c>
      <c r="AG500" s="6" t="s">
        <v>132</v>
      </c>
      <c r="AH500" s="7" t="str">
        <f>IFERROR(__xludf.DUMMYFUNCTION("GOOGLETRANSLATE(C500, ""en"", ""tr"")"),"Belçika")</f>
        <v>Belçika</v>
      </c>
      <c r="AI500" s="6" t="s">
        <v>132</v>
      </c>
      <c r="AJ500" s="6" t="s">
        <v>132</v>
      </c>
      <c r="AK500" s="7" t="str">
        <f>IFERROR(__xludf.DUMMYFUNCTION("GOOGLETRANSLATE(C500, ""en"", ""zh"")"),"比利时")</f>
        <v>比利时</v>
      </c>
      <c r="AL500" s="6" t="s">
        <v>132</v>
      </c>
    </row>
    <row r="501" ht="15.75" hidden="1" customHeight="1">
      <c r="A501" s="1" t="s">
        <v>38</v>
      </c>
      <c r="B501" s="1" t="s">
        <v>10732</v>
      </c>
      <c r="C501" s="1" t="s">
        <v>10733</v>
      </c>
      <c r="D501" s="8" t="s">
        <v>10734</v>
      </c>
      <c r="E501" s="1" t="s">
        <v>10735</v>
      </c>
      <c r="F501" s="6" t="s">
        <v>10736</v>
      </c>
      <c r="G501" s="7" t="str">
        <f>IFERROR(__xludf.DUMMYFUNCTION("GOOGLETRANSLATE(C501, ""en"", ""cs"")"),"XEP-0352: Indikace stavu klienta")</f>
        <v>XEP-0352: Indikace stavu klienta</v>
      </c>
      <c r="H501" s="7" t="str">
        <f>IFERROR(__xludf.DUMMYFUNCTION("GOOGLETRANSLATE(C501, ""en"", ""da"")"),"XEP-0352: Klientstatsindikation")</f>
        <v>XEP-0352: Klientstatsindikation</v>
      </c>
      <c r="I501" s="1" t="s">
        <v>10737</v>
      </c>
      <c r="J501" s="6" t="s">
        <v>132</v>
      </c>
      <c r="K501" s="1" t="s">
        <v>10733</v>
      </c>
      <c r="L501" s="7" t="str">
        <f>IFERROR(__xludf.DUMMYFUNCTION("GOOGLETRANSLATE(C501, ""en"", ""fi"")"),"XEP-0352: Asiakastilaa")</f>
        <v>XEP-0352: Asiakastilaa</v>
      </c>
      <c r="M501" s="1" t="s">
        <v>10738</v>
      </c>
      <c r="N501" s="6" t="s">
        <v>10739</v>
      </c>
      <c r="O501" s="6" t="s">
        <v>132</v>
      </c>
      <c r="P501" s="1" t="s">
        <v>10733</v>
      </c>
      <c r="Q501" s="9" t="s">
        <v>10733</v>
      </c>
      <c r="R501" s="1" t="s">
        <v>10733</v>
      </c>
      <c r="S501" s="6" t="s">
        <v>132</v>
      </c>
      <c r="T501" s="1" t="s">
        <v>10740</v>
      </c>
      <c r="U501" s="1" t="s">
        <v>10733</v>
      </c>
      <c r="V501" s="7" t="str">
        <f>IFERROR(__xludf.DUMMYFUNCTION("GOOGLETRANSLATE(C501, ""en"", ""ms"")"),"Xep-0352: Petunjuk Negeri Pelanggan")</f>
        <v>Xep-0352: Petunjuk Negeri Pelanggan</v>
      </c>
      <c r="W501" s="1" t="s">
        <v>10733</v>
      </c>
      <c r="X501" s="7" t="str">
        <f>IFERROR(__xludf.DUMMYFUNCTION("GOOGLETRANSLATE(C501, ""en"", ""no"")"),"XEP-0352: Klientstatus indikasjon")</f>
        <v>XEP-0352: Klientstatus indikasjon</v>
      </c>
      <c r="Y501" s="1" t="s">
        <v>10733</v>
      </c>
      <c r="Z501" s="1" t="s">
        <v>10733</v>
      </c>
      <c r="AA501" s="7" t="str">
        <f>IFERROR(__xludf.DUMMYFUNCTION("GOOGLETRANSLATE(C501, ""en"", ""ro"")"),"XEP-0352: Indicarea statului client")</f>
        <v>XEP-0352: Indicarea statului client</v>
      </c>
      <c r="AB501" s="1" t="s">
        <v>10741</v>
      </c>
      <c r="AC501" s="1" t="s">
        <v>10733</v>
      </c>
      <c r="AD501" s="6" t="s">
        <v>132</v>
      </c>
      <c r="AE501" s="1" t="s">
        <v>10742</v>
      </c>
      <c r="AF501" s="1" t="s">
        <v>10733</v>
      </c>
      <c r="AG501" s="6" t="s">
        <v>132</v>
      </c>
      <c r="AH501" s="7" t="str">
        <f>IFERROR(__xludf.DUMMYFUNCTION("GOOGLETRANSLATE(C501, ""en"", ""tr"")"),"XEP-0352: Müşteri Durumu Göstergesi")</f>
        <v>XEP-0352: Müşteri Durumu Göstergesi</v>
      </c>
      <c r="AI501" s="6" t="s">
        <v>10743</v>
      </c>
      <c r="AJ501" s="6" t="s">
        <v>10744</v>
      </c>
      <c r="AK501" s="7" t="str">
        <f>IFERROR(__xludf.DUMMYFUNCTION("GOOGLETRANSLATE(C501, ""en"", ""zh"")"),"XEP-0352：客户状态指示")</f>
        <v>XEP-0352：客户状态指示</v>
      </c>
      <c r="AL501" s="6" t="s">
        <v>10745</v>
      </c>
    </row>
    <row r="502" ht="15.75" hidden="1" customHeight="1">
      <c r="A502" s="1" t="s">
        <v>38</v>
      </c>
      <c r="B502" s="1" t="s">
        <v>10746</v>
      </c>
      <c r="C502" s="1" t="s">
        <v>10747</v>
      </c>
      <c r="D502" s="7" t="str">
        <f>IFERROR(__xludf.DUMMYFUNCTION("GOOGLETRANSLATE(C502, ""en"", ""ar"")"),"جزر القمر")</f>
        <v>جزر القمر</v>
      </c>
      <c r="E502" s="7" t="str">
        <f>IFERROR(__xludf.DUMMYFUNCTION("GOOGLETRANSLATE(C502, ""en"", ""bg"")"),"Коморски")</f>
        <v>Коморски</v>
      </c>
      <c r="F502" s="6" t="s">
        <v>132</v>
      </c>
      <c r="G502" s="7" t="str">
        <f>IFERROR(__xludf.DUMMYFUNCTION("GOOGLETRANSLATE(C502, ""en"", ""cs"")"),"Comoros")</f>
        <v>Comoros</v>
      </c>
      <c r="H502" s="7" t="str">
        <f>IFERROR(__xludf.DUMMYFUNCTION("GOOGLETRANSLATE(C502, ""en"", ""da"")"),"Comorerne.")</f>
        <v>Comorerne.</v>
      </c>
      <c r="I502" s="1" t="s">
        <v>10748</v>
      </c>
      <c r="J502" s="6" t="s">
        <v>132</v>
      </c>
      <c r="K502" s="1" t="s">
        <v>10749</v>
      </c>
      <c r="L502" s="7" t="str">
        <f>IFERROR(__xludf.DUMMYFUNCTION("GOOGLETRANSLATE(C502, ""en"", ""fi"")"),"Komorit")</f>
        <v>Komorit</v>
      </c>
      <c r="M502" s="1" t="s">
        <v>10750</v>
      </c>
      <c r="N502" s="6" t="s">
        <v>132</v>
      </c>
      <c r="O502" s="6" t="s">
        <v>132</v>
      </c>
      <c r="P502" s="1" t="s">
        <v>10747</v>
      </c>
      <c r="Q502" s="7" t="str">
        <f>IFERROR(__xludf.DUMMYFUNCTION("GOOGLETRANSLATE(C502, ""en"", ""in"")"),"Komorat")</f>
        <v>Komorat</v>
      </c>
      <c r="R502" s="7" t="str">
        <f>IFERROR(__xludf.DUMMYFUNCTION("GOOGLETRANSLATE(C502, ""en"", ""it"")"),"Comoros.")</f>
        <v>Comoros.</v>
      </c>
      <c r="S502" s="6" t="s">
        <v>132</v>
      </c>
      <c r="T502" s="7" t="str">
        <f>IFERROR(__xludf.DUMMYFUNCTION("GOOGLETRANSLATE(C502, ""en"", ""ja"")"),"コモロ")</f>
        <v>コモロ</v>
      </c>
      <c r="U502" s="7" t="str">
        <f>IFERROR(__xludf.DUMMYFUNCTION("GOOGLETRANSLATE(C502, ""en"", ""ko"")"),"코모로스")</f>
        <v>코모로스</v>
      </c>
      <c r="V502" s="7" t="str">
        <f>IFERROR(__xludf.DUMMYFUNCTION("GOOGLETRANSLATE(C502, ""en"", ""ms"")"),"Comoros.")</f>
        <v>Comoros.</v>
      </c>
      <c r="W502" s="7" t="str">
        <f>IFERROR(__xludf.DUMMYFUNCTION("GOOGLETRANSLATE(C502, ""en"", ""nl"")"),"Comoros")</f>
        <v>Comoros</v>
      </c>
      <c r="X502" s="7" t="str">
        <f>IFERROR(__xludf.DUMMYFUNCTION("GOOGLETRANSLATE(C502, ""en"", ""no"")"),"Komorene")</f>
        <v>Komorene</v>
      </c>
      <c r="Y502" s="7" t="str">
        <f>IFERROR(__xludf.DUMMYFUNCTION("GOOGLETRANSLATE(C502, ""en"", ""pl"")"),"Comoros.")</f>
        <v>Comoros.</v>
      </c>
      <c r="Z502" s="7" t="str">
        <f>IFERROR(__xludf.DUMMYFUNCTION("GOOGLETRANSLATE(C502, ""en"", ""pt"")"),"Comores.")</f>
        <v>Comores.</v>
      </c>
      <c r="AA502" s="7" t="str">
        <f>IFERROR(__xludf.DUMMYFUNCTION("GOOGLETRANSLATE(C502, ""en"", ""ro"")"),"Comoros.")</f>
        <v>Comoros.</v>
      </c>
      <c r="AB502" s="1" t="s">
        <v>10751</v>
      </c>
      <c r="AC502" s="7" t="str">
        <f>IFERROR(__xludf.DUMMYFUNCTION("GOOGLETRANSLATE(C502, ""en"", ""sk"")"),"Komory")</f>
        <v>Komory</v>
      </c>
      <c r="AD502" s="6" t="s">
        <v>132</v>
      </c>
      <c r="AE502" s="1" t="s">
        <v>10752</v>
      </c>
      <c r="AF502" s="7" t="str">
        <f>IFERROR(__xludf.DUMMYFUNCTION("GOOGLETRANSLATE(C502, ""en"", ""sv"")"),"Comoros")</f>
        <v>Comoros</v>
      </c>
      <c r="AG502" s="6" t="s">
        <v>132</v>
      </c>
      <c r="AH502" s="7" t="str">
        <f>IFERROR(__xludf.DUMMYFUNCTION("GOOGLETRANSLATE(C502, ""en"", ""tr"")"),"Komoros")</f>
        <v>Komoros</v>
      </c>
      <c r="AI502" s="6" t="s">
        <v>132</v>
      </c>
      <c r="AJ502" s="6" t="s">
        <v>132</v>
      </c>
      <c r="AK502" s="7" t="str">
        <f>IFERROR(__xludf.DUMMYFUNCTION("GOOGLETRANSLATE(C502, ""en"", ""zh"")"),"科摩罗")</f>
        <v>科摩罗</v>
      </c>
      <c r="AL502" s="6" t="s">
        <v>132</v>
      </c>
    </row>
    <row r="503" ht="15.75" hidden="1" customHeight="1">
      <c r="A503" s="1" t="s">
        <v>38</v>
      </c>
      <c r="B503" s="1" t="s">
        <v>10753</v>
      </c>
      <c r="C503" s="1" t="s">
        <v>10754</v>
      </c>
      <c r="D503" s="7" t="str">
        <f>IFERROR(__xludf.DUMMYFUNCTION("GOOGLETRANSLATE(C503, ""en"", ""ar"")"),"ساو تومي وبرينسيبي")</f>
        <v>ساو تومي وبرينسيبي</v>
      </c>
      <c r="E503" s="7" t="str">
        <f>IFERROR(__xludf.DUMMYFUNCTION("GOOGLETRANSLATE(C503, ""en"", ""bg"")"),"Сао Томе и Принсипи")</f>
        <v>Сао Томе и Принсипи</v>
      </c>
      <c r="F503" s="6" t="s">
        <v>132</v>
      </c>
      <c r="G503" s="7" t="str">
        <f>IFERROR(__xludf.DUMMYFUNCTION("GOOGLETRANSLATE(C503, ""en"", ""cs"")"),"Sao Tome a Principe")</f>
        <v>Sao Tome a Principe</v>
      </c>
      <c r="H503" s="7" t="str">
        <f>IFERROR(__xludf.DUMMYFUNCTION("GOOGLETRANSLATE(C503, ""en"", ""da"")"),"Sao Tome og Principe")</f>
        <v>Sao Tome og Principe</v>
      </c>
      <c r="I503" s="1" t="s">
        <v>10755</v>
      </c>
      <c r="J503" s="6" t="s">
        <v>132</v>
      </c>
      <c r="K503" s="1" t="s">
        <v>10756</v>
      </c>
      <c r="L503" s="7" t="str">
        <f>IFERROR(__xludf.DUMMYFUNCTION("GOOGLETRANSLATE(C503, ""en"", ""fi"")"),"Sao Tome ja Principe")</f>
        <v>Sao Tome ja Principe</v>
      </c>
      <c r="M503" s="1" t="s">
        <v>10757</v>
      </c>
      <c r="N503" s="6" t="s">
        <v>132</v>
      </c>
      <c r="O503" s="6" t="s">
        <v>132</v>
      </c>
      <c r="P503" s="1" t="s">
        <v>10754</v>
      </c>
      <c r="Q503" s="7" t="str">
        <f>IFERROR(__xludf.DUMMYFUNCTION("GOOGLETRANSLATE(C503, ""en"", ""in"")"),"Sao Tome dan Principe")</f>
        <v>Sao Tome dan Principe</v>
      </c>
      <c r="R503" s="7" t="str">
        <f>IFERROR(__xludf.DUMMYFUNCTION("GOOGLETRANSLATE(C503, ""en"", ""it"")"),"Sao Tome e Principe")</f>
        <v>Sao Tome e Principe</v>
      </c>
      <c r="S503" s="6" t="s">
        <v>132</v>
      </c>
      <c r="T503" s="7" t="str">
        <f>IFERROR(__xludf.DUMMYFUNCTION("GOOGLETRANSLATE(C503, ""en"", ""ja"")"),"サントームとプリンシペ")</f>
        <v>サントームとプリンシペ</v>
      </c>
      <c r="U503" s="7" t="str">
        <f>IFERROR(__xludf.DUMMYFUNCTION("GOOGLETRANSLATE(C503, ""en"", ""ko"")"),"상투와 프린 시표")</f>
        <v>상투와 프린 시표</v>
      </c>
      <c r="V503" s="7" t="str">
        <f>IFERROR(__xludf.DUMMYFUNCTION("GOOGLETRANSLATE(C503, ""en"", ""ms"")"),"Sao Tome dan Principe")</f>
        <v>Sao Tome dan Principe</v>
      </c>
      <c r="W503" s="7" t="str">
        <f>IFERROR(__xludf.DUMMYFUNCTION("GOOGLETRANSLATE(C503, ""en"", ""nl"")"),"Sao Tome en Principe")</f>
        <v>Sao Tome en Principe</v>
      </c>
      <c r="X503" s="7" t="str">
        <f>IFERROR(__xludf.DUMMYFUNCTION("GOOGLETRANSLATE(C503, ""en"", ""no"")"),"Sao Tome og Principe")</f>
        <v>Sao Tome og Principe</v>
      </c>
      <c r="Y503" s="7" t="str">
        <f>IFERROR(__xludf.DUMMYFUNCTION("GOOGLETRANSLATE(C503, ""en"", ""pl"")"),"Sao Tome and Principe")</f>
        <v>Sao Tome and Principe</v>
      </c>
      <c r="Z503" s="7" t="str">
        <f>IFERROR(__xludf.DUMMYFUNCTION("GOOGLETRANSLATE(C503, ""en"", ""pt"")"),"São Tomé e Príncipe")</f>
        <v>São Tomé e Príncipe</v>
      </c>
      <c r="AA503" s="7" t="str">
        <f>IFERROR(__xludf.DUMMYFUNCTION("GOOGLETRANSLATE(C503, ""en"", ""ro"")"),"Sao Tome și Principe")</f>
        <v>Sao Tome și Principe</v>
      </c>
      <c r="AB503" s="1" t="s">
        <v>10758</v>
      </c>
      <c r="AC503" s="7" t="str">
        <f>IFERROR(__xludf.DUMMYFUNCTION("GOOGLETRANSLATE(C503, ""en"", ""sk"")"),"Sao Tome a Principe")</f>
        <v>Sao Tome a Principe</v>
      </c>
      <c r="AD503" s="6" t="s">
        <v>132</v>
      </c>
      <c r="AE503" s="1" t="s">
        <v>10759</v>
      </c>
      <c r="AF503" s="7" t="str">
        <f>IFERROR(__xludf.DUMMYFUNCTION("GOOGLETRANSLATE(C503, ""en"", ""sv"")"),"Sao Tome och Principe")</f>
        <v>Sao Tome och Principe</v>
      </c>
      <c r="AG503" s="6" t="s">
        <v>132</v>
      </c>
      <c r="AH503" s="7" t="str">
        <f>IFERROR(__xludf.DUMMYFUNCTION("GOOGLETRANSLATE(C503, ""en"", ""tr"")"),"Sao Tome ve Principe")</f>
        <v>Sao Tome ve Principe</v>
      </c>
      <c r="AI503" s="6" t="s">
        <v>132</v>
      </c>
      <c r="AJ503" s="6" t="s">
        <v>132</v>
      </c>
      <c r="AK503" s="7" t="str">
        <f>IFERROR(__xludf.DUMMYFUNCTION("GOOGLETRANSLATE(C503, ""en"", ""zh"")"),"圣多美和普林西比")</f>
        <v>圣多美和普林西比</v>
      </c>
      <c r="AL503" s="6" t="s">
        <v>132</v>
      </c>
    </row>
    <row r="504" ht="15.75" customHeight="1">
      <c r="A504" s="1" t="s">
        <v>127</v>
      </c>
      <c r="B504" s="1" t="s">
        <v>10760</v>
      </c>
      <c r="C504" s="1" t="s">
        <v>10761</v>
      </c>
      <c r="D504" s="8" t="s">
        <v>10762</v>
      </c>
      <c r="E504" s="1" t="s">
        <v>10763</v>
      </c>
      <c r="F504" s="6" t="s">
        <v>132</v>
      </c>
      <c r="G504" s="1" t="s">
        <v>10764</v>
      </c>
      <c r="H504" s="1" t="s">
        <v>10765</v>
      </c>
      <c r="I504" s="1" t="s">
        <v>10761</v>
      </c>
      <c r="J504" s="6" t="s">
        <v>10766</v>
      </c>
      <c r="K504" s="1" t="s">
        <v>10767</v>
      </c>
      <c r="L504" s="1" t="s">
        <v>10768</v>
      </c>
      <c r="M504" s="1" t="s">
        <v>10769</v>
      </c>
      <c r="N504" s="6" t="s">
        <v>132</v>
      </c>
      <c r="O504" s="6" t="s">
        <v>10770</v>
      </c>
      <c r="P504" s="1" t="s">
        <v>10771</v>
      </c>
      <c r="Q504" s="1" t="s">
        <v>10772</v>
      </c>
      <c r="R504" s="1" t="s">
        <v>10773</v>
      </c>
      <c r="S504" s="10" t="s">
        <v>10774</v>
      </c>
      <c r="T504" s="1" t="s">
        <v>10775</v>
      </c>
      <c r="U504" s="1" t="s">
        <v>10776</v>
      </c>
      <c r="V504" s="1" t="s">
        <v>10777</v>
      </c>
      <c r="W504" s="1" t="s">
        <v>10778</v>
      </c>
      <c r="X504" s="1" t="s">
        <v>10779</v>
      </c>
      <c r="Y504" s="1" t="s">
        <v>10780</v>
      </c>
      <c r="Z504" s="1" t="s">
        <v>10781</v>
      </c>
      <c r="AA504" s="1" t="s">
        <v>10782</v>
      </c>
      <c r="AB504" s="1" t="s">
        <v>10783</v>
      </c>
      <c r="AC504" s="1" t="s">
        <v>10784</v>
      </c>
      <c r="AD504" s="6" t="s">
        <v>10785</v>
      </c>
      <c r="AE504" s="1" t="s">
        <v>10786</v>
      </c>
      <c r="AF504" s="1" t="s">
        <v>10787</v>
      </c>
      <c r="AG504" s="6" t="s">
        <v>10788</v>
      </c>
      <c r="AH504" s="1" t="s">
        <v>10789</v>
      </c>
      <c r="AI504" s="6" t="s">
        <v>132</v>
      </c>
      <c r="AJ504" s="6" t="s">
        <v>10790</v>
      </c>
      <c r="AK504" s="1" t="s">
        <v>10791</v>
      </c>
      <c r="AL504" s="6" t="s">
        <v>132</v>
      </c>
    </row>
    <row r="505" ht="15.75" hidden="1" customHeight="1">
      <c r="A505" s="1" t="s">
        <v>38</v>
      </c>
      <c r="B505" s="1" t="s">
        <v>10792</v>
      </c>
      <c r="C505" s="1" t="s">
        <v>10793</v>
      </c>
      <c r="D505" s="7" t="str">
        <f>IFERROR(__xludf.DUMMYFUNCTION("GOOGLETRANSLATE(C505, ""en"", ""ar"")"),"مارتينيك")</f>
        <v>مارتينيك</v>
      </c>
      <c r="E505" s="7" t="str">
        <f>IFERROR(__xludf.DUMMYFUNCTION("GOOGLETRANSLATE(C505, ""en"", ""bg"")"),"Мартиника")</f>
        <v>Мартиника</v>
      </c>
      <c r="F505" s="6" t="s">
        <v>132</v>
      </c>
      <c r="G505" s="7" t="str">
        <f>IFERROR(__xludf.DUMMYFUNCTION("GOOGLETRANSLATE(C505, ""en"", ""cs"")"),"Martinik")</f>
        <v>Martinik</v>
      </c>
      <c r="H505" s="7" t="str">
        <f>IFERROR(__xludf.DUMMYFUNCTION("GOOGLETRANSLATE(C505, ""en"", ""da"")"),"Martinique.")</f>
        <v>Martinique.</v>
      </c>
      <c r="I505" s="1" t="s">
        <v>10793</v>
      </c>
      <c r="J505" s="6" t="s">
        <v>132</v>
      </c>
      <c r="K505" s="1" t="s">
        <v>10794</v>
      </c>
      <c r="L505" s="7" t="str">
        <f>IFERROR(__xludf.DUMMYFUNCTION("GOOGLETRANSLATE(C505, ""en"", ""fi"")"),"Martinique")</f>
        <v>Martinique</v>
      </c>
      <c r="M505" s="1" t="s">
        <v>10793</v>
      </c>
      <c r="N505" s="6" t="s">
        <v>132</v>
      </c>
      <c r="O505" s="6" t="s">
        <v>132</v>
      </c>
      <c r="P505" s="1" t="s">
        <v>10793</v>
      </c>
      <c r="Q505" s="7" t="str">
        <f>IFERROR(__xludf.DUMMYFUNCTION("GOOGLETRANSLATE(C505, ""en"", ""in"")"),"Martinique.")</f>
        <v>Martinique.</v>
      </c>
      <c r="R505" s="7" t="str">
        <f>IFERROR(__xludf.DUMMYFUNCTION("GOOGLETRANSLATE(C505, ""en"", ""it"")"),"Martinica")</f>
        <v>Martinica</v>
      </c>
      <c r="S505" s="6" t="s">
        <v>132</v>
      </c>
      <c r="T505" s="7" t="str">
        <f>IFERROR(__xludf.DUMMYFUNCTION("GOOGLETRANSLATE(C505, ""en"", ""ja"")"),"マルティニーク")</f>
        <v>マルティニーク</v>
      </c>
      <c r="U505" s="7" t="str">
        <f>IFERROR(__xludf.DUMMYFUNCTION("GOOGLETRANSLATE(C505, ""en"", ""ko"")"),"마르티니크")</f>
        <v>마르티니크</v>
      </c>
      <c r="V505" s="7" t="str">
        <f>IFERROR(__xludf.DUMMYFUNCTION("GOOGLETRANSLATE(C505, ""en"", ""ms"")"),"Martinique.")</f>
        <v>Martinique.</v>
      </c>
      <c r="W505" s="7" t="str">
        <f>IFERROR(__xludf.DUMMYFUNCTION("GOOGLETRANSLATE(C505, ""en"", ""nl"")"),"Martinique")</f>
        <v>Martinique</v>
      </c>
      <c r="X505" s="7" t="str">
        <f>IFERROR(__xludf.DUMMYFUNCTION("GOOGLETRANSLATE(C505, ""en"", ""no"")"),"Martinique.")</f>
        <v>Martinique.</v>
      </c>
      <c r="Y505" s="7" t="str">
        <f>IFERROR(__xludf.DUMMYFUNCTION("GOOGLETRANSLATE(C505, ""en"", ""pl"")"),"Martynika")</f>
        <v>Martynika</v>
      </c>
      <c r="Z505" s="7" t="str">
        <f>IFERROR(__xludf.DUMMYFUNCTION("GOOGLETRANSLATE(C505, ""en"", ""pt"")"),"Martinica.")</f>
        <v>Martinica.</v>
      </c>
      <c r="AA505" s="7" t="str">
        <f>IFERROR(__xludf.DUMMYFUNCTION("GOOGLETRANSLATE(C505, ""en"", ""ro"")"),"Martinica.")</f>
        <v>Martinica.</v>
      </c>
      <c r="AB505" s="1" t="s">
        <v>10795</v>
      </c>
      <c r="AC505" s="7" t="str">
        <f>IFERROR(__xludf.DUMMYFUNCTION("GOOGLETRANSLATE(C505, ""en"", ""sk"")"),"Martinique")</f>
        <v>Martinique</v>
      </c>
      <c r="AD505" s="6" t="s">
        <v>132</v>
      </c>
      <c r="AE505" s="1" t="s">
        <v>10796</v>
      </c>
      <c r="AF505" s="7" t="str">
        <f>IFERROR(__xludf.DUMMYFUNCTION("GOOGLETRANSLATE(C505, ""en"", ""sv"")"),"Martinique")</f>
        <v>Martinique</v>
      </c>
      <c r="AG505" s="6" t="s">
        <v>132</v>
      </c>
      <c r="AH505" s="7" t="str">
        <f>IFERROR(__xludf.DUMMYFUNCTION("GOOGLETRANSLATE(C505, ""en"", ""tr"")"),"Martinique")</f>
        <v>Martinique</v>
      </c>
      <c r="AI505" s="6" t="s">
        <v>132</v>
      </c>
      <c r="AJ505" s="6" t="s">
        <v>132</v>
      </c>
      <c r="AK505" s="7" t="str">
        <f>IFERROR(__xludf.DUMMYFUNCTION("GOOGLETRANSLATE(C505, ""en"", ""zh"")"),"马提尼克岛")</f>
        <v>马提尼克岛</v>
      </c>
      <c r="AL505" s="6" t="s">
        <v>132</v>
      </c>
    </row>
    <row r="506" ht="15.75" customHeight="1">
      <c r="A506" s="1" t="s">
        <v>127</v>
      </c>
      <c r="B506" s="1" t="s">
        <v>10797</v>
      </c>
      <c r="C506" s="1" t="s">
        <v>10798</v>
      </c>
      <c r="D506" s="8" t="s">
        <v>10799</v>
      </c>
      <c r="E506" s="1" t="s">
        <v>10800</v>
      </c>
      <c r="F506" s="6" t="s">
        <v>132</v>
      </c>
      <c r="G506" s="1" t="s">
        <v>10801</v>
      </c>
      <c r="H506" s="1" t="s">
        <v>10798</v>
      </c>
      <c r="I506" s="1" t="s">
        <v>10802</v>
      </c>
      <c r="J506" s="6" t="s">
        <v>10803</v>
      </c>
      <c r="K506" s="1" t="s">
        <v>10804</v>
      </c>
      <c r="L506" s="1" t="s">
        <v>10805</v>
      </c>
      <c r="M506" s="1" t="s">
        <v>10806</v>
      </c>
      <c r="N506" s="6" t="s">
        <v>132</v>
      </c>
      <c r="O506" s="6" t="s">
        <v>10807</v>
      </c>
      <c r="P506" s="1" t="s">
        <v>10808</v>
      </c>
      <c r="Q506" s="1" t="s">
        <v>10809</v>
      </c>
      <c r="R506" s="1" t="s">
        <v>10810</v>
      </c>
      <c r="S506" s="10" t="s">
        <v>10811</v>
      </c>
      <c r="T506" s="1" t="s">
        <v>10812</v>
      </c>
      <c r="U506" s="1" t="s">
        <v>10813</v>
      </c>
      <c r="V506" s="1" t="s">
        <v>10814</v>
      </c>
      <c r="W506" s="1" t="s">
        <v>10815</v>
      </c>
      <c r="X506" s="1" t="s">
        <v>10816</v>
      </c>
      <c r="Y506" s="1" t="s">
        <v>10817</v>
      </c>
      <c r="Z506" s="1" t="s">
        <v>10818</v>
      </c>
      <c r="AA506" s="1" t="s">
        <v>10819</v>
      </c>
      <c r="AB506" s="1" t="s">
        <v>10820</v>
      </c>
      <c r="AC506" s="1" t="s">
        <v>10821</v>
      </c>
      <c r="AD506" s="6" t="s">
        <v>10822</v>
      </c>
      <c r="AE506" s="1" t="s">
        <v>10823</v>
      </c>
      <c r="AF506" s="1" t="s">
        <v>10824</v>
      </c>
      <c r="AG506" s="6" t="s">
        <v>10825</v>
      </c>
      <c r="AH506" s="1" t="s">
        <v>10826</v>
      </c>
      <c r="AI506" s="6" t="s">
        <v>132</v>
      </c>
      <c r="AJ506" s="6" t="s">
        <v>10827</v>
      </c>
      <c r="AK506" s="1" t="s">
        <v>10828</v>
      </c>
      <c r="AL506" s="6" t="s">
        <v>10829</v>
      </c>
    </row>
    <row r="507" ht="15.75" customHeight="1">
      <c r="A507" s="1" t="s">
        <v>127</v>
      </c>
      <c r="B507" s="1" t="s">
        <v>10830</v>
      </c>
      <c r="C507" s="1" t="s">
        <v>10831</v>
      </c>
      <c r="D507" s="8" t="s">
        <v>10832</v>
      </c>
      <c r="E507" s="1" t="s">
        <v>10833</v>
      </c>
      <c r="F507" s="6" t="s">
        <v>132</v>
      </c>
      <c r="G507" s="1" t="s">
        <v>10834</v>
      </c>
      <c r="H507" s="1" t="s">
        <v>10835</v>
      </c>
      <c r="I507" s="1" t="s">
        <v>10836</v>
      </c>
      <c r="J507" s="6" t="s">
        <v>10837</v>
      </c>
      <c r="K507" s="1" t="s">
        <v>10838</v>
      </c>
      <c r="L507" s="1" t="s">
        <v>10839</v>
      </c>
      <c r="M507" s="1" t="s">
        <v>10840</v>
      </c>
      <c r="N507" s="6" t="s">
        <v>132</v>
      </c>
      <c r="O507" s="6" t="s">
        <v>10841</v>
      </c>
      <c r="P507" s="1" t="s">
        <v>10842</v>
      </c>
      <c r="Q507" s="1" t="s">
        <v>10843</v>
      </c>
      <c r="R507" s="1" t="s">
        <v>10844</v>
      </c>
      <c r="S507" s="10" t="s">
        <v>10845</v>
      </c>
      <c r="T507" s="1" t="s">
        <v>10846</v>
      </c>
      <c r="U507" s="1" t="s">
        <v>10847</v>
      </c>
      <c r="V507" s="1" t="s">
        <v>10848</v>
      </c>
      <c r="W507" s="1" t="s">
        <v>10849</v>
      </c>
      <c r="X507" s="1" t="s">
        <v>10850</v>
      </c>
      <c r="Y507" s="1" t="s">
        <v>10851</v>
      </c>
      <c r="Z507" s="1" t="s">
        <v>10852</v>
      </c>
      <c r="AA507" s="1" t="s">
        <v>10853</v>
      </c>
      <c r="AB507" s="1" t="s">
        <v>10854</v>
      </c>
      <c r="AC507" s="1" t="s">
        <v>10855</v>
      </c>
      <c r="AD507" s="6" t="s">
        <v>10856</v>
      </c>
      <c r="AE507" s="1" t="s">
        <v>10857</v>
      </c>
      <c r="AF507" s="1" t="s">
        <v>10858</v>
      </c>
      <c r="AG507" s="6" t="s">
        <v>10859</v>
      </c>
      <c r="AH507" s="1" t="s">
        <v>10860</v>
      </c>
      <c r="AI507" s="6" t="s">
        <v>132</v>
      </c>
      <c r="AJ507" s="6" t="s">
        <v>10861</v>
      </c>
      <c r="AK507" s="1" t="s">
        <v>10862</v>
      </c>
      <c r="AL507" s="6" t="s">
        <v>10863</v>
      </c>
    </row>
    <row r="508" ht="15.75" hidden="1" customHeight="1">
      <c r="A508" s="1" t="s">
        <v>38</v>
      </c>
      <c r="B508" s="1" t="s">
        <v>10864</v>
      </c>
      <c r="C508" s="1" t="s">
        <v>10865</v>
      </c>
      <c r="D508" s="8" t="s">
        <v>10866</v>
      </c>
      <c r="E508" s="1" t="s">
        <v>10867</v>
      </c>
      <c r="F508" s="6" t="s">
        <v>10868</v>
      </c>
      <c r="G508" s="7" t="str">
        <f>IFERROR(__xludf.DUMMYFUNCTION("GOOGLETRANSLATE(C508, ""en"", ""cs"")"),"Při nastavování účtu zobrazte nastavení hostitele a portu")</f>
        <v>Při nastavování účtu zobrazte nastavení hostitele a portu</v>
      </c>
      <c r="H508" s="7" t="str">
        <f>IFERROR(__xludf.DUMMYFUNCTION("GOOGLETRANSLATE(C508, ""en"", ""da"")"),"Vis værtsnavn og portindstillinger, når du opretter en konto")</f>
        <v>Vis værtsnavn og portindstillinger, når du opretter en konto</v>
      </c>
      <c r="I508" s="1" t="s">
        <v>10869</v>
      </c>
      <c r="J508" s="6" t="s">
        <v>132</v>
      </c>
      <c r="K508" s="1" t="s">
        <v>10870</v>
      </c>
      <c r="L508" s="7" t="str">
        <f>IFERROR(__xludf.DUMMYFUNCTION("GOOGLETRANSLATE(C508, ""en"", ""fi"")"),"Näytä isäntänimi ja portin asetukset, kun määrität tilin")</f>
        <v>Näytä isäntänimi ja portin asetukset, kun määrität tilin</v>
      </c>
      <c r="M508" s="1" t="s">
        <v>10871</v>
      </c>
      <c r="N508" s="6" t="s">
        <v>10872</v>
      </c>
      <c r="O508" s="6" t="s">
        <v>132</v>
      </c>
      <c r="P508" s="1" t="s">
        <v>10873</v>
      </c>
      <c r="Q508" s="7" t="str">
        <f>IFERROR(__xludf.DUMMYFUNCTION("GOOGLETRANSLATE(C508, ""en"", ""in"")"),"Tampilkan pengaturan nama host dan port saat mengatur akun")</f>
        <v>Tampilkan pengaturan nama host dan port saat mengatur akun</v>
      </c>
      <c r="R508" s="1" t="s">
        <v>10874</v>
      </c>
      <c r="S508" s="6" t="s">
        <v>132</v>
      </c>
      <c r="T508" s="1" t="s">
        <v>10875</v>
      </c>
      <c r="U508" s="1" t="s">
        <v>10876</v>
      </c>
      <c r="V508" s="7" t="str">
        <f>IFERROR(__xludf.DUMMYFUNCTION("GOOGLETRANSLATE(C508, ""en"", ""ms"")"),"Tunjukkan nama hos dan tetapan pelabuhan apabila menyediakan akaun")</f>
        <v>Tunjukkan nama hos dan tetapan pelabuhan apabila menyediakan akaun</v>
      </c>
      <c r="W508" s="1" t="s">
        <v>10877</v>
      </c>
      <c r="X508" s="7" t="str">
        <f>IFERROR(__xludf.DUMMYFUNCTION("GOOGLETRANSLATE(C508, ""en"", ""no"")"),"Vis vertsnavn og portinnstillinger når du setter opp en konto")</f>
        <v>Vis vertsnavn og portinnstillinger når du setter opp en konto</v>
      </c>
      <c r="Y508" s="1" t="s">
        <v>10878</v>
      </c>
      <c r="Z508" s="1" t="s">
        <v>10879</v>
      </c>
      <c r="AA508" s="7" t="str">
        <f>IFERROR(__xludf.DUMMYFUNCTION("GOOGLETRANSLATE(C508, ""en"", ""ro"")"),"Afișați setările de gazdă și setările portului la configurarea unui cont")</f>
        <v>Afișați setările de gazdă și setările portului la configurarea unui cont</v>
      </c>
      <c r="AB508" s="1" t="s">
        <v>10880</v>
      </c>
      <c r="AC508" s="7" t="str">
        <f>IFERROR(__xludf.DUMMYFUNCTION("GOOGLETRANSLATE(C508, ""en"", ""sk"")"),"Zobraziť nastavenia hostiteľa a portu pri nastavení účtu")</f>
        <v>Zobraziť nastavenia hostiteľa a portu pri nastavení účtu</v>
      </c>
      <c r="AD508" s="6" t="s">
        <v>132</v>
      </c>
      <c r="AE508" s="1" t="s">
        <v>10881</v>
      </c>
      <c r="AF508" s="1" t="s">
        <v>10882</v>
      </c>
      <c r="AG508" s="6" t="s">
        <v>132</v>
      </c>
      <c r="AH508" s="7" t="str">
        <f>IFERROR(__xludf.DUMMYFUNCTION("GOOGLETRANSLATE(C508, ""en"", ""tr"")"),"Bir hesap oluştururken ana bilgisayar adını ve bağlantı noktası ayarlarını göster")</f>
        <v>Bir hesap oluştururken ana bilgisayar adını ve bağlantı noktası ayarlarını göster</v>
      </c>
      <c r="AI508" s="6" t="s">
        <v>10883</v>
      </c>
      <c r="AJ508" s="6" t="s">
        <v>132</v>
      </c>
      <c r="AK508" s="7" t="str">
        <f>IFERROR(__xludf.DUMMYFUNCTION("GOOGLETRANSLATE(C508, ""en"", ""zh"")"),"设置帐户时显示主机名和端口设置")</f>
        <v>设置帐户时显示主机名和端口设置</v>
      </c>
      <c r="AL508" s="6" t="s">
        <v>10884</v>
      </c>
    </row>
    <row r="509" ht="15.75" customHeight="1">
      <c r="A509" s="1" t="s">
        <v>127</v>
      </c>
      <c r="B509" s="1" t="s">
        <v>10885</v>
      </c>
      <c r="C509" s="1" t="s">
        <v>10886</v>
      </c>
      <c r="D509" s="8" t="s">
        <v>10887</v>
      </c>
      <c r="E509" s="1" t="s">
        <v>10888</v>
      </c>
      <c r="F509" s="6" t="s">
        <v>132</v>
      </c>
      <c r="G509" s="1" t="s">
        <v>10889</v>
      </c>
      <c r="H509" s="1" t="s">
        <v>10890</v>
      </c>
      <c r="I509" s="1" t="s">
        <v>10886</v>
      </c>
      <c r="J509" s="6" t="s">
        <v>10891</v>
      </c>
      <c r="K509" s="1" t="s">
        <v>10886</v>
      </c>
      <c r="L509" s="1" t="s">
        <v>10892</v>
      </c>
      <c r="M509" s="1" t="s">
        <v>10886</v>
      </c>
      <c r="N509" s="6" t="s">
        <v>132</v>
      </c>
      <c r="O509" s="6" t="s">
        <v>10141</v>
      </c>
      <c r="P509" s="1" t="s">
        <v>10886</v>
      </c>
      <c r="Q509" s="1" t="s">
        <v>10893</v>
      </c>
      <c r="R509" s="1" t="s">
        <v>10886</v>
      </c>
      <c r="S509" s="10" t="s">
        <v>10894</v>
      </c>
      <c r="T509" s="1" t="s">
        <v>10895</v>
      </c>
      <c r="U509" s="1" t="s">
        <v>10896</v>
      </c>
      <c r="V509" s="1" t="s">
        <v>10893</v>
      </c>
      <c r="W509" s="1" t="s">
        <v>10886</v>
      </c>
      <c r="X509" s="1" t="s">
        <v>10897</v>
      </c>
      <c r="Y509" s="1" t="s">
        <v>10886</v>
      </c>
      <c r="Z509" s="1" t="s">
        <v>10886</v>
      </c>
      <c r="AA509" s="1" t="s">
        <v>10898</v>
      </c>
      <c r="AB509" s="1" t="s">
        <v>10899</v>
      </c>
      <c r="AC509" s="1" t="s">
        <v>10900</v>
      </c>
      <c r="AD509" s="6" t="s">
        <v>10901</v>
      </c>
      <c r="AE509" s="1" t="s">
        <v>10886</v>
      </c>
      <c r="AF509" s="1" t="s">
        <v>10886</v>
      </c>
      <c r="AG509" s="6" t="s">
        <v>10902</v>
      </c>
      <c r="AH509" s="1" t="s">
        <v>10903</v>
      </c>
      <c r="AI509" s="6" t="s">
        <v>132</v>
      </c>
      <c r="AJ509" s="6" t="s">
        <v>10904</v>
      </c>
      <c r="AK509" s="1" t="s">
        <v>10905</v>
      </c>
      <c r="AL509" s="6" t="s">
        <v>10906</v>
      </c>
    </row>
    <row r="510" ht="15.75" customHeight="1">
      <c r="A510" s="1" t="s">
        <v>127</v>
      </c>
      <c r="B510" s="1" t="s">
        <v>10907</v>
      </c>
      <c r="C510" s="1" t="s">
        <v>10908</v>
      </c>
      <c r="D510" s="8" t="s">
        <v>10909</v>
      </c>
      <c r="E510" s="1" t="s">
        <v>10910</v>
      </c>
      <c r="F510" s="6" t="s">
        <v>132</v>
      </c>
      <c r="G510" s="1" t="s">
        <v>10911</v>
      </c>
      <c r="H510" s="1" t="s">
        <v>10912</v>
      </c>
      <c r="I510" s="1" t="s">
        <v>10913</v>
      </c>
      <c r="J510" s="6" t="s">
        <v>10914</v>
      </c>
      <c r="K510" s="1" t="s">
        <v>10915</v>
      </c>
      <c r="L510" s="1" t="s">
        <v>10916</v>
      </c>
      <c r="M510" s="1" t="s">
        <v>10917</v>
      </c>
      <c r="N510" s="6" t="s">
        <v>132</v>
      </c>
      <c r="O510" s="6" t="s">
        <v>10918</v>
      </c>
      <c r="P510" s="1" t="s">
        <v>10919</v>
      </c>
      <c r="Q510" s="1" t="s">
        <v>10920</v>
      </c>
      <c r="R510" s="1" t="s">
        <v>10921</v>
      </c>
      <c r="S510" s="10" t="s">
        <v>10922</v>
      </c>
      <c r="T510" s="1" t="s">
        <v>10923</v>
      </c>
      <c r="U510" s="1" t="s">
        <v>10924</v>
      </c>
      <c r="V510" s="1" t="s">
        <v>10925</v>
      </c>
      <c r="W510" s="1" t="s">
        <v>10926</v>
      </c>
      <c r="X510" s="1" t="s">
        <v>10927</v>
      </c>
      <c r="Y510" s="1" t="s">
        <v>10928</v>
      </c>
      <c r="Z510" s="1" t="s">
        <v>10929</v>
      </c>
      <c r="AA510" s="1" t="s">
        <v>10930</v>
      </c>
      <c r="AB510" s="1" t="s">
        <v>10931</v>
      </c>
      <c r="AC510" s="1" t="s">
        <v>10932</v>
      </c>
      <c r="AD510" s="6" t="s">
        <v>10933</v>
      </c>
      <c r="AE510" s="1" t="s">
        <v>10934</v>
      </c>
      <c r="AF510" s="1" t="s">
        <v>10935</v>
      </c>
      <c r="AG510" s="6" t="s">
        <v>10936</v>
      </c>
      <c r="AH510" s="1" t="s">
        <v>10937</v>
      </c>
      <c r="AI510" s="6" t="s">
        <v>132</v>
      </c>
      <c r="AJ510" s="6" t="s">
        <v>10938</v>
      </c>
      <c r="AK510" s="1" t="s">
        <v>10939</v>
      </c>
      <c r="AL510" s="6" t="s">
        <v>10940</v>
      </c>
    </row>
    <row r="511" ht="15.75" hidden="1" customHeight="1">
      <c r="A511" s="1" t="s">
        <v>38</v>
      </c>
      <c r="B511" s="1" t="s">
        <v>10941</v>
      </c>
      <c r="C511" s="12" t="s">
        <v>132</v>
      </c>
      <c r="D511" s="7" t="str">
        <f>IFERROR(__xludf.DUMMYFUNCTION("GOOGLETRANSLATE(C511, ""en"", ""ar"")"),"#VALUE!")</f>
        <v>#VALUE!</v>
      </c>
      <c r="E511" s="7" t="str">
        <f>IFERROR(__xludf.DUMMYFUNCTION("GOOGLETRANSLATE(C511, ""en"", ""bg"")"),"#VALUE!")</f>
        <v>#VALUE!</v>
      </c>
      <c r="F511" s="6" t="s">
        <v>132</v>
      </c>
      <c r="G511" s="7" t="str">
        <f>IFERROR(__xludf.DUMMYFUNCTION("GOOGLETRANSLATE(C511, ""en"", ""cs"")"),"#VALUE!")</f>
        <v>#VALUE!</v>
      </c>
      <c r="H511" s="7" t="str">
        <f>IFERROR(__xludf.DUMMYFUNCTION("GOOGLETRANSLATE(C511, ""en"", ""da"")"),"#VALUE!")</f>
        <v>#VALUE!</v>
      </c>
      <c r="I511" s="7" t="str">
        <f>IFERROR(__xludf.DUMMYFUNCTION("GOOGLETRANSLATE(C511, ""en"", ""de"")"),"#VALUE!")</f>
        <v>#VALUE!</v>
      </c>
      <c r="J511" s="6" t="s">
        <v>132</v>
      </c>
      <c r="K511" s="7" t="str">
        <f>IFERROR(__xludf.DUMMYFUNCTION("GOOGLETRANSLATE(C511, ""en"", ""es"")"),"#VALUE!")</f>
        <v>#VALUE!</v>
      </c>
      <c r="L511" s="7" t="str">
        <f>IFERROR(__xludf.DUMMYFUNCTION("GOOGLETRANSLATE(C511, ""en"", ""fi"")"),"#VALUE!")</f>
        <v>#VALUE!</v>
      </c>
      <c r="M511" s="7" t="str">
        <f>IFERROR(__xludf.DUMMYFUNCTION("GOOGLETRANSLATE(C511, ""en"", ""fr"")"),"#VALUE!")</f>
        <v>#VALUE!</v>
      </c>
      <c r="N511" s="6" t="s">
        <v>132</v>
      </c>
      <c r="O511" s="6" t="s">
        <v>132</v>
      </c>
      <c r="P511" s="7" t="str">
        <f>IFERROR(__xludf.DUMMYFUNCTION("GOOGLETRANSLATE(C511, ""en"", ""hu"")"),"#VALUE!")</f>
        <v>#VALUE!</v>
      </c>
      <c r="Q511" s="7" t="str">
        <f>IFERROR(__xludf.DUMMYFUNCTION("GOOGLETRANSLATE(C511, ""en"", ""in"")"),"#VALUE!")</f>
        <v>#VALUE!</v>
      </c>
      <c r="R511" s="7" t="str">
        <f>IFERROR(__xludf.DUMMYFUNCTION("GOOGLETRANSLATE(C511, ""en"", ""it"")"),"#VALUE!")</f>
        <v>#VALUE!</v>
      </c>
      <c r="S511" s="6" t="s">
        <v>132</v>
      </c>
      <c r="T511" s="7" t="str">
        <f>IFERROR(__xludf.DUMMYFUNCTION("GOOGLETRANSLATE(C511, ""en"", ""ja"")"),"#VALUE!")</f>
        <v>#VALUE!</v>
      </c>
      <c r="U511" s="7" t="str">
        <f>IFERROR(__xludf.DUMMYFUNCTION("GOOGLETRANSLATE(C511, ""en"", ""ko"")"),"#VALUE!")</f>
        <v>#VALUE!</v>
      </c>
      <c r="V511" s="7" t="str">
        <f>IFERROR(__xludf.DUMMYFUNCTION("GOOGLETRANSLATE(C511, ""en"", ""ms"")"),"#VALUE!")</f>
        <v>#VALUE!</v>
      </c>
      <c r="W511" s="7" t="str">
        <f>IFERROR(__xludf.DUMMYFUNCTION("GOOGLETRANSLATE(C511, ""en"", ""nl"")"),"#VALUE!")</f>
        <v>#VALUE!</v>
      </c>
      <c r="X511" s="7" t="str">
        <f>IFERROR(__xludf.DUMMYFUNCTION("GOOGLETRANSLATE(C511, ""en"", ""no"")"),"#VALUE!")</f>
        <v>#VALUE!</v>
      </c>
      <c r="Y511" s="7" t="str">
        <f>IFERROR(__xludf.DUMMYFUNCTION("GOOGLETRANSLATE(C511, ""en"", ""pl"")"),"#VALUE!")</f>
        <v>#VALUE!</v>
      </c>
      <c r="Z511" s="7" t="str">
        <f>IFERROR(__xludf.DUMMYFUNCTION("GOOGLETRANSLATE(C511, ""en"", ""pt"")"),"#VALUE!")</f>
        <v>#VALUE!</v>
      </c>
      <c r="AA511" s="7" t="str">
        <f>IFERROR(__xludf.DUMMYFUNCTION("GOOGLETRANSLATE(C511, ""en"", ""ro"")"),"#VALUE!")</f>
        <v>#VALUE!</v>
      </c>
      <c r="AB511" s="7" t="str">
        <f>IFERROR(__xludf.DUMMYFUNCTION("GOOGLETRANSLATE(C511, ""en"", ""ru"")"),"#VALUE!")</f>
        <v>#VALUE!</v>
      </c>
      <c r="AC511" s="7" t="str">
        <f>IFERROR(__xludf.DUMMYFUNCTION("GOOGLETRANSLATE(C511, ""en"", ""sk"")"),"#VALUE!")</f>
        <v>#VALUE!</v>
      </c>
      <c r="AD511" s="6" t="s">
        <v>132</v>
      </c>
      <c r="AE511" s="7" t="str">
        <f>IFERROR(__xludf.DUMMYFUNCTION("GOOGLETRANSLATE(C511, ""en"", ""sr"")"),"#VALUE!")</f>
        <v>#VALUE!</v>
      </c>
      <c r="AF511" s="7" t="str">
        <f>IFERROR(__xludf.DUMMYFUNCTION("GOOGLETRANSLATE(C511, ""en"", ""sv"")"),"#VALUE!")</f>
        <v>#VALUE!</v>
      </c>
      <c r="AG511" s="6" t="s">
        <v>132</v>
      </c>
      <c r="AH511" s="7" t="str">
        <f>IFERROR(__xludf.DUMMYFUNCTION("GOOGLETRANSLATE(C511, ""en"", ""tr"")"),"#VALUE!")</f>
        <v>#VALUE!</v>
      </c>
      <c r="AI511" s="6" t="s">
        <v>132</v>
      </c>
      <c r="AJ511" s="6" t="s">
        <v>132</v>
      </c>
      <c r="AK511" s="7" t="str">
        <f>IFERROR(__xludf.DUMMYFUNCTION("GOOGLETRANSLATE(C511, ""en"", ""zh"")"),"#VALUE!")</f>
        <v>#VALUE!</v>
      </c>
      <c r="AL511" s="6" t="s">
        <v>132</v>
      </c>
    </row>
    <row r="512" ht="15.75" hidden="1" customHeight="1">
      <c r="A512" s="1" t="s">
        <v>38</v>
      </c>
      <c r="B512" s="1" t="s">
        <v>10942</v>
      </c>
      <c r="C512" s="1" t="s">
        <v>10942</v>
      </c>
      <c r="D512" s="8" t="s">
        <v>10943</v>
      </c>
      <c r="E512" s="1" t="s">
        <v>10944</v>
      </c>
      <c r="F512" s="6" t="s">
        <v>10945</v>
      </c>
      <c r="G512" s="7" t="str">
        <f>IFERROR(__xludf.DUMMYFUNCTION("GOOGLETRANSLATE(C512, ""en"", ""cs"")"),"obraz")</f>
        <v>obraz</v>
      </c>
      <c r="H512" s="7" t="str">
        <f>IFERROR(__xludf.DUMMYFUNCTION("GOOGLETRANSLATE(C512, ""en"", ""da"")"),"billede")</f>
        <v>billede</v>
      </c>
      <c r="I512" s="1" t="s">
        <v>10946</v>
      </c>
      <c r="J512" s="6" t="s">
        <v>132</v>
      </c>
      <c r="K512" s="1" t="s">
        <v>10947</v>
      </c>
      <c r="L512" s="7" t="str">
        <f>IFERROR(__xludf.DUMMYFUNCTION("GOOGLETRANSLATE(C512, ""en"", ""fi"")"),"kuva")</f>
        <v>kuva</v>
      </c>
      <c r="M512" s="1" t="s">
        <v>10942</v>
      </c>
      <c r="N512" s="6" t="s">
        <v>10948</v>
      </c>
      <c r="O512" s="6" t="s">
        <v>132</v>
      </c>
      <c r="P512" s="1" t="s">
        <v>10949</v>
      </c>
      <c r="Q512" s="9" t="s">
        <v>10950</v>
      </c>
      <c r="R512" s="1" t="s">
        <v>10951</v>
      </c>
      <c r="S512" s="6" t="s">
        <v>132</v>
      </c>
      <c r="T512" s="1" t="s">
        <v>10952</v>
      </c>
      <c r="U512" s="1" t="s">
        <v>10953</v>
      </c>
      <c r="V512" s="7" t="str">
        <f>IFERROR(__xludf.DUMMYFUNCTION("GOOGLETRANSLATE(C512, ""en"", ""ms"")"),"imej")</f>
        <v>imej</v>
      </c>
      <c r="W512" s="1" t="s">
        <v>10954</v>
      </c>
      <c r="X512" s="7" t="str">
        <f>IFERROR(__xludf.DUMMYFUNCTION("GOOGLETRANSLATE(C512, ""en"", ""no"")"),"bilde")</f>
        <v>bilde</v>
      </c>
      <c r="Y512" s="1" t="s">
        <v>10955</v>
      </c>
      <c r="Z512" s="1" t="s">
        <v>10956</v>
      </c>
      <c r="AA512" s="7" t="str">
        <f>IFERROR(__xludf.DUMMYFUNCTION("GOOGLETRANSLATE(C512, ""en"", ""ro"")"),"imagine")</f>
        <v>imagine</v>
      </c>
      <c r="AB512" s="1" t="s">
        <v>10944</v>
      </c>
      <c r="AC512" s="1" t="s">
        <v>10957</v>
      </c>
      <c r="AD512" s="6" t="s">
        <v>132</v>
      </c>
      <c r="AE512" s="1" t="s">
        <v>10958</v>
      </c>
      <c r="AF512" s="1" t="s">
        <v>10959</v>
      </c>
      <c r="AG512" s="6" t="s">
        <v>132</v>
      </c>
      <c r="AH512" s="7" t="str">
        <f>IFERROR(__xludf.DUMMYFUNCTION("GOOGLETRANSLATE(C512, ""en"", ""tr"")"),"görüntü")</f>
        <v>görüntü</v>
      </c>
      <c r="AI512" s="6" t="s">
        <v>10960</v>
      </c>
      <c r="AJ512" s="6" t="s">
        <v>10961</v>
      </c>
      <c r="AK512" s="7" t="str">
        <f>IFERROR(__xludf.DUMMYFUNCTION("GOOGLETRANSLATE(C512, ""en"", ""zh"")"),"图像")</f>
        <v>图像</v>
      </c>
      <c r="AL512" s="6" t="s">
        <v>10962</v>
      </c>
    </row>
    <row r="513" ht="15.75" customHeight="1">
      <c r="A513" s="1" t="s">
        <v>127</v>
      </c>
      <c r="B513" s="1" t="s">
        <v>10963</v>
      </c>
      <c r="C513" s="1" t="s">
        <v>10964</v>
      </c>
      <c r="D513" s="8" t="s">
        <v>10965</v>
      </c>
      <c r="E513" s="1" t="s">
        <v>10964</v>
      </c>
      <c r="F513" s="6" t="s">
        <v>132</v>
      </c>
      <c r="G513" s="1" t="s">
        <v>10964</v>
      </c>
      <c r="H513" s="1" t="s">
        <v>10964</v>
      </c>
      <c r="I513" s="1" t="s">
        <v>10966</v>
      </c>
      <c r="J513" s="6" t="s">
        <v>10964</v>
      </c>
      <c r="K513" s="1" t="s">
        <v>10967</v>
      </c>
      <c r="L513" s="1" t="s">
        <v>10964</v>
      </c>
      <c r="M513" s="1" t="s">
        <v>10964</v>
      </c>
      <c r="N513" s="6" t="s">
        <v>132</v>
      </c>
      <c r="O513" s="6" t="s">
        <v>10968</v>
      </c>
      <c r="P513" s="1" t="s">
        <v>10964</v>
      </c>
      <c r="Q513" s="1" t="s">
        <v>10964</v>
      </c>
      <c r="R513" s="1" t="s">
        <v>10969</v>
      </c>
      <c r="S513" s="10" t="s">
        <v>10970</v>
      </c>
      <c r="T513" s="1" t="s">
        <v>10964</v>
      </c>
      <c r="U513" s="1" t="s">
        <v>10971</v>
      </c>
      <c r="V513" s="1" t="s">
        <v>10964</v>
      </c>
      <c r="W513" s="1" t="s">
        <v>10972</v>
      </c>
      <c r="X513" s="1" t="s">
        <v>10964</v>
      </c>
      <c r="Y513" s="1" t="s">
        <v>10973</v>
      </c>
      <c r="Z513" s="1" t="s">
        <v>10974</v>
      </c>
      <c r="AA513" s="1" t="s">
        <v>10964</v>
      </c>
      <c r="AB513" s="1" t="s">
        <v>1781</v>
      </c>
      <c r="AC513" s="1" t="s">
        <v>10964</v>
      </c>
      <c r="AD513" s="6" t="s">
        <v>10964</v>
      </c>
      <c r="AE513" s="1" t="s">
        <v>10964</v>
      </c>
      <c r="AF513" s="1" t="s">
        <v>10964</v>
      </c>
      <c r="AG513" s="6" t="s">
        <v>10964</v>
      </c>
      <c r="AH513" s="1" t="s">
        <v>10975</v>
      </c>
      <c r="AI513" s="6" t="s">
        <v>132</v>
      </c>
      <c r="AJ513" s="6" t="s">
        <v>10964</v>
      </c>
      <c r="AK513" s="1" t="s">
        <v>10976</v>
      </c>
      <c r="AL513" s="6" t="s">
        <v>132</v>
      </c>
    </row>
    <row r="514" ht="15.75" customHeight="1">
      <c r="A514" s="1" t="s">
        <v>127</v>
      </c>
      <c r="B514" s="1" t="s">
        <v>10977</v>
      </c>
      <c r="C514" s="1" t="s">
        <v>10978</v>
      </c>
      <c r="D514" s="8" t="s">
        <v>10979</v>
      </c>
      <c r="E514" s="1" t="s">
        <v>10980</v>
      </c>
      <c r="F514" s="6" t="s">
        <v>132</v>
      </c>
      <c r="G514" s="1" t="s">
        <v>10981</v>
      </c>
      <c r="H514" s="1" t="s">
        <v>10982</v>
      </c>
      <c r="I514" s="1" t="s">
        <v>10983</v>
      </c>
      <c r="J514" s="6" t="s">
        <v>10984</v>
      </c>
      <c r="K514" s="1" t="s">
        <v>10985</v>
      </c>
      <c r="L514" s="1" t="s">
        <v>10986</v>
      </c>
      <c r="M514" s="1" t="s">
        <v>10987</v>
      </c>
      <c r="N514" s="6" t="s">
        <v>132</v>
      </c>
      <c r="O514" s="6" t="s">
        <v>10988</v>
      </c>
      <c r="P514" s="1" t="s">
        <v>10989</v>
      </c>
      <c r="Q514" s="1" t="s">
        <v>10990</v>
      </c>
      <c r="R514" s="1" t="s">
        <v>10991</v>
      </c>
      <c r="S514" s="10" t="s">
        <v>10992</v>
      </c>
      <c r="T514" s="1" t="s">
        <v>10993</v>
      </c>
      <c r="U514" s="1" t="s">
        <v>10994</v>
      </c>
      <c r="V514" s="1" t="s">
        <v>10990</v>
      </c>
      <c r="W514" s="1" t="s">
        <v>10995</v>
      </c>
      <c r="X514" s="1" t="s">
        <v>10996</v>
      </c>
      <c r="Y514" s="1" t="s">
        <v>10997</v>
      </c>
      <c r="Z514" s="1" t="s">
        <v>10998</v>
      </c>
      <c r="AA514" s="1" t="s">
        <v>10999</v>
      </c>
      <c r="AB514" s="1" t="s">
        <v>3833</v>
      </c>
      <c r="AC514" s="1" t="s">
        <v>11000</v>
      </c>
      <c r="AD514" s="6" t="s">
        <v>11001</v>
      </c>
      <c r="AE514" s="1" t="s">
        <v>11002</v>
      </c>
      <c r="AF514" s="1" t="s">
        <v>11003</v>
      </c>
      <c r="AG514" s="6" t="s">
        <v>11004</v>
      </c>
      <c r="AH514" s="1" t="s">
        <v>11005</v>
      </c>
      <c r="AI514" s="6" t="s">
        <v>132</v>
      </c>
      <c r="AJ514" s="6" t="s">
        <v>11006</v>
      </c>
      <c r="AK514" s="1" t="s">
        <v>11007</v>
      </c>
      <c r="AL514" s="6" t="s">
        <v>11008</v>
      </c>
    </row>
    <row r="515" ht="15.75" hidden="1" customHeight="1">
      <c r="A515" s="1" t="s">
        <v>38</v>
      </c>
      <c r="B515" s="1" t="s">
        <v>11009</v>
      </c>
      <c r="C515" s="1" t="s">
        <v>11010</v>
      </c>
      <c r="D515" s="7" t="str">
        <f>IFERROR(__xludf.DUMMYFUNCTION("GOOGLETRANSLATE(C515, ""en"", ""ar"")"),"لتتمكن من استخدام ميزة الدردشة، يرجى كتابة رقم هاتفك لتلقي رمز التنشيط.")</f>
        <v>لتتمكن من استخدام ميزة الدردشة، يرجى كتابة رقم هاتفك لتلقي رمز التنشيط.</v>
      </c>
      <c r="E515" s="7" t="str">
        <f>IFERROR(__xludf.DUMMYFUNCTION("GOOGLETRANSLATE(C515, ""en"", ""bg"")"),"За да можете да използвате функцията за чат, моля, въведете в телефонния си номер, за да получите кода за активиране.")</f>
        <v>За да можете да използвате функцията за чат, моля, въведете в телефонния си номер, за да получите кода за активиране.</v>
      </c>
      <c r="F515" s="6" t="s">
        <v>132</v>
      </c>
      <c r="G515" s="7" t="str">
        <f>IFERROR(__xludf.DUMMYFUNCTION("GOOGLETRANSLATE(C515, ""en"", ""cs"")"),"Abyste mohli používat funkci chatu, zadejte své telefonní číslo, abyste obdrželi aktivační kód.")</f>
        <v>Abyste mohli používat funkci chatu, zadejte své telefonní číslo, abyste obdrželi aktivační kód.</v>
      </c>
      <c r="H515" s="7" t="str">
        <f>IFERROR(__xludf.DUMMYFUNCTION("GOOGLETRANSLATE(C515, ""en"", ""da"")"),"For at kunne bruge chatfunktionen, skal du indtaste dit telefonnummer for at modtage aktiveringskoden.")</f>
        <v>For at kunne bruge chatfunktionen, skal du indtaste dit telefonnummer for at modtage aktiveringskoden.</v>
      </c>
      <c r="I515" s="1" t="s">
        <v>11011</v>
      </c>
      <c r="J515" s="6" t="s">
        <v>132</v>
      </c>
      <c r="K515" s="1" t="s">
        <v>11012</v>
      </c>
      <c r="L515" s="7" t="str">
        <f>IFERROR(__xludf.DUMMYFUNCTION("GOOGLETRANSLATE(C515, ""en"", ""fi"")"),"Jos haluat käyttää chat-ominaisuutta, kirjoita puhelinnumerosi vastaanottaaksesi aktivointikoodin.")</f>
        <v>Jos haluat käyttää chat-ominaisuutta, kirjoita puhelinnumerosi vastaanottaaksesi aktivointikoodin.</v>
      </c>
      <c r="M515" s="1" t="s">
        <v>11013</v>
      </c>
      <c r="N515" s="6" t="s">
        <v>132</v>
      </c>
      <c r="O515" s="6" t="s">
        <v>132</v>
      </c>
      <c r="P515" s="1" t="s">
        <v>11014</v>
      </c>
      <c r="Q515" s="7" t="str">
        <f>IFERROR(__xludf.DUMMYFUNCTION("GOOGLETRANSLATE(C515, ""en"", ""in"")"),"Untuk dapat menggunakan fitur obrolan, silakan ketik nomor telepon Anda untuk menerima kode aktivasi.")</f>
        <v>Untuk dapat menggunakan fitur obrolan, silakan ketik nomor telepon Anda untuk menerima kode aktivasi.</v>
      </c>
      <c r="R515" s="7" t="str">
        <f>IFERROR(__xludf.DUMMYFUNCTION("GOOGLETRANSLATE(C515, ""en"", ""it"")"),"Per poter utilizzare la funzione chat, digitare il numero di telefono per ricevere il codice di attivazione.")</f>
        <v>Per poter utilizzare la funzione chat, digitare il numero di telefono per ricevere il codice di attivazione.</v>
      </c>
      <c r="S515" s="6" t="s">
        <v>132</v>
      </c>
      <c r="T515" s="7" t="str">
        <f>IFERROR(__xludf.DUMMYFUNCTION("GOOGLETRANSLATE(C515, ""en"", ""ja"")"),"チャット機能を使用できるようにするには、アクティベーションコードを受信するには、電話番号を入力してください。")</f>
        <v>チャット機能を使用できるようにするには、アクティベーションコードを受信するには、電話番号を入力してください。</v>
      </c>
      <c r="U515" s="7" t="str">
        <f>IFERROR(__xludf.DUMMYFUNCTION("GOOGLETRANSLATE(C515, ""en"", ""ko"")"),"채팅 기능을 사용하려면 전화 번호를 입력하여 정품 인증 코드를 수신하십시오.")</f>
        <v>채팅 기능을 사용하려면 전화 번호를 입력하여 정품 인증 코드를 수신하십시오.</v>
      </c>
      <c r="V515" s="7" t="str">
        <f>IFERROR(__xludf.DUMMYFUNCTION("GOOGLETRANSLATE(C515, ""en"", ""ms"")"),"Untuk dapat menggunakan ciri sembang, sila taip nombor telefon anda untuk menerima kod pengaktifan.")</f>
        <v>Untuk dapat menggunakan ciri sembang, sila taip nombor telefon anda untuk menerima kod pengaktifan.</v>
      </c>
      <c r="W515" s="7" t="str">
        <f>IFERROR(__xludf.DUMMYFUNCTION("GOOGLETRANSLATE(C515, ""en"", ""nl"")"),"Als u de chatfunctie kunt gebruiken, typt u uw telefoonnummer in om de activeringscode te ontvangen.")</f>
        <v>Als u de chatfunctie kunt gebruiken, typt u uw telefoonnummer in om de activeringscode te ontvangen.</v>
      </c>
      <c r="X515" s="7" t="str">
        <f>IFERROR(__xludf.DUMMYFUNCTION("GOOGLETRANSLATE(C515, ""en"", ""no"")"),"For å kunne bruke chat-funksjonen, skriv inn telefonnummeret ditt for å motta aktiveringskoden.")</f>
        <v>For å kunne bruke chat-funksjonen, skriv inn telefonnummeret ditt for å motta aktiveringskoden.</v>
      </c>
      <c r="Y515" s="7" t="str">
        <f>IFERROR(__xludf.DUMMYFUNCTION("GOOGLETRANSLATE(C515, ""en"", ""pl"")"),"Aby móc korzystać z funkcji czatu, wpisz swój numer telefonu, aby otrzymać kod aktywacyjny.")</f>
        <v>Aby móc korzystać z funkcji czatu, wpisz swój numer telefonu, aby otrzymać kod aktywacyjny.</v>
      </c>
      <c r="Z515" s="7" t="str">
        <f>IFERROR(__xludf.DUMMYFUNCTION("GOOGLETRANSLATE(C515, ""en"", ""pt"")"),"Para poder usar o recurso de bate-papo, digite seu número de telefone para receber o código de ativação.")</f>
        <v>Para poder usar o recurso de bate-papo, digite seu número de telefone para receber o código de ativação.</v>
      </c>
      <c r="AA515" s="7" t="str">
        <f>IFERROR(__xludf.DUMMYFUNCTION("GOOGLETRANSLATE(C515, ""en"", ""ro"")"),"Pentru a putea utiliza funcția de chat, introduceți numărul dvs. de telefon pentru a primi codul de activare.")</f>
        <v>Pentru a putea utiliza funcția de chat, introduceți numărul dvs. de telefon pentru a primi codul de activare.</v>
      </c>
      <c r="AB515" s="1" t="s">
        <v>11015</v>
      </c>
      <c r="AC515" s="7" t="str">
        <f>IFERROR(__xludf.DUMMYFUNCTION("GOOGLETRANSLATE(C515, ""en"", ""sk"")"),"Aby ste mohli používať funkciu chatu, zadajte svoje telefónne číslo, ak chcete získať aktivačný kód.")</f>
        <v>Aby ste mohli používať funkciu chatu, zadajte svoje telefónne číslo, ak chcete získať aktivačný kód.</v>
      </c>
      <c r="AD515" s="6" t="s">
        <v>132</v>
      </c>
      <c r="AE515" s="1" t="s">
        <v>11016</v>
      </c>
      <c r="AF515" s="7" t="str">
        <f>IFERROR(__xludf.DUMMYFUNCTION("GOOGLETRANSLATE(C515, ""en"", ""sv"")"),"För att kunna använda chattfunktionen, skriv in ditt telefonnummer för att ta emot aktiveringskoden.")</f>
        <v>För att kunna använda chattfunktionen, skriv in ditt telefonnummer för att ta emot aktiveringskoden.</v>
      </c>
      <c r="AG515" s="6" t="s">
        <v>132</v>
      </c>
      <c r="AH515" s="7" t="str">
        <f>IFERROR(__xludf.DUMMYFUNCTION("GOOGLETRANSLATE(C515, ""en"", ""tr"")"),"Sohbet özelliğini kullanabilmek için, lütfen aktivasyon kodunu almak için telefon numaranızı girin.")</f>
        <v>Sohbet özelliğini kullanabilmek için, lütfen aktivasyon kodunu almak için telefon numaranızı girin.</v>
      </c>
      <c r="AI515" s="6" t="s">
        <v>132</v>
      </c>
      <c r="AJ515" s="6" t="s">
        <v>132</v>
      </c>
      <c r="AK515" s="7" t="str">
        <f>IFERROR(__xludf.DUMMYFUNCTION("GOOGLETRANSLATE(C515, ""en"", ""zh"")"),"为了能够使用聊天功能，请输入您的电话号码以接收激活码。")</f>
        <v>为了能够使用聊天功能，请输入您的电话号码以接收激活码。</v>
      </c>
      <c r="AL515" s="6" t="s">
        <v>132</v>
      </c>
    </row>
    <row r="516" ht="15.75" customHeight="1">
      <c r="A516" s="1" t="s">
        <v>127</v>
      </c>
      <c r="B516" s="1" t="s">
        <v>11017</v>
      </c>
      <c r="C516" s="1" t="s">
        <v>11018</v>
      </c>
      <c r="D516" s="8" t="s">
        <v>11019</v>
      </c>
      <c r="E516" s="1" t="s">
        <v>11020</v>
      </c>
      <c r="F516" s="6" t="s">
        <v>132</v>
      </c>
      <c r="G516" s="1" t="s">
        <v>11021</v>
      </c>
      <c r="H516" s="1" t="s">
        <v>11022</v>
      </c>
      <c r="I516" s="1" t="s">
        <v>11023</v>
      </c>
      <c r="J516" s="6" t="s">
        <v>11024</v>
      </c>
      <c r="K516" s="1" t="s">
        <v>11025</v>
      </c>
      <c r="L516" s="1" t="s">
        <v>11026</v>
      </c>
      <c r="M516" s="1" t="s">
        <v>11027</v>
      </c>
      <c r="N516" s="6" t="s">
        <v>132</v>
      </c>
      <c r="O516" s="6" t="s">
        <v>11028</v>
      </c>
      <c r="P516" s="1" t="s">
        <v>11029</v>
      </c>
      <c r="Q516" s="1" t="s">
        <v>11030</v>
      </c>
      <c r="R516" s="1" t="s">
        <v>11031</v>
      </c>
      <c r="S516" s="10" t="s">
        <v>11032</v>
      </c>
      <c r="T516" s="1" t="s">
        <v>11033</v>
      </c>
      <c r="U516" s="1" t="s">
        <v>11034</v>
      </c>
      <c r="V516" s="1" t="s">
        <v>11030</v>
      </c>
      <c r="W516" s="1" t="s">
        <v>11035</v>
      </c>
      <c r="X516" s="1" t="s">
        <v>11036</v>
      </c>
      <c r="Y516" s="1" t="s">
        <v>11037</v>
      </c>
      <c r="Z516" s="1" t="s">
        <v>11038</v>
      </c>
      <c r="AA516" s="1" t="s">
        <v>11039</v>
      </c>
      <c r="AB516" s="1" t="s">
        <v>11040</v>
      </c>
      <c r="AC516" s="1" t="s">
        <v>11041</v>
      </c>
      <c r="AD516" s="6" t="s">
        <v>11042</v>
      </c>
      <c r="AE516" s="1" t="s">
        <v>11043</v>
      </c>
      <c r="AF516" s="1" t="s">
        <v>11044</v>
      </c>
      <c r="AG516" s="6" t="s">
        <v>11045</v>
      </c>
      <c r="AH516" s="1" t="s">
        <v>11046</v>
      </c>
      <c r="AI516" s="6" t="s">
        <v>132</v>
      </c>
      <c r="AJ516" s="6" t="s">
        <v>11047</v>
      </c>
      <c r="AK516" s="1" t="s">
        <v>11048</v>
      </c>
      <c r="AL516" s="6" t="s">
        <v>11049</v>
      </c>
    </row>
    <row r="517" ht="15.75" hidden="1" customHeight="1">
      <c r="A517" s="1" t="s">
        <v>11050</v>
      </c>
      <c r="B517" s="1" t="s">
        <v>11051</v>
      </c>
      <c r="C517" s="12" t="s">
        <v>132</v>
      </c>
      <c r="D517" s="8" t="s">
        <v>11052</v>
      </c>
      <c r="E517" s="7" t="str">
        <f>IFERROR(__xludf.DUMMYFUNCTION("GOOGLETRANSLATE(C517, ""en"", ""bg"")"),"#VALUE!")</f>
        <v>#VALUE!</v>
      </c>
      <c r="F517" s="6" t="s">
        <v>132</v>
      </c>
      <c r="G517" s="1" t="s">
        <v>11053</v>
      </c>
      <c r="H517" s="1" t="s">
        <v>11054</v>
      </c>
      <c r="I517" s="7" t="str">
        <f>IFERROR(__xludf.DUMMYFUNCTION("GOOGLETRANSLATE(C517, ""en"", ""de"")"),"#VALUE!")</f>
        <v>#VALUE!</v>
      </c>
      <c r="J517" s="6" t="s">
        <v>11055</v>
      </c>
      <c r="K517" s="7" t="str">
        <f>IFERROR(__xludf.DUMMYFUNCTION("GOOGLETRANSLATE(C517, ""en"", ""es"")"),"#VALUE!")</f>
        <v>#VALUE!</v>
      </c>
      <c r="L517" s="1" t="s">
        <v>11056</v>
      </c>
      <c r="M517" s="7" t="str">
        <f>IFERROR(__xludf.DUMMYFUNCTION("GOOGLETRANSLATE(C517, ""en"", ""fr"")"),"#VALUE!")</f>
        <v>#VALUE!</v>
      </c>
      <c r="N517" s="6" t="s">
        <v>132</v>
      </c>
      <c r="O517" s="6" t="s">
        <v>11057</v>
      </c>
      <c r="P517" s="7" t="str">
        <f>IFERROR(__xludf.DUMMYFUNCTION("GOOGLETRANSLATE(C517, ""en"", ""hu"")"),"#VALUE!")</f>
        <v>#VALUE!</v>
      </c>
      <c r="Q517" s="7" t="str">
        <f>IFERROR(__xludf.DUMMYFUNCTION("GOOGLETRANSLATE(C517, ""en"", ""in"")"),"#VALUE!")</f>
        <v>#VALUE!</v>
      </c>
      <c r="R517" s="7" t="str">
        <f>IFERROR(__xludf.DUMMYFUNCTION("GOOGLETRANSLATE(C517, ""en"", ""it"")"),"#VALUE!")</f>
        <v>#VALUE!</v>
      </c>
      <c r="S517" s="10" t="s">
        <v>11058</v>
      </c>
      <c r="T517" s="7" t="str">
        <f>IFERROR(__xludf.DUMMYFUNCTION("GOOGLETRANSLATE(C517, ""en"", ""ja"")"),"#VALUE!")</f>
        <v>#VALUE!</v>
      </c>
      <c r="U517" s="1" t="s">
        <v>11059</v>
      </c>
      <c r="V517" s="7" t="str">
        <f>IFERROR(__xludf.DUMMYFUNCTION("GOOGLETRANSLATE(C517, ""en"", ""ms"")"),"#VALUE!")</f>
        <v>#VALUE!</v>
      </c>
      <c r="W517" s="7" t="str">
        <f>IFERROR(__xludf.DUMMYFUNCTION("GOOGLETRANSLATE(C517, ""en"", ""nl"")"),"#VALUE!")</f>
        <v>#VALUE!</v>
      </c>
      <c r="X517" s="1" t="s">
        <v>11060</v>
      </c>
      <c r="Y517" s="7" t="str">
        <f>IFERROR(__xludf.DUMMYFUNCTION("GOOGLETRANSLATE(C517, ""en"", ""pl"")"),"#VALUE!")</f>
        <v>#VALUE!</v>
      </c>
      <c r="Z517" s="7" t="str">
        <f>IFERROR(__xludf.DUMMYFUNCTION("GOOGLETRANSLATE(C517, ""en"", ""pt"")"),"#VALUE!")</f>
        <v>#VALUE!</v>
      </c>
      <c r="AA517" s="1" t="s">
        <v>11061</v>
      </c>
      <c r="AB517" s="7" t="str">
        <f>IFERROR(__xludf.DUMMYFUNCTION("GOOGLETRANSLATE(C517, ""en"", ""ru"")"),"#VALUE!")</f>
        <v>#VALUE!</v>
      </c>
      <c r="AC517" s="1" t="s">
        <v>11062</v>
      </c>
      <c r="AD517" s="6" t="s">
        <v>11063</v>
      </c>
      <c r="AE517" s="7" t="str">
        <f>IFERROR(__xludf.DUMMYFUNCTION("GOOGLETRANSLATE(C517, ""en"", ""sr"")"),"#VALUE!")</f>
        <v>#VALUE!</v>
      </c>
      <c r="AF517" s="1" t="s">
        <v>11064</v>
      </c>
      <c r="AG517" s="6" t="s">
        <v>11065</v>
      </c>
      <c r="AH517" s="7" t="str">
        <f>IFERROR(__xludf.DUMMYFUNCTION("GOOGLETRANSLATE(C517, ""en"", ""tr"")"),"#VALUE!")</f>
        <v>#VALUE!</v>
      </c>
      <c r="AI517" s="6" t="s">
        <v>132</v>
      </c>
      <c r="AJ517" s="6" t="s">
        <v>11066</v>
      </c>
      <c r="AK517" s="7" t="str">
        <f>IFERROR(__xludf.DUMMYFUNCTION("GOOGLETRANSLATE(C517, ""en"", ""zh"")"),"#VALUE!")</f>
        <v>#VALUE!</v>
      </c>
      <c r="AL517" s="6" t="s">
        <v>132</v>
      </c>
    </row>
    <row r="518" ht="15.75" hidden="1" customHeight="1">
      <c r="A518" s="1" t="s">
        <v>11050</v>
      </c>
      <c r="B518" s="1" t="s">
        <v>11067</v>
      </c>
      <c r="C518" s="12" t="s">
        <v>132</v>
      </c>
      <c r="D518" s="8" t="s">
        <v>11068</v>
      </c>
      <c r="E518" s="1" t="s">
        <v>11069</v>
      </c>
      <c r="F518" s="6" t="s">
        <v>132</v>
      </c>
      <c r="G518" s="1" t="s">
        <v>11070</v>
      </c>
      <c r="H518" s="1" t="s">
        <v>11071</v>
      </c>
      <c r="I518" s="7" t="str">
        <f>IFERROR(__xludf.DUMMYFUNCTION("GOOGLETRANSLATE(C518, ""en"", ""de"")"),"#VALUE!")</f>
        <v>#VALUE!</v>
      </c>
      <c r="J518" s="6" t="s">
        <v>11072</v>
      </c>
      <c r="K518" s="7" t="str">
        <f>IFERROR(__xludf.DUMMYFUNCTION("GOOGLETRANSLATE(C518, ""en"", ""es"")"),"#VALUE!")</f>
        <v>#VALUE!</v>
      </c>
      <c r="L518" s="1" t="s">
        <v>11073</v>
      </c>
      <c r="M518" s="7" t="str">
        <f>IFERROR(__xludf.DUMMYFUNCTION("GOOGLETRANSLATE(C518, ""en"", ""fr"")"),"#VALUE!")</f>
        <v>#VALUE!</v>
      </c>
      <c r="N518" s="6" t="s">
        <v>132</v>
      </c>
      <c r="O518" s="6" t="s">
        <v>11074</v>
      </c>
      <c r="P518" s="7" t="str">
        <f>IFERROR(__xludf.DUMMYFUNCTION("GOOGLETRANSLATE(C518, ""en"", ""hu"")"),"#VALUE!")</f>
        <v>#VALUE!</v>
      </c>
      <c r="Q518" s="7" t="str">
        <f>IFERROR(__xludf.DUMMYFUNCTION("GOOGLETRANSLATE(C518, ""en"", ""in"")"),"#VALUE!")</f>
        <v>#VALUE!</v>
      </c>
      <c r="R518" s="7" t="str">
        <f>IFERROR(__xludf.DUMMYFUNCTION("GOOGLETRANSLATE(C518, ""en"", ""it"")"),"#VALUE!")</f>
        <v>#VALUE!</v>
      </c>
      <c r="S518" s="10" t="s">
        <v>11075</v>
      </c>
      <c r="T518" s="7" t="str">
        <f>IFERROR(__xludf.DUMMYFUNCTION("GOOGLETRANSLATE(C518, ""en"", ""ja"")"),"#VALUE!")</f>
        <v>#VALUE!</v>
      </c>
      <c r="U518" s="1" t="s">
        <v>11076</v>
      </c>
      <c r="V518" s="7" t="str">
        <f>IFERROR(__xludf.DUMMYFUNCTION("GOOGLETRANSLATE(C518, ""en"", ""ms"")"),"#VALUE!")</f>
        <v>#VALUE!</v>
      </c>
      <c r="W518" s="7" t="str">
        <f>IFERROR(__xludf.DUMMYFUNCTION("GOOGLETRANSLATE(C518, ""en"", ""nl"")"),"#VALUE!")</f>
        <v>#VALUE!</v>
      </c>
      <c r="X518" s="1" t="s">
        <v>11077</v>
      </c>
      <c r="Y518" s="7" t="str">
        <f>IFERROR(__xludf.DUMMYFUNCTION("GOOGLETRANSLATE(C518, ""en"", ""pl"")"),"#VALUE!")</f>
        <v>#VALUE!</v>
      </c>
      <c r="Z518" s="7" t="str">
        <f>IFERROR(__xludf.DUMMYFUNCTION("GOOGLETRANSLATE(C518, ""en"", ""pt"")"),"#VALUE!")</f>
        <v>#VALUE!</v>
      </c>
      <c r="AA518" s="1" t="s">
        <v>11078</v>
      </c>
      <c r="AB518" s="7" t="str">
        <f>IFERROR(__xludf.DUMMYFUNCTION("GOOGLETRANSLATE(C518, ""en"", ""ru"")"),"#VALUE!")</f>
        <v>#VALUE!</v>
      </c>
      <c r="AC518" s="1" t="s">
        <v>11079</v>
      </c>
      <c r="AD518" s="6" t="s">
        <v>11080</v>
      </c>
      <c r="AE518" s="7" t="str">
        <f>IFERROR(__xludf.DUMMYFUNCTION("GOOGLETRANSLATE(C518, ""en"", ""sr"")"),"#VALUE!")</f>
        <v>#VALUE!</v>
      </c>
      <c r="AF518" s="1" t="s">
        <v>11081</v>
      </c>
      <c r="AG518" s="6" t="s">
        <v>11082</v>
      </c>
      <c r="AH518" s="7" t="str">
        <f>IFERROR(__xludf.DUMMYFUNCTION("GOOGLETRANSLATE(C518, ""en"", ""tr"")"),"#VALUE!")</f>
        <v>#VALUE!</v>
      </c>
      <c r="AI518" s="6" t="s">
        <v>132</v>
      </c>
      <c r="AJ518" s="6" t="s">
        <v>11083</v>
      </c>
      <c r="AK518" s="7" t="str">
        <f>IFERROR(__xludf.DUMMYFUNCTION("GOOGLETRANSLATE(C518, ""en"", ""zh"")"),"#VALUE!")</f>
        <v>#VALUE!</v>
      </c>
      <c r="AL518" s="6" t="s">
        <v>132</v>
      </c>
    </row>
    <row r="519" ht="15.75" hidden="1" customHeight="1">
      <c r="A519" s="1" t="s">
        <v>11050</v>
      </c>
      <c r="B519" s="1" t="s">
        <v>11084</v>
      </c>
      <c r="C519" s="12" t="s">
        <v>132</v>
      </c>
      <c r="D519" s="8" t="s">
        <v>11085</v>
      </c>
      <c r="E519" s="1" t="s">
        <v>11086</v>
      </c>
      <c r="F519" s="6" t="s">
        <v>132</v>
      </c>
      <c r="G519" s="1" t="s">
        <v>11087</v>
      </c>
      <c r="H519" s="1" t="s">
        <v>11088</v>
      </c>
      <c r="I519" s="7" t="str">
        <f>IFERROR(__xludf.DUMMYFUNCTION("GOOGLETRANSLATE(C519, ""en"", ""de"")"),"#VALUE!")</f>
        <v>#VALUE!</v>
      </c>
      <c r="J519" s="6" t="s">
        <v>11089</v>
      </c>
      <c r="K519" s="7" t="str">
        <f>IFERROR(__xludf.DUMMYFUNCTION("GOOGLETRANSLATE(C519, ""en"", ""es"")"),"#VALUE!")</f>
        <v>#VALUE!</v>
      </c>
      <c r="L519" s="1" t="s">
        <v>11090</v>
      </c>
      <c r="M519" s="7" t="str">
        <f>IFERROR(__xludf.DUMMYFUNCTION("GOOGLETRANSLATE(C519, ""en"", ""fr"")"),"#VALUE!")</f>
        <v>#VALUE!</v>
      </c>
      <c r="N519" s="6" t="s">
        <v>132</v>
      </c>
      <c r="O519" s="6" t="s">
        <v>11091</v>
      </c>
      <c r="P519" s="7" t="str">
        <f>IFERROR(__xludf.DUMMYFUNCTION("GOOGLETRANSLATE(C519, ""en"", ""hu"")"),"#VALUE!")</f>
        <v>#VALUE!</v>
      </c>
      <c r="Q519" s="7" t="str">
        <f>IFERROR(__xludf.DUMMYFUNCTION("GOOGLETRANSLATE(C519, ""en"", ""in"")"),"#VALUE!")</f>
        <v>#VALUE!</v>
      </c>
      <c r="R519" s="7" t="str">
        <f>IFERROR(__xludf.DUMMYFUNCTION("GOOGLETRANSLATE(C519, ""en"", ""it"")"),"#VALUE!")</f>
        <v>#VALUE!</v>
      </c>
      <c r="S519" s="10" t="s">
        <v>11092</v>
      </c>
      <c r="T519" s="7" t="str">
        <f>IFERROR(__xludf.DUMMYFUNCTION("GOOGLETRANSLATE(C519, ""en"", ""ja"")"),"#VALUE!")</f>
        <v>#VALUE!</v>
      </c>
      <c r="U519" s="1" t="s">
        <v>11093</v>
      </c>
      <c r="V519" s="7" t="str">
        <f>IFERROR(__xludf.DUMMYFUNCTION("GOOGLETRANSLATE(C519, ""en"", ""ms"")"),"#VALUE!")</f>
        <v>#VALUE!</v>
      </c>
      <c r="W519" s="7" t="str">
        <f>IFERROR(__xludf.DUMMYFUNCTION("GOOGLETRANSLATE(C519, ""en"", ""nl"")"),"#VALUE!")</f>
        <v>#VALUE!</v>
      </c>
      <c r="X519" s="1" t="s">
        <v>11094</v>
      </c>
      <c r="Y519" s="7" t="str">
        <f>IFERROR(__xludf.DUMMYFUNCTION("GOOGLETRANSLATE(C519, ""en"", ""pl"")"),"#VALUE!")</f>
        <v>#VALUE!</v>
      </c>
      <c r="Z519" s="7" t="str">
        <f>IFERROR(__xludf.DUMMYFUNCTION("GOOGLETRANSLATE(C519, ""en"", ""pt"")"),"#VALUE!")</f>
        <v>#VALUE!</v>
      </c>
      <c r="AA519" s="1" t="s">
        <v>11095</v>
      </c>
      <c r="AB519" s="7" t="str">
        <f>IFERROR(__xludf.DUMMYFUNCTION("GOOGLETRANSLATE(C519, ""en"", ""ru"")"),"#VALUE!")</f>
        <v>#VALUE!</v>
      </c>
      <c r="AC519" s="1" t="s">
        <v>11096</v>
      </c>
      <c r="AD519" s="6" t="s">
        <v>11097</v>
      </c>
      <c r="AE519" s="7" t="str">
        <f>IFERROR(__xludf.DUMMYFUNCTION("GOOGLETRANSLATE(C519, ""en"", ""sr"")"),"#VALUE!")</f>
        <v>#VALUE!</v>
      </c>
      <c r="AF519" s="1" t="s">
        <v>11098</v>
      </c>
      <c r="AG519" s="6" t="s">
        <v>11099</v>
      </c>
      <c r="AH519" s="7" t="str">
        <f>IFERROR(__xludf.DUMMYFUNCTION("GOOGLETRANSLATE(C519, ""en"", ""tr"")"),"#VALUE!")</f>
        <v>#VALUE!</v>
      </c>
      <c r="AI519" s="6" t="s">
        <v>132</v>
      </c>
      <c r="AJ519" s="6" t="s">
        <v>11100</v>
      </c>
      <c r="AK519" s="7" t="str">
        <f>IFERROR(__xludf.DUMMYFUNCTION("GOOGLETRANSLATE(C519, ""en"", ""zh"")"),"#VALUE!")</f>
        <v>#VALUE!</v>
      </c>
      <c r="AL519" s="6" t="s">
        <v>132</v>
      </c>
    </row>
    <row r="520" ht="15.75" customHeight="1">
      <c r="A520" s="1" t="s">
        <v>127</v>
      </c>
      <c r="B520" s="1" t="s">
        <v>11101</v>
      </c>
      <c r="C520" s="1" t="s">
        <v>11102</v>
      </c>
      <c r="D520" s="8" t="s">
        <v>11103</v>
      </c>
      <c r="E520" s="1" t="s">
        <v>11104</v>
      </c>
      <c r="F520" s="6" t="s">
        <v>132</v>
      </c>
      <c r="G520" s="1" t="s">
        <v>11105</v>
      </c>
      <c r="H520" s="1" t="s">
        <v>11102</v>
      </c>
      <c r="I520" s="1" t="s">
        <v>11102</v>
      </c>
      <c r="J520" s="6" t="s">
        <v>11106</v>
      </c>
      <c r="K520" s="1" t="s">
        <v>11102</v>
      </c>
      <c r="L520" s="1" t="s">
        <v>11102</v>
      </c>
      <c r="M520" s="1" t="s">
        <v>11102</v>
      </c>
      <c r="N520" s="6" t="s">
        <v>132</v>
      </c>
      <c r="O520" s="6" t="s">
        <v>11107</v>
      </c>
      <c r="P520" s="1" t="s">
        <v>11102</v>
      </c>
      <c r="Q520" s="1" t="s">
        <v>11102</v>
      </c>
      <c r="R520" s="1" t="s">
        <v>11102</v>
      </c>
      <c r="S520" s="10" t="s">
        <v>11108</v>
      </c>
      <c r="T520" s="1" t="s">
        <v>11109</v>
      </c>
      <c r="U520" s="1" t="s">
        <v>11110</v>
      </c>
      <c r="V520" s="1" t="s">
        <v>11102</v>
      </c>
      <c r="W520" s="1" t="s">
        <v>11102</v>
      </c>
      <c r="X520" s="1" t="s">
        <v>11102</v>
      </c>
      <c r="Y520" s="1" t="s">
        <v>11102</v>
      </c>
      <c r="Z520" s="1" t="s">
        <v>11111</v>
      </c>
      <c r="AA520" s="1" t="s">
        <v>11102</v>
      </c>
      <c r="AB520" s="1" t="s">
        <v>11112</v>
      </c>
      <c r="AC520" s="1" t="s">
        <v>11102</v>
      </c>
      <c r="AD520" s="6" t="s">
        <v>11113</v>
      </c>
      <c r="AE520" s="1" t="s">
        <v>11102</v>
      </c>
      <c r="AF520" s="1" t="s">
        <v>11102</v>
      </c>
      <c r="AG520" s="6" t="s">
        <v>11114</v>
      </c>
      <c r="AH520" s="1" t="s">
        <v>11115</v>
      </c>
      <c r="AI520" s="6" t="s">
        <v>132</v>
      </c>
      <c r="AJ520" s="6" t="s">
        <v>11116</v>
      </c>
      <c r="AK520" s="1" t="s">
        <v>11117</v>
      </c>
      <c r="AL520" s="6" t="s">
        <v>11118</v>
      </c>
    </row>
    <row r="521" hidden="1">
      <c r="A521" s="1" t="s">
        <v>11050</v>
      </c>
      <c r="B521" s="1" t="s">
        <v>11119</v>
      </c>
      <c r="C521" s="12" t="s">
        <v>132</v>
      </c>
      <c r="D521" s="8" t="s">
        <v>11120</v>
      </c>
      <c r="E521" s="1" t="s">
        <v>11121</v>
      </c>
      <c r="F521" s="6" t="s">
        <v>132</v>
      </c>
      <c r="G521" s="1" t="s">
        <v>11122</v>
      </c>
      <c r="H521" s="1" t="s">
        <v>11123</v>
      </c>
      <c r="I521" s="7" t="str">
        <f>IFERROR(__xludf.DUMMYFUNCTION("GOOGLETRANSLATE(C521, ""en"", ""de"")"),"#VALUE!")</f>
        <v>#VALUE!</v>
      </c>
      <c r="J521" s="6" t="s">
        <v>11124</v>
      </c>
      <c r="K521" s="7" t="str">
        <f>IFERROR(__xludf.DUMMYFUNCTION("GOOGLETRANSLATE(C521, ""en"", ""es"")"),"#VALUE!")</f>
        <v>#VALUE!</v>
      </c>
      <c r="L521" s="1" t="s">
        <v>11125</v>
      </c>
      <c r="M521" s="7" t="str">
        <f>IFERROR(__xludf.DUMMYFUNCTION("GOOGLETRANSLATE(C521, ""en"", ""fr"")"),"#VALUE!")</f>
        <v>#VALUE!</v>
      </c>
      <c r="N521" s="6" t="s">
        <v>132</v>
      </c>
      <c r="O521" s="6" t="s">
        <v>11126</v>
      </c>
      <c r="P521" s="7" t="str">
        <f>IFERROR(__xludf.DUMMYFUNCTION("GOOGLETRANSLATE(C521, ""en"", ""hu"")"),"#VALUE!")</f>
        <v>#VALUE!</v>
      </c>
      <c r="Q521" s="7" t="str">
        <f>IFERROR(__xludf.DUMMYFUNCTION("GOOGLETRANSLATE(C521, ""en"", ""in"")"),"#VALUE!")</f>
        <v>#VALUE!</v>
      </c>
      <c r="R521" s="7" t="str">
        <f>IFERROR(__xludf.DUMMYFUNCTION("GOOGLETRANSLATE(C521, ""en"", ""it"")"),"#VALUE!")</f>
        <v>#VALUE!</v>
      </c>
      <c r="S521" s="10" t="s">
        <v>11127</v>
      </c>
      <c r="T521" s="7" t="str">
        <f>IFERROR(__xludf.DUMMYFUNCTION("GOOGLETRANSLATE(C521, ""en"", ""ja"")"),"#VALUE!")</f>
        <v>#VALUE!</v>
      </c>
      <c r="U521" s="1" t="s">
        <v>11128</v>
      </c>
      <c r="V521" s="7" t="str">
        <f>IFERROR(__xludf.DUMMYFUNCTION("GOOGLETRANSLATE(C521, ""en"", ""ms"")"),"#VALUE!")</f>
        <v>#VALUE!</v>
      </c>
      <c r="W521" s="7" t="str">
        <f>IFERROR(__xludf.DUMMYFUNCTION("GOOGLETRANSLATE(C521, ""en"", ""nl"")"),"#VALUE!")</f>
        <v>#VALUE!</v>
      </c>
      <c r="X521" s="1" t="s">
        <v>11129</v>
      </c>
      <c r="Y521" s="7" t="str">
        <f>IFERROR(__xludf.DUMMYFUNCTION("GOOGLETRANSLATE(C521, ""en"", ""pl"")"),"#VALUE!")</f>
        <v>#VALUE!</v>
      </c>
      <c r="Z521" s="7" t="str">
        <f>IFERROR(__xludf.DUMMYFUNCTION("GOOGLETRANSLATE(C521, ""en"", ""pt"")"),"#VALUE!")</f>
        <v>#VALUE!</v>
      </c>
      <c r="AA521" s="1" t="s">
        <v>11130</v>
      </c>
      <c r="AB521" s="7" t="str">
        <f>IFERROR(__xludf.DUMMYFUNCTION("GOOGLETRANSLATE(C521, ""en"", ""ru"")"),"#VALUE!")</f>
        <v>#VALUE!</v>
      </c>
      <c r="AC521" s="1" t="s">
        <v>11131</v>
      </c>
      <c r="AD521" s="6" t="s">
        <v>11132</v>
      </c>
      <c r="AE521" s="7" t="str">
        <f>IFERROR(__xludf.DUMMYFUNCTION("GOOGLETRANSLATE(C521, ""en"", ""sr"")"),"#VALUE!")</f>
        <v>#VALUE!</v>
      </c>
      <c r="AF521" s="1" t="s">
        <v>11133</v>
      </c>
      <c r="AG521" s="6" t="s">
        <v>11134</v>
      </c>
      <c r="AH521" s="7" t="str">
        <f>IFERROR(__xludf.DUMMYFUNCTION("GOOGLETRANSLATE(C521, ""en"", ""tr"")"),"#VALUE!")</f>
        <v>#VALUE!</v>
      </c>
      <c r="AI521" s="6" t="s">
        <v>132</v>
      </c>
      <c r="AJ521" s="6" t="s">
        <v>11135</v>
      </c>
      <c r="AK521" s="7" t="str">
        <f>IFERROR(__xludf.DUMMYFUNCTION("GOOGLETRANSLATE(C521, ""en"", ""zh"")"),"#VALUE!")</f>
        <v>#VALUE!</v>
      </c>
      <c r="AL521" s="6" t="s">
        <v>132</v>
      </c>
    </row>
    <row r="522" ht="15.75" customHeight="1">
      <c r="A522" s="1" t="s">
        <v>127</v>
      </c>
      <c r="B522" s="1" t="s">
        <v>11136</v>
      </c>
      <c r="C522" s="1" t="s">
        <v>11137</v>
      </c>
      <c r="D522" s="8" t="s">
        <v>11138</v>
      </c>
      <c r="E522" s="1" t="s">
        <v>11139</v>
      </c>
      <c r="F522" s="6" t="s">
        <v>132</v>
      </c>
      <c r="G522" s="1" t="s">
        <v>11137</v>
      </c>
      <c r="H522" s="1" t="s">
        <v>11137</v>
      </c>
      <c r="I522" s="1" t="s">
        <v>11137</v>
      </c>
      <c r="J522" s="6" t="s">
        <v>11140</v>
      </c>
      <c r="K522" s="1" t="s">
        <v>11137</v>
      </c>
      <c r="L522" s="1" t="s">
        <v>11141</v>
      </c>
      <c r="M522" s="1" t="s">
        <v>11137</v>
      </c>
      <c r="N522" s="6" t="s">
        <v>132</v>
      </c>
      <c r="O522" s="6" t="s">
        <v>11142</v>
      </c>
      <c r="P522" s="1" t="s">
        <v>11137</v>
      </c>
      <c r="Q522" s="1" t="s">
        <v>11143</v>
      </c>
      <c r="R522" s="1" t="s">
        <v>11137</v>
      </c>
      <c r="S522" s="10" t="s">
        <v>11144</v>
      </c>
      <c r="T522" s="1" t="s">
        <v>11145</v>
      </c>
      <c r="U522" s="1" t="s">
        <v>11146</v>
      </c>
      <c r="V522" s="1" t="s">
        <v>11147</v>
      </c>
      <c r="W522" s="1" t="s">
        <v>11137</v>
      </c>
      <c r="X522" s="1" t="s">
        <v>11137</v>
      </c>
      <c r="Y522" s="1" t="s">
        <v>11137</v>
      </c>
      <c r="Z522" s="1" t="s">
        <v>11148</v>
      </c>
      <c r="AA522" s="1" t="s">
        <v>11137</v>
      </c>
      <c r="AB522" s="1" t="s">
        <v>11139</v>
      </c>
      <c r="AC522" s="1" t="s">
        <v>11149</v>
      </c>
      <c r="AD522" s="6" t="s">
        <v>11137</v>
      </c>
      <c r="AE522" s="1" t="s">
        <v>11137</v>
      </c>
      <c r="AF522" s="1" t="s">
        <v>11137</v>
      </c>
      <c r="AG522" s="6" t="s">
        <v>11150</v>
      </c>
      <c r="AH522" s="1" t="s">
        <v>11151</v>
      </c>
      <c r="AI522" s="6" t="s">
        <v>132</v>
      </c>
      <c r="AJ522" s="6" t="s">
        <v>11152</v>
      </c>
      <c r="AK522" s="1" t="s">
        <v>11153</v>
      </c>
      <c r="AL522" s="6" t="s">
        <v>11154</v>
      </c>
    </row>
    <row r="523" ht="15.75" hidden="1" customHeight="1">
      <c r="A523" s="1" t="s">
        <v>38</v>
      </c>
      <c r="B523" s="1" t="s">
        <v>11155</v>
      </c>
      <c r="C523" s="1" t="s">
        <v>11156</v>
      </c>
      <c r="D523" s="7" t="str">
        <f>IFERROR(__xludf.DUMMYFUNCTION("GOOGLETRANSLATE(C523, ""en"", ""ar"")"),"أنت تقيم محدودة")</f>
        <v>أنت تقيم محدودة</v>
      </c>
      <c r="E523" s="1" t="s">
        <v>11157</v>
      </c>
      <c r="F523" s="6" t="s">
        <v>132</v>
      </c>
      <c r="G523" s="7" t="str">
        <f>IFERROR(__xludf.DUMMYFUNCTION("GOOGLETRANSLATE(C523, ""en"", ""cs"")"),"Jste omezeni")</f>
        <v>Jste omezeni</v>
      </c>
      <c r="H523" s="7" t="str">
        <f>IFERROR(__xludf.DUMMYFUNCTION("GOOGLETRANSLATE(C523, ""en"", ""da"")"),"Du vurderer begrænset")</f>
        <v>Du vurderer begrænset</v>
      </c>
      <c r="I523" s="1" t="s">
        <v>11158</v>
      </c>
      <c r="J523" s="6" t="s">
        <v>132</v>
      </c>
      <c r="K523" s="7" t="str">
        <f>IFERROR(__xludf.DUMMYFUNCTION("GOOGLETRANSLATE(C523, ""en"", ""es"")"),"Eres tarifa limitada")</f>
        <v>Eres tarifa limitada</v>
      </c>
      <c r="L523" s="7" t="str">
        <f>IFERROR(__xludf.DUMMYFUNCTION("GOOGLETRANSLATE(C523, ""en"", ""fi"")"),"Olet rajoittunut rajoitetuksi")</f>
        <v>Olet rajoittunut rajoitetuksi</v>
      </c>
      <c r="M523" s="7" t="str">
        <f>IFERROR(__xludf.DUMMYFUNCTION("GOOGLETRANSLATE(C523, ""en"", ""fr"")"),"Vous avez un taux limité")</f>
        <v>Vous avez un taux limité</v>
      </c>
      <c r="N523" s="6" t="s">
        <v>11159</v>
      </c>
      <c r="O523" s="6" t="s">
        <v>132</v>
      </c>
      <c r="P523" s="1" t="s">
        <v>11160</v>
      </c>
      <c r="Q523" s="7" t="str">
        <f>IFERROR(__xludf.DUMMYFUNCTION("GOOGLETRANSLATE(C523, ""en"", ""in"")"),"Anda tarif terbatas")</f>
        <v>Anda tarif terbatas</v>
      </c>
      <c r="R523" s="7" t="str">
        <f>IFERROR(__xludf.DUMMYFUNCTION("GOOGLETRANSLATE(C523, ""en"", ""it"")"),"Sei limitato")</f>
        <v>Sei limitato</v>
      </c>
      <c r="S523" s="6" t="s">
        <v>132</v>
      </c>
      <c r="T523" s="7" t="str">
        <f>IFERROR(__xludf.DUMMYFUNCTION("GOOGLETRANSLATE(C523, ""en"", ""ja"")"),"あなたはRate Limitedです")</f>
        <v>あなたはRate Limitedです</v>
      </c>
      <c r="U523" s="7" t="str">
        <f>IFERROR(__xludf.DUMMYFUNCTION("GOOGLETRANSLATE(C523, ""en"", ""ko"")"),"당신은 평가 한정입니다")</f>
        <v>당신은 평가 한정입니다</v>
      </c>
      <c r="V523" s="7" t="str">
        <f>IFERROR(__xludf.DUMMYFUNCTION("GOOGLETRANSLATE(C523, ""en"", ""ms"")"),"Anda adalah kadar terhad")</f>
        <v>Anda adalah kadar terhad</v>
      </c>
      <c r="W523" s="1" t="s">
        <v>11161</v>
      </c>
      <c r="X523" s="7" t="str">
        <f>IFERROR(__xludf.DUMMYFUNCTION("GOOGLETRANSLATE(C523, ""en"", ""no"")"),"Du vurderer begrenset")</f>
        <v>Du vurderer begrenset</v>
      </c>
      <c r="Y523" s="1" t="s">
        <v>11162</v>
      </c>
      <c r="Z523" s="7" t="str">
        <f>IFERROR(__xludf.DUMMYFUNCTION("GOOGLETRANSLATE(C523, ""en"", ""pt"")"),"Você é taxa limitada")</f>
        <v>Você é taxa limitada</v>
      </c>
      <c r="AA523" s="7" t="str">
        <f>IFERROR(__xludf.DUMMYFUNCTION("GOOGLETRANSLATE(C523, ""en"", ""ro"")"),"Sunteți RATE LIMITED")</f>
        <v>Sunteți RATE LIMITED</v>
      </c>
      <c r="AB523" s="7" t="str">
        <f>IFERROR(__xludf.DUMMYFUNCTION("GOOGLETRANSLATE(C523, ""en"", ""ru"")"),"Вы ограничены")</f>
        <v>Вы ограничены</v>
      </c>
      <c r="AC523" s="7" t="str">
        <f>IFERROR(__xludf.DUMMYFUNCTION("GOOGLETRANSLATE(C523, ""en"", ""sk"")"),"Ste sadzba obmedzená")</f>
        <v>Ste sadzba obmedzená</v>
      </c>
      <c r="AD523" s="6" t="s">
        <v>132</v>
      </c>
      <c r="AE523" s="7" t="str">
        <f>IFERROR(__xludf.DUMMYFUNCTION("GOOGLETRANSLATE(C523, ""en"", ""sr"")"),"Оцени сте ограничени")</f>
        <v>Оцени сте ограничени</v>
      </c>
      <c r="AF523" s="7" t="str">
        <f>IFERROR(__xludf.DUMMYFUNCTION("GOOGLETRANSLATE(C523, ""en"", ""sv"")"),"Du är kurs begränsad")</f>
        <v>Du är kurs begränsad</v>
      </c>
      <c r="AG523" s="6" t="s">
        <v>132</v>
      </c>
      <c r="AH523" s="7" t="str">
        <f>IFERROR(__xludf.DUMMYFUNCTION("GOOGLETRANSLATE(C523, ""en"", ""tr"")"),"Puan sınırlısın")</f>
        <v>Puan sınırlısın</v>
      </c>
      <c r="AI523" s="6" t="s">
        <v>132</v>
      </c>
      <c r="AJ523" s="6" t="s">
        <v>132</v>
      </c>
      <c r="AK523" s="7" t="str">
        <f>IFERROR(__xludf.DUMMYFUNCTION("GOOGLETRANSLATE(C523, ""en"", ""zh"")"),"你是率有限的")</f>
        <v>你是率有限的</v>
      </c>
      <c r="AL523" s="6" t="s">
        <v>132</v>
      </c>
    </row>
    <row r="524" ht="15.75" hidden="1" customHeight="1">
      <c r="A524" s="1" t="s">
        <v>38</v>
      </c>
      <c r="B524" s="1" t="s">
        <v>11163</v>
      </c>
      <c r="C524" s="1" t="s">
        <v>11164</v>
      </c>
      <c r="D524" s="7" t="str">
        <f>IFERROR(__xludf.DUMMYFUNCTION("GOOGLETRANSLATE(C524, ""en"", ""ar"")"),"نيكاراغوا")</f>
        <v>نيكاراغوا</v>
      </c>
      <c r="E524" s="7" t="str">
        <f>IFERROR(__xludf.DUMMYFUNCTION("GOOGLETRANSLATE(C524, ""en"", ""bg"")"),"Никарагуа")</f>
        <v>Никарагуа</v>
      </c>
      <c r="F524" s="6" t="s">
        <v>132</v>
      </c>
      <c r="G524" s="7" t="str">
        <f>IFERROR(__xludf.DUMMYFUNCTION("GOOGLETRANSLATE(C524, ""en"", ""cs"")"),"Nikaragua")</f>
        <v>Nikaragua</v>
      </c>
      <c r="H524" s="7" t="str">
        <f>IFERROR(__xludf.DUMMYFUNCTION("GOOGLETRANSLATE(C524, ""en"", ""da"")"),"Nicaragua.")</f>
        <v>Nicaragua.</v>
      </c>
      <c r="I524" s="1" t="s">
        <v>11164</v>
      </c>
      <c r="J524" s="6" t="s">
        <v>132</v>
      </c>
      <c r="K524" s="1" t="s">
        <v>11164</v>
      </c>
      <c r="L524" s="7" t="str">
        <f>IFERROR(__xludf.DUMMYFUNCTION("GOOGLETRANSLATE(C524, ""en"", ""fi"")"),"Nicaragua")</f>
        <v>Nicaragua</v>
      </c>
      <c r="M524" s="1" t="s">
        <v>11164</v>
      </c>
      <c r="N524" s="6" t="s">
        <v>132</v>
      </c>
      <c r="O524" s="6" t="s">
        <v>132</v>
      </c>
      <c r="P524" s="1" t="s">
        <v>11164</v>
      </c>
      <c r="Q524" s="7" t="str">
        <f>IFERROR(__xludf.DUMMYFUNCTION("GOOGLETRANSLATE(C524, ""en"", ""in"")"),"Nikaragua.")</f>
        <v>Nikaragua.</v>
      </c>
      <c r="R524" s="7" t="str">
        <f>IFERROR(__xludf.DUMMYFUNCTION("GOOGLETRANSLATE(C524, ""en"", ""it"")"),"Nicaragua")</f>
        <v>Nicaragua</v>
      </c>
      <c r="S524" s="6" t="s">
        <v>132</v>
      </c>
      <c r="T524" s="7" t="str">
        <f>IFERROR(__xludf.DUMMYFUNCTION("GOOGLETRANSLATE(C524, ""en"", ""ja"")"),"ニカラグア")</f>
        <v>ニカラグア</v>
      </c>
      <c r="U524" s="7" t="str">
        <f>IFERROR(__xludf.DUMMYFUNCTION("GOOGLETRANSLATE(C524, ""en"", ""ko"")"),"니카라과")</f>
        <v>니카라과</v>
      </c>
      <c r="V524" s="7" t="str">
        <f>IFERROR(__xludf.DUMMYFUNCTION("GOOGLETRANSLATE(C524, ""en"", ""ms"")"),"Nicaragua.")</f>
        <v>Nicaragua.</v>
      </c>
      <c r="W524" s="7" t="str">
        <f>IFERROR(__xludf.DUMMYFUNCTION("GOOGLETRANSLATE(C524, ""en"", ""nl"")"),"Nicaragua")</f>
        <v>Nicaragua</v>
      </c>
      <c r="X524" s="7" t="str">
        <f>IFERROR(__xludf.DUMMYFUNCTION("GOOGLETRANSLATE(C524, ""en"", ""no"")"),"Nicaragua.")</f>
        <v>Nicaragua.</v>
      </c>
      <c r="Y524" s="7" t="str">
        <f>IFERROR(__xludf.DUMMYFUNCTION("GOOGLETRANSLATE(C524, ""en"", ""pl"")"),"Nikaragua")</f>
        <v>Nikaragua</v>
      </c>
      <c r="Z524" s="7" t="str">
        <f>IFERROR(__xludf.DUMMYFUNCTION("GOOGLETRANSLATE(C524, ""en"", ""pt"")"),"Nicarágua")</f>
        <v>Nicarágua</v>
      </c>
      <c r="AA524" s="7" t="str">
        <f>IFERROR(__xludf.DUMMYFUNCTION("GOOGLETRANSLATE(C524, ""en"", ""ro"")"),"Nicaragua.")</f>
        <v>Nicaragua.</v>
      </c>
      <c r="AB524" s="1" t="s">
        <v>11165</v>
      </c>
      <c r="AC524" s="7" t="str">
        <f>IFERROR(__xludf.DUMMYFUNCTION("GOOGLETRANSLATE(C524, ""en"", ""sk"")"),"Nikaragua")</f>
        <v>Nikaragua</v>
      </c>
      <c r="AD524" s="6" t="s">
        <v>132</v>
      </c>
      <c r="AE524" s="1" t="s">
        <v>11166</v>
      </c>
      <c r="AF524" s="7" t="str">
        <f>IFERROR(__xludf.DUMMYFUNCTION("GOOGLETRANSLATE(C524, ""en"", ""sv"")"),"Nicaragua")</f>
        <v>Nicaragua</v>
      </c>
      <c r="AG524" s="6" t="s">
        <v>132</v>
      </c>
      <c r="AH524" s="7" t="str">
        <f>IFERROR(__xludf.DUMMYFUNCTION("GOOGLETRANSLATE(C524, ""en"", ""tr"")"),"Nikaragua")</f>
        <v>Nikaragua</v>
      </c>
      <c r="AI524" s="6" t="s">
        <v>132</v>
      </c>
      <c r="AJ524" s="6" t="s">
        <v>132</v>
      </c>
      <c r="AK524" s="7" t="str">
        <f>IFERROR(__xludf.DUMMYFUNCTION("GOOGLETRANSLATE(C524, ""en"", ""zh"")"),"尼加拉瓜")</f>
        <v>尼加拉瓜</v>
      </c>
      <c r="AL524" s="6" t="s">
        <v>132</v>
      </c>
    </row>
    <row r="525" ht="15.75" hidden="1" customHeight="1">
      <c r="A525" s="1" t="s">
        <v>38</v>
      </c>
      <c r="B525" s="1" t="s">
        <v>11167</v>
      </c>
      <c r="C525" s="1" t="s">
        <v>11168</v>
      </c>
      <c r="D525" s="7" t="str">
        <f>IFERROR(__xludf.DUMMYFUNCTION("GOOGLETRANSLATE(C525, ""en"", ""ar"")"),"جزيرة نورفولك")</f>
        <v>جزيرة نورفولك</v>
      </c>
      <c r="E525" s="7" t="str">
        <f>IFERROR(__xludf.DUMMYFUNCTION("GOOGLETRANSLATE(C525, ""en"", ""bg"")"),"Остров Норфолк")</f>
        <v>Остров Норфолк</v>
      </c>
      <c r="F525" s="6" t="s">
        <v>132</v>
      </c>
      <c r="G525" s="7" t="str">
        <f>IFERROR(__xludf.DUMMYFUNCTION("GOOGLETRANSLATE(C525, ""en"", ""cs"")"),"Norfolk Island")</f>
        <v>Norfolk Island</v>
      </c>
      <c r="H525" s="7" t="str">
        <f>IFERROR(__xludf.DUMMYFUNCTION("GOOGLETRANSLATE(C525, ""en"", ""da"")"),"Norfolk Island.")</f>
        <v>Norfolk Island.</v>
      </c>
      <c r="I525" s="1" t="s">
        <v>11169</v>
      </c>
      <c r="J525" s="6" t="s">
        <v>132</v>
      </c>
      <c r="K525" s="1" t="s">
        <v>11170</v>
      </c>
      <c r="L525" s="7" t="str">
        <f>IFERROR(__xludf.DUMMYFUNCTION("GOOGLETRANSLATE(C525, ""en"", ""fi"")"),"Norfolkin saari")</f>
        <v>Norfolkin saari</v>
      </c>
      <c r="M525" s="1" t="s">
        <v>11171</v>
      </c>
      <c r="N525" s="6" t="s">
        <v>132</v>
      </c>
      <c r="O525" s="6" t="s">
        <v>132</v>
      </c>
      <c r="P525" s="1" t="s">
        <v>11168</v>
      </c>
      <c r="Q525" s="7" t="str">
        <f>IFERROR(__xludf.DUMMYFUNCTION("GOOGLETRANSLATE(C525, ""en"", ""in"")"),"Pulau Norfolk.")</f>
        <v>Pulau Norfolk.</v>
      </c>
      <c r="R525" s="7" t="str">
        <f>IFERROR(__xludf.DUMMYFUNCTION("GOOGLETRANSLATE(C525, ""en"", ""it"")"),"Isola di Norfolk.")</f>
        <v>Isola di Norfolk.</v>
      </c>
      <c r="S525" s="6" t="s">
        <v>132</v>
      </c>
      <c r="T525" s="7" t="str">
        <f>IFERROR(__xludf.DUMMYFUNCTION("GOOGLETRANSLATE(C525, ""en"", ""ja"")"),"ノーフォーク島")</f>
        <v>ノーフォーク島</v>
      </c>
      <c r="U525" s="7" t="str">
        <f>IFERROR(__xludf.DUMMYFUNCTION("GOOGLETRANSLATE(C525, ""en"", ""ko"")"),"노퍽 섬")</f>
        <v>노퍽 섬</v>
      </c>
      <c r="V525" s="7" t="str">
        <f>IFERROR(__xludf.DUMMYFUNCTION("GOOGLETRANSLATE(C525, ""en"", ""ms"")"),"Pulau Norfolk.")</f>
        <v>Pulau Norfolk.</v>
      </c>
      <c r="W525" s="7" t="str">
        <f>IFERROR(__xludf.DUMMYFUNCTION("GOOGLETRANSLATE(C525, ""en"", ""nl"")"),"Norfolk Island")</f>
        <v>Norfolk Island</v>
      </c>
      <c r="X525" s="7" t="str">
        <f>IFERROR(__xludf.DUMMYFUNCTION("GOOGLETRANSLATE(C525, ""en"", ""no"")"),"Norfolk Island")</f>
        <v>Norfolk Island</v>
      </c>
      <c r="Y525" s="7" t="str">
        <f>IFERROR(__xludf.DUMMYFUNCTION("GOOGLETRANSLATE(C525, ""en"", ""pl"")"),"Wyspa Norfolk")</f>
        <v>Wyspa Norfolk</v>
      </c>
      <c r="Z525" s="7" t="str">
        <f>IFERROR(__xludf.DUMMYFUNCTION("GOOGLETRANSLATE(C525, ""en"", ""pt"")"),"Ilha de Norfolk.")</f>
        <v>Ilha de Norfolk.</v>
      </c>
      <c r="AA525" s="7" t="str">
        <f>IFERROR(__xludf.DUMMYFUNCTION("GOOGLETRANSLATE(C525, ""en"", ""ro"")"),"Insula Norfolk.")</f>
        <v>Insula Norfolk.</v>
      </c>
      <c r="AB525" s="1" t="s">
        <v>11172</v>
      </c>
      <c r="AC525" s="7" t="str">
        <f>IFERROR(__xludf.DUMMYFUNCTION("GOOGLETRANSLATE(C525, ""en"", ""sk"")"),"Ostrov Norfolk")</f>
        <v>Ostrov Norfolk</v>
      </c>
      <c r="AD525" s="6" t="s">
        <v>132</v>
      </c>
      <c r="AE525" s="1" t="s">
        <v>11173</v>
      </c>
      <c r="AF525" s="7" t="str">
        <f>IFERROR(__xludf.DUMMYFUNCTION("GOOGLETRANSLATE(C525, ""en"", ""sv"")"),"Norfolkö")</f>
        <v>Norfolkö</v>
      </c>
      <c r="AG525" s="6" t="s">
        <v>132</v>
      </c>
      <c r="AH525" s="7" t="str">
        <f>IFERROR(__xludf.DUMMYFUNCTION("GOOGLETRANSLATE(C525, ""en"", ""tr"")"),"Norfolk Adası")</f>
        <v>Norfolk Adası</v>
      </c>
      <c r="AI525" s="6" t="s">
        <v>132</v>
      </c>
      <c r="AJ525" s="6" t="s">
        <v>132</v>
      </c>
      <c r="AK525" s="7" t="str">
        <f>IFERROR(__xludf.DUMMYFUNCTION("GOOGLETRANSLATE(C525, ""en"", ""zh"")"),"诺福克岛")</f>
        <v>诺福克岛</v>
      </c>
      <c r="AL525" s="6" t="s">
        <v>132</v>
      </c>
    </row>
    <row r="526" ht="15.75" customHeight="1">
      <c r="A526" s="1" t="s">
        <v>127</v>
      </c>
      <c r="B526" s="1" t="s">
        <v>11174</v>
      </c>
      <c r="C526" s="1" t="s">
        <v>11175</v>
      </c>
      <c r="D526" s="8" t="s">
        <v>11176</v>
      </c>
      <c r="E526" s="1" t="s">
        <v>11177</v>
      </c>
      <c r="F526" s="6" t="s">
        <v>132</v>
      </c>
      <c r="G526" s="1" t="s">
        <v>11178</v>
      </c>
      <c r="H526" s="1" t="s">
        <v>11179</v>
      </c>
      <c r="I526" s="1" t="s">
        <v>11180</v>
      </c>
      <c r="J526" s="6" t="s">
        <v>11181</v>
      </c>
      <c r="K526" s="1" t="s">
        <v>11182</v>
      </c>
      <c r="L526" s="1" t="s">
        <v>11183</v>
      </c>
      <c r="M526" s="1" t="s">
        <v>11184</v>
      </c>
      <c r="N526" s="6" t="s">
        <v>132</v>
      </c>
      <c r="O526" s="6" t="s">
        <v>11185</v>
      </c>
      <c r="P526" s="1" t="s">
        <v>11186</v>
      </c>
      <c r="Q526" s="1" t="s">
        <v>11187</v>
      </c>
      <c r="R526" s="1" t="s">
        <v>11188</v>
      </c>
      <c r="S526" s="10" t="s">
        <v>11189</v>
      </c>
      <c r="T526" s="1" t="s">
        <v>11190</v>
      </c>
      <c r="U526" s="1" t="s">
        <v>11191</v>
      </c>
      <c r="V526" s="1" t="s">
        <v>11192</v>
      </c>
      <c r="W526" s="1" t="s">
        <v>11193</v>
      </c>
      <c r="X526" s="1" t="s">
        <v>11194</v>
      </c>
      <c r="Y526" s="1" t="s">
        <v>11195</v>
      </c>
      <c r="Z526" s="1" t="s">
        <v>11196</v>
      </c>
      <c r="AA526" s="1" t="s">
        <v>11197</v>
      </c>
      <c r="AB526" s="1" t="s">
        <v>11198</v>
      </c>
      <c r="AC526" s="1" t="s">
        <v>11199</v>
      </c>
      <c r="AD526" s="6" t="s">
        <v>11200</v>
      </c>
      <c r="AE526" s="1" t="s">
        <v>11201</v>
      </c>
      <c r="AF526" s="1" t="s">
        <v>11202</v>
      </c>
      <c r="AG526" s="6" t="s">
        <v>11203</v>
      </c>
      <c r="AH526" s="1" t="s">
        <v>11204</v>
      </c>
      <c r="AI526" s="6" t="s">
        <v>132</v>
      </c>
      <c r="AJ526" s="6" t="s">
        <v>11205</v>
      </c>
      <c r="AK526" s="1" t="s">
        <v>11206</v>
      </c>
      <c r="AL526" s="6" t="s">
        <v>11207</v>
      </c>
    </row>
    <row r="527" ht="15.75" hidden="1" customHeight="1">
      <c r="A527" s="1" t="s">
        <v>38</v>
      </c>
      <c r="B527" s="1" t="s">
        <v>11208</v>
      </c>
      <c r="C527" s="1" t="s">
        <v>11209</v>
      </c>
      <c r="D527" s="7" t="str">
        <f>IFERROR(__xludf.DUMMYFUNCTION("GOOGLETRANSLATE(C527, ""en"", ""ar"")"),"أوغندا")</f>
        <v>أوغندا</v>
      </c>
      <c r="E527" s="7" t="str">
        <f>IFERROR(__xludf.DUMMYFUNCTION("GOOGLETRANSLATE(C527, ""en"", ""bg"")"),"Уганда")</f>
        <v>Уганда</v>
      </c>
      <c r="F527" s="6" t="s">
        <v>132</v>
      </c>
      <c r="G527" s="7" t="str">
        <f>IFERROR(__xludf.DUMMYFUNCTION("GOOGLETRANSLATE(C527, ""en"", ""cs"")"),"Uganda.")</f>
        <v>Uganda.</v>
      </c>
      <c r="H527" s="7" t="str">
        <f>IFERROR(__xludf.DUMMYFUNCTION("GOOGLETRANSLATE(C527, ""en"", ""da"")"),"Uganda.")</f>
        <v>Uganda.</v>
      </c>
      <c r="I527" s="1" t="s">
        <v>11209</v>
      </c>
      <c r="J527" s="6" t="s">
        <v>132</v>
      </c>
      <c r="K527" s="1" t="s">
        <v>11209</v>
      </c>
      <c r="L527" s="7" t="str">
        <f>IFERROR(__xludf.DUMMYFUNCTION("GOOGLETRANSLATE(C527, ""en"", ""fi"")"),"Uganda")</f>
        <v>Uganda</v>
      </c>
      <c r="M527" s="1" t="s">
        <v>11210</v>
      </c>
      <c r="N527" s="6" t="s">
        <v>132</v>
      </c>
      <c r="O527" s="6" t="s">
        <v>132</v>
      </c>
      <c r="P527" s="1" t="s">
        <v>11209</v>
      </c>
      <c r="Q527" s="7" t="str">
        <f>IFERROR(__xludf.DUMMYFUNCTION("GOOGLETRANSLATE(C527, ""en"", ""in"")"),"Uganda.")</f>
        <v>Uganda.</v>
      </c>
      <c r="R527" s="7" t="str">
        <f>IFERROR(__xludf.DUMMYFUNCTION("GOOGLETRANSLATE(C527, ""en"", ""it"")"),"Uganda")</f>
        <v>Uganda</v>
      </c>
      <c r="S527" s="6" t="s">
        <v>132</v>
      </c>
      <c r="T527" s="7" t="str">
        <f>IFERROR(__xludf.DUMMYFUNCTION("GOOGLETRANSLATE(C527, ""en"", ""ja"")"),"ウガンダ")</f>
        <v>ウガンダ</v>
      </c>
      <c r="U527" s="7" t="str">
        <f>IFERROR(__xludf.DUMMYFUNCTION("GOOGLETRANSLATE(C527, ""en"", ""ko"")"),"우간다")</f>
        <v>우간다</v>
      </c>
      <c r="V527" s="7" t="str">
        <f>IFERROR(__xludf.DUMMYFUNCTION("GOOGLETRANSLATE(C527, ""en"", ""ms"")"),"Uganda.")</f>
        <v>Uganda.</v>
      </c>
      <c r="W527" s="7" t="str">
        <f>IFERROR(__xludf.DUMMYFUNCTION("GOOGLETRANSLATE(C527, ""en"", ""nl"")"),"Oeganda")</f>
        <v>Oeganda</v>
      </c>
      <c r="X527" s="7" t="str">
        <f>IFERROR(__xludf.DUMMYFUNCTION("GOOGLETRANSLATE(C527, ""en"", ""no"")"),"Uganda.")</f>
        <v>Uganda.</v>
      </c>
      <c r="Y527" s="7" t="str">
        <f>IFERROR(__xludf.DUMMYFUNCTION("GOOGLETRANSLATE(C527, ""en"", ""pl"")"),"Uganda.")</f>
        <v>Uganda.</v>
      </c>
      <c r="Z527" s="7" t="str">
        <f>IFERROR(__xludf.DUMMYFUNCTION("GOOGLETRANSLATE(C527, ""en"", ""pt"")"),"Uganda")</f>
        <v>Uganda</v>
      </c>
      <c r="AA527" s="7" t="str">
        <f>IFERROR(__xludf.DUMMYFUNCTION("GOOGLETRANSLATE(C527, ""en"", ""ro"")"),"Uganda.")</f>
        <v>Uganda.</v>
      </c>
      <c r="AB527" s="1" t="s">
        <v>11211</v>
      </c>
      <c r="AC527" s="7" t="str">
        <f>IFERROR(__xludf.DUMMYFUNCTION("GOOGLETRANSLATE(C527, ""en"", ""sk"")"),"Uganda")</f>
        <v>Uganda</v>
      </c>
      <c r="AD527" s="6" t="s">
        <v>132</v>
      </c>
      <c r="AE527" s="1" t="s">
        <v>11209</v>
      </c>
      <c r="AF527" s="7" t="str">
        <f>IFERROR(__xludf.DUMMYFUNCTION("GOOGLETRANSLATE(C527, ""en"", ""sv"")"),"Uganda")</f>
        <v>Uganda</v>
      </c>
      <c r="AG527" s="6" t="s">
        <v>132</v>
      </c>
      <c r="AH527" s="7" t="str">
        <f>IFERROR(__xludf.DUMMYFUNCTION("GOOGLETRANSLATE(C527, ""en"", ""tr"")"),"Uganda")</f>
        <v>Uganda</v>
      </c>
      <c r="AI527" s="6" t="s">
        <v>132</v>
      </c>
      <c r="AJ527" s="6" t="s">
        <v>132</v>
      </c>
      <c r="AK527" s="7" t="str">
        <f>IFERROR(__xludf.DUMMYFUNCTION("GOOGLETRANSLATE(C527, ""en"", ""zh"")"),"乌干达")</f>
        <v>乌干达</v>
      </c>
      <c r="AL527" s="6" t="s">
        <v>132</v>
      </c>
    </row>
    <row r="528" ht="15.75" customHeight="1">
      <c r="A528" s="1" t="s">
        <v>127</v>
      </c>
      <c r="B528" s="1" t="s">
        <v>11212</v>
      </c>
      <c r="C528" s="1" t="s">
        <v>11213</v>
      </c>
      <c r="D528" s="8" t="s">
        <v>11214</v>
      </c>
      <c r="E528" s="1" t="s">
        <v>11215</v>
      </c>
      <c r="F528" s="6" t="s">
        <v>132</v>
      </c>
      <c r="G528" s="1" t="s">
        <v>11216</v>
      </c>
      <c r="H528" s="1" t="s">
        <v>11217</v>
      </c>
      <c r="I528" s="1" t="s">
        <v>11218</v>
      </c>
      <c r="J528" s="6" t="s">
        <v>11219</v>
      </c>
      <c r="K528" s="1" t="s">
        <v>11220</v>
      </c>
      <c r="L528" s="1" t="s">
        <v>11221</v>
      </c>
      <c r="M528" s="1" t="s">
        <v>11222</v>
      </c>
      <c r="N528" s="6" t="s">
        <v>132</v>
      </c>
      <c r="O528" s="6" t="s">
        <v>11223</v>
      </c>
      <c r="P528" s="1" t="s">
        <v>11224</v>
      </c>
      <c r="Q528" s="1" t="s">
        <v>11225</v>
      </c>
      <c r="R528" s="1" t="s">
        <v>11226</v>
      </c>
      <c r="S528" s="10" t="s">
        <v>11227</v>
      </c>
      <c r="T528" s="1" t="s">
        <v>11228</v>
      </c>
      <c r="U528" s="1" t="s">
        <v>11229</v>
      </c>
      <c r="V528" s="1" t="s">
        <v>11225</v>
      </c>
      <c r="W528" s="1" t="s">
        <v>11230</v>
      </c>
      <c r="X528" s="1" t="s">
        <v>11231</v>
      </c>
      <c r="Y528" s="1" t="s">
        <v>11232</v>
      </c>
      <c r="Z528" s="1" t="s">
        <v>11233</v>
      </c>
      <c r="AA528" s="1" t="s">
        <v>11234</v>
      </c>
      <c r="AB528" s="1" t="s">
        <v>11235</v>
      </c>
      <c r="AC528" s="1" t="s">
        <v>11236</v>
      </c>
      <c r="AD528" s="6" t="s">
        <v>11237</v>
      </c>
      <c r="AE528" s="1" t="s">
        <v>11238</v>
      </c>
      <c r="AF528" s="1" t="s">
        <v>11239</v>
      </c>
      <c r="AG528" s="6" t="s">
        <v>11240</v>
      </c>
      <c r="AH528" s="1" t="s">
        <v>11241</v>
      </c>
      <c r="AI528" s="6" t="s">
        <v>132</v>
      </c>
      <c r="AJ528" s="6" t="s">
        <v>11242</v>
      </c>
      <c r="AK528" s="1" t="s">
        <v>11243</v>
      </c>
      <c r="AL528" s="6" t="s">
        <v>11244</v>
      </c>
    </row>
    <row r="529" ht="15.75" hidden="1" customHeight="1">
      <c r="A529" s="1" t="s">
        <v>38</v>
      </c>
      <c r="B529" s="1" t="s">
        <v>11245</v>
      </c>
      <c r="C529" s="1" t="s">
        <v>11246</v>
      </c>
      <c r="D529" s="7" t="str">
        <f>IFERROR(__xludf.DUMMYFUNCTION("GOOGLETRANSLATE(C529, ""en"", ""ar"")"),"تيمور - ليشتي")</f>
        <v>تيمور - ليشتي</v>
      </c>
      <c r="E529" s="7" t="str">
        <f>IFERROR(__xludf.DUMMYFUNCTION("GOOGLETRANSLATE(C529, ""en"", ""bg"")"),"Тимор-Лест")</f>
        <v>Тимор-Лест</v>
      </c>
      <c r="F529" s="6" t="s">
        <v>132</v>
      </c>
      <c r="G529" s="7" t="str">
        <f>IFERROR(__xludf.DUMMYFUNCTION("GOOGLETRANSLATE(C529, ""en"", ""cs"")"),"Timor-Leste.")</f>
        <v>Timor-Leste.</v>
      </c>
      <c r="H529" s="7" t="str">
        <f>IFERROR(__xludf.DUMMYFUNCTION("GOOGLETRANSLATE(C529, ""en"", ""da"")"),"Timor-Leste.")</f>
        <v>Timor-Leste.</v>
      </c>
      <c r="I529" s="1" t="s">
        <v>11246</v>
      </c>
      <c r="J529" s="6" t="s">
        <v>132</v>
      </c>
      <c r="K529" s="1" t="s">
        <v>11247</v>
      </c>
      <c r="L529" s="7" t="str">
        <f>IFERROR(__xludf.DUMMYFUNCTION("GOOGLETRANSLATE(C529, ""en"", ""fi"")"),"Timor-Leste")</f>
        <v>Timor-Leste</v>
      </c>
      <c r="M529" s="1" t="s">
        <v>11246</v>
      </c>
      <c r="N529" s="6" t="s">
        <v>132</v>
      </c>
      <c r="O529" s="6" t="s">
        <v>132</v>
      </c>
      <c r="P529" s="1" t="s">
        <v>11246</v>
      </c>
      <c r="Q529" s="7" t="str">
        <f>IFERROR(__xludf.DUMMYFUNCTION("GOOGLETRANSLATE(C529, ""en"", ""in"")"),"Timor-Leste.")</f>
        <v>Timor-Leste.</v>
      </c>
      <c r="R529" s="7" t="str">
        <f>IFERROR(__xludf.DUMMYFUNCTION("GOOGLETRANSLATE(C529, ""en"", ""it"")"),"Timor-Leste.")</f>
        <v>Timor-Leste.</v>
      </c>
      <c r="S529" s="6" t="s">
        <v>132</v>
      </c>
      <c r="T529" s="7" t="str">
        <f>IFERROR(__xludf.DUMMYFUNCTION("GOOGLETRANSLATE(C529, ""en"", ""ja"")"),"ティモールレスト")</f>
        <v>ティモールレスト</v>
      </c>
      <c r="U529" s="7" t="str">
        <f>IFERROR(__xludf.DUMMYFUNCTION("GOOGLETRANSLATE(C529, ""en"", ""ko"")"),"Timor-Leste.")</f>
        <v>Timor-Leste.</v>
      </c>
      <c r="V529" s="7" t="str">
        <f>IFERROR(__xludf.DUMMYFUNCTION("GOOGLETRANSLATE(C529, ""en"", ""ms"")"),"Timor-Leste.")</f>
        <v>Timor-Leste.</v>
      </c>
      <c r="W529" s="7" t="str">
        <f>IFERROR(__xludf.DUMMYFUNCTION("GOOGLETRANSLATE(C529, ""en"", ""nl"")"),"Timor-leste")</f>
        <v>Timor-leste</v>
      </c>
      <c r="X529" s="7" t="str">
        <f>IFERROR(__xludf.DUMMYFUNCTION("GOOGLETRANSLATE(C529, ""en"", ""no"")"),"Timor-Leste.")</f>
        <v>Timor-Leste.</v>
      </c>
      <c r="Y529" s="7" t="str">
        <f>IFERROR(__xludf.DUMMYFUNCTION("GOOGLETRANSLATE(C529, ""en"", ""pl"")"),"Timor-Leste.")</f>
        <v>Timor-Leste.</v>
      </c>
      <c r="Z529" s="7" t="str">
        <f>IFERROR(__xludf.DUMMYFUNCTION("GOOGLETRANSLATE(C529, ""en"", ""pt"")"),"Timor-Leste.")</f>
        <v>Timor-Leste.</v>
      </c>
      <c r="AA529" s="7" t="str">
        <f>IFERROR(__xludf.DUMMYFUNCTION("GOOGLETRANSLATE(C529, ""en"", ""ro"")"),"Timor-leste.")</f>
        <v>Timor-leste.</v>
      </c>
      <c r="AB529" s="1" t="s">
        <v>11248</v>
      </c>
      <c r="AC529" s="7" t="str">
        <f>IFERROR(__xludf.DUMMYFUNCTION("GOOGLETRANSLATE(C529, ""en"", ""sk"")"),"Timor-Leste")</f>
        <v>Timor-Leste</v>
      </c>
      <c r="AD529" s="6" t="s">
        <v>132</v>
      </c>
      <c r="AE529" s="1" t="s">
        <v>11246</v>
      </c>
      <c r="AF529" s="7" t="str">
        <f>IFERROR(__xludf.DUMMYFUNCTION("GOOGLETRANSLATE(C529, ""en"", ""sv"")"),"Timor-leste")</f>
        <v>Timor-leste</v>
      </c>
      <c r="AG529" s="6" t="s">
        <v>132</v>
      </c>
      <c r="AH529" s="7" t="str">
        <f>IFERROR(__xludf.DUMMYFUNCTION("GOOGLETRANSLATE(C529, ""en"", ""tr"")"),"Timor-Leste")</f>
        <v>Timor-Leste</v>
      </c>
      <c r="AI529" s="6" t="s">
        <v>132</v>
      </c>
      <c r="AJ529" s="6" t="s">
        <v>132</v>
      </c>
      <c r="AK529" s="7" t="str">
        <f>IFERROR(__xludf.DUMMYFUNCTION("GOOGLETRANSLATE(C529, ""en"", ""zh"")"),"Timor-Leste.")</f>
        <v>Timor-Leste.</v>
      </c>
      <c r="AL529" s="6" t="s">
        <v>132</v>
      </c>
    </row>
    <row r="530" ht="15.75" hidden="1" customHeight="1">
      <c r="A530" s="1" t="s">
        <v>38</v>
      </c>
      <c r="B530" s="1" t="s">
        <v>11249</v>
      </c>
      <c r="C530" s="1" t="s">
        <v>11250</v>
      </c>
      <c r="D530" s="7" t="str">
        <f>IFERROR(__xludf.DUMMYFUNCTION("GOOGLETRANSLATE(C530, ""en"", ""ar"")"),"المضيف لا يدعم المجموعة تجسد الآلهة")</f>
        <v>المضيف لا يدعم المجموعة تجسد الآلهة</v>
      </c>
      <c r="E530" s="1" t="s">
        <v>11251</v>
      </c>
      <c r="F530" s="6" t="s">
        <v>11252</v>
      </c>
      <c r="G530" s="7" t="str">
        <f>IFERROR(__xludf.DUMMYFUNCTION("GOOGLETRANSLATE(C530, ""en"", ""cs"")"),"Hostitel nepodporuje skupinové chat avatary")</f>
        <v>Hostitel nepodporuje skupinové chat avatary</v>
      </c>
      <c r="H530" s="7" t="str">
        <f>IFERROR(__xludf.DUMMYFUNCTION("GOOGLETRANSLATE(C530, ""en"", ""da"")"),"Værten understøtter ikke Group Chat Avatars")</f>
        <v>Værten understøtter ikke Group Chat Avatars</v>
      </c>
      <c r="I530" s="1" t="s">
        <v>11253</v>
      </c>
      <c r="J530" s="6" t="s">
        <v>132</v>
      </c>
      <c r="K530" s="1" t="s">
        <v>11254</v>
      </c>
      <c r="L530" s="7" t="str">
        <f>IFERROR(__xludf.DUMMYFUNCTION("GOOGLETRANSLATE(C530, ""en"", ""fi"")"),"Isäntä ei tue ryhmän chat avatareja")</f>
        <v>Isäntä ei tue ryhmän chat avatareja</v>
      </c>
      <c r="M530" s="1" t="s">
        <v>11255</v>
      </c>
      <c r="N530" s="6" t="s">
        <v>11256</v>
      </c>
      <c r="O530" s="6" t="s">
        <v>132</v>
      </c>
      <c r="P530" s="1" t="s">
        <v>11257</v>
      </c>
      <c r="Q530" s="7" t="str">
        <f>IFERROR(__xludf.DUMMYFUNCTION("GOOGLETRANSLATE(C530, ""en"", ""in"")"),"Host tidak mendukung avatar obrolan grup")</f>
        <v>Host tidak mendukung avatar obrolan grup</v>
      </c>
      <c r="R530" s="1" t="s">
        <v>11258</v>
      </c>
      <c r="S530" s="6" t="s">
        <v>132</v>
      </c>
      <c r="T530" s="7" t="str">
        <f>IFERROR(__xludf.DUMMYFUNCTION("GOOGLETRANSLATE(C530, ""en"", ""ja"")"),"ホストはグループチャットアバターをサポートしていません")</f>
        <v>ホストはグループチャットアバターをサポートしていません</v>
      </c>
      <c r="U530" s="7" t="str">
        <f>IFERROR(__xludf.DUMMYFUNCTION("GOOGLETRANSLATE(C530, ""en"", ""ko"")"),"호스트는 그룹 채팅 아바타를 지원하지 않습니다")</f>
        <v>호스트는 그룹 채팅 아바타를 지원하지 않습니다</v>
      </c>
      <c r="V530" s="7" t="str">
        <f>IFERROR(__xludf.DUMMYFUNCTION("GOOGLETRANSLATE(C530, ""en"", ""ms"")"),"Hos tidak menyokong avatar sembang kumpulan")</f>
        <v>Hos tidak menyokong avatar sembang kumpulan</v>
      </c>
      <c r="W530" s="1" t="s">
        <v>11259</v>
      </c>
      <c r="X530" s="7" t="str">
        <f>IFERROR(__xludf.DUMMYFUNCTION("GOOGLETRANSLATE(C530, ""en"", ""no"")"),"Verten støtter ikke gruppe chat avatarer")</f>
        <v>Verten støtter ikke gruppe chat avatarer</v>
      </c>
      <c r="Y530" s="1" t="s">
        <v>11260</v>
      </c>
      <c r="Z530" s="7" t="str">
        <f>IFERROR(__xludf.DUMMYFUNCTION("GOOGLETRANSLATE(C530, ""en"", ""pt"")"),"Host não suporta avatars de bate-papo em grupo")</f>
        <v>Host não suporta avatars de bate-papo em grupo</v>
      </c>
      <c r="AA530" s="7" t="str">
        <f>IFERROR(__xludf.DUMMYFUNCTION("GOOGLETRANSLATE(C530, ""en"", ""ro"")"),"Gazdă nu acceptă avatare de grup de grup")</f>
        <v>Gazdă nu acceptă avatare de grup de grup</v>
      </c>
      <c r="AB530" s="7" t="str">
        <f>IFERROR(__xludf.DUMMYFUNCTION("GOOGLETRANSLATE(C530, ""en"", ""ru"")"),"Хост не поддерживает групповые аватары")</f>
        <v>Хост не поддерживает групповые аватары</v>
      </c>
      <c r="AC530" s="7" t="str">
        <f>IFERROR(__xludf.DUMMYFUNCTION("GOOGLETRANSLATE(C530, ""en"", ""sk"")"),"Hostiteľ nepodporuje skupinové chatu avatary")</f>
        <v>Hostiteľ nepodporuje skupinové chatu avatary</v>
      </c>
      <c r="AD530" s="6" t="s">
        <v>132</v>
      </c>
      <c r="AE530" s="1" t="s">
        <v>11261</v>
      </c>
      <c r="AF530" s="7" t="str">
        <f>IFERROR(__xludf.DUMMYFUNCTION("GOOGLETRANSLATE(C530, ""en"", ""sv"")"),"Värd stöder inte gruppchatt avatarer")</f>
        <v>Värd stöder inte gruppchatt avatarer</v>
      </c>
      <c r="AG530" s="6" t="s">
        <v>132</v>
      </c>
      <c r="AH530" s="7" t="str">
        <f>IFERROR(__xludf.DUMMYFUNCTION("GOOGLETRANSLATE(C530, ""en"", ""tr"")"),"Ana bilgisayar grubu sohbet avatarlarını desteklemiyor")</f>
        <v>Ana bilgisayar grubu sohbet avatarlarını desteklemiyor</v>
      </c>
      <c r="AI530" s="6" t="s">
        <v>132</v>
      </c>
      <c r="AJ530" s="6" t="s">
        <v>132</v>
      </c>
      <c r="AK530" s="7" t="str">
        <f>IFERROR(__xludf.DUMMYFUNCTION("GOOGLETRANSLATE(C530, ""en"", ""zh"")"),"主机不支持小组聊天头像")</f>
        <v>主机不支持小组聊天头像</v>
      </c>
      <c r="AL530" s="6" t="s">
        <v>132</v>
      </c>
    </row>
    <row r="531" ht="15.75" hidden="1" customHeight="1">
      <c r="A531" s="1" t="s">
        <v>38</v>
      </c>
      <c r="B531" s="1" t="s">
        <v>11262</v>
      </c>
      <c r="C531" s="1" t="s">
        <v>11263</v>
      </c>
      <c r="D531" s="8" t="s">
        <v>11264</v>
      </c>
      <c r="E531" s="1" t="s">
        <v>11265</v>
      </c>
      <c r="F531" s="6" t="s">
        <v>11266</v>
      </c>
      <c r="G531" s="7" t="str">
        <f>IFERROR(__xludf.DUMMYFUNCTION("GOOGLETRANSLATE(C531, ""en"", ""cs"")"),"Buďte opatrní s nimi")</f>
        <v>Buďte opatrní s nimi</v>
      </c>
      <c r="H531" s="7" t="str">
        <f>IFERROR(__xludf.DUMMYFUNCTION("GOOGLETRANSLATE(C531, ""en"", ""da"")"),"Vær forsigtig med disse")</f>
        <v>Vær forsigtig med disse</v>
      </c>
      <c r="I531" s="1" t="s">
        <v>11267</v>
      </c>
      <c r="J531" s="6" t="s">
        <v>132</v>
      </c>
      <c r="K531" s="1" t="s">
        <v>11268</v>
      </c>
      <c r="L531" s="7" t="str">
        <f>IFERROR(__xludf.DUMMYFUNCTION("GOOGLETRANSLATE(C531, ""en"", ""fi"")"),"Ole varovainen näiden kanssa")</f>
        <v>Ole varovainen näiden kanssa</v>
      </c>
      <c r="M531" s="1" t="s">
        <v>11269</v>
      </c>
      <c r="N531" s="6" t="s">
        <v>11270</v>
      </c>
      <c r="O531" s="6" t="s">
        <v>132</v>
      </c>
      <c r="P531" s="1" t="s">
        <v>11271</v>
      </c>
      <c r="Q531" s="9" t="s">
        <v>11272</v>
      </c>
      <c r="R531" s="1" t="s">
        <v>11273</v>
      </c>
      <c r="S531" s="6" t="s">
        <v>132</v>
      </c>
      <c r="T531" s="1" t="s">
        <v>11274</v>
      </c>
      <c r="U531" s="1" t="s">
        <v>11275</v>
      </c>
      <c r="V531" s="7" t="str">
        <f>IFERROR(__xludf.DUMMYFUNCTION("GOOGLETRANSLATE(C531, ""en"", ""ms"")"),"Sila berhati-hati dengan ini")</f>
        <v>Sila berhati-hati dengan ini</v>
      </c>
      <c r="W531" s="1" t="s">
        <v>11276</v>
      </c>
      <c r="X531" s="7" t="str">
        <f>IFERROR(__xludf.DUMMYFUNCTION("GOOGLETRANSLATE(C531, ""en"", ""no"")"),"Vær forsiktig med disse")</f>
        <v>Vær forsiktig med disse</v>
      </c>
      <c r="Y531" s="1" t="s">
        <v>11277</v>
      </c>
      <c r="Z531" s="1" t="s">
        <v>11278</v>
      </c>
      <c r="AA531" s="7" t="str">
        <f>IFERROR(__xludf.DUMMYFUNCTION("GOOGLETRANSLATE(C531, ""en"", ""ro"")"),"Vă rugăm să fiți atenți cu acestea")</f>
        <v>Vă rugăm să fiți atenți cu acestea</v>
      </c>
      <c r="AB531" s="1" t="s">
        <v>11279</v>
      </c>
      <c r="AC531" s="1" t="s">
        <v>11280</v>
      </c>
      <c r="AD531" s="6" t="s">
        <v>132</v>
      </c>
      <c r="AE531" s="1" t="s">
        <v>11281</v>
      </c>
      <c r="AF531" s="1" t="s">
        <v>11282</v>
      </c>
      <c r="AG531" s="6" t="s">
        <v>132</v>
      </c>
      <c r="AH531" s="7" t="str">
        <f>IFERROR(__xludf.DUMMYFUNCTION("GOOGLETRANSLATE(C531, ""en"", ""tr"")"),"Lütfen bunlara dikkat et")</f>
        <v>Lütfen bunlara dikkat et</v>
      </c>
      <c r="AI531" s="6" t="s">
        <v>11283</v>
      </c>
      <c r="AJ531" s="6" t="s">
        <v>11284</v>
      </c>
      <c r="AK531" s="7" t="str">
        <f>IFERROR(__xludf.DUMMYFUNCTION("GOOGLETRANSLATE(C531, ""en"", ""zh"")"),"请小心这些")</f>
        <v>请小心这些</v>
      </c>
      <c r="AL531" s="6" t="s">
        <v>11285</v>
      </c>
    </row>
    <row r="532" ht="15.75" hidden="1" customHeight="1">
      <c r="A532" s="1" t="s">
        <v>38</v>
      </c>
      <c r="B532" s="1" t="s">
        <v>11286</v>
      </c>
      <c r="C532" s="1" t="s">
        <v>11287</v>
      </c>
      <c r="D532" s="7" t="str">
        <f>IFERROR(__xludf.DUMMYFUNCTION("GOOGLETRANSLATE(C532, ""en"", ""ar"")"),"لا إذن بالوصول إلى٪ s")</f>
        <v>لا إذن بالوصول إلى٪ s</v>
      </c>
      <c r="E532" s="1" t="s">
        <v>11288</v>
      </c>
      <c r="F532" s="6" t="s">
        <v>11289</v>
      </c>
      <c r="G532" s="7" t="str">
        <f>IFERROR(__xludf.DUMMYFUNCTION("GOOGLETRANSLATE(C532, ""en"", ""cs"")"),"Žádné povolení k přístupu% s")</f>
        <v>Žádné povolení k přístupu% s</v>
      </c>
      <c r="H532" s="7" t="str">
        <f>IFERROR(__xludf.DUMMYFUNCTION("GOOGLETRANSLATE(C532, ""en"", ""da"")"),"Ingen tilladelse til at få adgang til% s")</f>
        <v>Ingen tilladelse til at få adgang til% s</v>
      </c>
      <c r="I532" s="1" t="s">
        <v>11290</v>
      </c>
      <c r="J532" s="6" t="s">
        <v>132</v>
      </c>
      <c r="K532" s="1" t="s">
        <v>11291</v>
      </c>
      <c r="L532" s="7" t="str">
        <f>IFERROR(__xludf.DUMMYFUNCTION("GOOGLETRANSLATE(C532, ""en"", ""fi"")"),"Ei lupaa käyttää% s")</f>
        <v>Ei lupaa käyttää% s</v>
      </c>
      <c r="M532" s="1" t="s">
        <v>11292</v>
      </c>
      <c r="N532" s="6" t="s">
        <v>11293</v>
      </c>
      <c r="O532" s="6" t="s">
        <v>132</v>
      </c>
      <c r="P532" s="1" t="s">
        <v>11294</v>
      </c>
      <c r="Q532" s="7" t="str">
        <f>IFERROR(__xludf.DUMMYFUNCTION("GOOGLETRANSLATE(C532, ""en"", ""in"")"),"Tidak ada izin untuk mengakses% s")</f>
        <v>Tidak ada izin untuk mengakses% s</v>
      </c>
      <c r="R532" s="1" t="s">
        <v>11295</v>
      </c>
      <c r="S532" s="6" t="s">
        <v>132</v>
      </c>
      <c r="T532" s="1" t="s">
        <v>11296</v>
      </c>
      <c r="U532" s="1" t="s">
        <v>11297</v>
      </c>
      <c r="V532" s="7" t="str">
        <f>IFERROR(__xludf.DUMMYFUNCTION("GOOGLETRANSLATE(C532, ""en"", ""ms"")"),"Tiada kebenaran untuk mengakses% s")</f>
        <v>Tiada kebenaran untuk mengakses% s</v>
      </c>
      <c r="W532" s="1" t="s">
        <v>11298</v>
      </c>
      <c r="X532" s="7" t="str">
        <f>IFERROR(__xludf.DUMMYFUNCTION("GOOGLETRANSLATE(C532, ""en"", ""no"")"),"Ingen tillatelse til å få tilgang til% s")</f>
        <v>Ingen tillatelse til å få tilgang til% s</v>
      </c>
      <c r="Y532" s="1" t="s">
        <v>11299</v>
      </c>
      <c r="Z532" s="7" t="str">
        <f>IFERROR(__xludf.DUMMYFUNCTION("GOOGLETRANSLATE(C532, ""en"", ""pt"")"),"Nenhuma permissão para acessar% s")</f>
        <v>Nenhuma permissão para acessar% s</v>
      </c>
      <c r="AA532" s="7" t="str">
        <f>IFERROR(__xludf.DUMMYFUNCTION("GOOGLETRANSLATE(C532, ""en"", ""ro"")"),"Nici o permisiune de a accesa% s")</f>
        <v>Nici o permisiune de a accesa% s</v>
      </c>
      <c r="AB532" s="1" t="s">
        <v>11300</v>
      </c>
      <c r="AC532" s="7" t="str">
        <f>IFERROR(__xludf.DUMMYFUNCTION("GOOGLETRANSLATE(C532, ""en"", ""sk"")"),"Žiadne povolenie na prístup k% s")</f>
        <v>Žiadne povolenie na prístup k% s</v>
      </c>
      <c r="AD532" s="6" t="s">
        <v>132</v>
      </c>
      <c r="AE532" s="1" t="s">
        <v>11301</v>
      </c>
      <c r="AF532" s="1" t="s">
        <v>11302</v>
      </c>
      <c r="AG532" s="6" t="s">
        <v>132</v>
      </c>
      <c r="AH532" s="7" t="str">
        <f>IFERROR(__xludf.DUMMYFUNCTION("GOOGLETRANSLATE(C532, ""en"", ""tr"")"),"% S erişim izni yok")</f>
        <v>% S erişim izni yok</v>
      </c>
      <c r="AI532" s="6" t="s">
        <v>11303</v>
      </c>
      <c r="AJ532" s="6" t="s">
        <v>132</v>
      </c>
      <c r="AK532" s="7" t="str">
        <f>IFERROR(__xludf.DUMMYFUNCTION("GOOGLETRANSLATE(C532, ""en"", ""zh"")"),"无权访问％s")</f>
        <v>无权访问％s</v>
      </c>
      <c r="AL532" s="6" t="s">
        <v>11304</v>
      </c>
    </row>
    <row r="533" ht="15.75" customHeight="1">
      <c r="A533" s="1" t="s">
        <v>127</v>
      </c>
      <c r="B533" s="1" t="s">
        <v>11305</v>
      </c>
      <c r="C533" s="1" t="s">
        <v>11306</v>
      </c>
      <c r="D533" s="8" t="s">
        <v>11307</v>
      </c>
      <c r="E533" s="1" t="s">
        <v>11306</v>
      </c>
      <c r="F533" s="6" t="s">
        <v>132</v>
      </c>
      <c r="G533" s="1" t="s">
        <v>11306</v>
      </c>
      <c r="H533" s="1" t="s">
        <v>11306</v>
      </c>
      <c r="I533" s="1" t="s">
        <v>11306</v>
      </c>
      <c r="J533" s="6" t="s">
        <v>11306</v>
      </c>
      <c r="K533" s="1" t="s">
        <v>11306</v>
      </c>
      <c r="L533" s="1" t="s">
        <v>11306</v>
      </c>
      <c r="M533" s="1" t="s">
        <v>11306</v>
      </c>
      <c r="N533" s="6" t="s">
        <v>132</v>
      </c>
      <c r="O533" s="6" t="s">
        <v>11308</v>
      </c>
      <c r="P533" s="1" t="s">
        <v>11306</v>
      </c>
      <c r="Q533" s="1" t="s">
        <v>11306</v>
      </c>
      <c r="R533" s="1" t="s">
        <v>11306</v>
      </c>
      <c r="S533" s="6" t="s">
        <v>11306</v>
      </c>
      <c r="T533" s="1" t="s">
        <v>11306</v>
      </c>
      <c r="U533" s="1" t="s">
        <v>11306</v>
      </c>
      <c r="V533" s="1" t="s">
        <v>11306</v>
      </c>
      <c r="W533" s="1" t="s">
        <v>11306</v>
      </c>
      <c r="X533" s="1" t="s">
        <v>11306</v>
      </c>
      <c r="Y533" s="1" t="s">
        <v>11306</v>
      </c>
      <c r="Z533" s="1" t="s">
        <v>11309</v>
      </c>
      <c r="AA533" s="1" t="s">
        <v>11306</v>
      </c>
      <c r="AB533" s="1" t="s">
        <v>11310</v>
      </c>
      <c r="AC533" s="1" t="s">
        <v>11306</v>
      </c>
      <c r="AD533" s="6" t="s">
        <v>11306</v>
      </c>
      <c r="AE533" s="1" t="s">
        <v>11306</v>
      </c>
      <c r="AF533" s="1" t="s">
        <v>11306</v>
      </c>
      <c r="AG533" s="6" t="s">
        <v>11306</v>
      </c>
      <c r="AH533" s="1" t="s">
        <v>11311</v>
      </c>
      <c r="AI533" s="6" t="s">
        <v>132</v>
      </c>
      <c r="AJ533" s="6" t="s">
        <v>11306</v>
      </c>
      <c r="AK533" s="1" t="s">
        <v>11312</v>
      </c>
      <c r="AL533" s="6" t="s">
        <v>11313</v>
      </c>
    </row>
    <row r="534" ht="15.75" customHeight="1">
      <c r="A534" s="1" t="s">
        <v>8528</v>
      </c>
      <c r="B534" s="1" t="s">
        <v>11314</v>
      </c>
      <c r="C534" s="1" t="s">
        <v>11315</v>
      </c>
      <c r="D534" s="8" t="s">
        <v>11316</v>
      </c>
      <c r="E534" s="1" t="s">
        <v>11317</v>
      </c>
      <c r="F534" s="6" t="s">
        <v>132</v>
      </c>
      <c r="G534" s="1" t="s">
        <v>11318</v>
      </c>
      <c r="H534" s="1" t="s">
        <v>11319</v>
      </c>
      <c r="I534" s="7" t="str">
        <f>IFERROR(__xludf.DUMMYFUNCTION("GOOGLETRANSLATE(C534, ""en"", ""de"")"),"Schneller Zugang")</f>
        <v>Schneller Zugang</v>
      </c>
      <c r="J534" s="6" t="s">
        <v>11320</v>
      </c>
      <c r="K534" s="7" t="str">
        <f>IFERROR(__xludf.DUMMYFUNCTION("GOOGLETRANSLATE(C534, ""en"", ""es"")"),"Acceso rapido")</f>
        <v>Acceso rapido</v>
      </c>
      <c r="L534" s="1" t="s">
        <v>11321</v>
      </c>
      <c r="M534" s="1" t="s">
        <v>11322</v>
      </c>
      <c r="N534" s="6" t="s">
        <v>132</v>
      </c>
      <c r="O534" s="6" t="s">
        <v>11323</v>
      </c>
      <c r="P534" s="1" t="s">
        <v>11324</v>
      </c>
      <c r="Q534" s="1" t="s">
        <v>11325</v>
      </c>
      <c r="R534" s="1" t="s">
        <v>11326</v>
      </c>
      <c r="S534" s="10" t="s">
        <v>11327</v>
      </c>
      <c r="T534" s="1" t="s">
        <v>11328</v>
      </c>
      <c r="U534" s="1" t="s">
        <v>11329</v>
      </c>
      <c r="V534" s="1" t="s">
        <v>11330</v>
      </c>
      <c r="W534" s="1" t="s">
        <v>11331</v>
      </c>
      <c r="X534" s="1" t="s">
        <v>11332</v>
      </c>
      <c r="Y534" s="11" t="s">
        <v>11333</v>
      </c>
      <c r="Z534" s="1" t="s">
        <v>11334</v>
      </c>
      <c r="AA534" s="1" t="s">
        <v>11335</v>
      </c>
      <c r="AB534" s="7" t="str">
        <f>IFERROR(__xludf.DUMMYFUNCTION("GOOGLETRANSLATE(C534, ""en"", ""ru"")"),"Быстрый доступ")</f>
        <v>Быстрый доступ</v>
      </c>
      <c r="AC534" s="1" t="s">
        <v>11336</v>
      </c>
      <c r="AD534" s="6" t="s">
        <v>11337</v>
      </c>
      <c r="AE534" s="7" t="str">
        <f>IFERROR(__xludf.DUMMYFUNCTION("GOOGLETRANSLATE(C534, ""en"", ""sr"")"),"Брзи приступ")</f>
        <v>Брзи приступ</v>
      </c>
      <c r="AF534" s="1" t="s">
        <v>11338</v>
      </c>
      <c r="AG534" s="6" t="s">
        <v>11339</v>
      </c>
      <c r="AH534" s="1" t="s">
        <v>11340</v>
      </c>
      <c r="AI534" s="6" t="s">
        <v>132</v>
      </c>
      <c r="AJ534" s="6" t="s">
        <v>11341</v>
      </c>
      <c r="AK534" s="14" t="s">
        <v>11342</v>
      </c>
      <c r="AL534" s="6" t="s">
        <v>132</v>
      </c>
    </row>
    <row r="535" ht="15.75" customHeight="1">
      <c r="A535" s="1" t="s">
        <v>127</v>
      </c>
      <c r="B535" s="1" t="s">
        <v>11343</v>
      </c>
      <c r="C535" s="1" t="s">
        <v>11344</v>
      </c>
      <c r="D535" s="1" t="s">
        <v>11345</v>
      </c>
      <c r="E535" s="1" t="s">
        <v>11346</v>
      </c>
      <c r="F535" s="6" t="s">
        <v>11344</v>
      </c>
      <c r="G535" s="7" t="str">
        <f>IFERROR(__xludf.DUMMYFUNCTION("GOOGLETRANSLATE(C535, ""en"", ""cs"")"),"Osobní cenové upozornění.")</f>
        <v>Osobní cenové upozornění.</v>
      </c>
      <c r="H535" s="1" t="s">
        <v>11347</v>
      </c>
      <c r="I535" s="1" t="s">
        <v>11346</v>
      </c>
      <c r="J535" s="6" t="s">
        <v>132</v>
      </c>
      <c r="K535" s="1" t="s">
        <v>11348</v>
      </c>
      <c r="L535" s="1" t="s">
        <v>11349</v>
      </c>
      <c r="M535" s="1" t="s">
        <v>11350</v>
      </c>
      <c r="N535" s="6" t="s">
        <v>132</v>
      </c>
      <c r="O535" s="6" t="s">
        <v>132</v>
      </c>
      <c r="P535" s="1" t="s">
        <v>11351</v>
      </c>
      <c r="Q535" s="1" t="s">
        <v>11352</v>
      </c>
      <c r="R535" s="1" t="s">
        <v>11353</v>
      </c>
      <c r="S535" s="6" t="s">
        <v>11354</v>
      </c>
      <c r="T535" s="1" t="s">
        <v>11355</v>
      </c>
      <c r="U535" s="1" t="s">
        <v>11356</v>
      </c>
      <c r="V535" s="1" t="s">
        <v>11357</v>
      </c>
      <c r="W535" s="1" t="s">
        <v>11345</v>
      </c>
      <c r="X535" s="1" t="s">
        <v>11358</v>
      </c>
      <c r="Y535" s="1" t="s">
        <v>11359</v>
      </c>
      <c r="Z535" s="1" t="s">
        <v>11360</v>
      </c>
      <c r="AA535" s="7" t="str">
        <f>IFERROR(__xludf.DUMMYFUNCTION("GOOGLETRANSLATE(C535, ""en"", ""ro"")"),"Alerte de prețuri personale.")</f>
        <v>Alerte de prețuri personale.</v>
      </c>
      <c r="AB535" s="1" t="s">
        <v>11361</v>
      </c>
      <c r="AC535" s="7" t="str">
        <f>IFERROR(__xludf.DUMMYFUNCTION("GOOGLETRANSLATE(C535, ""en"", ""sk"")"),"Upozornenia na osobné ceny.")</f>
        <v>Upozornenia na osobné ceny.</v>
      </c>
      <c r="AD535" s="6" t="s">
        <v>132</v>
      </c>
      <c r="AE535" s="1" t="s">
        <v>11362</v>
      </c>
      <c r="AF535" s="1" t="s">
        <v>11363</v>
      </c>
      <c r="AG535" s="6" t="s">
        <v>132</v>
      </c>
      <c r="AH535" s="1" t="s">
        <v>11354</v>
      </c>
      <c r="AI535" s="6" t="s">
        <v>132</v>
      </c>
      <c r="AJ535" s="6" t="s">
        <v>132</v>
      </c>
      <c r="AK535" s="1" t="s">
        <v>11364</v>
      </c>
      <c r="AL535" s="6" t="s">
        <v>132</v>
      </c>
    </row>
    <row r="536" ht="15.75" hidden="1" customHeight="1">
      <c r="A536" s="1" t="s">
        <v>38</v>
      </c>
      <c r="B536" s="1" t="s">
        <v>11365</v>
      </c>
      <c r="C536" s="1" t="s">
        <v>5199</v>
      </c>
      <c r="D536" s="8" t="s">
        <v>6865</v>
      </c>
      <c r="E536" s="1" t="s">
        <v>5200</v>
      </c>
      <c r="F536" s="6" t="s">
        <v>5205</v>
      </c>
      <c r="G536" s="7" t="str">
        <f>IFERROR(__xludf.DUMMYFUNCTION("GOOGLETRANSLATE(C536, ""en"", ""cs"")"),"Vypnout")</f>
        <v>Vypnout</v>
      </c>
      <c r="H536" s="7" t="str">
        <f>IFERROR(__xludf.DUMMYFUNCTION("GOOGLETRANSLATE(C536, ""en"", ""da"")"),"Deaktivere")</f>
        <v>Deaktivere</v>
      </c>
      <c r="I536" s="1" t="s">
        <v>5202</v>
      </c>
      <c r="J536" s="6" t="s">
        <v>132</v>
      </c>
      <c r="K536" s="1" t="s">
        <v>5203</v>
      </c>
      <c r="L536" s="7" t="str">
        <f>IFERROR(__xludf.DUMMYFUNCTION("GOOGLETRANSLATE(C536, ""en"", ""fi"")"),"Poista käytöstä")</f>
        <v>Poista käytöstä</v>
      </c>
      <c r="M536" s="1" t="s">
        <v>5204</v>
      </c>
      <c r="N536" s="6" t="s">
        <v>5205</v>
      </c>
      <c r="O536" s="6" t="s">
        <v>132</v>
      </c>
      <c r="P536" s="1" t="s">
        <v>5206</v>
      </c>
      <c r="Q536" s="9" t="s">
        <v>11366</v>
      </c>
      <c r="R536" s="1" t="s">
        <v>5207</v>
      </c>
      <c r="S536" s="6" t="s">
        <v>132</v>
      </c>
      <c r="T536" s="1" t="s">
        <v>11367</v>
      </c>
      <c r="U536" s="1" t="s">
        <v>11368</v>
      </c>
      <c r="V536" s="7" t="str">
        <f>IFERROR(__xludf.DUMMYFUNCTION("GOOGLETRANSLATE(C536, ""en"", ""ms"")"),"Melumpuhkan")</f>
        <v>Melumpuhkan</v>
      </c>
      <c r="W536" s="1" t="s">
        <v>5208</v>
      </c>
      <c r="X536" s="7" t="str">
        <f>IFERROR(__xludf.DUMMYFUNCTION("GOOGLETRANSLATE(C536, ""en"", ""no"")"),"Deaktiver")</f>
        <v>Deaktiver</v>
      </c>
      <c r="Y536" s="1" t="s">
        <v>5209</v>
      </c>
      <c r="Z536" s="1" t="s">
        <v>5210</v>
      </c>
      <c r="AA536" s="7" t="str">
        <f>IFERROR(__xludf.DUMMYFUNCTION("GOOGLETRANSLATE(C536, ""en"", ""ro"")"),"Dezactivați")</f>
        <v>Dezactivați</v>
      </c>
      <c r="AB536" s="1" t="s">
        <v>11369</v>
      </c>
      <c r="AC536" s="7" t="str">
        <f>IFERROR(__xludf.DUMMYFUNCTION("GOOGLETRANSLATE(C536, ""en"", ""sk"")"),"Vypnúť")</f>
        <v>Vypnúť</v>
      </c>
      <c r="AD536" s="6" t="s">
        <v>132</v>
      </c>
      <c r="AE536" s="1" t="s">
        <v>11370</v>
      </c>
      <c r="AF536" s="1" t="s">
        <v>11371</v>
      </c>
      <c r="AG536" s="6" t="s">
        <v>132</v>
      </c>
      <c r="AH536" s="7" t="str">
        <f>IFERROR(__xludf.DUMMYFUNCTION("GOOGLETRANSLATE(C536, ""en"", ""tr"")"),"Devre dışı bırakmak")</f>
        <v>Devre dışı bırakmak</v>
      </c>
      <c r="AI536" s="6" t="s">
        <v>11372</v>
      </c>
      <c r="AJ536" s="6" t="s">
        <v>6886</v>
      </c>
      <c r="AK536" s="7" t="str">
        <f>IFERROR(__xludf.DUMMYFUNCTION("GOOGLETRANSLATE(C536, ""en"", ""zh"")"),"禁用")</f>
        <v>禁用</v>
      </c>
      <c r="AL536" s="6" t="s">
        <v>11373</v>
      </c>
    </row>
    <row r="537" ht="15.75" hidden="1" customHeight="1">
      <c r="A537" s="1" t="s">
        <v>38</v>
      </c>
      <c r="B537" s="1" t="s">
        <v>11374</v>
      </c>
      <c r="C537" s="1" t="s">
        <v>11375</v>
      </c>
      <c r="D537" s="8" t="s">
        <v>11376</v>
      </c>
      <c r="E537" s="1" t="s">
        <v>11377</v>
      </c>
      <c r="F537" s="6" t="s">
        <v>11378</v>
      </c>
      <c r="G537" s="7" t="str">
        <f>IFERROR(__xludf.DUMMYFUNCTION("GOOGLETRANSLATE(C537, ""en"", ""cs"")"),"Musíte být připojeni k publikování vašeho avataru.")</f>
        <v>Musíte být připojeni k publikování vašeho avataru.</v>
      </c>
      <c r="H537" s="7" t="str">
        <f>IFERROR(__xludf.DUMMYFUNCTION("GOOGLETRANSLATE(C537, ""en"", ""da"")"),"Du skal være forbundet med at offentliggøre din avatar.")</f>
        <v>Du skal være forbundet med at offentliggøre din avatar.</v>
      </c>
      <c r="I537" s="1" t="s">
        <v>11379</v>
      </c>
      <c r="J537" s="6" t="s">
        <v>132</v>
      </c>
      <c r="K537" s="1" t="s">
        <v>11380</v>
      </c>
      <c r="L537" s="7" t="str">
        <f>IFERROR(__xludf.DUMMYFUNCTION("GOOGLETRANSLATE(C537, ""en"", ""fi"")"),"Sinun täytyy olla yhteydessä julkaisemaan avatarin.")</f>
        <v>Sinun täytyy olla yhteydessä julkaisemaan avatarin.</v>
      </c>
      <c r="M537" s="1" t="s">
        <v>11381</v>
      </c>
      <c r="N537" s="6" t="s">
        <v>11382</v>
      </c>
      <c r="O537" s="6" t="s">
        <v>132</v>
      </c>
      <c r="P537" s="1" t="s">
        <v>11383</v>
      </c>
      <c r="Q537" s="7" t="str">
        <f>IFERROR(__xludf.DUMMYFUNCTION("GOOGLETRANSLATE(C537, ""en"", ""in"")"),"Anda harus terhubung untuk mempublikasikan avatar Anda.")</f>
        <v>Anda harus terhubung untuk mempublikasikan avatar Anda.</v>
      </c>
      <c r="R537" s="1" t="s">
        <v>11384</v>
      </c>
      <c r="S537" s="6" t="s">
        <v>132</v>
      </c>
      <c r="T537" s="1" t="s">
        <v>11385</v>
      </c>
      <c r="U537" s="1" t="s">
        <v>11386</v>
      </c>
      <c r="V537" s="7" t="str">
        <f>IFERROR(__xludf.DUMMYFUNCTION("GOOGLETRANSLATE(C537, ""en"", ""ms"")"),"Anda perlu disambungkan untuk menerbitkan avatar anda.")</f>
        <v>Anda perlu disambungkan untuk menerbitkan avatar anda.</v>
      </c>
      <c r="W537" s="1" t="s">
        <v>11387</v>
      </c>
      <c r="X537" s="7" t="str">
        <f>IFERROR(__xludf.DUMMYFUNCTION("GOOGLETRANSLATE(C537, ""en"", ""no"")"),"Du må være koblet til å publisere din avatar.")</f>
        <v>Du må være koblet til å publisere din avatar.</v>
      </c>
      <c r="Y537" s="1" t="s">
        <v>11388</v>
      </c>
      <c r="Z537" s="1" t="s">
        <v>11389</v>
      </c>
      <c r="AA537" s="7" t="str">
        <f>IFERROR(__xludf.DUMMYFUNCTION("GOOGLETRANSLATE(C537, ""en"", ""ro"")"),"Trebuie să fii conectat pentru a-ți publica Avatarul.")</f>
        <v>Trebuie să fii conectat pentru a-ți publica Avatarul.</v>
      </c>
      <c r="AB537" s="1" t="s">
        <v>11390</v>
      </c>
      <c r="AC537" s="7" t="str">
        <f>IFERROR(__xludf.DUMMYFUNCTION("GOOGLETRANSLATE(C537, ""en"", ""sk"")"),"Musíte byť pripojení k tomu, aby ste zverejnili svoj Avatar.")</f>
        <v>Musíte byť pripojení k tomu, aby ste zverejnili svoj Avatar.</v>
      </c>
      <c r="AD537" s="6" t="s">
        <v>132</v>
      </c>
      <c r="AE537" s="1" t="s">
        <v>11391</v>
      </c>
      <c r="AF537" s="1" t="s">
        <v>11392</v>
      </c>
      <c r="AG537" s="6" t="s">
        <v>132</v>
      </c>
      <c r="AH537" s="7" t="str">
        <f>IFERROR(__xludf.DUMMYFUNCTION("GOOGLETRANSLATE(C537, ""en"", ""tr"")"),"Avatarınızı yayınlamak için bağlanmanız gerekir.")</f>
        <v>Avatarınızı yayınlamak için bağlanmanız gerekir.</v>
      </c>
      <c r="AI537" s="6" t="s">
        <v>11393</v>
      </c>
      <c r="AJ537" s="6" t="s">
        <v>132</v>
      </c>
      <c r="AK537" s="7" t="str">
        <f>IFERROR(__xludf.DUMMYFUNCTION("GOOGLETRANSLATE(C537, ""en"", ""zh"")"),"您需要连接以发布您的头像。")</f>
        <v>您需要连接以发布您的头像。</v>
      </c>
      <c r="AL537" s="6" t="s">
        <v>11394</v>
      </c>
    </row>
    <row r="538" ht="15.75" hidden="1" customHeight="1">
      <c r="A538" s="1" t="s">
        <v>38</v>
      </c>
      <c r="B538" s="1" t="s">
        <v>11395</v>
      </c>
      <c r="C538" s="1" t="s">
        <v>11396</v>
      </c>
      <c r="D538" s="7" t="str">
        <f>IFERROR(__xludf.DUMMYFUNCTION("GOOGLETRANSLATE(C538, ""en"", ""ar"")"),"تم تعطيل مشاركة الموقع")</f>
        <v>تم تعطيل مشاركة الموقع</v>
      </c>
      <c r="E538" s="1" t="s">
        <v>11397</v>
      </c>
      <c r="F538" s="6" t="s">
        <v>11398</v>
      </c>
      <c r="G538" s="7" t="str">
        <f>IFERROR(__xludf.DUMMYFUNCTION("GOOGLETRANSLATE(C538, ""en"", ""cs"")"),"Sdílení umístění je zakázáno")</f>
        <v>Sdílení umístění je zakázáno</v>
      </c>
      <c r="H538" s="7" t="str">
        <f>IFERROR(__xludf.DUMMYFUNCTION("GOOGLETRANSLATE(C538, ""en"", ""da"")"),"Placeringsdeling er deaktiveret")</f>
        <v>Placeringsdeling er deaktiveret</v>
      </c>
      <c r="I538" s="1" t="s">
        <v>11399</v>
      </c>
      <c r="J538" s="6" t="s">
        <v>132</v>
      </c>
      <c r="K538" s="1" t="s">
        <v>11400</v>
      </c>
      <c r="L538" s="7" t="str">
        <f>IFERROR(__xludf.DUMMYFUNCTION("GOOGLETRANSLATE(C538, ""en"", ""fi"")"),"Sijainnin jakaminen on poistettu käytöstä")</f>
        <v>Sijainnin jakaminen on poistettu käytöstä</v>
      </c>
      <c r="M538" s="1" t="s">
        <v>11401</v>
      </c>
      <c r="N538" s="6" t="s">
        <v>11402</v>
      </c>
      <c r="O538" s="6" t="s">
        <v>132</v>
      </c>
      <c r="P538" s="1" t="s">
        <v>11403</v>
      </c>
      <c r="Q538" s="7" t="str">
        <f>IFERROR(__xludf.DUMMYFUNCTION("GOOGLETRANSLATE(C538, ""en"", ""in"")"),"Berbagi Lokasi dinonaktifkan")</f>
        <v>Berbagi Lokasi dinonaktifkan</v>
      </c>
      <c r="R538" s="1" t="s">
        <v>11404</v>
      </c>
      <c r="S538" s="6" t="s">
        <v>132</v>
      </c>
      <c r="T538" s="7" t="str">
        <f>IFERROR(__xludf.DUMMYFUNCTION("GOOGLETRANSLATE(C538, ""en"", ""ja"")"),"ロケーション共有は無効です")</f>
        <v>ロケーション共有は無効です</v>
      </c>
      <c r="U538" s="7" t="str">
        <f>IFERROR(__xludf.DUMMYFUNCTION("GOOGLETRANSLATE(C538, ""en"", ""ko"")"),"위치 공유가 비활성화됩니다")</f>
        <v>위치 공유가 비활성화됩니다</v>
      </c>
      <c r="V538" s="7" t="str">
        <f>IFERROR(__xludf.DUMMYFUNCTION("GOOGLETRANSLATE(C538, ""en"", ""ms"")"),"Perkongsian lokasi dinyahdayakan")</f>
        <v>Perkongsian lokasi dinyahdayakan</v>
      </c>
      <c r="W538" s="1" t="s">
        <v>11405</v>
      </c>
      <c r="X538" s="7" t="str">
        <f>IFERROR(__xludf.DUMMYFUNCTION("GOOGLETRANSLATE(C538, ""en"", ""no"")"),"Beliggenhet Deling er deaktivert")</f>
        <v>Beliggenhet Deling er deaktivert</v>
      </c>
      <c r="Y538" s="1" t="s">
        <v>11406</v>
      </c>
      <c r="Z538" s="7" t="str">
        <f>IFERROR(__xludf.DUMMYFUNCTION("GOOGLETRANSLATE(C538, ""en"", ""pt"")"),"O compartilhamento de localização está desativado")</f>
        <v>O compartilhamento de localização está desativado</v>
      </c>
      <c r="AA538" s="7" t="str">
        <f>IFERROR(__xludf.DUMMYFUNCTION("GOOGLETRANSLATE(C538, ""en"", ""ro"")"),"Partajarea locației este dezactivată")</f>
        <v>Partajarea locației este dezactivată</v>
      </c>
      <c r="AB538" s="7" t="str">
        <f>IFERROR(__xludf.DUMMYFUNCTION("GOOGLETRANSLATE(C538, ""en"", ""ru"")"),"Общий ресурс местоположения отключен")</f>
        <v>Общий ресурс местоположения отключен</v>
      </c>
      <c r="AC538" s="7" t="str">
        <f>IFERROR(__xludf.DUMMYFUNCTION("GOOGLETRANSLATE(C538, ""en"", ""sk"")"),"Zdieľanie polohy je zakázané")</f>
        <v>Zdieľanie polohy je zakázané</v>
      </c>
      <c r="AD538" s="6" t="s">
        <v>132</v>
      </c>
      <c r="AE538" s="1" t="s">
        <v>11407</v>
      </c>
      <c r="AF538" s="7" t="str">
        <f>IFERROR(__xludf.DUMMYFUNCTION("GOOGLETRANSLATE(C538, ""en"", ""sv"")"),"Platsdelning är inaktiverad")</f>
        <v>Platsdelning är inaktiverad</v>
      </c>
      <c r="AG538" s="6" t="s">
        <v>132</v>
      </c>
      <c r="AH538" s="7" t="str">
        <f>IFERROR(__xludf.DUMMYFUNCTION("GOOGLETRANSLATE(C538, ""en"", ""tr"")"),"Yer paylaşımı devre dışı")</f>
        <v>Yer paylaşımı devre dışı</v>
      </c>
      <c r="AI538" s="6" t="s">
        <v>132</v>
      </c>
      <c r="AJ538" s="6" t="s">
        <v>132</v>
      </c>
      <c r="AK538" s="7" t="str">
        <f>IFERROR(__xludf.DUMMYFUNCTION("GOOGLETRANSLATE(C538, ""en"", ""zh"")"),"位置共享已禁用")</f>
        <v>位置共享已禁用</v>
      </c>
      <c r="AL538" s="6" t="s">
        <v>132</v>
      </c>
    </row>
    <row r="539" ht="15.75" hidden="1" customHeight="1">
      <c r="A539" s="1" t="s">
        <v>38</v>
      </c>
      <c r="B539" s="1" t="s">
        <v>11408</v>
      </c>
      <c r="C539" s="1" t="s">
        <v>4396</v>
      </c>
      <c r="D539" s="7" t="str">
        <f>IFERROR(__xludf.DUMMYFUNCTION("GOOGLETRANSLATE(C539, ""en"", ""ar"")"),"نعم")</f>
        <v>نعم</v>
      </c>
      <c r="E539" s="7" t="str">
        <f>IFERROR(__xludf.DUMMYFUNCTION("GOOGLETRANSLATE(C539, ""en"", ""bg"")"),"Добре")</f>
        <v>Добре</v>
      </c>
      <c r="F539" s="6" t="s">
        <v>132</v>
      </c>
      <c r="G539" s="7" t="str">
        <f>IFERROR(__xludf.DUMMYFUNCTION("GOOGLETRANSLATE(C539, ""en"", ""cs"")"),"OK")</f>
        <v>OK</v>
      </c>
      <c r="H539" s="7" t="str">
        <f>IFERROR(__xludf.DUMMYFUNCTION("GOOGLETRANSLATE(C539, ""en"", ""da"")"),"Okay")</f>
        <v>Okay</v>
      </c>
      <c r="I539" s="1" t="s">
        <v>4396</v>
      </c>
      <c r="J539" s="6" t="s">
        <v>132</v>
      </c>
      <c r="K539" s="1" t="s">
        <v>4396</v>
      </c>
      <c r="L539" s="7" t="str">
        <f>IFERROR(__xludf.DUMMYFUNCTION("GOOGLETRANSLATE(C539, ""en"", ""fi"")"),"Ok")</f>
        <v>Ok</v>
      </c>
      <c r="M539" s="1" t="s">
        <v>4396</v>
      </c>
      <c r="N539" s="6" t="s">
        <v>132</v>
      </c>
      <c r="O539" s="6" t="s">
        <v>132</v>
      </c>
      <c r="P539" s="1" t="s">
        <v>4396</v>
      </c>
      <c r="Q539" s="7" t="str">
        <f>IFERROR(__xludf.DUMMYFUNCTION("GOOGLETRANSLATE(C539, ""en"", ""in"")"),"baik")</f>
        <v>baik</v>
      </c>
      <c r="R539" s="7" t="str">
        <f>IFERROR(__xludf.DUMMYFUNCTION("GOOGLETRANSLATE(C539, ""en"", ""it"")"),"ok")</f>
        <v>ok</v>
      </c>
      <c r="S539" s="6" t="s">
        <v>132</v>
      </c>
      <c r="T539" s="7" t="str">
        <f>IFERROR(__xludf.DUMMYFUNCTION("GOOGLETRANSLATE(C539, ""en"", ""ja"")"),"OK")</f>
        <v>OK</v>
      </c>
      <c r="U539" s="7" t="str">
        <f>IFERROR(__xludf.DUMMYFUNCTION("GOOGLETRANSLATE(C539, ""en"", ""ko"")"),"확인")</f>
        <v>확인</v>
      </c>
      <c r="V539" s="7" t="str">
        <f>IFERROR(__xludf.DUMMYFUNCTION("GOOGLETRANSLATE(C539, ""en"", ""ms"")"),"okey")</f>
        <v>okey</v>
      </c>
      <c r="W539" s="7" t="str">
        <f>IFERROR(__xludf.DUMMYFUNCTION("GOOGLETRANSLATE(C539, ""en"", ""nl"")"),"OK")</f>
        <v>OK</v>
      </c>
      <c r="X539" s="7" t="str">
        <f>IFERROR(__xludf.DUMMYFUNCTION("GOOGLETRANSLATE(C539, ""en"", ""no"")"),"OK")</f>
        <v>OK</v>
      </c>
      <c r="Y539" s="7" t="str">
        <f>IFERROR(__xludf.DUMMYFUNCTION("GOOGLETRANSLATE(C539, ""en"", ""pl"")"),"dobrze")</f>
        <v>dobrze</v>
      </c>
      <c r="Z539" s="7" t="str">
        <f>IFERROR(__xludf.DUMMYFUNCTION("GOOGLETRANSLATE(C539, ""en"", ""pt"")"),"OK")</f>
        <v>OK</v>
      </c>
      <c r="AA539" s="7" t="str">
        <f>IFERROR(__xludf.DUMMYFUNCTION("GOOGLETRANSLATE(C539, ""en"", ""ro"")"),"O.K")</f>
        <v>O.K</v>
      </c>
      <c r="AB539" s="1" t="s">
        <v>4396</v>
      </c>
      <c r="AC539" s="7" t="str">
        <f>IFERROR(__xludf.DUMMYFUNCTION("GOOGLETRANSLATE(C539, ""en"", ""sk"")"),"V poriadku")</f>
        <v>V poriadku</v>
      </c>
      <c r="AD539" s="6" t="s">
        <v>132</v>
      </c>
      <c r="AE539" s="1" t="s">
        <v>4396</v>
      </c>
      <c r="AF539" s="7" t="str">
        <f>IFERROR(__xludf.DUMMYFUNCTION("GOOGLETRANSLATE(C539, ""en"", ""sv"")"),"OK")</f>
        <v>OK</v>
      </c>
      <c r="AG539" s="6" t="s">
        <v>132</v>
      </c>
      <c r="AH539" s="7" t="str">
        <f>IFERROR(__xludf.DUMMYFUNCTION("GOOGLETRANSLATE(C539, ""en"", ""tr"")"),"TAMAM MI")</f>
        <v>TAMAM MI</v>
      </c>
      <c r="AI539" s="6" t="s">
        <v>132</v>
      </c>
      <c r="AJ539" s="6" t="s">
        <v>132</v>
      </c>
      <c r="AK539" s="7" t="str">
        <f>IFERROR(__xludf.DUMMYFUNCTION("GOOGLETRANSLATE(C539, ""en"", ""zh"")"),"好的")</f>
        <v>好的</v>
      </c>
      <c r="AL539" s="6" t="s">
        <v>132</v>
      </c>
    </row>
    <row r="540" ht="15.75" hidden="1" customHeight="1">
      <c r="A540" s="1" t="s">
        <v>38</v>
      </c>
      <c r="B540" s="1" t="s">
        <v>11409</v>
      </c>
      <c r="C540" s="1" t="s">
        <v>11410</v>
      </c>
      <c r="D540" s="8" t="s">
        <v>11411</v>
      </c>
      <c r="E540" s="1" t="s">
        <v>11412</v>
      </c>
      <c r="F540" s="6" t="s">
        <v>11413</v>
      </c>
      <c r="G540" s="7" t="str">
        <f>IFERROR(__xludf.DUMMYFUNCTION("GOOGLETRANSLATE(C540, ""en"", ""cs"")"),"Odeslat šifrovanou zprávu OpenPGP")</f>
        <v>Odeslat šifrovanou zprávu OpenPGP</v>
      </c>
      <c r="H540" s="7" t="str">
        <f>IFERROR(__xludf.DUMMYFUNCTION("GOOGLETRANSLATE(C540, ""en"", ""da"")"),"Send OpenPGP krypteret besked")</f>
        <v>Send OpenPGP krypteret besked</v>
      </c>
      <c r="I540" s="1" t="s">
        <v>11414</v>
      </c>
      <c r="J540" s="6" t="s">
        <v>132</v>
      </c>
      <c r="K540" s="1" t="s">
        <v>11415</v>
      </c>
      <c r="L540" s="7" t="str">
        <f>IFERROR(__xludf.DUMMYFUNCTION("GOOGLETRANSLATE(C540, ""en"", ""fi"")"),"Lähetä OPENPGP Salattu viesti")</f>
        <v>Lähetä OPENPGP Salattu viesti</v>
      </c>
      <c r="M540" s="1" t="s">
        <v>11416</v>
      </c>
      <c r="N540" s="6" t="s">
        <v>11417</v>
      </c>
      <c r="O540" s="6" t="s">
        <v>132</v>
      </c>
      <c r="P540" s="1" t="s">
        <v>11418</v>
      </c>
      <c r="Q540" s="9" t="s">
        <v>11419</v>
      </c>
      <c r="R540" s="1" t="s">
        <v>11420</v>
      </c>
      <c r="S540" s="6" t="s">
        <v>132</v>
      </c>
      <c r="T540" s="1" t="s">
        <v>11421</v>
      </c>
      <c r="U540" s="1" t="s">
        <v>11422</v>
      </c>
      <c r="V540" s="7" t="str">
        <f>IFERROR(__xludf.DUMMYFUNCTION("GOOGLETRANSLATE(C540, ""en"", ""ms"")"),"Hantar mesej yang disulitkan OpenPGP")</f>
        <v>Hantar mesej yang disulitkan OpenPGP</v>
      </c>
      <c r="W540" s="1" t="s">
        <v>11423</v>
      </c>
      <c r="X540" s="7" t="str">
        <f>IFERROR(__xludf.DUMMYFUNCTION("GOOGLETRANSLATE(C540, ""en"", ""no"")"),"Send OpenPGP-kryptert melding")</f>
        <v>Send OpenPGP-kryptert melding</v>
      </c>
      <c r="Y540" s="1" t="s">
        <v>11424</v>
      </c>
      <c r="Z540" s="1" t="s">
        <v>11425</v>
      </c>
      <c r="AA540" s="7" t="str">
        <f>IFERROR(__xludf.DUMMYFUNCTION("GOOGLETRANSLATE(C540, ""en"", ""ro"")"),"Trimiteți un mesaj criptat OpenPGP")</f>
        <v>Trimiteți un mesaj criptat OpenPGP</v>
      </c>
      <c r="AB540" s="1" t="s">
        <v>11426</v>
      </c>
      <c r="AC540" s="1" t="s">
        <v>11427</v>
      </c>
      <c r="AD540" s="6" t="s">
        <v>132</v>
      </c>
      <c r="AE540" s="1" t="s">
        <v>11428</v>
      </c>
      <c r="AF540" s="1" t="s">
        <v>11429</v>
      </c>
      <c r="AG540" s="6" t="s">
        <v>132</v>
      </c>
      <c r="AH540" s="7" t="str">
        <f>IFERROR(__xludf.DUMMYFUNCTION("GOOGLETRANSLATE(C540, ""en"", ""tr"")"),"OpenPGP şifreli mesaj gönder")</f>
        <v>OpenPGP şifreli mesaj gönder</v>
      </c>
      <c r="AI540" s="6" t="s">
        <v>11430</v>
      </c>
      <c r="AJ540" s="6" t="s">
        <v>11431</v>
      </c>
      <c r="AK540" s="7" t="str">
        <f>IFERROR(__xludf.DUMMYFUNCTION("GOOGLETRANSLATE(C540, ""en"", ""zh"")"),"发送OpenPGP加密消息")</f>
        <v>发送OpenPGP加密消息</v>
      </c>
      <c r="AL540" s="6" t="s">
        <v>11432</v>
      </c>
    </row>
    <row r="541" ht="15.75" customHeight="1">
      <c r="A541" s="1" t="s">
        <v>127</v>
      </c>
      <c r="B541" s="1" t="s">
        <v>11433</v>
      </c>
      <c r="C541" s="1" t="s">
        <v>11434</v>
      </c>
      <c r="D541" s="8" t="s">
        <v>11435</v>
      </c>
      <c r="E541" s="1" t="s">
        <v>11436</v>
      </c>
      <c r="F541" s="6" t="s">
        <v>132</v>
      </c>
      <c r="G541" s="1" t="s">
        <v>11437</v>
      </c>
      <c r="H541" s="1" t="s">
        <v>11438</v>
      </c>
      <c r="I541" s="1" t="s">
        <v>11434</v>
      </c>
      <c r="J541" s="6" t="s">
        <v>11439</v>
      </c>
      <c r="K541" s="1" t="s">
        <v>11440</v>
      </c>
      <c r="L541" s="1" t="s">
        <v>11441</v>
      </c>
      <c r="M541" s="1" t="s">
        <v>11442</v>
      </c>
      <c r="N541" s="6" t="s">
        <v>132</v>
      </c>
      <c r="O541" s="6" t="s">
        <v>11443</v>
      </c>
      <c r="P541" s="1" t="s">
        <v>11444</v>
      </c>
      <c r="Q541" s="1" t="s">
        <v>667</v>
      </c>
      <c r="R541" s="1" t="s">
        <v>11434</v>
      </c>
      <c r="S541" s="10" t="s">
        <v>11445</v>
      </c>
      <c r="T541" s="1" t="s">
        <v>11446</v>
      </c>
      <c r="U541" s="1" t="s">
        <v>671</v>
      </c>
      <c r="V541" s="1" t="s">
        <v>672</v>
      </c>
      <c r="W541" s="13" t="s">
        <v>11434</v>
      </c>
      <c r="X541" s="1" t="s">
        <v>11447</v>
      </c>
      <c r="Y541" s="1" t="s">
        <v>675</v>
      </c>
      <c r="Z541" s="1" t="s">
        <v>11448</v>
      </c>
      <c r="AA541" s="1" t="s">
        <v>11449</v>
      </c>
      <c r="AB541" s="1" t="s">
        <v>11450</v>
      </c>
      <c r="AC541" s="1" t="s">
        <v>11451</v>
      </c>
      <c r="AD541" s="6" t="s">
        <v>11452</v>
      </c>
      <c r="AE541" s="1" t="s">
        <v>11453</v>
      </c>
      <c r="AF541" s="1" t="s">
        <v>11454</v>
      </c>
      <c r="AG541" s="6" t="s">
        <v>683</v>
      </c>
      <c r="AH541" s="1" t="s">
        <v>11455</v>
      </c>
      <c r="AI541" s="6" t="s">
        <v>132</v>
      </c>
      <c r="AJ541" s="6" t="s">
        <v>685</v>
      </c>
      <c r="AK541" s="1" t="s">
        <v>686</v>
      </c>
      <c r="AL541" s="6" t="s">
        <v>11456</v>
      </c>
    </row>
    <row r="542" ht="15.75" customHeight="1">
      <c r="A542" s="1" t="s">
        <v>127</v>
      </c>
      <c r="B542" s="1" t="s">
        <v>11457</v>
      </c>
      <c r="C542" s="1" t="s">
        <v>11458</v>
      </c>
      <c r="D542" s="8" t="s">
        <v>11459</v>
      </c>
      <c r="E542" s="1" t="s">
        <v>11460</v>
      </c>
      <c r="F542" s="6" t="s">
        <v>132</v>
      </c>
      <c r="G542" s="1" t="s">
        <v>11461</v>
      </c>
      <c r="H542" s="1" t="s">
        <v>11462</v>
      </c>
      <c r="I542" s="1" t="s">
        <v>11463</v>
      </c>
      <c r="J542" s="6" t="s">
        <v>11464</v>
      </c>
      <c r="K542" s="1" t="s">
        <v>11465</v>
      </c>
      <c r="L542" s="1" t="s">
        <v>11466</v>
      </c>
      <c r="M542" s="1" t="s">
        <v>11458</v>
      </c>
      <c r="N542" s="6" t="s">
        <v>132</v>
      </c>
      <c r="O542" s="6" t="s">
        <v>11467</v>
      </c>
      <c r="P542" s="1" t="s">
        <v>11468</v>
      </c>
      <c r="Q542" s="1" t="s">
        <v>11469</v>
      </c>
      <c r="R542" s="1" t="s">
        <v>11470</v>
      </c>
      <c r="S542" s="10" t="s">
        <v>11471</v>
      </c>
      <c r="T542" s="1" t="s">
        <v>11472</v>
      </c>
      <c r="U542" s="1" t="s">
        <v>11473</v>
      </c>
      <c r="V542" s="1" t="s">
        <v>11469</v>
      </c>
      <c r="W542" s="1" t="s">
        <v>11474</v>
      </c>
      <c r="X542" s="1" t="s">
        <v>11462</v>
      </c>
      <c r="Y542" s="1" t="s">
        <v>11475</v>
      </c>
      <c r="Z542" s="1" t="s">
        <v>11476</v>
      </c>
      <c r="AA542" s="1" t="s">
        <v>11477</v>
      </c>
      <c r="AB542" s="1" t="s">
        <v>11460</v>
      </c>
      <c r="AC542" s="1" t="s">
        <v>11478</v>
      </c>
      <c r="AD542" s="6" t="s">
        <v>11479</v>
      </c>
      <c r="AE542" s="1" t="s">
        <v>11480</v>
      </c>
      <c r="AF542" s="1" t="s">
        <v>11044</v>
      </c>
      <c r="AG542" s="6" t="s">
        <v>11481</v>
      </c>
      <c r="AH542" s="1" t="s">
        <v>11482</v>
      </c>
      <c r="AI542" s="6" t="s">
        <v>132</v>
      </c>
      <c r="AJ542" s="6" t="s">
        <v>11483</v>
      </c>
      <c r="AK542" s="1" t="s">
        <v>11484</v>
      </c>
      <c r="AL542" s="6" t="s">
        <v>11485</v>
      </c>
    </row>
    <row r="543" ht="15.75" customHeight="1">
      <c r="A543" s="1" t="s">
        <v>127</v>
      </c>
      <c r="B543" s="1" t="s">
        <v>11486</v>
      </c>
      <c r="C543" s="1" t="s">
        <v>11487</v>
      </c>
      <c r="D543" s="8" t="s">
        <v>11488</v>
      </c>
      <c r="E543" s="1" t="s">
        <v>11489</v>
      </c>
      <c r="F543" s="6" t="s">
        <v>132</v>
      </c>
      <c r="G543" s="1" t="s">
        <v>11490</v>
      </c>
      <c r="H543" s="1" t="s">
        <v>11491</v>
      </c>
      <c r="I543" s="1" t="s">
        <v>11492</v>
      </c>
      <c r="J543" s="6" t="s">
        <v>11493</v>
      </c>
      <c r="K543" s="1" t="s">
        <v>5107</v>
      </c>
      <c r="L543" s="1" t="s">
        <v>11494</v>
      </c>
      <c r="M543" s="1" t="s">
        <v>11495</v>
      </c>
      <c r="N543" s="6" t="s">
        <v>132</v>
      </c>
      <c r="O543" s="6" t="s">
        <v>11496</v>
      </c>
      <c r="P543" s="1" t="s">
        <v>11497</v>
      </c>
      <c r="Q543" s="1" t="s">
        <v>11498</v>
      </c>
      <c r="R543" s="1" t="s">
        <v>5113</v>
      </c>
      <c r="S543" s="10" t="s">
        <v>11499</v>
      </c>
      <c r="T543" s="1" t="s">
        <v>11500</v>
      </c>
      <c r="U543" s="1" t="s">
        <v>11501</v>
      </c>
      <c r="V543" s="1" t="s">
        <v>11498</v>
      </c>
      <c r="W543" s="1" t="s">
        <v>11502</v>
      </c>
      <c r="X543" s="1" t="s">
        <v>11503</v>
      </c>
      <c r="Y543" s="1" t="s">
        <v>5119</v>
      </c>
      <c r="Z543" s="1" t="s">
        <v>11504</v>
      </c>
      <c r="AA543" s="1" t="s">
        <v>11505</v>
      </c>
      <c r="AB543" s="1" t="s">
        <v>11506</v>
      </c>
      <c r="AC543" s="1" t="s">
        <v>11507</v>
      </c>
      <c r="AD543" s="6" t="s">
        <v>11508</v>
      </c>
      <c r="AE543" s="1" t="s">
        <v>5125</v>
      </c>
      <c r="AF543" s="1" t="s">
        <v>11509</v>
      </c>
      <c r="AG543" s="6" t="s">
        <v>11510</v>
      </c>
      <c r="AH543" s="1" t="s">
        <v>11511</v>
      </c>
      <c r="AI543" s="6" t="s">
        <v>132</v>
      </c>
      <c r="AJ543" s="6" t="s">
        <v>11512</v>
      </c>
      <c r="AK543" s="1" t="s">
        <v>7858</v>
      </c>
      <c r="AL543" s="6" t="s">
        <v>7859</v>
      </c>
    </row>
    <row r="544" ht="15.75" hidden="1" customHeight="1">
      <c r="A544" s="1" t="s">
        <v>38</v>
      </c>
      <c r="B544" s="1" t="s">
        <v>11513</v>
      </c>
      <c r="C544" s="1" t="s">
        <v>11514</v>
      </c>
      <c r="D544" s="8" t="s">
        <v>11515</v>
      </c>
      <c r="E544" s="1" t="s">
        <v>11516</v>
      </c>
      <c r="F544" s="6" t="s">
        <v>11517</v>
      </c>
      <c r="G544" s="7" t="str">
        <f>IFERROR(__xludf.DUMMYFUNCTION("GOOGLETRANSLATE(C544, ""en"", ""cs"")"),"Dotkněte se zde pro správu vašich účtů")</f>
        <v>Dotkněte se zde pro správu vašich účtů</v>
      </c>
      <c r="H544" s="7" t="str">
        <f>IFERROR(__xludf.DUMMYFUNCTION("GOOGLETRANSLATE(C544, ""en"", ""da"")"),"Tryk her for at administrere dine konti")</f>
        <v>Tryk her for at administrere dine konti</v>
      </c>
      <c r="I544" s="1" t="s">
        <v>11518</v>
      </c>
      <c r="J544" s="6" t="s">
        <v>132</v>
      </c>
      <c r="K544" s="1" t="s">
        <v>11519</v>
      </c>
      <c r="L544" s="7" t="str">
        <f>IFERROR(__xludf.DUMMYFUNCTION("GOOGLETRANSLATE(C544, ""en"", ""fi"")"),"Kosketa tätä hallita tilisi")</f>
        <v>Kosketa tätä hallita tilisi</v>
      </c>
      <c r="M544" s="1" t="s">
        <v>11520</v>
      </c>
      <c r="N544" s="6" t="s">
        <v>11521</v>
      </c>
      <c r="O544" s="6" t="s">
        <v>132</v>
      </c>
      <c r="P544" s="1" t="s">
        <v>11522</v>
      </c>
      <c r="Q544" s="9" t="s">
        <v>11523</v>
      </c>
      <c r="R544" s="1" t="s">
        <v>11524</v>
      </c>
      <c r="S544" s="6" t="s">
        <v>132</v>
      </c>
      <c r="T544" s="1" t="s">
        <v>11525</v>
      </c>
      <c r="U544" s="1" t="s">
        <v>11526</v>
      </c>
      <c r="V544" s="7" t="str">
        <f>IFERROR(__xludf.DUMMYFUNCTION("GOOGLETRANSLATE(C544, ""en"", ""ms"")"),"Sentuh di sini untuk menguruskan akaun anda")</f>
        <v>Sentuh di sini untuk menguruskan akaun anda</v>
      </c>
      <c r="W544" s="1" t="s">
        <v>11527</v>
      </c>
      <c r="X544" s="7" t="str">
        <f>IFERROR(__xludf.DUMMYFUNCTION("GOOGLETRANSLATE(C544, ""en"", ""no"")"),"Trykk her for å administrere kontoene dine")</f>
        <v>Trykk her for å administrere kontoene dine</v>
      </c>
      <c r="Y544" s="1" t="s">
        <v>11528</v>
      </c>
      <c r="Z544" s="1" t="s">
        <v>11529</v>
      </c>
      <c r="AA544" s="7" t="str">
        <f>IFERROR(__xludf.DUMMYFUNCTION("GOOGLETRANSLATE(C544, ""en"", ""ro"")"),"Atingeți aici pentru a vă gestiona conturile")</f>
        <v>Atingeți aici pentru a vă gestiona conturile</v>
      </c>
      <c r="AB544" s="1" t="s">
        <v>11530</v>
      </c>
      <c r="AC544" s="1" t="s">
        <v>11531</v>
      </c>
      <c r="AD544" s="6" t="s">
        <v>132</v>
      </c>
      <c r="AE544" s="1" t="s">
        <v>11532</v>
      </c>
      <c r="AF544" s="1" t="s">
        <v>11533</v>
      </c>
      <c r="AG544" s="6" t="s">
        <v>132</v>
      </c>
      <c r="AH544" s="7" t="str">
        <f>IFERROR(__xludf.DUMMYFUNCTION("GOOGLETRANSLATE(C544, ""en"", ""tr"")"),"Hesaplarınızı yönetmek için buraya dokunun")</f>
        <v>Hesaplarınızı yönetmek için buraya dokunun</v>
      </c>
      <c r="AI544" s="6" t="s">
        <v>11534</v>
      </c>
      <c r="AJ544" s="6" t="s">
        <v>11535</v>
      </c>
      <c r="AK544" s="7" t="str">
        <f>IFERROR(__xludf.DUMMYFUNCTION("GOOGLETRANSLATE(C544, ""en"", ""zh"")"),"触摸此处以管理您的帐户")</f>
        <v>触摸此处以管理您的帐户</v>
      </c>
      <c r="AL544" s="6" t="s">
        <v>11536</v>
      </c>
    </row>
    <row r="545" ht="15.75" hidden="1" customHeight="1">
      <c r="A545" s="1" t="s">
        <v>38</v>
      </c>
      <c r="B545" s="1" t="s">
        <v>11537</v>
      </c>
      <c r="C545" s="1" t="s">
        <v>11538</v>
      </c>
      <c r="D545" s="7" t="str">
        <f>IFERROR(__xludf.DUMMYFUNCTION("GOOGLETRANSLATE(C545, ""en"", ""ar"")"),"الجمهورية العربية السورية (سورية)")</f>
        <v>الجمهورية العربية السورية (سورية)</v>
      </c>
      <c r="E545" s="7" t="str">
        <f>IFERROR(__xludf.DUMMYFUNCTION("GOOGLETRANSLATE(C545, ""en"", ""bg"")"),"Сирийска арабска република (Сирия)")</f>
        <v>Сирийска арабска република (Сирия)</v>
      </c>
      <c r="F545" s="6" t="s">
        <v>132</v>
      </c>
      <c r="G545" s="7" t="str">
        <f>IFERROR(__xludf.DUMMYFUNCTION("GOOGLETRANSLATE(C545, ""en"", ""cs"")"),"Syrská arabská republika (Sýrie)")</f>
        <v>Syrská arabská republika (Sýrie)</v>
      </c>
      <c r="H545" s="7" t="str">
        <f>IFERROR(__xludf.DUMMYFUNCTION("GOOGLETRANSLATE(C545, ""en"", ""da"")"),"Syrian Arab Republic (Syrien)")</f>
        <v>Syrian Arab Republic (Syrien)</v>
      </c>
      <c r="I545" s="1" t="s">
        <v>11539</v>
      </c>
      <c r="J545" s="6" t="s">
        <v>132</v>
      </c>
      <c r="K545" s="1" t="s">
        <v>11540</v>
      </c>
      <c r="L545" s="7" t="str">
        <f>IFERROR(__xludf.DUMMYFUNCTION("GOOGLETRANSLATE(C545, ""en"", ""fi"")"),"Syyrian arabitasavalta (Syyria)")</f>
        <v>Syyrian arabitasavalta (Syyria)</v>
      </c>
      <c r="M545" s="1" t="s">
        <v>11541</v>
      </c>
      <c r="N545" s="6" t="s">
        <v>132</v>
      </c>
      <c r="O545" s="6" t="s">
        <v>132</v>
      </c>
      <c r="P545" s="1" t="s">
        <v>11538</v>
      </c>
      <c r="Q545" s="7" t="str">
        <f>IFERROR(__xludf.DUMMYFUNCTION("GOOGLETRANSLATE(C545, ""en"", ""in"")"),"Republik Arab Suriah (Suriah)")</f>
        <v>Republik Arab Suriah (Suriah)</v>
      </c>
      <c r="R545" s="7" t="str">
        <f>IFERROR(__xludf.DUMMYFUNCTION("GOOGLETRANSLATE(C545, ""en"", ""it"")"),"Repubblica Araba siriana (Siria)")</f>
        <v>Repubblica Araba siriana (Siria)</v>
      </c>
      <c r="S545" s="6" t="s">
        <v>132</v>
      </c>
      <c r="T545" s="7" t="str">
        <f>IFERROR(__xludf.DUMMYFUNCTION("GOOGLETRANSLATE(C545, ""en"", ""ja"")"),"シリアアラブ共和国（シリア）")</f>
        <v>シリアアラブ共和国（シリア）</v>
      </c>
      <c r="U545" s="7" t="str">
        <f>IFERROR(__xludf.DUMMYFUNCTION("GOOGLETRANSLATE(C545, ""en"", ""ko"")"),"시리아 아랍 공화국 (시리아)")</f>
        <v>시리아 아랍 공화국 (시리아)</v>
      </c>
      <c r="V545" s="7" t="str">
        <f>IFERROR(__xludf.DUMMYFUNCTION("GOOGLETRANSLATE(C545, ""en"", ""ms"")"),"Syrian Arab Republic (Syria)")</f>
        <v>Syrian Arab Republic (Syria)</v>
      </c>
      <c r="W545" s="7" t="str">
        <f>IFERROR(__xludf.DUMMYFUNCTION("GOOGLETRANSLATE(C545, ""en"", ""nl"")"),"Syrische Arabische Republiek (Syrië)")</f>
        <v>Syrische Arabische Republiek (Syrië)</v>
      </c>
      <c r="X545" s="7" t="str">
        <f>IFERROR(__xludf.DUMMYFUNCTION("GOOGLETRANSLATE(C545, ""en"", ""no"")"),"Syrian Arab Republikk (Syria)")</f>
        <v>Syrian Arab Republikk (Syria)</v>
      </c>
      <c r="Y545" s="7" t="str">
        <f>IFERROR(__xludf.DUMMYFUNCTION("GOOGLETRANSLATE(C545, ""en"", ""pl"")"),"Syryjska Republika Arabska (Syria)")</f>
        <v>Syryjska Republika Arabska (Syria)</v>
      </c>
      <c r="Z545" s="7" t="str">
        <f>IFERROR(__xludf.DUMMYFUNCTION("GOOGLETRANSLATE(C545, ""en"", ""pt"")"),"República Árabe Síria (Síria)")</f>
        <v>República Árabe Síria (Síria)</v>
      </c>
      <c r="AA545" s="7" t="str">
        <f>IFERROR(__xludf.DUMMYFUNCTION("GOOGLETRANSLATE(C545, ""en"", ""ro"")"),"Republica Arabă Siriană (Siria)")</f>
        <v>Republica Arabă Siriană (Siria)</v>
      </c>
      <c r="AB545" s="1" t="s">
        <v>11542</v>
      </c>
      <c r="AC545" s="7" t="str">
        <f>IFERROR(__xludf.DUMMYFUNCTION("GOOGLETRANSLATE(C545, ""en"", ""sk"")"),"Sýrska arabská republika (Sýria)")</f>
        <v>Sýrska arabská republika (Sýria)</v>
      </c>
      <c r="AD545" s="6" t="s">
        <v>132</v>
      </c>
      <c r="AE545" s="1" t="s">
        <v>11543</v>
      </c>
      <c r="AF545" s="7" t="str">
        <f>IFERROR(__xludf.DUMMYFUNCTION("GOOGLETRANSLATE(C545, ""en"", ""sv"")"),"Syriska arabiska republiken (Syrien)")</f>
        <v>Syriska arabiska republiken (Syrien)</v>
      </c>
      <c r="AG545" s="6" t="s">
        <v>132</v>
      </c>
      <c r="AH545" s="7" t="str">
        <f>IFERROR(__xludf.DUMMYFUNCTION("GOOGLETRANSLATE(C545, ""en"", ""tr"")"),"Suriye Arap Cumhuriyeti (Suriye)")</f>
        <v>Suriye Arap Cumhuriyeti (Suriye)</v>
      </c>
      <c r="AI545" s="6" t="s">
        <v>132</v>
      </c>
      <c r="AJ545" s="6" t="s">
        <v>132</v>
      </c>
      <c r="AK545" s="7" t="str">
        <f>IFERROR(__xludf.DUMMYFUNCTION("GOOGLETRANSLATE(C545, ""en"", ""zh"")"),"阿拉伯叙利亚共和国（叙利亚）")</f>
        <v>阿拉伯叙利亚共和国（叙利亚）</v>
      </c>
      <c r="AL545" s="6" t="s">
        <v>132</v>
      </c>
    </row>
    <row r="546" ht="15.75" hidden="1" customHeight="1">
      <c r="A546" s="1" t="s">
        <v>38</v>
      </c>
      <c r="B546" s="1" t="s">
        <v>11544</v>
      </c>
      <c r="C546" s="1" t="s">
        <v>11545</v>
      </c>
      <c r="D546" s="8" t="s">
        <v>11546</v>
      </c>
      <c r="E546" s="1" t="s">
        <v>11547</v>
      </c>
      <c r="F546" s="6" t="s">
        <v>11548</v>
      </c>
      <c r="G546" s="7" t="str">
        <f>IFERROR(__xludf.DUMMYFUNCTION("GOOGLETRANSLATE(C546, ""en"", ""cs"")"),"Odeslat aktualizace přítomnosti")</f>
        <v>Odeslat aktualizace přítomnosti</v>
      </c>
      <c r="H546" s="7" t="str">
        <f>IFERROR(__xludf.DUMMYFUNCTION("GOOGLETRANSLATE(C546, ""en"", ""da"")"),"Send tilstedeværelsesopdateringer")</f>
        <v>Send tilstedeværelsesopdateringer</v>
      </c>
      <c r="I546" s="1" t="s">
        <v>11549</v>
      </c>
      <c r="J546" s="6" t="s">
        <v>132</v>
      </c>
      <c r="K546" s="1" t="s">
        <v>11550</v>
      </c>
      <c r="L546" s="7" t="str">
        <f>IFERROR(__xludf.DUMMYFUNCTION("GOOGLETRANSLATE(C546, ""en"", ""fi"")"),"Lähetä läsnäolopäivitykset")</f>
        <v>Lähetä läsnäolopäivitykset</v>
      </c>
      <c r="M546" s="1" t="s">
        <v>11551</v>
      </c>
      <c r="N546" s="6" t="s">
        <v>11552</v>
      </c>
      <c r="O546" s="6" t="s">
        <v>132</v>
      </c>
      <c r="P546" s="1" t="s">
        <v>11553</v>
      </c>
      <c r="Q546" s="9" t="s">
        <v>11554</v>
      </c>
      <c r="R546" s="1" t="s">
        <v>11555</v>
      </c>
      <c r="S546" s="6" t="s">
        <v>132</v>
      </c>
      <c r="T546" s="1" t="s">
        <v>11556</v>
      </c>
      <c r="U546" s="1" t="s">
        <v>11557</v>
      </c>
      <c r="V546" s="7" t="str">
        <f>IFERROR(__xludf.DUMMYFUNCTION("GOOGLETRANSLATE(C546, ""en"", ""ms"")"),"Hantar kemas kini kehadiran")</f>
        <v>Hantar kemas kini kehadiran</v>
      </c>
      <c r="W546" s="1" t="s">
        <v>11558</v>
      </c>
      <c r="X546" s="7" t="str">
        <f>IFERROR(__xludf.DUMMYFUNCTION("GOOGLETRANSLATE(C546, ""en"", ""no"")"),"Send tilstedeværelsesoppdateringer")</f>
        <v>Send tilstedeværelsesoppdateringer</v>
      </c>
      <c r="Y546" s="1" t="s">
        <v>11559</v>
      </c>
      <c r="Z546" s="1" t="s">
        <v>11560</v>
      </c>
      <c r="AA546" s="7" t="str">
        <f>IFERROR(__xludf.DUMMYFUNCTION("GOOGLETRANSLATE(C546, ""en"", ""ro"")"),"Trimiteți actualizări de prezență")</f>
        <v>Trimiteți actualizări de prezență</v>
      </c>
      <c r="AB546" s="1" t="s">
        <v>11561</v>
      </c>
      <c r="AC546" s="1" t="s">
        <v>11562</v>
      </c>
      <c r="AD546" s="6" t="s">
        <v>132</v>
      </c>
      <c r="AE546" s="1" t="s">
        <v>11563</v>
      </c>
      <c r="AF546" s="1" t="s">
        <v>11564</v>
      </c>
      <c r="AG546" s="6" t="s">
        <v>132</v>
      </c>
      <c r="AH546" s="7" t="str">
        <f>IFERROR(__xludf.DUMMYFUNCTION("GOOGLETRANSLATE(C546, ""en"", ""tr"")"),"Varlık Güncellemelerini Gönder")</f>
        <v>Varlık Güncellemelerini Gönder</v>
      </c>
      <c r="AI546" s="6" t="s">
        <v>11565</v>
      </c>
      <c r="AJ546" s="6" t="s">
        <v>11566</v>
      </c>
      <c r="AK546" s="7" t="str">
        <f>IFERROR(__xludf.DUMMYFUNCTION("GOOGLETRANSLATE(C546, ""en"", ""zh"")"),"发送呈现更新")</f>
        <v>发送呈现更新</v>
      </c>
      <c r="AL546" s="6" t="s">
        <v>11567</v>
      </c>
    </row>
    <row r="547" ht="15.75" hidden="1" customHeight="1">
      <c r="A547" s="1" t="s">
        <v>38</v>
      </c>
      <c r="B547" s="1" t="s">
        <v>11568</v>
      </c>
      <c r="C547" s="1" t="s">
        <v>11569</v>
      </c>
      <c r="D547" s="8" t="s">
        <v>11570</v>
      </c>
      <c r="E547" s="1" t="s">
        <v>11571</v>
      </c>
      <c r="F547" s="6" t="s">
        <v>11572</v>
      </c>
      <c r="G547" s="7" t="str">
        <f>IFERROR(__xludf.DUMMYFUNCTION("GOOGLETRANSLATE(C547, ""en"", ""cs"")"),"Spojení skupinového chatu ...")</f>
        <v>Spojení skupinového chatu ...</v>
      </c>
      <c r="H547" s="7" t="str">
        <f>IFERROR(__xludf.DUMMYFUNCTION("GOOGLETRANSLATE(C547, ""en"", ""da"")"),"Tilslutning af gruppe chat ...")</f>
        <v>Tilslutning af gruppe chat ...</v>
      </c>
      <c r="I547" s="1" t="s">
        <v>11573</v>
      </c>
      <c r="J547" s="6" t="s">
        <v>132</v>
      </c>
      <c r="K547" s="1" t="s">
        <v>11574</v>
      </c>
      <c r="L547" s="7" t="str">
        <f>IFERROR(__xludf.DUMMYFUNCTION("GOOGLETRANSLATE(C547, ""en"", ""fi"")"),"Liittyminen ryhmäkeskusteluun ...")</f>
        <v>Liittyminen ryhmäkeskusteluun ...</v>
      </c>
      <c r="M547" s="1" t="s">
        <v>11575</v>
      </c>
      <c r="N547" s="6" t="s">
        <v>11576</v>
      </c>
      <c r="O547" s="6" t="s">
        <v>132</v>
      </c>
      <c r="P547" s="1" t="s">
        <v>11577</v>
      </c>
      <c r="Q547" s="7" t="str">
        <f>IFERROR(__xludf.DUMMYFUNCTION("GOOGLETRANSLATE(C547, ""en"", ""in"")"),"Bergabung dengan Obrolan Grup ...")</f>
        <v>Bergabung dengan Obrolan Grup ...</v>
      </c>
      <c r="R547" s="1" t="s">
        <v>11578</v>
      </c>
      <c r="S547" s="6" t="s">
        <v>132</v>
      </c>
      <c r="T547" s="1" t="s">
        <v>11579</v>
      </c>
      <c r="U547" s="7" t="str">
        <f>IFERROR(__xludf.DUMMYFUNCTION("GOOGLETRANSLATE(C547, ""en"", ""ko"")"),"그룹 채팅 가입 ...")</f>
        <v>그룹 채팅 가입 ...</v>
      </c>
      <c r="V547" s="7" t="str">
        <f>IFERROR(__xludf.DUMMYFUNCTION("GOOGLETRANSLATE(C547, ""en"", ""ms"")"),"Menyertai sembang kumpulan ...")</f>
        <v>Menyertai sembang kumpulan ...</v>
      </c>
      <c r="W547" s="1" t="s">
        <v>11580</v>
      </c>
      <c r="X547" s="7" t="str">
        <f>IFERROR(__xludf.DUMMYFUNCTION("GOOGLETRANSLATE(C547, ""en"", ""no"")"),"Bli med i gruppe chat ...")</f>
        <v>Bli med i gruppe chat ...</v>
      </c>
      <c r="Y547" s="1" t="s">
        <v>11581</v>
      </c>
      <c r="Z547" s="7" t="str">
        <f>IFERROR(__xludf.DUMMYFUNCTION("GOOGLETRANSLATE(C547, ""en"", ""pt"")"),"Juntando-se ao Grupo Chat ...")</f>
        <v>Juntando-se ao Grupo Chat ...</v>
      </c>
      <c r="AA547" s="7" t="str">
        <f>IFERROR(__xludf.DUMMYFUNCTION("GOOGLETRANSLATE(C547, ""en"", ""ro"")"),"Îmbinarea grupului de chat ...")</f>
        <v>Îmbinarea grupului de chat ...</v>
      </c>
      <c r="AB547" s="1" t="s">
        <v>11582</v>
      </c>
      <c r="AC547" s="7" t="str">
        <f>IFERROR(__xludf.DUMMYFUNCTION("GOOGLETRANSLATE(C547, ""en"", ""sk"")"),"Spojenie skupiny Chat ...")</f>
        <v>Spojenie skupiny Chat ...</v>
      </c>
      <c r="AD547" s="6" t="s">
        <v>132</v>
      </c>
      <c r="AE547" s="1" t="s">
        <v>11583</v>
      </c>
      <c r="AF547" s="7" t="str">
        <f>IFERROR(__xludf.DUMMYFUNCTION("GOOGLETRANSLATE(C547, ""en"", ""sv"")"),"Anslutande gruppchatt ...")</f>
        <v>Anslutande gruppchatt ...</v>
      </c>
      <c r="AG547" s="6" t="s">
        <v>132</v>
      </c>
      <c r="AH547" s="7" t="str">
        <f>IFERROR(__xludf.DUMMYFUNCTION("GOOGLETRANSLATE(C547, ""en"", ""tr"")"),"Katılarak Grup Sohbeti ...")</f>
        <v>Katılarak Grup Sohbeti ...</v>
      </c>
      <c r="AI547" s="6" t="s">
        <v>132</v>
      </c>
      <c r="AJ547" s="6" t="s">
        <v>132</v>
      </c>
      <c r="AK547" s="7" t="str">
        <f>IFERROR(__xludf.DUMMYFUNCTION("GOOGLETRANSLATE(C547, ""en"", ""zh"")"),"加入小组聊天......")</f>
        <v>加入小组聊天......</v>
      </c>
      <c r="AL547" s="6" t="s">
        <v>132</v>
      </c>
    </row>
    <row r="548" ht="15.75" hidden="1" customHeight="1">
      <c r="A548" s="1" t="s">
        <v>38</v>
      </c>
      <c r="B548" s="1" t="s">
        <v>11584</v>
      </c>
      <c r="C548" s="1" t="s">
        <v>11585</v>
      </c>
      <c r="D548" s="7" t="str">
        <f>IFERROR(__xludf.DUMMYFUNCTION("GOOGLETRANSLATE(C548, ""en"", ""ar"")"),"سوف نتحقق من رقم الهاتف:")</f>
        <v>سوف نتحقق من رقم الهاتف:</v>
      </c>
      <c r="E548" s="7" t="str">
        <f>IFERROR(__xludf.DUMMYFUNCTION("GOOGLETRANSLATE(C548, ""en"", ""bg"")"),"Ще проверим телефонния номер:")</f>
        <v>Ще проверим телефонния номер:</v>
      </c>
      <c r="F548" s="6" t="s">
        <v>132</v>
      </c>
      <c r="G548" s="7" t="str">
        <f>IFERROR(__xludf.DUMMYFUNCTION("GOOGLETRANSLATE(C548, ""en"", ""cs"")"),"Ověření telefonního čísla:")</f>
        <v>Ověření telefonního čísla:</v>
      </c>
      <c r="H548" s="7" t="str">
        <f>IFERROR(__xludf.DUMMYFUNCTION("GOOGLETRANSLATE(C548, ""en"", ""da"")"),"Vi vil verificere telefonnummeret:")</f>
        <v>Vi vil verificere telefonnummeret:</v>
      </c>
      <c r="I548" s="1" t="s">
        <v>11586</v>
      </c>
      <c r="J548" s="6" t="s">
        <v>132</v>
      </c>
      <c r="K548" s="1" t="s">
        <v>11587</v>
      </c>
      <c r="L548" s="7" t="str">
        <f>IFERROR(__xludf.DUMMYFUNCTION("GOOGLETRANSLATE(C548, ""en"", ""fi"")"),"Tarkistamme puhelinnumeron:")</f>
        <v>Tarkistamme puhelinnumeron:</v>
      </c>
      <c r="M548" s="1" t="s">
        <v>11588</v>
      </c>
      <c r="N548" s="6" t="s">
        <v>132</v>
      </c>
      <c r="O548" s="6" t="s">
        <v>132</v>
      </c>
      <c r="P548" s="1" t="s">
        <v>11589</v>
      </c>
      <c r="Q548" s="7" t="str">
        <f>IFERROR(__xludf.DUMMYFUNCTION("GOOGLETRANSLATE(C548, ""en"", ""in"")"),"Kami akan memverifikasi nomor telepon:")</f>
        <v>Kami akan memverifikasi nomor telepon:</v>
      </c>
      <c r="R548" s="7" t="str">
        <f>IFERROR(__xludf.DUMMYFUNCTION("GOOGLETRANSLATE(C548, ""en"", ""it"")"),"Verificheremo il numero di telefono:")</f>
        <v>Verificheremo il numero di telefono:</v>
      </c>
      <c r="S548" s="6" t="s">
        <v>132</v>
      </c>
      <c r="T548" s="7" t="str">
        <f>IFERROR(__xludf.DUMMYFUNCTION("GOOGLETRANSLATE(C548, ""en"", ""ja"")"),"電話番号を確認します。")</f>
        <v>電話番号を確認します。</v>
      </c>
      <c r="U548" s="7" t="str">
        <f>IFERROR(__xludf.DUMMYFUNCTION("GOOGLETRANSLATE(C548, ""en"", ""ko"")"),"우리는 전화 번호를 확인할 것입니다.")</f>
        <v>우리는 전화 번호를 확인할 것입니다.</v>
      </c>
      <c r="V548" s="7" t="str">
        <f>IFERROR(__xludf.DUMMYFUNCTION("GOOGLETRANSLATE(C548, ""en"", ""ms"")"),"Kami akan mengesahkan nombor telefon:")</f>
        <v>Kami akan mengesahkan nombor telefon:</v>
      </c>
      <c r="W548" s="7" t="str">
        <f>IFERROR(__xludf.DUMMYFUNCTION("GOOGLETRANSLATE(C548, ""en"", ""nl"")"),"We zullen het telefoonnummer verifiëren:")</f>
        <v>We zullen het telefoonnummer verifiëren:</v>
      </c>
      <c r="X548" s="7" t="str">
        <f>IFERROR(__xludf.DUMMYFUNCTION("GOOGLETRANSLATE(C548, ""en"", ""no"")"),"Vi vil verifisere telefonnummeret:")</f>
        <v>Vi vil verifisere telefonnummeret:</v>
      </c>
      <c r="Y548" s="7" t="str">
        <f>IFERROR(__xludf.DUMMYFUNCTION("GOOGLETRANSLATE(C548, ""en"", ""pl"")"),"Weryfikujemy numer telefonu:")</f>
        <v>Weryfikujemy numer telefonu:</v>
      </c>
      <c r="Z548" s="7" t="str">
        <f>IFERROR(__xludf.DUMMYFUNCTION("GOOGLETRANSLATE(C548, ""en"", ""pt"")"),"Nós estaremos verificando o número de telefone:")</f>
        <v>Nós estaremos verificando o número de telefone:</v>
      </c>
      <c r="AA548" s="7" t="str">
        <f>IFERROR(__xludf.DUMMYFUNCTION("GOOGLETRANSLATE(C548, ""en"", ""ro"")"),"Vom verifica numărul de telefon:")</f>
        <v>Vom verifica numărul de telefon:</v>
      </c>
      <c r="AB548" s="1" t="s">
        <v>11590</v>
      </c>
      <c r="AC548" s="7" t="str">
        <f>IFERROR(__xludf.DUMMYFUNCTION("GOOGLETRANSLATE(C548, ""en"", ""sk"")"),"Overíme telefónne číslo:")</f>
        <v>Overíme telefónne číslo:</v>
      </c>
      <c r="AD548" s="6" t="s">
        <v>132</v>
      </c>
      <c r="AE548" s="1" t="s">
        <v>11591</v>
      </c>
      <c r="AF548" s="7" t="str">
        <f>IFERROR(__xludf.DUMMYFUNCTION("GOOGLETRANSLATE(C548, ""en"", ""sv"")"),"Vi kommer att verifiera telefonnumret:")</f>
        <v>Vi kommer att verifiera telefonnumret:</v>
      </c>
      <c r="AG548" s="6" t="s">
        <v>132</v>
      </c>
      <c r="AH548" s="7" t="str">
        <f>IFERROR(__xludf.DUMMYFUNCTION("GOOGLETRANSLATE(C548, ""en"", ""tr"")"),"Telefon numarasını doğrulayacağız:")</f>
        <v>Telefon numarasını doğrulayacağız:</v>
      </c>
      <c r="AI548" s="6" t="s">
        <v>132</v>
      </c>
      <c r="AJ548" s="6" t="s">
        <v>132</v>
      </c>
      <c r="AK548" s="7" t="str">
        <f>IFERROR(__xludf.DUMMYFUNCTION("GOOGLETRANSLATE(C548, ""en"", ""zh"")"),"我们将验证电话号码：")</f>
        <v>我们将验证电话号码：</v>
      </c>
      <c r="AL548" s="6" t="s">
        <v>132</v>
      </c>
    </row>
    <row r="549" ht="15.75" hidden="1" customHeight="1">
      <c r="A549" s="1" t="s">
        <v>38</v>
      </c>
      <c r="B549" s="1" t="s">
        <v>11592</v>
      </c>
      <c r="C549" s="1" t="s">
        <v>11593</v>
      </c>
      <c r="D549" s="8" t="s">
        <v>11594</v>
      </c>
      <c r="E549" s="1" t="s">
        <v>11595</v>
      </c>
      <c r="F549" s="6" t="s">
        <v>11596</v>
      </c>
      <c r="G549" s="7" t="str">
        <f>IFERROR(__xludf.DUMMYFUNCTION("GOOGLETRANSLATE(C549, ""en"", ""cs"")"),"Toto není platné číslo portu")</f>
        <v>Toto není platné číslo portu</v>
      </c>
      <c r="H549" s="7" t="str">
        <f>IFERROR(__xludf.DUMMYFUNCTION("GOOGLETRANSLATE(C549, ""en"", ""da"")"),"Dette er ikke et gyldigt portnummer")</f>
        <v>Dette er ikke et gyldigt portnummer</v>
      </c>
      <c r="I549" s="1" t="s">
        <v>11597</v>
      </c>
      <c r="J549" s="6" t="s">
        <v>132</v>
      </c>
      <c r="K549" s="1" t="s">
        <v>11598</v>
      </c>
      <c r="L549" s="7" t="str">
        <f>IFERROR(__xludf.DUMMYFUNCTION("GOOGLETRANSLATE(C549, ""en"", ""fi"")"),"Tämä ei ole kelvollinen porttinumero")</f>
        <v>Tämä ei ole kelvollinen porttinumero</v>
      </c>
      <c r="M549" s="1" t="s">
        <v>11599</v>
      </c>
      <c r="N549" s="6" t="s">
        <v>11600</v>
      </c>
      <c r="O549" s="6" t="s">
        <v>132</v>
      </c>
      <c r="P549" s="1" t="s">
        <v>11601</v>
      </c>
      <c r="Q549" s="7" t="str">
        <f>IFERROR(__xludf.DUMMYFUNCTION("GOOGLETRANSLATE(C549, ""en"", ""in"")"),"Ini bukan nomor port yang valid")</f>
        <v>Ini bukan nomor port yang valid</v>
      </c>
      <c r="R549" s="1" t="s">
        <v>11602</v>
      </c>
      <c r="S549" s="6" t="s">
        <v>132</v>
      </c>
      <c r="T549" s="1" t="s">
        <v>11603</v>
      </c>
      <c r="U549" s="1" t="s">
        <v>11604</v>
      </c>
      <c r="V549" s="7" t="str">
        <f>IFERROR(__xludf.DUMMYFUNCTION("GOOGLETRANSLATE(C549, ""en"", ""ms"")"),"Ini bukan nombor port yang sah")</f>
        <v>Ini bukan nombor port yang sah</v>
      </c>
      <c r="W549" s="1" t="s">
        <v>11605</v>
      </c>
      <c r="X549" s="7" t="str">
        <f>IFERROR(__xludf.DUMMYFUNCTION("GOOGLETRANSLATE(C549, ""en"", ""no"")"),"Dette er ikke et gyldig portnummer")</f>
        <v>Dette er ikke et gyldig portnummer</v>
      </c>
      <c r="Y549" s="1" t="s">
        <v>11606</v>
      </c>
      <c r="Z549" s="1" t="s">
        <v>11607</v>
      </c>
      <c r="AA549" s="7" t="str">
        <f>IFERROR(__xludf.DUMMYFUNCTION("GOOGLETRANSLATE(C549, ""en"", ""ro"")"),"Acesta nu este un număr de port valabil")</f>
        <v>Acesta nu este un număr de port valabil</v>
      </c>
      <c r="AB549" s="1" t="s">
        <v>11608</v>
      </c>
      <c r="AC549" s="7" t="str">
        <f>IFERROR(__xludf.DUMMYFUNCTION("GOOGLETRANSLATE(C549, ""en"", ""sk"")"),"Toto nie je platné číslo portu")</f>
        <v>Toto nie je platné číslo portu</v>
      </c>
      <c r="AD549" s="6" t="s">
        <v>132</v>
      </c>
      <c r="AE549" s="1" t="s">
        <v>11609</v>
      </c>
      <c r="AF549" s="1" t="s">
        <v>11610</v>
      </c>
      <c r="AG549" s="6" t="s">
        <v>132</v>
      </c>
      <c r="AH549" s="7" t="str">
        <f>IFERROR(__xludf.DUMMYFUNCTION("GOOGLETRANSLATE(C549, ""en"", ""tr"")"),"Bu geçerli bir port numarası değil")</f>
        <v>Bu geçerli bir port numarası değil</v>
      </c>
      <c r="AI549" s="6" t="s">
        <v>11611</v>
      </c>
      <c r="AJ549" s="6" t="s">
        <v>11612</v>
      </c>
      <c r="AK549" s="7" t="str">
        <f>IFERROR(__xludf.DUMMYFUNCTION("GOOGLETRANSLATE(C549, ""en"", ""zh"")"),"这不是一个有效的端口号")</f>
        <v>这不是一个有效的端口号</v>
      </c>
      <c r="AL549" s="6" t="s">
        <v>11613</v>
      </c>
    </row>
    <row r="550" ht="15.75" hidden="1" customHeight="1">
      <c r="A550" s="1" t="s">
        <v>38</v>
      </c>
      <c r="B550" s="1" t="s">
        <v>11614</v>
      </c>
      <c r="C550" s="1" t="s">
        <v>11615</v>
      </c>
      <c r="D550" s="8" t="s">
        <v>11616</v>
      </c>
      <c r="E550" s="1" t="s">
        <v>11617</v>
      </c>
      <c r="F550" s="6" t="s">
        <v>11618</v>
      </c>
      <c r="G550" s="7" t="str">
        <f>IFERROR(__xludf.DUMMYFUNCTION("GOOGLETRANSLATE(C550, ""en"", ""cs"")"),"Zlomený")</f>
        <v>Zlomený</v>
      </c>
      <c r="H550" s="7" t="str">
        <f>IFERROR(__xludf.DUMMYFUNCTION("GOOGLETRANSLATE(C550, ""en"", ""da"")"),"Gået i stykker")</f>
        <v>Gået i stykker</v>
      </c>
      <c r="I550" s="1" t="s">
        <v>11619</v>
      </c>
      <c r="J550" s="6" t="s">
        <v>132</v>
      </c>
      <c r="K550" s="1" t="s">
        <v>11620</v>
      </c>
      <c r="L550" s="7" t="str">
        <f>IFERROR(__xludf.DUMMYFUNCTION("GOOGLETRANSLATE(C550, ""en"", ""fi"")"),"Rikki")</f>
        <v>Rikki</v>
      </c>
      <c r="M550" s="1" t="s">
        <v>11621</v>
      </c>
      <c r="N550" s="6" t="s">
        <v>11622</v>
      </c>
      <c r="O550" s="6" t="s">
        <v>132</v>
      </c>
      <c r="P550" s="1" t="s">
        <v>11623</v>
      </c>
      <c r="Q550" s="9" t="s">
        <v>11624</v>
      </c>
      <c r="R550" s="1" t="s">
        <v>11625</v>
      </c>
      <c r="S550" s="6" t="s">
        <v>132</v>
      </c>
      <c r="T550" s="1" t="s">
        <v>11626</v>
      </c>
      <c r="U550" s="1" t="s">
        <v>11627</v>
      </c>
      <c r="V550" s="7" t="str">
        <f>IFERROR(__xludf.DUMMYFUNCTION("GOOGLETRANSLATE(C550, ""en"", ""ms"")"),"Pecah")</f>
        <v>Pecah</v>
      </c>
      <c r="W550" s="1" t="s">
        <v>11628</v>
      </c>
      <c r="X550" s="7" t="str">
        <f>IFERROR(__xludf.DUMMYFUNCTION("GOOGLETRANSLATE(C550, ""en"", ""no"")"),"Gått i stykker")</f>
        <v>Gått i stykker</v>
      </c>
      <c r="Y550" s="1" t="s">
        <v>11629</v>
      </c>
      <c r="Z550" s="1" t="s">
        <v>11630</v>
      </c>
      <c r="AA550" s="7" t="str">
        <f>IFERROR(__xludf.DUMMYFUNCTION("GOOGLETRANSLATE(C550, ""en"", ""ro"")"),"Rupt")</f>
        <v>Rupt</v>
      </c>
      <c r="AB550" s="1" t="s">
        <v>11631</v>
      </c>
      <c r="AC550" s="7" t="str">
        <f>IFERROR(__xludf.DUMMYFUNCTION("GOOGLETRANSLATE(C550, ""en"", ""sk"")"),"Rozbitý")</f>
        <v>Rozbitý</v>
      </c>
      <c r="AD550" s="6" t="s">
        <v>132</v>
      </c>
      <c r="AE550" s="1" t="s">
        <v>11632</v>
      </c>
      <c r="AF550" s="1" t="s">
        <v>11633</v>
      </c>
      <c r="AG550" s="6" t="s">
        <v>132</v>
      </c>
      <c r="AH550" s="7" t="str">
        <f>IFERROR(__xludf.DUMMYFUNCTION("GOOGLETRANSLATE(C550, ""en"", ""tr"")"),"Kırık")</f>
        <v>Kırık</v>
      </c>
      <c r="AI550" s="6" t="s">
        <v>11634</v>
      </c>
      <c r="AJ550" s="6" t="s">
        <v>11635</v>
      </c>
      <c r="AK550" s="7" t="str">
        <f>IFERROR(__xludf.DUMMYFUNCTION("GOOGLETRANSLATE(C550, ""en"", ""zh"")"),"破碎的")</f>
        <v>破碎的</v>
      </c>
      <c r="AL550" s="6" t="s">
        <v>11636</v>
      </c>
    </row>
    <row r="551" ht="15.75" customHeight="1">
      <c r="A551" s="1" t="s">
        <v>127</v>
      </c>
      <c r="B551" s="1" t="s">
        <v>11637</v>
      </c>
      <c r="C551" s="1" t="s">
        <v>852</v>
      </c>
      <c r="D551" s="8" t="s">
        <v>853</v>
      </c>
      <c r="E551" s="1" t="s">
        <v>854</v>
      </c>
      <c r="F551" s="6" t="s">
        <v>132</v>
      </c>
      <c r="G551" s="1" t="s">
        <v>855</v>
      </c>
      <c r="H551" s="1" t="s">
        <v>856</v>
      </c>
      <c r="I551" s="1" t="s">
        <v>857</v>
      </c>
      <c r="J551" s="6" t="s">
        <v>858</v>
      </c>
      <c r="K551" s="1" t="s">
        <v>859</v>
      </c>
      <c r="L551" s="1" t="s">
        <v>860</v>
      </c>
      <c r="M551" s="1" t="s">
        <v>11638</v>
      </c>
      <c r="N551" s="6" t="s">
        <v>132</v>
      </c>
      <c r="O551" s="6" t="s">
        <v>862</v>
      </c>
      <c r="P551" s="1" t="s">
        <v>11639</v>
      </c>
      <c r="Q551" s="1" t="s">
        <v>864</v>
      </c>
      <c r="R551" s="1" t="s">
        <v>865</v>
      </c>
      <c r="S551" s="10" t="s">
        <v>866</v>
      </c>
      <c r="T551" s="1" t="s">
        <v>867</v>
      </c>
      <c r="U551" s="1" t="s">
        <v>868</v>
      </c>
      <c r="V551" s="1" t="s">
        <v>869</v>
      </c>
      <c r="W551" s="1" t="s">
        <v>11640</v>
      </c>
      <c r="X551" s="1" t="s">
        <v>856</v>
      </c>
      <c r="Y551" s="1" t="s">
        <v>871</v>
      </c>
      <c r="Z551" s="1" t="s">
        <v>872</v>
      </c>
      <c r="AA551" s="1" t="s">
        <v>865</v>
      </c>
      <c r="AB551" s="1" t="s">
        <v>873</v>
      </c>
      <c r="AC551" s="1" t="s">
        <v>874</v>
      </c>
      <c r="AD551" s="6" t="s">
        <v>865</v>
      </c>
      <c r="AE551" s="1" t="s">
        <v>865</v>
      </c>
      <c r="AF551" s="1" t="s">
        <v>875</v>
      </c>
      <c r="AG551" s="6" t="s">
        <v>876</v>
      </c>
      <c r="AH551" s="1" t="s">
        <v>11641</v>
      </c>
      <c r="AI551" s="6" t="s">
        <v>132</v>
      </c>
      <c r="AJ551" s="6" t="s">
        <v>878</v>
      </c>
      <c r="AK551" s="1" t="s">
        <v>11642</v>
      </c>
      <c r="AL551" s="6" t="s">
        <v>11643</v>
      </c>
    </row>
    <row r="552" ht="15.75" customHeight="1">
      <c r="A552" s="1" t="s">
        <v>127</v>
      </c>
      <c r="B552" s="1" t="s">
        <v>11644</v>
      </c>
      <c r="C552" s="1" t="s">
        <v>11645</v>
      </c>
      <c r="D552" s="8" t="s">
        <v>11646</v>
      </c>
      <c r="E552" s="1" t="s">
        <v>11645</v>
      </c>
      <c r="F552" s="6" t="s">
        <v>132</v>
      </c>
      <c r="G552" s="1" t="s">
        <v>11645</v>
      </c>
      <c r="H552" s="1" t="s">
        <v>11645</v>
      </c>
      <c r="I552" s="1" t="s">
        <v>11645</v>
      </c>
      <c r="J552" s="6" t="s">
        <v>11645</v>
      </c>
      <c r="K552" s="1" t="s">
        <v>11645</v>
      </c>
      <c r="L552" s="1" t="s">
        <v>11645</v>
      </c>
      <c r="M552" s="1" t="s">
        <v>11647</v>
      </c>
      <c r="N552" s="6" t="s">
        <v>132</v>
      </c>
      <c r="O552" s="6" t="s">
        <v>11645</v>
      </c>
      <c r="P552" s="1" t="s">
        <v>11645</v>
      </c>
      <c r="Q552" s="1" t="s">
        <v>11645</v>
      </c>
      <c r="R552" s="1" t="s">
        <v>11645</v>
      </c>
      <c r="S552" s="10" t="s">
        <v>11648</v>
      </c>
      <c r="T552" s="1" t="s">
        <v>11649</v>
      </c>
      <c r="U552" s="1" t="s">
        <v>11645</v>
      </c>
      <c r="V552" s="1" t="s">
        <v>11645</v>
      </c>
      <c r="W552" s="1" t="s">
        <v>11645</v>
      </c>
      <c r="X552" s="1" t="s">
        <v>11645</v>
      </c>
      <c r="Y552" s="1" t="s">
        <v>11650</v>
      </c>
      <c r="Z552" s="1" t="s">
        <v>11651</v>
      </c>
      <c r="AA552" s="1" t="s">
        <v>11645</v>
      </c>
      <c r="AB552" s="1" t="s">
        <v>11652</v>
      </c>
      <c r="AC552" s="1" t="s">
        <v>11645</v>
      </c>
      <c r="AD552" s="6" t="s">
        <v>11645</v>
      </c>
      <c r="AE552" s="1" t="s">
        <v>11645</v>
      </c>
      <c r="AF552" s="1" t="s">
        <v>11645</v>
      </c>
      <c r="AG552" s="6" t="s">
        <v>11645</v>
      </c>
      <c r="AH552" s="1" t="s">
        <v>11645</v>
      </c>
      <c r="AI552" s="6" t="s">
        <v>132</v>
      </c>
      <c r="AJ552" s="6" t="s">
        <v>11645</v>
      </c>
      <c r="AK552" s="1" t="s">
        <v>11653</v>
      </c>
      <c r="AL552" s="6" t="s">
        <v>11654</v>
      </c>
    </row>
    <row r="553" ht="15.75" hidden="1" customHeight="1">
      <c r="A553" s="1" t="s">
        <v>38</v>
      </c>
      <c r="B553" s="1" t="s">
        <v>11655</v>
      </c>
      <c r="C553" s="1" t="s">
        <v>11656</v>
      </c>
      <c r="D553" s="8" t="s">
        <v>11657</v>
      </c>
      <c r="E553" s="1" t="s">
        <v>11658</v>
      </c>
      <c r="F553" s="6" t="s">
        <v>11659</v>
      </c>
      <c r="G553" s="7" t="str">
        <f>IFERROR(__xludf.DUMMYFUNCTION("GOOGLETRANSLATE(C553, ""en"", ""cs"")"),"Nedostatek paměti. Obrázek je příliš velký")</f>
        <v>Nedostatek paměti. Obrázek je příliš velký</v>
      </c>
      <c r="H553" s="7" t="str">
        <f>IFERROR(__xludf.DUMMYFUNCTION("GOOGLETRANSLATE(C553, ""en"", ""da"")"),"Ikke mere hukommelse. Billedet er for stort")</f>
        <v>Ikke mere hukommelse. Billedet er for stort</v>
      </c>
      <c r="I553" s="1" t="s">
        <v>11660</v>
      </c>
      <c r="J553" s="6" t="s">
        <v>132</v>
      </c>
      <c r="K553" s="1" t="s">
        <v>11661</v>
      </c>
      <c r="L553" s="7" t="str">
        <f>IFERROR(__xludf.DUMMYFUNCTION("GOOGLETRANSLATE(C553, ""en"", ""fi"")"),"Muisti loppu. Kuva on liian suuri")</f>
        <v>Muisti loppu. Kuva on liian suuri</v>
      </c>
      <c r="M553" s="1" t="s">
        <v>11662</v>
      </c>
      <c r="N553" s="6" t="s">
        <v>11663</v>
      </c>
      <c r="O553" s="6" t="s">
        <v>132</v>
      </c>
      <c r="P553" s="1" t="s">
        <v>11664</v>
      </c>
      <c r="Q553" s="9" t="s">
        <v>11665</v>
      </c>
      <c r="R553" s="1" t="s">
        <v>11666</v>
      </c>
      <c r="S553" s="6" t="s">
        <v>132</v>
      </c>
      <c r="T553" s="1" t="s">
        <v>11667</v>
      </c>
      <c r="U553" s="1" t="s">
        <v>11668</v>
      </c>
      <c r="V553" s="7" t="str">
        <f>IFERROR(__xludf.DUMMYFUNCTION("GOOGLETRANSLATE(C553, ""en"", ""ms"")"),"Lupa. Imej terlalu besar")</f>
        <v>Lupa. Imej terlalu besar</v>
      </c>
      <c r="W553" s="1" t="s">
        <v>11669</v>
      </c>
      <c r="X553" s="7" t="str">
        <f>IFERROR(__xludf.DUMMYFUNCTION("GOOGLETRANSLATE(C553, ""en"", ""no"")"),"Tomt for minne. Bildet er for stort")</f>
        <v>Tomt for minne. Bildet er for stort</v>
      </c>
      <c r="Y553" s="1" t="s">
        <v>11670</v>
      </c>
      <c r="Z553" s="1" t="s">
        <v>11671</v>
      </c>
      <c r="AA553" s="7" t="str">
        <f>IFERROR(__xludf.DUMMYFUNCTION("GOOGLETRANSLATE(C553, ""en"", ""ro"")"),"Fara memorie. Imaginea este prea mare")</f>
        <v>Fara memorie. Imaginea este prea mare</v>
      </c>
      <c r="AB553" s="1" t="s">
        <v>11672</v>
      </c>
      <c r="AC553" s="1" t="s">
        <v>11673</v>
      </c>
      <c r="AD553" s="6" t="s">
        <v>132</v>
      </c>
      <c r="AE553" s="1" t="s">
        <v>11674</v>
      </c>
      <c r="AF553" s="1" t="s">
        <v>11675</v>
      </c>
      <c r="AG553" s="6" t="s">
        <v>132</v>
      </c>
      <c r="AH553" s="7" t="str">
        <f>IFERROR(__xludf.DUMMYFUNCTION("GOOGLETRANSLATE(C553, ""en"", ""tr"")"),"Bellek yetersiz. Görüntü çok büyük")</f>
        <v>Bellek yetersiz. Görüntü çok büyük</v>
      </c>
      <c r="AI553" s="6" t="s">
        <v>11676</v>
      </c>
      <c r="AJ553" s="6" t="s">
        <v>11677</v>
      </c>
      <c r="AK553" s="7" t="str">
        <f>IFERROR(__xludf.DUMMYFUNCTION("GOOGLETRANSLATE(C553, ""en"", ""zh"")"),"内存不足。图像太大了")</f>
        <v>内存不足。图像太大了</v>
      </c>
      <c r="AL553" s="6" t="s">
        <v>11678</v>
      </c>
    </row>
    <row r="554" ht="15.75" customHeight="1">
      <c r="A554" s="1" t="s">
        <v>127</v>
      </c>
      <c r="B554" s="1" t="s">
        <v>11679</v>
      </c>
      <c r="C554" s="1" t="s">
        <v>11680</v>
      </c>
      <c r="D554" s="8" t="s">
        <v>11681</v>
      </c>
      <c r="E554" s="1" t="s">
        <v>11682</v>
      </c>
      <c r="F554" s="6" t="s">
        <v>132</v>
      </c>
      <c r="G554" s="1" t="s">
        <v>11680</v>
      </c>
      <c r="H554" s="1" t="s">
        <v>11680</v>
      </c>
      <c r="I554" s="1" t="s">
        <v>11683</v>
      </c>
      <c r="J554" s="6" t="s">
        <v>11680</v>
      </c>
      <c r="K554" s="1" t="s">
        <v>11680</v>
      </c>
      <c r="L554" s="1" t="s">
        <v>11684</v>
      </c>
      <c r="M554" s="1" t="s">
        <v>11685</v>
      </c>
      <c r="N554" s="6" t="s">
        <v>132</v>
      </c>
      <c r="O554" s="6" t="s">
        <v>11686</v>
      </c>
      <c r="P554" s="1" t="s">
        <v>11680</v>
      </c>
      <c r="Q554" s="1" t="s">
        <v>11685</v>
      </c>
      <c r="R554" s="1" t="s">
        <v>11680</v>
      </c>
      <c r="S554" s="10" t="s">
        <v>11687</v>
      </c>
      <c r="T554" s="1" t="s">
        <v>11688</v>
      </c>
      <c r="U554" s="1" t="s">
        <v>11689</v>
      </c>
      <c r="V554" s="1" t="s">
        <v>11690</v>
      </c>
      <c r="W554" s="1" t="s">
        <v>11680</v>
      </c>
      <c r="X554" s="1" t="s">
        <v>11691</v>
      </c>
      <c r="Y554" s="1" t="s">
        <v>11680</v>
      </c>
      <c r="Z554" s="1" t="s">
        <v>11680</v>
      </c>
      <c r="AA554" s="1" t="s">
        <v>11680</v>
      </c>
      <c r="AB554" s="1" t="s">
        <v>11680</v>
      </c>
      <c r="AC554" s="1" t="s">
        <v>11680</v>
      </c>
      <c r="AD554" s="6" t="s">
        <v>11692</v>
      </c>
      <c r="AE554" s="1" t="s">
        <v>11685</v>
      </c>
      <c r="AF554" s="1" t="s">
        <v>11691</v>
      </c>
      <c r="AG554" s="6" t="s">
        <v>3384</v>
      </c>
      <c r="AH554" s="1" t="s">
        <v>11693</v>
      </c>
      <c r="AI554" s="6" t="s">
        <v>132</v>
      </c>
      <c r="AJ554" s="6" t="s">
        <v>11685</v>
      </c>
      <c r="AK554" s="1" t="s">
        <v>11694</v>
      </c>
      <c r="AL554" s="6" t="s">
        <v>11695</v>
      </c>
    </row>
    <row r="555" ht="15.75" customHeight="1">
      <c r="A555" s="1" t="s">
        <v>127</v>
      </c>
      <c r="B555" s="1" t="s">
        <v>11696</v>
      </c>
      <c r="C555" s="1" t="s">
        <v>11697</v>
      </c>
      <c r="D555" s="8" t="s">
        <v>11698</v>
      </c>
      <c r="E555" s="1" t="s">
        <v>11699</v>
      </c>
      <c r="F555" s="6" t="s">
        <v>132</v>
      </c>
      <c r="G555" s="1" t="s">
        <v>11700</v>
      </c>
      <c r="H555" s="1" t="s">
        <v>9181</v>
      </c>
      <c r="I555" s="1" t="s">
        <v>11700</v>
      </c>
      <c r="J555" s="6" t="s">
        <v>11701</v>
      </c>
      <c r="K555" s="1" t="s">
        <v>11702</v>
      </c>
      <c r="L555" s="1" t="s">
        <v>11703</v>
      </c>
      <c r="M555" s="1" t="s">
        <v>11704</v>
      </c>
      <c r="N555" s="6" t="s">
        <v>132</v>
      </c>
      <c r="O555" s="6" t="s">
        <v>11705</v>
      </c>
      <c r="P555" s="1" t="s">
        <v>11706</v>
      </c>
      <c r="Q555" s="1" t="s">
        <v>11707</v>
      </c>
      <c r="R555" s="1" t="s">
        <v>11708</v>
      </c>
      <c r="S555" s="10" t="s">
        <v>11709</v>
      </c>
      <c r="T555" s="1" t="s">
        <v>11710</v>
      </c>
      <c r="U555" s="1" t="s">
        <v>11711</v>
      </c>
      <c r="V555" s="1" t="s">
        <v>11707</v>
      </c>
      <c r="W555" s="1" t="s">
        <v>11712</v>
      </c>
      <c r="X555" s="1" t="s">
        <v>11700</v>
      </c>
      <c r="Y555" s="1" t="s">
        <v>11713</v>
      </c>
      <c r="Z555" s="1" t="s">
        <v>11714</v>
      </c>
      <c r="AA555" s="1" t="s">
        <v>10132</v>
      </c>
      <c r="AB555" s="1" t="s">
        <v>11715</v>
      </c>
      <c r="AC555" s="1" t="s">
        <v>11716</v>
      </c>
      <c r="AD555" s="6" t="s">
        <v>11717</v>
      </c>
      <c r="AE555" s="1" t="s">
        <v>11700</v>
      </c>
      <c r="AF555" s="1" t="s">
        <v>11718</v>
      </c>
      <c r="AG555" s="6" t="s">
        <v>11719</v>
      </c>
      <c r="AH555" s="1" t="s">
        <v>11720</v>
      </c>
      <c r="AI555" s="6" t="s">
        <v>132</v>
      </c>
      <c r="AJ555" s="6" t="s">
        <v>11721</v>
      </c>
      <c r="AK555" s="1" t="s">
        <v>11722</v>
      </c>
      <c r="AL555" s="6" t="s">
        <v>132</v>
      </c>
    </row>
    <row r="556" ht="15.75" customHeight="1">
      <c r="A556" s="1" t="s">
        <v>127</v>
      </c>
      <c r="B556" s="1" t="s">
        <v>11723</v>
      </c>
      <c r="C556" s="1" t="s">
        <v>11724</v>
      </c>
      <c r="D556" s="8" t="s">
        <v>11725</v>
      </c>
      <c r="E556" s="1" t="s">
        <v>11726</v>
      </c>
      <c r="F556" s="6" t="s">
        <v>132</v>
      </c>
      <c r="G556" s="1" t="s">
        <v>11727</v>
      </c>
      <c r="H556" s="1" t="s">
        <v>11728</v>
      </c>
      <c r="I556" s="1" t="s">
        <v>4655</v>
      </c>
      <c r="J556" s="6" t="s">
        <v>11729</v>
      </c>
      <c r="K556" s="1" t="s">
        <v>11730</v>
      </c>
      <c r="L556" s="1" t="s">
        <v>11731</v>
      </c>
      <c r="M556" s="1" t="s">
        <v>11732</v>
      </c>
      <c r="N556" s="6" t="s">
        <v>132</v>
      </c>
      <c r="O556" s="6" t="s">
        <v>11733</v>
      </c>
      <c r="P556" s="1" t="s">
        <v>4661</v>
      </c>
      <c r="Q556" s="1" t="s">
        <v>11734</v>
      </c>
      <c r="R556" s="1" t="s">
        <v>11735</v>
      </c>
      <c r="S556" s="10" t="s">
        <v>11736</v>
      </c>
      <c r="T556" s="1" t="s">
        <v>11737</v>
      </c>
      <c r="U556" s="1" t="s">
        <v>11738</v>
      </c>
      <c r="V556" s="1" t="s">
        <v>11734</v>
      </c>
      <c r="W556" s="1" t="s">
        <v>11739</v>
      </c>
      <c r="X556" s="1" t="s">
        <v>11740</v>
      </c>
      <c r="Y556" s="1" t="s">
        <v>11741</v>
      </c>
      <c r="Z556" s="1" t="s">
        <v>11742</v>
      </c>
      <c r="AA556" s="1" t="s">
        <v>11743</v>
      </c>
      <c r="AB556" s="1" t="s">
        <v>11744</v>
      </c>
      <c r="AC556" s="1" t="s">
        <v>11745</v>
      </c>
      <c r="AD556" s="6" t="s">
        <v>11746</v>
      </c>
      <c r="AE556" s="1" t="s">
        <v>11747</v>
      </c>
      <c r="AF556" s="1" t="s">
        <v>11748</v>
      </c>
      <c r="AG556" s="6" t="s">
        <v>4678</v>
      </c>
      <c r="AH556" s="1" t="s">
        <v>11749</v>
      </c>
      <c r="AI556" s="6" t="s">
        <v>132</v>
      </c>
      <c r="AJ556" s="6" t="s">
        <v>11750</v>
      </c>
      <c r="AK556" s="1" t="s">
        <v>4681</v>
      </c>
      <c r="AL556" s="6" t="s">
        <v>4682</v>
      </c>
    </row>
    <row r="557" ht="15.75" customHeight="1">
      <c r="A557" s="1" t="s">
        <v>127</v>
      </c>
      <c r="B557" s="1" t="s">
        <v>11751</v>
      </c>
      <c r="C557" s="1" t="s">
        <v>11752</v>
      </c>
      <c r="D557" s="8" t="s">
        <v>11753</v>
      </c>
      <c r="E557" s="1" t="s">
        <v>11754</v>
      </c>
      <c r="F557" s="6" t="s">
        <v>132</v>
      </c>
      <c r="G557" s="1" t="s">
        <v>11755</v>
      </c>
      <c r="H557" s="1" t="s">
        <v>11756</v>
      </c>
      <c r="I557" s="1" t="s">
        <v>11752</v>
      </c>
      <c r="J557" s="6" t="s">
        <v>11752</v>
      </c>
      <c r="K557" s="1" t="s">
        <v>11752</v>
      </c>
      <c r="L557" s="1" t="s">
        <v>11757</v>
      </c>
      <c r="M557" s="1" t="s">
        <v>11752</v>
      </c>
      <c r="N557" s="6" t="s">
        <v>132</v>
      </c>
      <c r="O557" s="6" t="s">
        <v>11758</v>
      </c>
      <c r="P557" s="1" t="s">
        <v>11752</v>
      </c>
      <c r="Q557" s="1" t="s">
        <v>11759</v>
      </c>
      <c r="R557" s="1" t="s">
        <v>11752</v>
      </c>
      <c r="S557" s="10" t="s">
        <v>11760</v>
      </c>
      <c r="T557" s="1" t="s">
        <v>11761</v>
      </c>
      <c r="U557" s="1" t="s">
        <v>11762</v>
      </c>
      <c r="V557" s="1" t="s">
        <v>11759</v>
      </c>
      <c r="W557" s="1" t="s">
        <v>11752</v>
      </c>
      <c r="X557" s="1" t="s">
        <v>11763</v>
      </c>
      <c r="Y557" s="1" t="s">
        <v>11752</v>
      </c>
      <c r="Z557" s="1" t="s">
        <v>11764</v>
      </c>
      <c r="AA557" s="1" t="s">
        <v>11765</v>
      </c>
      <c r="AB557" s="1" t="s">
        <v>11766</v>
      </c>
      <c r="AC557" s="1" t="s">
        <v>11767</v>
      </c>
      <c r="AD557" s="6" t="s">
        <v>11768</v>
      </c>
      <c r="AE557" s="1" t="s">
        <v>11752</v>
      </c>
      <c r="AF557" s="1" t="s">
        <v>11752</v>
      </c>
      <c r="AG557" s="6" t="s">
        <v>11769</v>
      </c>
      <c r="AH557" s="1" t="s">
        <v>11770</v>
      </c>
      <c r="AI557" s="6" t="s">
        <v>132</v>
      </c>
      <c r="AJ557" s="6" t="s">
        <v>11771</v>
      </c>
      <c r="AK557" s="1" t="s">
        <v>11772</v>
      </c>
      <c r="AL557" s="6" t="s">
        <v>11773</v>
      </c>
    </row>
    <row r="558" ht="15.75" customHeight="1">
      <c r="A558" s="1" t="s">
        <v>127</v>
      </c>
      <c r="B558" s="1" t="s">
        <v>11774</v>
      </c>
      <c r="C558" s="1" t="s">
        <v>11775</v>
      </c>
      <c r="D558" s="8" t="s">
        <v>11776</v>
      </c>
      <c r="E558" s="1" t="s">
        <v>11777</v>
      </c>
      <c r="F558" s="6" t="s">
        <v>132</v>
      </c>
      <c r="G558" s="1" t="s">
        <v>11778</v>
      </c>
      <c r="H558" s="1" t="s">
        <v>11779</v>
      </c>
      <c r="I558" s="1" t="s">
        <v>11775</v>
      </c>
      <c r="J558" s="6" t="s">
        <v>11775</v>
      </c>
      <c r="K558" s="1" t="s">
        <v>11775</v>
      </c>
      <c r="L558" s="1" t="s">
        <v>11780</v>
      </c>
      <c r="M558" s="1" t="s">
        <v>11775</v>
      </c>
      <c r="N558" s="6" t="s">
        <v>132</v>
      </c>
      <c r="O558" s="6" t="s">
        <v>11781</v>
      </c>
      <c r="P558" s="1" t="s">
        <v>11775</v>
      </c>
      <c r="Q558" s="1" t="s">
        <v>11782</v>
      </c>
      <c r="R558" s="1" t="s">
        <v>11775</v>
      </c>
      <c r="S558" s="10" t="s">
        <v>11783</v>
      </c>
      <c r="T558" s="1" t="s">
        <v>11784</v>
      </c>
      <c r="U558" s="1" t="s">
        <v>11785</v>
      </c>
      <c r="V558" s="1" t="s">
        <v>11782</v>
      </c>
      <c r="W558" s="1" t="s">
        <v>11775</v>
      </c>
      <c r="X558" s="1" t="s">
        <v>11779</v>
      </c>
      <c r="Y558" s="1" t="s">
        <v>11775</v>
      </c>
      <c r="Z558" s="1" t="s">
        <v>11775</v>
      </c>
      <c r="AA558" s="1" t="s">
        <v>11786</v>
      </c>
      <c r="AB558" s="1" t="s">
        <v>11787</v>
      </c>
      <c r="AC558" s="1" t="s">
        <v>11778</v>
      </c>
      <c r="AD558" s="6" t="s">
        <v>11788</v>
      </c>
      <c r="AE558" s="1" t="s">
        <v>11775</v>
      </c>
      <c r="AF558" s="1" t="s">
        <v>11779</v>
      </c>
      <c r="AG558" s="6" t="s">
        <v>11775</v>
      </c>
      <c r="AH558" s="1" t="s">
        <v>11789</v>
      </c>
      <c r="AI558" s="6" t="s">
        <v>132</v>
      </c>
      <c r="AJ558" s="6" t="s">
        <v>11790</v>
      </c>
      <c r="AK558" s="1" t="s">
        <v>11791</v>
      </c>
      <c r="AL558" s="6" t="s">
        <v>11792</v>
      </c>
    </row>
    <row r="559" ht="15.75" hidden="1" customHeight="1">
      <c r="A559" s="1" t="s">
        <v>38</v>
      </c>
      <c r="B559" s="1" t="s">
        <v>11793</v>
      </c>
      <c r="C559" s="1" t="s">
        <v>11794</v>
      </c>
      <c r="D559" s="8" t="s">
        <v>11795</v>
      </c>
      <c r="E559" s="1" t="s">
        <v>11796</v>
      </c>
      <c r="F559" s="6" t="s">
        <v>11797</v>
      </c>
      <c r="G559" s="7" t="str">
        <f>IFERROR(__xludf.DUMMYFUNCTION("GOOGLETRANSLATE(C559, ""en"", ""cs"")"),"Sdílejte Uri s ...")</f>
        <v>Sdílejte Uri s ...</v>
      </c>
      <c r="H559" s="7" t="str">
        <f>IFERROR(__xludf.DUMMYFUNCTION("GOOGLETRANSLATE(C559, ""en"", ""da"")"),"Del URI med ...")</f>
        <v>Del URI med ...</v>
      </c>
      <c r="I559" s="1" t="s">
        <v>11798</v>
      </c>
      <c r="J559" s="6" t="s">
        <v>132</v>
      </c>
      <c r="K559" s="1" t="s">
        <v>11799</v>
      </c>
      <c r="L559" s="7" t="str">
        <f>IFERROR(__xludf.DUMMYFUNCTION("GOOGLETRANSLATE(C559, ""en"", ""fi"")"),"Jaa Uri ...")</f>
        <v>Jaa Uri ...</v>
      </c>
      <c r="M559" s="1" t="s">
        <v>11800</v>
      </c>
      <c r="N559" s="6" t="s">
        <v>11799</v>
      </c>
      <c r="O559" s="6" t="s">
        <v>132</v>
      </c>
      <c r="P559" s="1" t="s">
        <v>11801</v>
      </c>
      <c r="Q559" s="9" t="s">
        <v>11802</v>
      </c>
      <c r="R559" s="1" t="s">
        <v>11803</v>
      </c>
      <c r="S559" s="6" t="s">
        <v>132</v>
      </c>
      <c r="T559" s="1" t="s">
        <v>11804</v>
      </c>
      <c r="U559" s="1" t="s">
        <v>11805</v>
      </c>
      <c r="V559" s="7" t="str">
        <f>IFERROR(__xludf.DUMMYFUNCTION("GOOGLETRANSLATE(C559, ""en"", ""ms"")"),"Kongsi Uri dengan ...")</f>
        <v>Kongsi Uri dengan ...</v>
      </c>
      <c r="W559" s="1" t="s">
        <v>11806</v>
      </c>
      <c r="X559" s="7" t="str">
        <f>IFERROR(__xludf.DUMMYFUNCTION("GOOGLETRANSLATE(C559, ""en"", ""no"")"),"Del URI med ...")</f>
        <v>Del URI med ...</v>
      </c>
      <c r="Y559" s="1" t="s">
        <v>11807</v>
      </c>
      <c r="Z559" s="1" t="s">
        <v>11808</v>
      </c>
      <c r="AA559" s="7" t="str">
        <f>IFERROR(__xludf.DUMMYFUNCTION("GOOGLETRANSLATE(C559, ""en"", ""ro"")"),"Share Uri cu ...")</f>
        <v>Share Uri cu ...</v>
      </c>
      <c r="AB559" s="1" t="s">
        <v>11809</v>
      </c>
      <c r="AC559" s="7" t="str">
        <f>IFERROR(__xludf.DUMMYFUNCTION("GOOGLETRANSLATE(C559, ""en"", ""sk"")"),"Zdieľajte URI s ...")</f>
        <v>Zdieľajte URI s ...</v>
      </c>
      <c r="AD559" s="6" t="s">
        <v>132</v>
      </c>
      <c r="AE559" s="1" t="s">
        <v>11810</v>
      </c>
      <c r="AF559" s="1" t="s">
        <v>11811</v>
      </c>
      <c r="AG559" s="6" t="s">
        <v>132</v>
      </c>
      <c r="AH559" s="13" t="s">
        <v>11812</v>
      </c>
      <c r="AI559" s="6" t="s">
        <v>11813</v>
      </c>
      <c r="AJ559" s="6" t="s">
        <v>132</v>
      </c>
      <c r="AK559" s="7" t="str">
        <f>IFERROR(__xludf.DUMMYFUNCTION("GOOGLETRANSLATE(C559, ""en"", ""zh"")"),"分享URI ......")</f>
        <v>分享URI ......</v>
      </c>
      <c r="AL559" s="6" t="s">
        <v>11814</v>
      </c>
    </row>
    <row r="560" ht="15.75" customHeight="1">
      <c r="A560" s="1" t="s">
        <v>127</v>
      </c>
      <c r="B560" s="1" t="s">
        <v>11815</v>
      </c>
      <c r="C560" s="1" t="s">
        <v>11816</v>
      </c>
      <c r="D560" s="8" t="s">
        <v>11817</v>
      </c>
      <c r="E560" s="1" t="s">
        <v>11818</v>
      </c>
      <c r="F560" s="6" t="s">
        <v>132</v>
      </c>
      <c r="G560" s="1" t="s">
        <v>11819</v>
      </c>
      <c r="H560" s="1" t="s">
        <v>11820</v>
      </c>
      <c r="I560" s="1" t="s">
        <v>11821</v>
      </c>
      <c r="J560" s="6" t="s">
        <v>11822</v>
      </c>
      <c r="K560" s="1" t="s">
        <v>11823</v>
      </c>
      <c r="L560" s="1" t="s">
        <v>11824</v>
      </c>
      <c r="M560" s="1" t="s">
        <v>11825</v>
      </c>
      <c r="N560" s="6" t="s">
        <v>132</v>
      </c>
      <c r="O560" s="6" t="s">
        <v>11826</v>
      </c>
      <c r="P560" s="1" t="s">
        <v>11827</v>
      </c>
      <c r="Q560" s="1" t="s">
        <v>11828</v>
      </c>
      <c r="R560" s="1" t="s">
        <v>11829</v>
      </c>
      <c r="S560" s="10" t="s">
        <v>11830</v>
      </c>
      <c r="T560" s="1" t="s">
        <v>11831</v>
      </c>
      <c r="U560" s="1" t="s">
        <v>11832</v>
      </c>
      <c r="V560" s="1" t="s">
        <v>11833</v>
      </c>
      <c r="W560" s="1" t="s">
        <v>11834</v>
      </c>
      <c r="X560" s="1" t="s">
        <v>11835</v>
      </c>
      <c r="Y560" s="1" t="s">
        <v>11836</v>
      </c>
      <c r="Z560" s="1" t="s">
        <v>11837</v>
      </c>
      <c r="AA560" s="1" t="s">
        <v>11838</v>
      </c>
      <c r="AB560" s="1" t="s">
        <v>11839</v>
      </c>
      <c r="AC560" s="1" t="s">
        <v>11840</v>
      </c>
      <c r="AD560" s="6" t="s">
        <v>11841</v>
      </c>
      <c r="AE560" s="1" t="s">
        <v>11842</v>
      </c>
      <c r="AF560" s="1" t="s">
        <v>11843</v>
      </c>
      <c r="AG560" s="6" t="s">
        <v>11844</v>
      </c>
      <c r="AH560" s="1" t="s">
        <v>11845</v>
      </c>
      <c r="AI560" s="6" t="s">
        <v>132</v>
      </c>
      <c r="AJ560" s="6" t="s">
        <v>11846</v>
      </c>
      <c r="AK560" s="1" t="s">
        <v>11847</v>
      </c>
      <c r="AL560" s="6" t="s">
        <v>132</v>
      </c>
    </row>
    <row r="561" ht="15.75" hidden="1" customHeight="1">
      <c r="A561" s="1" t="s">
        <v>38</v>
      </c>
      <c r="B561" s="1" t="s">
        <v>11848</v>
      </c>
      <c r="C561" s="1" t="s">
        <v>11849</v>
      </c>
      <c r="D561" s="8" t="s">
        <v>11850</v>
      </c>
      <c r="E561" s="1" t="s">
        <v>11851</v>
      </c>
      <c r="F561" s="6" t="s">
        <v>11852</v>
      </c>
      <c r="G561" s="7" t="str">
        <f>IFERROR(__xludf.DUMMYFUNCTION("GOOGLETRANSLATE(C561, ""en"", ""cs"")"),"Nahrát video")</f>
        <v>Nahrát video</v>
      </c>
      <c r="H561" s="7" t="str">
        <f>IFERROR(__xludf.DUMMYFUNCTION("GOOGLETRANSLATE(C561, ""en"", ""da"")"),"Optag video.")</f>
        <v>Optag video.</v>
      </c>
      <c r="I561" s="1" t="s">
        <v>11853</v>
      </c>
      <c r="J561" s="6" t="s">
        <v>132</v>
      </c>
      <c r="K561" s="1" t="s">
        <v>11854</v>
      </c>
      <c r="L561" s="7" t="str">
        <f>IFERROR(__xludf.DUMMYFUNCTION("GOOGLETRANSLATE(C561, ""en"", ""fi"")"),"Tallenna video")</f>
        <v>Tallenna video</v>
      </c>
      <c r="M561" s="1" t="s">
        <v>11855</v>
      </c>
      <c r="N561" s="6" t="s">
        <v>11856</v>
      </c>
      <c r="O561" s="6" t="s">
        <v>132</v>
      </c>
      <c r="P561" s="1" t="s">
        <v>11857</v>
      </c>
      <c r="Q561" s="7" t="str">
        <f>IFERROR(__xludf.DUMMYFUNCTION("GOOGLETRANSLATE(C561, ""en"", ""in"")"),"Merekam video")</f>
        <v>Merekam video</v>
      </c>
      <c r="R561" s="1" t="s">
        <v>11858</v>
      </c>
      <c r="S561" s="6" t="s">
        <v>132</v>
      </c>
      <c r="T561" s="1" t="s">
        <v>11859</v>
      </c>
      <c r="U561" s="7" t="str">
        <f>IFERROR(__xludf.DUMMYFUNCTION("GOOGLETRANSLATE(C561, ""en"", ""ko"")"),"비디오를 녹화하십시오")</f>
        <v>비디오를 녹화하십시오</v>
      </c>
      <c r="V561" s="7" t="str">
        <f>IFERROR(__xludf.DUMMYFUNCTION("GOOGLETRANSLATE(C561, ""en"", ""ms"")"),"Rekod video")</f>
        <v>Rekod video</v>
      </c>
      <c r="W561" s="1" t="s">
        <v>11860</v>
      </c>
      <c r="X561" s="7" t="str">
        <f>IFERROR(__xludf.DUMMYFUNCTION("GOOGLETRANSLATE(C561, ""en"", ""no"")"),"Ta opp video")</f>
        <v>Ta opp video</v>
      </c>
      <c r="Y561" s="1" t="s">
        <v>11861</v>
      </c>
      <c r="Z561" s="7" t="str">
        <f>IFERROR(__xludf.DUMMYFUNCTION("GOOGLETRANSLATE(C561, ""en"", ""pt"")"),"Gravar vídeo")</f>
        <v>Gravar vídeo</v>
      </c>
      <c r="AA561" s="7" t="str">
        <f>IFERROR(__xludf.DUMMYFUNCTION("GOOGLETRANSLATE(C561, ""en"", ""ro"")"),"Înregistrați video")</f>
        <v>Înregistrați video</v>
      </c>
      <c r="AB561" s="1" t="s">
        <v>11862</v>
      </c>
      <c r="AC561" s="7" t="str">
        <f>IFERROR(__xludf.DUMMYFUNCTION("GOOGLETRANSLATE(C561, ""en"", ""sk"")"),"Nahrávať video")</f>
        <v>Nahrávať video</v>
      </c>
      <c r="AD561" s="6" t="s">
        <v>132</v>
      </c>
      <c r="AE561" s="1" t="s">
        <v>11863</v>
      </c>
      <c r="AF561" s="7" t="str">
        <f>IFERROR(__xludf.DUMMYFUNCTION("GOOGLETRANSLATE(C561, ""en"", ""sv"")"),"Spela in video")</f>
        <v>Spela in video</v>
      </c>
      <c r="AG561" s="6" t="s">
        <v>132</v>
      </c>
      <c r="AH561" s="7" t="str">
        <f>IFERROR(__xludf.DUMMYFUNCTION("GOOGLETRANSLATE(C561, ""en"", ""tr"")"),"Video kaydetmek")</f>
        <v>Video kaydetmek</v>
      </c>
      <c r="AI561" s="6" t="s">
        <v>132</v>
      </c>
      <c r="AJ561" s="6" t="s">
        <v>132</v>
      </c>
      <c r="AK561" s="7" t="str">
        <f>IFERROR(__xludf.DUMMYFUNCTION("GOOGLETRANSLATE(C561, ""en"", ""zh"")"),"录视频")</f>
        <v>录视频</v>
      </c>
      <c r="AL561" s="6" t="s">
        <v>132</v>
      </c>
    </row>
    <row r="562" ht="15.75" customHeight="1">
      <c r="A562" s="1" t="s">
        <v>127</v>
      </c>
      <c r="B562" s="1" t="s">
        <v>11864</v>
      </c>
      <c r="C562" s="1" t="s">
        <v>11865</v>
      </c>
      <c r="D562" s="8" t="s">
        <v>11866</v>
      </c>
      <c r="E562" s="1" t="s">
        <v>11867</v>
      </c>
      <c r="F562" s="6" t="s">
        <v>132</v>
      </c>
      <c r="G562" s="1" t="s">
        <v>11868</v>
      </c>
      <c r="H562" s="1" t="s">
        <v>11869</v>
      </c>
      <c r="I562" s="1" t="s">
        <v>11865</v>
      </c>
      <c r="J562" s="6" t="s">
        <v>11870</v>
      </c>
      <c r="K562" s="1" t="s">
        <v>11865</v>
      </c>
      <c r="L562" s="1" t="s">
        <v>11871</v>
      </c>
      <c r="M562" s="1" t="s">
        <v>11872</v>
      </c>
      <c r="N562" s="6" t="s">
        <v>132</v>
      </c>
      <c r="O562" s="6" t="s">
        <v>11873</v>
      </c>
      <c r="P562" s="1" t="s">
        <v>11865</v>
      </c>
      <c r="Q562" s="1" t="s">
        <v>11874</v>
      </c>
      <c r="R562" s="1" t="s">
        <v>11865</v>
      </c>
      <c r="S562" s="10" t="s">
        <v>11875</v>
      </c>
      <c r="T562" s="1" t="s">
        <v>11876</v>
      </c>
      <c r="U562" s="1" t="s">
        <v>11877</v>
      </c>
      <c r="V562" s="1" t="s">
        <v>11874</v>
      </c>
      <c r="W562" s="1" t="s">
        <v>11865</v>
      </c>
      <c r="X562" s="1" t="s">
        <v>11878</v>
      </c>
      <c r="Y562" s="1" t="s">
        <v>11865</v>
      </c>
      <c r="Z562" s="1" t="s">
        <v>11879</v>
      </c>
      <c r="AA562" s="1" t="s">
        <v>11880</v>
      </c>
      <c r="AB562" s="1" t="s">
        <v>11881</v>
      </c>
      <c r="AC562" s="1" t="s">
        <v>11882</v>
      </c>
      <c r="AD562" s="6" t="s">
        <v>11883</v>
      </c>
      <c r="AE562" s="1" t="s">
        <v>11865</v>
      </c>
      <c r="AF562" s="1" t="s">
        <v>11865</v>
      </c>
      <c r="AG562" s="6" t="s">
        <v>11884</v>
      </c>
      <c r="AH562" s="1" t="s">
        <v>11885</v>
      </c>
      <c r="AI562" s="6" t="s">
        <v>132</v>
      </c>
      <c r="AJ562" s="6" t="s">
        <v>11886</v>
      </c>
      <c r="AK562" s="1" t="s">
        <v>11887</v>
      </c>
      <c r="AL562" s="6" t="s">
        <v>11888</v>
      </c>
    </row>
    <row r="563" ht="15.75" customHeight="1">
      <c r="A563" s="1" t="s">
        <v>127</v>
      </c>
      <c r="B563" s="1" t="s">
        <v>11889</v>
      </c>
      <c r="C563" s="1" t="s">
        <v>11890</v>
      </c>
      <c r="D563" s="8" t="s">
        <v>11891</v>
      </c>
      <c r="E563" s="1" t="s">
        <v>11892</v>
      </c>
      <c r="F563" s="6" t="s">
        <v>132</v>
      </c>
      <c r="G563" s="1" t="s">
        <v>11893</v>
      </c>
      <c r="H563" s="1" t="s">
        <v>11894</v>
      </c>
      <c r="I563" s="1" t="s">
        <v>11890</v>
      </c>
      <c r="J563" s="6" t="s">
        <v>11895</v>
      </c>
      <c r="K563" s="1" t="s">
        <v>11890</v>
      </c>
      <c r="L563" s="1" t="s">
        <v>11896</v>
      </c>
      <c r="M563" s="1" t="s">
        <v>11897</v>
      </c>
      <c r="N563" s="6" t="s">
        <v>132</v>
      </c>
      <c r="O563" s="6" t="s">
        <v>11898</v>
      </c>
      <c r="P563" s="1" t="s">
        <v>11890</v>
      </c>
      <c r="Q563" s="1" t="s">
        <v>11899</v>
      </c>
      <c r="R563" s="1" t="s">
        <v>11890</v>
      </c>
      <c r="S563" s="10" t="s">
        <v>11900</v>
      </c>
      <c r="T563" s="1" t="s">
        <v>11901</v>
      </c>
      <c r="U563" s="1" t="s">
        <v>11902</v>
      </c>
      <c r="V563" s="1" t="s">
        <v>11899</v>
      </c>
      <c r="W563" s="1" t="s">
        <v>11890</v>
      </c>
      <c r="X563" s="1" t="s">
        <v>11903</v>
      </c>
      <c r="Y563" s="1" t="s">
        <v>11890</v>
      </c>
      <c r="Z563" s="1" t="s">
        <v>11904</v>
      </c>
      <c r="AA563" s="1" t="s">
        <v>11905</v>
      </c>
      <c r="AB563" s="1" t="s">
        <v>11906</v>
      </c>
      <c r="AC563" s="1" t="s">
        <v>11907</v>
      </c>
      <c r="AD563" s="6" t="s">
        <v>11908</v>
      </c>
      <c r="AE563" s="1" t="s">
        <v>11890</v>
      </c>
      <c r="AF563" s="1" t="s">
        <v>11890</v>
      </c>
      <c r="AG563" s="6" t="s">
        <v>11909</v>
      </c>
      <c r="AH563" s="1" t="s">
        <v>11910</v>
      </c>
      <c r="AI563" s="6" t="s">
        <v>132</v>
      </c>
      <c r="AJ563" s="6" t="s">
        <v>11911</v>
      </c>
      <c r="AK563" s="1" t="s">
        <v>11912</v>
      </c>
      <c r="AL563" s="6" t="s">
        <v>11913</v>
      </c>
    </row>
    <row r="564" ht="15.75" hidden="1" customHeight="1">
      <c r="A564" s="1" t="s">
        <v>38</v>
      </c>
      <c r="B564" s="1" t="s">
        <v>11914</v>
      </c>
      <c r="C564" s="1" t="s">
        <v>11915</v>
      </c>
      <c r="D564" s="7" t="str">
        <f>IFERROR(__xludf.DUMMYFUNCTION("GOOGLETRANSLATE(C564, ""en"", ""ar"")"),"سان مارينو")</f>
        <v>سان مارينو</v>
      </c>
      <c r="E564" s="7" t="str">
        <f>IFERROR(__xludf.DUMMYFUNCTION("GOOGLETRANSLATE(C564, ""en"", ""bg"")"),"Сан Марино")</f>
        <v>Сан Марино</v>
      </c>
      <c r="F564" s="6" t="s">
        <v>132</v>
      </c>
      <c r="G564" s="7" t="str">
        <f>IFERROR(__xludf.DUMMYFUNCTION("GOOGLETRANSLATE(C564, ""en"", ""cs"")"),"San Marino")</f>
        <v>San Marino</v>
      </c>
      <c r="H564" s="7" t="str">
        <f>IFERROR(__xludf.DUMMYFUNCTION("GOOGLETRANSLATE(C564, ""en"", ""da"")"),"San Marino.")</f>
        <v>San Marino.</v>
      </c>
      <c r="I564" s="1" t="s">
        <v>11915</v>
      </c>
      <c r="J564" s="6" t="s">
        <v>132</v>
      </c>
      <c r="K564" s="1" t="s">
        <v>11915</v>
      </c>
      <c r="L564" s="7" t="str">
        <f>IFERROR(__xludf.DUMMYFUNCTION("GOOGLETRANSLATE(C564, ""en"", ""fi"")"),"San Marino")</f>
        <v>San Marino</v>
      </c>
      <c r="M564" s="1" t="s">
        <v>11916</v>
      </c>
      <c r="N564" s="6" t="s">
        <v>132</v>
      </c>
      <c r="O564" s="6" t="s">
        <v>132</v>
      </c>
      <c r="P564" s="1" t="s">
        <v>11915</v>
      </c>
      <c r="Q564" s="7" t="str">
        <f>IFERROR(__xludf.DUMMYFUNCTION("GOOGLETRANSLATE(C564, ""en"", ""in"")"),"San Marino.")</f>
        <v>San Marino.</v>
      </c>
      <c r="R564" s="7" t="str">
        <f>IFERROR(__xludf.DUMMYFUNCTION("GOOGLETRANSLATE(C564, ""en"", ""it"")"),"San Marino")</f>
        <v>San Marino</v>
      </c>
      <c r="S564" s="6" t="s">
        <v>132</v>
      </c>
      <c r="T564" s="7" t="str">
        <f>IFERROR(__xludf.DUMMYFUNCTION("GOOGLETRANSLATE(C564, ""en"", ""ja"")"),"サンマリノ")</f>
        <v>サンマリノ</v>
      </c>
      <c r="U564" s="7" t="str">
        <f>IFERROR(__xludf.DUMMYFUNCTION("GOOGLETRANSLATE(C564, ""en"", ""ko"")"),"산 마리노")</f>
        <v>산 마리노</v>
      </c>
      <c r="V564" s="7" t="str">
        <f>IFERROR(__xludf.DUMMYFUNCTION("GOOGLETRANSLATE(C564, ""en"", ""ms"")"),"San Marino.")</f>
        <v>San Marino.</v>
      </c>
      <c r="W564" s="7" t="str">
        <f>IFERROR(__xludf.DUMMYFUNCTION("GOOGLETRANSLATE(C564, ""en"", ""nl"")"),"San Marino")</f>
        <v>San Marino</v>
      </c>
      <c r="X564" s="7" t="str">
        <f>IFERROR(__xludf.DUMMYFUNCTION("GOOGLETRANSLATE(C564, ""en"", ""no"")"),"San Marino.")</f>
        <v>San Marino.</v>
      </c>
      <c r="Y564" s="7" t="str">
        <f>IFERROR(__xludf.DUMMYFUNCTION("GOOGLETRANSLATE(C564, ""en"", ""pl"")"),"San Marino")</f>
        <v>San Marino</v>
      </c>
      <c r="Z564" s="7" t="str">
        <f>IFERROR(__xludf.DUMMYFUNCTION("GOOGLETRANSLATE(C564, ""en"", ""pt"")"),"San Marino.")</f>
        <v>San Marino.</v>
      </c>
      <c r="AA564" s="7" t="str">
        <f>IFERROR(__xludf.DUMMYFUNCTION("GOOGLETRANSLATE(C564, ""en"", ""ro"")"),"San Marino.")</f>
        <v>San Marino.</v>
      </c>
      <c r="AB564" s="1" t="s">
        <v>11917</v>
      </c>
      <c r="AC564" s="7" t="str">
        <f>IFERROR(__xludf.DUMMYFUNCTION("GOOGLETRANSLATE(C564, ""en"", ""sk"")"),"San Marino")</f>
        <v>San Marino</v>
      </c>
      <c r="AD564" s="6" t="s">
        <v>132</v>
      </c>
      <c r="AE564" s="1" t="s">
        <v>11915</v>
      </c>
      <c r="AF564" s="7" t="str">
        <f>IFERROR(__xludf.DUMMYFUNCTION("GOOGLETRANSLATE(C564, ""en"", ""sv"")"),"San Marino")</f>
        <v>San Marino</v>
      </c>
      <c r="AG564" s="6" t="s">
        <v>132</v>
      </c>
      <c r="AH564" s="7" t="str">
        <f>IFERROR(__xludf.DUMMYFUNCTION("GOOGLETRANSLATE(C564, ""en"", ""tr"")"),"San Marino")</f>
        <v>San Marino</v>
      </c>
      <c r="AI564" s="6" t="s">
        <v>132</v>
      </c>
      <c r="AJ564" s="6" t="s">
        <v>132</v>
      </c>
      <c r="AK564" s="7" t="str">
        <f>IFERROR(__xludf.DUMMYFUNCTION("GOOGLETRANSLATE(C564, ""en"", ""zh"")"),"圣马力诺")</f>
        <v>圣马力诺</v>
      </c>
      <c r="AL564" s="6" t="s">
        <v>132</v>
      </c>
    </row>
    <row r="565" ht="15.75" customHeight="1">
      <c r="A565" s="1" t="s">
        <v>127</v>
      </c>
      <c r="B565" s="1" t="s">
        <v>11918</v>
      </c>
      <c r="C565" s="1" t="s">
        <v>11919</v>
      </c>
      <c r="D565" s="8" t="s">
        <v>11920</v>
      </c>
      <c r="E565" s="1" t="s">
        <v>11921</v>
      </c>
      <c r="F565" s="6" t="s">
        <v>132</v>
      </c>
      <c r="G565" s="1" t="s">
        <v>11922</v>
      </c>
      <c r="H565" s="1" t="s">
        <v>11923</v>
      </c>
      <c r="I565" s="1" t="s">
        <v>11919</v>
      </c>
      <c r="J565" s="6" t="s">
        <v>11924</v>
      </c>
      <c r="K565" s="1" t="s">
        <v>11919</v>
      </c>
      <c r="L565" s="1" t="s">
        <v>11925</v>
      </c>
      <c r="M565" s="1" t="s">
        <v>11926</v>
      </c>
      <c r="N565" s="6" t="s">
        <v>132</v>
      </c>
      <c r="O565" s="6" t="s">
        <v>11927</v>
      </c>
      <c r="P565" s="1" t="s">
        <v>11919</v>
      </c>
      <c r="Q565" s="1" t="s">
        <v>11928</v>
      </c>
      <c r="R565" s="1" t="s">
        <v>11919</v>
      </c>
      <c r="S565" s="10" t="s">
        <v>11929</v>
      </c>
      <c r="T565" s="1" t="s">
        <v>11930</v>
      </c>
      <c r="U565" s="1" t="s">
        <v>11931</v>
      </c>
      <c r="V565" s="1" t="s">
        <v>11928</v>
      </c>
      <c r="W565" s="1" t="s">
        <v>11919</v>
      </c>
      <c r="X565" s="1" t="s">
        <v>11919</v>
      </c>
      <c r="Y565" s="1" t="s">
        <v>11919</v>
      </c>
      <c r="Z565" s="1" t="s">
        <v>11919</v>
      </c>
      <c r="AA565" s="1" t="s">
        <v>11932</v>
      </c>
      <c r="AB565" s="1" t="s">
        <v>11933</v>
      </c>
      <c r="AC565" s="1" t="s">
        <v>11934</v>
      </c>
      <c r="AD565" s="6" t="s">
        <v>11935</v>
      </c>
      <c r="AE565" s="1" t="s">
        <v>11919</v>
      </c>
      <c r="AF565" s="1" t="s">
        <v>11919</v>
      </c>
      <c r="AG565" s="6" t="s">
        <v>11936</v>
      </c>
      <c r="AH565" s="1" t="s">
        <v>11937</v>
      </c>
      <c r="AI565" s="6" t="s">
        <v>132</v>
      </c>
      <c r="AJ565" s="6" t="s">
        <v>11938</v>
      </c>
      <c r="AK565" s="1" t="s">
        <v>11939</v>
      </c>
      <c r="AL565" s="6" t="s">
        <v>11940</v>
      </c>
    </row>
    <row r="566" ht="15.75" customHeight="1">
      <c r="A566" s="1" t="s">
        <v>127</v>
      </c>
      <c r="B566" s="1" t="s">
        <v>11941</v>
      </c>
      <c r="C566" s="1" t="s">
        <v>11942</v>
      </c>
      <c r="D566" s="8" t="s">
        <v>11943</v>
      </c>
      <c r="E566" s="1" t="s">
        <v>11944</v>
      </c>
      <c r="F566" s="6" t="s">
        <v>132</v>
      </c>
      <c r="G566" s="1" t="s">
        <v>11942</v>
      </c>
      <c r="H566" s="1" t="s">
        <v>11942</v>
      </c>
      <c r="I566" s="1" t="s">
        <v>11942</v>
      </c>
      <c r="J566" s="6" t="s">
        <v>11942</v>
      </c>
      <c r="K566" s="1" t="s">
        <v>11942</v>
      </c>
      <c r="L566" s="1" t="s">
        <v>11942</v>
      </c>
      <c r="M566" s="1" t="s">
        <v>11942</v>
      </c>
      <c r="N566" s="6" t="s">
        <v>132</v>
      </c>
      <c r="O566" s="6" t="s">
        <v>11945</v>
      </c>
      <c r="P566" s="1" t="s">
        <v>11942</v>
      </c>
      <c r="Q566" s="1" t="s">
        <v>11946</v>
      </c>
      <c r="R566" s="1" t="s">
        <v>11942</v>
      </c>
      <c r="S566" s="10" t="s">
        <v>11947</v>
      </c>
      <c r="T566" s="1" t="s">
        <v>11948</v>
      </c>
      <c r="U566" s="1" t="s">
        <v>11942</v>
      </c>
      <c r="V566" s="1" t="s">
        <v>11946</v>
      </c>
      <c r="W566" s="1" t="s">
        <v>11942</v>
      </c>
      <c r="X566" s="1" t="s">
        <v>11949</v>
      </c>
      <c r="Y566" s="1" t="s">
        <v>11942</v>
      </c>
      <c r="Z566" s="1" t="s">
        <v>11942</v>
      </c>
      <c r="AA566" s="1" t="s">
        <v>11950</v>
      </c>
      <c r="AB566" s="1" t="s">
        <v>11310</v>
      </c>
      <c r="AC566" s="1" t="s">
        <v>11951</v>
      </c>
      <c r="AD566" s="6" t="s">
        <v>11952</v>
      </c>
      <c r="AE566" s="1" t="s">
        <v>11942</v>
      </c>
      <c r="AF566" s="1" t="s">
        <v>11942</v>
      </c>
      <c r="AG566" s="6" t="s">
        <v>11942</v>
      </c>
      <c r="AH566" s="1" t="s">
        <v>11942</v>
      </c>
      <c r="AI566" s="6" t="s">
        <v>132</v>
      </c>
      <c r="AJ566" s="6" t="s">
        <v>11942</v>
      </c>
      <c r="AK566" s="1" t="s">
        <v>11953</v>
      </c>
      <c r="AL566" s="6" t="s">
        <v>11954</v>
      </c>
    </row>
    <row r="567" ht="15.75" hidden="1" customHeight="1">
      <c r="A567" s="1" t="s">
        <v>38</v>
      </c>
      <c r="B567" s="1" t="s">
        <v>11955</v>
      </c>
      <c r="C567" s="1" t="s">
        <v>11956</v>
      </c>
      <c r="D567" s="8" t="s">
        <v>11957</v>
      </c>
      <c r="E567" s="1" t="s">
        <v>11958</v>
      </c>
      <c r="F567" s="6" t="s">
        <v>11959</v>
      </c>
      <c r="G567" s="7" t="str">
        <f>IFERROR(__xludf.DUMMYFUNCTION("GOOGLETRANSLATE(C567, ""en"", ""cs"")"),"Dokončena registrace")</f>
        <v>Dokončena registrace</v>
      </c>
      <c r="H567" s="7" t="str">
        <f>IFERROR(__xludf.DUMMYFUNCTION("GOOGLETRANSLATE(C567, ""en"", ""da"")"),"Registrering afsluttet")</f>
        <v>Registrering afsluttet</v>
      </c>
      <c r="I567" s="1" t="s">
        <v>11960</v>
      </c>
      <c r="J567" s="6" t="s">
        <v>132</v>
      </c>
      <c r="K567" s="1" t="s">
        <v>11961</v>
      </c>
      <c r="L567" s="7" t="str">
        <f>IFERROR(__xludf.DUMMYFUNCTION("GOOGLETRANSLATE(C567, ""en"", ""fi"")"),"Rekisteröinti valmis")</f>
        <v>Rekisteröinti valmis</v>
      </c>
      <c r="M567" s="1" t="s">
        <v>11962</v>
      </c>
      <c r="N567" s="6" t="s">
        <v>11963</v>
      </c>
      <c r="O567" s="6" t="s">
        <v>132</v>
      </c>
      <c r="P567" s="1" t="s">
        <v>11964</v>
      </c>
      <c r="Q567" s="9" t="s">
        <v>11965</v>
      </c>
      <c r="R567" s="1" t="s">
        <v>11966</v>
      </c>
      <c r="S567" s="6" t="s">
        <v>132</v>
      </c>
      <c r="T567" s="1" t="s">
        <v>11967</v>
      </c>
      <c r="U567" s="1" t="s">
        <v>11968</v>
      </c>
      <c r="V567" s="7" t="str">
        <f>IFERROR(__xludf.DUMMYFUNCTION("GOOGLETRANSLATE(C567, ""en"", ""ms"")"),"Pendaftaran selesai")</f>
        <v>Pendaftaran selesai</v>
      </c>
      <c r="W567" s="1" t="s">
        <v>11969</v>
      </c>
      <c r="X567" s="7" t="str">
        <f>IFERROR(__xludf.DUMMYFUNCTION("GOOGLETRANSLATE(C567, ""en"", ""no"")"),"Registrering fullført")</f>
        <v>Registrering fullført</v>
      </c>
      <c r="Y567" s="1" t="s">
        <v>11970</v>
      </c>
      <c r="Z567" s="1" t="s">
        <v>11971</v>
      </c>
      <c r="AA567" s="7" t="str">
        <f>IFERROR(__xludf.DUMMYFUNCTION("GOOGLETRANSLATE(C567, ""en"", ""ro"")"),"Înregistrarea finalizată")</f>
        <v>Înregistrarea finalizată</v>
      </c>
      <c r="AB567" s="1" t="s">
        <v>11972</v>
      </c>
      <c r="AC567" s="1" t="s">
        <v>11973</v>
      </c>
      <c r="AD567" s="6" t="s">
        <v>132</v>
      </c>
      <c r="AE567" s="1" t="s">
        <v>11974</v>
      </c>
      <c r="AF567" s="1" t="s">
        <v>11975</v>
      </c>
      <c r="AG567" s="6" t="s">
        <v>132</v>
      </c>
      <c r="AH567" s="7" t="str">
        <f>IFERROR(__xludf.DUMMYFUNCTION("GOOGLETRANSLATE(C567, ""en"", ""tr"")"),"Kayıt tamamlandı")</f>
        <v>Kayıt tamamlandı</v>
      </c>
      <c r="AI567" s="6" t="s">
        <v>11976</v>
      </c>
      <c r="AJ567" s="6" t="s">
        <v>11977</v>
      </c>
      <c r="AK567" s="7" t="str">
        <f>IFERROR(__xludf.DUMMYFUNCTION("GOOGLETRANSLATE(C567, ""en"", ""zh"")"),"注册完成")</f>
        <v>注册完成</v>
      </c>
      <c r="AL567" s="6" t="s">
        <v>11978</v>
      </c>
    </row>
    <row r="568" ht="15.75" customHeight="1">
      <c r="A568" s="1" t="s">
        <v>127</v>
      </c>
      <c r="B568" s="1" t="s">
        <v>11979</v>
      </c>
      <c r="C568" s="1" t="s">
        <v>11980</v>
      </c>
      <c r="D568" s="8" t="s">
        <v>11981</v>
      </c>
      <c r="E568" s="1" t="s">
        <v>11982</v>
      </c>
      <c r="F568" s="6" t="s">
        <v>132</v>
      </c>
      <c r="G568" s="1" t="s">
        <v>11983</v>
      </c>
      <c r="H568" s="1" t="s">
        <v>11984</v>
      </c>
      <c r="I568" s="1" t="s">
        <v>11980</v>
      </c>
      <c r="J568" s="6" t="s">
        <v>11985</v>
      </c>
      <c r="K568" s="1" t="s">
        <v>11986</v>
      </c>
      <c r="L568" s="1" t="s">
        <v>11987</v>
      </c>
      <c r="M568" s="1" t="s">
        <v>11980</v>
      </c>
      <c r="N568" s="6" t="s">
        <v>132</v>
      </c>
      <c r="O568" s="6" t="s">
        <v>11988</v>
      </c>
      <c r="P568" s="1" t="s">
        <v>11980</v>
      </c>
      <c r="Q568" s="1" t="s">
        <v>11989</v>
      </c>
      <c r="R568" s="1" t="s">
        <v>11980</v>
      </c>
      <c r="S568" s="10" t="s">
        <v>11990</v>
      </c>
      <c r="T568" s="1" t="s">
        <v>11991</v>
      </c>
      <c r="U568" s="1" t="s">
        <v>11992</v>
      </c>
      <c r="V568" s="1" t="s">
        <v>11993</v>
      </c>
      <c r="W568" s="1" t="s">
        <v>11980</v>
      </c>
      <c r="X568" s="1" t="s">
        <v>11994</v>
      </c>
      <c r="Y568" s="1" t="s">
        <v>11980</v>
      </c>
      <c r="Z568" s="1" t="s">
        <v>11980</v>
      </c>
      <c r="AA568" s="1" t="s">
        <v>11995</v>
      </c>
      <c r="AB568" s="1" t="s">
        <v>11996</v>
      </c>
      <c r="AC568" s="1" t="s">
        <v>11997</v>
      </c>
      <c r="AD568" s="6" t="s">
        <v>11998</v>
      </c>
      <c r="AE568" s="1" t="s">
        <v>11980</v>
      </c>
      <c r="AF568" s="1" t="s">
        <v>11980</v>
      </c>
      <c r="AG568" s="6" t="s">
        <v>11980</v>
      </c>
      <c r="AH568" s="1" t="s">
        <v>11999</v>
      </c>
      <c r="AI568" s="6" t="s">
        <v>132</v>
      </c>
      <c r="AJ568" s="6" t="s">
        <v>12000</v>
      </c>
      <c r="AK568" s="1" t="s">
        <v>12001</v>
      </c>
      <c r="AL568" s="6" t="s">
        <v>12002</v>
      </c>
    </row>
    <row r="569" ht="15.75" customHeight="1">
      <c r="A569" s="1" t="s">
        <v>127</v>
      </c>
      <c r="B569" s="1" t="s">
        <v>12003</v>
      </c>
      <c r="C569" s="1" t="s">
        <v>12004</v>
      </c>
      <c r="D569" s="8" t="s">
        <v>12005</v>
      </c>
      <c r="E569" s="1" t="s">
        <v>12006</v>
      </c>
      <c r="F569" s="6" t="s">
        <v>132</v>
      </c>
      <c r="G569" s="1" t="s">
        <v>12007</v>
      </c>
      <c r="H569" s="1" t="s">
        <v>12008</v>
      </c>
      <c r="I569" s="1" t="s">
        <v>12004</v>
      </c>
      <c r="J569" s="6" t="s">
        <v>12009</v>
      </c>
      <c r="K569" s="1" t="s">
        <v>12004</v>
      </c>
      <c r="L569" s="1" t="s">
        <v>12010</v>
      </c>
      <c r="M569" s="1" t="s">
        <v>12011</v>
      </c>
      <c r="N569" s="6" t="s">
        <v>132</v>
      </c>
      <c r="O569" s="6" t="s">
        <v>12012</v>
      </c>
      <c r="P569" s="1" t="s">
        <v>12004</v>
      </c>
      <c r="Q569" s="1" t="s">
        <v>12013</v>
      </c>
      <c r="R569" s="1" t="s">
        <v>12004</v>
      </c>
      <c r="S569" s="10" t="s">
        <v>12014</v>
      </c>
      <c r="T569" s="1" t="s">
        <v>12015</v>
      </c>
      <c r="U569" s="1" t="s">
        <v>12016</v>
      </c>
      <c r="V569" s="1" t="s">
        <v>12017</v>
      </c>
      <c r="W569" s="1" t="s">
        <v>12004</v>
      </c>
      <c r="X569" s="1" t="s">
        <v>12018</v>
      </c>
      <c r="Y569" s="1" t="s">
        <v>12004</v>
      </c>
      <c r="Z569" s="1" t="s">
        <v>12019</v>
      </c>
      <c r="AA569" s="1" t="s">
        <v>12020</v>
      </c>
      <c r="AB569" s="1" t="s">
        <v>12021</v>
      </c>
      <c r="AC569" s="1" t="s">
        <v>12022</v>
      </c>
      <c r="AD569" s="6" t="s">
        <v>12023</v>
      </c>
      <c r="AE569" s="1" t="s">
        <v>12004</v>
      </c>
      <c r="AF569" s="1" t="s">
        <v>12004</v>
      </c>
      <c r="AG569" s="6" t="s">
        <v>12004</v>
      </c>
      <c r="AH569" s="1" t="s">
        <v>12024</v>
      </c>
      <c r="AI569" s="6" t="s">
        <v>132</v>
      </c>
      <c r="AJ569" s="6" t="s">
        <v>12025</v>
      </c>
      <c r="AK569" s="1" t="s">
        <v>12026</v>
      </c>
      <c r="AL569" s="6" t="s">
        <v>12027</v>
      </c>
    </row>
    <row r="570" ht="15.75" customHeight="1">
      <c r="A570" s="1" t="s">
        <v>127</v>
      </c>
      <c r="B570" s="1" t="s">
        <v>12028</v>
      </c>
      <c r="C570" s="1" t="s">
        <v>12029</v>
      </c>
      <c r="D570" s="8" t="s">
        <v>12030</v>
      </c>
      <c r="E570" s="1" t="s">
        <v>12031</v>
      </c>
      <c r="F570" s="6" t="s">
        <v>132</v>
      </c>
      <c r="G570" s="1" t="s">
        <v>12032</v>
      </c>
      <c r="H570" s="1" t="s">
        <v>12033</v>
      </c>
      <c r="I570" s="1" t="s">
        <v>12029</v>
      </c>
      <c r="J570" s="6" t="s">
        <v>12034</v>
      </c>
      <c r="K570" s="1" t="s">
        <v>12029</v>
      </c>
      <c r="L570" s="1" t="s">
        <v>12035</v>
      </c>
      <c r="M570" s="1" t="s">
        <v>12029</v>
      </c>
      <c r="N570" s="6" t="s">
        <v>132</v>
      </c>
      <c r="O570" s="6" t="s">
        <v>12036</v>
      </c>
      <c r="P570" s="1" t="s">
        <v>12029</v>
      </c>
      <c r="Q570" s="1" t="s">
        <v>12037</v>
      </c>
      <c r="R570" s="1" t="s">
        <v>12029</v>
      </c>
      <c r="S570" s="10" t="s">
        <v>12038</v>
      </c>
      <c r="T570" s="1" t="s">
        <v>2187</v>
      </c>
      <c r="U570" s="1" t="s">
        <v>2188</v>
      </c>
      <c r="V570" s="1" t="s">
        <v>12037</v>
      </c>
      <c r="W570" s="1" t="s">
        <v>12029</v>
      </c>
      <c r="X570" s="1" t="s">
        <v>12039</v>
      </c>
      <c r="Y570" s="1" t="s">
        <v>12029</v>
      </c>
      <c r="Z570" s="1" t="s">
        <v>12029</v>
      </c>
      <c r="AA570" s="1" t="s">
        <v>12040</v>
      </c>
      <c r="AB570" s="1" t="s">
        <v>12041</v>
      </c>
      <c r="AC570" s="1" t="s">
        <v>12042</v>
      </c>
      <c r="AD570" s="6" t="s">
        <v>12043</v>
      </c>
      <c r="AE570" s="1" t="s">
        <v>12029</v>
      </c>
      <c r="AF570" s="1" t="s">
        <v>12029</v>
      </c>
      <c r="AG570" s="6" t="s">
        <v>12029</v>
      </c>
      <c r="AH570" s="1" t="s">
        <v>12044</v>
      </c>
      <c r="AI570" s="6" t="s">
        <v>132</v>
      </c>
      <c r="AJ570" s="6" t="s">
        <v>12045</v>
      </c>
      <c r="AK570" s="1" t="s">
        <v>12046</v>
      </c>
      <c r="AL570" s="6" t="s">
        <v>12047</v>
      </c>
    </row>
    <row r="571" ht="15.75" hidden="1" customHeight="1">
      <c r="A571" s="1" t="s">
        <v>38</v>
      </c>
      <c r="B571" s="1" t="s">
        <v>12048</v>
      </c>
      <c r="C571" s="1" t="s">
        <v>12049</v>
      </c>
      <c r="D571" s="8" t="s">
        <v>12050</v>
      </c>
      <c r="E571" s="1" t="s">
        <v>12051</v>
      </c>
      <c r="F571" s="6" t="s">
        <v>12052</v>
      </c>
      <c r="G571" s="7" t="str">
        <f>IFERROR(__xludf.DUMMYFUNCTION("GOOGLETRANSLATE(C571, ""en"", ""cs"")"),"naposledy viděl jen teď")</f>
        <v>naposledy viděl jen teď</v>
      </c>
      <c r="H571" s="7" t="str">
        <f>IFERROR(__xludf.DUMMYFUNCTION("GOOGLETRANSLATE(C571, ""en"", ""da"")"),"sidst set lige nu")</f>
        <v>sidst set lige nu</v>
      </c>
      <c r="I571" s="1" t="s">
        <v>12053</v>
      </c>
      <c r="J571" s="6" t="s">
        <v>132</v>
      </c>
      <c r="K571" s="1" t="s">
        <v>12054</v>
      </c>
      <c r="L571" s="7" t="str">
        <f>IFERROR(__xludf.DUMMYFUNCTION("GOOGLETRANSLATE(C571, ""en"", ""fi"")"),"Viimeksi nähnyt juuri nyt")</f>
        <v>Viimeksi nähnyt juuri nyt</v>
      </c>
      <c r="M571" s="1" t="s">
        <v>12055</v>
      </c>
      <c r="N571" s="6" t="s">
        <v>12056</v>
      </c>
      <c r="O571" s="6" t="s">
        <v>132</v>
      </c>
      <c r="P571" s="1" t="s">
        <v>12057</v>
      </c>
      <c r="Q571" s="9" t="s">
        <v>12058</v>
      </c>
      <c r="R571" s="1" t="s">
        <v>12059</v>
      </c>
      <c r="S571" s="6" t="s">
        <v>132</v>
      </c>
      <c r="T571" s="1" t="s">
        <v>12060</v>
      </c>
      <c r="U571" s="1" t="s">
        <v>12061</v>
      </c>
      <c r="V571" s="7" t="str">
        <f>IFERROR(__xludf.DUMMYFUNCTION("GOOGLETRANSLATE(C571, ""en"", ""ms"")"),"terakhir dilihat sekarang")</f>
        <v>terakhir dilihat sekarang</v>
      </c>
      <c r="W571" s="1" t="s">
        <v>12062</v>
      </c>
      <c r="X571" s="7" t="str">
        <f>IFERROR(__xludf.DUMMYFUNCTION("GOOGLETRANSLATE(C571, ""en"", ""no"")"),"Sist sett akkurat nå")</f>
        <v>Sist sett akkurat nå</v>
      </c>
      <c r="Y571" s="1" t="s">
        <v>12063</v>
      </c>
      <c r="Z571" s="1" t="s">
        <v>12064</v>
      </c>
      <c r="AA571" s="7" t="str">
        <f>IFERROR(__xludf.DUMMYFUNCTION("GOOGLETRANSLATE(C571, ""en"", ""ro"")"),"vazut ultima data acum")</f>
        <v>vazut ultima data acum</v>
      </c>
      <c r="AB571" s="1" t="s">
        <v>12065</v>
      </c>
      <c r="AC571" s="1" t="s">
        <v>12066</v>
      </c>
      <c r="AD571" s="6" t="s">
        <v>132</v>
      </c>
      <c r="AE571" s="1" t="s">
        <v>12067</v>
      </c>
      <c r="AF571" s="1" t="s">
        <v>12068</v>
      </c>
      <c r="AG571" s="6" t="s">
        <v>132</v>
      </c>
      <c r="AH571" s="7" t="str">
        <f>IFERROR(__xludf.DUMMYFUNCTION("GOOGLETRANSLATE(C571, ""en"", ""tr"")"),"son şimdi gördüm")</f>
        <v>son şimdi gördüm</v>
      </c>
      <c r="AI571" s="6" t="s">
        <v>12069</v>
      </c>
      <c r="AJ571" s="6" t="s">
        <v>12070</v>
      </c>
      <c r="AK571" s="7" t="str">
        <f>IFERROR(__xludf.DUMMYFUNCTION("GOOGLETRANSLATE(C571, ""en"", ""zh"")"),"最后看见了")</f>
        <v>最后看见了</v>
      </c>
      <c r="AL571" s="6" t="s">
        <v>12071</v>
      </c>
    </row>
    <row r="572" ht="15.75" customHeight="1">
      <c r="A572" s="1" t="s">
        <v>127</v>
      </c>
      <c r="B572" s="1" t="s">
        <v>12072</v>
      </c>
      <c r="C572" s="1" t="s">
        <v>12073</v>
      </c>
      <c r="D572" s="1" t="s">
        <v>12073</v>
      </c>
      <c r="E572" s="1" t="s">
        <v>12073</v>
      </c>
      <c r="F572" s="6" t="s">
        <v>132</v>
      </c>
      <c r="G572" s="1" t="s">
        <v>12073</v>
      </c>
      <c r="H572" s="1" t="s">
        <v>12073</v>
      </c>
      <c r="I572" s="1" t="s">
        <v>12073</v>
      </c>
      <c r="J572" s="6" t="s">
        <v>12073</v>
      </c>
      <c r="K572" s="1" t="s">
        <v>12073</v>
      </c>
      <c r="L572" s="1" t="s">
        <v>12073</v>
      </c>
      <c r="M572" s="1" t="s">
        <v>12073</v>
      </c>
      <c r="N572" s="6" t="s">
        <v>132</v>
      </c>
      <c r="O572" s="6" t="s">
        <v>12074</v>
      </c>
      <c r="P572" s="1" t="s">
        <v>12073</v>
      </c>
      <c r="Q572" s="1" t="s">
        <v>12073</v>
      </c>
      <c r="R572" s="1" t="s">
        <v>12073</v>
      </c>
      <c r="S572" s="6" t="s">
        <v>12073</v>
      </c>
      <c r="T572" s="1" t="s">
        <v>12073</v>
      </c>
      <c r="U572" s="1" t="s">
        <v>12073</v>
      </c>
      <c r="V572" s="1" t="s">
        <v>12073</v>
      </c>
      <c r="W572" s="1" t="s">
        <v>12073</v>
      </c>
      <c r="X572" s="1" t="s">
        <v>12073</v>
      </c>
      <c r="Y572" s="1" t="s">
        <v>12073</v>
      </c>
      <c r="Z572" s="1" t="s">
        <v>12073</v>
      </c>
      <c r="AA572" s="1" t="s">
        <v>12073</v>
      </c>
      <c r="AB572" s="1" t="s">
        <v>12075</v>
      </c>
      <c r="AC572" s="1" t="s">
        <v>12073</v>
      </c>
      <c r="AD572" s="6" t="s">
        <v>12073</v>
      </c>
      <c r="AE572" s="1" t="s">
        <v>12073</v>
      </c>
      <c r="AF572" s="1" t="s">
        <v>12073</v>
      </c>
      <c r="AG572" s="6" t="s">
        <v>12073</v>
      </c>
      <c r="AH572" s="1" t="s">
        <v>12073</v>
      </c>
      <c r="AI572" s="6" t="s">
        <v>132</v>
      </c>
      <c r="AJ572" s="6" t="s">
        <v>12073</v>
      </c>
      <c r="AK572" s="1" t="s">
        <v>12076</v>
      </c>
      <c r="AL572" s="6" t="s">
        <v>12077</v>
      </c>
    </row>
    <row r="573" ht="15.75" hidden="1" customHeight="1">
      <c r="A573" s="1" t="s">
        <v>38</v>
      </c>
      <c r="B573" s="1" t="s">
        <v>12078</v>
      </c>
      <c r="C573" s="1" t="s">
        <v>12079</v>
      </c>
      <c r="D573" s="8" t="s">
        <v>12080</v>
      </c>
      <c r="E573" s="1" t="s">
        <v>12081</v>
      </c>
      <c r="F573" s="6" t="s">
        <v>12082</v>
      </c>
      <c r="G573" s="7" t="str">
        <f>IFERROR(__xludf.DUMMYFUNCTION("GOOGLETRANSLATE(C573, ""en"", ""cs"")"),"Nelze se připojit k účtu")</f>
        <v>Nelze se připojit k účtu</v>
      </c>
      <c r="H573" s="7" t="str">
        <f>IFERROR(__xludf.DUMMYFUNCTION("GOOGLETRANSLATE(C573, ""en"", ""da"")"),"Kan ikke oprette forbindelse til konto")</f>
        <v>Kan ikke oprette forbindelse til konto</v>
      </c>
      <c r="I573" s="1" t="s">
        <v>12083</v>
      </c>
      <c r="J573" s="6" t="s">
        <v>132</v>
      </c>
      <c r="K573" s="1" t="s">
        <v>12084</v>
      </c>
      <c r="L573" s="7" t="str">
        <f>IFERROR(__xludf.DUMMYFUNCTION("GOOGLETRANSLATE(C573, ""en"", ""fi"")"),"Tiliyhteyden muodostaminen ei onnistu")</f>
        <v>Tiliyhteyden muodostaminen ei onnistu</v>
      </c>
      <c r="M573" s="1" t="s">
        <v>12085</v>
      </c>
      <c r="N573" s="6" t="s">
        <v>12086</v>
      </c>
      <c r="O573" s="6" t="s">
        <v>132</v>
      </c>
      <c r="P573" s="1" t="s">
        <v>12087</v>
      </c>
      <c r="Q573" s="9" t="s">
        <v>12088</v>
      </c>
      <c r="R573" s="1" t="s">
        <v>12089</v>
      </c>
      <c r="S573" s="6" t="s">
        <v>132</v>
      </c>
      <c r="T573" s="1" t="s">
        <v>12090</v>
      </c>
      <c r="U573" s="1" t="s">
        <v>12091</v>
      </c>
      <c r="V573" s="7" t="str">
        <f>IFERROR(__xludf.DUMMYFUNCTION("GOOGLETRANSLATE(C573, ""en"", ""ms"")"),"Tidak dapat menyambung ke akaun")</f>
        <v>Tidak dapat menyambung ke akaun</v>
      </c>
      <c r="W573" s="1" t="s">
        <v>12092</v>
      </c>
      <c r="X573" s="7" t="str">
        <f>IFERROR(__xludf.DUMMYFUNCTION("GOOGLETRANSLATE(C573, ""en"", ""no"")"),"Kan ikke koble til konto")</f>
        <v>Kan ikke koble til konto</v>
      </c>
      <c r="Y573" s="1" t="s">
        <v>12093</v>
      </c>
      <c r="Z573" s="1" t="s">
        <v>12094</v>
      </c>
      <c r="AA573" s="7" t="str">
        <f>IFERROR(__xludf.DUMMYFUNCTION("GOOGLETRANSLATE(C573, ""en"", ""ro"")"),"Imposibil de conectat la cont")</f>
        <v>Imposibil de conectat la cont</v>
      </c>
      <c r="AB573" s="1" t="s">
        <v>12095</v>
      </c>
      <c r="AC573" s="1" t="s">
        <v>12096</v>
      </c>
      <c r="AD573" s="6" t="s">
        <v>132</v>
      </c>
      <c r="AE573" s="1" t="s">
        <v>12097</v>
      </c>
      <c r="AF573" s="1" t="s">
        <v>12098</v>
      </c>
      <c r="AG573" s="6" t="s">
        <v>132</v>
      </c>
      <c r="AH573" s="7" t="str">
        <f>IFERROR(__xludf.DUMMYFUNCTION("GOOGLETRANSLATE(C573, ""en"", ""tr"")"),"Hesaba bağlanılamıyor")</f>
        <v>Hesaba bağlanılamıyor</v>
      </c>
      <c r="AI573" s="6" t="s">
        <v>12099</v>
      </c>
      <c r="AJ573" s="6" t="s">
        <v>12100</v>
      </c>
      <c r="AK573" s="7" t="str">
        <f>IFERROR(__xludf.DUMMYFUNCTION("GOOGLETRANSLATE(C573, ""en"", ""zh"")"),"无法连接到帐户")</f>
        <v>无法连接到帐户</v>
      </c>
      <c r="AL573" s="6" t="s">
        <v>12101</v>
      </c>
    </row>
    <row r="574" ht="15.75" hidden="1" customHeight="1">
      <c r="A574" s="1" t="s">
        <v>38</v>
      </c>
      <c r="B574" s="1" t="s">
        <v>12102</v>
      </c>
      <c r="C574" s="1" t="s">
        <v>12103</v>
      </c>
      <c r="D574" s="8" t="s">
        <v>12104</v>
      </c>
      <c r="E574" s="1" t="s">
        <v>12105</v>
      </c>
      <c r="F574" s="6" t="s">
        <v>12106</v>
      </c>
      <c r="G574" s="7" t="str">
        <f>IFERROR(__xludf.DUMMYFUNCTION("GOOGLETRANSLATE(C574, ""en"", ""cs"")"),"Zrušit přenos")</f>
        <v>Zrušit přenos</v>
      </c>
      <c r="H574" s="7" t="str">
        <f>IFERROR(__xludf.DUMMYFUNCTION("GOOGLETRANSLATE(C574, ""en"", ""da"")"),"Annuller transmission")</f>
        <v>Annuller transmission</v>
      </c>
      <c r="I574" s="1" t="s">
        <v>12107</v>
      </c>
      <c r="J574" s="6" t="s">
        <v>132</v>
      </c>
      <c r="K574" s="1" t="s">
        <v>12108</v>
      </c>
      <c r="L574" s="7" t="str">
        <f>IFERROR(__xludf.DUMMYFUNCTION("GOOGLETRANSLATE(C574, ""en"", ""fi"")"),"Peruuta lähetys")</f>
        <v>Peruuta lähetys</v>
      </c>
      <c r="M574" s="1" t="s">
        <v>12109</v>
      </c>
      <c r="N574" s="6" t="s">
        <v>12110</v>
      </c>
      <c r="O574" s="6" t="s">
        <v>132</v>
      </c>
      <c r="P574" s="1" t="s">
        <v>12111</v>
      </c>
      <c r="Q574" s="9" t="s">
        <v>12112</v>
      </c>
      <c r="R574" s="1" t="s">
        <v>12113</v>
      </c>
      <c r="S574" s="6" t="s">
        <v>132</v>
      </c>
      <c r="T574" s="1" t="s">
        <v>12114</v>
      </c>
      <c r="U574" s="1" t="s">
        <v>12115</v>
      </c>
      <c r="V574" s="7" t="str">
        <f>IFERROR(__xludf.DUMMYFUNCTION("GOOGLETRANSLATE(C574, ""en"", ""ms"")"),"Batalkan penghantaran")</f>
        <v>Batalkan penghantaran</v>
      </c>
      <c r="W574" s="1" t="s">
        <v>12116</v>
      </c>
      <c r="X574" s="7" t="str">
        <f>IFERROR(__xludf.DUMMYFUNCTION("GOOGLETRANSLATE(C574, ""en"", ""no"")"),"Avbryt overføring")</f>
        <v>Avbryt overføring</v>
      </c>
      <c r="Y574" s="1" t="s">
        <v>12117</v>
      </c>
      <c r="Z574" s="1" t="s">
        <v>12118</v>
      </c>
      <c r="AA574" s="7" t="str">
        <f>IFERROR(__xludf.DUMMYFUNCTION("GOOGLETRANSLATE(C574, ""en"", ""ro"")"),"Anulați transmisia")</f>
        <v>Anulați transmisia</v>
      </c>
      <c r="AB574" s="1" t="s">
        <v>12119</v>
      </c>
      <c r="AC574" s="1" t="s">
        <v>12120</v>
      </c>
      <c r="AD574" s="6" t="s">
        <v>132</v>
      </c>
      <c r="AE574" s="1" t="s">
        <v>12121</v>
      </c>
      <c r="AF574" s="1" t="s">
        <v>12122</v>
      </c>
      <c r="AG574" s="6" t="s">
        <v>132</v>
      </c>
      <c r="AH574" s="7" t="str">
        <f>IFERROR(__xludf.DUMMYFUNCTION("GOOGLETRANSLATE(C574, ""en"", ""tr"")"),"İletimi iptal et")</f>
        <v>İletimi iptal et</v>
      </c>
      <c r="AI574" s="6" t="s">
        <v>12123</v>
      </c>
      <c r="AJ574" s="6" t="s">
        <v>12124</v>
      </c>
      <c r="AK574" s="7" t="str">
        <f>IFERROR(__xludf.DUMMYFUNCTION("GOOGLETRANSLATE(C574, ""en"", ""zh"")"),"取消传输")</f>
        <v>取消传输</v>
      </c>
      <c r="AL574" s="6" t="s">
        <v>12125</v>
      </c>
    </row>
    <row r="575" ht="15.75" hidden="1" customHeight="1">
      <c r="A575" s="1" t="s">
        <v>38</v>
      </c>
      <c r="B575" s="1" t="s">
        <v>12126</v>
      </c>
      <c r="C575" s="1" t="s">
        <v>12127</v>
      </c>
      <c r="D575" s="8" t="s">
        <v>12128</v>
      </c>
      <c r="E575" s="1" t="s">
        <v>12129</v>
      </c>
      <c r="F575" s="6" t="s">
        <v>12130</v>
      </c>
      <c r="G575" s="7" t="str">
        <f>IFERROR(__xludf.DUMMYFUNCTION("GOOGLETRANSLATE(C575, ""en"", ""cs"")"),"URL souboru")</f>
        <v>URL souboru</v>
      </c>
      <c r="H575" s="7" t="str">
        <f>IFERROR(__xludf.DUMMYFUNCTION("GOOGLETRANSLATE(C575, ""en"", ""da"")"),"Fil url.")</f>
        <v>Fil url.</v>
      </c>
      <c r="I575" s="1" t="s">
        <v>12131</v>
      </c>
      <c r="J575" s="6" t="s">
        <v>132</v>
      </c>
      <c r="K575" s="1" t="s">
        <v>12132</v>
      </c>
      <c r="L575" s="7" t="str">
        <f>IFERROR(__xludf.DUMMYFUNCTION("GOOGLETRANSLATE(C575, ""en"", ""fi"")"),"Tiedoston URL-osoite")</f>
        <v>Tiedoston URL-osoite</v>
      </c>
      <c r="M575" s="1" t="s">
        <v>12133</v>
      </c>
      <c r="N575" s="6" t="s">
        <v>12134</v>
      </c>
      <c r="O575" s="6" t="s">
        <v>132</v>
      </c>
      <c r="P575" s="1" t="s">
        <v>12135</v>
      </c>
      <c r="Q575" s="9" t="s">
        <v>12136</v>
      </c>
      <c r="R575" s="1" t="s">
        <v>12137</v>
      </c>
      <c r="S575" s="6" t="s">
        <v>132</v>
      </c>
      <c r="T575" s="1" t="s">
        <v>12138</v>
      </c>
      <c r="U575" s="1" t="s">
        <v>12139</v>
      </c>
      <c r="V575" s="7" t="str">
        <f>IFERROR(__xludf.DUMMYFUNCTION("GOOGLETRANSLATE(C575, ""en"", ""ms"")"),"Url fail.")</f>
        <v>Url fail.</v>
      </c>
      <c r="W575" s="1" t="s">
        <v>12140</v>
      </c>
      <c r="X575" s="7" t="str">
        <f>IFERROR(__xludf.DUMMYFUNCTION("GOOGLETRANSLATE(C575, ""en"", ""no"")"),"Fil URL.")</f>
        <v>Fil URL.</v>
      </c>
      <c r="Y575" s="1" t="s">
        <v>12141</v>
      </c>
      <c r="Z575" s="1" t="s">
        <v>12134</v>
      </c>
      <c r="AA575" s="7" t="str">
        <f>IFERROR(__xludf.DUMMYFUNCTION("GOOGLETRANSLATE(C575, ""en"", ""ro"")"),"URL-ul fișierului")</f>
        <v>URL-ul fișierului</v>
      </c>
      <c r="AB575" s="1" t="s">
        <v>12142</v>
      </c>
      <c r="AC575" s="1" t="s">
        <v>12143</v>
      </c>
      <c r="AD575" s="6" t="s">
        <v>132</v>
      </c>
      <c r="AE575" s="1" t="s">
        <v>12144</v>
      </c>
      <c r="AF575" s="1" t="s">
        <v>12145</v>
      </c>
      <c r="AG575" s="6" t="s">
        <v>132</v>
      </c>
      <c r="AH575" s="7" t="str">
        <f>IFERROR(__xludf.DUMMYFUNCTION("GOOGLETRANSLATE(C575, ""en"", ""tr"")"),"Dosya url")</f>
        <v>Dosya url</v>
      </c>
      <c r="AI575" s="6" t="s">
        <v>12142</v>
      </c>
      <c r="AJ575" s="6" t="s">
        <v>12146</v>
      </c>
      <c r="AK575" s="7" t="str">
        <f>IFERROR(__xludf.DUMMYFUNCTION("GOOGLETRANSLATE(C575, ""en"", ""zh"")"),"文件URL.")</f>
        <v>文件URL.</v>
      </c>
      <c r="AL575" s="6" t="s">
        <v>12147</v>
      </c>
    </row>
    <row r="576" ht="15.75" customHeight="1">
      <c r="A576" s="1" t="s">
        <v>4051</v>
      </c>
      <c r="B576" s="1" t="s">
        <v>12148</v>
      </c>
      <c r="C576" s="1" t="s">
        <v>12149</v>
      </c>
      <c r="D576" s="8" t="s">
        <v>12150</v>
      </c>
      <c r="E576" s="1" t="s">
        <v>12151</v>
      </c>
      <c r="F576" s="6" t="s">
        <v>132</v>
      </c>
      <c r="G576" s="1" t="s">
        <v>12152</v>
      </c>
      <c r="H576" s="1" t="s">
        <v>12153</v>
      </c>
      <c r="I576" s="7" t="str">
        <f>IFERROR(__xludf.DUMMYFUNCTION("GOOGLETRANSLATE(C576, ""en"", ""de"")"),"Erfolg")</f>
        <v>Erfolg</v>
      </c>
      <c r="J576" s="6" t="s">
        <v>12154</v>
      </c>
      <c r="K576" s="1" t="s">
        <v>12155</v>
      </c>
      <c r="L576" s="1" t="s">
        <v>12156</v>
      </c>
      <c r="M576" s="1" t="s">
        <v>12157</v>
      </c>
      <c r="N576" s="6" t="s">
        <v>132</v>
      </c>
      <c r="O576" s="6" t="s">
        <v>12158</v>
      </c>
      <c r="P576" s="1" t="s">
        <v>12159</v>
      </c>
      <c r="Q576" s="1" t="s">
        <v>12160</v>
      </c>
      <c r="R576" s="1" t="s">
        <v>12161</v>
      </c>
      <c r="S576" s="10" t="s">
        <v>12162</v>
      </c>
      <c r="T576" s="1" t="s">
        <v>12163</v>
      </c>
      <c r="U576" s="1" t="s">
        <v>12164</v>
      </c>
      <c r="V576" s="1" t="s">
        <v>12165</v>
      </c>
      <c r="W576" s="1" t="s">
        <v>12166</v>
      </c>
      <c r="X576" s="1" t="s">
        <v>12167</v>
      </c>
      <c r="Y576" s="11" t="s">
        <v>12168</v>
      </c>
      <c r="Z576" s="1" t="s">
        <v>12169</v>
      </c>
      <c r="AA576" s="1" t="s">
        <v>12153</v>
      </c>
      <c r="AB576" s="7" t="str">
        <f>IFERROR(__xludf.DUMMYFUNCTION("GOOGLETRANSLATE(C576, ""en"", ""ru"")"),"Успех")</f>
        <v>Успех</v>
      </c>
      <c r="AC576" s="1" t="s">
        <v>12170</v>
      </c>
      <c r="AD576" s="6" t="s">
        <v>12171</v>
      </c>
      <c r="AE576" s="7" t="str">
        <f>IFERROR(__xludf.DUMMYFUNCTION("GOOGLETRANSLATE(C576, ""en"", ""sr"")"),"Успех")</f>
        <v>Успех</v>
      </c>
      <c r="AF576" s="1" t="s">
        <v>12172</v>
      </c>
      <c r="AG576" s="6" t="s">
        <v>12173</v>
      </c>
      <c r="AH576" s="1" t="s">
        <v>12174</v>
      </c>
      <c r="AI576" s="6" t="s">
        <v>132</v>
      </c>
      <c r="AJ576" s="6" t="s">
        <v>12175</v>
      </c>
      <c r="AK576" s="14" t="s">
        <v>12163</v>
      </c>
      <c r="AL576" s="6" t="s">
        <v>132</v>
      </c>
    </row>
    <row r="577" ht="15.75" customHeight="1">
      <c r="A577" s="1" t="s">
        <v>127</v>
      </c>
      <c r="B577" s="1" t="s">
        <v>12176</v>
      </c>
      <c r="C577" s="1" t="s">
        <v>12177</v>
      </c>
      <c r="D577" s="8" t="s">
        <v>1089</v>
      </c>
      <c r="E577" s="1" t="s">
        <v>12177</v>
      </c>
      <c r="F577" s="6" t="s">
        <v>132</v>
      </c>
      <c r="G577" s="1" t="s">
        <v>12177</v>
      </c>
      <c r="H577" s="1" t="s">
        <v>12177</v>
      </c>
      <c r="I577" s="1" t="s">
        <v>12178</v>
      </c>
      <c r="J577" s="6" t="s">
        <v>12177</v>
      </c>
      <c r="K577" s="1" t="s">
        <v>12177</v>
      </c>
      <c r="L577" s="1" t="s">
        <v>12177</v>
      </c>
      <c r="M577" s="1" t="s">
        <v>12179</v>
      </c>
      <c r="N577" s="6" t="s">
        <v>132</v>
      </c>
      <c r="O577" s="6" t="s">
        <v>12180</v>
      </c>
      <c r="P577" s="1" t="s">
        <v>12181</v>
      </c>
      <c r="Q577" s="1" t="s">
        <v>12182</v>
      </c>
      <c r="R577" s="1" t="s">
        <v>12177</v>
      </c>
      <c r="S577" s="10" t="s">
        <v>1102</v>
      </c>
      <c r="T577" s="1" t="s">
        <v>12177</v>
      </c>
      <c r="U577" s="1" t="s">
        <v>1104</v>
      </c>
      <c r="V577" s="1" t="s">
        <v>12182</v>
      </c>
      <c r="W577" s="1" t="s">
        <v>12177</v>
      </c>
      <c r="X577" s="1" t="s">
        <v>12177</v>
      </c>
      <c r="Y577" s="1" t="s">
        <v>12177</v>
      </c>
      <c r="Z577" s="1" t="s">
        <v>1106</v>
      </c>
      <c r="AA577" s="1" t="s">
        <v>12177</v>
      </c>
      <c r="AB577" s="1" t="s">
        <v>12183</v>
      </c>
      <c r="AC577" s="1" t="s">
        <v>12177</v>
      </c>
      <c r="AD577" s="6" t="s">
        <v>12177</v>
      </c>
      <c r="AE577" s="1" t="s">
        <v>12177</v>
      </c>
      <c r="AF577" s="1" t="s">
        <v>12177</v>
      </c>
      <c r="AG577" s="6" t="s">
        <v>1111</v>
      </c>
      <c r="AH577" s="1" t="s">
        <v>1112</v>
      </c>
      <c r="AI577" s="6" t="s">
        <v>132</v>
      </c>
      <c r="AJ577" s="6" t="s">
        <v>12184</v>
      </c>
      <c r="AK577" s="1" t="s">
        <v>1114</v>
      </c>
      <c r="AL577" s="6" t="s">
        <v>1115</v>
      </c>
    </row>
    <row r="578" ht="15.75" customHeight="1">
      <c r="A578" s="1" t="s">
        <v>127</v>
      </c>
      <c r="B578" s="1" t="s">
        <v>12185</v>
      </c>
      <c r="C578" s="1" t="s">
        <v>12186</v>
      </c>
      <c r="D578" s="8" t="s">
        <v>12187</v>
      </c>
      <c r="E578" s="1" t="s">
        <v>12188</v>
      </c>
      <c r="F578" s="6" t="s">
        <v>132</v>
      </c>
      <c r="G578" s="1" t="s">
        <v>12189</v>
      </c>
      <c r="H578" s="1" t="s">
        <v>12190</v>
      </c>
      <c r="I578" s="1" t="s">
        <v>12191</v>
      </c>
      <c r="J578" s="6" t="s">
        <v>12192</v>
      </c>
      <c r="K578" s="1" t="s">
        <v>12193</v>
      </c>
      <c r="L578" s="1" t="s">
        <v>12194</v>
      </c>
      <c r="M578" s="1" t="s">
        <v>12186</v>
      </c>
      <c r="N578" s="6" t="s">
        <v>132</v>
      </c>
      <c r="O578" s="6" t="s">
        <v>12195</v>
      </c>
      <c r="P578" s="1" t="s">
        <v>12196</v>
      </c>
      <c r="Q578" s="1" t="s">
        <v>12197</v>
      </c>
      <c r="R578" s="1" t="s">
        <v>12198</v>
      </c>
      <c r="S578" s="10" t="s">
        <v>12199</v>
      </c>
      <c r="T578" s="1" t="s">
        <v>12200</v>
      </c>
      <c r="U578" s="1" t="s">
        <v>12201</v>
      </c>
      <c r="V578" s="1" t="s">
        <v>12202</v>
      </c>
      <c r="W578" s="1" t="s">
        <v>12203</v>
      </c>
      <c r="X578" s="1" t="s">
        <v>12204</v>
      </c>
      <c r="Y578" s="1" t="s">
        <v>12205</v>
      </c>
      <c r="Z578" s="1" t="s">
        <v>12206</v>
      </c>
      <c r="AA578" s="1" t="s">
        <v>12207</v>
      </c>
      <c r="AB578" s="1" t="s">
        <v>12208</v>
      </c>
      <c r="AC578" s="1" t="s">
        <v>12189</v>
      </c>
      <c r="AD578" s="6" t="s">
        <v>12209</v>
      </c>
      <c r="AE578" s="1" t="s">
        <v>12210</v>
      </c>
      <c r="AF578" s="1" t="s">
        <v>12211</v>
      </c>
      <c r="AG578" s="6" t="s">
        <v>12212</v>
      </c>
      <c r="AH578" s="1" t="s">
        <v>12213</v>
      </c>
      <c r="AI578" s="6" t="s">
        <v>132</v>
      </c>
      <c r="AJ578" s="6" t="s">
        <v>12214</v>
      </c>
      <c r="AK578" s="1" t="s">
        <v>12215</v>
      </c>
      <c r="AL578" s="6" t="s">
        <v>12216</v>
      </c>
    </row>
    <row r="579" ht="15.75" customHeight="1">
      <c r="A579" s="1" t="s">
        <v>127</v>
      </c>
      <c r="B579" s="1" t="s">
        <v>12217</v>
      </c>
      <c r="C579" s="1" t="s">
        <v>12218</v>
      </c>
      <c r="D579" s="8" t="s">
        <v>12219</v>
      </c>
      <c r="E579" s="1" t="s">
        <v>12220</v>
      </c>
      <c r="F579" s="6" t="s">
        <v>132</v>
      </c>
      <c r="G579" s="1" t="s">
        <v>12221</v>
      </c>
      <c r="H579" s="1" t="s">
        <v>12222</v>
      </c>
      <c r="I579" s="1" t="s">
        <v>12218</v>
      </c>
      <c r="J579" s="6" t="s">
        <v>12223</v>
      </c>
      <c r="K579" s="1" t="s">
        <v>12224</v>
      </c>
      <c r="L579" s="1" t="s">
        <v>12225</v>
      </c>
      <c r="M579" s="1" t="s">
        <v>12226</v>
      </c>
      <c r="N579" s="6" t="s">
        <v>132</v>
      </c>
      <c r="O579" s="6" t="s">
        <v>12227</v>
      </c>
      <c r="P579" s="1" t="s">
        <v>12228</v>
      </c>
      <c r="Q579" s="1" t="s">
        <v>4875</v>
      </c>
      <c r="R579" s="1" t="s">
        <v>12229</v>
      </c>
      <c r="S579" s="10" t="s">
        <v>12230</v>
      </c>
      <c r="T579" s="1" t="s">
        <v>12231</v>
      </c>
      <c r="U579" s="1" t="s">
        <v>12232</v>
      </c>
      <c r="V579" s="1" t="s">
        <v>12233</v>
      </c>
      <c r="W579" s="1" t="s">
        <v>12234</v>
      </c>
      <c r="X579" s="1" t="s">
        <v>12222</v>
      </c>
      <c r="Y579" s="1" t="s">
        <v>12235</v>
      </c>
      <c r="Z579" s="1" t="s">
        <v>12224</v>
      </c>
      <c r="AA579" s="1" t="s">
        <v>12236</v>
      </c>
      <c r="AB579" s="1" t="s">
        <v>12220</v>
      </c>
      <c r="AC579" s="1" t="s">
        <v>12221</v>
      </c>
      <c r="AD579" s="6" t="s">
        <v>12237</v>
      </c>
      <c r="AE579" s="1" t="s">
        <v>12237</v>
      </c>
      <c r="AF579" s="1" t="s">
        <v>4874</v>
      </c>
      <c r="AG579" s="6" t="s">
        <v>12238</v>
      </c>
      <c r="AH579" s="1" t="s">
        <v>12239</v>
      </c>
      <c r="AI579" s="6" t="s">
        <v>132</v>
      </c>
      <c r="AJ579" s="6" t="s">
        <v>12240</v>
      </c>
      <c r="AK579" s="1" t="s">
        <v>4887</v>
      </c>
      <c r="AL579" s="6" t="s">
        <v>12241</v>
      </c>
    </row>
    <row r="580" ht="15.75" hidden="1" customHeight="1">
      <c r="A580" s="1" t="s">
        <v>38</v>
      </c>
      <c r="B580" s="1" t="s">
        <v>12242</v>
      </c>
      <c r="C580" s="1" t="s">
        <v>12243</v>
      </c>
      <c r="D580" s="7" t="str">
        <f>IFERROR(__xludf.DUMMYFUNCTION("GOOGLETRANSLATE(C580, ""en"", ""ar"")"),"بوروندي")</f>
        <v>بوروندي</v>
      </c>
      <c r="E580" s="7" t="str">
        <f>IFERROR(__xludf.DUMMYFUNCTION("GOOGLETRANSLATE(C580, ""en"", ""bg"")"),"Бурунди")</f>
        <v>Бурунди</v>
      </c>
      <c r="F580" s="6" t="s">
        <v>132</v>
      </c>
      <c r="G580" s="7" t="str">
        <f>IFERROR(__xludf.DUMMYFUNCTION("GOOGLETRANSLATE(C580, ""en"", ""cs"")"),"Burundi.")</f>
        <v>Burundi.</v>
      </c>
      <c r="H580" s="7" t="str">
        <f>IFERROR(__xludf.DUMMYFUNCTION("GOOGLETRANSLATE(C580, ""en"", ""da"")"),"Burundi.")</f>
        <v>Burundi.</v>
      </c>
      <c r="I580" s="1" t="s">
        <v>12243</v>
      </c>
      <c r="J580" s="6" t="s">
        <v>132</v>
      </c>
      <c r="K580" s="1" t="s">
        <v>12243</v>
      </c>
      <c r="L580" s="7" t="str">
        <f>IFERROR(__xludf.DUMMYFUNCTION("GOOGLETRANSLATE(C580, ""en"", ""fi"")"),"Burundi")</f>
        <v>Burundi</v>
      </c>
      <c r="M580" s="1" t="s">
        <v>12243</v>
      </c>
      <c r="N580" s="6" t="s">
        <v>132</v>
      </c>
      <c r="O580" s="6" t="s">
        <v>132</v>
      </c>
      <c r="P580" s="1" t="s">
        <v>12243</v>
      </c>
      <c r="Q580" s="7" t="str">
        <f>IFERROR(__xludf.DUMMYFUNCTION("GOOGLETRANSLATE(C580, ""en"", ""in"")"),"Burundi.")</f>
        <v>Burundi.</v>
      </c>
      <c r="R580" s="7" t="str">
        <f>IFERROR(__xludf.DUMMYFUNCTION("GOOGLETRANSLATE(C580, ""en"", ""it"")"),"Burundi.")</f>
        <v>Burundi.</v>
      </c>
      <c r="S580" s="6" t="s">
        <v>132</v>
      </c>
      <c r="T580" s="7" t="str">
        <f>IFERROR(__xludf.DUMMYFUNCTION("GOOGLETRANSLATE(C580, ""en"", ""ja"")"),"ブルンジー")</f>
        <v>ブルンジー</v>
      </c>
      <c r="U580" s="7" t="str">
        <f>IFERROR(__xludf.DUMMYFUNCTION("GOOGLETRANSLATE(C580, ""en"", ""ko"")"),"부룬디")</f>
        <v>부룬디</v>
      </c>
      <c r="V580" s="7" t="str">
        <f>IFERROR(__xludf.DUMMYFUNCTION("GOOGLETRANSLATE(C580, ""en"", ""ms"")"),"Burundi.")</f>
        <v>Burundi.</v>
      </c>
      <c r="W580" s="7" t="str">
        <f>IFERROR(__xludf.DUMMYFUNCTION("GOOGLETRANSLATE(C580, ""en"", ""nl"")"),"Burundi")</f>
        <v>Burundi</v>
      </c>
      <c r="X580" s="7" t="str">
        <f>IFERROR(__xludf.DUMMYFUNCTION("GOOGLETRANSLATE(C580, ""en"", ""no"")"),"Burundi.")</f>
        <v>Burundi.</v>
      </c>
      <c r="Y580" s="7" t="str">
        <f>IFERROR(__xludf.DUMMYFUNCTION("GOOGLETRANSLATE(C580, ""en"", ""pl"")"),"Burundi.")</f>
        <v>Burundi.</v>
      </c>
      <c r="Z580" s="7" t="str">
        <f>IFERROR(__xludf.DUMMYFUNCTION("GOOGLETRANSLATE(C580, ""en"", ""pt"")"),"Burundi")</f>
        <v>Burundi</v>
      </c>
      <c r="AA580" s="7" t="str">
        <f>IFERROR(__xludf.DUMMYFUNCTION("GOOGLETRANSLATE(C580, ""en"", ""ro"")"),"Burundi.")</f>
        <v>Burundi.</v>
      </c>
      <c r="AB580" s="1" t="s">
        <v>12244</v>
      </c>
      <c r="AC580" s="7" t="str">
        <f>IFERROR(__xludf.DUMMYFUNCTION("GOOGLETRANSLATE(C580, ""en"", ""sk"")"),"Burundi")</f>
        <v>Burundi</v>
      </c>
      <c r="AD580" s="6" t="s">
        <v>132</v>
      </c>
      <c r="AE580" s="1" t="s">
        <v>12243</v>
      </c>
      <c r="AF580" s="7" t="str">
        <f>IFERROR(__xludf.DUMMYFUNCTION("GOOGLETRANSLATE(C580, ""en"", ""sv"")"),"Burundi")</f>
        <v>Burundi</v>
      </c>
      <c r="AG580" s="6" t="s">
        <v>132</v>
      </c>
      <c r="AH580" s="7" t="str">
        <f>IFERROR(__xludf.DUMMYFUNCTION("GOOGLETRANSLATE(C580, ""en"", ""tr"")"),"Burundi")</f>
        <v>Burundi</v>
      </c>
      <c r="AI580" s="6" t="s">
        <v>132</v>
      </c>
      <c r="AJ580" s="6" t="s">
        <v>132</v>
      </c>
      <c r="AK580" s="7" t="str">
        <f>IFERROR(__xludf.DUMMYFUNCTION("GOOGLETRANSLATE(C580, ""en"", ""zh"")"),"布隆迪")</f>
        <v>布隆迪</v>
      </c>
      <c r="AL580" s="6" t="s">
        <v>132</v>
      </c>
    </row>
    <row r="581" ht="15.75" hidden="1" customHeight="1">
      <c r="A581" s="1" t="s">
        <v>38</v>
      </c>
      <c r="B581" s="1" t="s">
        <v>12245</v>
      </c>
      <c r="C581" s="1" t="s">
        <v>12246</v>
      </c>
      <c r="D581" s="8" t="s">
        <v>12247</v>
      </c>
      <c r="E581" s="1" t="s">
        <v>12248</v>
      </c>
      <c r="F581" s="6" t="s">
        <v>12249</v>
      </c>
      <c r="G581" s="7" t="str">
        <f>IFERROR(__xludf.DUMMYFUNCTION("GOOGLETRANSLATE(C581, ""en"", ""cs"")"),"Automaticky přijímat soubory menší než ...")</f>
        <v>Automaticky přijímat soubory menší než ...</v>
      </c>
      <c r="H581" s="7" t="str">
        <f>IFERROR(__xludf.DUMMYFUNCTION("GOOGLETRANSLATE(C581, ""en"", ""da"")"),"Accepter automatisk filer mindre end ...")</f>
        <v>Accepter automatisk filer mindre end ...</v>
      </c>
      <c r="I581" s="1" t="s">
        <v>12250</v>
      </c>
      <c r="J581" s="6" t="s">
        <v>132</v>
      </c>
      <c r="K581" s="1" t="s">
        <v>12251</v>
      </c>
      <c r="L581" s="7" t="str">
        <f>IFERROR(__xludf.DUMMYFUNCTION("GOOGLETRANSLATE(C581, ""en"", ""fi"")"),"Hyväksyy automaattisesti pienempiä tiedostoja kuin ...")</f>
        <v>Hyväksyy automaattisesti pienempiä tiedostoja kuin ...</v>
      </c>
      <c r="M581" s="1" t="s">
        <v>12252</v>
      </c>
      <c r="N581" s="6" t="s">
        <v>12253</v>
      </c>
      <c r="O581" s="6" t="s">
        <v>132</v>
      </c>
      <c r="P581" s="1" t="s">
        <v>12254</v>
      </c>
      <c r="Q581" s="9" t="s">
        <v>12255</v>
      </c>
      <c r="R581" s="1" t="s">
        <v>12256</v>
      </c>
      <c r="S581" s="6" t="s">
        <v>132</v>
      </c>
      <c r="T581" s="1" t="s">
        <v>12257</v>
      </c>
      <c r="U581" s="1" t="s">
        <v>12258</v>
      </c>
      <c r="V581" s="7" t="str">
        <f>IFERROR(__xludf.DUMMYFUNCTION("GOOGLETRANSLATE(C581, ""en"", ""ms"")"),"Secara automatik menerima fail yang lebih kecil daripada ...")</f>
        <v>Secara automatik menerima fail yang lebih kecil daripada ...</v>
      </c>
      <c r="W581" s="1" t="s">
        <v>12259</v>
      </c>
      <c r="X581" s="7" t="str">
        <f>IFERROR(__xludf.DUMMYFUNCTION("GOOGLETRANSLATE(C581, ""en"", ""no"")"),"Godta automatisk filer mindre enn ...")</f>
        <v>Godta automatisk filer mindre enn ...</v>
      </c>
      <c r="Y581" s="1" t="s">
        <v>12260</v>
      </c>
      <c r="Z581" s="1" t="s">
        <v>12261</v>
      </c>
      <c r="AA581" s="7" t="str">
        <f>IFERROR(__xludf.DUMMYFUNCTION("GOOGLETRANSLATE(C581, ""en"", ""ro"")"),"Acceptați automat fișierele mai mici decât ...")</f>
        <v>Acceptați automat fișierele mai mici decât ...</v>
      </c>
      <c r="AB581" s="1" t="s">
        <v>12262</v>
      </c>
      <c r="AC581" s="1" t="s">
        <v>12263</v>
      </c>
      <c r="AD581" s="6" t="s">
        <v>132</v>
      </c>
      <c r="AE581" s="1" t="s">
        <v>12264</v>
      </c>
      <c r="AF581" s="1" t="s">
        <v>12265</v>
      </c>
      <c r="AG581" s="6" t="s">
        <v>132</v>
      </c>
      <c r="AH581" s="7" t="str">
        <f>IFERROR(__xludf.DUMMYFUNCTION("GOOGLETRANSLATE(C581, ""en"", ""tr"")"),"Otomatik olarak daha küçük dosyaları kabul eder ...")</f>
        <v>Otomatik olarak daha küçük dosyaları kabul eder ...</v>
      </c>
      <c r="AI581" s="6" t="s">
        <v>12266</v>
      </c>
      <c r="AJ581" s="6" t="s">
        <v>12267</v>
      </c>
      <c r="AK581" s="7" t="str">
        <f>IFERROR(__xludf.DUMMYFUNCTION("GOOGLETRANSLATE(C581, ""en"", ""zh"")"),"自动接受小于...的文件")</f>
        <v>自动接受小于...的文件</v>
      </c>
      <c r="AL581" s="6" t="s">
        <v>12268</v>
      </c>
    </row>
    <row r="582" ht="15.75" hidden="1" customHeight="1">
      <c r="A582" s="1" t="s">
        <v>38</v>
      </c>
      <c r="B582" s="1" t="s">
        <v>12269</v>
      </c>
      <c r="C582" s="1" t="s">
        <v>12270</v>
      </c>
      <c r="D582" s="7" t="str">
        <f>IFERROR(__xludf.DUMMYFUNCTION("GOOGLETRANSLATE(C582, ""en"", ""ar"")"),"مفتاح سيء للتشفير.")</f>
        <v>مفتاح سيء للتشفير.</v>
      </c>
      <c r="E582" s="1" t="s">
        <v>12271</v>
      </c>
      <c r="F582" s="6" t="s">
        <v>12272</v>
      </c>
      <c r="G582" s="7" t="str">
        <f>IFERROR(__xludf.DUMMYFUNCTION("GOOGLETRANSLATE(C582, ""en"", ""cs"")"),"Špatný klíč pro šifrování.")</f>
        <v>Špatný klíč pro šifrování.</v>
      </c>
      <c r="H582" s="7" t="str">
        <f>IFERROR(__xludf.DUMMYFUNCTION("GOOGLETRANSLATE(C582, ""en"", ""da"")"),"Dårlig nøgle til kryptering.")</f>
        <v>Dårlig nøgle til kryptering.</v>
      </c>
      <c r="I582" s="1" t="s">
        <v>12273</v>
      </c>
      <c r="J582" s="6" t="s">
        <v>132</v>
      </c>
      <c r="K582" s="1" t="s">
        <v>12274</v>
      </c>
      <c r="L582" s="7" t="str">
        <f>IFERROR(__xludf.DUMMYFUNCTION("GOOGLETRANSLATE(C582, ""en"", ""fi"")"),"Huono avain salaukseen.")</f>
        <v>Huono avain salaukseen.</v>
      </c>
      <c r="M582" s="7" t="str">
        <f>IFERROR(__xludf.DUMMYFUNCTION("GOOGLETRANSLATE(C582, ""en"", ""fr"")"),"Mauvaise clé pour cryptage.")</f>
        <v>Mauvaise clé pour cryptage.</v>
      </c>
      <c r="N582" s="6" t="s">
        <v>12275</v>
      </c>
      <c r="O582" s="6" t="s">
        <v>132</v>
      </c>
      <c r="P582" s="1" t="s">
        <v>12276</v>
      </c>
      <c r="Q582" s="7" t="str">
        <f>IFERROR(__xludf.DUMMYFUNCTION("GOOGLETRANSLATE(C582, ""en"", ""in"")"),"Kunci buruk untuk enkripsi.")</f>
        <v>Kunci buruk untuk enkripsi.</v>
      </c>
      <c r="R582" s="1" t="s">
        <v>12277</v>
      </c>
      <c r="S582" s="6" t="s">
        <v>132</v>
      </c>
      <c r="T582" s="7" t="str">
        <f>IFERROR(__xludf.DUMMYFUNCTION("GOOGLETRANSLATE(C582, ""en"", ""ja"")"),"暗号化のための不良キー。")</f>
        <v>暗号化のための不良キー。</v>
      </c>
      <c r="U582" s="7" t="str">
        <f>IFERROR(__xludf.DUMMYFUNCTION("GOOGLETRANSLATE(C582, ""en"", ""ko"")"),"암호화를위한 나쁜 키.")</f>
        <v>암호화를위한 나쁜 키.</v>
      </c>
      <c r="V582" s="7" t="str">
        <f>IFERROR(__xludf.DUMMYFUNCTION("GOOGLETRANSLATE(C582, ""en"", ""ms"")"),"Kunci buruk untuk penyulitan.")</f>
        <v>Kunci buruk untuk penyulitan.</v>
      </c>
      <c r="W582" s="1" t="s">
        <v>12278</v>
      </c>
      <c r="X582" s="7" t="str">
        <f>IFERROR(__xludf.DUMMYFUNCTION("GOOGLETRANSLATE(C582, ""en"", ""no"")"),"Dårlig nøkkel for kryptering.")</f>
        <v>Dårlig nøkkel for kryptering.</v>
      </c>
      <c r="Y582" s="1" t="s">
        <v>12279</v>
      </c>
      <c r="Z582" s="7" t="str">
        <f>IFERROR(__xludf.DUMMYFUNCTION("GOOGLETRANSLATE(C582, ""en"", ""pt"")"),"Chave má para criptografia.")</f>
        <v>Chave má para criptografia.</v>
      </c>
      <c r="AA582" s="7" t="str">
        <f>IFERROR(__xludf.DUMMYFUNCTION("GOOGLETRANSLATE(C582, ""en"", ""ro"")"),"Cheia proastă pentru criptare.")</f>
        <v>Cheia proastă pentru criptare.</v>
      </c>
      <c r="AB582" s="7" t="str">
        <f>IFERROR(__xludf.DUMMYFUNCTION("GOOGLETRANSLATE(C582, ""en"", ""ru"")"),"Плохой ключ для шифрования.")</f>
        <v>Плохой ключ для шифрования.</v>
      </c>
      <c r="AC582" s="7" t="str">
        <f>IFERROR(__xludf.DUMMYFUNCTION("GOOGLETRANSLATE(C582, ""en"", ""sk"")"),"Zlý kľúč pre šifrovanie.")</f>
        <v>Zlý kľúč pre šifrovanie.</v>
      </c>
      <c r="AD582" s="6" t="s">
        <v>132</v>
      </c>
      <c r="AE582" s="7" t="str">
        <f>IFERROR(__xludf.DUMMYFUNCTION("GOOGLETRANSLATE(C582, ""en"", ""sr"")"),"Лош кључ за шифровање.")</f>
        <v>Лош кључ за шифровање.</v>
      </c>
      <c r="AF582" s="7" t="str">
        <f>IFERROR(__xludf.DUMMYFUNCTION("GOOGLETRANSLATE(C582, ""en"", ""sv"")"),"Dålig nyckel för kryptering.")</f>
        <v>Dålig nyckel för kryptering.</v>
      </c>
      <c r="AG582" s="6" t="s">
        <v>132</v>
      </c>
      <c r="AH582" s="7" t="str">
        <f>IFERROR(__xludf.DUMMYFUNCTION("GOOGLETRANSLATE(C582, ""en"", ""tr"")"),"Şifreleme için Kötü Anahtar.")</f>
        <v>Şifreleme için Kötü Anahtar.</v>
      </c>
      <c r="AI582" s="6" t="s">
        <v>132</v>
      </c>
      <c r="AJ582" s="6" t="s">
        <v>132</v>
      </c>
      <c r="AK582" s="7" t="str">
        <f>IFERROR(__xludf.DUMMYFUNCTION("GOOGLETRANSLATE(C582, ""en"", ""zh"")"),"加密的坏钥匙。")</f>
        <v>加密的坏钥匙。</v>
      </c>
      <c r="AL582" s="6" t="s">
        <v>132</v>
      </c>
    </row>
    <row r="583" ht="15.75" hidden="1" customHeight="1">
      <c r="A583" s="1" t="s">
        <v>38</v>
      </c>
      <c r="B583" s="1" t="s">
        <v>12280</v>
      </c>
      <c r="C583" s="1" t="s">
        <v>12281</v>
      </c>
      <c r="D583" s="7" t="str">
        <f>IFERROR(__xludf.DUMMYFUNCTION("GOOGLETRANSLATE(C583, ""en"", ""ar"")"),"اسم جهة الاتصال")</f>
        <v>اسم جهة الاتصال</v>
      </c>
      <c r="E583" s="1" t="s">
        <v>12282</v>
      </c>
      <c r="F583" s="6" t="s">
        <v>12283</v>
      </c>
      <c r="G583" s="7" t="str">
        <f>IFERROR(__xludf.DUMMYFUNCTION("GOOGLETRANSLATE(C583, ""en"", ""cs"")"),"Kontaktní jméno")</f>
        <v>Kontaktní jméno</v>
      </c>
      <c r="H583" s="7" t="str">
        <f>IFERROR(__xludf.DUMMYFUNCTION("GOOGLETRANSLATE(C583, ""en"", ""da"")"),"Kontakt navn")</f>
        <v>Kontakt navn</v>
      </c>
      <c r="I583" s="1" t="s">
        <v>12284</v>
      </c>
      <c r="J583" s="6" t="s">
        <v>132</v>
      </c>
      <c r="K583" s="1" t="s">
        <v>12285</v>
      </c>
      <c r="L583" s="7" t="str">
        <f>IFERROR(__xludf.DUMMYFUNCTION("GOOGLETRANSLATE(C583, ""en"", ""fi"")"),"Yhteyshenkilön nimi")</f>
        <v>Yhteyshenkilön nimi</v>
      </c>
      <c r="M583" s="1" t="s">
        <v>12286</v>
      </c>
      <c r="N583" s="6" t="s">
        <v>12287</v>
      </c>
      <c r="O583" s="6" t="s">
        <v>132</v>
      </c>
      <c r="P583" s="1" t="s">
        <v>12288</v>
      </c>
      <c r="Q583" s="7" t="str">
        <f>IFERROR(__xludf.DUMMYFUNCTION("GOOGLETRANSLATE(C583, ""en"", ""in"")"),"Nama Kontak")</f>
        <v>Nama Kontak</v>
      </c>
      <c r="R583" s="1" t="s">
        <v>12289</v>
      </c>
      <c r="S583" s="6" t="s">
        <v>132</v>
      </c>
      <c r="T583" s="7" t="str">
        <f>IFERROR(__xludf.DUMMYFUNCTION("GOOGLETRANSLATE(C583, ""en"", ""ja"")"),"連絡先")</f>
        <v>連絡先</v>
      </c>
      <c r="U583" s="7" t="str">
        <f>IFERROR(__xludf.DUMMYFUNCTION("GOOGLETRANSLATE(C583, ""en"", ""ko"")"),"담당자 이름")</f>
        <v>담당자 이름</v>
      </c>
      <c r="V583" s="7" t="str">
        <f>IFERROR(__xludf.DUMMYFUNCTION("GOOGLETRANSLATE(C583, ""en"", ""ms"")"),"Nama kenalan")</f>
        <v>Nama kenalan</v>
      </c>
      <c r="W583" s="1" t="s">
        <v>12290</v>
      </c>
      <c r="X583" s="7" t="str">
        <f>IFERROR(__xludf.DUMMYFUNCTION("GOOGLETRANSLATE(C583, ""en"", ""no"")"),"Kontakt navn")</f>
        <v>Kontakt navn</v>
      </c>
      <c r="Y583" s="1" t="s">
        <v>12291</v>
      </c>
      <c r="Z583" s="7" t="str">
        <f>IFERROR(__xludf.DUMMYFUNCTION("GOOGLETRANSLATE(C583, ""en"", ""pt"")"),"Nome de contato")</f>
        <v>Nome de contato</v>
      </c>
      <c r="AA583" s="7" t="str">
        <f>IFERROR(__xludf.DUMMYFUNCTION("GOOGLETRANSLATE(C583, ""en"", ""ro"")"),"Nume de contact")</f>
        <v>Nume de contact</v>
      </c>
      <c r="AB583" s="7" t="str">
        <f>IFERROR(__xludf.DUMMYFUNCTION("GOOGLETRANSLATE(C583, ""en"", ""ru"")"),"Контактное лицо")</f>
        <v>Контактное лицо</v>
      </c>
      <c r="AC583" s="7" t="str">
        <f>IFERROR(__xludf.DUMMYFUNCTION("GOOGLETRANSLATE(C583, ""en"", ""sk"")"),"Kontaktné meno")</f>
        <v>Kontaktné meno</v>
      </c>
      <c r="AD583" s="6" t="s">
        <v>132</v>
      </c>
      <c r="AE583" s="1" t="s">
        <v>12292</v>
      </c>
      <c r="AF583" s="7" t="str">
        <f>IFERROR(__xludf.DUMMYFUNCTION("GOOGLETRANSLATE(C583, ""en"", ""sv"")"),"Kontaktnamn")</f>
        <v>Kontaktnamn</v>
      </c>
      <c r="AG583" s="6" t="s">
        <v>132</v>
      </c>
      <c r="AH583" s="7" t="str">
        <f>IFERROR(__xludf.DUMMYFUNCTION("GOOGLETRANSLATE(C583, ""en"", ""tr"")"),"İletişim adı")</f>
        <v>İletişim adı</v>
      </c>
      <c r="AI583" s="6" t="s">
        <v>132</v>
      </c>
      <c r="AJ583" s="6" t="s">
        <v>132</v>
      </c>
      <c r="AK583" s="7" t="str">
        <f>IFERROR(__xludf.DUMMYFUNCTION("GOOGLETRANSLATE(C583, ""en"", ""zh"")"),"联系人姓名")</f>
        <v>联系人姓名</v>
      </c>
      <c r="AL583" s="6" t="s">
        <v>132</v>
      </c>
    </row>
    <row r="584" ht="15.75" customHeight="1">
      <c r="A584" s="1" t="s">
        <v>127</v>
      </c>
      <c r="B584" s="1" t="s">
        <v>12293</v>
      </c>
      <c r="C584" s="1" t="s">
        <v>12294</v>
      </c>
      <c r="D584" s="8" t="s">
        <v>12295</v>
      </c>
      <c r="E584" s="1" t="s">
        <v>12296</v>
      </c>
      <c r="F584" s="6" t="s">
        <v>132</v>
      </c>
      <c r="G584" s="1" t="s">
        <v>12297</v>
      </c>
      <c r="H584" s="1" t="s">
        <v>12298</v>
      </c>
      <c r="I584" s="1" t="s">
        <v>12299</v>
      </c>
      <c r="J584" s="6" t="s">
        <v>12300</v>
      </c>
      <c r="K584" s="1" t="s">
        <v>12301</v>
      </c>
      <c r="L584" s="1" t="s">
        <v>12302</v>
      </c>
      <c r="M584" s="1" t="s">
        <v>12303</v>
      </c>
      <c r="N584" s="6" t="s">
        <v>132</v>
      </c>
      <c r="O584" s="6" t="s">
        <v>12304</v>
      </c>
      <c r="P584" s="1" t="s">
        <v>12305</v>
      </c>
      <c r="Q584" s="1" t="s">
        <v>12306</v>
      </c>
      <c r="R584" s="1" t="s">
        <v>12307</v>
      </c>
      <c r="S584" s="10" t="s">
        <v>12308</v>
      </c>
      <c r="T584" s="1" t="s">
        <v>12309</v>
      </c>
      <c r="U584" s="1" t="s">
        <v>12310</v>
      </c>
      <c r="V584" s="1" t="s">
        <v>12306</v>
      </c>
      <c r="W584" s="1" t="s">
        <v>12311</v>
      </c>
      <c r="X584" s="1" t="s">
        <v>12312</v>
      </c>
      <c r="Y584" s="1" t="s">
        <v>12313</v>
      </c>
      <c r="Z584" s="1" t="s">
        <v>12314</v>
      </c>
      <c r="AA584" s="1" t="s">
        <v>12315</v>
      </c>
      <c r="AB584" s="1" t="s">
        <v>12316</v>
      </c>
      <c r="AC584" s="1" t="s">
        <v>12317</v>
      </c>
      <c r="AD584" s="6" t="s">
        <v>12318</v>
      </c>
      <c r="AE584" s="1" t="s">
        <v>12319</v>
      </c>
      <c r="AF584" s="1" t="s">
        <v>12320</v>
      </c>
      <c r="AG584" s="6" t="s">
        <v>12321</v>
      </c>
      <c r="AH584" s="1" t="s">
        <v>12322</v>
      </c>
      <c r="AI584" s="6" t="s">
        <v>132</v>
      </c>
      <c r="AJ584" s="6" t="s">
        <v>12323</v>
      </c>
      <c r="AK584" s="1" t="s">
        <v>12324</v>
      </c>
      <c r="AL584" s="6" t="s">
        <v>132</v>
      </c>
    </row>
    <row r="585" ht="15.75" hidden="1" customHeight="1">
      <c r="A585" s="1" t="s">
        <v>38</v>
      </c>
      <c r="B585" s="1" t="s">
        <v>12325</v>
      </c>
      <c r="C585" s="1" t="s">
        <v>12326</v>
      </c>
      <c r="D585" s="7" t="str">
        <f>IFERROR(__xludf.DUMMYFUNCTION("GOOGLETRANSLATE(C585, ""en"", ""ar"")"),"بحث مجموعة الشاتس")</f>
        <v>بحث مجموعة الشاتس</v>
      </c>
      <c r="E585" s="1" t="s">
        <v>12327</v>
      </c>
      <c r="F585" s="6" t="s">
        <v>12328</v>
      </c>
      <c r="G585" s="7" t="str">
        <f>IFERROR(__xludf.DUMMYFUNCTION("GOOGLETRANSLATE(C585, ""en"", ""cs"")"),"Vyhledávací skupina Chats.")</f>
        <v>Vyhledávací skupina Chats.</v>
      </c>
      <c r="H585" s="7" t="str">
        <f>IFERROR(__xludf.DUMMYFUNCTION("GOOGLETRANSLATE(C585, ""en"", ""da"")"),"Søg Gruppe Chats.")</f>
        <v>Søg Gruppe Chats.</v>
      </c>
      <c r="I585" s="1" t="s">
        <v>12329</v>
      </c>
      <c r="J585" s="6" t="s">
        <v>132</v>
      </c>
      <c r="K585" s="1" t="s">
        <v>12330</v>
      </c>
      <c r="L585" s="7" t="str">
        <f>IFERROR(__xludf.DUMMYFUNCTION("GOOGLETRANSLATE(C585, ""en"", ""fi"")"),"Hae ryhmäkeskustelut")</f>
        <v>Hae ryhmäkeskustelut</v>
      </c>
      <c r="M585" s="1" t="s">
        <v>12331</v>
      </c>
      <c r="N585" s="6" t="s">
        <v>12332</v>
      </c>
      <c r="O585" s="6" t="s">
        <v>132</v>
      </c>
      <c r="P585" s="1" t="s">
        <v>12333</v>
      </c>
      <c r="Q585" s="7" t="str">
        <f>IFERROR(__xludf.DUMMYFUNCTION("GOOGLETRANSLATE(C585, ""en"", ""in"")"),"Cari obrolan grup")</f>
        <v>Cari obrolan grup</v>
      </c>
      <c r="R585" s="1" t="s">
        <v>12334</v>
      </c>
      <c r="S585" s="6" t="s">
        <v>132</v>
      </c>
      <c r="T585" s="7" t="str">
        <f>IFERROR(__xludf.DUMMYFUNCTION("GOOGLETRANSLATE(C585, ""en"", ""ja"")"),"検索グループチャット")</f>
        <v>検索グループチャット</v>
      </c>
      <c r="U585" s="7" t="str">
        <f>IFERROR(__xludf.DUMMYFUNCTION("GOOGLETRANSLATE(C585, ""en"", ""ko"")"),"검색 그룹 채팅")</f>
        <v>검색 그룹 채팅</v>
      </c>
      <c r="V585" s="7" t="str">
        <f>IFERROR(__xludf.DUMMYFUNCTION("GOOGLETRANSLATE(C585, ""en"", ""ms"")"),"Carian kumpulan sembang")</f>
        <v>Carian kumpulan sembang</v>
      </c>
      <c r="W585" s="1" t="s">
        <v>12335</v>
      </c>
      <c r="X585" s="7" t="str">
        <f>IFERROR(__xludf.DUMMYFUNCTION("GOOGLETRANSLATE(C585, ""en"", ""no"")"),"Søk gruppe chatter")</f>
        <v>Søk gruppe chatter</v>
      </c>
      <c r="Y585" s="1" t="s">
        <v>12336</v>
      </c>
      <c r="Z585" s="1" t="s">
        <v>12337</v>
      </c>
      <c r="AA585" s="7" t="str">
        <f>IFERROR(__xludf.DUMMYFUNCTION("GOOGLETRANSLATE(C585, ""en"", ""ro"")"),"Caută chat-uri de grup")</f>
        <v>Caută chat-uri de grup</v>
      </c>
      <c r="AB585" s="1" t="s">
        <v>12338</v>
      </c>
      <c r="AC585" s="7" t="str">
        <f>IFERROR(__xludf.DUMMYFUNCTION("GOOGLETRANSLATE(C585, ""en"", ""sk"")"),"Vyhľadávacie skupiny chaty")</f>
        <v>Vyhľadávacie skupiny chaty</v>
      </c>
      <c r="AD585" s="6" t="s">
        <v>132</v>
      </c>
      <c r="AE585" s="1" t="s">
        <v>12339</v>
      </c>
      <c r="AF585" s="7" t="str">
        <f>IFERROR(__xludf.DUMMYFUNCTION("GOOGLETRANSLATE(C585, ""en"", ""sv"")"),"Sök gruppchattar")</f>
        <v>Sök gruppchattar</v>
      </c>
      <c r="AG585" s="6" t="s">
        <v>132</v>
      </c>
      <c r="AH585" s="7" t="str">
        <f>IFERROR(__xludf.DUMMYFUNCTION("GOOGLETRANSLATE(C585, ""en"", ""tr"")"),"Arama grubu sohbetleri")</f>
        <v>Arama grubu sohbetleri</v>
      </c>
      <c r="AI585" s="6" t="s">
        <v>132</v>
      </c>
      <c r="AJ585" s="6" t="s">
        <v>132</v>
      </c>
      <c r="AK585" s="7" t="str">
        <f>IFERROR(__xludf.DUMMYFUNCTION("GOOGLETRANSLATE(C585, ""en"", ""zh"")"),"搜索小组聊天")</f>
        <v>搜索小组聊天</v>
      </c>
      <c r="AL585" s="6" t="s">
        <v>132</v>
      </c>
    </row>
    <row r="586" ht="15.75" hidden="1" customHeight="1">
      <c r="A586" s="1" t="s">
        <v>38</v>
      </c>
      <c r="B586" s="1" t="s">
        <v>12340</v>
      </c>
      <c r="C586" s="1" t="s">
        <v>12341</v>
      </c>
      <c r="D586" s="7" t="str">
        <f>IFERROR(__xludf.DUMMYFUNCTION("GOOGLETRANSLATE(C586, ""en"", ""ar"")"),"يتم التحقق من شهادات الخادم التي تحتوي على اسم المضيف المستأصل التحقق منها")</f>
        <v>يتم التحقق من شهادات الخادم التي تحتوي على اسم المضيف المستأصل التحقق منها</v>
      </c>
      <c r="E586" s="1" t="s">
        <v>12342</v>
      </c>
      <c r="F586" s="6" t="s">
        <v>12343</v>
      </c>
      <c r="G586" s="7" t="str">
        <f>IFERROR(__xludf.DUMMYFUNCTION("GOOGLETRANSLATE(C586, ""en"", ""cs"")"),"Serverové certifikáty, které obsahují ověřené jméno hostitele, jsou považovány za ověřené")</f>
        <v>Serverové certifikáty, které obsahují ověřené jméno hostitele, jsou považovány za ověřené</v>
      </c>
      <c r="H586" s="7" t="str">
        <f>IFERROR(__xludf.DUMMYFUNCTION("GOOGLETRANSLATE(C586, ""en"", ""da"")"),"Servercertifikater, der indeholder det validerede værtsnavn, anses for verificeret")</f>
        <v>Servercertifikater, der indeholder det validerede værtsnavn, anses for verificeret</v>
      </c>
      <c r="I586" s="1" t="s">
        <v>12344</v>
      </c>
      <c r="J586" s="6" t="s">
        <v>132</v>
      </c>
      <c r="K586" s="1" t="s">
        <v>12345</v>
      </c>
      <c r="L586" s="7" t="str">
        <f>IFERROR(__xludf.DUMMYFUNCTION("GOOGLETRANSLATE(C586, ""en"", ""fi"")"),"Palvelintodistukset, jotka sisältävät validoitua isäntänimeä, katsotaan vahvistetuksi")</f>
        <v>Palvelintodistukset, jotka sisältävät validoitua isäntänimeä, katsotaan vahvistetuksi</v>
      </c>
      <c r="M586" s="1" t="s">
        <v>12346</v>
      </c>
      <c r="N586" s="6" t="s">
        <v>12347</v>
      </c>
      <c r="O586" s="6" t="s">
        <v>132</v>
      </c>
      <c r="P586" s="1" t="s">
        <v>12348</v>
      </c>
      <c r="Q586" s="7" t="str">
        <f>IFERROR(__xludf.DUMMYFUNCTION("GOOGLETRANSLATE(C586, ""en"", ""in"")"),"Sertifikat Server yang berisi nama host yang divalidasi dianggap diverifikasi")</f>
        <v>Sertifikat Server yang berisi nama host yang divalidasi dianggap diverifikasi</v>
      </c>
      <c r="R586" s="1" t="s">
        <v>12349</v>
      </c>
      <c r="S586" s="6" t="s">
        <v>132</v>
      </c>
      <c r="T586" s="1" t="s">
        <v>12350</v>
      </c>
      <c r="U586" s="7" t="str">
        <f>IFERROR(__xludf.DUMMYFUNCTION("GOOGLETRANSLATE(C586, ""en"", ""ko"")"),"유효성이 검증 된 호스트 이름이 포함 된 서버 인증서는 검증 된 것으로 간주됩니다.")</f>
        <v>유효성이 검증 된 호스트 이름이 포함 된 서버 인증서는 검증 된 것으로 간주됩니다.</v>
      </c>
      <c r="V586" s="7" t="str">
        <f>IFERROR(__xludf.DUMMYFUNCTION("GOOGLETRANSLATE(C586, ""en"", ""ms"")"),"Sijil pelayan yang mengandungi nama hos yang disahkan dianggap disahkan")</f>
        <v>Sijil pelayan yang mengandungi nama hos yang disahkan dianggap disahkan</v>
      </c>
      <c r="W586" s="1" t="s">
        <v>12351</v>
      </c>
      <c r="X586" s="7" t="str">
        <f>IFERROR(__xludf.DUMMYFUNCTION("GOOGLETRANSLATE(C586, ""en"", ""no"")"),"Serversertifikater som inneholder det validerte vertsnavnet, regnes som verifisert")</f>
        <v>Serversertifikater som inneholder det validerte vertsnavnet, regnes som verifisert</v>
      </c>
      <c r="Y586" s="1" t="s">
        <v>12352</v>
      </c>
      <c r="Z586" s="7" t="str">
        <f>IFERROR(__xludf.DUMMYFUNCTION("GOOGLETRANSLATE(C586, ""en"", ""pt"")"),"Certificados de servidor que contêm o nome do host validado são considerados verificados")</f>
        <v>Certificados de servidor que contêm o nome do host validado são considerados verificados</v>
      </c>
      <c r="AA586" s="7" t="str">
        <f>IFERROR(__xludf.DUMMYFUNCTION("GOOGLETRANSLATE(C586, ""en"", ""ro"")"),"Certificatele de servere care conțin numele gazdei validate sunt considerate verificate")</f>
        <v>Certificatele de servere care conțin numele gazdei validate sunt considerate verificate</v>
      </c>
      <c r="AB586" s="1" t="s">
        <v>12353</v>
      </c>
      <c r="AC586" s="7" t="str">
        <f>IFERROR(__xludf.DUMMYFUNCTION("GOOGLETRANSLATE(C586, ""en"", ""sk"")"),"Serverové certifikáty, ktoré obsahujú validovaný názov hostiteľa, sú považované za overené")</f>
        <v>Serverové certifikáty, ktoré obsahujú validovaný názov hostiteľa, sú považované za overené</v>
      </c>
      <c r="AD586" s="6" t="s">
        <v>132</v>
      </c>
      <c r="AE586" s="7" t="str">
        <f>IFERROR(__xludf.DUMMYFUNCTION("GOOGLETRANSLATE(C586, ""en"", ""sr"")"),"Сертификати сервера који садрже потврђено име хоста сматрају се верификованим")</f>
        <v>Сертификати сервера који садрже потврђено име хоста сматрају се верификованим</v>
      </c>
      <c r="AF586" s="7" t="str">
        <f>IFERROR(__xludf.DUMMYFUNCTION("GOOGLETRANSLATE(C586, ""en"", ""sv"")"),"Servercertifikat som innehåller det validerade värdnamnet anses verifierade")</f>
        <v>Servercertifikat som innehåller det validerade värdnamnet anses verifierade</v>
      </c>
      <c r="AG586" s="6" t="s">
        <v>132</v>
      </c>
      <c r="AH586" s="7" t="str">
        <f>IFERROR(__xludf.DUMMYFUNCTION("GOOGLETRANSLATE(C586, ""en"", ""tr"")"),"Doğrulanmış ana bilgisayar adını içeren sunucu sertifikaları doğrulanmış olarak kabul edilir")</f>
        <v>Doğrulanmış ana bilgisayar adını içeren sunucu sertifikaları doğrulanmış olarak kabul edilir</v>
      </c>
      <c r="AI586" s="6" t="s">
        <v>12354</v>
      </c>
      <c r="AJ586" s="6" t="s">
        <v>132</v>
      </c>
      <c r="AK586" s="7" t="str">
        <f>IFERROR(__xludf.DUMMYFUNCTION("GOOGLETRANSLATE(C586, ""en"", ""zh"")"),"包含验证主机名的服务器证书被视为已验证")</f>
        <v>包含验证主机名的服务器证书被视为已验证</v>
      </c>
      <c r="AL586" s="6" t="s">
        <v>132</v>
      </c>
    </row>
    <row r="587" ht="15.75" customHeight="1">
      <c r="A587" s="1" t="s">
        <v>127</v>
      </c>
      <c r="B587" s="1" t="s">
        <v>12355</v>
      </c>
      <c r="C587" s="1" t="s">
        <v>12356</v>
      </c>
      <c r="D587" s="8" t="s">
        <v>12357</v>
      </c>
      <c r="E587" s="1" t="s">
        <v>12358</v>
      </c>
      <c r="F587" s="6" t="s">
        <v>132</v>
      </c>
      <c r="G587" s="1" t="s">
        <v>12359</v>
      </c>
      <c r="H587" s="1" t="s">
        <v>12360</v>
      </c>
      <c r="I587" s="1" t="s">
        <v>12361</v>
      </c>
      <c r="J587" s="6" t="s">
        <v>12362</v>
      </c>
      <c r="K587" s="1" t="s">
        <v>12363</v>
      </c>
      <c r="L587" s="1" t="s">
        <v>12364</v>
      </c>
      <c r="M587" s="1" t="s">
        <v>12365</v>
      </c>
      <c r="N587" s="6" t="s">
        <v>132</v>
      </c>
      <c r="O587" s="6" t="s">
        <v>12366</v>
      </c>
      <c r="P587" s="1" t="s">
        <v>12367</v>
      </c>
      <c r="Q587" s="1" t="s">
        <v>12368</v>
      </c>
      <c r="R587" s="1" t="s">
        <v>12369</v>
      </c>
      <c r="S587" s="10" t="s">
        <v>12370</v>
      </c>
      <c r="T587" s="1" t="s">
        <v>12371</v>
      </c>
      <c r="U587" s="1" t="s">
        <v>12372</v>
      </c>
      <c r="V587" s="1" t="s">
        <v>12368</v>
      </c>
      <c r="W587" s="1" t="s">
        <v>12373</v>
      </c>
      <c r="X587" s="1" t="s">
        <v>12374</v>
      </c>
      <c r="Y587" s="1" t="s">
        <v>12375</v>
      </c>
      <c r="Z587" s="1" t="s">
        <v>12376</v>
      </c>
      <c r="AA587" s="1" t="s">
        <v>12377</v>
      </c>
      <c r="AB587" s="1" t="s">
        <v>12378</v>
      </c>
      <c r="AC587" s="1" t="s">
        <v>12379</v>
      </c>
      <c r="AD587" s="6" t="s">
        <v>12380</v>
      </c>
      <c r="AE587" s="1" t="s">
        <v>12381</v>
      </c>
      <c r="AF587" s="1" t="s">
        <v>12382</v>
      </c>
      <c r="AG587" s="6" t="s">
        <v>12383</v>
      </c>
      <c r="AH587" s="1" t="s">
        <v>12384</v>
      </c>
      <c r="AI587" s="6" t="s">
        <v>132</v>
      </c>
      <c r="AJ587" s="6" t="s">
        <v>12385</v>
      </c>
      <c r="AK587" s="1" t="s">
        <v>12386</v>
      </c>
      <c r="AL587" s="6" t="s">
        <v>12387</v>
      </c>
    </row>
    <row r="588" ht="15.75" customHeight="1">
      <c r="A588" s="1" t="s">
        <v>127</v>
      </c>
      <c r="B588" s="1" t="s">
        <v>12388</v>
      </c>
      <c r="C588" s="1" t="s">
        <v>12389</v>
      </c>
      <c r="D588" s="8" t="s">
        <v>12390</v>
      </c>
      <c r="E588" s="1" t="s">
        <v>12391</v>
      </c>
      <c r="F588" s="6" t="s">
        <v>132</v>
      </c>
      <c r="G588" s="1" t="s">
        <v>12392</v>
      </c>
      <c r="H588" s="1" t="s">
        <v>12389</v>
      </c>
      <c r="I588" s="1" t="s">
        <v>12389</v>
      </c>
      <c r="J588" s="6" t="s">
        <v>12389</v>
      </c>
      <c r="K588" s="1" t="s">
        <v>12389</v>
      </c>
      <c r="L588" s="1" t="s">
        <v>12389</v>
      </c>
      <c r="M588" s="1" t="s">
        <v>12389</v>
      </c>
      <c r="N588" s="6" t="s">
        <v>132</v>
      </c>
      <c r="O588" s="6" t="s">
        <v>12393</v>
      </c>
      <c r="P588" s="1" t="s">
        <v>12389</v>
      </c>
      <c r="Q588" s="1" t="s">
        <v>12389</v>
      </c>
      <c r="R588" s="1" t="s">
        <v>12389</v>
      </c>
      <c r="S588" s="10" t="s">
        <v>12394</v>
      </c>
      <c r="T588" s="1" t="s">
        <v>12395</v>
      </c>
      <c r="U588" s="1" t="s">
        <v>12396</v>
      </c>
      <c r="V588" s="1" t="s">
        <v>12389</v>
      </c>
      <c r="W588" s="1" t="s">
        <v>12389</v>
      </c>
      <c r="X588" s="1" t="s">
        <v>12389</v>
      </c>
      <c r="Y588" s="1" t="s">
        <v>12389</v>
      </c>
      <c r="Z588" s="1" t="s">
        <v>12389</v>
      </c>
      <c r="AA588" s="1" t="s">
        <v>12397</v>
      </c>
      <c r="AB588" s="1" t="s">
        <v>12398</v>
      </c>
      <c r="AC588" s="1" t="s">
        <v>12389</v>
      </c>
      <c r="AD588" s="6" t="s">
        <v>12389</v>
      </c>
      <c r="AE588" s="1" t="s">
        <v>12389</v>
      </c>
      <c r="AF588" s="1" t="s">
        <v>12389</v>
      </c>
      <c r="AG588" s="6" t="s">
        <v>12389</v>
      </c>
      <c r="AH588" s="1" t="s">
        <v>12399</v>
      </c>
      <c r="AI588" s="6" t="s">
        <v>132</v>
      </c>
      <c r="AJ588" s="6" t="s">
        <v>12400</v>
      </c>
      <c r="AK588" s="1" t="s">
        <v>12401</v>
      </c>
      <c r="AL588" s="6" t="s">
        <v>12402</v>
      </c>
    </row>
    <row r="589" ht="15.75" customHeight="1">
      <c r="A589" s="1" t="s">
        <v>127</v>
      </c>
      <c r="B589" s="1" t="s">
        <v>12403</v>
      </c>
      <c r="C589" s="1" t="s">
        <v>12404</v>
      </c>
      <c r="D589" s="8" t="s">
        <v>12405</v>
      </c>
      <c r="E589" s="1" t="s">
        <v>12406</v>
      </c>
      <c r="F589" s="6" t="s">
        <v>132</v>
      </c>
      <c r="G589" s="1" t="s">
        <v>12407</v>
      </c>
      <c r="H589" s="1" t="s">
        <v>12408</v>
      </c>
      <c r="I589" s="1" t="s">
        <v>12404</v>
      </c>
      <c r="J589" s="6" t="s">
        <v>12409</v>
      </c>
      <c r="K589" s="1" t="s">
        <v>12410</v>
      </c>
      <c r="L589" s="1" t="s">
        <v>12411</v>
      </c>
      <c r="M589" s="1" t="s">
        <v>12412</v>
      </c>
      <c r="N589" s="6" t="s">
        <v>132</v>
      </c>
      <c r="O589" s="6" t="s">
        <v>12413</v>
      </c>
      <c r="P589" s="1" t="s">
        <v>12404</v>
      </c>
      <c r="Q589" s="1" t="s">
        <v>12414</v>
      </c>
      <c r="R589" s="1" t="s">
        <v>12404</v>
      </c>
      <c r="S589" s="6" t="s">
        <v>132</v>
      </c>
      <c r="T589" s="1" t="s">
        <v>12415</v>
      </c>
      <c r="U589" s="1" t="s">
        <v>12416</v>
      </c>
      <c r="V589" s="1" t="s">
        <v>12417</v>
      </c>
      <c r="W589" s="1" t="s">
        <v>12418</v>
      </c>
      <c r="X589" s="1" t="s">
        <v>12419</v>
      </c>
      <c r="Y589" s="1" t="s">
        <v>12420</v>
      </c>
      <c r="Z589" s="1" t="s">
        <v>12421</v>
      </c>
      <c r="AA589" s="1" t="s">
        <v>12422</v>
      </c>
      <c r="AB589" s="1" t="s">
        <v>12423</v>
      </c>
      <c r="AC589" s="1" t="s">
        <v>12424</v>
      </c>
      <c r="AD589" s="6" t="s">
        <v>12425</v>
      </c>
      <c r="AE589" s="1" t="s">
        <v>12404</v>
      </c>
      <c r="AF589" s="1" t="s">
        <v>12426</v>
      </c>
      <c r="AG589" s="6" t="s">
        <v>12427</v>
      </c>
      <c r="AH589" s="1" t="s">
        <v>12428</v>
      </c>
      <c r="AI589" s="6" t="s">
        <v>132</v>
      </c>
      <c r="AJ589" s="6" t="s">
        <v>12429</v>
      </c>
      <c r="AK589" s="1" t="s">
        <v>12430</v>
      </c>
      <c r="AL589" s="6" t="s">
        <v>12431</v>
      </c>
    </row>
    <row r="590" ht="15.75" customHeight="1">
      <c r="A590" s="1" t="s">
        <v>127</v>
      </c>
      <c r="B590" s="1" t="s">
        <v>12432</v>
      </c>
      <c r="C590" s="1" t="s">
        <v>12433</v>
      </c>
      <c r="D590" s="8" t="s">
        <v>12434</v>
      </c>
      <c r="E590" s="1" t="s">
        <v>12435</v>
      </c>
      <c r="F590" s="6" t="s">
        <v>132</v>
      </c>
      <c r="G590" s="1" t="s">
        <v>12436</v>
      </c>
      <c r="H590" s="1" t="s">
        <v>12437</v>
      </c>
      <c r="I590" s="1" t="s">
        <v>12433</v>
      </c>
      <c r="J590" s="6" t="s">
        <v>12438</v>
      </c>
      <c r="K590" s="1" t="s">
        <v>12439</v>
      </c>
      <c r="L590" s="1" t="s">
        <v>12440</v>
      </c>
      <c r="M590" s="1" t="s">
        <v>12441</v>
      </c>
      <c r="N590" s="6" t="s">
        <v>132</v>
      </c>
      <c r="O590" s="6" t="s">
        <v>12442</v>
      </c>
      <c r="P590" s="1" t="s">
        <v>12443</v>
      </c>
      <c r="Q590" s="1" t="s">
        <v>12444</v>
      </c>
      <c r="R590" s="1" t="s">
        <v>12433</v>
      </c>
      <c r="S590" s="6" t="s">
        <v>132</v>
      </c>
      <c r="T590" s="1" t="s">
        <v>12445</v>
      </c>
      <c r="U590" s="1" t="s">
        <v>12446</v>
      </c>
      <c r="V590" s="1" t="s">
        <v>12447</v>
      </c>
      <c r="W590" s="1" t="s">
        <v>12448</v>
      </c>
      <c r="X590" s="1" t="s">
        <v>12437</v>
      </c>
      <c r="Y590" s="1" t="s">
        <v>12449</v>
      </c>
      <c r="Z590" s="1" t="s">
        <v>12450</v>
      </c>
      <c r="AA590" s="1" t="s">
        <v>12451</v>
      </c>
      <c r="AB590" s="1" t="s">
        <v>12452</v>
      </c>
      <c r="AC590" s="1" t="s">
        <v>12453</v>
      </c>
      <c r="AD590" s="6" t="s">
        <v>12454</v>
      </c>
      <c r="AE590" s="1" t="s">
        <v>12455</v>
      </c>
      <c r="AF590" s="1" t="s">
        <v>12456</v>
      </c>
      <c r="AG590" s="6" t="s">
        <v>12457</v>
      </c>
      <c r="AH590" s="1" t="s">
        <v>12458</v>
      </c>
      <c r="AI590" s="6" t="s">
        <v>132</v>
      </c>
      <c r="AJ590" s="6" t="s">
        <v>12459</v>
      </c>
      <c r="AK590" s="1" t="s">
        <v>12460</v>
      </c>
      <c r="AL590" s="6" t="s">
        <v>12461</v>
      </c>
    </row>
    <row r="591" ht="15.75" customHeight="1">
      <c r="A591" s="1" t="s">
        <v>127</v>
      </c>
      <c r="B591" s="1" t="s">
        <v>12462</v>
      </c>
      <c r="C591" s="1" t="s">
        <v>12463</v>
      </c>
      <c r="D591" s="8" t="s">
        <v>12464</v>
      </c>
      <c r="E591" s="1" t="s">
        <v>12465</v>
      </c>
      <c r="F591" s="6" t="s">
        <v>132</v>
      </c>
      <c r="G591" s="1" t="s">
        <v>12466</v>
      </c>
      <c r="H591" s="1" t="s">
        <v>12467</v>
      </c>
      <c r="I591" s="1" t="s">
        <v>12463</v>
      </c>
      <c r="J591" s="6" t="s">
        <v>12468</v>
      </c>
      <c r="K591" s="1" t="s">
        <v>12469</v>
      </c>
      <c r="L591" s="1" t="s">
        <v>12470</v>
      </c>
      <c r="M591" s="1" t="s">
        <v>12471</v>
      </c>
      <c r="N591" s="6" t="s">
        <v>132</v>
      </c>
      <c r="O591" s="6" t="s">
        <v>12472</v>
      </c>
      <c r="P591" s="1" t="s">
        <v>12463</v>
      </c>
      <c r="Q591" s="1" t="s">
        <v>12473</v>
      </c>
      <c r="R591" s="1" t="s">
        <v>12463</v>
      </c>
      <c r="S591" s="6" t="s">
        <v>132</v>
      </c>
      <c r="T591" s="1" t="s">
        <v>12474</v>
      </c>
      <c r="U591" s="1" t="s">
        <v>12475</v>
      </c>
      <c r="V591" s="1" t="s">
        <v>12476</v>
      </c>
      <c r="W591" s="1" t="s">
        <v>12463</v>
      </c>
      <c r="X591" s="1" t="s">
        <v>12477</v>
      </c>
      <c r="Y591" s="1" t="s">
        <v>12463</v>
      </c>
      <c r="Z591" s="1" t="s">
        <v>12478</v>
      </c>
      <c r="AA591" s="1" t="s">
        <v>12479</v>
      </c>
      <c r="AB591" s="1" t="s">
        <v>12480</v>
      </c>
      <c r="AC591" s="1" t="s">
        <v>12481</v>
      </c>
      <c r="AD591" s="6" t="s">
        <v>12482</v>
      </c>
      <c r="AE591" s="1" t="s">
        <v>12463</v>
      </c>
      <c r="AF591" s="1" t="s">
        <v>12469</v>
      </c>
      <c r="AG591" s="6" t="s">
        <v>12483</v>
      </c>
      <c r="AH591" s="1" t="s">
        <v>12484</v>
      </c>
      <c r="AI591" s="6" t="s">
        <v>132</v>
      </c>
      <c r="AJ591" s="6" t="s">
        <v>12485</v>
      </c>
      <c r="AK591" s="1" t="s">
        <v>12486</v>
      </c>
      <c r="AL591" s="6" t="s">
        <v>12487</v>
      </c>
    </row>
    <row r="592" ht="15.75" hidden="1" customHeight="1">
      <c r="A592" s="1" t="s">
        <v>38</v>
      </c>
      <c r="B592" s="1" t="s">
        <v>12488</v>
      </c>
      <c r="C592" s="1" t="s">
        <v>12489</v>
      </c>
      <c r="D592" s="7" t="str">
        <f>IFERROR(__xludf.DUMMYFUNCTION("GOOGLETRANSLATE(C592, ""en"", ""ar"")"),"إيطاليا")</f>
        <v>إيطاليا</v>
      </c>
      <c r="E592" s="7" t="str">
        <f>IFERROR(__xludf.DUMMYFUNCTION("GOOGLETRANSLATE(C592, ""en"", ""bg"")"),"Италия")</f>
        <v>Италия</v>
      </c>
      <c r="F592" s="6" t="s">
        <v>132</v>
      </c>
      <c r="G592" s="7" t="str">
        <f>IFERROR(__xludf.DUMMYFUNCTION("GOOGLETRANSLATE(C592, ""en"", ""cs"")"),"Itálie")</f>
        <v>Itálie</v>
      </c>
      <c r="H592" s="7" t="str">
        <f>IFERROR(__xludf.DUMMYFUNCTION("GOOGLETRANSLATE(C592, ""en"", ""da"")"),"Italien.")</f>
        <v>Italien.</v>
      </c>
      <c r="I592" s="1" t="s">
        <v>12490</v>
      </c>
      <c r="J592" s="6" t="s">
        <v>132</v>
      </c>
      <c r="K592" s="1" t="s">
        <v>12491</v>
      </c>
      <c r="L592" s="7" t="str">
        <f>IFERROR(__xludf.DUMMYFUNCTION("GOOGLETRANSLATE(C592, ""en"", ""fi"")"),"Italia")</f>
        <v>Italia</v>
      </c>
      <c r="M592" s="1" t="s">
        <v>12492</v>
      </c>
      <c r="N592" s="6" t="s">
        <v>132</v>
      </c>
      <c r="O592" s="6" t="s">
        <v>132</v>
      </c>
      <c r="P592" s="1" t="s">
        <v>12489</v>
      </c>
      <c r="Q592" s="7" t="str">
        <f>IFERROR(__xludf.DUMMYFUNCTION("GOOGLETRANSLATE(C592, ""en"", ""in"")"),"Italia")</f>
        <v>Italia</v>
      </c>
      <c r="R592" s="7" t="str">
        <f>IFERROR(__xludf.DUMMYFUNCTION("GOOGLETRANSLATE(C592, ""en"", ""it"")"),"Italia")</f>
        <v>Italia</v>
      </c>
      <c r="S592" s="6" t="s">
        <v>132</v>
      </c>
      <c r="T592" s="7" t="str">
        <f>IFERROR(__xludf.DUMMYFUNCTION("GOOGLETRANSLATE(C592, ""en"", ""ja"")"),"イタリア")</f>
        <v>イタリア</v>
      </c>
      <c r="U592" s="7" t="str">
        <f>IFERROR(__xludf.DUMMYFUNCTION("GOOGLETRANSLATE(C592, ""en"", ""ko"")"),"이탈리아")</f>
        <v>이탈리아</v>
      </c>
      <c r="V592" s="7" t="str">
        <f>IFERROR(__xludf.DUMMYFUNCTION("GOOGLETRANSLATE(C592, ""en"", ""ms"")"),"Itali")</f>
        <v>Itali</v>
      </c>
      <c r="W592" s="7" t="str">
        <f>IFERROR(__xludf.DUMMYFUNCTION("GOOGLETRANSLATE(C592, ""en"", ""nl"")"),"Italië")</f>
        <v>Italië</v>
      </c>
      <c r="X592" s="7" t="str">
        <f>IFERROR(__xludf.DUMMYFUNCTION("GOOGLETRANSLATE(C592, ""en"", ""no"")"),"Italia.")</f>
        <v>Italia.</v>
      </c>
      <c r="Y592" s="7" t="str">
        <f>IFERROR(__xludf.DUMMYFUNCTION("GOOGLETRANSLATE(C592, ""en"", ""pl"")"),"Włochy")</f>
        <v>Włochy</v>
      </c>
      <c r="Z592" s="7" t="str">
        <f>IFERROR(__xludf.DUMMYFUNCTION("GOOGLETRANSLATE(C592, ""en"", ""pt"")"),"Itália")</f>
        <v>Itália</v>
      </c>
      <c r="AA592" s="7" t="str">
        <f>IFERROR(__xludf.DUMMYFUNCTION("GOOGLETRANSLATE(C592, ""en"", ""ro"")"),"Italia")</f>
        <v>Italia</v>
      </c>
      <c r="AB592" s="1" t="s">
        <v>12493</v>
      </c>
      <c r="AC592" s="7" t="str">
        <f>IFERROR(__xludf.DUMMYFUNCTION("GOOGLETRANSLATE(C592, ""en"", ""sk"")"),"Taliansko")</f>
        <v>Taliansko</v>
      </c>
      <c r="AD592" s="6" t="s">
        <v>132</v>
      </c>
      <c r="AE592" s="1" t="s">
        <v>12494</v>
      </c>
      <c r="AF592" s="7" t="str">
        <f>IFERROR(__xludf.DUMMYFUNCTION("GOOGLETRANSLATE(C592, ""en"", ""sv"")"),"Italien")</f>
        <v>Italien</v>
      </c>
      <c r="AG592" s="6" t="s">
        <v>132</v>
      </c>
      <c r="AH592" s="7" t="str">
        <f>IFERROR(__xludf.DUMMYFUNCTION("GOOGLETRANSLATE(C592, ""en"", ""tr"")"),"İtalya")</f>
        <v>İtalya</v>
      </c>
      <c r="AI592" s="6" t="s">
        <v>132</v>
      </c>
      <c r="AJ592" s="6" t="s">
        <v>132</v>
      </c>
      <c r="AK592" s="7" t="str">
        <f>IFERROR(__xludf.DUMMYFUNCTION("GOOGLETRANSLATE(C592, ""en"", ""zh"")"),"意大利")</f>
        <v>意大利</v>
      </c>
      <c r="AL592" s="6" t="s">
        <v>132</v>
      </c>
    </row>
    <row r="593" ht="15.75" customHeight="1">
      <c r="A593" s="1" t="s">
        <v>127</v>
      </c>
      <c r="B593" s="1" t="s">
        <v>12495</v>
      </c>
      <c r="C593" s="1" t="s">
        <v>12496</v>
      </c>
      <c r="D593" s="8" t="s">
        <v>12497</v>
      </c>
      <c r="E593" s="1" t="s">
        <v>12498</v>
      </c>
      <c r="F593" s="6" t="s">
        <v>132</v>
      </c>
      <c r="G593" s="1" t="s">
        <v>12499</v>
      </c>
      <c r="H593" s="1" t="s">
        <v>12500</v>
      </c>
      <c r="I593" s="1" t="s">
        <v>12496</v>
      </c>
      <c r="J593" s="6" t="s">
        <v>12501</v>
      </c>
      <c r="K593" s="1" t="s">
        <v>12502</v>
      </c>
      <c r="L593" s="1" t="s">
        <v>12503</v>
      </c>
      <c r="M593" s="1" t="s">
        <v>12496</v>
      </c>
      <c r="N593" s="6" t="s">
        <v>132</v>
      </c>
      <c r="O593" s="6" t="s">
        <v>12504</v>
      </c>
      <c r="P593" s="1" t="s">
        <v>12496</v>
      </c>
      <c r="Q593" s="1" t="s">
        <v>12505</v>
      </c>
      <c r="R593" s="1" t="s">
        <v>12496</v>
      </c>
      <c r="S593" s="6" t="s">
        <v>132</v>
      </c>
      <c r="T593" s="1" t="s">
        <v>12506</v>
      </c>
      <c r="U593" s="1" t="s">
        <v>12507</v>
      </c>
      <c r="V593" s="1" t="s">
        <v>12508</v>
      </c>
      <c r="W593" s="1" t="s">
        <v>12509</v>
      </c>
      <c r="X593" s="1" t="s">
        <v>12510</v>
      </c>
      <c r="Y593" s="1" t="s">
        <v>12511</v>
      </c>
      <c r="Z593" s="1" t="s">
        <v>12512</v>
      </c>
      <c r="AA593" s="1" t="s">
        <v>12513</v>
      </c>
      <c r="AB593" s="1" t="s">
        <v>12514</v>
      </c>
      <c r="AC593" s="1" t="s">
        <v>12515</v>
      </c>
      <c r="AD593" s="6" t="s">
        <v>12516</v>
      </c>
      <c r="AE593" s="1" t="s">
        <v>12496</v>
      </c>
      <c r="AF593" s="1" t="s">
        <v>12517</v>
      </c>
      <c r="AG593" s="6" t="s">
        <v>12518</v>
      </c>
      <c r="AH593" s="1" t="s">
        <v>12519</v>
      </c>
      <c r="AI593" s="6" t="s">
        <v>132</v>
      </c>
      <c r="AJ593" s="6" t="s">
        <v>12520</v>
      </c>
      <c r="AK593" s="1" t="s">
        <v>12521</v>
      </c>
      <c r="AL593" s="6" t="s">
        <v>12522</v>
      </c>
    </row>
    <row r="594" ht="15.75" customHeight="1">
      <c r="A594" s="1" t="s">
        <v>127</v>
      </c>
      <c r="B594" s="1" t="s">
        <v>12523</v>
      </c>
      <c r="C594" s="1" t="s">
        <v>12524</v>
      </c>
      <c r="D594" s="8" t="s">
        <v>12525</v>
      </c>
      <c r="E594" s="1" t="s">
        <v>12526</v>
      </c>
      <c r="F594" s="6" t="s">
        <v>132</v>
      </c>
      <c r="G594" s="1" t="s">
        <v>12527</v>
      </c>
      <c r="H594" s="1" t="s">
        <v>12528</v>
      </c>
      <c r="I594" s="1" t="s">
        <v>12524</v>
      </c>
      <c r="J594" s="6" t="s">
        <v>12529</v>
      </c>
      <c r="K594" s="1" t="s">
        <v>12530</v>
      </c>
      <c r="L594" s="1" t="s">
        <v>12531</v>
      </c>
      <c r="M594" s="1" t="s">
        <v>12532</v>
      </c>
      <c r="N594" s="6" t="s">
        <v>132</v>
      </c>
      <c r="O594" s="6" t="s">
        <v>12533</v>
      </c>
      <c r="P594" s="1" t="s">
        <v>12524</v>
      </c>
      <c r="Q594" s="1" t="s">
        <v>12534</v>
      </c>
      <c r="R594" s="1" t="s">
        <v>12524</v>
      </c>
      <c r="S594" s="6" t="s">
        <v>132</v>
      </c>
      <c r="T594" s="1" t="s">
        <v>12535</v>
      </c>
      <c r="U594" s="1" t="s">
        <v>12536</v>
      </c>
      <c r="V594" s="1" t="s">
        <v>12537</v>
      </c>
      <c r="W594" s="1" t="s">
        <v>12538</v>
      </c>
      <c r="X594" s="1" t="s">
        <v>12539</v>
      </c>
      <c r="Y594" s="1" t="s">
        <v>12540</v>
      </c>
      <c r="Z594" s="1" t="s">
        <v>12541</v>
      </c>
      <c r="AA594" s="1" t="s">
        <v>12542</v>
      </c>
      <c r="AB594" s="1" t="s">
        <v>12543</v>
      </c>
      <c r="AC594" s="1" t="s">
        <v>12544</v>
      </c>
      <c r="AD594" s="6" t="s">
        <v>12545</v>
      </c>
      <c r="AE594" s="1" t="s">
        <v>12524</v>
      </c>
      <c r="AF594" s="1" t="s">
        <v>12546</v>
      </c>
      <c r="AG594" s="6" t="s">
        <v>12547</v>
      </c>
      <c r="AH594" s="1" t="s">
        <v>12548</v>
      </c>
      <c r="AI594" s="6" t="s">
        <v>132</v>
      </c>
      <c r="AJ594" s="6" t="s">
        <v>12549</v>
      </c>
      <c r="AK594" s="1" t="s">
        <v>12550</v>
      </c>
      <c r="AL594" s="6" t="s">
        <v>12551</v>
      </c>
    </row>
    <row r="595" ht="15.75" hidden="1" customHeight="1">
      <c r="A595" s="1" t="s">
        <v>38</v>
      </c>
      <c r="B595" s="1" t="s">
        <v>12552</v>
      </c>
      <c r="C595" s="1" t="s">
        <v>12553</v>
      </c>
      <c r="D595" s="7" t="str">
        <f>IFERROR(__xludf.DUMMYFUNCTION("GOOGLETRANSLATE(C595, ""en"", ""ar"")"),"ملف مشترك مع٪ s")</f>
        <v>ملف مشترك مع٪ s</v>
      </c>
      <c r="E595" s="1" t="s">
        <v>12554</v>
      </c>
      <c r="F595" s="6" t="s">
        <v>12555</v>
      </c>
      <c r="G595" s="7" t="str">
        <f>IFERROR(__xludf.DUMMYFUNCTION("GOOGLETRANSLATE(C595, ""en"", ""cs"")"),"Sdílený soubor s% s")</f>
        <v>Sdílený soubor s% s</v>
      </c>
      <c r="H595" s="7" t="str">
        <f>IFERROR(__xludf.DUMMYFUNCTION("GOOGLETRANSLATE(C595, ""en"", ""da"")"),"Delt fil med% s")</f>
        <v>Delt fil med% s</v>
      </c>
      <c r="I595" s="1" t="s">
        <v>12556</v>
      </c>
      <c r="J595" s="6" t="s">
        <v>132</v>
      </c>
      <c r="K595" s="1" t="s">
        <v>12557</v>
      </c>
      <c r="L595" s="7" t="str">
        <f>IFERROR(__xludf.DUMMYFUNCTION("GOOGLETRANSLATE(C595, ""en"", ""fi"")"),"Jaettu tiedosto% s")</f>
        <v>Jaettu tiedosto% s</v>
      </c>
      <c r="M595" s="1" t="s">
        <v>12558</v>
      </c>
      <c r="N595" s="6" t="s">
        <v>12559</v>
      </c>
      <c r="O595" s="6" t="s">
        <v>132</v>
      </c>
      <c r="P595" s="1" t="s">
        <v>12560</v>
      </c>
      <c r="Q595" s="7" t="str">
        <f>IFERROR(__xludf.DUMMYFUNCTION("GOOGLETRANSLATE(C595, ""en"", ""in"")"),"File bersama dengan% s")</f>
        <v>File bersama dengan% s</v>
      </c>
      <c r="R595" s="1" t="s">
        <v>12561</v>
      </c>
      <c r="S595" s="6" t="s">
        <v>132</v>
      </c>
      <c r="T595" s="1" t="s">
        <v>12562</v>
      </c>
      <c r="U595" s="1" t="s">
        <v>12563</v>
      </c>
      <c r="V595" s="7" t="str">
        <f>IFERROR(__xludf.DUMMYFUNCTION("GOOGLETRANSLATE(C595, ""en"", ""ms"")"),"Fail yang dikongsi dengan% s")</f>
        <v>Fail yang dikongsi dengan% s</v>
      </c>
      <c r="W595" s="1" t="s">
        <v>12564</v>
      </c>
      <c r="X595" s="7" t="str">
        <f>IFERROR(__xludf.DUMMYFUNCTION("GOOGLETRANSLATE(C595, ""en"", ""no"")"),"Felles fil med% s")</f>
        <v>Felles fil med% s</v>
      </c>
      <c r="Y595" s="1" t="s">
        <v>12565</v>
      </c>
      <c r="Z595" s="1" t="s">
        <v>12566</v>
      </c>
      <c r="AA595" s="7" t="str">
        <f>IFERROR(__xludf.DUMMYFUNCTION("GOOGLETRANSLATE(C595, ""en"", ""ro"")"),"Fișier partajat cu% s")</f>
        <v>Fișier partajat cu% s</v>
      </c>
      <c r="AB595" s="1" t="s">
        <v>12567</v>
      </c>
      <c r="AC595" s="7" t="str">
        <f>IFERROR(__xludf.DUMMYFUNCTION("GOOGLETRANSLATE(C595, ""en"", ""sk"")"),"Zdieľaný súbor s% s")</f>
        <v>Zdieľaný súbor s% s</v>
      </c>
      <c r="AD595" s="6" t="s">
        <v>132</v>
      </c>
      <c r="AE595" s="1" t="s">
        <v>12568</v>
      </c>
      <c r="AF595" s="1" t="s">
        <v>12569</v>
      </c>
      <c r="AG595" s="6" t="s">
        <v>132</v>
      </c>
      <c r="AH595" s="7" t="str">
        <f>IFERROR(__xludf.DUMMYFUNCTION("GOOGLETRANSLATE(C595, ""en"", ""tr"")"),"% S ile paylaşılan dosya")</f>
        <v>% S ile paylaşılan dosya</v>
      </c>
      <c r="AI595" s="6" t="s">
        <v>12570</v>
      </c>
      <c r="AJ595" s="6" t="s">
        <v>12571</v>
      </c>
      <c r="AK595" s="7" t="str">
        <f>IFERROR(__xludf.DUMMYFUNCTION("GOOGLETRANSLATE(C595, ""en"", ""zh"")"),"具有％s的共享文件")</f>
        <v>具有％s的共享文件</v>
      </c>
      <c r="AL595" s="6" t="s">
        <v>12572</v>
      </c>
    </row>
    <row r="596" ht="15.75" customHeight="1">
      <c r="A596" s="1" t="s">
        <v>127</v>
      </c>
      <c r="B596" s="1" t="s">
        <v>12573</v>
      </c>
      <c r="C596" s="1" t="s">
        <v>7555</v>
      </c>
      <c r="D596" s="8" t="s">
        <v>12574</v>
      </c>
      <c r="E596" s="1" t="s">
        <v>7555</v>
      </c>
      <c r="F596" s="6" t="s">
        <v>132</v>
      </c>
      <c r="G596" s="1" t="s">
        <v>7555</v>
      </c>
      <c r="H596" s="1" t="s">
        <v>7555</v>
      </c>
      <c r="I596" s="1" t="s">
        <v>7555</v>
      </c>
      <c r="J596" s="6" t="s">
        <v>7555</v>
      </c>
      <c r="K596" s="1" t="s">
        <v>7555</v>
      </c>
      <c r="L596" s="1" t="s">
        <v>7555</v>
      </c>
      <c r="M596" s="1" t="s">
        <v>7555</v>
      </c>
      <c r="N596" s="6" t="s">
        <v>132</v>
      </c>
      <c r="O596" s="6" t="s">
        <v>12575</v>
      </c>
      <c r="P596" s="1" t="s">
        <v>7555</v>
      </c>
      <c r="Q596" s="1" t="s">
        <v>7555</v>
      </c>
      <c r="R596" s="1" t="s">
        <v>7555</v>
      </c>
      <c r="S596" s="6" t="s">
        <v>132</v>
      </c>
      <c r="T596" s="1" t="s">
        <v>12576</v>
      </c>
      <c r="U596" s="1" t="s">
        <v>7555</v>
      </c>
      <c r="V596" s="1" t="s">
        <v>7555</v>
      </c>
      <c r="W596" s="1" t="s">
        <v>7555</v>
      </c>
      <c r="X596" s="1" t="s">
        <v>7555</v>
      </c>
      <c r="Y596" s="1" t="s">
        <v>7555</v>
      </c>
      <c r="Z596" s="1" t="s">
        <v>7555</v>
      </c>
      <c r="AA596" s="1" t="s">
        <v>7555</v>
      </c>
      <c r="AB596" s="1" t="s">
        <v>12577</v>
      </c>
      <c r="AC596" s="1" t="s">
        <v>7555</v>
      </c>
      <c r="AD596" s="6" t="s">
        <v>7555</v>
      </c>
      <c r="AE596" s="1" t="s">
        <v>7555</v>
      </c>
      <c r="AF596" s="1" t="s">
        <v>7555</v>
      </c>
      <c r="AG596" s="6" t="s">
        <v>7555</v>
      </c>
      <c r="AH596" s="1" t="s">
        <v>12578</v>
      </c>
      <c r="AI596" s="6" t="s">
        <v>132</v>
      </c>
      <c r="AJ596" s="6" t="s">
        <v>7555</v>
      </c>
      <c r="AK596" s="1" t="s">
        <v>12579</v>
      </c>
      <c r="AL596" s="6" t="s">
        <v>12580</v>
      </c>
    </row>
    <row r="597" ht="15.75" hidden="1" customHeight="1">
      <c r="A597" s="1" t="s">
        <v>38</v>
      </c>
      <c r="B597" s="1" t="s">
        <v>12581</v>
      </c>
      <c r="C597" s="1" t="s">
        <v>12582</v>
      </c>
      <c r="D597" s="7" t="str">
        <f>IFERROR(__xludf.DUMMYFUNCTION("GOOGLETRANSLATE(C597, ""en"", ""ar"")"),"ضغط الصورة")</f>
        <v>ضغط الصورة</v>
      </c>
      <c r="E597" s="1" t="s">
        <v>12583</v>
      </c>
      <c r="F597" s="6" t="s">
        <v>12584</v>
      </c>
      <c r="G597" s="7" t="str">
        <f>IFERROR(__xludf.DUMMYFUNCTION("GOOGLETRANSLATE(C597, ""en"", ""cs"")"),"Komprese obrazu")</f>
        <v>Komprese obrazu</v>
      </c>
      <c r="H597" s="7" t="str">
        <f>IFERROR(__xludf.DUMMYFUNCTION("GOOGLETRANSLATE(C597, ""en"", ""da"")"),"Image Compression")</f>
        <v>Image Compression</v>
      </c>
      <c r="I597" s="1" t="s">
        <v>12585</v>
      </c>
      <c r="J597" s="6" t="s">
        <v>132</v>
      </c>
      <c r="K597" s="1" t="s">
        <v>12586</v>
      </c>
      <c r="L597" s="7" t="str">
        <f>IFERROR(__xludf.DUMMYFUNCTION("GOOGLETRANSLATE(C597, ""en"", ""fi"")"),"Kuvan pakkaus")</f>
        <v>Kuvan pakkaus</v>
      </c>
      <c r="M597" s="1" t="s">
        <v>12587</v>
      </c>
      <c r="N597" s="6" t="s">
        <v>12588</v>
      </c>
      <c r="O597" s="6" t="s">
        <v>132</v>
      </c>
      <c r="P597" s="1" t="s">
        <v>12589</v>
      </c>
      <c r="Q597" s="7" t="str">
        <f>IFERROR(__xludf.DUMMYFUNCTION("GOOGLETRANSLATE(C597, ""en"", ""in"")"),"Kompresi gambar")</f>
        <v>Kompresi gambar</v>
      </c>
      <c r="R597" s="1" t="s">
        <v>12590</v>
      </c>
      <c r="S597" s="6" t="s">
        <v>132</v>
      </c>
      <c r="T597" s="7" t="str">
        <f>IFERROR(__xludf.DUMMYFUNCTION("GOOGLETRANSLATE(C597, ""en"", ""ja"")"),"画像圧縮")</f>
        <v>画像圧縮</v>
      </c>
      <c r="U597" s="7" t="str">
        <f>IFERROR(__xludf.DUMMYFUNCTION("GOOGLETRANSLATE(C597, ""en"", ""ko"")"),"이미지 압축")</f>
        <v>이미지 압축</v>
      </c>
      <c r="V597" s="7" t="str">
        <f>IFERROR(__xludf.DUMMYFUNCTION("GOOGLETRANSLATE(C597, ""en"", ""ms"")"),"Pemampatan imej.")</f>
        <v>Pemampatan imej.</v>
      </c>
      <c r="W597" s="1" t="s">
        <v>12591</v>
      </c>
      <c r="X597" s="7" t="str">
        <f>IFERROR(__xludf.DUMMYFUNCTION("GOOGLETRANSLATE(C597, ""en"", ""no"")"),"Bildekomprimering")</f>
        <v>Bildekomprimering</v>
      </c>
      <c r="Y597" s="1" t="s">
        <v>12592</v>
      </c>
      <c r="Z597" s="7" t="str">
        <f>IFERROR(__xludf.DUMMYFUNCTION("GOOGLETRANSLATE(C597, ""en"", ""pt"")"),"Compressão de imagem")</f>
        <v>Compressão de imagem</v>
      </c>
      <c r="AA597" s="7" t="str">
        <f>IFERROR(__xludf.DUMMYFUNCTION("GOOGLETRANSLATE(C597, ""en"", ""ro"")"),"Compresie imagine.")</f>
        <v>Compresie imagine.</v>
      </c>
      <c r="AB597" s="7" t="str">
        <f>IFERROR(__xludf.DUMMYFUNCTION("GOOGLETRANSLATE(C597, ""en"", ""ru"")"),"Сжатие изображения")</f>
        <v>Сжатие изображения</v>
      </c>
      <c r="AC597" s="7" t="str">
        <f>IFERROR(__xludf.DUMMYFUNCTION("GOOGLETRANSLATE(C597, ""en"", ""sk"")"),"Kompresia obrazu")</f>
        <v>Kompresia obrazu</v>
      </c>
      <c r="AD597" s="6" t="s">
        <v>132</v>
      </c>
      <c r="AE597" s="7" t="str">
        <f>IFERROR(__xludf.DUMMYFUNCTION("GOOGLETRANSLATE(C597, ""en"", ""sr"")"),"Компресија слике")</f>
        <v>Компресија слике</v>
      </c>
      <c r="AF597" s="7" t="str">
        <f>IFERROR(__xludf.DUMMYFUNCTION("GOOGLETRANSLATE(C597, ""en"", ""sv"")"),"Bildkomprimering")</f>
        <v>Bildkomprimering</v>
      </c>
      <c r="AG597" s="6" t="s">
        <v>132</v>
      </c>
      <c r="AH597" s="7" t="str">
        <f>IFERROR(__xludf.DUMMYFUNCTION("GOOGLETRANSLATE(C597, ""en"", ""tr"")"),"Görüntü sıkıştırma")</f>
        <v>Görüntü sıkıştırma</v>
      </c>
      <c r="AI597" s="6" t="s">
        <v>132</v>
      </c>
      <c r="AJ597" s="6" t="s">
        <v>132</v>
      </c>
      <c r="AK597" s="7" t="str">
        <f>IFERROR(__xludf.DUMMYFUNCTION("GOOGLETRANSLATE(C597, ""en"", ""zh"")"),"图像压缩")</f>
        <v>图像压缩</v>
      </c>
      <c r="AL597" s="6" t="s">
        <v>132</v>
      </c>
    </row>
    <row r="598" ht="15.75" customHeight="1">
      <c r="A598" s="1" t="s">
        <v>127</v>
      </c>
      <c r="B598" s="1" t="s">
        <v>12593</v>
      </c>
      <c r="C598" s="1" t="s">
        <v>12594</v>
      </c>
      <c r="D598" s="8" t="s">
        <v>12595</v>
      </c>
      <c r="E598" s="1" t="s">
        <v>12596</v>
      </c>
      <c r="F598" s="6" t="s">
        <v>132</v>
      </c>
      <c r="G598" s="1" t="s">
        <v>12597</v>
      </c>
      <c r="H598" s="1" t="s">
        <v>12598</v>
      </c>
      <c r="I598" s="1" t="s">
        <v>12594</v>
      </c>
      <c r="J598" s="6" t="s">
        <v>12599</v>
      </c>
      <c r="K598" s="1" t="s">
        <v>12594</v>
      </c>
      <c r="L598" s="1" t="s">
        <v>12600</v>
      </c>
      <c r="M598" s="1" t="s">
        <v>12601</v>
      </c>
      <c r="N598" s="6" t="s">
        <v>132</v>
      </c>
      <c r="O598" s="6" t="s">
        <v>12602</v>
      </c>
      <c r="P598" s="1" t="s">
        <v>12594</v>
      </c>
      <c r="Q598" s="1" t="s">
        <v>12603</v>
      </c>
      <c r="R598" s="1" t="s">
        <v>12594</v>
      </c>
      <c r="S598" s="6" t="s">
        <v>132</v>
      </c>
      <c r="T598" s="1" t="s">
        <v>12604</v>
      </c>
      <c r="U598" s="1" t="s">
        <v>12605</v>
      </c>
      <c r="V598" s="1" t="s">
        <v>12603</v>
      </c>
      <c r="W598" s="1" t="s">
        <v>12606</v>
      </c>
      <c r="X598" s="1" t="s">
        <v>12607</v>
      </c>
      <c r="Y598" s="1" t="s">
        <v>12608</v>
      </c>
      <c r="Z598" s="1" t="s">
        <v>12594</v>
      </c>
      <c r="AA598" s="1" t="s">
        <v>12609</v>
      </c>
      <c r="AB598" s="1" t="s">
        <v>12610</v>
      </c>
      <c r="AC598" s="1" t="s">
        <v>12611</v>
      </c>
      <c r="AD598" s="6" t="s">
        <v>12612</v>
      </c>
      <c r="AE598" s="1" t="s">
        <v>12594</v>
      </c>
      <c r="AF598" s="1" t="s">
        <v>12613</v>
      </c>
      <c r="AG598" s="6" t="s">
        <v>12614</v>
      </c>
      <c r="AH598" s="1" t="s">
        <v>12615</v>
      </c>
      <c r="AI598" s="6" t="s">
        <v>132</v>
      </c>
      <c r="AJ598" s="6" t="s">
        <v>12616</v>
      </c>
      <c r="AK598" s="1" t="s">
        <v>12617</v>
      </c>
      <c r="AL598" s="6" t="s">
        <v>12618</v>
      </c>
    </row>
    <row r="599" ht="15.75" customHeight="1">
      <c r="A599" s="1" t="s">
        <v>127</v>
      </c>
      <c r="B599" s="1" t="s">
        <v>12619</v>
      </c>
      <c r="C599" s="1" t="s">
        <v>12620</v>
      </c>
      <c r="D599" s="8" t="s">
        <v>12621</v>
      </c>
      <c r="E599" s="1" t="s">
        <v>12622</v>
      </c>
      <c r="F599" s="6" t="s">
        <v>132</v>
      </c>
      <c r="G599" s="1" t="s">
        <v>12623</v>
      </c>
      <c r="H599" s="1" t="s">
        <v>12624</v>
      </c>
      <c r="I599" s="1" t="s">
        <v>12620</v>
      </c>
      <c r="J599" s="6" t="s">
        <v>12625</v>
      </c>
      <c r="K599" s="1" t="s">
        <v>12620</v>
      </c>
      <c r="L599" s="1" t="s">
        <v>12626</v>
      </c>
      <c r="M599" s="1" t="s">
        <v>12627</v>
      </c>
      <c r="N599" s="6" t="s">
        <v>132</v>
      </c>
      <c r="O599" s="6" t="s">
        <v>12628</v>
      </c>
      <c r="P599" s="1" t="s">
        <v>12620</v>
      </c>
      <c r="Q599" s="1" t="s">
        <v>12629</v>
      </c>
      <c r="R599" s="1" t="s">
        <v>12620</v>
      </c>
      <c r="S599" s="6" t="s">
        <v>132</v>
      </c>
      <c r="T599" s="1" t="s">
        <v>12630</v>
      </c>
      <c r="U599" s="1" t="s">
        <v>12631</v>
      </c>
      <c r="V599" s="1" t="s">
        <v>12629</v>
      </c>
      <c r="W599" s="1" t="s">
        <v>12632</v>
      </c>
      <c r="X599" s="1" t="s">
        <v>12633</v>
      </c>
      <c r="Y599" s="1" t="s">
        <v>12634</v>
      </c>
      <c r="Z599" s="1" t="s">
        <v>12635</v>
      </c>
      <c r="AA599" s="1" t="s">
        <v>12636</v>
      </c>
      <c r="AB599" s="1" t="s">
        <v>12637</v>
      </c>
      <c r="AC599" s="1" t="s">
        <v>12638</v>
      </c>
      <c r="AD599" s="6" t="s">
        <v>12639</v>
      </c>
      <c r="AE599" s="1" t="s">
        <v>12620</v>
      </c>
      <c r="AF599" s="1" t="s">
        <v>12640</v>
      </c>
      <c r="AG599" s="6" t="s">
        <v>12641</v>
      </c>
      <c r="AH599" s="1" t="s">
        <v>12642</v>
      </c>
      <c r="AI599" s="6" t="s">
        <v>132</v>
      </c>
      <c r="AJ599" s="6" t="s">
        <v>12643</v>
      </c>
      <c r="AK599" s="1" t="s">
        <v>12644</v>
      </c>
      <c r="AL599" s="6" t="s">
        <v>12645</v>
      </c>
    </row>
    <row r="600" ht="15.75" hidden="1" customHeight="1">
      <c r="A600" s="1" t="s">
        <v>38</v>
      </c>
      <c r="B600" s="1" t="s">
        <v>12646</v>
      </c>
      <c r="C600" s="1" t="s">
        <v>12647</v>
      </c>
      <c r="D600" s="8" t="s">
        <v>12648</v>
      </c>
      <c r="E600" s="1" t="s">
        <v>12649</v>
      </c>
      <c r="F600" s="6" t="s">
        <v>12650</v>
      </c>
      <c r="G600" s="7" t="str">
        <f>IFERROR(__xludf.DUMMYFUNCTION("GOOGLETRANSLATE(C600, ""en"", ""cs"")"),"Nejste zúčastněni")</f>
        <v>Nejste zúčastněni</v>
      </c>
      <c r="H600" s="7" t="str">
        <f>IFERROR(__xludf.DUMMYFUNCTION("GOOGLETRANSLATE(C600, ""en"", ""da"")"),"Du deltager ikke")</f>
        <v>Du deltager ikke</v>
      </c>
      <c r="I600" s="1" t="s">
        <v>12651</v>
      </c>
      <c r="J600" s="6" t="s">
        <v>132</v>
      </c>
      <c r="K600" s="1" t="s">
        <v>12652</v>
      </c>
      <c r="L600" s="7" t="str">
        <f>IFERROR(__xludf.DUMMYFUNCTION("GOOGLETRANSLATE(C600, ""en"", ""fi"")"),"Et ole osallistunut")</f>
        <v>Et ole osallistunut</v>
      </c>
      <c r="M600" s="1" t="s">
        <v>12653</v>
      </c>
      <c r="N600" s="6" t="s">
        <v>12654</v>
      </c>
      <c r="O600" s="6" t="s">
        <v>132</v>
      </c>
      <c r="P600" s="1" t="s">
        <v>12655</v>
      </c>
      <c r="Q600" s="9" t="s">
        <v>12656</v>
      </c>
      <c r="R600" s="1" t="s">
        <v>12657</v>
      </c>
      <c r="S600" s="6" t="s">
        <v>132</v>
      </c>
      <c r="T600" s="1" t="s">
        <v>12658</v>
      </c>
      <c r="U600" s="1" t="s">
        <v>12659</v>
      </c>
      <c r="V600" s="7" t="str">
        <f>IFERROR(__xludf.DUMMYFUNCTION("GOOGLETRANSLATE(C600, ""en"", ""ms"")"),"Anda tidak mengambil bahagian")</f>
        <v>Anda tidak mengambil bahagian</v>
      </c>
      <c r="W600" s="1" t="s">
        <v>12660</v>
      </c>
      <c r="X600" s="7" t="str">
        <f>IFERROR(__xludf.DUMMYFUNCTION("GOOGLETRANSLATE(C600, ""en"", ""no"")"),"Du deltar ikke")</f>
        <v>Du deltar ikke</v>
      </c>
      <c r="Y600" s="1" t="s">
        <v>12661</v>
      </c>
      <c r="Z600" s="1" t="s">
        <v>12662</v>
      </c>
      <c r="AA600" s="7" t="str">
        <f>IFERROR(__xludf.DUMMYFUNCTION("GOOGLETRANSLATE(C600, ""en"", ""ro"")"),"Nu participați")</f>
        <v>Nu participați</v>
      </c>
      <c r="AB600" s="1" t="s">
        <v>12663</v>
      </c>
      <c r="AC600" s="1" t="s">
        <v>12664</v>
      </c>
      <c r="AD600" s="6" t="s">
        <v>132</v>
      </c>
      <c r="AE600" s="1" t="s">
        <v>12665</v>
      </c>
      <c r="AF600" s="1" t="s">
        <v>12666</v>
      </c>
      <c r="AG600" s="6" t="s">
        <v>132</v>
      </c>
      <c r="AH600" s="7" t="str">
        <f>IFERROR(__xludf.DUMMYFUNCTION("GOOGLETRANSLATE(C600, ""en"", ""tr"")"),"Katılmıyorsun")</f>
        <v>Katılmıyorsun</v>
      </c>
      <c r="AI600" s="6" t="s">
        <v>12667</v>
      </c>
      <c r="AJ600" s="6" t="s">
        <v>12668</v>
      </c>
      <c r="AK600" s="7" t="str">
        <f>IFERROR(__xludf.DUMMYFUNCTION("GOOGLETRANSLATE(C600, ""en"", ""zh"")"),"你没有参加")</f>
        <v>你没有参加</v>
      </c>
      <c r="AL600" s="6" t="s">
        <v>12669</v>
      </c>
    </row>
    <row r="601" ht="15.75" customHeight="1">
      <c r="A601" s="1" t="s">
        <v>127</v>
      </c>
      <c r="B601" s="1" t="s">
        <v>12670</v>
      </c>
      <c r="C601" s="1" t="s">
        <v>12671</v>
      </c>
      <c r="D601" s="8" t="s">
        <v>12672</v>
      </c>
      <c r="E601" s="1" t="s">
        <v>12673</v>
      </c>
      <c r="F601" s="6" t="s">
        <v>132</v>
      </c>
      <c r="G601" s="1" t="s">
        <v>12674</v>
      </c>
      <c r="H601" s="1" t="s">
        <v>12675</v>
      </c>
      <c r="I601" s="1" t="s">
        <v>12671</v>
      </c>
      <c r="J601" s="6" t="s">
        <v>12676</v>
      </c>
      <c r="K601" s="1" t="s">
        <v>12671</v>
      </c>
      <c r="L601" s="1" t="s">
        <v>12677</v>
      </c>
      <c r="M601" s="1" t="s">
        <v>12671</v>
      </c>
      <c r="N601" s="6" t="s">
        <v>132</v>
      </c>
      <c r="O601" s="6" t="s">
        <v>12678</v>
      </c>
      <c r="P601" s="1" t="s">
        <v>12671</v>
      </c>
      <c r="Q601" s="1" t="s">
        <v>12679</v>
      </c>
      <c r="R601" s="1" t="s">
        <v>12671</v>
      </c>
      <c r="S601" s="6" t="s">
        <v>132</v>
      </c>
      <c r="T601" s="1" t="s">
        <v>12680</v>
      </c>
      <c r="U601" s="1" t="s">
        <v>12681</v>
      </c>
      <c r="V601" s="1" t="s">
        <v>12679</v>
      </c>
      <c r="W601" s="1" t="s">
        <v>12682</v>
      </c>
      <c r="X601" s="1" t="s">
        <v>12683</v>
      </c>
      <c r="Y601" s="1" t="s">
        <v>12671</v>
      </c>
      <c r="Z601" s="1" t="s">
        <v>12684</v>
      </c>
      <c r="AA601" s="1" t="s">
        <v>12685</v>
      </c>
      <c r="AB601" s="1" t="s">
        <v>12686</v>
      </c>
      <c r="AC601" s="1" t="s">
        <v>12687</v>
      </c>
      <c r="AD601" s="6" t="s">
        <v>12688</v>
      </c>
      <c r="AE601" s="1" t="s">
        <v>12671</v>
      </c>
      <c r="AF601" s="1" t="s">
        <v>12689</v>
      </c>
      <c r="AG601" s="6" t="s">
        <v>12690</v>
      </c>
      <c r="AH601" s="1" t="s">
        <v>12691</v>
      </c>
      <c r="AI601" s="6" t="s">
        <v>132</v>
      </c>
      <c r="AJ601" s="6" t="s">
        <v>12692</v>
      </c>
      <c r="AK601" s="1" t="s">
        <v>12693</v>
      </c>
      <c r="AL601" s="6" t="s">
        <v>12694</v>
      </c>
    </row>
    <row r="602" ht="15.75" hidden="1" customHeight="1">
      <c r="A602" s="1" t="s">
        <v>38</v>
      </c>
      <c r="B602" s="1" t="s">
        <v>12695</v>
      </c>
      <c r="C602" s="1" t="s">
        <v>12696</v>
      </c>
      <c r="D602" s="7" t="str">
        <f>IFERROR(__xludf.DUMMYFUNCTION("GOOGLETRANSLATE(C602, ""en"", ""ar"")"),"حذف رسائل المستخدم؟")</f>
        <v>حذف رسائل المستخدم؟</v>
      </c>
      <c r="E602" s="7" t="str">
        <f>IFERROR(__xludf.DUMMYFUNCTION("GOOGLETRANSLATE(C602, ""en"", ""bg"")"),"Изтрийте потребителските съобщения?")</f>
        <v>Изтрийте потребителските съобщения?</v>
      </c>
      <c r="F602" s="6" t="s">
        <v>132</v>
      </c>
      <c r="G602" s="7" t="str">
        <f>IFERROR(__xludf.DUMMYFUNCTION("GOOGLETRANSLATE(C602, ""en"", ""cs"")"),"Smazat zprávy uživatele?")</f>
        <v>Smazat zprávy uživatele?</v>
      </c>
      <c r="H602" s="7" t="str">
        <f>IFERROR(__xludf.DUMMYFUNCTION("GOOGLETRANSLATE(C602, ""en"", ""da"")"),"Slet brugermeddelelser?")</f>
        <v>Slet brugermeddelelser?</v>
      </c>
      <c r="I602" s="1" t="s">
        <v>12697</v>
      </c>
      <c r="J602" s="6" t="s">
        <v>132</v>
      </c>
      <c r="K602" s="1" t="s">
        <v>12698</v>
      </c>
      <c r="L602" s="7" t="str">
        <f>IFERROR(__xludf.DUMMYFUNCTION("GOOGLETRANSLATE(C602, ""en"", ""fi"")"),"Poista käyttäjäviestit?")</f>
        <v>Poista käyttäjäviestit?</v>
      </c>
      <c r="M602" s="1" t="s">
        <v>12699</v>
      </c>
      <c r="N602" s="6" t="s">
        <v>132</v>
      </c>
      <c r="O602" s="6" t="s">
        <v>132</v>
      </c>
      <c r="P602" s="1" t="s">
        <v>12700</v>
      </c>
      <c r="Q602" s="7" t="str">
        <f>IFERROR(__xludf.DUMMYFUNCTION("GOOGLETRANSLATE(C602, ""en"", ""in"")"),"Hapus pesan pengguna?")</f>
        <v>Hapus pesan pengguna?</v>
      </c>
      <c r="R602" s="7" t="str">
        <f>IFERROR(__xludf.DUMMYFUNCTION("GOOGLETRANSLATE(C602, ""en"", ""it"")"),"Elimina i messaggi utente?")</f>
        <v>Elimina i messaggi utente?</v>
      </c>
      <c r="S602" s="6" t="s">
        <v>132</v>
      </c>
      <c r="T602" s="7" t="str">
        <f>IFERROR(__xludf.DUMMYFUNCTION("GOOGLETRANSLATE(C602, ""en"", ""ja"")"),"ユーザーメッセージを削除しますか？")</f>
        <v>ユーザーメッセージを削除しますか？</v>
      </c>
      <c r="U602" s="7" t="str">
        <f>IFERROR(__xludf.DUMMYFUNCTION("GOOGLETRANSLATE(C602, ""en"", ""ko"")"),"사용자 메시지 삭제?")</f>
        <v>사용자 메시지 삭제?</v>
      </c>
      <c r="V602" s="7" t="str">
        <f>IFERROR(__xludf.DUMMYFUNCTION("GOOGLETRANSLATE(C602, ""en"", ""ms"")"),"Padam mesej pengguna?")</f>
        <v>Padam mesej pengguna?</v>
      </c>
      <c r="W602" s="7" t="str">
        <f>IFERROR(__xludf.DUMMYFUNCTION("GOOGLETRANSLATE(C602, ""en"", ""nl"")"),"Verwijder gebruikersberichten?")</f>
        <v>Verwijder gebruikersberichten?</v>
      </c>
      <c r="X602" s="7" t="str">
        <f>IFERROR(__xludf.DUMMYFUNCTION("GOOGLETRANSLATE(C602, ""en"", ""no"")"),"Slett brukermeldinger?")</f>
        <v>Slett brukermeldinger?</v>
      </c>
      <c r="Y602" s="7" t="str">
        <f>IFERROR(__xludf.DUMMYFUNCTION("GOOGLETRANSLATE(C602, ""en"", ""pl"")"),"Usuń komunikaty użytkownika?")</f>
        <v>Usuń komunikaty użytkownika?</v>
      </c>
      <c r="Z602" s="7" t="str">
        <f>IFERROR(__xludf.DUMMYFUNCTION("GOOGLETRANSLATE(C602, ""en"", ""pt"")"),"Excluir mensagens do usuário?")</f>
        <v>Excluir mensagens do usuário?</v>
      </c>
      <c r="AA602" s="7" t="str">
        <f>IFERROR(__xludf.DUMMYFUNCTION("GOOGLETRANSLATE(C602, ""en"", ""ro"")"),"Ștergeți mesajele utilizatorului?")</f>
        <v>Ștergeți mesajele utilizatorului?</v>
      </c>
      <c r="AB602" s="1" t="s">
        <v>12701</v>
      </c>
      <c r="AC602" s="7" t="str">
        <f>IFERROR(__xludf.DUMMYFUNCTION("GOOGLETRANSLATE(C602, ""en"", ""sk"")"),"Odstrániť používateľské správy?")</f>
        <v>Odstrániť používateľské správy?</v>
      </c>
      <c r="AD602" s="6" t="s">
        <v>132</v>
      </c>
      <c r="AE602" s="1" t="s">
        <v>12702</v>
      </c>
      <c r="AF602" s="7" t="str">
        <f>IFERROR(__xludf.DUMMYFUNCTION("GOOGLETRANSLATE(C602, ""en"", ""sv"")"),"Ta bort användarmeddelanden?")</f>
        <v>Ta bort användarmeddelanden?</v>
      </c>
      <c r="AG602" s="6" t="s">
        <v>132</v>
      </c>
      <c r="AH602" s="7" t="str">
        <f>IFERROR(__xludf.DUMMYFUNCTION("GOOGLETRANSLATE(C602, ""en"", ""tr"")"),"Kullanıcı mesajlarını silin mi?")</f>
        <v>Kullanıcı mesajlarını silin mi?</v>
      </c>
      <c r="AI602" s="6" t="s">
        <v>132</v>
      </c>
      <c r="AJ602" s="6" t="s">
        <v>132</v>
      </c>
      <c r="AK602" s="7" t="str">
        <f>IFERROR(__xludf.DUMMYFUNCTION("GOOGLETRANSLATE(C602, ""en"", ""zh"")"),"删除用户消息？")</f>
        <v>删除用户消息？</v>
      </c>
      <c r="AL602" s="6" t="s">
        <v>132</v>
      </c>
    </row>
    <row r="603" ht="15.75" hidden="1" customHeight="1">
      <c r="A603" s="1" t="s">
        <v>38</v>
      </c>
      <c r="B603" s="1" t="s">
        <v>12703</v>
      </c>
      <c r="C603" s="1" t="s">
        <v>12704</v>
      </c>
      <c r="D603" s="8" t="s">
        <v>12705</v>
      </c>
      <c r="E603" s="1" t="s">
        <v>12706</v>
      </c>
      <c r="F603" s="6" t="s">
        <v>12707</v>
      </c>
      <c r="G603" s="7" t="str">
        <f>IFERROR(__xludf.DUMMYFUNCTION("GOOGLETRANSLATE(C603, ""en"", ""cs"")"),"Požádejte nyní")</f>
        <v>Požádejte nyní</v>
      </c>
      <c r="H603" s="7" t="str">
        <f>IFERROR(__xludf.DUMMYFUNCTION("GOOGLETRANSLATE(C603, ""en"", ""da"")"),"Anmod om nu")</f>
        <v>Anmod om nu</v>
      </c>
      <c r="I603" s="1" t="s">
        <v>12708</v>
      </c>
      <c r="J603" s="6" t="s">
        <v>132</v>
      </c>
      <c r="K603" s="1" t="s">
        <v>12709</v>
      </c>
      <c r="L603" s="7" t="str">
        <f>IFERROR(__xludf.DUMMYFUNCTION("GOOGLETRANSLATE(C603, ""en"", ""fi"")"),"Pyydä nyt")</f>
        <v>Pyydä nyt</v>
      </c>
      <c r="M603" s="1" t="s">
        <v>12710</v>
      </c>
      <c r="N603" s="6" t="s">
        <v>12711</v>
      </c>
      <c r="O603" s="6" t="s">
        <v>132</v>
      </c>
      <c r="P603" s="1" t="s">
        <v>12712</v>
      </c>
      <c r="Q603" s="9" t="s">
        <v>12713</v>
      </c>
      <c r="R603" s="1" t="s">
        <v>12714</v>
      </c>
      <c r="S603" s="6" t="s">
        <v>132</v>
      </c>
      <c r="T603" s="1" t="s">
        <v>12715</v>
      </c>
      <c r="U603" s="1" t="s">
        <v>12716</v>
      </c>
      <c r="V603" s="7" t="str">
        <f>IFERROR(__xludf.DUMMYFUNCTION("GOOGLETRANSLATE(C603, ""en"", ""ms"")"),"Permintaan sekarang")</f>
        <v>Permintaan sekarang</v>
      </c>
      <c r="W603" s="1" t="s">
        <v>12717</v>
      </c>
      <c r="X603" s="7" t="str">
        <f>IFERROR(__xludf.DUMMYFUNCTION("GOOGLETRANSLATE(C603, ""en"", ""no"")"),"Forespørsel nå")</f>
        <v>Forespørsel nå</v>
      </c>
      <c r="Y603" s="1" t="s">
        <v>12718</v>
      </c>
      <c r="Z603" s="1" t="s">
        <v>12711</v>
      </c>
      <c r="AA603" s="7" t="str">
        <f>IFERROR(__xludf.DUMMYFUNCTION("GOOGLETRANSLATE(C603, ""en"", ""ro"")"),"Cerere acum")</f>
        <v>Cerere acum</v>
      </c>
      <c r="AB603" s="1" t="s">
        <v>12719</v>
      </c>
      <c r="AC603" s="1" t="s">
        <v>12720</v>
      </c>
      <c r="AD603" s="6" t="s">
        <v>132</v>
      </c>
      <c r="AE603" s="1" t="s">
        <v>12721</v>
      </c>
      <c r="AF603" s="1" t="s">
        <v>12722</v>
      </c>
      <c r="AG603" s="6" t="s">
        <v>132</v>
      </c>
      <c r="AH603" s="7" t="str">
        <f>IFERROR(__xludf.DUMMYFUNCTION("GOOGLETRANSLATE(C603, ""en"", ""tr"")"),"Şimdi talep edin")</f>
        <v>Şimdi talep edin</v>
      </c>
      <c r="AI603" s="6" t="s">
        <v>12723</v>
      </c>
      <c r="AJ603" s="6" t="s">
        <v>12724</v>
      </c>
      <c r="AK603" s="7" t="str">
        <f>IFERROR(__xludf.DUMMYFUNCTION("GOOGLETRANSLATE(C603, ""en"", ""zh"")"),"立即请求")</f>
        <v>立即请求</v>
      </c>
      <c r="AL603" s="6" t="s">
        <v>12725</v>
      </c>
    </row>
    <row r="604" ht="15.75" customHeight="1">
      <c r="A604" s="1" t="s">
        <v>127</v>
      </c>
      <c r="B604" s="1" t="s">
        <v>12726</v>
      </c>
      <c r="C604" s="1" t="s">
        <v>3004</v>
      </c>
      <c r="D604" s="8" t="s">
        <v>3005</v>
      </c>
      <c r="E604" s="1" t="s">
        <v>3006</v>
      </c>
      <c r="F604" s="6" t="s">
        <v>132</v>
      </c>
      <c r="G604" s="1" t="s">
        <v>3007</v>
      </c>
      <c r="H604" s="1" t="s">
        <v>3008</v>
      </c>
      <c r="I604" s="1" t="s">
        <v>3009</v>
      </c>
      <c r="J604" s="6" t="s">
        <v>3010</v>
      </c>
      <c r="K604" s="1" t="s">
        <v>3011</v>
      </c>
      <c r="L604" s="1" t="s">
        <v>3012</v>
      </c>
      <c r="M604" s="1" t="s">
        <v>3013</v>
      </c>
      <c r="N604" s="6" t="s">
        <v>132</v>
      </c>
      <c r="O604" s="6" t="s">
        <v>3014</v>
      </c>
      <c r="P604" s="1" t="s">
        <v>3015</v>
      </c>
      <c r="Q604" s="1" t="s">
        <v>3016</v>
      </c>
      <c r="R604" s="1" t="s">
        <v>3017</v>
      </c>
      <c r="S604" s="6" t="s">
        <v>132</v>
      </c>
      <c r="T604" s="1" t="s">
        <v>3019</v>
      </c>
      <c r="U604" s="1" t="s">
        <v>3020</v>
      </c>
      <c r="V604" s="1" t="s">
        <v>3021</v>
      </c>
      <c r="W604" s="1" t="s">
        <v>3022</v>
      </c>
      <c r="X604" s="1" t="s">
        <v>3023</v>
      </c>
      <c r="Y604" s="1" t="s">
        <v>3024</v>
      </c>
      <c r="Z604" s="1" t="s">
        <v>3025</v>
      </c>
      <c r="AA604" s="1" t="s">
        <v>3026</v>
      </c>
      <c r="AB604" s="1" t="s">
        <v>3006</v>
      </c>
      <c r="AC604" s="1" t="s">
        <v>3027</v>
      </c>
      <c r="AD604" s="6" t="s">
        <v>3028</v>
      </c>
      <c r="AE604" s="1" t="s">
        <v>12727</v>
      </c>
      <c r="AF604" s="1" t="s">
        <v>3030</v>
      </c>
      <c r="AG604" s="6" t="s">
        <v>3031</v>
      </c>
      <c r="AH604" s="1" t="s">
        <v>3032</v>
      </c>
      <c r="AI604" s="6" t="s">
        <v>132</v>
      </c>
      <c r="AJ604" s="6" t="s">
        <v>3033</v>
      </c>
      <c r="AK604" s="1" t="s">
        <v>3034</v>
      </c>
      <c r="AL604" s="6" t="s">
        <v>3035</v>
      </c>
    </row>
    <row r="605" ht="15.75" customHeight="1">
      <c r="A605" s="1" t="s">
        <v>127</v>
      </c>
      <c r="B605" s="1" t="s">
        <v>12728</v>
      </c>
      <c r="C605" s="1" t="s">
        <v>12729</v>
      </c>
      <c r="D605" s="8" t="s">
        <v>12730</v>
      </c>
      <c r="E605" s="1" t="s">
        <v>12731</v>
      </c>
      <c r="F605" s="6" t="s">
        <v>132</v>
      </c>
      <c r="G605" s="1" t="s">
        <v>12732</v>
      </c>
      <c r="H605" s="1" t="s">
        <v>12733</v>
      </c>
      <c r="I605" s="1" t="s">
        <v>12734</v>
      </c>
      <c r="J605" s="6" t="s">
        <v>12735</v>
      </c>
      <c r="K605" s="1" t="s">
        <v>12736</v>
      </c>
      <c r="L605" s="1" t="s">
        <v>12737</v>
      </c>
      <c r="M605" s="1" t="s">
        <v>12738</v>
      </c>
      <c r="N605" s="6" t="s">
        <v>132</v>
      </c>
      <c r="O605" s="6" t="s">
        <v>12739</v>
      </c>
      <c r="P605" s="1" t="s">
        <v>12740</v>
      </c>
      <c r="Q605" s="1" t="s">
        <v>12741</v>
      </c>
      <c r="R605" s="1" t="s">
        <v>12742</v>
      </c>
      <c r="S605" s="6" t="s">
        <v>132</v>
      </c>
      <c r="T605" s="1" t="s">
        <v>12743</v>
      </c>
      <c r="U605" s="1" t="s">
        <v>12744</v>
      </c>
      <c r="V605" s="1" t="s">
        <v>12745</v>
      </c>
      <c r="W605" s="1" t="s">
        <v>12746</v>
      </c>
      <c r="X605" s="1" t="s">
        <v>12733</v>
      </c>
      <c r="Y605" s="1" t="s">
        <v>12747</v>
      </c>
      <c r="Z605" s="1" t="s">
        <v>12748</v>
      </c>
      <c r="AA605" s="1" t="s">
        <v>12749</v>
      </c>
      <c r="AB605" s="1" t="s">
        <v>12750</v>
      </c>
      <c r="AC605" s="1" t="s">
        <v>12751</v>
      </c>
      <c r="AD605" s="6" t="s">
        <v>12752</v>
      </c>
      <c r="AE605" s="1" t="s">
        <v>12753</v>
      </c>
      <c r="AF605" s="1" t="s">
        <v>12754</v>
      </c>
      <c r="AG605" s="6" t="s">
        <v>12755</v>
      </c>
      <c r="AH605" s="1" t="s">
        <v>12756</v>
      </c>
      <c r="AI605" s="6" t="s">
        <v>132</v>
      </c>
      <c r="AJ605" s="6" t="s">
        <v>12757</v>
      </c>
      <c r="AK605" s="1" t="s">
        <v>12758</v>
      </c>
      <c r="AL605" s="6" t="s">
        <v>132</v>
      </c>
    </row>
    <row r="606" ht="15.75" customHeight="1">
      <c r="A606" s="1" t="s">
        <v>127</v>
      </c>
      <c r="B606" s="1" t="s">
        <v>12759</v>
      </c>
      <c r="C606" s="1" t="s">
        <v>12760</v>
      </c>
      <c r="D606" s="8" t="s">
        <v>12761</v>
      </c>
      <c r="E606" s="1" t="s">
        <v>12762</v>
      </c>
      <c r="F606" s="6" t="s">
        <v>132</v>
      </c>
      <c r="G606" s="1" t="s">
        <v>12763</v>
      </c>
      <c r="H606" s="1" t="s">
        <v>12764</v>
      </c>
      <c r="I606" s="1" t="s">
        <v>12765</v>
      </c>
      <c r="J606" s="6" t="s">
        <v>12766</v>
      </c>
      <c r="K606" s="1" t="s">
        <v>12767</v>
      </c>
      <c r="L606" s="1" t="s">
        <v>12768</v>
      </c>
      <c r="M606" s="1" t="s">
        <v>10410</v>
      </c>
      <c r="N606" s="6" t="s">
        <v>132</v>
      </c>
      <c r="O606" s="6" t="s">
        <v>12769</v>
      </c>
      <c r="P606" s="1" t="s">
        <v>10412</v>
      </c>
      <c r="Q606" s="1" t="s">
        <v>12770</v>
      </c>
      <c r="R606" s="1" t="s">
        <v>12771</v>
      </c>
      <c r="S606" s="6" t="s">
        <v>132</v>
      </c>
      <c r="T606" s="1" t="s">
        <v>12772</v>
      </c>
      <c r="U606" s="1" t="s">
        <v>12773</v>
      </c>
      <c r="V606" s="1" t="s">
        <v>12774</v>
      </c>
      <c r="W606" s="1" t="s">
        <v>12775</v>
      </c>
      <c r="X606" s="1" t="s">
        <v>12776</v>
      </c>
      <c r="Y606" s="1" t="s">
        <v>12777</v>
      </c>
      <c r="Z606" s="1" t="s">
        <v>12778</v>
      </c>
      <c r="AA606" s="1" t="s">
        <v>12779</v>
      </c>
      <c r="AB606" s="1" t="s">
        <v>12780</v>
      </c>
      <c r="AC606" s="1" t="s">
        <v>12781</v>
      </c>
      <c r="AD606" s="6" t="s">
        <v>12782</v>
      </c>
      <c r="AE606" s="1" t="s">
        <v>12783</v>
      </c>
      <c r="AF606" s="1" t="s">
        <v>12784</v>
      </c>
      <c r="AG606" s="6" t="s">
        <v>12785</v>
      </c>
      <c r="AH606" s="1" t="s">
        <v>12786</v>
      </c>
      <c r="AI606" s="6" t="s">
        <v>132</v>
      </c>
      <c r="AJ606" s="6" t="s">
        <v>12787</v>
      </c>
      <c r="AK606" s="1" t="s">
        <v>12788</v>
      </c>
      <c r="AL606" s="6" t="s">
        <v>132</v>
      </c>
    </row>
    <row r="607" ht="15.75" hidden="1" customHeight="1">
      <c r="A607" s="1" t="s">
        <v>38</v>
      </c>
      <c r="B607" s="1" t="s">
        <v>12789</v>
      </c>
      <c r="C607" s="1" t="s">
        <v>12790</v>
      </c>
      <c r="D607" s="7" t="str">
        <f>IFERROR(__xludf.DUMMYFUNCTION("GOOGLETRANSLATE(C607, ""en"", ""ar"")"),"خطأ غير معروف في الشبكة.")</f>
        <v>خطأ غير معروف في الشبكة.</v>
      </c>
      <c r="E607" s="1" t="s">
        <v>12791</v>
      </c>
      <c r="F607" s="6" t="s">
        <v>132</v>
      </c>
      <c r="G607" s="7" t="str">
        <f>IFERROR(__xludf.DUMMYFUNCTION("GOOGLETRANSLATE(C607, ""en"", ""cs"")"),"Neznámá síťová chyba.")</f>
        <v>Neznámá síťová chyba.</v>
      </c>
      <c r="H607" s="7" t="str">
        <f>IFERROR(__xludf.DUMMYFUNCTION("GOOGLETRANSLATE(C607, ""en"", ""da"")"),"Ukendt netværksfejl.")</f>
        <v>Ukendt netværksfejl.</v>
      </c>
      <c r="I607" s="1" t="s">
        <v>12792</v>
      </c>
      <c r="J607" s="6" t="s">
        <v>132</v>
      </c>
      <c r="K607" s="1" t="s">
        <v>12793</v>
      </c>
      <c r="L607" s="7" t="str">
        <f>IFERROR(__xludf.DUMMYFUNCTION("GOOGLETRANSLATE(C607, ""en"", ""fi"")"),"Tuntematon verkkovirhe.")</f>
        <v>Tuntematon verkkovirhe.</v>
      </c>
      <c r="M607" s="7" t="str">
        <f>IFERROR(__xludf.DUMMYFUNCTION("GOOGLETRANSLATE(C607, ""en"", ""fr"")"),"Erreur de réseau inconnue.")</f>
        <v>Erreur de réseau inconnue.</v>
      </c>
      <c r="N607" s="6" t="s">
        <v>12794</v>
      </c>
      <c r="O607" s="6" t="s">
        <v>132</v>
      </c>
      <c r="P607" s="1" t="s">
        <v>12795</v>
      </c>
      <c r="Q607" s="7" t="str">
        <f>IFERROR(__xludf.DUMMYFUNCTION("GOOGLETRANSLATE(C607, ""en"", ""in"")"),"Kesalahan jaringan yang tidak diketahui.")</f>
        <v>Kesalahan jaringan yang tidak diketahui.</v>
      </c>
      <c r="R607" s="1" t="s">
        <v>12796</v>
      </c>
      <c r="S607" s="6" t="s">
        <v>132</v>
      </c>
      <c r="T607" s="7" t="str">
        <f>IFERROR(__xludf.DUMMYFUNCTION("GOOGLETRANSLATE(C607, ""en"", ""ja"")"),"不明なネットワークエラー")</f>
        <v>不明なネットワークエラー</v>
      </c>
      <c r="U607" s="7" t="str">
        <f>IFERROR(__xludf.DUMMYFUNCTION("GOOGLETRANSLATE(C607, ""en"", ""ko"")"),"알 수없는 네트워크 오류.")</f>
        <v>알 수없는 네트워크 오류.</v>
      </c>
      <c r="V607" s="7" t="str">
        <f>IFERROR(__xludf.DUMMYFUNCTION("GOOGLETRANSLATE(C607, ""en"", ""ms"")"),"Ralat rangkaian yang tidak diketahui.")</f>
        <v>Ralat rangkaian yang tidak diketahui.</v>
      </c>
      <c r="W607" s="1" t="s">
        <v>12797</v>
      </c>
      <c r="X607" s="7" t="str">
        <f>IFERROR(__xludf.DUMMYFUNCTION("GOOGLETRANSLATE(C607, ""en"", ""no"")"),"Ukjent nettverksfeil.")</f>
        <v>Ukjent nettverksfeil.</v>
      </c>
      <c r="Y607" s="1" t="s">
        <v>12798</v>
      </c>
      <c r="Z607" s="7" t="str">
        <f>IFERROR(__xludf.DUMMYFUNCTION("GOOGLETRANSLATE(C607, ""en"", ""pt"")"),"Erro de rede desconhecido.")</f>
        <v>Erro de rede desconhecido.</v>
      </c>
      <c r="AA607" s="7" t="str">
        <f>IFERROR(__xludf.DUMMYFUNCTION("GOOGLETRANSLATE(C607, ""en"", ""ro"")"),"Eroare de rețea necunoscută.")</f>
        <v>Eroare de rețea necunoscută.</v>
      </c>
      <c r="AB607" s="7" t="str">
        <f>IFERROR(__xludf.DUMMYFUNCTION("GOOGLETRANSLATE(C607, ""en"", ""ru"")"),"Неизвестная ошибка сети.")</f>
        <v>Неизвестная ошибка сети.</v>
      </c>
      <c r="AC607" s="7" t="str">
        <f>IFERROR(__xludf.DUMMYFUNCTION("GOOGLETRANSLATE(C607, ""en"", ""sk"")"),"Neznáma sieťová chyba.")</f>
        <v>Neznáma sieťová chyba.</v>
      </c>
      <c r="AD607" s="6" t="s">
        <v>132</v>
      </c>
      <c r="AE607" s="7" t="str">
        <f>IFERROR(__xludf.DUMMYFUNCTION("GOOGLETRANSLATE(C607, ""en"", ""sr"")"),"Погрешка непознате мреже.")</f>
        <v>Погрешка непознате мреже.</v>
      </c>
      <c r="AF607" s="7" t="str">
        <f>IFERROR(__xludf.DUMMYFUNCTION("GOOGLETRANSLATE(C607, ""en"", ""sv"")"),"Okänt nätverksfel.")</f>
        <v>Okänt nätverksfel.</v>
      </c>
      <c r="AG607" s="6" t="s">
        <v>132</v>
      </c>
      <c r="AH607" s="7" t="str">
        <f>IFERROR(__xludf.DUMMYFUNCTION("GOOGLETRANSLATE(C607, ""en"", ""tr"")"),"Bilinmeyen ağ hatası.")</f>
        <v>Bilinmeyen ağ hatası.</v>
      </c>
      <c r="AI607" s="6" t="s">
        <v>132</v>
      </c>
      <c r="AJ607" s="6" t="s">
        <v>132</v>
      </c>
      <c r="AK607" s="7" t="str">
        <f>IFERROR(__xludf.DUMMYFUNCTION("GOOGLETRANSLATE(C607, ""en"", ""zh"")"),"未知的网络错误。")</f>
        <v>未知的网络错误。</v>
      </c>
      <c r="AL607" s="6" t="s">
        <v>132</v>
      </c>
    </row>
    <row r="608" ht="15.75" customHeight="1">
      <c r="A608" s="1" t="s">
        <v>127</v>
      </c>
      <c r="B608" s="1" t="s">
        <v>12799</v>
      </c>
      <c r="C608" s="1" t="s">
        <v>12800</v>
      </c>
      <c r="D608" s="8" t="s">
        <v>12801</v>
      </c>
      <c r="E608" s="1" t="s">
        <v>12802</v>
      </c>
      <c r="F608" s="6" t="s">
        <v>132</v>
      </c>
      <c r="G608" s="1" t="s">
        <v>12803</v>
      </c>
      <c r="H608" s="1" t="s">
        <v>12804</v>
      </c>
      <c r="I608" s="1" t="s">
        <v>12805</v>
      </c>
      <c r="J608" s="6" t="s">
        <v>12806</v>
      </c>
      <c r="K608" s="1" t="s">
        <v>12807</v>
      </c>
      <c r="L608" s="1" t="s">
        <v>12808</v>
      </c>
      <c r="M608" s="1" t="s">
        <v>12809</v>
      </c>
      <c r="N608" s="6" t="s">
        <v>132</v>
      </c>
      <c r="O608" s="6" t="s">
        <v>12810</v>
      </c>
      <c r="P608" s="1" t="s">
        <v>12800</v>
      </c>
      <c r="Q608" s="1" t="s">
        <v>12811</v>
      </c>
      <c r="R608" s="1" t="s">
        <v>12812</v>
      </c>
      <c r="S608" s="6" t="s">
        <v>132</v>
      </c>
      <c r="T608" s="1" t="s">
        <v>12813</v>
      </c>
      <c r="U608" s="1" t="s">
        <v>12814</v>
      </c>
      <c r="V608" s="1" t="s">
        <v>12815</v>
      </c>
      <c r="W608" s="1" t="s">
        <v>12800</v>
      </c>
      <c r="X608" s="1" t="s">
        <v>12816</v>
      </c>
      <c r="Y608" s="1" t="s">
        <v>12800</v>
      </c>
      <c r="Z608" s="1" t="s">
        <v>12817</v>
      </c>
      <c r="AA608" s="1" t="s">
        <v>12818</v>
      </c>
      <c r="AB608" s="1" t="s">
        <v>12819</v>
      </c>
      <c r="AC608" s="1" t="s">
        <v>12820</v>
      </c>
      <c r="AD608" s="6" t="s">
        <v>12821</v>
      </c>
      <c r="AE608" s="1" t="s">
        <v>12822</v>
      </c>
      <c r="AF608" s="1" t="s">
        <v>12823</v>
      </c>
      <c r="AG608" s="6" t="s">
        <v>12824</v>
      </c>
      <c r="AH608" s="1" t="s">
        <v>12825</v>
      </c>
      <c r="AI608" s="6" t="s">
        <v>132</v>
      </c>
      <c r="AJ608" s="6" t="s">
        <v>12826</v>
      </c>
      <c r="AK608" s="1" t="s">
        <v>12827</v>
      </c>
      <c r="AL608" s="6" t="s">
        <v>12828</v>
      </c>
    </row>
    <row r="609" ht="15.75" hidden="1" customHeight="1">
      <c r="A609" s="1" t="s">
        <v>38</v>
      </c>
      <c r="B609" s="1" t="s">
        <v>12829</v>
      </c>
      <c r="C609" s="1" t="s">
        <v>12830</v>
      </c>
      <c r="D609" s="8" t="s">
        <v>12831</v>
      </c>
      <c r="E609" s="1" t="s">
        <v>12832</v>
      </c>
      <c r="F609" s="6" t="s">
        <v>12833</v>
      </c>
      <c r="G609" s="7" t="str">
        <f>IFERROR(__xludf.DUMMYFUNCTION("GOOGLETRANSLATE(C609, ""en"", ""cs"")"),"Chyba zabezpečení: Neplatný přístup k souboru")</f>
        <v>Chyba zabezpečení: Neplatný přístup k souboru</v>
      </c>
      <c r="H609" s="7" t="str">
        <f>IFERROR(__xludf.DUMMYFUNCTION("GOOGLETRANSLATE(C609, ""en"", ""da"")"),"Sikkerhedsfejl: Ugyldig filadgang")</f>
        <v>Sikkerhedsfejl: Ugyldig filadgang</v>
      </c>
      <c r="I609" s="1" t="s">
        <v>12834</v>
      </c>
      <c r="J609" s="6" t="s">
        <v>132</v>
      </c>
      <c r="K609" s="1" t="s">
        <v>12835</v>
      </c>
      <c r="L609" s="7" t="str">
        <f>IFERROR(__xludf.DUMMYFUNCTION("GOOGLETRANSLATE(C609, ""en"", ""fi"")"),"Turvavirhe: Virheellinen tiedoston käyttöoikeus")</f>
        <v>Turvavirhe: Virheellinen tiedoston käyttöoikeus</v>
      </c>
      <c r="M609" s="1" t="s">
        <v>12836</v>
      </c>
      <c r="N609" s="6" t="s">
        <v>12837</v>
      </c>
      <c r="O609" s="6" t="s">
        <v>132</v>
      </c>
      <c r="P609" s="1" t="s">
        <v>12838</v>
      </c>
      <c r="Q609" s="7" t="str">
        <f>IFERROR(__xludf.DUMMYFUNCTION("GOOGLETRANSLATE(C609, ""en"", ""in"")"),"Kesalahan Keamanan: Akses file tidak valid")</f>
        <v>Kesalahan Keamanan: Akses file tidak valid</v>
      </c>
      <c r="R609" s="1" t="s">
        <v>12839</v>
      </c>
      <c r="S609" s="6" t="s">
        <v>132</v>
      </c>
      <c r="T609" s="1" t="s">
        <v>12840</v>
      </c>
      <c r="U609" s="1" t="s">
        <v>12841</v>
      </c>
      <c r="V609" s="7" t="str">
        <f>IFERROR(__xludf.DUMMYFUNCTION("GOOGLETRANSLATE(C609, ""en"", ""ms"")"),"Kesalahan Keselamatan: Akses Fail Tidak Sah")</f>
        <v>Kesalahan Keselamatan: Akses Fail Tidak Sah</v>
      </c>
      <c r="W609" s="1" t="s">
        <v>12842</v>
      </c>
      <c r="X609" s="7" t="str">
        <f>IFERROR(__xludf.DUMMYFUNCTION("GOOGLETRANSLATE(C609, ""en"", ""no"")"),"Sikkerhetsfeil: Ugyldig filtilgang")</f>
        <v>Sikkerhetsfeil: Ugyldig filtilgang</v>
      </c>
      <c r="Y609" s="1" t="s">
        <v>12843</v>
      </c>
      <c r="Z609" s="1" t="s">
        <v>12844</v>
      </c>
      <c r="AA609" s="7" t="str">
        <f>IFERROR(__xludf.DUMMYFUNCTION("GOOGLETRANSLATE(C609, ""en"", ""ro"")"),"Eroare de securitate: Accesul la fișierele nevalide")</f>
        <v>Eroare de securitate: Accesul la fișierele nevalide</v>
      </c>
      <c r="AB609" s="1" t="s">
        <v>12845</v>
      </c>
      <c r="AC609" s="7" t="str">
        <f>IFERROR(__xludf.DUMMYFUNCTION("GOOGLETRANSLATE(C609, ""en"", ""sk"")"),"Chyba bezpečnosti: Neplatný prístup k súboru")</f>
        <v>Chyba bezpečnosti: Neplatný prístup k súboru</v>
      </c>
      <c r="AD609" s="6" t="s">
        <v>132</v>
      </c>
      <c r="AE609" s="1" t="s">
        <v>12846</v>
      </c>
      <c r="AF609" s="1" t="s">
        <v>12847</v>
      </c>
      <c r="AG609" s="6" t="s">
        <v>132</v>
      </c>
      <c r="AH609" s="7" t="str">
        <f>IFERROR(__xludf.DUMMYFUNCTION("GOOGLETRANSLATE(C609, ""en"", ""tr"")"),"Güvenlik Hatası: Geçersiz dosya erişimi")</f>
        <v>Güvenlik Hatası: Geçersiz dosya erişimi</v>
      </c>
      <c r="AI609" s="6" t="s">
        <v>12848</v>
      </c>
      <c r="AJ609" s="6" t="s">
        <v>132</v>
      </c>
      <c r="AK609" s="7" t="str">
        <f>IFERROR(__xludf.DUMMYFUNCTION("GOOGLETRANSLATE(C609, ""en"", ""zh"")"),"安全错误：文件访问无效")</f>
        <v>安全错误：文件访问无效</v>
      </c>
      <c r="AL609" s="6" t="s">
        <v>12849</v>
      </c>
    </row>
    <row r="610" ht="15.75" customHeight="1">
      <c r="A610" s="1" t="s">
        <v>127</v>
      </c>
      <c r="B610" s="1" t="s">
        <v>12850</v>
      </c>
      <c r="C610" s="1" t="s">
        <v>12851</v>
      </c>
      <c r="D610" s="8" t="s">
        <v>4419</v>
      </c>
      <c r="E610" s="1" t="s">
        <v>4420</v>
      </c>
      <c r="F610" s="6" t="s">
        <v>132</v>
      </c>
      <c r="G610" s="1" t="s">
        <v>12852</v>
      </c>
      <c r="H610" s="1" t="s">
        <v>12851</v>
      </c>
      <c r="I610" s="1" t="s">
        <v>12853</v>
      </c>
      <c r="J610" s="6" t="s">
        <v>12854</v>
      </c>
      <c r="K610" s="1" t="s">
        <v>12855</v>
      </c>
      <c r="L610" s="1" t="s">
        <v>12851</v>
      </c>
      <c r="M610" s="1" t="s">
        <v>12855</v>
      </c>
      <c r="N610" s="6" t="s">
        <v>132</v>
      </c>
      <c r="O610" s="6" t="s">
        <v>12856</v>
      </c>
      <c r="P610" s="1" t="s">
        <v>12857</v>
      </c>
      <c r="Q610" s="1" t="s">
        <v>12858</v>
      </c>
      <c r="R610" s="1" t="s">
        <v>12851</v>
      </c>
      <c r="S610" s="6" t="s">
        <v>132</v>
      </c>
      <c r="T610" s="1" t="s">
        <v>12851</v>
      </c>
      <c r="U610" s="1" t="s">
        <v>4434</v>
      </c>
      <c r="V610" s="1" t="s">
        <v>12858</v>
      </c>
      <c r="W610" s="1" t="s">
        <v>12851</v>
      </c>
      <c r="X610" s="1" t="s">
        <v>12859</v>
      </c>
      <c r="Y610" s="1" t="s">
        <v>12860</v>
      </c>
      <c r="Z610" s="1" t="s">
        <v>4438</v>
      </c>
      <c r="AA610" s="1" t="s">
        <v>12855</v>
      </c>
      <c r="AB610" s="1" t="s">
        <v>12861</v>
      </c>
      <c r="AC610" s="1" t="s">
        <v>12851</v>
      </c>
      <c r="AD610" s="6" t="s">
        <v>12851</v>
      </c>
      <c r="AE610" s="1" t="s">
        <v>12862</v>
      </c>
      <c r="AF610" s="1" t="s">
        <v>12851</v>
      </c>
      <c r="AG610" s="6" t="s">
        <v>4443</v>
      </c>
      <c r="AH610" s="1" t="s">
        <v>8443</v>
      </c>
      <c r="AI610" s="6" t="s">
        <v>132</v>
      </c>
      <c r="AJ610" s="6" t="s">
        <v>12851</v>
      </c>
      <c r="AK610" s="1" t="s">
        <v>4446</v>
      </c>
      <c r="AL610" s="6" t="s">
        <v>4447</v>
      </c>
    </row>
    <row r="611" ht="15.75" hidden="1" customHeight="1">
      <c r="A611" s="1" t="s">
        <v>38</v>
      </c>
      <c r="B611" s="1" t="s">
        <v>12863</v>
      </c>
      <c r="C611" s="1" t="s">
        <v>12864</v>
      </c>
      <c r="D611" s="8" t="s">
        <v>12865</v>
      </c>
      <c r="E611" s="1" t="s">
        <v>12866</v>
      </c>
      <c r="F611" s="6" t="s">
        <v>12867</v>
      </c>
      <c r="G611" s="7" t="str">
        <f>IFERROR(__xludf.DUMMYFUNCTION("GOOGLETRANSLATE(C611, ""en"", ""cs"")"),"XEP-0313: mam")</f>
        <v>XEP-0313: mam</v>
      </c>
      <c r="H611" s="7" t="str">
        <f>IFERROR(__xludf.DUMMYFUNCTION("GOOGLETRANSLATE(C611, ""en"", ""da"")"),"XEP-0313: MAM")</f>
        <v>XEP-0313: MAM</v>
      </c>
      <c r="I611" s="1" t="s">
        <v>12864</v>
      </c>
      <c r="J611" s="6" t="s">
        <v>132</v>
      </c>
      <c r="K611" s="1" t="s">
        <v>12864</v>
      </c>
      <c r="L611" s="7" t="str">
        <f>IFERROR(__xludf.DUMMYFUNCTION("GOOGLETRANSLATE(C611, ""en"", ""fi"")"),"XEP-0313: MAM")</f>
        <v>XEP-0313: MAM</v>
      </c>
      <c r="M611" s="1" t="s">
        <v>12868</v>
      </c>
      <c r="N611" s="6" t="s">
        <v>12864</v>
      </c>
      <c r="O611" s="6" t="s">
        <v>132</v>
      </c>
      <c r="P611" s="1" t="s">
        <v>12864</v>
      </c>
      <c r="Q611" s="9" t="s">
        <v>12864</v>
      </c>
      <c r="R611" s="1" t="s">
        <v>12864</v>
      </c>
      <c r="S611" s="6" t="s">
        <v>132</v>
      </c>
      <c r="T611" s="1" t="s">
        <v>12869</v>
      </c>
      <c r="U611" s="1" t="s">
        <v>12864</v>
      </c>
      <c r="V611" s="7" t="str">
        <f>IFERROR(__xludf.DUMMYFUNCTION("GOOGLETRANSLATE(C611, ""en"", ""ms"")"),"XEP-0313: MAM")</f>
        <v>XEP-0313: MAM</v>
      </c>
      <c r="W611" s="1" t="s">
        <v>12864</v>
      </c>
      <c r="X611" s="7" t="str">
        <f>IFERROR(__xludf.DUMMYFUNCTION("GOOGLETRANSLATE(C611, ""en"", ""no"")"),"XEP-0313: MAM")</f>
        <v>XEP-0313: MAM</v>
      </c>
      <c r="Y611" s="1" t="s">
        <v>12864</v>
      </c>
      <c r="Z611" s="1" t="s">
        <v>12864</v>
      </c>
      <c r="AA611" s="7" t="str">
        <f>IFERROR(__xludf.DUMMYFUNCTION("GOOGLETRANSLATE(C611, ""en"", ""ro"")"),"XEP-0313: MAM")</f>
        <v>XEP-0313: MAM</v>
      </c>
      <c r="AB611" s="1" t="s">
        <v>12870</v>
      </c>
      <c r="AC611" s="1" t="s">
        <v>12864</v>
      </c>
      <c r="AD611" s="6" t="s">
        <v>132</v>
      </c>
      <c r="AE611" s="1" t="s">
        <v>12871</v>
      </c>
      <c r="AF611" s="1" t="s">
        <v>12872</v>
      </c>
      <c r="AG611" s="6" t="s">
        <v>132</v>
      </c>
      <c r="AH611" s="7" t="str">
        <f>IFERROR(__xludf.DUMMYFUNCTION("GOOGLETRANSLATE(C611, ""en"", ""tr"")"),"XEP-0313: Mam")</f>
        <v>XEP-0313: Mam</v>
      </c>
      <c r="AI611" s="6" t="s">
        <v>12873</v>
      </c>
      <c r="AJ611" s="6" t="s">
        <v>12864</v>
      </c>
      <c r="AK611" s="7" t="str">
        <f>IFERROR(__xludf.DUMMYFUNCTION("GOOGLETRANSLATE(C611, ""en"", ""zh"")"),"XEP-0313：MAM")</f>
        <v>XEP-0313：MAM</v>
      </c>
      <c r="AL611" s="6" t="s">
        <v>12864</v>
      </c>
    </row>
    <row r="612" ht="15.75" hidden="1" customHeight="1">
      <c r="A612" s="1" t="s">
        <v>38</v>
      </c>
      <c r="B612" s="1" t="s">
        <v>12874</v>
      </c>
      <c r="C612" s="1" t="s">
        <v>12875</v>
      </c>
      <c r="D612" s="7" t="str">
        <f>IFERROR(__xludf.DUMMYFUNCTION("GOOGLETRANSLATE(C612, ""en"", ""ar"")"),"تنزانيا، جمهورية المتحدة")</f>
        <v>تنزانيا، جمهورية المتحدة</v>
      </c>
      <c r="E612" s="7" t="str">
        <f>IFERROR(__xludf.DUMMYFUNCTION("GOOGLETRANSLATE(C612, ""en"", ""bg"")"),"Танзания, обединена република")</f>
        <v>Танзания, обединена република</v>
      </c>
      <c r="F612" s="6" t="s">
        <v>132</v>
      </c>
      <c r="G612" s="7" t="str">
        <f>IFERROR(__xludf.DUMMYFUNCTION("GOOGLETRANSLATE(C612, ""en"", ""cs"")"),"Tanzanie, Spojené státy")</f>
        <v>Tanzanie, Spojené státy</v>
      </c>
      <c r="H612" s="7" t="str">
        <f>IFERROR(__xludf.DUMMYFUNCTION("GOOGLETRANSLATE(C612, ""en"", ""da"")"),"Tanzania, Forenede Republikken")</f>
        <v>Tanzania, Forenede Republikken</v>
      </c>
      <c r="I612" s="1" t="s">
        <v>12876</v>
      </c>
      <c r="J612" s="6" t="s">
        <v>132</v>
      </c>
      <c r="K612" s="1" t="s">
        <v>12877</v>
      </c>
      <c r="L612" s="7" t="str">
        <f>IFERROR(__xludf.DUMMYFUNCTION("GOOGLETRANSLATE(C612, ""en"", ""fi"")"),"Tansania, United tasavalta")</f>
        <v>Tansania, United tasavalta</v>
      </c>
      <c r="M612" s="1" t="s">
        <v>12878</v>
      </c>
      <c r="N612" s="6" t="s">
        <v>132</v>
      </c>
      <c r="O612" s="6" t="s">
        <v>132</v>
      </c>
      <c r="P612" s="1" t="s">
        <v>12875</v>
      </c>
      <c r="Q612" s="7" t="str">
        <f>IFERROR(__xludf.DUMMYFUNCTION("GOOGLETRANSLATE(C612, ""en"", ""in"")"),"Tanzania, Republik United")</f>
        <v>Tanzania, Republik United</v>
      </c>
      <c r="R612" s="7" t="str">
        <f>IFERROR(__xludf.DUMMYFUNCTION("GOOGLETRANSLATE(C612, ""en"", ""it"")"),"Tanzania, Repubblica Unita di")</f>
        <v>Tanzania, Repubblica Unita di</v>
      </c>
      <c r="S612" s="6" t="s">
        <v>132</v>
      </c>
      <c r="T612" s="7" t="str">
        <f>IFERROR(__xludf.DUMMYFUNCTION("GOOGLETRANSLATE(C612, ""en"", ""ja"")"),"アメリカ共和国のタンザニア")</f>
        <v>アメリカ共和国のタンザニア</v>
      </c>
      <c r="U612" s="7" t="str">
        <f>IFERROR(__xludf.DUMMYFUNCTION("GOOGLETRANSLATE(C612, ""en"", ""ko"")"),"탄자니아, 유화")</f>
        <v>탄자니아, 유화</v>
      </c>
      <c r="V612" s="7" t="str">
        <f>IFERROR(__xludf.DUMMYFUNCTION("GOOGLETRANSLATE(C612, ""en"", ""ms"")"),"Tanzania, United Republic of")</f>
        <v>Tanzania, United Republic of</v>
      </c>
      <c r="W612" s="7" t="str">
        <f>IFERROR(__xludf.DUMMYFUNCTION("GOOGLETRANSLATE(C612, ""en"", ""nl"")"),"Tanzania, United Republic of")</f>
        <v>Tanzania, United Republic of</v>
      </c>
      <c r="X612" s="7" t="str">
        <f>IFERROR(__xludf.DUMMYFUNCTION("GOOGLETRANSLATE(C612, ""en"", ""no"")"),"Tanzania, United Republic of")</f>
        <v>Tanzania, United Republic of</v>
      </c>
      <c r="Y612" s="7" t="str">
        <f>IFERROR(__xludf.DUMMYFUNCTION("GOOGLETRANSLATE(C612, ""en"", ""pl"")"),"Tanzania, Zjednoczona Republika")</f>
        <v>Tanzania, Zjednoczona Republika</v>
      </c>
      <c r="Z612" s="7" t="str">
        <f>IFERROR(__xludf.DUMMYFUNCTION("GOOGLETRANSLATE(C612, ""en"", ""pt"")"),"Tanzânia, United Republic of")</f>
        <v>Tanzânia, United Republic of</v>
      </c>
      <c r="AA612" s="7" t="str">
        <f>IFERROR(__xludf.DUMMYFUNCTION("GOOGLETRANSLATE(C612, ""en"", ""ro"")"),"Tanzania, Republica Unite")</f>
        <v>Tanzania, Republica Unite</v>
      </c>
      <c r="AB612" s="1" t="s">
        <v>12879</v>
      </c>
      <c r="AC612" s="7" t="str">
        <f>IFERROR(__xludf.DUMMYFUNCTION("GOOGLETRANSLATE(C612, ""en"", ""sk"")"),"Tanzánia, Spojené štáty")</f>
        <v>Tanzánia, Spojené štáty</v>
      </c>
      <c r="AD612" s="6" t="s">
        <v>132</v>
      </c>
      <c r="AE612" s="1" t="s">
        <v>12880</v>
      </c>
      <c r="AF612" s="7" t="str">
        <f>IFERROR(__xludf.DUMMYFUNCTION("GOOGLETRANSLATE(C612, ""en"", ""sv"")"),"Tanzania, Used Republic of")</f>
        <v>Tanzania, Used Republic of</v>
      </c>
      <c r="AG612" s="6" t="s">
        <v>132</v>
      </c>
      <c r="AH612" s="7" t="str">
        <f>IFERROR(__xludf.DUMMYFUNCTION("GOOGLETRANSLATE(C612, ""en"", ""tr"")"),"Tanzanya, Birleşik Cumhuriyeti")</f>
        <v>Tanzanya, Birleşik Cumhuriyeti</v>
      </c>
      <c r="AI612" s="6" t="s">
        <v>132</v>
      </c>
      <c r="AJ612" s="6" t="s">
        <v>132</v>
      </c>
      <c r="AK612" s="7" t="str">
        <f>IFERROR(__xludf.DUMMYFUNCTION("GOOGLETRANSLATE(C612, ""en"", ""zh"")"),"坦桑尼亚，联合共和国")</f>
        <v>坦桑尼亚，联合共和国</v>
      </c>
      <c r="AL612" s="6" t="s">
        <v>132</v>
      </c>
    </row>
    <row r="613" ht="15.75" customHeight="1">
      <c r="A613" s="1" t="s">
        <v>127</v>
      </c>
      <c r="B613" s="1" t="s">
        <v>12881</v>
      </c>
      <c r="C613" s="1" t="s">
        <v>12882</v>
      </c>
      <c r="D613" s="8" t="s">
        <v>12883</v>
      </c>
      <c r="E613" s="1" t="s">
        <v>12884</v>
      </c>
      <c r="F613" s="6" t="s">
        <v>132</v>
      </c>
      <c r="G613" s="1" t="s">
        <v>12885</v>
      </c>
      <c r="H613" s="1" t="s">
        <v>12886</v>
      </c>
      <c r="I613" s="1" t="s">
        <v>12882</v>
      </c>
      <c r="J613" s="6" t="s">
        <v>12887</v>
      </c>
      <c r="K613" s="1" t="s">
        <v>12882</v>
      </c>
      <c r="L613" s="1" t="s">
        <v>12888</v>
      </c>
      <c r="M613" s="1" t="s">
        <v>12882</v>
      </c>
      <c r="N613" s="6" t="s">
        <v>132</v>
      </c>
      <c r="O613" s="6" t="s">
        <v>12889</v>
      </c>
      <c r="P613" s="1" t="s">
        <v>12882</v>
      </c>
      <c r="Q613" s="1" t="s">
        <v>12890</v>
      </c>
      <c r="R613" s="1" t="s">
        <v>12882</v>
      </c>
      <c r="S613" s="6" t="s">
        <v>132</v>
      </c>
      <c r="T613" s="1" t="s">
        <v>12891</v>
      </c>
      <c r="U613" s="1" t="s">
        <v>12892</v>
      </c>
      <c r="V613" s="1" t="s">
        <v>12890</v>
      </c>
      <c r="W613" s="1" t="s">
        <v>12882</v>
      </c>
      <c r="X613" s="1" t="s">
        <v>12893</v>
      </c>
      <c r="Y613" s="1" t="s">
        <v>12882</v>
      </c>
      <c r="Z613" s="1" t="s">
        <v>12894</v>
      </c>
      <c r="AA613" s="1" t="s">
        <v>12895</v>
      </c>
      <c r="AB613" s="1" t="s">
        <v>12896</v>
      </c>
      <c r="AC613" s="1" t="s">
        <v>12897</v>
      </c>
      <c r="AD613" s="6" t="s">
        <v>12898</v>
      </c>
      <c r="AE613" s="1" t="s">
        <v>12882</v>
      </c>
      <c r="AF613" s="1" t="s">
        <v>12899</v>
      </c>
      <c r="AG613" s="6" t="s">
        <v>12900</v>
      </c>
      <c r="AH613" s="1" t="s">
        <v>12901</v>
      </c>
      <c r="AI613" s="6" t="s">
        <v>132</v>
      </c>
      <c r="AJ613" s="6" t="s">
        <v>12902</v>
      </c>
      <c r="AK613" s="1" t="s">
        <v>12903</v>
      </c>
      <c r="AL613" s="6" t="s">
        <v>12904</v>
      </c>
    </row>
    <row r="614" ht="15.75" customHeight="1">
      <c r="A614" s="1" t="s">
        <v>127</v>
      </c>
      <c r="B614" s="1" t="s">
        <v>12905</v>
      </c>
      <c r="C614" s="1" t="s">
        <v>12906</v>
      </c>
      <c r="D614" s="8" t="s">
        <v>12907</v>
      </c>
      <c r="E614" s="1" t="s">
        <v>12908</v>
      </c>
      <c r="F614" s="6" t="s">
        <v>132</v>
      </c>
      <c r="G614" s="1" t="s">
        <v>12909</v>
      </c>
      <c r="H614" s="1" t="s">
        <v>12910</v>
      </c>
      <c r="I614" s="1" t="s">
        <v>12906</v>
      </c>
      <c r="J614" s="6" t="s">
        <v>12911</v>
      </c>
      <c r="K614" s="1" t="s">
        <v>12906</v>
      </c>
      <c r="L614" s="1" t="s">
        <v>12912</v>
      </c>
      <c r="M614" s="1" t="s">
        <v>12906</v>
      </c>
      <c r="N614" s="6" t="s">
        <v>132</v>
      </c>
      <c r="O614" s="6" t="s">
        <v>12913</v>
      </c>
      <c r="P614" s="1" t="s">
        <v>12906</v>
      </c>
      <c r="Q614" s="1" t="s">
        <v>12914</v>
      </c>
      <c r="R614" s="1" t="s">
        <v>12906</v>
      </c>
      <c r="S614" s="6" t="s">
        <v>132</v>
      </c>
      <c r="T614" s="1" t="s">
        <v>12915</v>
      </c>
      <c r="U614" s="1" t="s">
        <v>12916</v>
      </c>
      <c r="V614" s="1" t="s">
        <v>12914</v>
      </c>
      <c r="W614" s="1" t="s">
        <v>12917</v>
      </c>
      <c r="X614" s="1" t="s">
        <v>12918</v>
      </c>
      <c r="Y614" s="1" t="s">
        <v>12906</v>
      </c>
      <c r="Z614" s="1" t="s">
        <v>12919</v>
      </c>
      <c r="AA614" s="1" t="s">
        <v>12920</v>
      </c>
      <c r="AB614" s="1" t="s">
        <v>12921</v>
      </c>
      <c r="AC614" s="1" t="s">
        <v>12922</v>
      </c>
      <c r="AD614" s="6" t="s">
        <v>12923</v>
      </c>
      <c r="AE614" s="1" t="s">
        <v>12906</v>
      </c>
      <c r="AF614" s="1" t="s">
        <v>12924</v>
      </c>
      <c r="AG614" s="6" t="s">
        <v>12925</v>
      </c>
      <c r="AH614" s="1" t="s">
        <v>12926</v>
      </c>
      <c r="AI614" s="6" t="s">
        <v>132</v>
      </c>
      <c r="AJ614" s="6" t="s">
        <v>12927</v>
      </c>
      <c r="AK614" s="1" t="s">
        <v>12928</v>
      </c>
      <c r="AL614" s="6" t="s">
        <v>12929</v>
      </c>
    </row>
    <row r="615" ht="15.75" hidden="1" customHeight="1">
      <c r="A615" s="1" t="s">
        <v>38</v>
      </c>
      <c r="B615" s="1" t="s">
        <v>12930</v>
      </c>
      <c r="C615" s="1" t="s">
        <v>12931</v>
      </c>
      <c r="D615" s="7" t="str">
        <f>IFERROR(__xludf.DUMMYFUNCTION("GOOGLETRANSLATE(C615, ""en"", ""ar"")"),"هل أنت متأكد أنك تريد إحباط إجراء التسجيل؟")</f>
        <v>هل أنت متأكد أنك تريد إحباط إجراء التسجيل؟</v>
      </c>
      <c r="E615" s="1" t="s">
        <v>12932</v>
      </c>
      <c r="F615" s="6" t="s">
        <v>132</v>
      </c>
      <c r="G615" s="7" t="str">
        <f>IFERROR(__xludf.DUMMYFUNCTION("GOOGLETRANSLATE(C615, ""en"", ""cs"")"),"Opravdu chcete zrušit postup registrace?")</f>
        <v>Opravdu chcete zrušit postup registrace?</v>
      </c>
      <c r="H615" s="7" t="str">
        <f>IFERROR(__xludf.DUMMYFUNCTION("GOOGLETRANSLATE(C615, ""en"", ""da"")"),"Er du sikker på, at du vil afbryde registreringsproceduren?")</f>
        <v>Er du sikker på, at du vil afbryde registreringsproceduren?</v>
      </c>
      <c r="I615" s="1" t="s">
        <v>12933</v>
      </c>
      <c r="J615" s="6" t="s">
        <v>132</v>
      </c>
      <c r="K615" s="1" t="s">
        <v>12934</v>
      </c>
      <c r="L615" s="7" t="str">
        <f>IFERROR(__xludf.DUMMYFUNCTION("GOOGLETRANSLATE(C615, ""en"", ""fi"")"),"Haluatko varmasti poistaa rekisteröintimenettelyn?")</f>
        <v>Haluatko varmasti poistaa rekisteröintimenettelyn?</v>
      </c>
      <c r="M615" s="13" t="s">
        <v>12935</v>
      </c>
      <c r="N615" s="6" t="s">
        <v>12936</v>
      </c>
      <c r="O615" s="6" t="s">
        <v>132</v>
      </c>
      <c r="P615" s="1" t="s">
        <v>12937</v>
      </c>
      <c r="Q615" s="7" t="str">
        <f>IFERROR(__xludf.DUMMYFUNCTION("GOOGLETRANSLATE(C615, ""en"", ""in"")"),"Apakah Anda yakin ingin membatalkan prosedur pendaftaran?")</f>
        <v>Apakah Anda yakin ingin membatalkan prosedur pendaftaran?</v>
      </c>
      <c r="R615" s="1" t="s">
        <v>12938</v>
      </c>
      <c r="S615" s="6" t="s">
        <v>132</v>
      </c>
      <c r="T615" s="7" t="str">
        <f>IFERROR(__xludf.DUMMYFUNCTION("GOOGLETRANSLATE(C615, ""en"", ""ja"")"),"あなたは登録手続きを中止しますか？")</f>
        <v>あなたは登録手続きを中止しますか？</v>
      </c>
      <c r="U615" s="7" t="str">
        <f>IFERROR(__xludf.DUMMYFUNCTION("GOOGLETRANSLATE(C615, ""en"", ""ko"")"),"등록 절차를 중단 하시겠습니까?")</f>
        <v>등록 절차를 중단 하시겠습니까?</v>
      </c>
      <c r="V615" s="7" t="str">
        <f>IFERROR(__xludf.DUMMYFUNCTION("GOOGLETRANSLATE(C615, ""en"", ""ms"")"),"Adakah anda pasti mahu membatalkan prosedur pendaftaran?")</f>
        <v>Adakah anda pasti mahu membatalkan prosedur pendaftaran?</v>
      </c>
      <c r="W615" s="1" t="s">
        <v>12939</v>
      </c>
      <c r="X615" s="7" t="str">
        <f>IFERROR(__xludf.DUMMYFUNCTION("GOOGLETRANSLATE(C615, ""en"", ""no"")"),"Er du sikker på at du vil avbryte registreringsprosedyren?")</f>
        <v>Er du sikker på at du vil avbryte registreringsprosedyren?</v>
      </c>
      <c r="Y615" s="1" t="s">
        <v>12940</v>
      </c>
      <c r="Z615" s="7" t="str">
        <f>IFERROR(__xludf.DUMMYFUNCTION("GOOGLETRANSLATE(C615, ""en"", ""pt"")"),"Tem certeza de que quer abortar o procedimento de registro?")</f>
        <v>Tem certeza de que quer abortar o procedimento de registro?</v>
      </c>
      <c r="AA615" s="7" t="str">
        <f>IFERROR(__xludf.DUMMYFUNCTION("GOOGLETRANSLATE(C615, ""en"", ""ro"")"),"Sunteți sigur că doriți să întrerupeți procedura de înregistrare?")</f>
        <v>Sunteți sigur că doriți să întrerupeți procedura de înregistrare?</v>
      </c>
      <c r="AB615" s="7" t="str">
        <f>IFERROR(__xludf.DUMMYFUNCTION("GOOGLETRANSLATE(C615, ""en"", ""ru"")"),"Вы уверены, что хотите прервать процедуру регистрации?")</f>
        <v>Вы уверены, что хотите прервать процедуру регистрации?</v>
      </c>
      <c r="AC615" s="7" t="str">
        <f>IFERROR(__xludf.DUMMYFUNCTION("GOOGLETRANSLATE(C615, ""en"", ""sk"")"),"Ste si istý, že chcete prerušiť postup registrácie?")</f>
        <v>Ste si istý, že chcete prerušiť postup registrácie?</v>
      </c>
      <c r="AD615" s="6" t="s">
        <v>132</v>
      </c>
      <c r="AE615" s="7" t="str">
        <f>IFERROR(__xludf.DUMMYFUNCTION("GOOGLETRANSLATE(C615, ""en"", ""sr"")"),"Јесте ли сигурни да желите да прекинете поступак регистрације?")</f>
        <v>Јесте ли сигурни да желите да прекинете поступак регистрације?</v>
      </c>
      <c r="AF615" s="7" t="str">
        <f>IFERROR(__xludf.DUMMYFUNCTION("GOOGLETRANSLATE(C615, ""en"", ""sv"")"),"Är du säker på att du vill avbryta registreringsförfarandet?")</f>
        <v>Är du säker på att du vill avbryta registreringsförfarandet?</v>
      </c>
      <c r="AG615" s="6" t="s">
        <v>132</v>
      </c>
      <c r="AH615" s="7" t="str">
        <f>IFERROR(__xludf.DUMMYFUNCTION("GOOGLETRANSLATE(C615, ""en"", ""tr"")"),"Kayıt prosedürünü iptal etmek istediğinizden emin misiniz?")</f>
        <v>Kayıt prosedürünü iptal etmek istediğinizden emin misiniz?</v>
      </c>
      <c r="AI615" s="6" t="s">
        <v>132</v>
      </c>
      <c r="AJ615" s="6" t="s">
        <v>132</v>
      </c>
      <c r="AK615" s="7" t="str">
        <f>IFERROR(__xludf.DUMMYFUNCTION("GOOGLETRANSLATE(C615, ""en"", ""zh"")"),"您确定要中止注册程序吗？")</f>
        <v>您确定要中止注册程序吗？</v>
      </c>
      <c r="AL615" s="6" t="s">
        <v>132</v>
      </c>
    </row>
    <row r="616" ht="15.75" customHeight="1">
      <c r="A616" s="1" t="s">
        <v>127</v>
      </c>
      <c r="B616" s="1" t="s">
        <v>12941</v>
      </c>
      <c r="C616" s="1" t="s">
        <v>12942</v>
      </c>
      <c r="D616" s="8" t="s">
        <v>12943</v>
      </c>
      <c r="E616" s="1" t="s">
        <v>12944</v>
      </c>
      <c r="F616" s="6" t="s">
        <v>132</v>
      </c>
      <c r="G616" s="1" t="s">
        <v>12945</v>
      </c>
      <c r="H616" s="1" t="s">
        <v>12946</v>
      </c>
      <c r="I616" s="1" t="s">
        <v>12942</v>
      </c>
      <c r="J616" s="6" t="s">
        <v>12947</v>
      </c>
      <c r="K616" s="1" t="s">
        <v>12942</v>
      </c>
      <c r="L616" s="1" t="s">
        <v>12948</v>
      </c>
      <c r="M616" s="1" t="s">
        <v>12942</v>
      </c>
      <c r="N616" s="6" t="s">
        <v>132</v>
      </c>
      <c r="O616" s="6" t="s">
        <v>12949</v>
      </c>
      <c r="P616" s="1" t="s">
        <v>12942</v>
      </c>
      <c r="Q616" s="1" t="s">
        <v>12950</v>
      </c>
      <c r="R616" s="1" t="s">
        <v>12942</v>
      </c>
      <c r="S616" s="6" t="s">
        <v>132</v>
      </c>
      <c r="T616" s="1" t="s">
        <v>12951</v>
      </c>
      <c r="U616" s="1" t="s">
        <v>12952</v>
      </c>
      <c r="V616" s="1" t="s">
        <v>12953</v>
      </c>
      <c r="W616" s="1" t="s">
        <v>12942</v>
      </c>
      <c r="X616" s="1" t="s">
        <v>12954</v>
      </c>
      <c r="Y616" s="1" t="s">
        <v>12955</v>
      </c>
      <c r="Z616" s="1" t="s">
        <v>12956</v>
      </c>
      <c r="AA616" s="1" t="s">
        <v>12957</v>
      </c>
      <c r="AB616" s="1" t="s">
        <v>12958</v>
      </c>
      <c r="AC616" s="1" t="s">
        <v>12959</v>
      </c>
      <c r="AD616" s="6" t="s">
        <v>12960</v>
      </c>
      <c r="AE616" s="1" t="s">
        <v>12942</v>
      </c>
      <c r="AF616" s="1" t="s">
        <v>12961</v>
      </c>
      <c r="AG616" s="6" t="s">
        <v>12962</v>
      </c>
      <c r="AH616" s="1" t="s">
        <v>12963</v>
      </c>
      <c r="AI616" s="6" t="s">
        <v>132</v>
      </c>
      <c r="AJ616" s="6" t="s">
        <v>12964</v>
      </c>
      <c r="AK616" s="1" t="s">
        <v>12965</v>
      </c>
      <c r="AL616" s="6" t="s">
        <v>12966</v>
      </c>
    </row>
    <row r="617" ht="15.75" customHeight="1">
      <c r="A617" s="1" t="s">
        <v>127</v>
      </c>
      <c r="B617" s="1" t="s">
        <v>12967</v>
      </c>
      <c r="C617" s="1" t="s">
        <v>12968</v>
      </c>
      <c r="D617" s="8" t="s">
        <v>12969</v>
      </c>
      <c r="E617" s="1" t="s">
        <v>12970</v>
      </c>
      <c r="F617" s="6" t="s">
        <v>132</v>
      </c>
      <c r="G617" s="1" t="s">
        <v>12971</v>
      </c>
      <c r="H617" s="1" t="s">
        <v>12972</v>
      </c>
      <c r="I617" s="1" t="s">
        <v>12968</v>
      </c>
      <c r="J617" s="6" t="s">
        <v>12973</v>
      </c>
      <c r="K617" s="1" t="s">
        <v>12974</v>
      </c>
      <c r="L617" s="1" t="s">
        <v>12975</v>
      </c>
      <c r="M617" s="1" t="s">
        <v>12968</v>
      </c>
      <c r="N617" s="6" t="s">
        <v>132</v>
      </c>
      <c r="O617" s="6" t="s">
        <v>12976</v>
      </c>
      <c r="P617" s="1" t="s">
        <v>12968</v>
      </c>
      <c r="Q617" s="1" t="s">
        <v>12977</v>
      </c>
      <c r="R617" s="1" t="s">
        <v>12968</v>
      </c>
      <c r="S617" s="6" t="s">
        <v>132</v>
      </c>
      <c r="T617" s="1" t="s">
        <v>12978</v>
      </c>
      <c r="U617" s="1" t="s">
        <v>12979</v>
      </c>
      <c r="V617" s="1" t="s">
        <v>12977</v>
      </c>
      <c r="W617" s="1" t="s">
        <v>12980</v>
      </c>
      <c r="X617" s="1" t="s">
        <v>12981</v>
      </c>
      <c r="Y617" s="1" t="s">
        <v>12982</v>
      </c>
      <c r="Z617" s="1" t="s">
        <v>12983</v>
      </c>
      <c r="AA617" s="1" t="s">
        <v>12984</v>
      </c>
      <c r="AB617" s="1" t="s">
        <v>12985</v>
      </c>
      <c r="AC617" s="1" t="s">
        <v>12986</v>
      </c>
      <c r="AD617" s="6" t="s">
        <v>12987</v>
      </c>
      <c r="AE617" s="1" t="s">
        <v>12968</v>
      </c>
      <c r="AF617" s="1" t="s">
        <v>12988</v>
      </c>
      <c r="AG617" s="6" t="s">
        <v>12989</v>
      </c>
      <c r="AH617" s="1" t="s">
        <v>12990</v>
      </c>
      <c r="AI617" s="6" t="s">
        <v>132</v>
      </c>
      <c r="AJ617" s="6" t="s">
        <v>12991</v>
      </c>
      <c r="AK617" s="1" t="s">
        <v>12992</v>
      </c>
      <c r="AL617" s="6" t="s">
        <v>12993</v>
      </c>
    </row>
    <row r="618" ht="15.75" hidden="1" customHeight="1">
      <c r="A618" s="1" t="s">
        <v>38</v>
      </c>
      <c r="B618" s="1" t="s">
        <v>12994</v>
      </c>
      <c r="C618" s="1" t="s">
        <v>6246</v>
      </c>
      <c r="D618" s="8" t="s">
        <v>6247</v>
      </c>
      <c r="E618" s="1" t="s">
        <v>6248</v>
      </c>
      <c r="F618" s="6" t="s">
        <v>6249</v>
      </c>
      <c r="G618" s="7" t="str">
        <f>IFERROR(__xludf.DUMMYFUNCTION("GOOGLETRANSLATE(C618, ""en"", ""cs"")"),"Offline.")</f>
        <v>Offline.</v>
      </c>
      <c r="H618" s="7" t="str">
        <f>IFERROR(__xludf.DUMMYFUNCTION("GOOGLETRANSLATE(C618, ""en"", ""da"")"),"Offline.")</f>
        <v>Offline.</v>
      </c>
      <c r="I618" s="1" t="s">
        <v>6246</v>
      </c>
      <c r="J618" s="6" t="s">
        <v>132</v>
      </c>
      <c r="K618" s="1" t="s">
        <v>6250</v>
      </c>
      <c r="L618" s="7" t="str">
        <f>IFERROR(__xludf.DUMMYFUNCTION("GOOGLETRANSLATE(C618, ""en"", ""fi"")"),"Offline")</f>
        <v>Offline</v>
      </c>
      <c r="M618" s="1" t="s">
        <v>12995</v>
      </c>
      <c r="N618" s="6" t="s">
        <v>6246</v>
      </c>
      <c r="O618" s="6" t="s">
        <v>132</v>
      </c>
      <c r="P618" s="1" t="s">
        <v>3932</v>
      </c>
      <c r="Q618" s="9" t="s">
        <v>6246</v>
      </c>
      <c r="R618" s="1" t="s">
        <v>6246</v>
      </c>
      <c r="S618" s="6" t="s">
        <v>132</v>
      </c>
      <c r="T618" s="1" t="s">
        <v>6253</v>
      </c>
      <c r="U618" s="1" t="s">
        <v>6254</v>
      </c>
      <c r="V618" s="7" t="str">
        <f>IFERROR(__xludf.DUMMYFUNCTION("GOOGLETRANSLATE(C618, ""en"", ""ms"")"),"Offline")</f>
        <v>Offline</v>
      </c>
      <c r="W618" s="1" t="s">
        <v>6246</v>
      </c>
      <c r="X618" s="7" t="str">
        <f>IFERROR(__xludf.DUMMYFUNCTION("GOOGLETRANSLATE(C618, ""en"", ""no"")"),"Offline.")</f>
        <v>Offline.</v>
      </c>
      <c r="Y618" s="1" t="s">
        <v>6246</v>
      </c>
      <c r="Z618" s="1" t="s">
        <v>6246</v>
      </c>
      <c r="AA618" s="7" t="str">
        <f>IFERROR(__xludf.DUMMYFUNCTION("GOOGLETRANSLATE(C618, ""en"", ""ro"")"),"Deconectat")</f>
        <v>Deconectat</v>
      </c>
      <c r="AB618" s="1" t="s">
        <v>6256</v>
      </c>
      <c r="AC618" s="7" t="str">
        <f>IFERROR(__xludf.DUMMYFUNCTION("GOOGLETRANSLATE(C618, ""en"", ""sk"")"),"V režime offline")</f>
        <v>V režime offline</v>
      </c>
      <c r="AD618" s="6" t="s">
        <v>132</v>
      </c>
      <c r="AE618" s="1" t="s">
        <v>6257</v>
      </c>
      <c r="AF618" s="1" t="s">
        <v>6246</v>
      </c>
      <c r="AG618" s="6" t="s">
        <v>132</v>
      </c>
      <c r="AH618" s="7" t="str">
        <f>IFERROR(__xludf.DUMMYFUNCTION("GOOGLETRANSLATE(C618, ""en"", ""tr"")"),"Çevrimdışı")</f>
        <v>Çevrimdışı</v>
      </c>
      <c r="AI618" s="6" t="s">
        <v>6258</v>
      </c>
      <c r="AJ618" s="6" t="s">
        <v>132</v>
      </c>
      <c r="AK618" s="7" t="str">
        <f>IFERROR(__xludf.DUMMYFUNCTION("GOOGLETRANSLATE(C618, ""en"", ""zh"")"),"离线")</f>
        <v>离线</v>
      </c>
      <c r="AL618" s="6" t="s">
        <v>3943</v>
      </c>
    </row>
    <row r="619" ht="15.75" customHeight="1">
      <c r="A619" s="1" t="s">
        <v>127</v>
      </c>
      <c r="B619" s="1" t="s">
        <v>12996</v>
      </c>
      <c r="C619" s="1" t="s">
        <v>12997</v>
      </c>
      <c r="D619" s="8" t="s">
        <v>12998</v>
      </c>
      <c r="E619" s="1" t="s">
        <v>12999</v>
      </c>
      <c r="F619" s="6" t="s">
        <v>132</v>
      </c>
      <c r="G619" s="1" t="s">
        <v>13000</v>
      </c>
      <c r="H619" s="1" t="s">
        <v>13001</v>
      </c>
      <c r="I619" s="1" t="s">
        <v>13002</v>
      </c>
      <c r="J619" s="6" t="s">
        <v>13003</v>
      </c>
      <c r="K619" s="1" t="s">
        <v>13004</v>
      </c>
      <c r="L619" s="1" t="s">
        <v>13005</v>
      </c>
      <c r="M619" s="1" t="s">
        <v>13006</v>
      </c>
      <c r="N619" s="6" t="s">
        <v>132</v>
      </c>
      <c r="O619" s="6" t="s">
        <v>13007</v>
      </c>
      <c r="P619" s="1" t="s">
        <v>13008</v>
      </c>
      <c r="Q619" s="1" t="s">
        <v>13009</v>
      </c>
      <c r="R619" s="1" t="s">
        <v>13010</v>
      </c>
      <c r="S619" s="6" t="s">
        <v>132</v>
      </c>
      <c r="T619" s="1" t="s">
        <v>12997</v>
      </c>
      <c r="U619" s="1" t="s">
        <v>13011</v>
      </c>
      <c r="V619" s="1" t="s">
        <v>13012</v>
      </c>
      <c r="W619" s="1" t="s">
        <v>13013</v>
      </c>
      <c r="X619" s="1" t="s">
        <v>13014</v>
      </c>
      <c r="Y619" s="1" t="s">
        <v>13015</v>
      </c>
      <c r="Z619" s="1" t="s">
        <v>12997</v>
      </c>
      <c r="AA619" s="1" t="s">
        <v>13016</v>
      </c>
      <c r="AB619" s="1" t="s">
        <v>13017</v>
      </c>
      <c r="AC619" s="1" t="s">
        <v>13018</v>
      </c>
      <c r="AD619" s="6" t="s">
        <v>13019</v>
      </c>
      <c r="AE619" s="1" t="s">
        <v>13020</v>
      </c>
      <c r="AF619" s="1" t="s">
        <v>13021</v>
      </c>
      <c r="AG619" s="6" t="s">
        <v>13022</v>
      </c>
      <c r="AH619" s="1" t="s">
        <v>13023</v>
      </c>
      <c r="AI619" s="6" t="s">
        <v>132</v>
      </c>
      <c r="AJ619" s="6" t="s">
        <v>13024</v>
      </c>
      <c r="AK619" s="1" t="s">
        <v>13025</v>
      </c>
      <c r="AL619" s="6" t="s">
        <v>13026</v>
      </c>
    </row>
    <row r="620" ht="15.75" customHeight="1">
      <c r="A620" s="1" t="s">
        <v>127</v>
      </c>
      <c r="B620" s="1" t="s">
        <v>13027</v>
      </c>
      <c r="C620" s="1" t="s">
        <v>13028</v>
      </c>
      <c r="D620" s="8" t="s">
        <v>13029</v>
      </c>
      <c r="E620" s="1" t="s">
        <v>13030</v>
      </c>
      <c r="F620" s="6" t="s">
        <v>132</v>
      </c>
      <c r="G620" s="1" t="s">
        <v>13028</v>
      </c>
      <c r="H620" s="1" t="s">
        <v>13028</v>
      </c>
      <c r="I620" s="1" t="s">
        <v>13028</v>
      </c>
      <c r="J620" s="6" t="s">
        <v>13028</v>
      </c>
      <c r="K620" s="1" t="s">
        <v>13028</v>
      </c>
      <c r="L620" s="1" t="s">
        <v>13028</v>
      </c>
      <c r="M620" s="1" t="s">
        <v>13028</v>
      </c>
      <c r="N620" s="6" t="s">
        <v>132</v>
      </c>
      <c r="O620" s="6" t="s">
        <v>13031</v>
      </c>
      <c r="P620" s="1" t="s">
        <v>13028</v>
      </c>
      <c r="Q620" s="1" t="s">
        <v>13028</v>
      </c>
      <c r="R620" s="1" t="s">
        <v>13028</v>
      </c>
      <c r="S620" s="6" t="s">
        <v>132</v>
      </c>
      <c r="T620" s="1" t="s">
        <v>13032</v>
      </c>
      <c r="U620" s="1" t="s">
        <v>13033</v>
      </c>
      <c r="V620" s="1" t="s">
        <v>13028</v>
      </c>
      <c r="W620" s="1" t="s">
        <v>13028</v>
      </c>
      <c r="X620" s="1" t="s">
        <v>13028</v>
      </c>
      <c r="Y620" s="1" t="s">
        <v>13028</v>
      </c>
      <c r="Z620" s="1" t="s">
        <v>13028</v>
      </c>
      <c r="AA620" s="1" t="s">
        <v>13028</v>
      </c>
      <c r="AB620" s="1" t="s">
        <v>13030</v>
      </c>
      <c r="AC620" s="1" t="s">
        <v>13028</v>
      </c>
      <c r="AD620" s="6" t="s">
        <v>13028</v>
      </c>
      <c r="AE620" s="1" t="s">
        <v>13028</v>
      </c>
      <c r="AF620" s="1" t="s">
        <v>13028</v>
      </c>
      <c r="AG620" s="6" t="s">
        <v>13028</v>
      </c>
      <c r="AH620" s="1" t="s">
        <v>13028</v>
      </c>
      <c r="AI620" s="6" t="s">
        <v>132</v>
      </c>
      <c r="AJ620" s="6" t="s">
        <v>13028</v>
      </c>
      <c r="AK620" s="1" t="s">
        <v>13034</v>
      </c>
      <c r="AL620" s="6" t="s">
        <v>13035</v>
      </c>
    </row>
    <row r="621" ht="15.75" hidden="1" customHeight="1">
      <c r="A621" s="1" t="s">
        <v>5830</v>
      </c>
      <c r="B621" s="1" t="s">
        <v>13036</v>
      </c>
      <c r="C621" s="12" t="s">
        <v>132</v>
      </c>
      <c r="D621" s="7" t="str">
        <f>IFERROR(__xludf.DUMMYFUNCTION("GOOGLETRANSLATE(C621, ""en"", ""ar"")"),"#VALUE!")</f>
        <v>#VALUE!</v>
      </c>
      <c r="E621" s="7" t="str">
        <f>IFERROR(__xludf.DUMMYFUNCTION("GOOGLETRANSLATE(C621, ""en"", ""bg"")"),"#VALUE!")</f>
        <v>#VALUE!</v>
      </c>
      <c r="F621" s="6" t="s">
        <v>132</v>
      </c>
      <c r="G621" s="7" t="str">
        <f>IFERROR(__xludf.DUMMYFUNCTION("GOOGLETRANSLATE(C621, ""en"", ""cs"")"),"#VALUE!")</f>
        <v>#VALUE!</v>
      </c>
      <c r="H621" s="7" t="str">
        <f>IFERROR(__xludf.DUMMYFUNCTION("GOOGLETRANSLATE(C621, ""en"", ""da"")"),"#VALUE!")</f>
        <v>#VALUE!</v>
      </c>
      <c r="I621" s="7" t="str">
        <f>IFERROR(__xludf.DUMMYFUNCTION("GOOGLETRANSLATE(C621, ""en"", ""de"")"),"#VALUE!")</f>
        <v>#VALUE!</v>
      </c>
      <c r="J621" s="6" t="s">
        <v>132</v>
      </c>
      <c r="K621" s="7" t="str">
        <f>IFERROR(__xludf.DUMMYFUNCTION("GOOGLETRANSLATE(C621, ""en"", ""es"")"),"#VALUE!")</f>
        <v>#VALUE!</v>
      </c>
      <c r="L621" s="7" t="str">
        <f>IFERROR(__xludf.DUMMYFUNCTION("GOOGLETRANSLATE(C621, ""en"", ""fi"")"),"#VALUE!")</f>
        <v>#VALUE!</v>
      </c>
      <c r="M621" s="7" t="str">
        <f>IFERROR(__xludf.DUMMYFUNCTION("GOOGLETRANSLATE(C621, ""en"", ""fr"")"),"#VALUE!")</f>
        <v>#VALUE!</v>
      </c>
      <c r="N621" s="6" t="s">
        <v>132</v>
      </c>
      <c r="O621" s="6" t="s">
        <v>132</v>
      </c>
      <c r="P621" s="7" t="str">
        <f>IFERROR(__xludf.DUMMYFUNCTION("GOOGLETRANSLATE(C621, ""en"", ""hu"")"),"#VALUE!")</f>
        <v>#VALUE!</v>
      </c>
      <c r="Q621" s="7" t="str">
        <f>IFERROR(__xludf.DUMMYFUNCTION("GOOGLETRANSLATE(C621, ""en"", ""in"")"),"#VALUE!")</f>
        <v>#VALUE!</v>
      </c>
      <c r="R621" s="7" t="str">
        <f>IFERROR(__xludf.DUMMYFUNCTION("GOOGLETRANSLATE(C621, ""en"", ""it"")"),"#VALUE!")</f>
        <v>#VALUE!</v>
      </c>
      <c r="S621" s="6" t="s">
        <v>132</v>
      </c>
      <c r="T621" s="7" t="str">
        <f>IFERROR(__xludf.DUMMYFUNCTION("GOOGLETRANSLATE(C621, ""en"", ""ja"")"),"#VALUE!")</f>
        <v>#VALUE!</v>
      </c>
      <c r="U621" s="7" t="str">
        <f>IFERROR(__xludf.DUMMYFUNCTION("GOOGLETRANSLATE(C621, ""en"", ""ko"")"),"#VALUE!")</f>
        <v>#VALUE!</v>
      </c>
      <c r="V621" s="7" t="str">
        <f>IFERROR(__xludf.DUMMYFUNCTION("GOOGLETRANSLATE(C621, ""en"", ""ms"")"),"#VALUE!")</f>
        <v>#VALUE!</v>
      </c>
      <c r="W621" s="7" t="str">
        <f>IFERROR(__xludf.DUMMYFUNCTION("GOOGLETRANSLATE(C621, ""en"", ""nl"")"),"#VALUE!")</f>
        <v>#VALUE!</v>
      </c>
      <c r="X621" s="7" t="str">
        <f>IFERROR(__xludf.DUMMYFUNCTION("GOOGLETRANSLATE(C621, ""en"", ""no"")"),"#VALUE!")</f>
        <v>#VALUE!</v>
      </c>
      <c r="Y621" s="7" t="str">
        <f>IFERROR(__xludf.DUMMYFUNCTION("GOOGLETRANSLATE(C621, ""en"", ""pl"")"),"#VALUE!")</f>
        <v>#VALUE!</v>
      </c>
      <c r="Z621" s="7" t="str">
        <f>IFERROR(__xludf.DUMMYFUNCTION("GOOGLETRANSLATE(C621, ""en"", ""pt"")"),"#VALUE!")</f>
        <v>#VALUE!</v>
      </c>
      <c r="AA621" s="7" t="str">
        <f>IFERROR(__xludf.DUMMYFUNCTION("GOOGLETRANSLATE(C621, ""en"", ""ro"")"),"#VALUE!")</f>
        <v>#VALUE!</v>
      </c>
      <c r="AB621" s="7" t="str">
        <f>IFERROR(__xludf.DUMMYFUNCTION("GOOGLETRANSLATE(C621, ""en"", ""ru"")"),"#VALUE!")</f>
        <v>#VALUE!</v>
      </c>
      <c r="AC621" s="7" t="str">
        <f>IFERROR(__xludf.DUMMYFUNCTION("GOOGLETRANSLATE(C621, ""en"", ""sk"")"),"#VALUE!")</f>
        <v>#VALUE!</v>
      </c>
      <c r="AD621" s="6" t="s">
        <v>132</v>
      </c>
      <c r="AE621" s="7" t="str">
        <f>IFERROR(__xludf.DUMMYFUNCTION("GOOGLETRANSLATE(C621, ""en"", ""sr"")"),"#VALUE!")</f>
        <v>#VALUE!</v>
      </c>
      <c r="AF621" s="7" t="str">
        <f>IFERROR(__xludf.DUMMYFUNCTION("GOOGLETRANSLATE(C621, ""en"", ""sv"")"),"#VALUE!")</f>
        <v>#VALUE!</v>
      </c>
      <c r="AG621" s="6" t="s">
        <v>132</v>
      </c>
      <c r="AH621" s="7" t="str">
        <f>IFERROR(__xludf.DUMMYFUNCTION("GOOGLETRANSLATE(C621, ""en"", ""tr"")"),"#VALUE!")</f>
        <v>#VALUE!</v>
      </c>
      <c r="AI621" s="6" t="s">
        <v>132</v>
      </c>
      <c r="AJ621" s="6" t="s">
        <v>132</v>
      </c>
      <c r="AK621" s="7" t="str">
        <f>IFERROR(__xludf.DUMMYFUNCTION("GOOGLETRANSLATE(C621, ""en"", ""zh"")"),"#VALUE!")</f>
        <v>#VALUE!</v>
      </c>
      <c r="AL621" s="6" t="s">
        <v>13037</v>
      </c>
    </row>
    <row r="622" ht="15.75" customHeight="1">
      <c r="A622" s="1" t="s">
        <v>127</v>
      </c>
      <c r="B622" s="1" t="s">
        <v>13038</v>
      </c>
      <c r="C622" s="1" t="s">
        <v>13039</v>
      </c>
      <c r="D622" s="8" t="s">
        <v>13040</v>
      </c>
      <c r="E622" s="1" t="s">
        <v>13041</v>
      </c>
      <c r="F622" s="6" t="s">
        <v>132</v>
      </c>
      <c r="G622" s="1" t="s">
        <v>13042</v>
      </c>
      <c r="H622" s="1" t="s">
        <v>13043</v>
      </c>
      <c r="I622" s="1" t="s">
        <v>13039</v>
      </c>
      <c r="J622" s="6" t="s">
        <v>13044</v>
      </c>
      <c r="K622" s="1" t="s">
        <v>13045</v>
      </c>
      <c r="L622" s="1" t="s">
        <v>13046</v>
      </c>
      <c r="M622" s="1" t="s">
        <v>13047</v>
      </c>
      <c r="N622" s="6" t="s">
        <v>132</v>
      </c>
      <c r="O622" s="6" t="s">
        <v>13048</v>
      </c>
      <c r="P622" s="1" t="s">
        <v>13039</v>
      </c>
      <c r="Q622" s="1" t="s">
        <v>13049</v>
      </c>
      <c r="R622" s="1" t="s">
        <v>13039</v>
      </c>
      <c r="S622" s="6" t="s">
        <v>132</v>
      </c>
      <c r="T622" s="1" t="s">
        <v>13050</v>
      </c>
      <c r="U622" s="1" t="s">
        <v>13051</v>
      </c>
      <c r="V622" s="1" t="s">
        <v>13049</v>
      </c>
      <c r="W622" s="1" t="s">
        <v>13052</v>
      </c>
      <c r="X622" s="1" t="s">
        <v>13053</v>
      </c>
      <c r="Y622" s="1" t="s">
        <v>13054</v>
      </c>
      <c r="Z622" s="1" t="s">
        <v>13055</v>
      </c>
      <c r="AA622" s="1" t="s">
        <v>13056</v>
      </c>
      <c r="AB622" s="1" t="s">
        <v>13057</v>
      </c>
      <c r="AC622" s="1" t="s">
        <v>13058</v>
      </c>
      <c r="AD622" s="6" t="s">
        <v>13059</v>
      </c>
      <c r="AE622" s="1" t="s">
        <v>13039</v>
      </c>
      <c r="AF622" s="1" t="s">
        <v>13060</v>
      </c>
      <c r="AG622" s="6" t="s">
        <v>13061</v>
      </c>
      <c r="AH622" s="1" t="s">
        <v>13062</v>
      </c>
      <c r="AI622" s="6" t="s">
        <v>132</v>
      </c>
      <c r="AJ622" s="6" t="s">
        <v>13063</v>
      </c>
      <c r="AK622" s="1" t="s">
        <v>13064</v>
      </c>
      <c r="AL622" s="6" t="s">
        <v>13065</v>
      </c>
    </row>
    <row r="623" ht="15.75" hidden="1" customHeight="1">
      <c r="A623" s="1" t="s">
        <v>38</v>
      </c>
      <c r="B623" s="1" t="s">
        <v>13066</v>
      </c>
      <c r="C623" s="1" t="s">
        <v>13067</v>
      </c>
      <c r="D623" s="8" t="s">
        <v>13068</v>
      </c>
      <c r="E623" s="1" t="s">
        <v>13069</v>
      </c>
      <c r="F623" s="6" t="s">
        <v>13070</v>
      </c>
      <c r="G623" s="7" t="str">
        <f>IFERROR(__xludf.DUMMYFUNCTION("GOOGLETRANSLATE(C623, ""en"", ""cs"")"),"Vyhledávání")</f>
        <v>Vyhledávání</v>
      </c>
      <c r="H623" s="7" t="str">
        <f>IFERROR(__xludf.DUMMYFUNCTION("GOOGLETRANSLATE(C623, ""en"", ""da"")"),"Søg")</f>
        <v>Søg</v>
      </c>
      <c r="I623" s="1" t="s">
        <v>13071</v>
      </c>
      <c r="J623" s="6" t="s">
        <v>132</v>
      </c>
      <c r="K623" s="1" t="s">
        <v>13072</v>
      </c>
      <c r="L623" s="7" t="str">
        <f>IFERROR(__xludf.DUMMYFUNCTION("GOOGLETRANSLATE(C623, ""en"", ""fi"")"),"Hae")</f>
        <v>Hae</v>
      </c>
      <c r="M623" s="1" t="s">
        <v>13073</v>
      </c>
      <c r="N623" s="6" t="s">
        <v>13072</v>
      </c>
      <c r="O623" s="6" t="s">
        <v>132</v>
      </c>
      <c r="P623" s="1" t="s">
        <v>13074</v>
      </c>
      <c r="Q623" s="9" t="s">
        <v>13075</v>
      </c>
      <c r="R623" s="1" t="s">
        <v>13070</v>
      </c>
      <c r="S623" s="6" t="s">
        <v>132</v>
      </c>
      <c r="T623" s="1" t="s">
        <v>13076</v>
      </c>
      <c r="U623" s="1" t="s">
        <v>13077</v>
      </c>
      <c r="V623" s="7" t="str">
        <f>IFERROR(__xludf.DUMMYFUNCTION("GOOGLETRANSLATE(C623, ""en"", ""ms"")"),"Cari")</f>
        <v>Cari</v>
      </c>
      <c r="W623" s="1" t="s">
        <v>13078</v>
      </c>
      <c r="X623" s="7" t="str">
        <f>IFERROR(__xludf.DUMMYFUNCTION("GOOGLETRANSLATE(C623, ""en"", ""no"")"),"Søk")</f>
        <v>Søk</v>
      </c>
      <c r="Y623" s="1" t="s">
        <v>13079</v>
      </c>
      <c r="Z623" s="1" t="s">
        <v>13080</v>
      </c>
      <c r="AA623" s="7" t="str">
        <f>IFERROR(__xludf.DUMMYFUNCTION("GOOGLETRANSLATE(C623, ""en"", ""ro"")"),"Căutare")</f>
        <v>Căutare</v>
      </c>
      <c r="AB623" s="1" t="s">
        <v>13081</v>
      </c>
      <c r="AC623" s="1" t="s">
        <v>13082</v>
      </c>
      <c r="AD623" s="6" t="s">
        <v>132</v>
      </c>
      <c r="AE623" s="1" t="s">
        <v>13083</v>
      </c>
      <c r="AF623" s="1" t="s">
        <v>13084</v>
      </c>
      <c r="AG623" s="6" t="s">
        <v>132</v>
      </c>
      <c r="AH623" s="7" t="str">
        <f>IFERROR(__xludf.DUMMYFUNCTION("GOOGLETRANSLATE(C623, ""en"", ""tr"")"),"Arama")</f>
        <v>Arama</v>
      </c>
      <c r="AI623" s="6" t="s">
        <v>13085</v>
      </c>
      <c r="AJ623" s="6" t="s">
        <v>13086</v>
      </c>
      <c r="AK623" s="7" t="str">
        <f>IFERROR(__xludf.DUMMYFUNCTION("GOOGLETRANSLATE(C623, ""en"", ""zh"")"),"搜索")</f>
        <v>搜索</v>
      </c>
      <c r="AL623" s="6" t="s">
        <v>13087</v>
      </c>
    </row>
    <row r="624" ht="15.75" customHeight="1">
      <c r="A624" s="1" t="s">
        <v>127</v>
      </c>
      <c r="B624" s="1" t="s">
        <v>13088</v>
      </c>
      <c r="C624" s="1" t="s">
        <v>13089</v>
      </c>
      <c r="D624" s="8" t="s">
        <v>13090</v>
      </c>
      <c r="E624" s="1" t="s">
        <v>13091</v>
      </c>
      <c r="F624" s="6" t="s">
        <v>132</v>
      </c>
      <c r="G624" s="1" t="s">
        <v>13092</v>
      </c>
      <c r="H624" s="1" t="s">
        <v>13093</v>
      </c>
      <c r="I624" s="1" t="s">
        <v>13089</v>
      </c>
      <c r="J624" s="6" t="s">
        <v>13094</v>
      </c>
      <c r="K624" s="1" t="s">
        <v>13089</v>
      </c>
      <c r="L624" s="1" t="s">
        <v>13095</v>
      </c>
      <c r="M624" s="1" t="s">
        <v>13096</v>
      </c>
      <c r="N624" s="6" t="s">
        <v>132</v>
      </c>
      <c r="O624" s="6" t="s">
        <v>13097</v>
      </c>
      <c r="P624" s="1" t="s">
        <v>13089</v>
      </c>
      <c r="Q624" s="1" t="s">
        <v>13098</v>
      </c>
      <c r="R624" s="1" t="s">
        <v>13089</v>
      </c>
      <c r="S624" s="6" t="s">
        <v>132</v>
      </c>
      <c r="T624" s="1" t="s">
        <v>13099</v>
      </c>
      <c r="U624" s="1" t="s">
        <v>13100</v>
      </c>
      <c r="V624" s="1" t="s">
        <v>13098</v>
      </c>
      <c r="W624" s="1" t="s">
        <v>13101</v>
      </c>
      <c r="X624" s="1" t="s">
        <v>13102</v>
      </c>
      <c r="Y624" s="1" t="s">
        <v>13103</v>
      </c>
      <c r="Z624" s="1" t="s">
        <v>13089</v>
      </c>
      <c r="AA624" s="1" t="s">
        <v>13104</v>
      </c>
      <c r="AB624" s="1" t="s">
        <v>13105</v>
      </c>
      <c r="AC624" s="1" t="s">
        <v>13092</v>
      </c>
      <c r="AD624" s="6" t="s">
        <v>13106</v>
      </c>
      <c r="AE624" s="1" t="s">
        <v>13089</v>
      </c>
      <c r="AF624" s="1" t="s">
        <v>13107</v>
      </c>
      <c r="AG624" s="6" t="s">
        <v>13108</v>
      </c>
      <c r="AH624" s="1" t="s">
        <v>13109</v>
      </c>
      <c r="AI624" s="6" t="s">
        <v>132</v>
      </c>
      <c r="AJ624" s="6" t="s">
        <v>13110</v>
      </c>
      <c r="AK624" s="1" t="s">
        <v>13111</v>
      </c>
      <c r="AL624" s="6" t="s">
        <v>13112</v>
      </c>
    </row>
    <row r="625" ht="15.75" customHeight="1">
      <c r="A625" s="1" t="s">
        <v>127</v>
      </c>
      <c r="B625" s="1" t="s">
        <v>13113</v>
      </c>
      <c r="C625" s="1" t="s">
        <v>13114</v>
      </c>
      <c r="D625" s="8" t="s">
        <v>13115</v>
      </c>
      <c r="E625" s="1" t="s">
        <v>13116</v>
      </c>
      <c r="F625" s="6" t="s">
        <v>132</v>
      </c>
      <c r="G625" s="1" t="s">
        <v>13117</v>
      </c>
      <c r="H625" s="1" t="s">
        <v>13118</v>
      </c>
      <c r="I625" s="1" t="s">
        <v>13114</v>
      </c>
      <c r="J625" s="6" t="s">
        <v>13119</v>
      </c>
      <c r="K625" s="1" t="s">
        <v>13114</v>
      </c>
      <c r="L625" s="1" t="s">
        <v>13120</v>
      </c>
      <c r="M625" s="1" t="s">
        <v>13121</v>
      </c>
      <c r="N625" s="6" t="s">
        <v>132</v>
      </c>
      <c r="O625" s="6" t="s">
        <v>13122</v>
      </c>
      <c r="P625" s="1" t="s">
        <v>13114</v>
      </c>
      <c r="Q625" s="1" t="s">
        <v>13123</v>
      </c>
      <c r="R625" s="1" t="s">
        <v>13114</v>
      </c>
      <c r="S625" s="6" t="s">
        <v>132</v>
      </c>
      <c r="T625" s="1" t="s">
        <v>13124</v>
      </c>
      <c r="U625" s="1" t="s">
        <v>13125</v>
      </c>
      <c r="V625" s="1" t="s">
        <v>13123</v>
      </c>
      <c r="W625" s="1" t="s">
        <v>13114</v>
      </c>
      <c r="X625" s="1" t="s">
        <v>13118</v>
      </c>
      <c r="Y625" s="1" t="s">
        <v>13126</v>
      </c>
      <c r="Z625" s="1" t="s">
        <v>13127</v>
      </c>
      <c r="AA625" s="1" t="s">
        <v>13123</v>
      </c>
      <c r="AB625" s="1" t="s">
        <v>13114</v>
      </c>
      <c r="AC625" s="1" t="s">
        <v>13128</v>
      </c>
      <c r="AD625" s="6" t="s">
        <v>13123</v>
      </c>
      <c r="AE625" s="1" t="s">
        <v>13114</v>
      </c>
      <c r="AF625" s="1" t="s">
        <v>13118</v>
      </c>
      <c r="AG625" s="6" t="s">
        <v>13129</v>
      </c>
      <c r="AH625" s="1" t="s">
        <v>13130</v>
      </c>
      <c r="AI625" s="6" t="s">
        <v>132</v>
      </c>
      <c r="AJ625" s="6" t="s">
        <v>13131</v>
      </c>
      <c r="AK625" s="1" t="s">
        <v>13132</v>
      </c>
      <c r="AL625" s="6" t="s">
        <v>13133</v>
      </c>
    </row>
    <row r="626" ht="15.75" hidden="1" customHeight="1">
      <c r="A626" s="1" t="s">
        <v>38</v>
      </c>
      <c r="B626" s="1" t="s">
        <v>13134</v>
      </c>
      <c r="C626" s="1" t="s">
        <v>13135</v>
      </c>
      <c r="D626" s="7" t="str">
        <f>IFERROR(__xludf.DUMMYFUNCTION("GOOGLETRANSLATE(C626, ""en"", ""ar"")"),"رمز")</f>
        <v>رمز</v>
      </c>
      <c r="E626" s="7" t="str">
        <f>IFERROR(__xludf.DUMMYFUNCTION("GOOGLETRANSLATE(C626, ""en"", ""bg"")"),"Символ")</f>
        <v>Символ</v>
      </c>
      <c r="F626" s="6" t="s">
        <v>132</v>
      </c>
      <c r="G626" s="7" t="str">
        <f>IFERROR(__xludf.DUMMYFUNCTION("GOOGLETRANSLATE(C626, ""en"", ""cs"")"),"Symbol")</f>
        <v>Symbol</v>
      </c>
      <c r="H626" s="7" t="str">
        <f>IFERROR(__xludf.DUMMYFUNCTION("GOOGLETRANSLATE(C626, ""en"", ""da"")"),"Symbol")</f>
        <v>Symbol</v>
      </c>
      <c r="I626" s="1" t="s">
        <v>13135</v>
      </c>
      <c r="J626" s="6" t="s">
        <v>132</v>
      </c>
      <c r="K626" s="1" t="s">
        <v>13136</v>
      </c>
      <c r="L626" s="7" t="str">
        <f>IFERROR(__xludf.DUMMYFUNCTION("GOOGLETRANSLATE(C626, ""en"", ""fi"")"),"Symboli")</f>
        <v>Symboli</v>
      </c>
      <c r="M626" s="1" t="s">
        <v>13137</v>
      </c>
      <c r="N626" s="6" t="s">
        <v>132</v>
      </c>
      <c r="O626" s="6" t="s">
        <v>132</v>
      </c>
      <c r="P626" s="1" t="s">
        <v>13138</v>
      </c>
      <c r="Q626" s="7" t="str">
        <f>IFERROR(__xludf.DUMMYFUNCTION("GOOGLETRANSLATE(C626, ""en"", ""in"")"),"Simbol")</f>
        <v>Simbol</v>
      </c>
      <c r="R626" s="7" t="str">
        <f>IFERROR(__xludf.DUMMYFUNCTION("GOOGLETRANSLATE(C626, ""en"", ""it"")"),"Simbolo")</f>
        <v>Simbolo</v>
      </c>
      <c r="S626" s="6" t="s">
        <v>132</v>
      </c>
      <c r="T626" s="7" t="str">
        <f>IFERROR(__xludf.DUMMYFUNCTION("GOOGLETRANSLATE(C626, ""en"", ""ja"")"),"シンボル")</f>
        <v>シンボル</v>
      </c>
      <c r="U626" s="7" t="str">
        <f>IFERROR(__xludf.DUMMYFUNCTION("GOOGLETRANSLATE(C626, ""en"", ""ko"")"),"상징")</f>
        <v>상징</v>
      </c>
      <c r="V626" s="7" t="str">
        <f>IFERROR(__xludf.DUMMYFUNCTION("GOOGLETRANSLATE(C626, ""en"", ""ms"")"),"Simbol")</f>
        <v>Simbol</v>
      </c>
      <c r="W626" s="7" t="str">
        <f>IFERROR(__xludf.DUMMYFUNCTION("GOOGLETRANSLATE(C626, ""en"", ""nl"")"),"Symbool")</f>
        <v>Symbool</v>
      </c>
      <c r="X626" s="7" t="str">
        <f>IFERROR(__xludf.DUMMYFUNCTION("GOOGLETRANSLATE(C626, ""en"", ""no"")"),"Symbol")</f>
        <v>Symbol</v>
      </c>
      <c r="Y626" s="7" t="str">
        <f>IFERROR(__xludf.DUMMYFUNCTION("GOOGLETRANSLATE(C626, ""en"", ""pl"")"),"Symbol")</f>
        <v>Symbol</v>
      </c>
      <c r="Z626" s="7" t="str">
        <f>IFERROR(__xludf.DUMMYFUNCTION("GOOGLETRANSLATE(C626, ""en"", ""pt"")"),"Símbolo")</f>
        <v>Símbolo</v>
      </c>
      <c r="AA626" s="7" t="str">
        <f>IFERROR(__xludf.DUMMYFUNCTION("GOOGLETRANSLATE(C626, ""en"", ""ro"")"),"Simbol")</f>
        <v>Simbol</v>
      </c>
      <c r="AB626" s="1" t="s">
        <v>13139</v>
      </c>
      <c r="AC626" s="7" t="str">
        <f>IFERROR(__xludf.DUMMYFUNCTION("GOOGLETRANSLATE(C626, ""en"", ""sk"")"),"Symbol")</f>
        <v>Symbol</v>
      </c>
      <c r="AD626" s="6" t="s">
        <v>132</v>
      </c>
      <c r="AE626" s="1" t="s">
        <v>13140</v>
      </c>
      <c r="AF626" s="7" t="str">
        <f>IFERROR(__xludf.DUMMYFUNCTION("GOOGLETRANSLATE(C626, ""en"", ""sv"")"),"Symbol")</f>
        <v>Symbol</v>
      </c>
      <c r="AG626" s="6" t="s">
        <v>132</v>
      </c>
      <c r="AH626" s="7" t="str">
        <f>IFERROR(__xludf.DUMMYFUNCTION("GOOGLETRANSLATE(C626, ""en"", ""tr"")"),"Sembol")</f>
        <v>Sembol</v>
      </c>
      <c r="AI626" s="6" t="s">
        <v>132</v>
      </c>
      <c r="AJ626" s="6" t="s">
        <v>132</v>
      </c>
      <c r="AK626" s="7" t="str">
        <f>IFERROR(__xludf.DUMMYFUNCTION("GOOGLETRANSLATE(C626, ""en"", ""zh"")"),"象征")</f>
        <v>象征</v>
      </c>
      <c r="AL626" s="6" t="s">
        <v>132</v>
      </c>
    </row>
    <row r="627" ht="15.75" customHeight="1">
      <c r="A627" s="1" t="s">
        <v>127</v>
      </c>
      <c r="B627" s="1" t="s">
        <v>13141</v>
      </c>
      <c r="C627" s="1" t="s">
        <v>13142</v>
      </c>
      <c r="D627" s="8" t="s">
        <v>13143</v>
      </c>
      <c r="E627" s="1" t="s">
        <v>13142</v>
      </c>
      <c r="F627" s="6" t="s">
        <v>132</v>
      </c>
      <c r="G627" s="1" t="s">
        <v>13142</v>
      </c>
      <c r="H627" s="1" t="s">
        <v>13142</v>
      </c>
      <c r="I627" s="1" t="s">
        <v>13142</v>
      </c>
      <c r="J627" s="6" t="s">
        <v>13142</v>
      </c>
      <c r="K627" s="1" t="s">
        <v>13142</v>
      </c>
      <c r="L627" s="1" t="s">
        <v>13142</v>
      </c>
      <c r="M627" s="1" t="s">
        <v>13144</v>
      </c>
      <c r="N627" s="6" t="s">
        <v>132</v>
      </c>
      <c r="O627" s="6" t="s">
        <v>13145</v>
      </c>
      <c r="P627" s="1" t="s">
        <v>13142</v>
      </c>
      <c r="Q627" s="1" t="s">
        <v>13142</v>
      </c>
      <c r="R627" s="1" t="s">
        <v>13142</v>
      </c>
      <c r="S627" s="6" t="s">
        <v>132</v>
      </c>
      <c r="T627" s="1" t="s">
        <v>13142</v>
      </c>
      <c r="U627" s="1" t="s">
        <v>13142</v>
      </c>
      <c r="V627" s="1" t="s">
        <v>13142</v>
      </c>
      <c r="W627" s="1" t="s">
        <v>13142</v>
      </c>
      <c r="X627" s="1" t="s">
        <v>13142</v>
      </c>
      <c r="Y627" s="1" t="s">
        <v>13142</v>
      </c>
      <c r="Z627" s="1" t="s">
        <v>13142</v>
      </c>
      <c r="AA627" s="1" t="s">
        <v>13142</v>
      </c>
      <c r="AB627" s="1" t="s">
        <v>13146</v>
      </c>
      <c r="AC627" s="1" t="s">
        <v>13142</v>
      </c>
      <c r="AD627" s="6" t="s">
        <v>13142</v>
      </c>
      <c r="AE627" s="1" t="s">
        <v>13142</v>
      </c>
      <c r="AF627" s="1" t="s">
        <v>13142</v>
      </c>
      <c r="AG627" s="6" t="s">
        <v>13142</v>
      </c>
      <c r="AH627" s="1" t="s">
        <v>13147</v>
      </c>
      <c r="AI627" s="6" t="s">
        <v>132</v>
      </c>
      <c r="AJ627" s="6" t="s">
        <v>13142</v>
      </c>
      <c r="AK627" s="1" t="s">
        <v>13148</v>
      </c>
      <c r="AL627" s="6" t="s">
        <v>13149</v>
      </c>
    </row>
    <row r="628" ht="15.75" hidden="1" customHeight="1">
      <c r="A628" s="1" t="s">
        <v>38</v>
      </c>
      <c r="B628" s="1" t="s">
        <v>13150</v>
      </c>
      <c r="C628" s="1" t="s">
        <v>13151</v>
      </c>
      <c r="D628" s="7" t="str">
        <f>IFERROR(__xludf.DUMMYFUNCTION("GOOGLETRANSLATE(C628, ""en"", ""ar"")"),"اليابان")</f>
        <v>اليابان</v>
      </c>
      <c r="E628" s="7" t="str">
        <f>IFERROR(__xludf.DUMMYFUNCTION("GOOGLETRANSLATE(C628, ""en"", ""bg"")"),"Япония")</f>
        <v>Япония</v>
      </c>
      <c r="F628" s="6" t="s">
        <v>132</v>
      </c>
      <c r="G628" s="7" t="str">
        <f>IFERROR(__xludf.DUMMYFUNCTION("GOOGLETRANSLATE(C628, ""en"", ""cs"")"),"Japonsko")</f>
        <v>Japonsko</v>
      </c>
      <c r="H628" s="7" t="str">
        <f>IFERROR(__xludf.DUMMYFUNCTION("GOOGLETRANSLATE(C628, ""en"", ""da"")"),"Japan.")</f>
        <v>Japan.</v>
      </c>
      <c r="I628" s="1" t="s">
        <v>13151</v>
      </c>
      <c r="J628" s="6" t="s">
        <v>132</v>
      </c>
      <c r="K628" s="1" t="s">
        <v>13152</v>
      </c>
      <c r="L628" s="7" t="str">
        <f>IFERROR(__xludf.DUMMYFUNCTION("GOOGLETRANSLATE(C628, ""en"", ""fi"")"),"Japani")</f>
        <v>Japani</v>
      </c>
      <c r="M628" s="1" t="s">
        <v>13153</v>
      </c>
      <c r="N628" s="6" t="s">
        <v>132</v>
      </c>
      <c r="O628" s="6" t="s">
        <v>132</v>
      </c>
      <c r="P628" s="1" t="s">
        <v>13151</v>
      </c>
      <c r="Q628" s="7" t="str">
        <f>IFERROR(__xludf.DUMMYFUNCTION("GOOGLETRANSLATE(C628, ""en"", ""in"")"),"Jepang")</f>
        <v>Jepang</v>
      </c>
      <c r="R628" s="7" t="str">
        <f>IFERROR(__xludf.DUMMYFUNCTION("GOOGLETRANSLATE(C628, ""en"", ""it"")"),"Giappone")</f>
        <v>Giappone</v>
      </c>
      <c r="S628" s="6" t="s">
        <v>132</v>
      </c>
      <c r="T628" s="7" t="str">
        <f>IFERROR(__xludf.DUMMYFUNCTION("GOOGLETRANSLATE(C628, ""en"", ""ja"")"),"日本")</f>
        <v>日本</v>
      </c>
      <c r="U628" s="7" t="str">
        <f>IFERROR(__xludf.DUMMYFUNCTION("GOOGLETRANSLATE(C628, ""en"", ""ko"")"),"일본")</f>
        <v>일본</v>
      </c>
      <c r="V628" s="7" t="str">
        <f>IFERROR(__xludf.DUMMYFUNCTION("GOOGLETRANSLATE(C628, ""en"", ""ms"")"),"Jepun")</f>
        <v>Jepun</v>
      </c>
      <c r="W628" s="7" t="str">
        <f>IFERROR(__xludf.DUMMYFUNCTION("GOOGLETRANSLATE(C628, ""en"", ""nl"")"),"Japan")</f>
        <v>Japan</v>
      </c>
      <c r="X628" s="7" t="str">
        <f>IFERROR(__xludf.DUMMYFUNCTION("GOOGLETRANSLATE(C628, ""en"", ""no"")"),"Japan")</f>
        <v>Japan</v>
      </c>
      <c r="Y628" s="7" t="str">
        <f>IFERROR(__xludf.DUMMYFUNCTION("GOOGLETRANSLATE(C628, ""en"", ""pl"")"),"Japonia")</f>
        <v>Japonia</v>
      </c>
      <c r="Z628" s="7" t="str">
        <f>IFERROR(__xludf.DUMMYFUNCTION("GOOGLETRANSLATE(C628, ""en"", ""pt"")"),"Japão")</f>
        <v>Japão</v>
      </c>
      <c r="AA628" s="7" t="str">
        <f>IFERROR(__xludf.DUMMYFUNCTION("GOOGLETRANSLATE(C628, ""en"", ""ro"")"),"Japonia")</f>
        <v>Japonia</v>
      </c>
      <c r="AB628" s="1" t="s">
        <v>13154</v>
      </c>
      <c r="AC628" s="7" t="str">
        <f>IFERROR(__xludf.DUMMYFUNCTION("GOOGLETRANSLATE(C628, ""en"", ""sk"")"),"Japonský")</f>
        <v>Japonský</v>
      </c>
      <c r="AD628" s="6" t="s">
        <v>132</v>
      </c>
      <c r="AE628" s="1" t="s">
        <v>13151</v>
      </c>
      <c r="AF628" s="7" t="str">
        <f>IFERROR(__xludf.DUMMYFUNCTION("GOOGLETRANSLATE(C628, ""en"", ""sv"")"),"Japan")</f>
        <v>Japan</v>
      </c>
      <c r="AG628" s="6" t="s">
        <v>132</v>
      </c>
      <c r="AH628" s="7" t="str">
        <f>IFERROR(__xludf.DUMMYFUNCTION("GOOGLETRANSLATE(C628, ""en"", ""tr"")"),"Japonya")</f>
        <v>Japonya</v>
      </c>
      <c r="AI628" s="6" t="s">
        <v>132</v>
      </c>
      <c r="AJ628" s="6" t="s">
        <v>132</v>
      </c>
      <c r="AK628" s="7" t="str">
        <f>IFERROR(__xludf.DUMMYFUNCTION("GOOGLETRANSLATE(C628, ""en"", ""zh"")"),"日本")</f>
        <v>日本</v>
      </c>
      <c r="AL628" s="6" t="s">
        <v>132</v>
      </c>
    </row>
    <row r="629" ht="15.75" customHeight="1">
      <c r="A629" s="1" t="s">
        <v>127</v>
      </c>
      <c r="B629" s="1" t="s">
        <v>13155</v>
      </c>
      <c r="C629" s="1" t="s">
        <v>1869</v>
      </c>
      <c r="D629" s="8" t="s">
        <v>1870</v>
      </c>
      <c r="E629" s="1" t="s">
        <v>1871</v>
      </c>
      <c r="F629" s="6" t="s">
        <v>132</v>
      </c>
      <c r="G629" s="1" t="s">
        <v>1872</v>
      </c>
      <c r="H629" s="1" t="s">
        <v>1873</v>
      </c>
      <c r="I629" s="1" t="s">
        <v>13156</v>
      </c>
      <c r="J629" s="6" t="s">
        <v>1875</v>
      </c>
      <c r="K629" s="1" t="s">
        <v>1876</v>
      </c>
      <c r="L629" s="1" t="s">
        <v>1877</v>
      </c>
      <c r="M629" s="1" t="s">
        <v>13157</v>
      </c>
      <c r="N629" s="6" t="s">
        <v>132</v>
      </c>
      <c r="O629" s="6" t="s">
        <v>1879</v>
      </c>
      <c r="P629" s="1" t="s">
        <v>1869</v>
      </c>
      <c r="Q629" s="1" t="s">
        <v>1881</v>
      </c>
      <c r="R629" s="1" t="s">
        <v>1882</v>
      </c>
      <c r="S629" s="6" t="s">
        <v>132</v>
      </c>
      <c r="T629" s="1" t="s">
        <v>1884</v>
      </c>
      <c r="U629" s="1" t="s">
        <v>1885</v>
      </c>
      <c r="V629" s="1" t="s">
        <v>1881</v>
      </c>
      <c r="W629" s="1" t="s">
        <v>13158</v>
      </c>
      <c r="X629" s="1" t="s">
        <v>1887</v>
      </c>
      <c r="Y629" s="1" t="s">
        <v>13159</v>
      </c>
      <c r="Z629" s="1" t="s">
        <v>13160</v>
      </c>
      <c r="AA629" s="1" t="s">
        <v>1890</v>
      </c>
      <c r="AB629" s="1" t="s">
        <v>1891</v>
      </c>
      <c r="AC629" s="1" t="s">
        <v>1872</v>
      </c>
      <c r="AD629" s="6" t="s">
        <v>1892</v>
      </c>
      <c r="AE629" s="1" t="s">
        <v>13161</v>
      </c>
      <c r="AF629" s="1" t="s">
        <v>1894</v>
      </c>
      <c r="AG629" s="6" t="s">
        <v>1895</v>
      </c>
      <c r="AH629" s="1" t="s">
        <v>1896</v>
      </c>
      <c r="AI629" s="6" t="s">
        <v>132</v>
      </c>
      <c r="AJ629" s="6" t="s">
        <v>1897</v>
      </c>
      <c r="AK629" s="1" t="s">
        <v>13162</v>
      </c>
      <c r="AL629" s="6" t="s">
        <v>132</v>
      </c>
    </row>
    <row r="630" ht="15.75" customHeight="1">
      <c r="A630" s="1" t="s">
        <v>127</v>
      </c>
      <c r="B630" s="1" t="s">
        <v>13163</v>
      </c>
      <c r="C630" s="1" t="s">
        <v>13164</v>
      </c>
      <c r="D630" s="8" t="s">
        <v>13165</v>
      </c>
      <c r="E630" s="1" t="s">
        <v>13166</v>
      </c>
      <c r="F630" s="6" t="s">
        <v>132</v>
      </c>
      <c r="G630" s="1" t="s">
        <v>13167</v>
      </c>
      <c r="H630" s="1" t="s">
        <v>13168</v>
      </c>
      <c r="I630" s="1" t="s">
        <v>13164</v>
      </c>
      <c r="J630" s="6" t="s">
        <v>13169</v>
      </c>
      <c r="K630" s="1" t="s">
        <v>13164</v>
      </c>
      <c r="L630" s="1" t="s">
        <v>13164</v>
      </c>
      <c r="M630" s="1" t="s">
        <v>13164</v>
      </c>
      <c r="N630" s="6" t="s">
        <v>132</v>
      </c>
      <c r="O630" s="6" t="s">
        <v>13170</v>
      </c>
      <c r="P630" s="1" t="s">
        <v>13164</v>
      </c>
      <c r="Q630" s="1" t="s">
        <v>13171</v>
      </c>
      <c r="R630" s="1" t="s">
        <v>13164</v>
      </c>
      <c r="S630" s="6" t="s">
        <v>132</v>
      </c>
      <c r="T630" s="1" t="s">
        <v>13172</v>
      </c>
      <c r="U630" s="1" t="s">
        <v>13173</v>
      </c>
      <c r="V630" s="1" t="s">
        <v>13174</v>
      </c>
      <c r="W630" s="1" t="s">
        <v>13175</v>
      </c>
      <c r="X630" s="1" t="s">
        <v>13176</v>
      </c>
      <c r="Y630" s="1" t="s">
        <v>13177</v>
      </c>
      <c r="Z630" s="1" t="s">
        <v>13178</v>
      </c>
      <c r="AA630" s="1" t="s">
        <v>13179</v>
      </c>
      <c r="AB630" s="1" t="s">
        <v>13180</v>
      </c>
      <c r="AC630" s="1" t="s">
        <v>13181</v>
      </c>
      <c r="AD630" s="6" t="s">
        <v>13182</v>
      </c>
      <c r="AE630" s="1" t="s">
        <v>13164</v>
      </c>
      <c r="AF630" s="1" t="s">
        <v>13183</v>
      </c>
      <c r="AG630" s="6" t="s">
        <v>13184</v>
      </c>
      <c r="AH630" s="1" t="s">
        <v>13185</v>
      </c>
      <c r="AI630" s="6" t="s">
        <v>132</v>
      </c>
      <c r="AJ630" s="6" t="s">
        <v>13186</v>
      </c>
      <c r="AK630" s="1" t="s">
        <v>13187</v>
      </c>
      <c r="AL630" s="6" t="s">
        <v>13188</v>
      </c>
    </row>
    <row r="631" ht="15.75" hidden="1" customHeight="1">
      <c r="A631" s="1" t="s">
        <v>38</v>
      </c>
      <c r="B631" s="1" t="s">
        <v>13189</v>
      </c>
      <c r="C631" s="1" t="s">
        <v>13190</v>
      </c>
      <c r="D631" s="7" t="str">
        <f>IFERROR(__xludf.DUMMYFUNCTION("GOOGLETRANSLATE(C631, ""en"", ""ar"")"),"البوسنة والهرسك")</f>
        <v>البوسنة والهرسك</v>
      </c>
      <c r="E631" s="7" t="str">
        <f>IFERROR(__xludf.DUMMYFUNCTION("GOOGLETRANSLATE(C631, ""en"", ""bg"")"),"Босна и Херцеговина")</f>
        <v>Босна и Херцеговина</v>
      </c>
      <c r="F631" s="6" t="s">
        <v>132</v>
      </c>
      <c r="G631" s="7" t="str">
        <f>IFERROR(__xludf.DUMMYFUNCTION("GOOGLETRANSLATE(C631, ""en"", ""cs"")"),"Bosna a Hercegovina")</f>
        <v>Bosna a Hercegovina</v>
      </c>
      <c r="H631" s="7" t="str">
        <f>IFERROR(__xludf.DUMMYFUNCTION("GOOGLETRANSLATE(C631, ""en"", ""da"")"),"Bosnien-Hercegovina")</f>
        <v>Bosnien-Hercegovina</v>
      </c>
      <c r="I631" s="1" t="s">
        <v>13191</v>
      </c>
      <c r="J631" s="6" t="s">
        <v>132</v>
      </c>
      <c r="K631" s="1" t="s">
        <v>13192</v>
      </c>
      <c r="L631" s="7" t="str">
        <f>IFERROR(__xludf.DUMMYFUNCTION("GOOGLETRANSLATE(C631, ""en"", ""fi"")"),"Bosnia ja Hertsegovina")</f>
        <v>Bosnia ja Hertsegovina</v>
      </c>
      <c r="M631" s="1" t="s">
        <v>13193</v>
      </c>
      <c r="N631" s="6" t="s">
        <v>132</v>
      </c>
      <c r="O631" s="6" t="s">
        <v>132</v>
      </c>
      <c r="P631" s="1" t="s">
        <v>13190</v>
      </c>
      <c r="Q631" s="7" t="str">
        <f>IFERROR(__xludf.DUMMYFUNCTION("GOOGLETRANSLATE(C631, ""en"", ""in"")"),"Bosnia dan Herzegovina")</f>
        <v>Bosnia dan Herzegovina</v>
      </c>
      <c r="R631" s="7" t="str">
        <f>IFERROR(__xludf.DUMMYFUNCTION("GOOGLETRANSLATE(C631, ""en"", ""it"")"),"Bosnia Erzegovina")</f>
        <v>Bosnia Erzegovina</v>
      </c>
      <c r="S631" s="6" t="s">
        <v>132</v>
      </c>
      <c r="T631" s="7" t="str">
        <f>IFERROR(__xludf.DUMMYFUNCTION("GOOGLETRANSLATE(C631, ""en"", ""ja"")"),"ボスニア・ヘルツェゴビナ")</f>
        <v>ボスニア・ヘルツェゴビナ</v>
      </c>
      <c r="U631" s="7" t="str">
        <f>IFERROR(__xludf.DUMMYFUNCTION("GOOGLETRANSLATE(C631, ""en"", ""ko"")"),"보스니아 헤르체고비나")</f>
        <v>보스니아 헤르체고비나</v>
      </c>
      <c r="V631" s="7" t="str">
        <f>IFERROR(__xludf.DUMMYFUNCTION("GOOGLETRANSLATE(C631, ""en"", ""ms"")"),"Bosnia dan Herzegovina")</f>
        <v>Bosnia dan Herzegovina</v>
      </c>
      <c r="W631" s="7" t="str">
        <f>IFERROR(__xludf.DUMMYFUNCTION("GOOGLETRANSLATE(C631, ""en"", ""nl"")"),"Bosnië-Herzegovina")</f>
        <v>Bosnië-Herzegovina</v>
      </c>
      <c r="X631" s="7" t="str">
        <f>IFERROR(__xludf.DUMMYFUNCTION("GOOGLETRANSLATE(C631, ""en"", ""no"")"),"Bosnia og Herzegovina")</f>
        <v>Bosnia og Herzegovina</v>
      </c>
      <c r="Y631" s="7" t="str">
        <f>IFERROR(__xludf.DUMMYFUNCTION("GOOGLETRANSLATE(C631, ""en"", ""pl"")"),"Bośnia i Hercegowina")</f>
        <v>Bośnia i Hercegowina</v>
      </c>
      <c r="Z631" s="7" t="str">
        <f>IFERROR(__xludf.DUMMYFUNCTION("GOOGLETRANSLATE(C631, ""en"", ""pt"")"),"Bósnia e Herzegovina")</f>
        <v>Bósnia e Herzegovina</v>
      </c>
      <c r="AA631" s="7" t="str">
        <f>IFERROR(__xludf.DUMMYFUNCTION("GOOGLETRANSLATE(C631, ""en"", ""ro"")"),"Bosnia si Hertegovina")</f>
        <v>Bosnia si Hertegovina</v>
      </c>
      <c r="AB631" s="1" t="s">
        <v>13194</v>
      </c>
      <c r="AC631" s="7" t="str">
        <f>IFERROR(__xludf.DUMMYFUNCTION("GOOGLETRANSLATE(C631, ""en"", ""sk"")"),"Bosna a Hercegovina")</f>
        <v>Bosna a Hercegovina</v>
      </c>
      <c r="AD631" s="6" t="s">
        <v>132</v>
      </c>
      <c r="AE631" s="1" t="s">
        <v>13195</v>
      </c>
      <c r="AF631" s="7" t="str">
        <f>IFERROR(__xludf.DUMMYFUNCTION("GOOGLETRANSLATE(C631, ""en"", ""sv"")"),"Bosnien och Hercegovina")</f>
        <v>Bosnien och Hercegovina</v>
      </c>
      <c r="AG631" s="6" t="s">
        <v>132</v>
      </c>
      <c r="AH631" s="7" t="str">
        <f>IFERROR(__xludf.DUMMYFUNCTION("GOOGLETRANSLATE(C631, ""en"", ""tr"")"),"Bosna Hersek")</f>
        <v>Bosna Hersek</v>
      </c>
      <c r="AI631" s="6" t="s">
        <v>132</v>
      </c>
      <c r="AJ631" s="6" t="s">
        <v>132</v>
      </c>
      <c r="AK631" s="7" t="str">
        <f>IFERROR(__xludf.DUMMYFUNCTION("GOOGLETRANSLATE(C631, ""en"", ""zh"")"),"波斯尼亚和黑塞哥维那")</f>
        <v>波斯尼亚和黑塞哥维那</v>
      </c>
      <c r="AL631" s="6" t="s">
        <v>132</v>
      </c>
    </row>
    <row r="632" ht="15.75" hidden="1" customHeight="1">
      <c r="A632" s="1" t="s">
        <v>38</v>
      </c>
      <c r="B632" s="1" t="s">
        <v>13196</v>
      </c>
      <c r="C632" s="1" t="s">
        <v>13197</v>
      </c>
      <c r="D632" s="8" t="s">
        <v>13198</v>
      </c>
      <c r="E632" s="1" t="s">
        <v>13199</v>
      </c>
      <c r="F632" s="6" t="s">
        <v>13200</v>
      </c>
      <c r="G632" s="7" t="str">
        <f>IFERROR(__xludf.DUMMYFUNCTION("GOOGLETRANSLATE(C632, ""en"", ""cs"")"),"Uživatelské jméno už je používáno")</f>
        <v>Uživatelské jméno už je používáno</v>
      </c>
      <c r="H632" s="7" t="str">
        <f>IFERROR(__xludf.DUMMYFUNCTION("GOOGLETRANSLATE(C632, ""en"", ""da"")"),"Brugernavn er allerede i brug")</f>
        <v>Brugernavn er allerede i brug</v>
      </c>
      <c r="I632" s="1" t="s">
        <v>13201</v>
      </c>
      <c r="J632" s="6" t="s">
        <v>132</v>
      </c>
      <c r="K632" s="1" t="s">
        <v>13202</v>
      </c>
      <c r="L632" s="7" t="str">
        <f>IFERROR(__xludf.DUMMYFUNCTION("GOOGLETRANSLATE(C632, ""en"", ""fi"")"),"Käyttäjänimi on jo käytössä")</f>
        <v>Käyttäjänimi on jo käytössä</v>
      </c>
      <c r="M632" s="1" t="s">
        <v>5654</v>
      </c>
      <c r="N632" s="6" t="s">
        <v>13203</v>
      </c>
      <c r="O632" s="6" t="s">
        <v>132</v>
      </c>
      <c r="P632" s="1" t="s">
        <v>13204</v>
      </c>
      <c r="Q632" s="9" t="s">
        <v>13205</v>
      </c>
      <c r="R632" s="1" t="s">
        <v>13206</v>
      </c>
      <c r="S632" s="6" t="s">
        <v>132</v>
      </c>
      <c r="T632" s="1" t="s">
        <v>13207</v>
      </c>
      <c r="U632" s="1" t="s">
        <v>13208</v>
      </c>
      <c r="V632" s="7" t="str">
        <f>IFERROR(__xludf.DUMMYFUNCTION("GOOGLETRANSLATE(C632, ""en"", ""ms"")"),"Nama pengguna sudah digunakan")</f>
        <v>Nama pengguna sudah digunakan</v>
      </c>
      <c r="W632" s="1" t="s">
        <v>13209</v>
      </c>
      <c r="X632" s="7" t="str">
        <f>IFERROR(__xludf.DUMMYFUNCTION("GOOGLETRANSLATE(C632, ""en"", ""no"")"),"Brukernavn allerede i bruk")</f>
        <v>Brukernavn allerede i bruk</v>
      </c>
      <c r="Y632" s="1" t="s">
        <v>13210</v>
      </c>
      <c r="Z632" s="1" t="s">
        <v>13211</v>
      </c>
      <c r="AA632" s="7" t="str">
        <f>IFERROR(__xludf.DUMMYFUNCTION("GOOGLETRANSLATE(C632, ""en"", ""ro"")"),"Numele de utilizator deja în uz")</f>
        <v>Numele de utilizator deja în uz</v>
      </c>
      <c r="AB632" s="1" t="s">
        <v>13212</v>
      </c>
      <c r="AC632" s="1" t="s">
        <v>13213</v>
      </c>
      <c r="AD632" s="6" t="s">
        <v>132</v>
      </c>
      <c r="AE632" s="1" t="s">
        <v>13214</v>
      </c>
      <c r="AF632" s="1" t="s">
        <v>13215</v>
      </c>
      <c r="AG632" s="6" t="s">
        <v>132</v>
      </c>
      <c r="AH632" s="7" t="str">
        <f>IFERROR(__xludf.DUMMYFUNCTION("GOOGLETRANSLATE(C632, ""en"", ""tr"")"),"Kullanıcı adı zaten kullanımda")</f>
        <v>Kullanıcı adı zaten kullanımda</v>
      </c>
      <c r="AI632" s="6" t="s">
        <v>13216</v>
      </c>
      <c r="AJ632" s="6" t="s">
        <v>13217</v>
      </c>
      <c r="AK632" s="7" t="str">
        <f>IFERROR(__xludf.DUMMYFUNCTION("GOOGLETRANSLATE(C632, ""en"", ""zh"")"),"用户名已在使用中")</f>
        <v>用户名已在使用中</v>
      </c>
      <c r="AL632" s="6" t="s">
        <v>13218</v>
      </c>
    </row>
    <row r="633" ht="15.75" hidden="1" customHeight="1">
      <c r="A633" s="1" t="s">
        <v>38</v>
      </c>
      <c r="B633" s="1" t="s">
        <v>13219</v>
      </c>
      <c r="C633" s="1" t="s">
        <v>13220</v>
      </c>
      <c r="D633" s="8" t="s">
        <v>13221</v>
      </c>
      <c r="E633" s="1" t="s">
        <v>13222</v>
      </c>
      <c r="F633" s="6" t="s">
        <v>13223</v>
      </c>
      <c r="G633" s="7" t="str">
        <f>IFERROR(__xludf.DUMMYFUNCTION("GOOGLETRANSLATE(C633, ""en"", ""cs"")"),"Na webových stránkách nebyla nalezena žádná žádost")</f>
        <v>Na webových stránkách nebyla nalezena žádná žádost</v>
      </c>
      <c r="H633" s="7" t="str">
        <f>IFERROR(__xludf.DUMMYFUNCTION("GOOGLETRANSLATE(C633, ""en"", ""da"")"),"Ingen ansøgning fundet for at åbne hjemmesiden")</f>
        <v>Ingen ansøgning fundet for at åbne hjemmesiden</v>
      </c>
      <c r="I633" s="1" t="s">
        <v>13224</v>
      </c>
      <c r="J633" s="6" t="s">
        <v>132</v>
      </c>
      <c r="K633" s="1" t="s">
        <v>13225</v>
      </c>
      <c r="L633" s="7" t="str">
        <f>IFERROR(__xludf.DUMMYFUNCTION("GOOGLETRANSLATE(C633, ""en"", ""fi"")"),"Ei sovellusta löydetty avaamaan verkkosivustoa")</f>
        <v>Ei sovellusta löydetty avaamaan verkkosivustoa</v>
      </c>
      <c r="M633" s="1" t="s">
        <v>13226</v>
      </c>
      <c r="N633" s="6" t="s">
        <v>13227</v>
      </c>
      <c r="O633" s="6" t="s">
        <v>132</v>
      </c>
      <c r="P633" s="1" t="s">
        <v>13228</v>
      </c>
      <c r="Q633" s="7" t="str">
        <f>IFERROR(__xludf.DUMMYFUNCTION("GOOGLETRANSLATE(C633, ""en"", ""in"")"),"Tidak ditemukan aplikasi untuk membuka situs web")</f>
        <v>Tidak ditemukan aplikasi untuk membuka situs web</v>
      </c>
      <c r="R633" s="1" t="s">
        <v>13229</v>
      </c>
      <c r="S633" s="6" t="s">
        <v>132</v>
      </c>
      <c r="T633" s="1" t="s">
        <v>13230</v>
      </c>
      <c r="U633" s="7" t="str">
        <f>IFERROR(__xludf.DUMMYFUNCTION("GOOGLETRANSLATE(C633, ""en"", ""ko"")"),"웹 사이트를 열려면 응용 프로그램이 없습니다")</f>
        <v>웹 사이트를 열려면 응용 프로그램이 없습니다</v>
      </c>
      <c r="V633" s="7" t="str">
        <f>IFERROR(__xludf.DUMMYFUNCTION("GOOGLETRANSLATE(C633, ""en"", ""ms"")"),"Tiada permohonan yang ditemui untuk membuka laman web")</f>
        <v>Tiada permohonan yang ditemui untuk membuka laman web</v>
      </c>
      <c r="W633" s="1" t="s">
        <v>13231</v>
      </c>
      <c r="X633" s="7" t="str">
        <f>IFERROR(__xludf.DUMMYFUNCTION("GOOGLETRANSLATE(C633, ""en"", ""no"")"),"Ingen søknad funnet å åpne nettstedet")</f>
        <v>Ingen søknad funnet å åpne nettstedet</v>
      </c>
      <c r="Y633" s="1" t="s">
        <v>13232</v>
      </c>
      <c r="Z633" s="7" t="str">
        <f>IFERROR(__xludf.DUMMYFUNCTION("GOOGLETRANSLATE(C633, ""en"", ""pt"")"),"Nenhum aplicativo encontrado para abrir o site")</f>
        <v>Nenhum aplicativo encontrado para abrir o site</v>
      </c>
      <c r="AA633" s="7" t="str">
        <f>IFERROR(__xludf.DUMMYFUNCTION("GOOGLETRANSLATE(C633, ""en"", ""ro"")"),"Nici o aplicație nu a fost găsită pe site-ul Web")</f>
        <v>Nici o aplicație nu a fost găsită pe site-ul Web</v>
      </c>
      <c r="AB633" s="1" t="s">
        <v>13233</v>
      </c>
      <c r="AC633" s="7" t="str">
        <f>IFERROR(__xludf.DUMMYFUNCTION("GOOGLETRANSLATE(C633, ""en"", ""sk"")"),"Žiadna aplikácia zistilo, že otvorí webovú stránku")</f>
        <v>Žiadna aplikácia zistilo, že otvorí webovú stránku</v>
      </c>
      <c r="AD633" s="6" t="s">
        <v>132</v>
      </c>
      <c r="AE633" s="1" t="s">
        <v>13234</v>
      </c>
      <c r="AF633" s="7" t="str">
        <f>IFERROR(__xludf.DUMMYFUNCTION("GOOGLETRANSLATE(C633, ""en"", ""sv"")"),"Ingen ansökan hittades för att öppna webbplatsen")</f>
        <v>Ingen ansökan hittades för att öppna webbplatsen</v>
      </c>
      <c r="AG633" s="6" t="s">
        <v>132</v>
      </c>
      <c r="AH633" s="7" t="str">
        <f>IFERROR(__xludf.DUMMYFUNCTION("GOOGLETRANSLATE(C633, ""en"", ""tr"")"),"Web sitesini açmak için hiçbir uygulama bulunamadı")</f>
        <v>Web sitesini açmak için hiçbir uygulama bulunamadı</v>
      </c>
      <c r="AI633" s="6" t="s">
        <v>13235</v>
      </c>
      <c r="AJ633" s="6" t="s">
        <v>132</v>
      </c>
      <c r="AK633" s="7" t="str">
        <f>IFERROR(__xludf.DUMMYFUNCTION("GOOGLETRANSLATE(C633, ""en"", ""zh"")"),"未找到申请开设网站")</f>
        <v>未找到申请开设网站</v>
      </c>
      <c r="AL633" s="6" t="s">
        <v>132</v>
      </c>
    </row>
    <row r="634" ht="15.75" customHeight="1">
      <c r="A634" s="1" t="s">
        <v>127</v>
      </c>
      <c r="B634" s="1" t="s">
        <v>13236</v>
      </c>
      <c r="C634" s="1" t="s">
        <v>13237</v>
      </c>
      <c r="D634" s="8" t="s">
        <v>13238</v>
      </c>
      <c r="E634" s="1" t="s">
        <v>13239</v>
      </c>
      <c r="F634" s="6" t="s">
        <v>132</v>
      </c>
      <c r="G634" s="1" t="s">
        <v>13240</v>
      </c>
      <c r="H634" s="1" t="s">
        <v>13241</v>
      </c>
      <c r="I634" s="1" t="s">
        <v>13242</v>
      </c>
      <c r="J634" s="6" t="s">
        <v>13243</v>
      </c>
      <c r="K634" s="1" t="s">
        <v>13244</v>
      </c>
      <c r="L634" s="1" t="s">
        <v>13245</v>
      </c>
      <c r="M634" s="1" t="s">
        <v>13246</v>
      </c>
      <c r="N634" s="6" t="s">
        <v>132</v>
      </c>
      <c r="O634" s="6" t="s">
        <v>13247</v>
      </c>
      <c r="P634" s="1" t="s">
        <v>13248</v>
      </c>
      <c r="Q634" s="1" t="s">
        <v>13249</v>
      </c>
      <c r="R634" s="1" t="s">
        <v>13250</v>
      </c>
      <c r="S634" s="6" t="s">
        <v>132</v>
      </c>
      <c r="T634" s="1" t="s">
        <v>13251</v>
      </c>
      <c r="U634" s="1" t="s">
        <v>13252</v>
      </c>
      <c r="V634" s="1" t="s">
        <v>13249</v>
      </c>
      <c r="W634" s="1" t="s">
        <v>13253</v>
      </c>
      <c r="X634" s="1" t="s">
        <v>13254</v>
      </c>
      <c r="Y634" s="1" t="s">
        <v>13255</v>
      </c>
      <c r="Z634" s="1" t="s">
        <v>13256</v>
      </c>
      <c r="AA634" s="1" t="s">
        <v>13257</v>
      </c>
      <c r="AB634" s="1" t="s">
        <v>13258</v>
      </c>
      <c r="AC634" s="1" t="s">
        <v>13259</v>
      </c>
      <c r="AD634" s="6" t="s">
        <v>13260</v>
      </c>
      <c r="AE634" s="1" t="s">
        <v>13261</v>
      </c>
      <c r="AF634" s="1" t="s">
        <v>13262</v>
      </c>
      <c r="AG634" s="6" t="s">
        <v>13263</v>
      </c>
      <c r="AH634" s="1" t="s">
        <v>13264</v>
      </c>
      <c r="AI634" s="6" t="s">
        <v>132</v>
      </c>
      <c r="AJ634" s="6" t="s">
        <v>13265</v>
      </c>
      <c r="AK634" s="1" t="s">
        <v>13266</v>
      </c>
      <c r="AL634" s="6" t="s">
        <v>13267</v>
      </c>
    </row>
    <row r="635" ht="15.75" customHeight="1">
      <c r="A635" s="1" t="s">
        <v>127</v>
      </c>
      <c r="B635" s="1" t="s">
        <v>13268</v>
      </c>
      <c r="C635" s="1" t="s">
        <v>13269</v>
      </c>
      <c r="D635" s="8" t="s">
        <v>13270</v>
      </c>
      <c r="E635" s="1" t="s">
        <v>13271</v>
      </c>
      <c r="F635" s="6" t="s">
        <v>132</v>
      </c>
      <c r="G635" s="1" t="s">
        <v>13272</v>
      </c>
      <c r="H635" s="1" t="s">
        <v>13273</v>
      </c>
      <c r="I635" s="1" t="s">
        <v>13274</v>
      </c>
      <c r="J635" s="6" t="s">
        <v>13275</v>
      </c>
      <c r="K635" s="1" t="s">
        <v>13276</v>
      </c>
      <c r="L635" s="1" t="s">
        <v>13277</v>
      </c>
      <c r="M635" s="1" t="s">
        <v>13278</v>
      </c>
      <c r="N635" s="6" t="s">
        <v>132</v>
      </c>
      <c r="O635" s="6" t="s">
        <v>13279</v>
      </c>
      <c r="P635" s="1" t="s">
        <v>13280</v>
      </c>
      <c r="Q635" s="1" t="s">
        <v>13281</v>
      </c>
      <c r="R635" s="1" t="s">
        <v>13282</v>
      </c>
      <c r="S635" s="6" t="s">
        <v>132</v>
      </c>
      <c r="T635" s="1" t="s">
        <v>13283</v>
      </c>
      <c r="U635" s="1" t="s">
        <v>13284</v>
      </c>
      <c r="V635" s="1" t="s">
        <v>13281</v>
      </c>
      <c r="W635" s="1" t="s">
        <v>13285</v>
      </c>
      <c r="X635" s="1" t="s">
        <v>13286</v>
      </c>
      <c r="Y635" s="1" t="s">
        <v>13287</v>
      </c>
      <c r="Z635" s="1" t="s">
        <v>13288</v>
      </c>
      <c r="AA635" s="1" t="s">
        <v>13289</v>
      </c>
      <c r="AB635" s="1" t="s">
        <v>13290</v>
      </c>
      <c r="AC635" s="1" t="s">
        <v>13291</v>
      </c>
      <c r="AD635" s="6" t="s">
        <v>13292</v>
      </c>
      <c r="AE635" s="1" t="s">
        <v>13293</v>
      </c>
      <c r="AF635" s="1" t="s">
        <v>13294</v>
      </c>
      <c r="AG635" s="6" t="s">
        <v>13295</v>
      </c>
      <c r="AH635" s="1" t="s">
        <v>13296</v>
      </c>
      <c r="AI635" s="6" t="s">
        <v>132</v>
      </c>
      <c r="AJ635" s="6" t="s">
        <v>13297</v>
      </c>
      <c r="AK635" s="1" t="s">
        <v>13298</v>
      </c>
      <c r="AL635" s="6" t="s">
        <v>132</v>
      </c>
    </row>
    <row r="636" ht="15.75" hidden="1" customHeight="1">
      <c r="A636" s="1" t="s">
        <v>38</v>
      </c>
      <c r="B636" s="1" t="s">
        <v>13299</v>
      </c>
      <c r="C636" s="1" t="s">
        <v>13300</v>
      </c>
      <c r="D636" s="7" t="str">
        <f>IFERROR(__xludf.DUMMYFUNCTION("GOOGLETRANSLATE(C636, ""en"", ""ar"")"),"الرجاء إدخال رقم التعريف الشخصي المكون من 6 أرقام أدناه.")</f>
        <v>الرجاء إدخال رقم التعريف الشخصي المكون من 6 أرقام أدناه.</v>
      </c>
      <c r="E636" s="1" t="s">
        <v>13301</v>
      </c>
      <c r="F636" s="6" t="s">
        <v>132</v>
      </c>
      <c r="G636" s="7" t="str">
        <f>IFERROR(__xludf.DUMMYFUNCTION("GOOGLETRANSLATE(C636, ""en"", ""cs"")"),"Zadejte prosím 6místný pin níže.")</f>
        <v>Zadejte prosím 6místný pin níže.</v>
      </c>
      <c r="H636" s="7" t="str">
        <f>IFERROR(__xludf.DUMMYFUNCTION("GOOGLETRANSLATE(C636, ""en"", ""da"")"),"Indtast venligst den 6-cifrede PIN-kode nedenfor.")</f>
        <v>Indtast venligst den 6-cifrede PIN-kode nedenfor.</v>
      </c>
      <c r="I636" s="1" t="s">
        <v>13302</v>
      </c>
      <c r="J636" s="6" t="s">
        <v>132</v>
      </c>
      <c r="K636" s="1" t="s">
        <v>13303</v>
      </c>
      <c r="L636" s="7" t="str">
        <f>IFERROR(__xludf.DUMMYFUNCTION("GOOGLETRANSLATE(C636, ""en"", ""fi"")"),"Anna alla oleva 6-numeroinen PIN-koodi.")</f>
        <v>Anna alla oleva 6-numeroinen PIN-koodi.</v>
      </c>
      <c r="M636" s="1" t="s">
        <v>13304</v>
      </c>
      <c r="N636" s="6" t="s">
        <v>13305</v>
      </c>
      <c r="O636" s="6" t="s">
        <v>132</v>
      </c>
      <c r="P636" s="1" t="s">
        <v>13306</v>
      </c>
      <c r="Q636" s="7" t="str">
        <f>IFERROR(__xludf.DUMMYFUNCTION("GOOGLETRANSLATE(C636, ""en"", ""in"")"),"Silakan masukkan pin 6 digit di bawah ini.")</f>
        <v>Silakan masukkan pin 6 digit di bawah ini.</v>
      </c>
      <c r="R636" s="1" t="s">
        <v>13307</v>
      </c>
      <c r="S636" s="6" t="s">
        <v>132</v>
      </c>
      <c r="T636" s="7" t="str">
        <f>IFERROR(__xludf.DUMMYFUNCTION("GOOGLETRANSLATE(C636, ""en"", ""ja"")"),"下の6桁のピンを入力してください。")</f>
        <v>下の6桁のピンを入力してください。</v>
      </c>
      <c r="U636" s="7" t="str">
        <f>IFERROR(__xludf.DUMMYFUNCTION("GOOGLETRANSLATE(C636, ""en"", ""ko"")"),"아래 6 자리 핀을 입력하십시오.")</f>
        <v>아래 6 자리 핀을 입력하십시오.</v>
      </c>
      <c r="V636" s="7" t="str">
        <f>IFERROR(__xludf.DUMMYFUNCTION("GOOGLETRANSLATE(C636, ""en"", ""ms"")"),"Sila masukkan PIN 6 digit di bawah.")</f>
        <v>Sila masukkan PIN 6 digit di bawah.</v>
      </c>
      <c r="W636" s="1" t="s">
        <v>13308</v>
      </c>
      <c r="X636" s="7" t="str">
        <f>IFERROR(__xludf.DUMMYFUNCTION("GOOGLETRANSLATE(C636, ""en"", ""no"")"),"Vennligst skriv inn den 6-sifrede PIN-koden nedenfor.")</f>
        <v>Vennligst skriv inn den 6-sifrede PIN-koden nedenfor.</v>
      </c>
      <c r="Y636" s="1" t="s">
        <v>13309</v>
      </c>
      <c r="Z636" s="7" t="str">
        <f>IFERROR(__xludf.DUMMYFUNCTION("GOOGLETRANSLATE(C636, ""en"", ""pt"")"),"Por favor, insira o pino de 6 dígitos abaixo.")</f>
        <v>Por favor, insira o pino de 6 dígitos abaixo.</v>
      </c>
      <c r="AA636" s="7" t="str">
        <f>IFERROR(__xludf.DUMMYFUNCTION("GOOGLETRANSLATE(C636, ""en"", ""ro"")"),"Introduceți codul de 6 cifre de mai jos.")</f>
        <v>Introduceți codul de 6 cifre de mai jos.</v>
      </c>
      <c r="AB636" s="7" t="str">
        <f>IFERROR(__xludf.DUMMYFUNCTION("GOOGLETRANSLATE(C636, ""en"", ""ru"")"),"Пожалуйста, введите 6-значный PIN-код ниже.")</f>
        <v>Пожалуйста, введите 6-значный PIN-код ниже.</v>
      </c>
      <c r="AC636" s="7" t="str">
        <f>IFERROR(__xludf.DUMMYFUNCTION("GOOGLETRANSLATE(C636, ""en"", ""sk"")"),"Zadajte nižšie 6-miestny pin.")</f>
        <v>Zadajte nižšie 6-miestny pin.</v>
      </c>
      <c r="AD636" s="6" t="s">
        <v>132</v>
      </c>
      <c r="AE636" s="7" t="str">
        <f>IFERROR(__xludf.DUMMYFUNCTION("GOOGLETRANSLATE(C636, ""en"", ""sr"")"),"Унесите 6-цифрени ПИН испод.")</f>
        <v>Унесите 6-цифрени ПИН испод.</v>
      </c>
      <c r="AF636" s="7" t="str">
        <f>IFERROR(__xludf.DUMMYFUNCTION("GOOGLETRANSLATE(C636, ""en"", ""sv"")"),"Vänligen ange den 6-siffriga PIN-koden nedan.")</f>
        <v>Vänligen ange den 6-siffriga PIN-koden nedan.</v>
      </c>
      <c r="AG636" s="6" t="s">
        <v>132</v>
      </c>
      <c r="AH636" s="7" t="str">
        <f>IFERROR(__xludf.DUMMYFUNCTION("GOOGLETRANSLATE(C636, ""en"", ""tr"")"),"Lütfen aşağıdaki 6 basamaklı pimi girin.")</f>
        <v>Lütfen aşağıdaki 6 basamaklı pimi girin.</v>
      </c>
      <c r="AI636" s="6" t="s">
        <v>132</v>
      </c>
      <c r="AJ636" s="6" t="s">
        <v>132</v>
      </c>
      <c r="AK636" s="7" t="str">
        <f>IFERROR(__xludf.DUMMYFUNCTION("GOOGLETRANSLATE(C636, ""en"", ""zh"")"),"请输入下面的6位数针。")</f>
        <v>请输入下面的6位数针。</v>
      </c>
      <c r="AL636" s="6" t="s">
        <v>132</v>
      </c>
    </row>
    <row r="637" ht="15.75" hidden="1" customHeight="1">
      <c r="A637" s="1" t="s">
        <v>38</v>
      </c>
      <c r="B637" s="1" t="s">
        <v>13310</v>
      </c>
      <c r="C637" s="1" t="s">
        <v>13311</v>
      </c>
      <c r="D637" s="7" t="str">
        <f>IFERROR(__xludf.DUMMYFUNCTION("GOOGLETRANSLATE(C637, ""en"", ""ar"")"),"مونتسيرات")</f>
        <v>مونتسيرات</v>
      </c>
      <c r="E637" s="7" t="str">
        <f>IFERROR(__xludf.DUMMYFUNCTION("GOOGLETRANSLATE(C637, ""en"", ""bg"")"),"Montserrat.")</f>
        <v>Montserrat.</v>
      </c>
      <c r="F637" s="6" t="s">
        <v>132</v>
      </c>
      <c r="G637" s="7" t="str">
        <f>IFERROR(__xludf.DUMMYFUNCTION("GOOGLETRANSLATE(C637, ""en"", ""cs"")"),"Montserrat.")</f>
        <v>Montserrat.</v>
      </c>
      <c r="H637" s="7" t="str">
        <f>IFERROR(__xludf.DUMMYFUNCTION("GOOGLETRANSLATE(C637, ""en"", ""da"")"),"Montserrat.")</f>
        <v>Montserrat.</v>
      </c>
      <c r="I637" s="1" t="s">
        <v>13311</v>
      </c>
      <c r="J637" s="6" t="s">
        <v>132</v>
      </c>
      <c r="K637" s="1" t="s">
        <v>13311</v>
      </c>
      <c r="L637" s="7" t="str">
        <f>IFERROR(__xludf.DUMMYFUNCTION("GOOGLETRANSLATE(C637, ""en"", ""fi"")"),"Montserrat")</f>
        <v>Montserrat</v>
      </c>
      <c r="M637" s="1" t="s">
        <v>13311</v>
      </c>
      <c r="N637" s="6" t="s">
        <v>132</v>
      </c>
      <c r="O637" s="6" t="s">
        <v>132</v>
      </c>
      <c r="P637" s="1" t="s">
        <v>13311</v>
      </c>
      <c r="Q637" s="7" t="str">
        <f>IFERROR(__xludf.DUMMYFUNCTION("GOOGLETRANSLATE(C637, ""en"", ""in"")"),"Montserrat.")</f>
        <v>Montserrat.</v>
      </c>
      <c r="R637" s="7" t="str">
        <f>IFERROR(__xludf.DUMMYFUNCTION("GOOGLETRANSLATE(C637, ""en"", ""it"")"),"Montserrat.")</f>
        <v>Montserrat.</v>
      </c>
      <c r="S637" s="6" t="s">
        <v>132</v>
      </c>
      <c r="T637" s="7" t="str">
        <f>IFERROR(__xludf.DUMMYFUNCTION("GOOGLETRANSLATE(C637, ""en"", ""ja"")"),"モントセラト")</f>
        <v>モントセラト</v>
      </c>
      <c r="U637" s="7" t="str">
        <f>IFERROR(__xludf.DUMMYFUNCTION("GOOGLETRANSLATE(C637, ""en"", ""ko"")"),"몬세 라트")</f>
        <v>몬세 라트</v>
      </c>
      <c r="V637" s="7" t="str">
        <f>IFERROR(__xludf.DUMMYFUNCTION("GOOGLETRANSLATE(C637, ""en"", ""ms"")"),"Montserrat")</f>
        <v>Montserrat</v>
      </c>
      <c r="W637" s="7" t="str">
        <f>IFERROR(__xludf.DUMMYFUNCTION("GOOGLETRANSLATE(C637, ""en"", ""nl"")"),"Montserrat")</f>
        <v>Montserrat</v>
      </c>
      <c r="X637" s="7" t="str">
        <f>IFERROR(__xludf.DUMMYFUNCTION("GOOGLETRANSLATE(C637, ""en"", ""no"")"),"Montserrat.")</f>
        <v>Montserrat.</v>
      </c>
      <c r="Y637" s="7" t="str">
        <f>IFERROR(__xludf.DUMMYFUNCTION("GOOGLETRANSLATE(C637, ""en"", ""pl"")"),"Montserrat.")</f>
        <v>Montserrat.</v>
      </c>
      <c r="Z637" s="7" t="str">
        <f>IFERROR(__xludf.DUMMYFUNCTION("GOOGLETRANSLATE(C637, ""en"", ""pt"")"),"Montserrat.")</f>
        <v>Montserrat.</v>
      </c>
      <c r="AA637" s="7" t="str">
        <f>IFERROR(__xludf.DUMMYFUNCTION("GOOGLETRANSLATE(C637, ""en"", ""ro"")"),"Montserrat.")</f>
        <v>Montserrat.</v>
      </c>
      <c r="AB637" s="1" t="s">
        <v>13312</v>
      </c>
      <c r="AC637" s="7" t="str">
        <f>IFERROR(__xludf.DUMMYFUNCTION("GOOGLETRANSLATE(C637, ""en"", ""sk"")"),"Montserrat")</f>
        <v>Montserrat</v>
      </c>
      <c r="AD637" s="6" t="s">
        <v>132</v>
      </c>
      <c r="AE637" s="1" t="s">
        <v>13313</v>
      </c>
      <c r="AF637" s="7" t="str">
        <f>IFERROR(__xludf.DUMMYFUNCTION("GOOGLETRANSLATE(C637, ""en"", ""sv"")"),"Montserrat")</f>
        <v>Montserrat</v>
      </c>
      <c r="AG637" s="6" t="s">
        <v>132</v>
      </c>
      <c r="AH637" s="7" t="str">
        <f>IFERROR(__xludf.DUMMYFUNCTION("GOOGLETRANSLATE(C637, ""en"", ""tr"")"),"Montserrat")</f>
        <v>Montserrat</v>
      </c>
      <c r="AI637" s="6" t="s">
        <v>132</v>
      </c>
      <c r="AJ637" s="6" t="s">
        <v>132</v>
      </c>
      <c r="AK637" s="7" t="str">
        <f>IFERROR(__xludf.DUMMYFUNCTION("GOOGLETRANSLATE(C637, ""en"", ""zh"")"),"蒙特塞拉特")</f>
        <v>蒙特塞拉特</v>
      </c>
      <c r="AL637" s="6" t="s">
        <v>132</v>
      </c>
    </row>
    <row r="638" ht="15.75" hidden="1" customHeight="1">
      <c r="A638" s="1" t="s">
        <v>38</v>
      </c>
      <c r="B638" s="1" t="s">
        <v>13314</v>
      </c>
      <c r="C638" s="1" t="s">
        <v>13315</v>
      </c>
      <c r="D638" s="7" t="str">
        <f>IFERROR(__xludf.DUMMYFUNCTION("GOOGLETRANSLATE(C638, ""en"", ""ar"")"),"يتم استخدام فئة الإخطار هذه لعرض إشعار في حالة وجود مشكلة في الاتصال بحساب.")</f>
        <v>يتم استخدام فئة الإخطار هذه لعرض إشعار في حالة وجود مشكلة في الاتصال بحساب.</v>
      </c>
      <c r="E638" s="1" t="s">
        <v>13316</v>
      </c>
      <c r="F638" s="6" t="s">
        <v>132</v>
      </c>
      <c r="G638" s="7" t="str">
        <f>IFERROR(__xludf.DUMMYFUNCTION("GOOGLETRANSLATE(C638, ""en"", ""cs"")"),"Tato kategorie oznámení slouží k zobrazení oznámení v případě, že je problém připojen k účtu.")</f>
        <v>Tato kategorie oznámení slouží k zobrazení oznámení v případě, že je problém připojen k účtu.</v>
      </c>
      <c r="H638" s="7" t="str">
        <f>IFERROR(__xludf.DUMMYFUNCTION("GOOGLETRANSLATE(C638, ""en"", ""da"")"),"Denne meddelelse kategori bruges til at vise en meddelelse, hvis der er et problem, der forbinder til en konto.")</f>
        <v>Denne meddelelse kategori bruges til at vise en meddelelse, hvis der er et problem, der forbinder til en konto.</v>
      </c>
      <c r="I638" s="1" t="s">
        <v>13317</v>
      </c>
      <c r="J638" s="6" t="s">
        <v>132</v>
      </c>
      <c r="K638" s="1" t="s">
        <v>13318</v>
      </c>
      <c r="L638" s="7" t="str">
        <f>IFERROR(__xludf.DUMMYFUNCTION("GOOGLETRANSLATE(C638, ""en"", ""fi"")"),"Tätä ilmoitusta varten käytetään ilmoituksen näyttämiseen, jos tilille on olemassa ongelma.")</f>
        <v>Tätä ilmoitusta varten käytetään ilmoituksen näyttämiseen, jos tilille on olemassa ongelma.</v>
      </c>
      <c r="M638" s="1" t="s">
        <v>13319</v>
      </c>
      <c r="N638" s="6" t="s">
        <v>13320</v>
      </c>
      <c r="O638" s="6" t="s">
        <v>132</v>
      </c>
      <c r="P638" s="1" t="s">
        <v>13321</v>
      </c>
      <c r="Q638" s="7" t="str">
        <f>IFERROR(__xludf.DUMMYFUNCTION("GOOGLETRANSLATE(C638, ""en"", ""in"")"),"Kategori pemberitahuan ini digunakan untuk menampilkan pemberitahuan jika ada masalah yang menghubungkan ke akun.")</f>
        <v>Kategori pemberitahuan ini digunakan untuk menampilkan pemberitahuan jika ada masalah yang menghubungkan ke akun.</v>
      </c>
      <c r="R638" s="1" t="s">
        <v>13322</v>
      </c>
      <c r="S638" s="6" t="s">
        <v>132</v>
      </c>
      <c r="T638" s="7" t="str">
        <f>IFERROR(__xludf.DUMMYFUNCTION("GOOGLETRANSLATE(C638, ""en"", ""ja"")"),"この通知カテゴリは、アカウントに接続する問題がある場合に備えて通知を表示するために使用されます。")</f>
        <v>この通知カテゴリは、アカウントに接続する問題がある場合に備えて通知を表示するために使用されます。</v>
      </c>
      <c r="U638" s="7" t="str">
        <f>IFERROR(__xludf.DUMMYFUNCTION("GOOGLETRANSLATE(C638, ""en"", ""ko"")"),"이 알림 범주는 계정에 연결하는 데 문제가있는 경우 알림을 표시하는 데 사용됩니다.")</f>
        <v>이 알림 범주는 계정에 연결하는 데 문제가있는 경우 알림을 표시하는 데 사용됩니다.</v>
      </c>
      <c r="V638" s="7" t="str">
        <f>IFERROR(__xludf.DUMMYFUNCTION("GOOGLETRANSLATE(C638, ""en"", ""ms"")"),"Kategori pemberitahuan ini digunakan untuk memaparkan pemberitahuan sekiranya terdapat masalah menyambung ke akaun.")</f>
        <v>Kategori pemberitahuan ini digunakan untuk memaparkan pemberitahuan sekiranya terdapat masalah menyambung ke akaun.</v>
      </c>
      <c r="W638" s="1" t="s">
        <v>13323</v>
      </c>
      <c r="X638" s="7" t="str">
        <f>IFERROR(__xludf.DUMMYFUNCTION("GOOGLETRANSLATE(C638, ""en"", ""no"")"),"Denne varslingskategorien brukes til å vise et varsel i tilfelle det er et problem å koble til en konto.")</f>
        <v>Denne varslingskategorien brukes til å vise et varsel i tilfelle det er et problem å koble til en konto.</v>
      </c>
      <c r="Y638" s="1" t="s">
        <v>13324</v>
      </c>
      <c r="Z638" s="7" t="str">
        <f>IFERROR(__xludf.DUMMYFUNCTION("GOOGLETRANSLATE(C638, ""en"", ""pt"")"),"Esta categoria de notificação é usada para exibir uma notificação caso haja um problema ao conectar a uma conta.")</f>
        <v>Esta categoria de notificação é usada para exibir uma notificação caso haja um problema ao conectar a uma conta.</v>
      </c>
      <c r="AA638" s="7" t="str">
        <f>IFERROR(__xludf.DUMMYFUNCTION("GOOGLETRANSLATE(C638, ""en"", ""ro"")"),"Această categorie de notificare este utilizată pentru a afișa o notificare în cazul în care există o problemă de conectare la un cont.")</f>
        <v>Această categorie de notificare este utilizată pentru a afișa o notificare în cazul în care există o problemă de conectare la un cont.</v>
      </c>
      <c r="AB638" s="7" t="str">
        <f>IFERROR(__xludf.DUMMYFUNCTION("GOOGLETRANSLATE(C638, ""en"", ""ru"")"),"Это категория уведомлений используется для отображения уведомления в случае, если есть проблема подключения к учетной записи.")</f>
        <v>Это категория уведомлений используется для отображения уведомления в случае, если есть проблема подключения к учетной записи.</v>
      </c>
      <c r="AC638" s="7" t="str">
        <f>IFERROR(__xludf.DUMMYFUNCTION("GOOGLETRANSLATE(C638, ""en"", ""sk"")"),"Táto kategória oznámení sa používa na zobrazenie oznámenia v prípade, že sa problém pripája k účtu.")</f>
        <v>Táto kategória oznámení sa používa na zobrazenie oznámenia v prípade, že sa problém pripája k účtu.</v>
      </c>
      <c r="AD638" s="6" t="s">
        <v>132</v>
      </c>
      <c r="AE638" s="7" t="str">
        <f>IFERROR(__xludf.DUMMYFUNCTION("GOOGLETRANSLATE(C638, ""en"", ""sr"")"),"Ова категорија обавештења користи се за приказивање обавештења у случају да постоји проблем који се повезује на рачун.")</f>
        <v>Ова категорија обавештења користи се за приказивање обавештења у случају да постоји проблем који се повезује на рачун.</v>
      </c>
      <c r="AF638" s="7" t="str">
        <f>IFERROR(__xludf.DUMMYFUNCTION("GOOGLETRANSLATE(C638, ""en"", ""sv"")"),"Denna anmälningskategori används för att visa en anmälan om det finns ett problem som ansluts till ett konto.")</f>
        <v>Denna anmälningskategori används för att visa en anmälan om det finns ett problem som ansluts till ett konto.</v>
      </c>
      <c r="AG638" s="6" t="s">
        <v>132</v>
      </c>
      <c r="AH638" s="7" t="str">
        <f>IFERROR(__xludf.DUMMYFUNCTION("GOOGLETRANSLATE(C638, ""en"", ""tr"")"),"Bu bildirim kategorisi, bir hesaba bağlanan bir sorun olması durumunda bir bildirim görüntülemek için kullanılır.")</f>
        <v>Bu bildirim kategorisi, bir hesaba bağlanan bir sorun olması durumunda bir bildirim görüntülemek için kullanılır.</v>
      </c>
      <c r="AI638" s="6" t="s">
        <v>132</v>
      </c>
      <c r="AJ638" s="6" t="s">
        <v>132</v>
      </c>
      <c r="AK638" s="7" t="str">
        <f>IFERROR(__xludf.DUMMYFUNCTION("GOOGLETRANSLATE(C638, ""en"", ""zh"")"),"此通知类别用于在连接到帐户时显示通知。")</f>
        <v>此通知类别用于在连接到帐户时显示通知。</v>
      </c>
      <c r="AL638" s="6" t="s">
        <v>132</v>
      </c>
    </row>
    <row r="639" ht="15.75" customHeight="1">
      <c r="A639" s="1" t="s">
        <v>127</v>
      </c>
      <c r="B639" s="1" t="s">
        <v>13325</v>
      </c>
      <c r="C639" s="1" t="s">
        <v>13326</v>
      </c>
      <c r="D639" s="8" t="s">
        <v>13327</v>
      </c>
      <c r="E639" s="1" t="s">
        <v>13328</v>
      </c>
      <c r="F639" s="6" t="s">
        <v>132</v>
      </c>
      <c r="G639" s="1" t="s">
        <v>13329</v>
      </c>
      <c r="H639" s="1" t="s">
        <v>13330</v>
      </c>
      <c r="I639" s="1" t="s">
        <v>13331</v>
      </c>
      <c r="J639" s="6" t="s">
        <v>13332</v>
      </c>
      <c r="K639" s="1" t="s">
        <v>13333</v>
      </c>
      <c r="L639" s="1" t="s">
        <v>13334</v>
      </c>
      <c r="M639" s="1" t="s">
        <v>13335</v>
      </c>
      <c r="N639" s="6" t="s">
        <v>132</v>
      </c>
      <c r="O639" s="6" t="s">
        <v>13336</v>
      </c>
      <c r="P639" s="1" t="s">
        <v>13337</v>
      </c>
      <c r="Q639" s="1" t="s">
        <v>13338</v>
      </c>
      <c r="R639" s="1" t="s">
        <v>13339</v>
      </c>
      <c r="S639" s="6" t="s">
        <v>132</v>
      </c>
      <c r="T639" s="1" t="s">
        <v>919</v>
      </c>
      <c r="U639" s="1" t="s">
        <v>13340</v>
      </c>
      <c r="V639" s="1" t="s">
        <v>13338</v>
      </c>
      <c r="W639" s="1" t="s">
        <v>13341</v>
      </c>
      <c r="X639" s="1" t="s">
        <v>13342</v>
      </c>
      <c r="Y639" s="1" t="s">
        <v>13326</v>
      </c>
      <c r="Z639" s="1" t="s">
        <v>13343</v>
      </c>
      <c r="AA639" s="1" t="s">
        <v>13344</v>
      </c>
      <c r="AB639" s="1" t="s">
        <v>13345</v>
      </c>
      <c r="AC639" s="1" t="s">
        <v>13346</v>
      </c>
      <c r="AD639" s="6" t="s">
        <v>13347</v>
      </c>
      <c r="AE639" s="1" t="s">
        <v>13326</v>
      </c>
      <c r="AF639" s="1" t="s">
        <v>13348</v>
      </c>
      <c r="AG639" s="6" t="s">
        <v>13349</v>
      </c>
      <c r="AH639" s="1" t="s">
        <v>13350</v>
      </c>
      <c r="AI639" s="6" t="s">
        <v>132</v>
      </c>
      <c r="AJ639" s="6" t="s">
        <v>13351</v>
      </c>
      <c r="AK639" s="1" t="s">
        <v>13352</v>
      </c>
      <c r="AL639" s="6" t="s">
        <v>132</v>
      </c>
    </row>
    <row r="640" ht="15.75" hidden="1" customHeight="1">
      <c r="A640" s="1" t="s">
        <v>38</v>
      </c>
      <c r="B640" s="1" t="s">
        <v>13353</v>
      </c>
      <c r="C640" s="1" t="s">
        <v>13354</v>
      </c>
      <c r="D640" s="7" t="str">
        <f>IFERROR(__xludf.DUMMYFUNCTION("GOOGLETRANSLATE(C640, ""en"", ""ar"")"),"تغيير حجم وصور الضغط")</f>
        <v>تغيير حجم وصور الضغط</v>
      </c>
      <c r="E640" s="1" t="s">
        <v>13355</v>
      </c>
      <c r="F640" s="6" t="s">
        <v>13356</v>
      </c>
      <c r="G640" s="7" t="str">
        <f>IFERROR(__xludf.DUMMYFUNCTION("GOOGLETRANSLATE(C640, ""en"", ""cs"")"),"Změňte velikost a komprimovat obrázky")</f>
        <v>Změňte velikost a komprimovat obrázky</v>
      </c>
      <c r="H640" s="7" t="str">
        <f>IFERROR(__xludf.DUMMYFUNCTION("GOOGLETRANSLATE(C640, ""en"", ""da"")"),"Ændre størrelse og komprimere billeder")</f>
        <v>Ændre størrelse og komprimere billeder</v>
      </c>
      <c r="I640" s="1" t="s">
        <v>13357</v>
      </c>
      <c r="J640" s="6" t="s">
        <v>132</v>
      </c>
      <c r="K640" s="1" t="s">
        <v>13358</v>
      </c>
      <c r="L640" s="7" t="str">
        <f>IFERROR(__xludf.DUMMYFUNCTION("GOOGLETRANSLATE(C640, ""en"", ""fi"")"),"Muuta ja pakkaa kuvia")</f>
        <v>Muuta ja pakkaa kuvia</v>
      </c>
      <c r="M640" s="1" t="s">
        <v>13359</v>
      </c>
      <c r="N640" s="6" t="s">
        <v>13360</v>
      </c>
      <c r="O640" s="6" t="s">
        <v>132</v>
      </c>
      <c r="P640" s="1" t="s">
        <v>13361</v>
      </c>
      <c r="Q640" s="7" t="str">
        <f>IFERROR(__xludf.DUMMYFUNCTION("GOOGLETRANSLATE(C640, ""en"", ""in"")"),"Ubah ukuran dan kompres gambar")</f>
        <v>Ubah ukuran dan kompres gambar</v>
      </c>
      <c r="R640" s="1" t="s">
        <v>13362</v>
      </c>
      <c r="S640" s="6" t="s">
        <v>132</v>
      </c>
      <c r="T640" s="7" t="str">
        <f>IFERROR(__xludf.DUMMYFUNCTION("GOOGLETRANSLATE(C640, ""en"", ""ja"")"),"画像のサイズを変更して圧縮します")</f>
        <v>画像のサイズを変更して圧縮します</v>
      </c>
      <c r="U640" s="7" t="str">
        <f>IFERROR(__xludf.DUMMYFUNCTION("GOOGLETRANSLATE(C640, ""en"", ""ko"")"),"이미지의 크기를 조정하고 압축하십시오")</f>
        <v>이미지의 크기를 조정하고 압축하십시오</v>
      </c>
      <c r="V640" s="7" t="str">
        <f>IFERROR(__xludf.DUMMYFUNCTION("GOOGLETRANSLATE(C640, ""en"", ""ms"")"),"Ubah saiz dan memampatkan imej")</f>
        <v>Ubah saiz dan memampatkan imej</v>
      </c>
      <c r="W640" s="1" t="s">
        <v>13363</v>
      </c>
      <c r="X640" s="7" t="str">
        <f>IFERROR(__xludf.DUMMYFUNCTION("GOOGLETRANSLATE(C640, ""en"", ""no"")"),"Endre størrelse og komprimere bilder")</f>
        <v>Endre størrelse og komprimere bilder</v>
      </c>
      <c r="Y640" s="1" t="s">
        <v>13364</v>
      </c>
      <c r="Z640" s="7" t="str">
        <f>IFERROR(__xludf.DUMMYFUNCTION("GOOGLETRANSLATE(C640, ""en"", ""pt"")"),"Redimensione e comprima imagens")</f>
        <v>Redimensione e comprima imagens</v>
      </c>
      <c r="AA640" s="7" t="str">
        <f>IFERROR(__xludf.DUMMYFUNCTION("GOOGLETRANSLATE(C640, ""en"", ""ro"")"),"Redimensionați și comprimați imaginile")</f>
        <v>Redimensionați și comprimați imaginile</v>
      </c>
      <c r="AB640" s="7" t="str">
        <f>IFERROR(__xludf.DUMMYFUNCTION("GOOGLETRANSLATE(C640, ""en"", ""ru"")"),"Изменить размер и сжать изображения")</f>
        <v>Изменить размер и сжать изображения</v>
      </c>
      <c r="AC640" s="7" t="str">
        <f>IFERROR(__xludf.DUMMYFUNCTION("GOOGLETRANSLATE(C640, ""en"", ""sk"")"),"Zmena veľkosti a komprimovania obrázkov")</f>
        <v>Zmena veľkosti a komprimovania obrázkov</v>
      </c>
      <c r="AD640" s="6" t="s">
        <v>132</v>
      </c>
      <c r="AE640" s="7" t="str">
        <f>IFERROR(__xludf.DUMMYFUNCTION("GOOGLETRANSLATE(C640, ""en"", ""sr"")"),"Промените и компримирајте слике")</f>
        <v>Промените и компримирајте слике</v>
      </c>
      <c r="AF640" s="7" t="str">
        <f>IFERROR(__xludf.DUMMYFUNCTION("GOOGLETRANSLATE(C640, ""en"", ""sv"")"),"Ändra storlek och komprimera bilder")</f>
        <v>Ändra storlek och komprimera bilder</v>
      </c>
      <c r="AG640" s="6" t="s">
        <v>132</v>
      </c>
      <c r="AH640" s="7" t="str">
        <f>IFERROR(__xludf.DUMMYFUNCTION("GOOGLETRANSLATE(C640, ""en"", ""tr"")"),"Görüntüleri yeniden boyutlandırın ve sıkıştırın")</f>
        <v>Görüntüleri yeniden boyutlandırın ve sıkıştırın</v>
      </c>
      <c r="AI640" s="6" t="s">
        <v>132</v>
      </c>
      <c r="AJ640" s="6" t="s">
        <v>132</v>
      </c>
      <c r="AK640" s="7" t="str">
        <f>IFERROR(__xludf.DUMMYFUNCTION("GOOGLETRANSLATE(C640, ""en"", ""zh"")"),"调整大小和压缩图像")</f>
        <v>调整大小和压缩图像</v>
      </c>
      <c r="AL640" s="6" t="s">
        <v>132</v>
      </c>
    </row>
    <row r="641" ht="15.75" customHeight="1">
      <c r="A641" s="1" t="s">
        <v>127</v>
      </c>
      <c r="B641" s="1" t="s">
        <v>13365</v>
      </c>
      <c r="C641" s="1" t="s">
        <v>13366</v>
      </c>
      <c r="D641" s="8" t="s">
        <v>13367</v>
      </c>
      <c r="E641" s="1" t="s">
        <v>13368</v>
      </c>
      <c r="F641" s="6" t="s">
        <v>132</v>
      </c>
      <c r="G641" s="1" t="s">
        <v>13369</v>
      </c>
      <c r="H641" s="1" t="s">
        <v>13370</v>
      </c>
      <c r="I641" s="1" t="s">
        <v>13371</v>
      </c>
      <c r="J641" s="6" t="s">
        <v>13372</v>
      </c>
      <c r="K641" s="1" t="s">
        <v>13373</v>
      </c>
      <c r="L641" s="1" t="s">
        <v>13374</v>
      </c>
      <c r="M641" s="1" t="s">
        <v>13375</v>
      </c>
      <c r="N641" s="6" t="s">
        <v>132</v>
      </c>
      <c r="O641" s="6" t="s">
        <v>13376</v>
      </c>
      <c r="P641" s="1" t="s">
        <v>13377</v>
      </c>
      <c r="Q641" s="1" t="s">
        <v>13378</v>
      </c>
      <c r="R641" s="1" t="s">
        <v>13379</v>
      </c>
      <c r="S641" s="6" t="s">
        <v>132</v>
      </c>
      <c r="T641" s="1" t="s">
        <v>13380</v>
      </c>
      <c r="U641" s="1" t="s">
        <v>13381</v>
      </c>
      <c r="V641" s="1" t="s">
        <v>13382</v>
      </c>
      <c r="W641" s="1" t="s">
        <v>13383</v>
      </c>
      <c r="X641" s="1" t="s">
        <v>13384</v>
      </c>
      <c r="Y641" s="1" t="s">
        <v>13385</v>
      </c>
      <c r="Z641" s="1" t="s">
        <v>13386</v>
      </c>
      <c r="AA641" s="1" t="s">
        <v>13387</v>
      </c>
      <c r="AB641" s="1" t="s">
        <v>13388</v>
      </c>
      <c r="AC641" s="1" t="s">
        <v>13389</v>
      </c>
      <c r="AD641" s="6" t="s">
        <v>13390</v>
      </c>
      <c r="AE641" s="1" t="s">
        <v>13391</v>
      </c>
      <c r="AF641" s="1" t="s">
        <v>13392</v>
      </c>
      <c r="AG641" s="6" t="s">
        <v>13393</v>
      </c>
      <c r="AH641" s="1" t="s">
        <v>13394</v>
      </c>
      <c r="AI641" s="6" t="s">
        <v>132</v>
      </c>
      <c r="AJ641" s="6" t="s">
        <v>13395</v>
      </c>
      <c r="AK641" s="1" t="s">
        <v>13396</v>
      </c>
      <c r="AL641" s="6" t="s">
        <v>132</v>
      </c>
    </row>
    <row r="642" ht="15.75" customHeight="1">
      <c r="A642" s="1" t="s">
        <v>127</v>
      </c>
      <c r="B642" s="1" t="s">
        <v>13397</v>
      </c>
      <c r="C642" s="12" t="s">
        <v>132</v>
      </c>
      <c r="D642" s="7" t="str">
        <f>IFERROR(__xludf.DUMMYFUNCTION("GOOGLETRANSLATE(C642, ""en"", ""ar"")"),"#VALUE!")</f>
        <v>#VALUE!</v>
      </c>
      <c r="E642" s="1" t="s">
        <v>13398</v>
      </c>
      <c r="F642" s="6" t="s">
        <v>132</v>
      </c>
      <c r="G642" s="1" t="s">
        <v>13399</v>
      </c>
      <c r="H642" s="1" t="s">
        <v>13400</v>
      </c>
      <c r="I642" s="7" t="str">
        <f>IFERROR(__xludf.DUMMYFUNCTION("GOOGLETRANSLATE(C642, ""en"", ""de"")"),"#VALUE!")</f>
        <v>#VALUE!</v>
      </c>
      <c r="J642" s="6" t="s">
        <v>13401</v>
      </c>
      <c r="K642" s="7" t="str">
        <f>IFERROR(__xludf.DUMMYFUNCTION("GOOGLETRANSLATE(C642, ""en"", ""es"")"),"#VALUE!")</f>
        <v>#VALUE!</v>
      </c>
      <c r="L642" s="1" t="s">
        <v>13402</v>
      </c>
      <c r="M642" s="7" t="str">
        <f>IFERROR(__xludf.DUMMYFUNCTION("GOOGLETRANSLATE(C642, ""en"", ""fr"")"),"#VALUE!")</f>
        <v>#VALUE!</v>
      </c>
      <c r="N642" s="6" t="s">
        <v>132</v>
      </c>
      <c r="O642" s="6" t="s">
        <v>132</v>
      </c>
      <c r="P642" s="7" t="str">
        <f>IFERROR(__xludf.DUMMYFUNCTION("GOOGLETRANSLATE(C642, ""en"", ""hu"")"),"#VALUE!")</f>
        <v>#VALUE!</v>
      </c>
      <c r="Q642" s="7" t="str">
        <f>IFERROR(__xludf.DUMMYFUNCTION("GOOGLETRANSLATE(C642, ""en"", ""in"")"),"#VALUE!")</f>
        <v>#VALUE!</v>
      </c>
      <c r="R642" s="7" t="str">
        <f>IFERROR(__xludf.DUMMYFUNCTION("GOOGLETRANSLATE(C642, ""en"", ""it"")"),"#VALUE!")</f>
        <v>#VALUE!</v>
      </c>
      <c r="S642" s="6" t="s">
        <v>132</v>
      </c>
      <c r="T642" s="7" t="str">
        <f>IFERROR(__xludf.DUMMYFUNCTION("GOOGLETRANSLATE(C642, ""en"", ""ja"")"),"#VALUE!")</f>
        <v>#VALUE!</v>
      </c>
      <c r="U642" s="7" t="str">
        <f>IFERROR(__xludf.DUMMYFUNCTION("GOOGLETRANSLATE(C642, ""en"", ""ko"")"),"#VALUE!")</f>
        <v>#VALUE!</v>
      </c>
      <c r="V642" s="7" t="str">
        <f>IFERROR(__xludf.DUMMYFUNCTION("GOOGLETRANSLATE(C642, ""en"", ""ms"")"),"#VALUE!")</f>
        <v>#VALUE!</v>
      </c>
      <c r="W642" s="7" t="str">
        <f>IFERROR(__xludf.DUMMYFUNCTION("GOOGLETRANSLATE(C642, ""en"", ""nl"")"),"#VALUE!")</f>
        <v>#VALUE!</v>
      </c>
      <c r="X642" s="1" t="s">
        <v>13403</v>
      </c>
      <c r="Y642" s="7" t="str">
        <f>IFERROR(__xludf.DUMMYFUNCTION("GOOGLETRANSLATE(C642, ""en"", ""pl"")"),"#VALUE!")</f>
        <v>#VALUE!</v>
      </c>
      <c r="Z642" s="7" t="str">
        <f>IFERROR(__xludf.DUMMYFUNCTION("GOOGLETRANSLATE(C642, ""en"", ""pt"")"),"#VALUE!")</f>
        <v>#VALUE!</v>
      </c>
      <c r="AA642" s="7" t="str">
        <f>IFERROR(__xludf.DUMMYFUNCTION("GOOGLETRANSLATE(C642, ""en"", ""ro"")"),"#VALUE!")</f>
        <v>#VALUE!</v>
      </c>
      <c r="AB642" s="7" t="str">
        <f>IFERROR(__xludf.DUMMYFUNCTION("GOOGLETRANSLATE(C642, ""en"", ""ru"")"),"#VALUE!")</f>
        <v>#VALUE!</v>
      </c>
      <c r="AC642" s="1" t="s">
        <v>13404</v>
      </c>
      <c r="AD642" s="6" t="s">
        <v>13405</v>
      </c>
      <c r="AE642" s="7" t="str">
        <f>IFERROR(__xludf.DUMMYFUNCTION("GOOGLETRANSLATE(C642, ""en"", ""sr"")"),"#VALUE!")</f>
        <v>#VALUE!</v>
      </c>
      <c r="AF642" s="7" t="str">
        <f>IFERROR(__xludf.DUMMYFUNCTION("GOOGLETRANSLATE(C642, ""en"", ""sv"")"),"#VALUE!")</f>
        <v>#VALUE!</v>
      </c>
      <c r="AG642" s="6" t="s">
        <v>132</v>
      </c>
      <c r="AH642" s="7" t="str">
        <f>IFERROR(__xludf.DUMMYFUNCTION("GOOGLETRANSLATE(C642, ""en"", ""tr"")"),"#VALUE!")</f>
        <v>#VALUE!</v>
      </c>
      <c r="AI642" s="6" t="s">
        <v>132</v>
      </c>
      <c r="AJ642" s="6" t="s">
        <v>132</v>
      </c>
      <c r="AK642" s="7" t="str">
        <f>IFERROR(__xludf.DUMMYFUNCTION("GOOGLETRANSLATE(C642, ""en"", ""zh"")"),"#VALUE!")</f>
        <v>#VALUE!</v>
      </c>
      <c r="AL642" s="6" t="s">
        <v>132</v>
      </c>
    </row>
    <row r="643" ht="15.75" customHeight="1">
      <c r="A643" s="1" t="s">
        <v>127</v>
      </c>
      <c r="B643" s="1" t="s">
        <v>13406</v>
      </c>
      <c r="C643" s="1" t="s">
        <v>13407</v>
      </c>
      <c r="D643" s="8" t="s">
        <v>13408</v>
      </c>
      <c r="E643" s="1" t="s">
        <v>13409</v>
      </c>
      <c r="F643" s="6" t="s">
        <v>132</v>
      </c>
      <c r="G643" s="1" t="s">
        <v>13410</v>
      </c>
      <c r="H643" s="1" t="s">
        <v>13411</v>
      </c>
      <c r="I643" s="1" t="s">
        <v>13412</v>
      </c>
      <c r="J643" s="6" t="s">
        <v>13413</v>
      </c>
      <c r="K643" s="1" t="s">
        <v>13414</v>
      </c>
      <c r="L643" s="1" t="s">
        <v>13415</v>
      </c>
      <c r="M643" s="1" t="s">
        <v>4757</v>
      </c>
      <c r="N643" s="6" t="s">
        <v>132</v>
      </c>
      <c r="O643" s="6" t="s">
        <v>13416</v>
      </c>
      <c r="P643" s="1" t="s">
        <v>13417</v>
      </c>
      <c r="Q643" s="1" t="s">
        <v>13418</v>
      </c>
      <c r="R643" s="1" t="s">
        <v>13419</v>
      </c>
      <c r="S643" s="6" t="s">
        <v>132</v>
      </c>
      <c r="T643" s="1" t="s">
        <v>13420</v>
      </c>
      <c r="U643" s="1" t="s">
        <v>13421</v>
      </c>
      <c r="V643" s="1" t="s">
        <v>13422</v>
      </c>
      <c r="W643" s="1" t="s">
        <v>13423</v>
      </c>
      <c r="X643" s="1" t="s">
        <v>13424</v>
      </c>
      <c r="Y643" s="1" t="s">
        <v>13425</v>
      </c>
      <c r="Z643" s="1" t="s">
        <v>13426</v>
      </c>
      <c r="AA643" s="1" t="s">
        <v>13427</v>
      </c>
      <c r="AB643" s="1" t="s">
        <v>13428</v>
      </c>
      <c r="AC643" s="1" t="s">
        <v>13429</v>
      </c>
      <c r="AD643" s="6" t="s">
        <v>13430</v>
      </c>
      <c r="AE643" s="1" t="s">
        <v>13431</v>
      </c>
      <c r="AF643" s="1" t="s">
        <v>13432</v>
      </c>
      <c r="AG643" s="6" t="s">
        <v>13433</v>
      </c>
      <c r="AH643" s="1" t="s">
        <v>13434</v>
      </c>
      <c r="AI643" s="6" t="s">
        <v>132</v>
      </c>
      <c r="AJ643" s="6" t="s">
        <v>13435</v>
      </c>
      <c r="AK643" s="1" t="s">
        <v>13436</v>
      </c>
      <c r="AL643" s="6" t="s">
        <v>13437</v>
      </c>
    </row>
    <row r="644" ht="15.75" hidden="1" customHeight="1">
      <c r="A644" s="1" t="s">
        <v>38</v>
      </c>
      <c r="B644" s="1" t="s">
        <v>13438</v>
      </c>
      <c r="C644" s="1" t="s">
        <v>13439</v>
      </c>
      <c r="D644" s="8" t="s">
        <v>13440</v>
      </c>
      <c r="E644" s="1" t="s">
        <v>13441</v>
      </c>
      <c r="F644" s="6" t="s">
        <v>13442</v>
      </c>
      <c r="G644" s="7" t="str">
        <f>IFERROR(__xludf.DUMMYFUNCTION("GOOGLETRANSLATE(C644, ""en"", ""cs"")"),"Povolit klidné hodiny")</f>
        <v>Povolit klidné hodiny</v>
      </c>
      <c r="H644" s="7" t="str">
        <f>IFERROR(__xludf.DUMMYFUNCTION("GOOGLETRANSLATE(C644, ""en"", ""da"")"),"Aktivér stille timer")</f>
        <v>Aktivér stille timer</v>
      </c>
      <c r="I644" s="1" t="s">
        <v>13443</v>
      </c>
      <c r="J644" s="6" t="s">
        <v>132</v>
      </c>
      <c r="K644" s="1" t="s">
        <v>13444</v>
      </c>
      <c r="L644" s="7" t="str">
        <f>IFERROR(__xludf.DUMMYFUNCTION("GOOGLETRANSLATE(C644, ""en"", ""fi"")"),"Ota hiljainen tuntia")</f>
        <v>Ota hiljainen tuntia</v>
      </c>
      <c r="M644" s="1" t="s">
        <v>13445</v>
      </c>
      <c r="N644" s="6" t="s">
        <v>13446</v>
      </c>
      <c r="O644" s="6" t="s">
        <v>132</v>
      </c>
      <c r="P644" s="1" t="s">
        <v>13447</v>
      </c>
      <c r="Q644" s="9" t="s">
        <v>13448</v>
      </c>
      <c r="R644" s="1" t="s">
        <v>13449</v>
      </c>
      <c r="S644" s="6" t="s">
        <v>132</v>
      </c>
      <c r="T644" s="1" t="s">
        <v>13450</v>
      </c>
      <c r="U644" s="1" t="s">
        <v>13451</v>
      </c>
      <c r="V644" s="7" t="str">
        <f>IFERROR(__xludf.DUMMYFUNCTION("GOOGLETRANSLATE(C644, ""en"", ""ms"")"),"Dayakan jam yang tenang")</f>
        <v>Dayakan jam yang tenang</v>
      </c>
      <c r="W644" s="1" t="s">
        <v>13452</v>
      </c>
      <c r="X644" s="7" t="str">
        <f>IFERROR(__xludf.DUMMYFUNCTION("GOOGLETRANSLATE(C644, ""en"", ""no"")"),"Aktivere stille timer")</f>
        <v>Aktivere stille timer</v>
      </c>
      <c r="Y644" s="1" t="s">
        <v>13453</v>
      </c>
      <c r="Z644" s="1" t="s">
        <v>13454</v>
      </c>
      <c r="AA644" s="7" t="str">
        <f>IFERROR(__xludf.DUMMYFUNCTION("GOOGLETRANSLATE(C644, ""en"", ""ro"")"),"Activați orele liniștite")</f>
        <v>Activați orele liniștite</v>
      </c>
      <c r="AB644" s="1" t="s">
        <v>13455</v>
      </c>
      <c r="AC644" s="1" t="s">
        <v>13456</v>
      </c>
      <c r="AD644" s="6" t="s">
        <v>132</v>
      </c>
      <c r="AE644" s="1" t="s">
        <v>13457</v>
      </c>
      <c r="AF644" s="1" t="s">
        <v>13458</v>
      </c>
      <c r="AG644" s="6" t="s">
        <v>132</v>
      </c>
      <c r="AH644" s="7" t="str">
        <f>IFERROR(__xludf.DUMMYFUNCTION("GOOGLETRANSLATE(C644, ""en"", ""tr"")"),"Sessiz saatleri etkinleştir")</f>
        <v>Sessiz saatleri etkinleştir</v>
      </c>
      <c r="AI644" s="6" t="s">
        <v>13459</v>
      </c>
      <c r="AJ644" s="6" t="s">
        <v>13460</v>
      </c>
      <c r="AK644" s="7" t="str">
        <f>IFERROR(__xludf.DUMMYFUNCTION("GOOGLETRANSLATE(C644, ""en"", ""zh"")"),"允许安静的时间")</f>
        <v>允许安静的时间</v>
      </c>
      <c r="AL644" s="6" t="s">
        <v>13461</v>
      </c>
    </row>
    <row r="645" ht="15.75" hidden="1" customHeight="1">
      <c r="A645" s="1" t="s">
        <v>38</v>
      </c>
      <c r="B645" s="1" t="s">
        <v>13462</v>
      </c>
      <c r="C645" s="1" t="s">
        <v>13463</v>
      </c>
      <c r="D645" s="8" t="s">
        <v>13464</v>
      </c>
      <c r="E645" s="1" t="s">
        <v>13465</v>
      </c>
      <c r="F645" s="6" t="s">
        <v>13466</v>
      </c>
      <c r="G645" s="7" t="str">
        <f>IFERROR(__xludf.DUMMYFUNCTION("GOOGLETRANSLATE(C645, ""en"", ""cs"")"),"Právě teď")</f>
        <v>Právě teď</v>
      </c>
      <c r="H645" s="7" t="str">
        <f>IFERROR(__xludf.DUMMYFUNCTION("GOOGLETRANSLATE(C645, ""en"", ""da"")"),"online lige nu")</f>
        <v>online lige nu</v>
      </c>
      <c r="I645" s="1" t="s">
        <v>13467</v>
      </c>
      <c r="J645" s="6" t="s">
        <v>132</v>
      </c>
      <c r="K645" s="1" t="s">
        <v>13468</v>
      </c>
      <c r="L645" s="7" t="str">
        <f>IFERROR(__xludf.DUMMYFUNCTION("GOOGLETRANSLATE(C645, ""en"", ""fi"")"),"Online juuri nyt")</f>
        <v>Online juuri nyt</v>
      </c>
      <c r="M645" s="1" t="s">
        <v>13469</v>
      </c>
      <c r="N645" s="6" t="s">
        <v>13470</v>
      </c>
      <c r="O645" s="6" t="s">
        <v>132</v>
      </c>
      <c r="P645" s="1" t="s">
        <v>13471</v>
      </c>
      <c r="Q645" s="7" t="str">
        <f>IFERROR(__xludf.DUMMYFUNCTION("GOOGLETRANSLATE(C645, ""en"", ""in"")"),"online sekarang")</f>
        <v>online sekarang</v>
      </c>
      <c r="R645" s="1" t="s">
        <v>13472</v>
      </c>
      <c r="S645" s="6" t="s">
        <v>132</v>
      </c>
      <c r="T645" s="1" t="s">
        <v>13473</v>
      </c>
      <c r="U645" s="7" t="str">
        <f>IFERROR(__xludf.DUMMYFUNCTION("GOOGLETRANSLATE(C645, ""en"", ""ko"")"),"온라인 지금")</f>
        <v>온라인 지금</v>
      </c>
      <c r="V645" s="7" t="str">
        <f>IFERROR(__xludf.DUMMYFUNCTION("GOOGLETRANSLATE(C645, ""en"", ""ms"")"),"dalam talian sekarang")</f>
        <v>dalam talian sekarang</v>
      </c>
      <c r="W645" s="1" t="s">
        <v>13474</v>
      </c>
      <c r="X645" s="7" t="str">
        <f>IFERROR(__xludf.DUMMYFUNCTION("GOOGLETRANSLATE(C645, ""en"", ""no"")"),"online akkurat nå")</f>
        <v>online akkurat nå</v>
      </c>
      <c r="Y645" s="1" t="s">
        <v>13475</v>
      </c>
      <c r="Z645" s="7" t="str">
        <f>IFERROR(__xludf.DUMMYFUNCTION("GOOGLETRANSLATE(C645, ""en"", ""pt"")"),"Online agora")</f>
        <v>Online agora</v>
      </c>
      <c r="AA645" s="7" t="str">
        <f>IFERROR(__xludf.DUMMYFUNCTION("GOOGLETRANSLATE(C645, ""en"", ""ro"")"),"chiar acum")</f>
        <v>chiar acum</v>
      </c>
      <c r="AB645" s="1" t="s">
        <v>13476</v>
      </c>
      <c r="AC645" s="7" t="str">
        <f>IFERROR(__xludf.DUMMYFUNCTION("GOOGLETRANSLATE(C645, ""en"", ""sk"")"),"online práve teraz")</f>
        <v>online práve teraz</v>
      </c>
      <c r="AD645" s="6" t="s">
        <v>132</v>
      </c>
      <c r="AE645" s="1" t="s">
        <v>13477</v>
      </c>
      <c r="AF645" s="1" t="s">
        <v>13478</v>
      </c>
      <c r="AG645" s="6" t="s">
        <v>132</v>
      </c>
      <c r="AH645" s="7" t="str">
        <f>IFERROR(__xludf.DUMMYFUNCTION("GOOGLETRANSLATE(C645, ""en"", ""tr"")"),"Şu anda çevrimiçi")</f>
        <v>Şu anda çevrimiçi</v>
      </c>
      <c r="AI645" s="6" t="s">
        <v>13479</v>
      </c>
      <c r="AJ645" s="6" t="s">
        <v>132</v>
      </c>
      <c r="AK645" s="7" t="str">
        <f>IFERROR(__xludf.DUMMYFUNCTION("GOOGLETRANSLATE(C645, ""en"", ""zh"")"),"现在在线")</f>
        <v>现在在线</v>
      </c>
      <c r="AL645" s="6" t="s">
        <v>13480</v>
      </c>
    </row>
    <row r="646" ht="15.75" customHeight="1">
      <c r="A646" s="1" t="s">
        <v>127</v>
      </c>
      <c r="B646" s="1" t="s">
        <v>13481</v>
      </c>
      <c r="C646" s="1" t="s">
        <v>12004</v>
      </c>
      <c r="D646" s="8" t="s">
        <v>12005</v>
      </c>
      <c r="E646" s="1" t="s">
        <v>12006</v>
      </c>
      <c r="F646" s="6" t="s">
        <v>132</v>
      </c>
      <c r="G646" s="1" t="s">
        <v>12007</v>
      </c>
      <c r="H646" s="1" t="s">
        <v>12008</v>
      </c>
      <c r="I646" s="1" t="s">
        <v>12004</v>
      </c>
      <c r="J646" s="6" t="s">
        <v>13482</v>
      </c>
      <c r="K646" s="1" t="s">
        <v>12004</v>
      </c>
      <c r="L646" s="1" t="s">
        <v>12010</v>
      </c>
      <c r="M646" s="1" t="s">
        <v>12011</v>
      </c>
      <c r="N646" s="6" t="s">
        <v>132</v>
      </c>
      <c r="O646" s="6" t="s">
        <v>12012</v>
      </c>
      <c r="P646" s="1" t="s">
        <v>12004</v>
      </c>
      <c r="Q646" s="1" t="s">
        <v>12013</v>
      </c>
      <c r="R646" s="1" t="s">
        <v>12004</v>
      </c>
      <c r="S646" s="6" t="s">
        <v>132</v>
      </c>
      <c r="T646" s="1" t="s">
        <v>12015</v>
      </c>
      <c r="U646" s="1" t="s">
        <v>12016</v>
      </c>
      <c r="V646" s="1" t="s">
        <v>12017</v>
      </c>
      <c r="W646" s="1" t="s">
        <v>12004</v>
      </c>
      <c r="X646" s="1" t="s">
        <v>12018</v>
      </c>
      <c r="Y646" s="1" t="s">
        <v>12004</v>
      </c>
      <c r="Z646" s="1" t="s">
        <v>12019</v>
      </c>
      <c r="AA646" s="1" t="s">
        <v>12020</v>
      </c>
      <c r="AB646" s="1" t="s">
        <v>13483</v>
      </c>
      <c r="AC646" s="1" t="s">
        <v>12022</v>
      </c>
      <c r="AD646" s="6" t="s">
        <v>12023</v>
      </c>
      <c r="AE646" s="1" t="s">
        <v>12004</v>
      </c>
      <c r="AF646" s="1" t="s">
        <v>12004</v>
      </c>
      <c r="AG646" s="6" t="s">
        <v>12004</v>
      </c>
      <c r="AH646" s="1" t="s">
        <v>12024</v>
      </c>
      <c r="AI646" s="6" t="s">
        <v>132</v>
      </c>
      <c r="AJ646" s="6" t="s">
        <v>12025</v>
      </c>
      <c r="AK646" s="1" t="s">
        <v>13484</v>
      </c>
      <c r="AL646" s="6" t="s">
        <v>13485</v>
      </c>
    </row>
    <row r="647" ht="15.75" hidden="1" customHeight="1">
      <c r="A647" s="1" t="s">
        <v>38</v>
      </c>
      <c r="B647" s="1" t="s">
        <v>13486</v>
      </c>
      <c r="C647" s="1" t="s">
        <v>13487</v>
      </c>
      <c r="D647" s="7" t="str">
        <f>IFERROR(__xludf.DUMMYFUNCTION("GOOGLETRANSLATE(C647, ""en"", ""ar"")"),"هل هذا موافق، أو هل ترغب في تحرير الرقم؟")</f>
        <v>هل هذا موافق، أو هل ترغب في تحرير الرقم؟</v>
      </c>
      <c r="E647" s="7" t="str">
        <f>IFERROR(__xludf.DUMMYFUNCTION("GOOGLETRANSLATE(C647, ""en"", ""bg"")"),"Това ли е добре, или бихте искали да редактирате номера?")</f>
        <v>Това ли е добре, или бихте искали да редактирате номера?</v>
      </c>
      <c r="F647" s="6" t="s">
        <v>132</v>
      </c>
      <c r="G647" s="7" t="str">
        <f>IFERROR(__xludf.DUMMYFUNCTION("GOOGLETRANSLATE(C647, ""en"", ""cs"")"),"Je to v pořádku, nebo chcete upravit číslo?")</f>
        <v>Je to v pořádku, nebo chcete upravit číslo?</v>
      </c>
      <c r="H647" s="7" t="str">
        <f>IFERROR(__xludf.DUMMYFUNCTION("GOOGLETRANSLATE(C647, ""en"", ""da"")"),"Er det ok, eller vil du gerne redigere nummeret?")</f>
        <v>Er det ok, eller vil du gerne redigere nummeret?</v>
      </c>
      <c r="I647" s="1" t="s">
        <v>13488</v>
      </c>
      <c r="J647" s="6" t="s">
        <v>132</v>
      </c>
      <c r="K647" s="1" t="s">
        <v>13489</v>
      </c>
      <c r="L647" s="7" t="str">
        <f>IFERROR(__xludf.DUMMYFUNCTION("GOOGLETRANSLATE(C647, ""en"", ""fi"")"),"Onko tämä OK vai haluaisit muokata numeroa?")</f>
        <v>Onko tämä OK vai haluaisit muokata numeroa?</v>
      </c>
      <c r="M647" s="1" t="s">
        <v>13490</v>
      </c>
      <c r="N647" s="6" t="s">
        <v>132</v>
      </c>
      <c r="O647" s="6" t="s">
        <v>132</v>
      </c>
      <c r="P647" s="1" t="s">
        <v>13491</v>
      </c>
      <c r="Q647" s="7" t="str">
        <f>IFERROR(__xludf.DUMMYFUNCTION("GOOGLETRANSLATE(C647, ""en"", ""in"")"),"Apakah ini OK, atau Anda ingin mengedit nomornya?")</f>
        <v>Apakah ini OK, atau Anda ingin mengedit nomornya?</v>
      </c>
      <c r="R647" s="7" t="str">
        <f>IFERROR(__xludf.DUMMYFUNCTION("GOOGLETRANSLATE(C647, ""en"", ""it"")"),"È ok ok, o ti piacerebbe modificare il numero?")</f>
        <v>È ok ok, o ti piacerebbe modificare il numero?</v>
      </c>
      <c r="S647" s="6" t="s">
        <v>132</v>
      </c>
      <c r="T647" s="7" t="str">
        <f>IFERROR(__xludf.DUMMYFUNCTION("GOOGLETRANSLATE(C647, ""en"", ""ja"")"),"これは大丈夫ですか、それとも番号を編集しますか？")</f>
        <v>これは大丈夫ですか、それとも番号を編集しますか？</v>
      </c>
      <c r="U647" s="7" t="str">
        <f>IFERROR(__xludf.DUMMYFUNCTION("GOOGLETRANSLATE(C647, ""en"", ""ko"")"),"이 ok이거나 숫자를 편집 하시겠습니까?")</f>
        <v>이 ok이거나 숫자를 편집 하시겠습니까?</v>
      </c>
      <c r="V647" s="7" t="str">
        <f>IFERROR(__xludf.DUMMYFUNCTION("GOOGLETRANSLATE(C647, ""en"", ""ms"")"),"Adakah ini ok, atau adakah anda ingin mengedit nombor itu?")</f>
        <v>Adakah ini ok, atau adakah anda ingin mengedit nombor itu?</v>
      </c>
      <c r="W647" s="7" t="str">
        <f>IFERROR(__xludf.DUMMYFUNCTION("GOOGLETRANSLATE(C647, ""en"", ""nl"")"),"Is dit OK, of wilt u het nummer bewerken?")</f>
        <v>Is dit OK, of wilt u het nummer bewerken?</v>
      </c>
      <c r="X647" s="7" t="str">
        <f>IFERROR(__xludf.DUMMYFUNCTION("GOOGLETRANSLATE(C647, ""en"", ""no"")"),"Er dette ok, eller vil du redigere nummeret?")</f>
        <v>Er dette ok, eller vil du redigere nummeret?</v>
      </c>
      <c r="Y647" s="7" t="str">
        <f>IFERROR(__xludf.DUMMYFUNCTION("GOOGLETRANSLATE(C647, ""en"", ""pl"")"),"Czy to ok, czy chcesz edytować numer?")</f>
        <v>Czy to ok, czy chcesz edytować numer?</v>
      </c>
      <c r="Z647" s="7" t="str">
        <f>IFERROR(__xludf.DUMMYFUNCTION("GOOGLETRANSLATE(C647, ""en"", ""pt"")"),"Este está ok, ou gostaria de editar o número?")</f>
        <v>Este está ok, ou gostaria de editar o número?</v>
      </c>
      <c r="AA647" s="7" t="str">
        <f>IFERROR(__xludf.DUMMYFUNCTION("GOOGLETRANSLATE(C647, ""en"", ""ro"")"),"Este ok, sau doriți să editați numărul?")</f>
        <v>Este ok, sau doriți să editați numărul?</v>
      </c>
      <c r="AB647" s="1" t="s">
        <v>13492</v>
      </c>
      <c r="AC647" s="7" t="str">
        <f>IFERROR(__xludf.DUMMYFUNCTION("GOOGLETRANSLATE(C647, ""en"", ""sk"")"),"Je to v poriadku, alebo by ste chceli upraviť číslo?")</f>
        <v>Je to v poriadku, alebo by ste chceli upraviť číslo?</v>
      </c>
      <c r="AD647" s="6" t="s">
        <v>132</v>
      </c>
      <c r="AE647" s="1" t="s">
        <v>13493</v>
      </c>
      <c r="AF647" s="7" t="str">
        <f>IFERROR(__xludf.DUMMYFUNCTION("GOOGLETRANSLATE(C647, ""en"", ""sv"")"),"Är det ok, eller vill du redigera numret?")</f>
        <v>Är det ok, eller vill du redigera numret?</v>
      </c>
      <c r="AG647" s="6" t="s">
        <v>132</v>
      </c>
      <c r="AH647" s="7" t="str">
        <f>IFERROR(__xludf.DUMMYFUNCTION("GOOGLETRANSLATE(C647, ""en"", ""tr"")"),"Bu Tamam mı, yoksa numarayı düzenlemek ister misiniz?")</f>
        <v>Bu Tamam mı, yoksa numarayı düzenlemek ister misiniz?</v>
      </c>
      <c r="AI647" s="6" t="s">
        <v>132</v>
      </c>
      <c r="AJ647" s="6" t="s">
        <v>132</v>
      </c>
      <c r="AK647" s="7" t="str">
        <f>IFERROR(__xludf.DUMMYFUNCTION("GOOGLETRANSLATE(C647, ""en"", ""zh"")"),"这是好的，还是想编辑这个号码？")</f>
        <v>这是好的，还是想编辑这个号码？</v>
      </c>
      <c r="AL647" s="6" t="s">
        <v>132</v>
      </c>
    </row>
    <row r="648" ht="15.75" customHeight="1">
      <c r="A648" s="1" t="s">
        <v>127</v>
      </c>
      <c r="B648" s="1" t="s">
        <v>13494</v>
      </c>
      <c r="C648" s="1" t="s">
        <v>13495</v>
      </c>
      <c r="D648" s="8" t="s">
        <v>13496</v>
      </c>
      <c r="E648" s="1" t="s">
        <v>13497</v>
      </c>
      <c r="F648" s="6" t="s">
        <v>132</v>
      </c>
      <c r="G648" s="1" t="s">
        <v>13498</v>
      </c>
      <c r="H648" s="1" t="s">
        <v>13499</v>
      </c>
      <c r="I648" s="1" t="s">
        <v>13495</v>
      </c>
      <c r="J648" s="6" t="s">
        <v>13500</v>
      </c>
      <c r="K648" s="1" t="s">
        <v>13501</v>
      </c>
      <c r="L648" s="1" t="s">
        <v>13502</v>
      </c>
      <c r="M648" s="1" t="s">
        <v>13503</v>
      </c>
      <c r="N648" s="6" t="s">
        <v>132</v>
      </c>
      <c r="O648" s="6" t="s">
        <v>13504</v>
      </c>
      <c r="P648" s="1" t="s">
        <v>13505</v>
      </c>
      <c r="Q648" s="1" t="s">
        <v>13506</v>
      </c>
      <c r="R648" s="1" t="s">
        <v>13507</v>
      </c>
      <c r="S648" s="6" t="s">
        <v>132</v>
      </c>
      <c r="T648" s="1" t="s">
        <v>13508</v>
      </c>
      <c r="U648" s="1" t="s">
        <v>13509</v>
      </c>
      <c r="V648" s="1" t="s">
        <v>13510</v>
      </c>
      <c r="W648" s="1" t="s">
        <v>13495</v>
      </c>
      <c r="X648" s="1" t="s">
        <v>13511</v>
      </c>
      <c r="Y648" s="1" t="s">
        <v>13495</v>
      </c>
      <c r="Z648" s="1" t="s">
        <v>13512</v>
      </c>
      <c r="AA648" s="1" t="s">
        <v>13513</v>
      </c>
      <c r="AB648" s="1" t="s">
        <v>13514</v>
      </c>
      <c r="AC648" s="1" t="s">
        <v>13515</v>
      </c>
      <c r="AD648" s="6" t="s">
        <v>13516</v>
      </c>
      <c r="AE648" s="1" t="s">
        <v>13517</v>
      </c>
      <c r="AF648" s="1" t="s">
        <v>13518</v>
      </c>
      <c r="AG648" s="6" t="s">
        <v>13519</v>
      </c>
      <c r="AH648" s="1" t="s">
        <v>13520</v>
      </c>
      <c r="AI648" s="6" t="s">
        <v>132</v>
      </c>
      <c r="AJ648" s="6" t="s">
        <v>13521</v>
      </c>
      <c r="AK648" s="1" t="s">
        <v>13522</v>
      </c>
      <c r="AL648" s="6" t="s">
        <v>132</v>
      </c>
    </row>
    <row r="649" ht="15.75" hidden="1" customHeight="1">
      <c r="A649" s="1" t="s">
        <v>38</v>
      </c>
      <c r="B649" s="1" t="s">
        <v>13523</v>
      </c>
      <c r="C649" s="1" t="s">
        <v>13524</v>
      </c>
      <c r="D649" s="8" t="s">
        <v>13525</v>
      </c>
      <c r="E649" s="1" t="s">
        <v>13526</v>
      </c>
      <c r="F649" s="6" t="s">
        <v>13527</v>
      </c>
      <c r="G649" s="7" t="str">
        <f>IFERROR(__xludf.DUMMYFUNCTION("GOOGLETRANSLATE(C649, ""en"", ""cs"")"),"""Nerušit"" v tichém režimu")</f>
        <v>"Nerušit" v tichém režimu</v>
      </c>
      <c r="H649" s="7" t="str">
        <f>IFERROR(__xludf.DUMMYFUNCTION("GOOGLETRANSLATE(C649, ""en"", ""da"")"),"""Forstyr ikke"" i lydløs tilstand")</f>
        <v>"Forstyr ikke" i lydløs tilstand</v>
      </c>
      <c r="I649" s="1" t="s">
        <v>13528</v>
      </c>
      <c r="J649" s="6" t="s">
        <v>132</v>
      </c>
      <c r="K649" s="1" t="s">
        <v>13529</v>
      </c>
      <c r="L649" s="7" t="str">
        <f>IFERROR(__xludf.DUMMYFUNCTION("GOOGLETRANSLATE(C649, ""en"", ""fi"")"),"""Älä häiritse"" hiljaisessa tilassa")</f>
        <v>"Älä häiritse" hiljaisessa tilassa</v>
      </c>
      <c r="M649" s="1" t="s">
        <v>13530</v>
      </c>
      <c r="N649" s="6" t="s">
        <v>13531</v>
      </c>
      <c r="O649" s="6" t="s">
        <v>132</v>
      </c>
      <c r="P649" s="1" t="s">
        <v>13532</v>
      </c>
      <c r="Q649" s="7" t="str">
        <f>IFERROR(__xludf.DUMMYFUNCTION("GOOGLETRANSLATE(C649, ""en"", ""in"")"),"""Jangan Ganggu"" dalam mode Senyap")</f>
        <v>"Jangan Ganggu" dalam mode Senyap</v>
      </c>
      <c r="R649" s="1" t="s">
        <v>13533</v>
      </c>
      <c r="S649" s="6" t="s">
        <v>132</v>
      </c>
      <c r="T649" s="1" t="s">
        <v>13534</v>
      </c>
      <c r="U649" s="7" t="str">
        <f>IFERROR(__xludf.DUMMYFUNCTION("GOOGLETRANSLATE(C649, ""en"", ""ko"")"),"침묵 모드에서 ""방해하지 마십시오""")</f>
        <v>침묵 모드에서 "방해하지 마십시오"</v>
      </c>
      <c r="V649" s="7" t="str">
        <f>IFERROR(__xludf.DUMMYFUNCTION("GOOGLETRANSLATE(C649, ""en"", ""ms"")"),"""Jangan mengganggu"" dalam mod senyap")</f>
        <v>"Jangan mengganggu" dalam mod senyap</v>
      </c>
      <c r="W649" s="1" t="s">
        <v>13535</v>
      </c>
      <c r="X649" s="7" t="str">
        <f>IFERROR(__xludf.DUMMYFUNCTION("GOOGLETRANSLATE(C649, ""en"", ""no"")"),"""Ikke forstyrr"" i stille modus")</f>
        <v>"Ikke forstyrr" i stille modus</v>
      </c>
      <c r="Y649" s="1" t="s">
        <v>13536</v>
      </c>
      <c r="Z649" s="1" t="s">
        <v>13537</v>
      </c>
      <c r="AA649" s="7" t="str">
        <f>IFERROR(__xludf.DUMMYFUNCTION("GOOGLETRANSLATE(C649, ""en"", ""ro"")"),"""Nu deranjați"" în modul silențios")</f>
        <v>"Nu deranjați" în modul silențios</v>
      </c>
      <c r="AB649" s="1" t="s">
        <v>13538</v>
      </c>
      <c r="AC649" s="7" t="str">
        <f>IFERROR(__xludf.DUMMYFUNCTION("GOOGLETRANSLATE(C649, ""en"", ""sk"")"),"""Nerušiť"" v tichom režime")</f>
        <v>"Nerušiť" v tichom režime</v>
      </c>
      <c r="AD649" s="6" t="s">
        <v>132</v>
      </c>
      <c r="AE649" s="1" t="s">
        <v>13539</v>
      </c>
      <c r="AF649" s="7" t="str">
        <f>IFERROR(__xludf.DUMMYFUNCTION("GOOGLETRANSLATE(C649, ""en"", ""sv"")"),"""Stör inte"" i tyst läge")</f>
        <v>"Stör inte" i tyst läge</v>
      </c>
      <c r="AG649" s="6" t="s">
        <v>132</v>
      </c>
      <c r="AH649" s="7" t="str">
        <f>IFERROR(__xludf.DUMMYFUNCTION("GOOGLETRANSLATE(C649, ""en"", ""tr"")"),"Sessiz modda ""rahatsız etmeyin""")</f>
        <v>Sessiz modda "rahatsız etmeyin"</v>
      </c>
      <c r="AI649" s="6" t="s">
        <v>13540</v>
      </c>
      <c r="AJ649" s="6" t="s">
        <v>132</v>
      </c>
      <c r="AK649" s="7" t="str">
        <f>IFERROR(__xludf.DUMMYFUNCTION("GOOGLETRANSLATE(C649, ""en"", ""zh"")"),"在静音模式下“请勿打扰”")</f>
        <v>在静音模式下“请勿打扰”</v>
      </c>
      <c r="AL649" s="6" t="s">
        <v>132</v>
      </c>
    </row>
    <row r="650" ht="15.75" hidden="1" customHeight="1">
      <c r="A650" s="1" t="s">
        <v>38</v>
      </c>
      <c r="B650" s="1" t="s">
        <v>13541</v>
      </c>
      <c r="C650" s="1" t="s">
        <v>13542</v>
      </c>
      <c r="D650" s="7" t="str">
        <f>IFERROR(__xludf.DUMMYFUNCTION("GOOGLETRANSLATE(C650, ""en"", ""ar"")"),"فشل فك تشفير رسالة OMEMO.")</f>
        <v>فشل فك تشفير رسالة OMEMO.</v>
      </c>
      <c r="E650" s="1" t="s">
        <v>13543</v>
      </c>
      <c r="F650" s="6" t="s">
        <v>132</v>
      </c>
      <c r="G650" s="7" t="str">
        <f>IFERROR(__xludf.DUMMYFUNCTION("GOOGLETRANSLATE(C650, ""en"", ""cs"")"),"Nepodařilo se dešifrovat zprávu Omemo.")</f>
        <v>Nepodařilo se dešifrovat zprávu Omemo.</v>
      </c>
      <c r="H650" s="7" t="str">
        <f>IFERROR(__xludf.DUMMYFUNCTION("GOOGLETRANSLATE(C650, ""en"", ""da"")"),"Kunne ikke dekryptere Omemo-besked.")</f>
        <v>Kunne ikke dekryptere Omemo-besked.</v>
      </c>
      <c r="I650" s="1" t="s">
        <v>13544</v>
      </c>
      <c r="J650" s="6" t="s">
        <v>132</v>
      </c>
      <c r="K650" s="1" t="s">
        <v>13545</v>
      </c>
      <c r="L650" s="7" t="str">
        <f>IFERROR(__xludf.DUMMYFUNCTION("GOOGLETRANSLATE(C650, ""en"", ""fi"")"),"OMEMO-viestin purkaminen epäonnistui.")</f>
        <v>OMEMO-viestin purkaminen epäonnistui.</v>
      </c>
      <c r="M650" s="7" t="str">
        <f>IFERROR(__xludf.DUMMYFUNCTION("GOOGLETRANSLATE(C650, ""en"", ""fr"")"),"Impossible de décrypter le message OMEMO.")</f>
        <v>Impossible de décrypter le message OMEMO.</v>
      </c>
      <c r="N650" s="6" t="s">
        <v>13546</v>
      </c>
      <c r="O650" s="6" t="s">
        <v>132</v>
      </c>
      <c r="P650" s="7" t="str">
        <f>IFERROR(__xludf.DUMMYFUNCTION("GOOGLETRANSLATE(C650, ""en"", ""hu"")"),"Nem sikerült visszafejteni az OMEMO üzenetet.")</f>
        <v>Nem sikerült visszafejteni az OMEMO üzenetet.</v>
      </c>
      <c r="Q650" s="7" t="str">
        <f>IFERROR(__xludf.DUMMYFUNCTION("GOOGLETRANSLATE(C650, ""en"", ""in"")"),"Gagal mendekripsi pesan omemo.")</f>
        <v>Gagal mendekripsi pesan omemo.</v>
      </c>
      <c r="R650" s="1" t="s">
        <v>13547</v>
      </c>
      <c r="S650" s="6" t="s">
        <v>132</v>
      </c>
      <c r="T650" s="7" t="str">
        <f>IFERROR(__xludf.DUMMYFUNCTION("GOOGLETRANSLATE(C650, ""en"", ""ja"")"),"OMEMOメッセージの復号化に失敗しました。")</f>
        <v>OMEMOメッセージの復号化に失敗しました。</v>
      </c>
      <c r="U650" s="7" t="str">
        <f>IFERROR(__xludf.DUMMYFUNCTION("GOOGLETRANSLATE(C650, ""en"", ""ko"")"),"OMEMO 메시지를 해독하지 못했습니다.")</f>
        <v>OMEMO 메시지를 해독하지 못했습니다.</v>
      </c>
      <c r="V650" s="7" t="str">
        <f>IFERROR(__xludf.DUMMYFUNCTION("GOOGLETRANSLATE(C650, ""en"", ""ms"")"),"Gagal menyahsulit mesej Omemo.")</f>
        <v>Gagal menyahsulit mesej Omemo.</v>
      </c>
      <c r="W650" s="1" t="s">
        <v>13548</v>
      </c>
      <c r="X650" s="7" t="str">
        <f>IFERROR(__xludf.DUMMYFUNCTION("GOOGLETRANSLATE(C650, ""en"", ""no"")"),"Kunne ikke dekryptere Omemo-meldingen.")</f>
        <v>Kunne ikke dekryptere Omemo-meldingen.</v>
      </c>
      <c r="Y650" s="1" t="s">
        <v>13549</v>
      </c>
      <c r="Z650" s="7" t="str">
        <f>IFERROR(__xludf.DUMMYFUNCTION("GOOGLETRANSLATE(C650, ""en"", ""pt"")"),"Falha ao descriptografar a mensagem OMEMO.")</f>
        <v>Falha ao descriptografar a mensagem OMEMO.</v>
      </c>
      <c r="AA650" s="7" t="str">
        <f>IFERROR(__xludf.DUMMYFUNCTION("GOOGLETRANSLATE(C650, ""en"", ""ro"")"),"Nu a reușit să decripteze mesajul Omemo.")</f>
        <v>Nu a reușit să decripteze mesajul Omemo.</v>
      </c>
      <c r="AB650" s="7" t="str">
        <f>IFERROR(__xludf.DUMMYFUNCTION("GOOGLETRANSLATE(C650, ""en"", ""ru"")"),"Не удалось расшифровать сообщение Omemo.")</f>
        <v>Не удалось расшифровать сообщение Omemo.</v>
      </c>
      <c r="AC650" s="7" t="str">
        <f>IFERROR(__xludf.DUMMYFUNCTION("GOOGLETRANSLATE(C650, ""en"", ""sk"")"),"Nepodarilo sa dešifrovať správu o OMEMO.")</f>
        <v>Nepodarilo sa dešifrovať správu o OMEMO.</v>
      </c>
      <c r="AD650" s="6" t="s">
        <v>132</v>
      </c>
      <c r="AE650" s="7" t="str">
        <f>IFERROR(__xludf.DUMMYFUNCTION("GOOGLETRANSLATE(C650, ""en"", ""sr"")"),"Није успело дешифровање ОМЕМО поруке.")</f>
        <v>Није успело дешифровање ОМЕМО поруке.</v>
      </c>
      <c r="AF650" s="7" t="str">
        <f>IFERROR(__xludf.DUMMYFUNCTION("GOOGLETRANSLATE(C650, ""en"", ""sv"")"),"Misslyckades med att dekryptera Omemo-meddelandet.")</f>
        <v>Misslyckades med att dekryptera Omemo-meddelandet.</v>
      </c>
      <c r="AG650" s="6" t="s">
        <v>132</v>
      </c>
      <c r="AH650" s="7" t="str">
        <f>IFERROR(__xludf.DUMMYFUNCTION("GOOGLETRANSLATE(C650, ""en"", ""tr"")"),"OMEMO mesajının şifresini çözemedi.")</f>
        <v>OMEMO mesajının şifresini çözemedi.</v>
      </c>
      <c r="AI650" s="6" t="s">
        <v>132</v>
      </c>
      <c r="AJ650" s="6" t="s">
        <v>132</v>
      </c>
      <c r="AK650" s="7" t="str">
        <f>IFERROR(__xludf.DUMMYFUNCTION("GOOGLETRANSLATE(C650, ""en"", ""zh"")"),"无法解密omemo消息。")</f>
        <v>无法解密omemo消息。</v>
      </c>
      <c r="AL650" s="6" t="s">
        <v>132</v>
      </c>
    </row>
    <row r="651" ht="15.75" hidden="1" customHeight="1">
      <c r="A651" s="1" t="s">
        <v>38</v>
      </c>
      <c r="B651" s="1" t="s">
        <v>13550</v>
      </c>
      <c r="C651" s="1" t="s">
        <v>13551</v>
      </c>
      <c r="D651" s="8" t="s">
        <v>13552</v>
      </c>
      <c r="E651" s="1" t="s">
        <v>13553</v>
      </c>
      <c r="F651" s="6" t="s">
        <v>13554</v>
      </c>
      <c r="G651" s="7" t="str">
        <f>IFERROR(__xludf.DUMMYFUNCTION("GOOGLETRANSLATE(C651, ""en"", ""cs"")"),"Neznámý")</f>
        <v>Neznámý</v>
      </c>
      <c r="H651" s="7" t="str">
        <f>IFERROR(__xludf.DUMMYFUNCTION("GOOGLETRANSLATE(C651, ""en"", ""da"")"),"Ukendt")</f>
        <v>Ukendt</v>
      </c>
      <c r="I651" s="1" t="s">
        <v>13555</v>
      </c>
      <c r="J651" s="6" t="s">
        <v>132</v>
      </c>
      <c r="K651" s="1" t="s">
        <v>13556</v>
      </c>
      <c r="L651" s="7" t="str">
        <f>IFERROR(__xludf.DUMMYFUNCTION("GOOGLETRANSLATE(C651, ""en"", ""fi"")"),"Tuntematon")</f>
        <v>Tuntematon</v>
      </c>
      <c r="M651" s="1" t="s">
        <v>13557</v>
      </c>
      <c r="N651" s="6" t="s">
        <v>13558</v>
      </c>
      <c r="O651" s="6" t="s">
        <v>132</v>
      </c>
      <c r="P651" s="1" t="s">
        <v>13559</v>
      </c>
      <c r="Q651" s="9" t="s">
        <v>13560</v>
      </c>
      <c r="R651" s="1" t="s">
        <v>13561</v>
      </c>
      <c r="S651" s="6" t="s">
        <v>132</v>
      </c>
      <c r="T651" s="1" t="s">
        <v>13562</v>
      </c>
      <c r="U651" s="1" t="s">
        <v>13563</v>
      </c>
      <c r="V651" s="7" t="str">
        <f>IFERROR(__xludf.DUMMYFUNCTION("GOOGLETRANSLATE(C651, ""en"", ""ms"")"),"Tidak diketahui")</f>
        <v>Tidak diketahui</v>
      </c>
      <c r="W651" s="1" t="s">
        <v>13564</v>
      </c>
      <c r="X651" s="7" t="str">
        <f>IFERROR(__xludf.DUMMYFUNCTION("GOOGLETRANSLATE(C651, ""en"", ""no"")"),"Ukjent")</f>
        <v>Ukjent</v>
      </c>
      <c r="Y651" s="1" t="s">
        <v>13565</v>
      </c>
      <c r="Z651" s="1" t="s">
        <v>13566</v>
      </c>
      <c r="AA651" s="7" t="str">
        <f>IFERROR(__xludf.DUMMYFUNCTION("GOOGLETRANSLATE(C651, ""en"", ""ro"")"),"Necunoscut")</f>
        <v>Necunoscut</v>
      </c>
      <c r="AB651" s="1" t="s">
        <v>13567</v>
      </c>
      <c r="AC651" s="1" t="s">
        <v>13568</v>
      </c>
      <c r="AD651" s="6" t="s">
        <v>132</v>
      </c>
      <c r="AE651" s="1" t="s">
        <v>13569</v>
      </c>
      <c r="AF651" s="1" t="s">
        <v>13570</v>
      </c>
      <c r="AG651" s="6" t="s">
        <v>132</v>
      </c>
      <c r="AH651" s="7" t="str">
        <f>IFERROR(__xludf.DUMMYFUNCTION("GOOGLETRANSLATE(C651, ""en"", ""tr"")"),"Bilinmeyen")</f>
        <v>Bilinmeyen</v>
      </c>
      <c r="AI651" s="6" t="s">
        <v>13571</v>
      </c>
      <c r="AJ651" s="6" t="s">
        <v>13572</v>
      </c>
      <c r="AK651" s="7" t="str">
        <f>IFERROR(__xludf.DUMMYFUNCTION("GOOGLETRANSLATE(C651, ""en"", ""zh"")"),"未知")</f>
        <v>未知</v>
      </c>
      <c r="AL651" s="6" t="s">
        <v>13573</v>
      </c>
    </row>
    <row r="652" ht="15.75" hidden="1" customHeight="1">
      <c r="A652" s="1" t="s">
        <v>38</v>
      </c>
      <c r="B652" s="1" t="s">
        <v>13574</v>
      </c>
      <c r="C652" s="1" t="s">
        <v>13575</v>
      </c>
      <c r="D652" s="7" t="str">
        <f>IFERROR(__xludf.DUMMYFUNCTION("GOOGLETRANSLATE(C652, ""en"", ""ar"")"),"بليز")</f>
        <v>بليز</v>
      </c>
      <c r="E652" s="7" t="str">
        <f>IFERROR(__xludf.DUMMYFUNCTION("GOOGLETRANSLATE(C652, ""en"", ""bg"")"),"Олицент")</f>
        <v>Олицент</v>
      </c>
      <c r="F652" s="6" t="s">
        <v>132</v>
      </c>
      <c r="G652" s="7" t="str">
        <f>IFERROR(__xludf.DUMMYFUNCTION("GOOGLETRANSLATE(C652, ""en"", ""cs"")"),"Belize.")</f>
        <v>Belize.</v>
      </c>
      <c r="H652" s="7" t="str">
        <f>IFERROR(__xludf.DUMMYFUNCTION("GOOGLETRANSLATE(C652, ""en"", ""da"")"),"Belize.")</f>
        <v>Belize.</v>
      </c>
      <c r="I652" s="1" t="s">
        <v>13575</v>
      </c>
      <c r="J652" s="6" t="s">
        <v>132</v>
      </c>
      <c r="K652" s="1" t="s">
        <v>13575</v>
      </c>
      <c r="L652" s="7" t="str">
        <f>IFERROR(__xludf.DUMMYFUNCTION("GOOGLETRANSLATE(C652, ""en"", ""fi"")"),"Belize")</f>
        <v>Belize</v>
      </c>
      <c r="M652" s="1" t="s">
        <v>13575</v>
      </c>
      <c r="N652" s="6" t="s">
        <v>132</v>
      </c>
      <c r="O652" s="6" t="s">
        <v>132</v>
      </c>
      <c r="P652" s="1" t="s">
        <v>13575</v>
      </c>
      <c r="Q652" s="7" t="str">
        <f>IFERROR(__xludf.DUMMYFUNCTION("GOOGLETRANSLATE(C652, ""en"", ""in"")"),"Belize.")</f>
        <v>Belize.</v>
      </c>
      <c r="R652" s="7" t="str">
        <f>IFERROR(__xludf.DUMMYFUNCTION("GOOGLETRANSLATE(C652, ""en"", ""it"")"),"Belize")</f>
        <v>Belize</v>
      </c>
      <c r="S652" s="6" t="s">
        <v>132</v>
      </c>
      <c r="T652" s="7" t="str">
        <f>IFERROR(__xludf.DUMMYFUNCTION("GOOGLETRANSLATE(C652, ""en"", ""ja"")"),"ベリーズ")</f>
        <v>ベリーズ</v>
      </c>
      <c r="U652" s="7" t="str">
        <f>IFERROR(__xludf.DUMMYFUNCTION("GOOGLETRANSLATE(C652, ""en"", ""ko"")"),"벨리즈")</f>
        <v>벨리즈</v>
      </c>
      <c r="V652" s="7" t="str">
        <f>IFERROR(__xludf.DUMMYFUNCTION("GOOGLETRANSLATE(C652, ""en"", ""ms"")"),"Belize.")</f>
        <v>Belize.</v>
      </c>
      <c r="W652" s="7" t="str">
        <f>IFERROR(__xludf.DUMMYFUNCTION("GOOGLETRANSLATE(C652, ""en"", ""nl"")"),"Belize")</f>
        <v>Belize</v>
      </c>
      <c r="X652" s="7" t="str">
        <f>IFERROR(__xludf.DUMMYFUNCTION("GOOGLETRANSLATE(C652, ""en"", ""no"")"),"Belize")</f>
        <v>Belize</v>
      </c>
      <c r="Y652" s="7" t="str">
        <f>IFERROR(__xludf.DUMMYFUNCTION("GOOGLETRANSLATE(C652, ""en"", ""pl"")"),"Belize.")</f>
        <v>Belize.</v>
      </c>
      <c r="Z652" s="7" t="str">
        <f>IFERROR(__xludf.DUMMYFUNCTION("GOOGLETRANSLATE(C652, ""en"", ""pt"")"),"Belize")</f>
        <v>Belize</v>
      </c>
      <c r="AA652" s="7" t="str">
        <f>IFERROR(__xludf.DUMMYFUNCTION("GOOGLETRANSLATE(C652, ""en"", ""ro"")"),"Belize")</f>
        <v>Belize</v>
      </c>
      <c r="AB652" s="1" t="s">
        <v>13576</v>
      </c>
      <c r="AC652" s="7" t="str">
        <f>IFERROR(__xludf.DUMMYFUNCTION("GOOGLETRANSLATE(C652, ""en"", ""sk"")"),"Break")</f>
        <v>Break</v>
      </c>
      <c r="AD652" s="6" t="s">
        <v>132</v>
      </c>
      <c r="AE652" s="1" t="s">
        <v>13575</v>
      </c>
      <c r="AF652" s="7" t="str">
        <f>IFERROR(__xludf.DUMMYFUNCTION("GOOGLETRANSLATE(C652, ""en"", ""sv"")"),"Belize")</f>
        <v>Belize</v>
      </c>
      <c r="AG652" s="6" t="s">
        <v>132</v>
      </c>
      <c r="AH652" s="7" t="str">
        <f>IFERROR(__xludf.DUMMYFUNCTION("GOOGLETRANSLATE(C652, ""en"", ""tr"")"),"Belize")</f>
        <v>Belize</v>
      </c>
      <c r="AI652" s="6" t="s">
        <v>132</v>
      </c>
      <c r="AJ652" s="6" t="s">
        <v>132</v>
      </c>
      <c r="AK652" s="7" t="str">
        <f>IFERROR(__xludf.DUMMYFUNCTION("GOOGLETRANSLATE(C652, ""en"", ""zh"")"),"伯利兹")</f>
        <v>伯利兹</v>
      </c>
      <c r="AL652" s="6" t="s">
        <v>132</v>
      </c>
    </row>
    <row r="653" ht="15.75" customHeight="1">
      <c r="A653" s="1" t="s">
        <v>127</v>
      </c>
      <c r="B653" s="1" t="s">
        <v>13577</v>
      </c>
      <c r="C653" s="1" t="s">
        <v>13578</v>
      </c>
      <c r="D653" s="1" t="s">
        <v>13578</v>
      </c>
      <c r="E653" s="1" t="s">
        <v>13578</v>
      </c>
      <c r="F653" s="6" t="s">
        <v>132</v>
      </c>
      <c r="G653" s="1" t="s">
        <v>13578</v>
      </c>
      <c r="H653" s="1" t="s">
        <v>13578</v>
      </c>
      <c r="I653" s="1" t="s">
        <v>13578</v>
      </c>
      <c r="J653" s="6" t="s">
        <v>13578</v>
      </c>
      <c r="K653" s="1" t="s">
        <v>13578</v>
      </c>
      <c r="L653" s="1" t="s">
        <v>13578</v>
      </c>
      <c r="M653" s="1" t="s">
        <v>13578</v>
      </c>
      <c r="N653" s="6" t="s">
        <v>132</v>
      </c>
      <c r="O653" s="6" t="s">
        <v>13579</v>
      </c>
      <c r="P653" s="1" t="s">
        <v>13578</v>
      </c>
      <c r="Q653" s="1" t="s">
        <v>13578</v>
      </c>
      <c r="R653" s="1" t="s">
        <v>13578</v>
      </c>
      <c r="S653" s="6" t="s">
        <v>132</v>
      </c>
      <c r="T653" s="1" t="s">
        <v>13578</v>
      </c>
      <c r="U653" s="1" t="s">
        <v>13578</v>
      </c>
      <c r="V653" s="1" t="s">
        <v>13578</v>
      </c>
      <c r="W653" s="1" t="s">
        <v>13578</v>
      </c>
      <c r="X653" s="1" t="s">
        <v>13578</v>
      </c>
      <c r="Y653" s="1" t="s">
        <v>13578</v>
      </c>
      <c r="Z653" s="1" t="s">
        <v>13580</v>
      </c>
      <c r="AA653" s="1" t="s">
        <v>13578</v>
      </c>
      <c r="AB653" s="1" t="s">
        <v>13581</v>
      </c>
      <c r="AC653" s="1" t="s">
        <v>13578</v>
      </c>
      <c r="AD653" s="6" t="s">
        <v>13578</v>
      </c>
      <c r="AE653" s="1" t="s">
        <v>13582</v>
      </c>
      <c r="AF653" s="1" t="s">
        <v>13578</v>
      </c>
      <c r="AG653" s="6" t="s">
        <v>13578</v>
      </c>
      <c r="AH653" s="1" t="s">
        <v>13578</v>
      </c>
      <c r="AI653" s="6" t="s">
        <v>132</v>
      </c>
      <c r="AJ653" s="6" t="s">
        <v>13578</v>
      </c>
      <c r="AK653" s="1" t="s">
        <v>13583</v>
      </c>
      <c r="AL653" s="6" t="s">
        <v>13584</v>
      </c>
    </row>
    <row r="654" ht="15.75" customHeight="1">
      <c r="A654" s="1" t="s">
        <v>4051</v>
      </c>
      <c r="B654" s="1" t="s">
        <v>13585</v>
      </c>
      <c r="C654" s="1" t="s">
        <v>13586</v>
      </c>
      <c r="D654" s="8" t="s">
        <v>13587</v>
      </c>
      <c r="E654" s="1" t="s">
        <v>13588</v>
      </c>
      <c r="F654" s="6" t="s">
        <v>132</v>
      </c>
      <c r="G654" s="1" t="s">
        <v>13589</v>
      </c>
      <c r="H654" s="1" t="s">
        <v>13590</v>
      </c>
      <c r="I654" s="1" t="s">
        <v>13591</v>
      </c>
      <c r="J654" s="6" t="s">
        <v>13592</v>
      </c>
      <c r="K654" s="1" t="s">
        <v>13593</v>
      </c>
      <c r="L654" s="1" t="s">
        <v>13594</v>
      </c>
      <c r="M654" s="1" t="s">
        <v>13595</v>
      </c>
      <c r="N654" s="6" t="s">
        <v>132</v>
      </c>
      <c r="O654" s="6" t="s">
        <v>13596</v>
      </c>
      <c r="P654" s="1" t="s">
        <v>13597</v>
      </c>
      <c r="Q654" s="1" t="s">
        <v>13598</v>
      </c>
      <c r="R654" s="1" t="s">
        <v>13599</v>
      </c>
      <c r="S654" s="10" t="s">
        <v>13600</v>
      </c>
      <c r="T654" s="1" t="s">
        <v>13601</v>
      </c>
      <c r="U654" s="1" t="s">
        <v>13602</v>
      </c>
      <c r="V654" s="1" t="s">
        <v>13603</v>
      </c>
      <c r="W654" s="1" t="s">
        <v>13604</v>
      </c>
      <c r="X654" s="1" t="s">
        <v>13605</v>
      </c>
      <c r="Y654" s="11" t="s">
        <v>13606</v>
      </c>
      <c r="Z654" s="1" t="s">
        <v>13607</v>
      </c>
      <c r="AA654" s="1" t="s">
        <v>13608</v>
      </c>
      <c r="AB654" s="7" t="str">
        <f>IFERROR(__xludf.DUMMYFUNCTION("GOOGLETRANSLATE(C654, ""en"", ""ru"")"),"Добавить комментарий")</f>
        <v>Добавить комментарий</v>
      </c>
      <c r="AC654" s="1" t="s">
        <v>13609</v>
      </c>
      <c r="AD654" s="6" t="s">
        <v>13610</v>
      </c>
      <c r="AE654" s="7" t="str">
        <f>IFERROR(__xludf.DUMMYFUNCTION("GOOGLETRANSLATE(C654, ""en"", ""sr"")"),"Додај коментар")</f>
        <v>Додај коментар</v>
      </c>
      <c r="AF654" s="1" t="s">
        <v>13611</v>
      </c>
      <c r="AG654" s="6" t="s">
        <v>13612</v>
      </c>
      <c r="AH654" s="1" t="s">
        <v>13613</v>
      </c>
      <c r="AI654" s="6" t="s">
        <v>132</v>
      </c>
      <c r="AJ654" s="6" t="s">
        <v>13614</v>
      </c>
      <c r="AK654" s="14" t="s">
        <v>13615</v>
      </c>
      <c r="AL654" s="6" t="s">
        <v>132</v>
      </c>
    </row>
    <row r="655" ht="15.75" hidden="1" customHeight="1">
      <c r="A655" s="1" t="s">
        <v>38</v>
      </c>
      <c r="B655" s="1" t="s">
        <v>13616</v>
      </c>
      <c r="C655" s="1" t="s">
        <v>13617</v>
      </c>
      <c r="D655" s="8" t="s">
        <v>13618</v>
      </c>
      <c r="E655" s="1" t="s">
        <v>13619</v>
      </c>
      <c r="F655" s="6" t="s">
        <v>13620</v>
      </c>
      <c r="G655" s="7" t="str">
        <f>IFERROR(__xludf.DUMMYFUNCTION("GOOGLETRANSLATE(C655, ""en"", ""cs"")"),"Omemo otisk prstu zkopírován do schránky!")</f>
        <v>Omemo otisk prstu zkopírován do schránky!</v>
      </c>
      <c r="H655" s="7" t="str">
        <f>IFERROR(__xludf.DUMMYFUNCTION("GOOGLETRANSLATE(C655, ""en"", ""da"")"),"Omemo fingeraftryk kopieret til udklipsholder!")</f>
        <v>Omemo fingeraftryk kopieret til udklipsholder!</v>
      </c>
      <c r="I655" s="1" t="s">
        <v>13621</v>
      </c>
      <c r="J655" s="6" t="s">
        <v>132</v>
      </c>
      <c r="K655" s="1" t="s">
        <v>13622</v>
      </c>
      <c r="L655" s="7" t="str">
        <f>IFERROR(__xludf.DUMMYFUNCTION("GOOGLETRANSLATE(C655, ""en"", ""fi"")"),"OMEMO sormenjälki kopioi leikepöydälle!")</f>
        <v>OMEMO sormenjälki kopioi leikepöydälle!</v>
      </c>
      <c r="M655" s="1" t="s">
        <v>13623</v>
      </c>
      <c r="N655" s="6" t="s">
        <v>13624</v>
      </c>
      <c r="O655" s="6" t="s">
        <v>132</v>
      </c>
      <c r="P655" s="1" t="s">
        <v>13625</v>
      </c>
      <c r="Q655" s="7" t="str">
        <f>IFERROR(__xludf.DUMMYFUNCTION("GOOGLETRANSLATE(C655, ""en"", ""in"")"),"Omemo Sidik Jari Disalin ke Clipboard!")</f>
        <v>Omemo Sidik Jari Disalin ke Clipboard!</v>
      </c>
      <c r="R655" s="1" t="s">
        <v>13626</v>
      </c>
      <c r="S655" s="6" t="s">
        <v>132</v>
      </c>
      <c r="T655" s="1" t="s">
        <v>13627</v>
      </c>
      <c r="U655" s="1" t="s">
        <v>13628</v>
      </c>
      <c r="V655" s="7" t="str">
        <f>IFERROR(__xludf.DUMMYFUNCTION("GOOGLETRANSLATE(C655, ""en"", ""ms"")"),"Omemo cap jari yang disalin ke papan klip!")</f>
        <v>Omemo cap jari yang disalin ke papan klip!</v>
      </c>
      <c r="W655" s="1" t="s">
        <v>13629</v>
      </c>
      <c r="X655" s="7" t="str">
        <f>IFERROR(__xludf.DUMMYFUNCTION("GOOGLETRANSLATE(C655, ""en"", ""no"")"),"OMEMO Fingeravtrykk kopiert til utklippstavlen!")</f>
        <v>OMEMO Fingeravtrykk kopiert til utklippstavlen!</v>
      </c>
      <c r="Y655" s="1" t="s">
        <v>13630</v>
      </c>
      <c r="Z655" s="1" t="s">
        <v>13631</v>
      </c>
      <c r="AA655" s="7" t="str">
        <f>IFERROR(__xludf.DUMMYFUNCTION("GOOGLETRANSLATE(C655, ""en"", ""ro"")"),"Omemo amprentă a fost copiată în clipboard!")</f>
        <v>Omemo amprentă a fost copiată în clipboard!</v>
      </c>
      <c r="AB655" s="1" t="s">
        <v>13632</v>
      </c>
      <c r="AC655" s="7" t="str">
        <f>IFERROR(__xludf.DUMMYFUNCTION("GOOGLETRANSLATE(C655, ""en"", ""sk"")"),"Omemo odtlačok kopírovaný do schránky!")</f>
        <v>Omemo odtlačok kopírovaný do schránky!</v>
      </c>
      <c r="AD655" s="6" t="s">
        <v>132</v>
      </c>
      <c r="AE655" s="1" t="s">
        <v>13633</v>
      </c>
      <c r="AF655" s="1" t="s">
        <v>13634</v>
      </c>
      <c r="AG655" s="6" t="s">
        <v>132</v>
      </c>
      <c r="AH655" s="7" t="str">
        <f>IFERROR(__xludf.DUMMYFUNCTION("GOOGLETRANSLATE(C655, ""en"", ""tr"")"),"Omemo parmak izi panoya kopyalandı!")</f>
        <v>Omemo parmak izi panoya kopyalandı!</v>
      </c>
      <c r="AI655" s="6" t="s">
        <v>13635</v>
      </c>
      <c r="AJ655" s="6" t="s">
        <v>13636</v>
      </c>
      <c r="AK655" s="7" t="str">
        <f>IFERROR(__xludf.DUMMYFUNCTION("GOOGLETRANSLATE(C655, ""en"", ""zh"")"),"omemo指纹复制到剪贴板！")</f>
        <v>omemo指纹复制到剪贴板！</v>
      </c>
      <c r="AL655" s="6" t="s">
        <v>13637</v>
      </c>
    </row>
    <row r="656" ht="15.75" customHeight="1">
      <c r="A656" s="1" t="s">
        <v>127</v>
      </c>
      <c r="B656" s="1" t="s">
        <v>13638</v>
      </c>
      <c r="C656" s="1" t="s">
        <v>13639</v>
      </c>
      <c r="D656" s="8" t="s">
        <v>13640</v>
      </c>
      <c r="E656" s="1" t="s">
        <v>13641</v>
      </c>
      <c r="F656" s="6" t="s">
        <v>132</v>
      </c>
      <c r="G656" s="1" t="s">
        <v>13642</v>
      </c>
      <c r="H656" s="1" t="s">
        <v>13643</v>
      </c>
      <c r="I656" s="1" t="s">
        <v>13644</v>
      </c>
      <c r="J656" s="6" t="s">
        <v>13645</v>
      </c>
      <c r="K656" s="1" t="s">
        <v>13646</v>
      </c>
      <c r="L656" s="1" t="s">
        <v>13647</v>
      </c>
      <c r="M656" s="1" t="s">
        <v>13648</v>
      </c>
      <c r="N656" s="6" t="s">
        <v>132</v>
      </c>
      <c r="O656" s="6" t="s">
        <v>13649</v>
      </c>
      <c r="P656" s="1" t="s">
        <v>13650</v>
      </c>
      <c r="Q656" s="1" t="s">
        <v>13651</v>
      </c>
      <c r="R656" s="1" t="s">
        <v>13639</v>
      </c>
      <c r="S656" s="10" t="s">
        <v>13652</v>
      </c>
      <c r="T656" s="1" t="s">
        <v>13653</v>
      </c>
      <c r="U656" s="1" t="s">
        <v>9837</v>
      </c>
      <c r="V656" s="1" t="s">
        <v>13654</v>
      </c>
      <c r="W656" s="1" t="s">
        <v>13655</v>
      </c>
      <c r="X656" s="1" t="s">
        <v>13643</v>
      </c>
      <c r="Y656" s="1" t="s">
        <v>13643</v>
      </c>
      <c r="Z656" s="1" t="s">
        <v>13656</v>
      </c>
      <c r="AA656" s="1" t="s">
        <v>13657</v>
      </c>
      <c r="AB656" s="1" t="s">
        <v>13658</v>
      </c>
      <c r="AC656" s="1" t="s">
        <v>13642</v>
      </c>
      <c r="AD656" s="6" t="s">
        <v>13659</v>
      </c>
      <c r="AE656" s="1" t="s">
        <v>13660</v>
      </c>
      <c r="AF656" s="1" t="s">
        <v>13643</v>
      </c>
      <c r="AG656" s="6" t="s">
        <v>13661</v>
      </c>
      <c r="AH656" s="1" t="s">
        <v>13662</v>
      </c>
      <c r="AI656" s="6" t="s">
        <v>132</v>
      </c>
      <c r="AJ656" s="6" t="s">
        <v>13663</v>
      </c>
      <c r="AK656" s="1" t="s">
        <v>13664</v>
      </c>
      <c r="AL656" s="6" t="s">
        <v>132</v>
      </c>
    </row>
    <row r="657" ht="15.75" hidden="1" customHeight="1">
      <c r="A657" s="1" t="s">
        <v>38</v>
      </c>
      <c r="B657" s="1" t="s">
        <v>13665</v>
      </c>
      <c r="C657" s="1" t="s">
        <v>13666</v>
      </c>
      <c r="D657" s="7" t="str">
        <f>IFERROR(__xludf.DUMMYFUNCTION("GOOGLETRANSLATE(C657, ""en"", ""ar"")"),"موقف لاهث")</f>
        <v>موقف لاهث</v>
      </c>
      <c r="E657" s="1" t="s">
        <v>13667</v>
      </c>
      <c r="F657" s="6" t="s">
        <v>13668</v>
      </c>
      <c r="G657" s="7" t="str">
        <f>IFERROR(__xludf.DUMMYFUNCTION("GOOGLETRANSLATE(C657, ""en"", ""cs"")"),"Nefix pozice")</f>
        <v>Nefix pozice</v>
      </c>
      <c r="H657" s="7" t="str">
        <f>IFERROR(__xludf.DUMMYFUNCTION("GOOGLETRANSLATE(C657, ""en"", ""da"")"),"Unfix position.")</f>
        <v>Unfix position.</v>
      </c>
      <c r="I657" s="1" t="s">
        <v>13669</v>
      </c>
      <c r="J657" s="6" t="s">
        <v>132</v>
      </c>
      <c r="K657" s="1" t="s">
        <v>13670</v>
      </c>
      <c r="L657" s="7" t="str">
        <f>IFERROR(__xludf.DUMMYFUNCTION("GOOGLETRANSLATE(C657, ""en"", ""fi"")"),"Unflix-asema")</f>
        <v>Unflix-asema</v>
      </c>
      <c r="M657" s="1" t="s">
        <v>13671</v>
      </c>
      <c r="N657" s="6" t="s">
        <v>13672</v>
      </c>
      <c r="O657" s="6" t="s">
        <v>132</v>
      </c>
      <c r="P657" s="1" t="s">
        <v>13673</v>
      </c>
      <c r="Q657" s="7" t="str">
        <f>IFERROR(__xludf.DUMMYFUNCTION("GOOGLETRANSLATE(C657, ""en"", ""in"")"),"Posisi BESAR")</f>
        <v>Posisi BESAR</v>
      </c>
      <c r="R657" s="1" t="s">
        <v>13674</v>
      </c>
      <c r="S657" s="6" t="s">
        <v>132</v>
      </c>
      <c r="T657" s="1" t="s">
        <v>13675</v>
      </c>
      <c r="U657" s="7" t="str">
        <f>IFERROR(__xludf.DUMMYFUNCTION("GOOGLETRANSLATE(C657, ""en"", ""ko"")"),"unfix 위치")</f>
        <v>unfix 위치</v>
      </c>
      <c r="V657" s="7" t="str">
        <f>IFERROR(__xludf.DUMMYFUNCTION("GOOGLETRANSLATE(C657, ""en"", ""ms"")"),"Kedudukan tidak biasa")</f>
        <v>Kedudukan tidak biasa</v>
      </c>
      <c r="W657" s="1" t="s">
        <v>13676</v>
      </c>
      <c r="X657" s="7" t="str">
        <f>IFERROR(__xludf.DUMMYFUNCTION("GOOGLETRANSLATE(C657, ""en"", ""no"")"),"Unfix posisjon")</f>
        <v>Unfix posisjon</v>
      </c>
      <c r="Y657" s="1" t="s">
        <v>13677</v>
      </c>
      <c r="Z657" s="7" t="str">
        <f>IFERROR(__xludf.DUMMYFUNCTION("GOOGLETRANSLATE(C657, ""en"", ""pt"")"),"Posição de Unfix")</f>
        <v>Posição de Unfix</v>
      </c>
      <c r="AA657" s="7" t="str">
        <f>IFERROR(__xludf.DUMMYFUNCTION("GOOGLETRANSLATE(C657, ""en"", ""ro"")"),"Poziția incendioasă")</f>
        <v>Poziția incendioasă</v>
      </c>
      <c r="AB657" s="7" t="str">
        <f>IFERROR(__xludf.DUMMYFUNCTION("GOOGLETRANSLATE(C657, ""en"", ""ru"")"),"Позиция нефикс")</f>
        <v>Позиция нефикс</v>
      </c>
      <c r="AC657" s="7" t="str">
        <f>IFERROR(__xludf.DUMMYFUNCTION("GOOGLETRANSLATE(C657, ""en"", ""sk"")"),"Uznať")</f>
        <v>Uznať</v>
      </c>
      <c r="AD657" s="6" t="s">
        <v>132</v>
      </c>
      <c r="AE657" s="7" t="str">
        <f>IFERROR(__xludf.DUMMYFUNCTION("GOOGLETRANSLATE(C657, ""en"", ""sr"")"),"Нефикс")</f>
        <v>Нефикс</v>
      </c>
      <c r="AF657" s="7" t="str">
        <f>IFERROR(__xludf.DUMMYFUNCTION("GOOGLETRANSLATE(C657, ""en"", ""sv"")"),"Unfix position")</f>
        <v>Unfix position</v>
      </c>
      <c r="AG657" s="6" t="s">
        <v>132</v>
      </c>
      <c r="AH657" s="7" t="str">
        <f>IFERROR(__xludf.DUMMYFUNCTION("GOOGLETRANSLATE(C657, ""en"", ""tr"")"),"Açılış pozisyonu")</f>
        <v>Açılış pozisyonu</v>
      </c>
      <c r="AI657" s="6" t="s">
        <v>132</v>
      </c>
      <c r="AJ657" s="6" t="s">
        <v>132</v>
      </c>
      <c r="AK657" s="7" t="str">
        <f>IFERROR(__xludf.DUMMYFUNCTION("GOOGLETRANSLATE(C657, ""en"", ""zh"")"),"联系地位")</f>
        <v>联系地位</v>
      </c>
      <c r="AL657" s="6" t="s">
        <v>132</v>
      </c>
    </row>
    <row r="658" ht="15.75" customHeight="1">
      <c r="A658" s="1" t="s">
        <v>127</v>
      </c>
      <c r="B658" s="1" t="s">
        <v>13678</v>
      </c>
      <c r="C658" s="1" t="s">
        <v>13679</v>
      </c>
      <c r="D658" s="8" t="s">
        <v>13680</v>
      </c>
      <c r="E658" s="1" t="s">
        <v>13681</v>
      </c>
      <c r="F658" s="6" t="s">
        <v>132</v>
      </c>
      <c r="G658" s="1" t="s">
        <v>13682</v>
      </c>
      <c r="H658" s="1" t="s">
        <v>13683</v>
      </c>
      <c r="I658" s="1" t="s">
        <v>13684</v>
      </c>
      <c r="J658" s="6" t="s">
        <v>13685</v>
      </c>
      <c r="K658" s="1" t="s">
        <v>13686</v>
      </c>
      <c r="L658" s="1" t="s">
        <v>13687</v>
      </c>
      <c r="M658" s="1" t="s">
        <v>13688</v>
      </c>
      <c r="N658" s="6" t="s">
        <v>132</v>
      </c>
      <c r="O658" s="6" t="s">
        <v>13689</v>
      </c>
      <c r="P658" s="1" t="s">
        <v>13690</v>
      </c>
      <c r="Q658" s="1" t="s">
        <v>13691</v>
      </c>
      <c r="R658" s="1" t="s">
        <v>13692</v>
      </c>
      <c r="S658" s="10" t="s">
        <v>13693</v>
      </c>
      <c r="T658" s="1" t="s">
        <v>13694</v>
      </c>
      <c r="U658" s="1" t="s">
        <v>13695</v>
      </c>
      <c r="V658" s="1" t="s">
        <v>13696</v>
      </c>
      <c r="W658" s="1" t="s">
        <v>13697</v>
      </c>
      <c r="X658" s="1" t="s">
        <v>13698</v>
      </c>
      <c r="Y658" s="1" t="s">
        <v>13699</v>
      </c>
      <c r="Z658" s="1" t="s">
        <v>13700</v>
      </c>
      <c r="AA658" s="1" t="s">
        <v>13701</v>
      </c>
      <c r="AB658" s="1" t="s">
        <v>13702</v>
      </c>
      <c r="AC658" s="1" t="s">
        <v>13703</v>
      </c>
      <c r="AD658" s="6" t="s">
        <v>13704</v>
      </c>
      <c r="AE658" s="1" t="s">
        <v>13679</v>
      </c>
      <c r="AF658" s="1" t="s">
        <v>13705</v>
      </c>
      <c r="AG658" s="6" t="s">
        <v>13706</v>
      </c>
      <c r="AH658" s="1" t="s">
        <v>13707</v>
      </c>
      <c r="AI658" s="6" t="s">
        <v>132</v>
      </c>
      <c r="AJ658" s="6" t="s">
        <v>13708</v>
      </c>
      <c r="AK658" s="1" t="s">
        <v>13709</v>
      </c>
      <c r="AL658" s="6" t="s">
        <v>132</v>
      </c>
    </row>
    <row r="659" ht="15.75" customHeight="1">
      <c r="A659" s="1" t="s">
        <v>127</v>
      </c>
      <c r="B659" s="1" t="s">
        <v>13710</v>
      </c>
      <c r="C659" s="1" t="s">
        <v>13711</v>
      </c>
      <c r="D659" s="8" t="s">
        <v>13712</v>
      </c>
      <c r="E659" s="1" t="s">
        <v>13713</v>
      </c>
      <c r="F659" s="6" t="s">
        <v>132</v>
      </c>
      <c r="G659" s="1" t="s">
        <v>13714</v>
      </c>
      <c r="H659" s="1" t="s">
        <v>13715</v>
      </c>
      <c r="I659" s="1" t="s">
        <v>13716</v>
      </c>
      <c r="J659" s="6" t="s">
        <v>13717</v>
      </c>
      <c r="K659" s="1" t="s">
        <v>13718</v>
      </c>
      <c r="L659" s="1" t="s">
        <v>13719</v>
      </c>
      <c r="M659" s="1" t="s">
        <v>13720</v>
      </c>
      <c r="N659" s="6" t="s">
        <v>132</v>
      </c>
      <c r="O659" s="6" t="s">
        <v>13721</v>
      </c>
      <c r="P659" s="1" t="s">
        <v>13722</v>
      </c>
      <c r="Q659" s="1" t="s">
        <v>13723</v>
      </c>
      <c r="R659" s="1" t="s">
        <v>13724</v>
      </c>
      <c r="S659" s="10" t="s">
        <v>13725</v>
      </c>
      <c r="T659" s="1" t="s">
        <v>13726</v>
      </c>
      <c r="U659" s="1" t="s">
        <v>13727</v>
      </c>
      <c r="V659" s="1" t="s">
        <v>13728</v>
      </c>
      <c r="W659" s="1" t="s">
        <v>13729</v>
      </c>
      <c r="X659" s="1" t="s">
        <v>13730</v>
      </c>
      <c r="Y659" s="1" t="s">
        <v>13731</v>
      </c>
      <c r="Z659" s="1" t="s">
        <v>13732</v>
      </c>
      <c r="AA659" s="1" t="s">
        <v>13733</v>
      </c>
      <c r="AB659" s="1" t="s">
        <v>13734</v>
      </c>
      <c r="AC659" s="1" t="s">
        <v>13735</v>
      </c>
      <c r="AD659" s="6" t="s">
        <v>13736</v>
      </c>
      <c r="AE659" s="1" t="s">
        <v>13722</v>
      </c>
      <c r="AF659" s="1" t="s">
        <v>13737</v>
      </c>
      <c r="AG659" s="6" t="s">
        <v>13738</v>
      </c>
      <c r="AH659" s="1" t="s">
        <v>13739</v>
      </c>
      <c r="AI659" s="6" t="s">
        <v>132</v>
      </c>
      <c r="AJ659" s="6" t="s">
        <v>13740</v>
      </c>
      <c r="AK659" s="1" t="s">
        <v>13741</v>
      </c>
      <c r="AL659" s="6" t="s">
        <v>13742</v>
      </c>
    </row>
    <row r="660" ht="15.75" hidden="1" customHeight="1">
      <c r="A660" s="1" t="s">
        <v>38</v>
      </c>
      <c r="B660" s="1" t="s">
        <v>13743</v>
      </c>
      <c r="C660" s="1" t="s">
        <v>13744</v>
      </c>
      <c r="D660" s="7" t="str">
        <f>IFERROR(__xludf.DUMMYFUNCTION("GOOGLETRANSLATE(C660, ""en"", ""ar"")"),"جنوب أفريقيا")</f>
        <v>جنوب أفريقيا</v>
      </c>
      <c r="E660" s="7" t="str">
        <f>IFERROR(__xludf.DUMMYFUNCTION("GOOGLETRANSLATE(C660, ""en"", ""bg"")"),"Южна Африка")</f>
        <v>Южна Африка</v>
      </c>
      <c r="F660" s="6" t="s">
        <v>132</v>
      </c>
      <c r="G660" s="7" t="str">
        <f>IFERROR(__xludf.DUMMYFUNCTION("GOOGLETRANSLATE(C660, ""en"", ""cs"")"),"Jižní Afrika")</f>
        <v>Jižní Afrika</v>
      </c>
      <c r="H660" s="7" t="str">
        <f>IFERROR(__xludf.DUMMYFUNCTION("GOOGLETRANSLATE(C660, ""en"", ""da"")"),"Sydafrika")</f>
        <v>Sydafrika</v>
      </c>
      <c r="I660" s="1" t="s">
        <v>13745</v>
      </c>
      <c r="J660" s="6" t="s">
        <v>132</v>
      </c>
      <c r="K660" s="1" t="s">
        <v>13746</v>
      </c>
      <c r="L660" s="7" t="str">
        <f>IFERROR(__xludf.DUMMYFUNCTION("GOOGLETRANSLATE(C660, ""en"", ""fi"")"),"Etelä-Afrikka")</f>
        <v>Etelä-Afrikka</v>
      </c>
      <c r="M660" s="1" t="s">
        <v>13747</v>
      </c>
      <c r="N660" s="6" t="s">
        <v>132</v>
      </c>
      <c r="O660" s="6" t="s">
        <v>132</v>
      </c>
      <c r="P660" s="1" t="s">
        <v>13744</v>
      </c>
      <c r="Q660" s="7" t="str">
        <f>IFERROR(__xludf.DUMMYFUNCTION("GOOGLETRANSLATE(C660, ""en"", ""in"")"),"Afrika Selatan")</f>
        <v>Afrika Selatan</v>
      </c>
      <c r="R660" s="7" t="str">
        <f>IFERROR(__xludf.DUMMYFUNCTION("GOOGLETRANSLATE(C660, ""en"", ""it"")"),"Sud Africa")</f>
        <v>Sud Africa</v>
      </c>
      <c r="S660" s="6" t="s">
        <v>132</v>
      </c>
      <c r="T660" s="7" t="str">
        <f>IFERROR(__xludf.DUMMYFUNCTION("GOOGLETRANSLATE(C660, ""en"", ""ja"")"),"南アフリカ")</f>
        <v>南アフリカ</v>
      </c>
      <c r="U660" s="7" t="str">
        <f>IFERROR(__xludf.DUMMYFUNCTION("GOOGLETRANSLATE(C660, ""en"", ""ko"")"),"남아프리카")</f>
        <v>남아프리카</v>
      </c>
      <c r="V660" s="7" t="str">
        <f>IFERROR(__xludf.DUMMYFUNCTION("GOOGLETRANSLATE(C660, ""en"", ""ms"")"),"Afrika Selatan")</f>
        <v>Afrika Selatan</v>
      </c>
      <c r="W660" s="7" t="str">
        <f>IFERROR(__xludf.DUMMYFUNCTION("GOOGLETRANSLATE(C660, ""en"", ""nl"")"),"Zuid-Afrika")</f>
        <v>Zuid-Afrika</v>
      </c>
      <c r="X660" s="7" t="str">
        <f>IFERROR(__xludf.DUMMYFUNCTION("GOOGLETRANSLATE(C660, ""en"", ""no"")"),"Sør-Afrika")</f>
        <v>Sør-Afrika</v>
      </c>
      <c r="Y660" s="7" t="str">
        <f>IFERROR(__xludf.DUMMYFUNCTION("GOOGLETRANSLATE(C660, ""en"", ""pl"")"),"Afryka Południowa")</f>
        <v>Afryka Południowa</v>
      </c>
      <c r="Z660" s="7" t="str">
        <f>IFERROR(__xludf.DUMMYFUNCTION("GOOGLETRANSLATE(C660, ""en"", ""pt"")"),"África do Sul")</f>
        <v>África do Sul</v>
      </c>
      <c r="AA660" s="7" t="str">
        <f>IFERROR(__xludf.DUMMYFUNCTION("GOOGLETRANSLATE(C660, ""en"", ""ro"")"),"Africa de Sud")</f>
        <v>Africa de Sud</v>
      </c>
      <c r="AB660" s="1" t="s">
        <v>13748</v>
      </c>
      <c r="AC660" s="7" t="str">
        <f>IFERROR(__xludf.DUMMYFUNCTION("GOOGLETRANSLATE(C660, ""en"", ""sk"")"),"južná Afrika")</f>
        <v>južná Afrika</v>
      </c>
      <c r="AD660" s="6" t="s">
        <v>132</v>
      </c>
      <c r="AE660" s="1" t="s">
        <v>13749</v>
      </c>
      <c r="AF660" s="7" t="str">
        <f>IFERROR(__xludf.DUMMYFUNCTION("GOOGLETRANSLATE(C660, ""en"", ""sv"")"),"Sydafrika")</f>
        <v>Sydafrika</v>
      </c>
      <c r="AG660" s="6" t="s">
        <v>132</v>
      </c>
      <c r="AH660" s="7" t="str">
        <f>IFERROR(__xludf.DUMMYFUNCTION("GOOGLETRANSLATE(C660, ""en"", ""tr"")"),"Güney Afrika")</f>
        <v>Güney Afrika</v>
      </c>
      <c r="AI660" s="6" t="s">
        <v>132</v>
      </c>
      <c r="AJ660" s="6" t="s">
        <v>132</v>
      </c>
      <c r="AK660" s="7" t="str">
        <f>IFERROR(__xludf.DUMMYFUNCTION("GOOGLETRANSLATE(C660, ""en"", ""zh"")"),"南非")</f>
        <v>南非</v>
      </c>
      <c r="AL660" s="6" t="s">
        <v>132</v>
      </c>
    </row>
    <row r="661" ht="15.75" hidden="1" customHeight="1">
      <c r="A661" s="1" t="s">
        <v>38</v>
      </c>
      <c r="B661" s="1" t="s">
        <v>13750</v>
      </c>
      <c r="C661" s="1" t="s">
        <v>13751</v>
      </c>
      <c r="D661" s="8" t="s">
        <v>13752</v>
      </c>
      <c r="E661" s="1" t="s">
        <v>13753</v>
      </c>
      <c r="F661" s="6" t="s">
        <v>13754</v>
      </c>
      <c r="G661" s="7" t="str">
        <f>IFERROR(__xludf.DUMMYFUNCTION("GOOGLETRANSLATE(C661, ""en"", ""cs"")"),"Rozhovorové konverzace")</f>
        <v>Rozhovorové konverzace</v>
      </c>
      <c r="H661" s="7" t="str">
        <f>IFERROR(__xludf.DUMMYFUNCTION("GOOGLETRANSLATE(C661, ""en"", ""da"")"),"ulæste samtaler")</f>
        <v>ulæste samtaler</v>
      </c>
      <c r="I661" s="1" t="s">
        <v>13755</v>
      </c>
      <c r="J661" s="6" t="s">
        <v>132</v>
      </c>
      <c r="K661" s="1" t="s">
        <v>13756</v>
      </c>
      <c r="L661" s="7" t="str">
        <f>IFERROR(__xludf.DUMMYFUNCTION("GOOGLETRANSLATE(C661, ""en"", ""fi"")"),"lukemattomat keskustelut")</f>
        <v>lukemattomat keskustelut</v>
      </c>
      <c r="M661" s="1" t="s">
        <v>13757</v>
      </c>
      <c r="N661" s="6" t="s">
        <v>13758</v>
      </c>
      <c r="O661" s="6" t="s">
        <v>132</v>
      </c>
      <c r="P661" s="1" t="s">
        <v>13759</v>
      </c>
      <c r="Q661" s="9" t="s">
        <v>13760</v>
      </c>
      <c r="R661" s="1" t="s">
        <v>13761</v>
      </c>
      <c r="S661" s="6" t="s">
        <v>132</v>
      </c>
      <c r="T661" s="1" t="s">
        <v>13762</v>
      </c>
      <c r="U661" s="1" t="s">
        <v>13763</v>
      </c>
      <c r="V661" s="7" t="str">
        <f>IFERROR(__xludf.DUMMYFUNCTION("GOOGLETRANSLATE(C661, ""en"", ""ms"")"),"Perbualan yang belum dibaca.")</f>
        <v>Perbualan yang belum dibaca.</v>
      </c>
      <c r="W661" s="1" t="s">
        <v>13764</v>
      </c>
      <c r="X661" s="7" t="str">
        <f>IFERROR(__xludf.DUMMYFUNCTION("GOOGLETRANSLATE(C661, ""en"", ""no"")"),"uleste samtaler")</f>
        <v>uleste samtaler</v>
      </c>
      <c r="Y661" s="1" t="s">
        <v>13765</v>
      </c>
      <c r="Z661" s="1" t="s">
        <v>13766</v>
      </c>
      <c r="AA661" s="7" t="str">
        <f>IFERROR(__xludf.DUMMYFUNCTION("GOOGLETRANSLATE(C661, ""en"", ""ro"")"),"conversații necitite")</f>
        <v>conversații necitite</v>
      </c>
      <c r="AB661" s="1" t="s">
        <v>13767</v>
      </c>
      <c r="AC661" s="1" t="s">
        <v>13768</v>
      </c>
      <c r="AD661" s="6" t="s">
        <v>132</v>
      </c>
      <c r="AE661" s="1" t="s">
        <v>13769</v>
      </c>
      <c r="AF661" s="1" t="s">
        <v>13770</v>
      </c>
      <c r="AG661" s="6" t="s">
        <v>132</v>
      </c>
      <c r="AH661" s="7" t="str">
        <f>IFERROR(__xludf.DUMMYFUNCTION("GOOGLETRANSLATE(C661, ""en"", ""tr"")"),"Okunmamış konuşmalar")</f>
        <v>Okunmamış konuşmalar</v>
      </c>
      <c r="AI661" s="6" t="s">
        <v>13771</v>
      </c>
      <c r="AJ661" s="6" t="s">
        <v>13772</v>
      </c>
      <c r="AK661" s="7" t="str">
        <f>IFERROR(__xludf.DUMMYFUNCTION("GOOGLETRANSLATE(C661, ""en"", ""zh"")"),"未读谈话")</f>
        <v>未读谈话</v>
      </c>
      <c r="AL661" s="6" t="s">
        <v>13773</v>
      </c>
    </row>
    <row r="662" ht="15.75" customHeight="1">
      <c r="A662" s="1" t="s">
        <v>127</v>
      </c>
      <c r="B662" s="1" t="s">
        <v>13774</v>
      </c>
      <c r="C662" s="1" t="s">
        <v>13775</v>
      </c>
      <c r="D662" s="8" t="s">
        <v>13776</v>
      </c>
      <c r="E662" s="1" t="s">
        <v>13777</v>
      </c>
      <c r="F662" s="6" t="s">
        <v>132</v>
      </c>
      <c r="G662" s="1" t="s">
        <v>13778</v>
      </c>
      <c r="H662" s="1" t="s">
        <v>13779</v>
      </c>
      <c r="I662" s="1" t="s">
        <v>13780</v>
      </c>
      <c r="J662" s="6" t="s">
        <v>13781</v>
      </c>
      <c r="K662" s="1" t="s">
        <v>13782</v>
      </c>
      <c r="L662" s="1" t="s">
        <v>13783</v>
      </c>
      <c r="M662" s="1" t="s">
        <v>13784</v>
      </c>
      <c r="N662" s="6" t="s">
        <v>132</v>
      </c>
      <c r="O662" s="6" t="s">
        <v>13785</v>
      </c>
      <c r="P662" s="1" t="s">
        <v>13786</v>
      </c>
      <c r="Q662" s="1" t="s">
        <v>13787</v>
      </c>
      <c r="R662" s="1" t="s">
        <v>13788</v>
      </c>
      <c r="S662" s="10" t="s">
        <v>13789</v>
      </c>
      <c r="T662" s="1" t="s">
        <v>13790</v>
      </c>
      <c r="U662" s="1" t="s">
        <v>13791</v>
      </c>
      <c r="V662" s="1" t="s">
        <v>13792</v>
      </c>
      <c r="W662" s="1" t="s">
        <v>13793</v>
      </c>
      <c r="X662" s="1" t="s">
        <v>13794</v>
      </c>
      <c r="Y662" s="1" t="s">
        <v>13795</v>
      </c>
      <c r="Z662" s="1" t="s">
        <v>13796</v>
      </c>
      <c r="AA662" s="1" t="s">
        <v>13797</v>
      </c>
      <c r="AB662" s="1" t="s">
        <v>13798</v>
      </c>
      <c r="AC662" s="1" t="s">
        <v>13799</v>
      </c>
      <c r="AD662" s="6" t="s">
        <v>13800</v>
      </c>
      <c r="AE662" s="1" t="s">
        <v>13801</v>
      </c>
      <c r="AF662" s="1" t="s">
        <v>13802</v>
      </c>
      <c r="AG662" s="6" t="s">
        <v>13803</v>
      </c>
      <c r="AH662" s="1" t="s">
        <v>13804</v>
      </c>
      <c r="AI662" s="6" t="s">
        <v>132</v>
      </c>
      <c r="AJ662" s="6" t="s">
        <v>13805</v>
      </c>
      <c r="AK662" s="1" t="s">
        <v>13806</v>
      </c>
      <c r="AL662" s="6" t="s">
        <v>13807</v>
      </c>
    </row>
    <row r="663" ht="15.75" customHeight="1">
      <c r="A663" s="1" t="s">
        <v>127</v>
      </c>
      <c r="B663" s="1" t="s">
        <v>13808</v>
      </c>
      <c r="C663" s="1" t="s">
        <v>13809</v>
      </c>
      <c r="D663" s="8" t="s">
        <v>13810</v>
      </c>
      <c r="E663" s="1" t="s">
        <v>13811</v>
      </c>
      <c r="F663" s="6" t="s">
        <v>132</v>
      </c>
      <c r="G663" s="1" t="s">
        <v>13812</v>
      </c>
      <c r="H663" s="1" t="s">
        <v>13813</v>
      </c>
      <c r="I663" s="1" t="s">
        <v>13814</v>
      </c>
      <c r="J663" s="6" t="s">
        <v>13815</v>
      </c>
      <c r="K663" s="1" t="s">
        <v>13816</v>
      </c>
      <c r="L663" s="1" t="s">
        <v>13817</v>
      </c>
      <c r="M663" s="1" t="s">
        <v>13818</v>
      </c>
      <c r="N663" s="6" t="s">
        <v>132</v>
      </c>
      <c r="O663" s="6" t="s">
        <v>13819</v>
      </c>
      <c r="P663" s="1" t="s">
        <v>13820</v>
      </c>
      <c r="Q663" s="1" t="s">
        <v>13821</v>
      </c>
      <c r="R663" s="1" t="s">
        <v>13822</v>
      </c>
      <c r="S663" s="10" t="s">
        <v>13823</v>
      </c>
      <c r="T663" s="1" t="s">
        <v>9997</v>
      </c>
      <c r="U663" s="1" t="s">
        <v>13824</v>
      </c>
      <c r="V663" s="1" t="s">
        <v>13825</v>
      </c>
      <c r="W663" s="1" t="s">
        <v>13826</v>
      </c>
      <c r="X663" s="1" t="s">
        <v>13827</v>
      </c>
      <c r="Y663" s="1" t="s">
        <v>13828</v>
      </c>
      <c r="Z663" s="1" t="s">
        <v>13829</v>
      </c>
      <c r="AA663" s="1" t="s">
        <v>13830</v>
      </c>
      <c r="AB663" s="1" t="s">
        <v>13831</v>
      </c>
      <c r="AC663" s="1" t="s">
        <v>13832</v>
      </c>
      <c r="AD663" s="6" t="s">
        <v>13833</v>
      </c>
      <c r="AE663" s="1" t="s">
        <v>13834</v>
      </c>
      <c r="AF663" s="1" t="s">
        <v>13835</v>
      </c>
      <c r="AG663" s="6" t="s">
        <v>13836</v>
      </c>
      <c r="AH663" s="1" t="s">
        <v>13837</v>
      </c>
      <c r="AI663" s="6" t="s">
        <v>132</v>
      </c>
      <c r="AJ663" s="6" t="s">
        <v>13838</v>
      </c>
      <c r="AK663" s="1" t="s">
        <v>13839</v>
      </c>
      <c r="AL663" s="6" t="s">
        <v>132</v>
      </c>
    </row>
    <row r="664" ht="15.75" customHeight="1">
      <c r="A664" s="1" t="s">
        <v>127</v>
      </c>
      <c r="B664" s="1" t="s">
        <v>13840</v>
      </c>
      <c r="C664" s="1" t="s">
        <v>13841</v>
      </c>
      <c r="D664" s="8" t="s">
        <v>13842</v>
      </c>
      <c r="E664" s="1" t="s">
        <v>13843</v>
      </c>
      <c r="F664" s="6" t="s">
        <v>132</v>
      </c>
      <c r="G664" s="1" t="s">
        <v>13844</v>
      </c>
      <c r="H664" s="1" t="s">
        <v>13845</v>
      </c>
      <c r="I664" s="1" t="s">
        <v>13846</v>
      </c>
      <c r="J664" s="6" t="s">
        <v>13847</v>
      </c>
      <c r="K664" s="1" t="s">
        <v>13848</v>
      </c>
      <c r="L664" s="1" t="s">
        <v>13849</v>
      </c>
      <c r="M664" s="1" t="s">
        <v>13850</v>
      </c>
      <c r="N664" s="6" t="s">
        <v>132</v>
      </c>
      <c r="O664" s="6" t="s">
        <v>13851</v>
      </c>
      <c r="P664" s="1" t="s">
        <v>13852</v>
      </c>
      <c r="Q664" s="1" t="s">
        <v>13853</v>
      </c>
      <c r="R664" s="1" t="s">
        <v>13854</v>
      </c>
      <c r="S664" s="10" t="s">
        <v>13855</v>
      </c>
      <c r="T664" s="1" t="s">
        <v>13856</v>
      </c>
      <c r="U664" s="1" t="s">
        <v>13857</v>
      </c>
      <c r="V664" s="1" t="s">
        <v>13858</v>
      </c>
      <c r="W664" s="1" t="s">
        <v>13859</v>
      </c>
      <c r="X664" s="1" t="s">
        <v>13860</v>
      </c>
      <c r="Y664" s="1" t="s">
        <v>13861</v>
      </c>
      <c r="Z664" s="1" t="s">
        <v>13862</v>
      </c>
      <c r="AA664" s="1" t="s">
        <v>13863</v>
      </c>
      <c r="AB664" s="1" t="s">
        <v>13864</v>
      </c>
      <c r="AC664" s="1" t="s">
        <v>13865</v>
      </c>
      <c r="AD664" s="6" t="s">
        <v>13866</v>
      </c>
      <c r="AE664" s="1" t="s">
        <v>13867</v>
      </c>
      <c r="AF664" s="1" t="s">
        <v>13868</v>
      </c>
      <c r="AG664" s="6" t="s">
        <v>13869</v>
      </c>
      <c r="AH664" s="1" t="s">
        <v>13870</v>
      </c>
      <c r="AI664" s="6" t="s">
        <v>132</v>
      </c>
      <c r="AJ664" s="6" t="s">
        <v>13871</v>
      </c>
      <c r="AK664" s="1" t="s">
        <v>13872</v>
      </c>
      <c r="AL664" s="6" t="s">
        <v>132</v>
      </c>
    </row>
    <row r="665" ht="15.75" hidden="1" customHeight="1">
      <c r="A665" s="1" t="s">
        <v>38</v>
      </c>
      <c r="B665" s="1" t="s">
        <v>13873</v>
      </c>
      <c r="C665" s="1" t="s">
        <v>13874</v>
      </c>
      <c r="D665" s="7" t="str">
        <f>IFERROR(__xludf.DUMMYFUNCTION("GOOGLETRANSLATE(C665, ""en"", ""ar"")"),"ألبانيا")</f>
        <v>ألبانيا</v>
      </c>
      <c r="E665" s="7" t="str">
        <f>IFERROR(__xludf.DUMMYFUNCTION("GOOGLETRANSLATE(C665, ""en"", ""bg"")"),"Албания")</f>
        <v>Албания</v>
      </c>
      <c r="F665" s="6" t="s">
        <v>132</v>
      </c>
      <c r="G665" s="7" t="str">
        <f>IFERROR(__xludf.DUMMYFUNCTION("GOOGLETRANSLATE(C665, ""en"", ""cs"")"),"Albánie")</f>
        <v>Albánie</v>
      </c>
      <c r="H665" s="7" t="str">
        <f>IFERROR(__xludf.DUMMYFUNCTION("GOOGLETRANSLATE(C665, ""en"", ""da"")"),"Albania.")</f>
        <v>Albania.</v>
      </c>
      <c r="I665" s="1" t="s">
        <v>13875</v>
      </c>
      <c r="J665" s="6" t="s">
        <v>132</v>
      </c>
      <c r="K665" s="1" t="s">
        <v>13874</v>
      </c>
      <c r="L665" s="7" t="str">
        <f>IFERROR(__xludf.DUMMYFUNCTION("GOOGLETRANSLATE(C665, ""en"", ""fi"")"),"Albania")</f>
        <v>Albania</v>
      </c>
      <c r="M665" s="1" t="s">
        <v>13876</v>
      </c>
      <c r="N665" s="6" t="s">
        <v>132</v>
      </c>
      <c r="O665" s="6" t="s">
        <v>132</v>
      </c>
      <c r="P665" s="1" t="s">
        <v>13874</v>
      </c>
      <c r="Q665" s="7" t="str">
        <f>IFERROR(__xludf.DUMMYFUNCTION("GOOGLETRANSLATE(C665, ""en"", ""in"")"),"Albania")</f>
        <v>Albania</v>
      </c>
      <c r="R665" s="7" t="str">
        <f>IFERROR(__xludf.DUMMYFUNCTION("GOOGLETRANSLATE(C665, ""en"", ""it"")"),"Albania")</f>
        <v>Albania</v>
      </c>
      <c r="S665" s="6" t="s">
        <v>132</v>
      </c>
      <c r="T665" s="7" t="str">
        <f>IFERROR(__xludf.DUMMYFUNCTION("GOOGLETRANSLATE(C665, ""en"", ""ja"")"),"アルバニア")</f>
        <v>アルバニア</v>
      </c>
      <c r="U665" s="7" t="str">
        <f>IFERROR(__xludf.DUMMYFUNCTION("GOOGLETRANSLATE(C665, ""en"", ""ko"")"),"알바니아")</f>
        <v>알바니아</v>
      </c>
      <c r="V665" s="7" t="str">
        <f>IFERROR(__xludf.DUMMYFUNCTION("GOOGLETRANSLATE(C665, ""en"", ""ms"")"),"Albania")</f>
        <v>Albania</v>
      </c>
      <c r="W665" s="7" t="str">
        <f>IFERROR(__xludf.DUMMYFUNCTION("GOOGLETRANSLATE(C665, ""en"", ""nl"")"),"Albanië")</f>
        <v>Albanië</v>
      </c>
      <c r="X665" s="7" t="str">
        <f>IFERROR(__xludf.DUMMYFUNCTION("GOOGLETRANSLATE(C665, ""en"", ""no"")"),"Albania.")</f>
        <v>Albania.</v>
      </c>
      <c r="Y665" s="7" t="str">
        <f>IFERROR(__xludf.DUMMYFUNCTION("GOOGLETRANSLATE(C665, ""en"", ""pl"")"),"Albania")</f>
        <v>Albania</v>
      </c>
      <c r="Z665" s="7" t="str">
        <f>IFERROR(__xludf.DUMMYFUNCTION("GOOGLETRANSLATE(C665, ""en"", ""pt"")"),"Albânia")</f>
        <v>Albânia</v>
      </c>
      <c r="AA665" s="7" t="str">
        <f>IFERROR(__xludf.DUMMYFUNCTION("GOOGLETRANSLATE(C665, ""en"", ""ro"")"),"Albania")</f>
        <v>Albania</v>
      </c>
      <c r="AB665" s="1" t="s">
        <v>13877</v>
      </c>
      <c r="AC665" s="7" t="str">
        <f>IFERROR(__xludf.DUMMYFUNCTION("GOOGLETRANSLATE(C665, ""en"", ""sk"")"),"Albánsko")</f>
        <v>Albánsko</v>
      </c>
      <c r="AD665" s="6" t="s">
        <v>132</v>
      </c>
      <c r="AE665" s="1" t="s">
        <v>13878</v>
      </c>
      <c r="AF665" s="7" t="str">
        <f>IFERROR(__xludf.DUMMYFUNCTION("GOOGLETRANSLATE(C665, ""en"", ""sv"")"),"Albanien")</f>
        <v>Albanien</v>
      </c>
      <c r="AG665" s="6" t="s">
        <v>132</v>
      </c>
      <c r="AH665" s="7" t="str">
        <f>IFERROR(__xludf.DUMMYFUNCTION("GOOGLETRANSLATE(C665, ""en"", ""tr"")"),"Arnavutluk")</f>
        <v>Arnavutluk</v>
      </c>
      <c r="AI665" s="6" t="s">
        <v>132</v>
      </c>
      <c r="AJ665" s="6" t="s">
        <v>132</v>
      </c>
      <c r="AK665" s="7" t="str">
        <f>IFERROR(__xludf.DUMMYFUNCTION("GOOGLETRANSLATE(C665, ""en"", ""zh"")"),"阿尔巴尼亚")</f>
        <v>阿尔巴尼亚</v>
      </c>
      <c r="AL665" s="6" t="s">
        <v>132</v>
      </c>
    </row>
    <row r="666" ht="15.75" hidden="1" customHeight="1">
      <c r="A666" s="1" t="s">
        <v>38</v>
      </c>
      <c r="B666" s="1" t="s">
        <v>13879</v>
      </c>
      <c r="C666" s="1" t="s">
        <v>13880</v>
      </c>
      <c r="D666" s="7" t="str">
        <f>IFERROR(__xludf.DUMMYFUNCTION("GOOGLETRANSLATE(C666, ""en"", ""ar"")"),"يرجى الانتظار (٪ ق)")</f>
        <v>يرجى الانتظار (٪ ق)</v>
      </c>
      <c r="E666" s="1" t="s">
        <v>13881</v>
      </c>
      <c r="F666" s="6" t="s">
        <v>132</v>
      </c>
      <c r="G666" s="7" t="str">
        <f>IFERROR(__xludf.DUMMYFUNCTION("GOOGLETRANSLATE(C666, ""en"", ""cs"")"),"Čekejte prosím (% s)")</f>
        <v>Čekejte prosím (% s)</v>
      </c>
      <c r="H666" s="7" t="str">
        <f>IFERROR(__xludf.DUMMYFUNCTION("GOOGLETRANSLATE(C666, ""en"", ""da"")"),"Vent venligst (% s)")</f>
        <v>Vent venligst (% s)</v>
      </c>
      <c r="I666" s="1" t="s">
        <v>13882</v>
      </c>
      <c r="J666" s="6" t="s">
        <v>132</v>
      </c>
      <c r="K666" s="1" t="s">
        <v>13883</v>
      </c>
      <c r="L666" s="7" t="str">
        <f>IFERROR(__xludf.DUMMYFUNCTION("GOOGLETRANSLATE(C666, ""en"", ""fi"")"),"Odota (% s)")</f>
        <v>Odota (% s)</v>
      </c>
      <c r="M666" s="13" t="s">
        <v>13884</v>
      </c>
      <c r="N666" s="6" t="s">
        <v>13885</v>
      </c>
      <c r="O666" s="6" t="s">
        <v>132</v>
      </c>
      <c r="P666" s="1" t="s">
        <v>13886</v>
      </c>
      <c r="Q666" s="7" t="str">
        <f>IFERROR(__xludf.DUMMYFUNCTION("GOOGLETRANSLATE(C666, ""en"", ""in"")"),"Harap tunggu (% s)")</f>
        <v>Harap tunggu (% s)</v>
      </c>
      <c r="R666" s="1" t="s">
        <v>13887</v>
      </c>
      <c r="S666" s="6" t="s">
        <v>132</v>
      </c>
      <c r="T666" s="7" t="str">
        <f>IFERROR(__xludf.DUMMYFUNCTION("GOOGLETRANSLATE(C666, ""en"", ""ja"")"),"待ってください（％s）")</f>
        <v>待ってください（％s）</v>
      </c>
      <c r="U666" s="7" t="str">
        <f>IFERROR(__xludf.DUMMYFUNCTION("GOOGLETRANSLATE(C666, ""en"", ""ko"")"),"기다려주십시오 (% s)")</f>
        <v>기다려주십시오 (% s)</v>
      </c>
      <c r="V666" s="7" t="str">
        <f>IFERROR(__xludf.DUMMYFUNCTION("GOOGLETRANSLATE(C666, ""en"", ""ms"")"),"Sila tunggu (% s)")</f>
        <v>Sila tunggu (% s)</v>
      </c>
      <c r="W666" s="1" t="s">
        <v>13888</v>
      </c>
      <c r="X666" s="7" t="str">
        <f>IFERROR(__xludf.DUMMYFUNCTION("GOOGLETRANSLATE(C666, ""en"", ""no"")"),"Vennligst vent (% s)")</f>
        <v>Vennligst vent (% s)</v>
      </c>
      <c r="Y666" s="1" t="s">
        <v>13889</v>
      </c>
      <c r="Z666" s="7" t="str">
        <f>IFERROR(__xludf.DUMMYFUNCTION("GOOGLETRANSLATE(C666, ""en"", ""pt"")"),"Por favor aguarde (% s)")</f>
        <v>Por favor aguarde (% s)</v>
      </c>
      <c r="AA666" s="7" t="str">
        <f>IFERROR(__xludf.DUMMYFUNCTION("GOOGLETRANSLATE(C666, ""en"", ""ro"")"),"Așteptați (% s)")</f>
        <v>Așteptați (% s)</v>
      </c>
      <c r="AB666" s="7" t="str">
        <f>IFERROR(__xludf.DUMMYFUNCTION("GOOGLETRANSLATE(C666, ""en"", ""ru"")"),"Пожалуйста, подождите (% ы)")</f>
        <v>Пожалуйста, подождите (% ы)</v>
      </c>
      <c r="AC666" s="7" t="str">
        <f>IFERROR(__xludf.DUMMYFUNCTION("GOOGLETRANSLATE(C666, ""en"", ""sk"")"),"Počkajte (% s)")</f>
        <v>Počkajte (% s)</v>
      </c>
      <c r="AD666" s="6" t="s">
        <v>132</v>
      </c>
      <c r="AE666" s="7" t="str">
        <f>IFERROR(__xludf.DUMMYFUNCTION("GOOGLETRANSLATE(C666, ""en"", ""sr"")"),"Молимо причекајте (% с)")</f>
        <v>Молимо причекајте (% с)</v>
      </c>
      <c r="AF666" s="7" t="str">
        <f>IFERROR(__xludf.DUMMYFUNCTION("GOOGLETRANSLATE(C666, ""en"", ""sv"")"),"Vänligen vänta (% s)")</f>
        <v>Vänligen vänta (% s)</v>
      </c>
      <c r="AG666" s="6" t="s">
        <v>132</v>
      </c>
      <c r="AH666" s="7" t="str">
        <f>IFERROR(__xludf.DUMMYFUNCTION("GOOGLETRANSLATE(C666, ""en"", ""tr"")"),"Lütfen bekleyin (% s)")</f>
        <v>Lütfen bekleyin (% s)</v>
      </c>
      <c r="AI666" s="6" t="s">
        <v>132</v>
      </c>
      <c r="AJ666" s="6" t="s">
        <v>132</v>
      </c>
      <c r="AK666" s="7" t="str">
        <f>IFERROR(__xludf.DUMMYFUNCTION("GOOGLETRANSLATE(C666, ""en"", ""zh"")"),"请等待（％s）")</f>
        <v>请等待（％s）</v>
      </c>
      <c r="AL666" s="6" t="s">
        <v>132</v>
      </c>
    </row>
    <row r="667" ht="15.75" hidden="1" customHeight="1">
      <c r="A667" s="1" t="s">
        <v>38</v>
      </c>
      <c r="B667" s="1" t="s">
        <v>13890</v>
      </c>
      <c r="C667" s="1" t="s">
        <v>13891</v>
      </c>
      <c r="D667" s="8" t="s">
        <v>13892</v>
      </c>
      <c r="E667" s="1" t="s">
        <v>13893</v>
      </c>
      <c r="F667" s="6" t="s">
        <v>13894</v>
      </c>
      <c r="G667" s="7" t="str">
        <f>IFERROR(__xludf.DUMMYFUNCTION("GOOGLETRANSLATE(C667, ""en"", ""cs"")"),"XEP-0163: PEP (avatary / Omemo)")</f>
        <v>XEP-0163: PEP (avatary / Omemo)</v>
      </c>
      <c r="H667" s="7" t="str">
        <f>IFERROR(__xludf.DUMMYFUNCTION("GOOGLETRANSLATE(C667, ""en"", ""da"")"),"XEP-0163: PEP (Avatarer / Omemo)")</f>
        <v>XEP-0163: PEP (Avatarer / Omemo)</v>
      </c>
      <c r="I667" s="1" t="s">
        <v>13895</v>
      </c>
      <c r="J667" s="6" t="s">
        <v>132</v>
      </c>
      <c r="K667" s="1" t="s">
        <v>13891</v>
      </c>
      <c r="L667" s="7" t="str">
        <f>IFERROR(__xludf.DUMMYFUNCTION("GOOGLETRANSLATE(C667, ""en"", ""fi"")"),"XEP-0163: PEP (Avatars / OMEMO)")</f>
        <v>XEP-0163: PEP (Avatars / OMEMO)</v>
      </c>
      <c r="M667" s="1" t="s">
        <v>13896</v>
      </c>
      <c r="N667" s="6" t="s">
        <v>13891</v>
      </c>
      <c r="O667" s="6" t="s">
        <v>132</v>
      </c>
      <c r="P667" s="1" t="s">
        <v>13891</v>
      </c>
      <c r="Q667" s="9" t="s">
        <v>13891</v>
      </c>
      <c r="R667" s="1" t="s">
        <v>13891</v>
      </c>
      <c r="S667" s="6" t="s">
        <v>132</v>
      </c>
      <c r="T667" s="1" t="s">
        <v>13897</v>
      </c>
      <c r="U667" s="1" t="s">
        <v>13891</v>
      </c>
      <c r="V667" s="7" t="str">
        <f>IFERROR(__xludf.DUMMYFUNCTION("GOOGLETRANSLATE(C667, ""en"", ""ms"")"),"XEP-0163: PEP (Avatar / Omemo)")</f>
        <v>XEP-0163: PEP (Avatar / Omemo)</v>
      </c>
      <c r="W667" s="1" t="s">
        <v>13891</v>
      </c>
      <c r="X667" s="7" t="str">
        <f>IFERROR(__xludf.DUMMYFUNCTION("GOOGLETRANSLATE(C667, ""en"", ""no"")"),"XEP-0163: PEP (Avatars / Omemo)")</f>
        <v>XEP-0163: PEP (Avatars / Omemo)</v>
      </c>
      <c r="Y667" s="1" t="s">
        <v>13898</v>
      </c>
      <c r="Z667" s="1" t="s">
        <v>13891</v>
      </c>
      <c r="AA667" s="7" t="str">
        <f>IFERROR(__xludf.DUMMYFUNCTION("GOOGLETRANSLATE(C667, ""en"", ""ro"")"),"XEP-0163: PEP (Avatare / Omemo)")</f>
        <v>XEP-0163: PEP (Avatare / Omemo)</v>
      </c>
      <c r="AB667" s="1" t="s">
        <v>13899</v>
      </c>
      <c r="AC667" s="1" t="s">
        <v>13891</v>
      </c>
      <c r="AD667" s="6" t="s">
        <v>132</v>
      </c>
      <c r="AE667" s="1" t="s">
        <v>13900</v>
      </c>
      <c r="AF667" s="1" t="s">
        <v>13901</v>
      </c>
      <c r="AG667" s="6" t="s">
        <v>132</v>
      </c>
      <c r="AH667" s="7" t="str">
        <f>IFERROR(__xludf.DUMMYFUNCTION("GOOGLETRANSLATE(C667, ""en"", ""tr"")"),"XEP-0163: PEP (Avatarlar / Omemo)")</f>
        <v>XEP-0163: PEP (Avatarlar / Omemo)</v>
      </c>
      <c r="AI667" s="6" t="s">
        <v>13902</v>
      </c>
      <c r="AJ667" s="6" t="s">
        <v>13891</v>
      </c>
      <c r="AK667" s="7" t="str">
        <f>IFERROR(__xludf.DUMMYFUNCTION("GOOGLETRANSLATE(C667, ""en"", ""zh"")"),"XEP-0163：PEP（头像/ omemo）")</f>
        <v>XEP-0163：PEP（头像/ omemo）</v>
      </c>
      <c r="AL667" s="6" t="s">
        <v>13903</v>
      </c>
    </row>
    <row r="668" ht="15.75" hidden="1" customHeight="1">
      <c r="A668" s="1" t="s">
        <v>38</v>
      </c>
      <c r="B668" s="1" t="s">
        <v>13904</v>
      </c>
      <c r="C668" s="1" t="s">
        <v>13905</v>
      </c>
      <c r="D668" s="7" t="str">
        <f>IFERROR(__xludf.DUMMYFUNCTION("GOOGLETRANSLATE(C668, ""en"", ""ar"")"),"إخطارات رؤساء")</f>
        <v>إخطارات رؤساء</v>
      </c>
      <c r="E668" s="1" t="s">
        <v>13906</v>
      </c>
      <c r="F668" s="6" t="s">
        <v>13907</v>
      </c>
      <c r="G668" s="7" t="str">
        <f>IFERROR(__xludf.DUMMYFUNCTION("GOOGLETRANSLATE(C668, ""en"", ""cs"")"),"Oznámení hlavy")</f>
        <v>Oznámení hlavy</v>
      </c>
      <c r="H668" s="7" t="str">
        <f>IFERROR(__xludf.DUMMYFUNCTION("GOOGLETRANSLATE(C668, ""en"", ""da"")"),"Heads-up meddelelser")</f>
        <v>Heads-up meddelelser</v>
      </c>
      <c r="I668" s="1" t="s">
        <v>13908</v>
      </c>
      <c r="J668" s="6" t="s">
        <v>132</v>
      </c>
      <c r="K668" s="1" t="s">
        <v>13909</v>
      </c>
      <c r="L668" s="7" t="str">
        <f>IFERROR(__xludf.DUMMYFUNCTION("GOOGLETRANSLATE(C668, ""en"", ""fi"")"),"Heads-up-ilmoitukset")</f>
        <v>Heads-up-ilmoitukset</v>
      </c>
      <c r="M668" s="1" t="s">
        <v>13910</v>
      </c>
      <c r="N668" s="6" t="s">
        <v>13911</v>
      </c>
      <c r="O668" s="6" t="s">
        <v>132</v>
      </c>
      <c r="P668" s="1" t="s">
        <v>13912</v>
      </c>
      <c r="Q668" s="7" t="str">
        <f>IFERROR(__xludf.DUMMYFUNCTION("GOOGLETRANSLATE(C668, ""en"", ""in"")"),"Pemberitahuan Heads-Up")</f>
        <v>Pemberitahuan Heads-Up</v>
      </c>
      <c r="R668" s="1" t="s">
        <v>13913</v>
      </c>
      <c r="S668" s="6" t="s">
        <v>132</v>
      </c>
      <c r="T668" s="1" t="s">
        <v>13914</v>
      </c>
      <c r="U668" s="7" t="str">
        <f>IFERROR(__xludf.DUMMYFUNCTION("GOOGLETRANSLATE(C668, ""en"", ""ko"")"),"헤드 업 알림")</f>
        <v>헤드 업 알림</v>
      </c>
      <c r="V668" s="7" t="str">
        <f>IFERROR(__xludf.DUMMYFUNCTION("GOOGLETRANSLATE(C668, ""en"", ""ms"")"),"Pemberitahuan kepala")</f>
        <v>Pemberitahuan kepala</v>
      </c>
      <c r="W668" s="1" t="s">
        <v>13915</v>
      </c>
      <c r="X668" s="7" t="str">
        <f>IFERROR(__xludf.DUMMYFUNCTION("GOOGLETRANSLATE(C668, ""en"", ""no"")"),"Heads-up varsler")</f>
        <v>Heads-up varsler</v>
      </c>
      <c r="Y668" s="1" t="s">
        <v>13916</v>
      </c>
      <c r="Z668" s="7" t="str">
        <f>IFERROR(__xludf.DUMMYFUNCTION("GOOGLETRANSLATE(C668, ""en"", ""pt"")"),"Notificações heads-up")</f>
        <v>Notificações heads-up</v>
      </c>
      <c r="AA668" s="7" t="str">
        <f>IFERROR(__xludf.DUMMYFUNCTION("GOOGLETRANSLATE(C668, ""en"", ""ro"")"),"Notificări heads-up")</f>
        <v>Notificări heads-up</v>
      </c>
      <c r="AB668" s="1" t="s">
        <v>13917</v>
      </c>
      <c r="AC668" s="7" t="str">
        <f>IFERROR(__xludf.DUMMYFUNCTION("GOOGLETRANSLATE(C668, ""en"", ""sk"")"),"Heads-up oznámenia")</f>
        <v>Heads-up oznámenia</v>
      </c>
      <c r="AD668" s="6" t="s">
        <v>132</v>
      </c>
      <c r="AE668" s="7" t="str">
        <f>IFERROR(__xludf.DUMMYFUNCTION("GOOGLETRANSLATE(C668, ""en"", ""sr"")"),"Главне обавештења")</f>
        <v>Главне обавештења</v>
      </c>
      <c r="AF668" s="7" t="str">
        <f>IFERROR(__xludf.DUMMYFUNCTION("GOOGLETRANSLATE(C668, ""en"", ""sv"")"),"Heads-up meddelanden")</f>
        <v>Heads-up meddelanden</v>
      </c>
      <c r="AG668" s="6" t="s">
        <v>132</v>
      </c>
      <c r="AH668" s="7" t="str">
        <f>IFERROR(__xludf.DUMMYFUNCTION("GOOGLETRANSLATE(C668, ""en"", ""tr"")"),"Heads-up bildirimleri")</f>
        <v>Heads-up bildirimleri</v>
      </c>
      <c r="AI668" s="6" t="s">
        <v>13918</v>
      </c>
      <c r="AJ668" s="6" t="s">
        <v>132</v>
      </c>
      <c r="AK668" s="7" t="str">
        <f>IFERROR(__xludf.DUMMYFUNCTION("GOOGLETRANSLATE(C668, ""en"", ""zh"")"),"抬头通知")</f>
        <v>抬头通知</v>
      </c>
      <c r="AL668" s="6" t="s">
        <v>13919</v>
      </c>
    </row>
    <row r="669" ht="15.75" hidden="1" customHeight="1">
      <c r="A669" s="1" t="s">
        <v>38</v>
      </c>
      <c r="B669" s="1" t="s">
        <v>13920</v>
      </c>
      <c r="C669" s="1" t="s">
        <v>13921</v>
      </c>
      <c r="D669" s="8" t="s">
        <v>13922</v>
      </c>
      <c r="E669" s="1" t="s">
        <v>13923</v>
      </c>
      <c r="F669" s="6" t="s">
        <v>13924</v>
      </c>
      <c r="G669" s="7" t="str">
        <f>IFERROR(__xludf.DUMMYFUNCTION("GOOGLETRANSLATE(C669, ""en"", ""cs"")"),"Nemohl změnit roli% s")</f>
        <v>Nemohl změnit roli% s</v>
      </c>
      <c r="H669" s="7" t="str">
        <f>IFERROR(__xludf.DUMMYFUNCTION("GOOGLETRANSLATE(C669, ""en"", ""da"")"),"Kunne ikke ændre rolle på% s")</f>
        <v>Kunne ikke ændre rolle på% s</v>
      </c>
      <c r="I669" s="1" t="s">
        <v>13925</v>
      </c>
      <c r="J669" s="6" t="s">
        <v>132</v>
      </c>
      <c r="K669" s="1" t="s">
        <v>13926</v>
      </c>
      <c r="L669" s="7" t="str">
        <f>IFERROR(__xludf.DUMMYFUNCTION("GOOGLETRANSLATE(C669, ""en"", ""fi"")"),"Ei voinut vaihtaa roolia% s")</f>
        <v>Ei voinut vaihtaa roolia% s</v>
      </c>
      <c r="M669" s="1" t="s">
        <v>13927</v>
      </c>
      <c r="N669" s="6" t="s">
        <v>13928</v>
      </c>
      <c r="O669" s="6" t="s">
        <v>132</v>
      </c>
      <c r="P669" s="1" t="s">
        <v>13929</v>
      </c>
      <c r="Q669" s="9" t="s">
        <v>13930</v>
      </c>
      <c r="R669" s="1" t="s">
        <v>13931</v>
      </c>
      <c r="S669" s="6" t="s">
        <v>132</v>
      </c>
      <c r="T669" s="1" t="s">
        <v>13932</v>
      </c>
      <c r="U669" s="1" t="s">
        <v>13933</v>
      </c>
      <c r="V669" s="7" t="str">
        <f>IFERROR(__xludf.DUMMYFUNCTION("GOOGLETRANSLATE(C669, ""en"", ""ms"")"),"Tidak dapat mengubah peranan% s")</f>
        <v>Tidak dapat mengubah peranan% s</v>
      </c>
      <c r="W669" s="1" t="s">
        <v>13934</v>
      </c>
      <c r="X669" s="7" t="str">
        <f>IFERROR(__xludf.DUMMYFUNCTION("GOOGLETRANSLATE(C669, ""en"", ""no"")"),"Kunne ikke endre rolle% s")</f>
        <v>Kunne ikke endre rolle% s</v>
      </c>
      <c r="Y669" s="1" t="s">
        <v>13935</v>
      </c>
      <c r="Z669" s="1" t="s">
        <v>13936</v>
      </c>
      <c r="AA669" s="7" t="str">
        <f>IFERROR(__xludf.DUMMYFUNCTION("GOOGLETRANSLATE(C669, ""en"", ""ro"")"),"Nu ar putea schimba rolul% s")</f>
        <v>Nu ar putea schimba rolul% s</v>
      </c>
      <c r="AB669" s="1" t="s">
        <v>13937</v>
      </c>
      <c r="AC669" s="1" t="s">
        <v>13938</v>
      </c>
      <c r="AD669" s="6" t="s">
        <v>132</v>
      </c>
      <c r="AE669" s="1" t="s">
        <v>13939</v>
      </c>
      <c r="AF669" s="1" t="s">
        <v>13940</v>
      </c>
      <c r="AG669" s="6" t="s">
        <v>132</v>
      </c>
      <c r="AH669" s="7" t="str">
        <f>IFERROR(__xludf.DUMMYFUNCTION("GOOGLETRANSLATE(C669, ""en"", ""tr"")"),"% S rolünü değiştiremedi")</f>
        <v>% S rolünü değiştiremedi</v>
      </c>
      <c r="AI669" s="6" t="s">
        <v>13941</v>
      </c>
      <c r="AJ669" s="6" t="s">
        <v>13942</v>
      </c>
      <c r="AK669" s="7" t="str">
        <f>IFERROR(__xludf.DUMMYFUNCTION("GOOGLETRANSLATE(C669, ""en"", ""zh"")"),"无法改变％s的角色")</f>
        <v>无法改变％s的角色</v>
      </c>
      <c r="AL669" s="6" t="s">
        <v>13943</v>
      </c>
    </row>
    <row r="670" ht="15.75" customHeight="1">
      <c r="A670" s="1" t="s">
        <v>127</v>
      </c>
      <c r="B670" s="1" t="s">
        <v>13944</v>
      </c>
      <c r="C670" s="1" t="s">
        <v>13945</v>
      </c>
      <c r="D670" s="8" t="s">
        <v>13946</v>
      </c>
      <c r="E670" s="1" t="s">
        <v>13947</v>
      </c>
      <c r="F670" s="6" t="s">
        <v>132</v>
      </c>
      <c r="G670" s="1" t="s">
        <v>13948</v>
      </c>
      <c r="H670" s="1" t="s">
        <v>13949</v>
      </c>
      <c r="I670" s="1" t="s">
        <v>13950</v>
      </c>
      <c r="J670" s="6" t="s">
        <v>13951</v>
      </c>
      <c r="K670" s="1" t="s">
        <v>13952</v>
      </c>
      <c r="L670" s="1" t="s">
        <v>13953</v>
      </c>
      <c r="M670" s="1" t="s">
        <v>13954</v>
      </c>
      <c r="N670" s="6" t="s">
        <v>132</v>
      </c>
      <c r="O670" s="6" t="s">
        <v>13955</v>
      </c>
      <c r="P670" s="1" t="s">
        <v>13956</v>
      </c>
      <c r="Q670" s="1" t="s">
        <v>13957</v>
      </c>
      <c r="R670" s="1" t="s">
        <v>13958</v>
      </c>
      <c r="S670" s="10" t="s">
        <v>13959</v>
      </c>
      <c r="T670" s="1" t="s">
        <v>13960</v>
      </c>
      <c r="U670" s="1" t="s">
        <v>13961</v>
      </c>
      <c r="V670" s="1" t="s">
        <v>13962</v>
      </c>
      <c r="W670" s="1" t="s">
        <v>13963</v>
      </c>
      <c r="X670" s="1" t="s">
        <v>13964</v>
      </c>
      <c r="Y670" s="1" t="s">
        <v>13965</v>
      </c>
      <c r="Z670" s="1" t="s">
        <v>13966</v>
      </c>
      <c r="AA670" s="1" t="s">
        <v>13967</v>
      </c>
      <c r="AB670" s="1" t="s">
        <v>13968</v>
      </c>
      <c r="AC670" s="1" t="s">
        <v>13969</v>
      </c>
      <c r="AD670" s="6" t="s">
        <v>13970</v>
      </c>
      <c r="AE670" s="1" t="s">
        <v>13971</v>
      </c>
      <c r="AF670" s="1" t="s">
        <v>13972</v>
      </c>
      <c r="AG670" s="6" t="s">
        <v>13973</v>
      </c>
      <c r="AH670" s="1" t="s">
        <v>13974</v>
      </c>
      <c r="AI670" s="6" t="s">
        <v>132</v>
      </c>
      <c r="AJ670" s="6" t="s">
        <v>13975</v>
      </c>
      <c r="AK670" s="1" t="s">
        <v>13976</v>
      </c>
      <c r="AL670" s="6" t="s">
        <v>13977</v>
      </c>
    </row>
    <row r="671" ht="15.75" customHeight="1">
      <c r="A671" s="1" t="s">
        <v>127</v>
      </c>
      <c r="B671" s="1" t="s">
        <v>13978</v>
      </c>
      <c r="C671" s="1" t="s">
        <v>13979</v>
      </c>
      <c r="D671" s="8" t="s">
        <v>13980</v>
      </c>
      <c r="E671" s="1" t="s">
        <v>13981</v>
      </c>
      <c r="F671" s="6" t="s">
        <v>132</v>
      </c>
      <c r="G671" s="1" t="s">
        <v>13982</v>
      </c>
      <c r="H671" s="1" t="s">
        <v>13983</v>
      </c>
      <c r="I671" s="1" t="s">
        <v>13984</v>
      </c>
      <c r="J671" s="6" t="s">
        <v>13985</v>
      </c>
      <c r="K671" s="1" t="s">
        <v>13986</v>
      </c>
      <c r="L671" s="1" t="s">
        <v>13987</v>
      </c>
      <c r="M671" s="1" t="s">
        <v>13988</v>
      </c>
      <c r="N671" s="6" t="s">
        <v>132</v>
      </c>
      <c r="O671" s="6" t="s">
        <v>13989</v>
      </c>
      <c r="P671" s="1" t="s">
        <v>13990</v>
      </c>
      <c r="Q671" s="1" t="s">
        <v>13991</v>
      </c>
      <c r="R671" s="1" t="s">
        <v>13992</v>
      </c>
      <c r="S671" s="10" t="s">
        <v>13993</v>
      </c>
      <c r="T671" s="1" t="s">
        <v>13994</v>
      </c>
      <c r="U671" s="1" t="s">
        <v>13995</v>
      </c>
      <c r="V671" s="1" t="s">
        <v>13996</v>
      </c>
      <c r="W671" s="1" t="s">
        <v>13997</v>
      </c>
      <c r="X671" s="1" t="s">
        <v>13998</v>
      </c>
      <c r="Y671" s="1" t="s">
        <v>13999</v>
      </c>
      <c r="Z671" s="1" t="s">
        <v>14000</v>
      </c>
      <c r="AA671" s="1" t="s">
        <v>14001</v>
      </c>
      <c r="AB671" s="1" t="s">
        <v>14002</v>
      </c>
      <c r="AC671" s="1" t="s">
        <v>14003</v>
      </c>
      <c r="AD671" s="6" t="s">
        <v>14004</v>
      </c>
      <c r="AE671" s="1" t="s">
        <v>14005</v>
      </c>
      <c r="AF671" s="1" t="s">
        <v>14006</v>
      </c>
      <c r="AG671" s="6" t="s">
        <v>14007</v>
      </c>
      <c r="AH671" s="1" t="s">
        <v>14008</v>
      </c>
      <c r="AI671" s="6" t="s">
        <v>132</v>
      </c>
      <c r="AJ671" s="6" t="s">
        <v>14009</v>
      </c>
      <c r="AK671" s="1" t="s">
        <v>14010</v>
      </c>
      <c r="AL671" s="6" t="s">
        <v>14011</v>
      </c>
    </row>
    <row r="672" ht="15.75" customHeight="1">
      <c r="A672" s="1" t="s">
        <v>127</v>
      </c>
      <c r="B672" s="1" t="s">
        <v>14012</v>
      </c>
      <c r="C672" s="1" t="s">
        <v>14013</v>
      </c>
      <c r="D672" s="8" t="s">
        <v>11138</v>
      </c>
      <c r="E672" s="1" t="s">
        <v>14014</v>
      </c>
      <c r="F672" s="6" t="s">
        <v>132</v>
      </c>
      <c r="G672" s="1" t="s">
        <v>14015</v>
      </c>
      <c r="H672" s="1" t="s">
        <v>14016</v>
      </c>
      <c r="I672" s="1" t="s">
        <v>14017</v>
      </c>
      <c r="J672" s="6" t="s">
        <v>14018</v>
      </c>
      <c r="K672" s="1" t="s">
        <v>14019</v>
      </c>
      <c r="L672" s="1" t="s">
        <v>14020</v>
      </c>
      <c r="M672" s="1" t="s">
        <v>14013</v>
      </c>
      <c r="N672" s="6" t="s">
        <v>132</v>
      </c>
      <c r="O672" s="6" t="s">
        <v>14021</v>
      </c>
      <c r="P672" s="1" t="s">
        <v>14022</v>
      </c>
      <c r="Q672" s="1" t="s">
        <v>14023</v>
      </c>
      <c r="R672" s="1" t="s">
        <v>14019</v>
      </c>
      <c r="S672" s="10" t="s">
        <v>14024</v>
      </c>
      <c r="T672" s="1" t="s">
        <v>14025</v>
      </c>
      <c r="U672" s="1" t="s">
        <v>14026</v>
      </c>
      <c r="V672" s="1" t="s">
        <v>14027</v>
      </c>
      <c r="W672" s="1" t="s">
        <v>14028</v>
      </c>
      <c r="X672" s="1" t="s">
        <v>14029</v>
      </c>
      <c r="Y672" s="1" t="s">
        <v>14015</v>
      </c>
      <c r="Z672" s="1" t="s">
        <v>14019</v>
      </c>
      <c r="AA672" s="1" t="s">
        <v>14016</v>
      </c>
      <c r="AB672" s="1" t="s">
        <v>14014</v>
      </c>
      <c r="AC672" s="1" t="s">
        <v>14030</v>
      </c>
      <c r="AD672" s="6" t="s">
        <v>14015</v>
      </c>
      <c r="AE672" s="1" t="s">
        <v>14016</v>
      </c>
      <c r="AF672" s="1" t="s">
        <v>14016</v>
      </c>
      <c r="AG672" s="6" t="s">
        <v>14031</v>
      </c>
      <c r="AH672" s="1" t="s">
        <v>14032</v>
      </c>
      <c r="AI672" s="6" t="s">
        <v>132</v>
      </c>
      <c r="AJ672" s="6" t="s">
        <v>14033</v>
      </c>
      <c r="AK672" s="1" t="s">
        <v>14034</v>
      </c>
      <c r="AL672" s="6" t="s">
        <v>14035</v>
      </c>
    </row>
    <row r="673" ht="15.75" customHeight="1">
      <c r="A673" s="1" t="s">
        <v>127</v>
      </c>
      <c r="B673" s="1" t="s">
        <v>14036</v>
      </c>
      <c r="C673" s="1" t="s">
        <v>14037</v>
      </c>
      <c r="D673" s="8" t="s">
        <v>14038</v>
      </c>
      <c r="E673" s="1" t="s">
        <v>14039</v>
      </c>
      <c r="F673" s="6" t="s">
        <v>132</v>
      </c>
      <c r="G673" s="1" t="s">
        <v>14040</v>
      </c>
      <c r="H673" s="1" t="s">
        <v>14041</v>
      </c>
      <c r="I673" s="1" t="s">
        <v>14037</v>
      </c>
      <c r="J673" s="6" t="s">
        <v>14042</v>
      </c>
      <c r="K673" s="1" t="s">
        <v>14043</v>
      </c>
      <c r="L673" s="1" t="s">
        <v>14044</v>
      </c>
      <c r="M673" s="1" t="s">
        <v>14045</v>
      </c>
      <c r="N673" s="6" t="s">
        <v>132</v>
      </c>
      <c r="O673" s="6" t="s">
        <v>14046</v>
      </c>
      <c r="P673" s="1" t="s">
        <v>14037</v>
      </c>
      <c r="Q673" s="1" t="s">
        <v>14047</v>
      </c>
      <c r="R673" s="1" t="s">
        <v>14048</v>
      </c>
      <c r="S673" s="10" t="s">
        <v>14049</v>
      </c>
      <c r="T673" s="1" t="s">
        <v>14050</v>
      </c>
      <c r="U673" s="1" t="s">
        <v>14051</v>
      </c>
      <c r="V673" s="1" t="s">
        <v>14052</v>
      </c>
      <c r="W673" s="1" t="s">
        <v>14041</v>
      </c>
      <c r="X673" s="1" t="s">
        <v>14041</v>
      </c>
      <c r="Y673" s="1" t="s">
        <v>14053</v>
      </c>
      <c r="Z673" s="1" t="s">
        <v>14043</v>
      </c>
      <c r="AA673" s="1" t="s">
        <v>14054</v>
      </c>
      <c r="AB673" s="1" t="s">
        <v>14039</v>
      </c>
      <c r="AC673" s="1" t="s">
        <v>14055</v>
      </c>
      <c r="AD673" s="6" t="s">
        <v>14056</v>
      </c>
      <c r="AE673" s="1" t="s">
        <v>14037</v>
      </c>
      <c r="AF673" s="1" t="s">
        <v>14037</v>
      </c>
      <c r="AG673" s="6" t="s">
        <v>14057</v>
      </c>
      <c r="AH673" s="1" t="s">
        <v>14058</v>
      </c>
      <c r="AI673" s="6" t="s">
        <v>132</v>
      </c>
      <c r="AJ673" s="6" t="s">
        <v>14059</v>
      </c>
      <c r="AK673" s="1" t="s">
        <v>14060</v>
      </c>
      <c r="AL673" s="6" t="s">
        <v>14061</v>
      </c>
    </row>
    <row r="674" ht="15.75" customHeight="1">
      <c r="A674" s="1" t="s">
        <v>127</v>
      </c>
      <c r="B674" s="1" t="s">
        <v>14062</v>
      </c>
      <c r="C674" s="1" t="s">
        <v>14063</v>
      </c>
      <c r="D674" s="8" t="s">
        <v>14064</v>
      </c>
      <c r="E674" s="1" t="s">
        <v>14065</v>
      </c>
      <c r="F674" s="6" t="s">
        <v>132</v>
      </c>
      <c r="G674" s="1" t="s">
        <v>14066</v>
      </c>
      <c r="H674" s="1" t="s">
        <v>14067</v>
      </c>
      <c r="I674" s="1" t="s">
        <v>14063</v>
      </c>
      <c r="J674" s="6" t="s">
        <v>14068</v>
      </c>
      <c r="K674" s="1" t="s">
        <v>14069</v>
      </c>
      <c r="L674" s="1" t="s">
        <v>14070</v>
      </c>
      <c r="M674" s="1" t="s">
        <v>14071</v>
      </c>
      <c r="N674" s="6" t="s">
        <v>132</v>
      </c>
      <c r="O674" s="6" t="s">
        <v>14072</v>
      </c>
      <c r="P674" s="1" t="s">
        <v>14063</v>
      </c>
      <c r="Q674" s="1" t="s">
        <v>14073</v>
      </c>
      <c r="R674" s="1" t="s">
        <v>14074</v>
      </c>
      <c r="S674" s="10" t="s">
        <v>14075</v>
      </c>
      <c r="T674" s="1" t="s">
        <v>14076</v>
      </c>
      <c r="U674" s="1" t="s">
        <v>14077</v>
      </c>
      <c r="V674" s="1" t="s">
        <v>14078</v>
      </c>
      <c r="W674" s="1" t="s">
        <v>14067</v>
      </c>
      <c r="X674" s="1" t="s">
        <v>14067</v>
      </c>
      <c r="Y674" s="1" t="s">
        <v>14079</v>
      </c>
      <c r="Z674" s="1" t="s">
        <v>14069</v>
      </c>
      <c r="AA674" s="1" t="s">
        <v>14080</v>
      </c>
      <c r="AB674" s="1" t="s">
        <v>14065</v>
      </c>
      <c r="AC674" s="1" t="s">
        <v>14081</v>
      </c>
      <c r="AD674" s="6" t="s">
        <v>14082</v>
      </c>
      <c r="AE674" s="1" t="s">
        <v>14063</v>
      </c>
      <c r="AF674" s="1" t="s">
        <v>14063</v>
      </c>
      <c r="AG674" s="6" t="s">
        <v>14083</v>
      </c>
      <c r="AH674" s="1" t="s">
        <v>14084</v>
      </c>
      <c r="AI674" s="6" t="s">
        <v>132</v>
      </c>
      <c r="AJ674" s="6" t="s">
        <v>14085</v>
      </c>
      <c r="AK674" s="1" t="s">
        <v>14086</v>
      </c>
      <c r="AL674" s="6" t="s">
        <v>14087</v>
      </c>
    </row>
    <row r="675" ht="15.75" customHeight="1">
      <c r="A675" s="1" t="s">
        <v>127</v>
      </c>
      <c r="B675" s="1" t="s">
        <v>14088</v>
      </c>
      <c r="C675" s="1" t="s">
        <v>14089</v>
      </c>
      <c r="D675" s="8" t="s">
        <v>14090</v>
      </c>
      <c r="E675" s="1" t="s">
        <v>14091</v>
      </c>
      <c r="F675" s="6" t="s">
        <v>132</v>
      </c>
      <c r="G675" s="1" t="s">
        <v>14092</v>
      </c>
      <c r="H675" s="1" t="s">
        <v>14093</v>
      </c>
      <c r="I675" s="1" t="s">
        <v>14094</v>
      </c>
      <c r="J675" s="6" t="s">
        <v>14095</v>
      </c>
      <c r="K675" s="1" t="s">
        <v>14096</v>
      </c>
      <c r="L675" s="1" t="s">
        <v>14097</v>
      </c>
      <c r="M675" s="1" t="s">
        <v>14098</v>
      </c>
      <c r="N675" s="6" t="s">
        <v>132</v>
      </c>
      <c r="O675" s="6" t="s">
        <v>14099</v>
      </c>
      <c r="P675" s="1" t="s">
        <v>14100</v>
      </c>
      <c r="Q675" s="1" t="s">
        <v>14101</v>
      </c>
      <c r="R675" s="1" t="s">
        <v>14102</v>
      </c>
      <c r="S675" s="10" t="s">
        <v>14103</v>
      </c>
      <c r="T675" s="1" t="s">
        <v>14104</v>
      </c>
      <c r="U675" s="1" t="s">
        <v>14105</v>
      </c>
      <c r="V675" s="1" t="s">
        <v>14101</v>
      </c>
      <c r="W675" s="1" t="s">
        <v>14106</v>
      </c>
      <c r="X675" s="1" t="s">
        <v>14093</v>
      </c>
      <c r="Y675" s="1" t="s">
        <v>14107</v>
      </c>
      <c r="Z675" s="1" t="s">
        <v>14108</v>
      </c>
      <c r="AA675" s="1" t="s">
        <v>14109</v>
      </c>
      <c r="AB675" s="1" t="s">
        <v>14110</v>
      </c>
      <c r="AC675" s="1" t="s">
        <v>14092</v>
      </c>
      <c r="AD675" s="6" t="s">
        <v>14111</v>
      </c>
      <c r="AE675" s="1" t="s">
        <v>14112</v>
      </c>
      <c r="AF675" s="1" t="s">
        <v>14093</v>
      </c>
      <c r="AG675" s="6" t="s">
        <v>14113</v>
      </c>
      <c r="AH675" s="1" t="s">
        <v>14114</v>
      </c>
      <c r="AI675" s="6" t="s">
        <v>132</v>
      </c>
      <c r="AJ675" s="6" t="s">
        <v>14115</v>
      </c>
      <c r="AK675" s="1" t="s">
        <v>14116</v>
      </c>
      <c r="AL675" s="6" t="s">
        <v>132</v>
      </c>
    </row>
    <row r="676" ht="15.75" customHeight="1">
      <c r="A676" s="1" t="s">
        <v>127</v>
      </c>
      <c r="B676" s="1" t="s">
        <v>14117</v>
      </c>
      <c r="C676" s="1" t="s">
        <v>14118</v>
      </c>
      <c r="D676" s="8" t="s">
        <v>14119</v>
      </c>
      <c r="E676" s="1" t="s">
        <v>14120</v>
      </c>
      <c r="F676" s="6" t="s">
        <v>132</v>
      </c>
      <c r="G676" s="1" t="s">
        <v>14121</v>
      </c>
      <c r="H676" s="1" t="s">
        <v>14118</v>
      </c>
      <c r="I676" s="1" t="s">
        <v>14118</v>
      </c>
      <c r="J676" s="6" t="s">
        <v>14122</v>
      </c>
      <c r="K676" s="1" t="s">
        <v>14118</v>
      </c>
      <c r="L676" s="1" t="s">
        <v>14121</v>
      </c>
      <c r="M676" s="1" t="s">
        <v>14118</v>
      </c>
      <c r="N676" s="6" t="s">
        <v>132</v>
      </c>
      <c r="O676" s="6" t="s">
        <v>14123</v>
      </c>
      <c r="P676" s="1" t="s">
        <v>14118</v>
      </c>
      <c r="Q676" s="1" t="s">
        <v>14118</v>
      </c>
      <c r="R676" s="1" t="s">
        <v>14118</v>
      </c>
      <c r="S676" s="10" t="s">
        <v>14124</v>
      </c>
      <c r="T676" s="1" t="s">
        <v>14125</v>
      </c>
      <c r="U676" s="1" t="s">
        <v>14118</v>
      </c>
      <c r="V676" s="1" t="s">
        <v>14118</v>
      </c>
      <c r="W676" s="1" t="s">
        <v>14118</v>
      </c>
      <c r="X676" s="1" t="s">
        <v>14118</v>
      </c>
      <c r="Y676" s="1" t="s">
        <v>14118</v>
      </c>
      <c r="Z676" s="1" t="s">
        <v>14126</v>
      </c>
      <c r="AA676" s="1" t="s">
        <v>14118</v>
      </c>
      <c r="AB676" s="1" t="s">
        <v>14127</v>
      </c>
      <c r="AC676" s="1" t="s">
        <v>14118</v>
      </c>
      <c r="AD676" s="6" t="s">
        <v>14118</v>
      </c>
      <c r="AE676" s="1" t="s">
        <v>14118</v>
      </c>
      <c r="AF676" s="1" t="s">
        <v>14118</v>
      </c>
      <c r="AG676" s="6" t="s">
        <v>14128</v>
      </c>
      <c r="AH676" s="1" t="s">
        <v>14129</v>
      </c>
      <c r="AI676" s="6" t="s">
        <v>132</v>
      </c>
      <c r="AJ676" s="6" t="s">
        <v>14118</v>
      </c>
      <c r="AK676" s="1" t="s">
        <v>14130</v>
      </c>
      <c r="AL676" s="6" t="s">
        <v>14131</v>
      </c>
    </row>
    <row r="677" ht="15.75" customHeight="1">
      <c r="A677" s="1" t="s">
        <v>127</v>
      </c>
      <c r="B677" s="1" t="s">
        <v>14132</v>
      </c>
      <c r="C677" s="1" t="s">
        <v>14133</v>
      </c>
      <c r="D677" s="8" t="s">
        <v>14134</v>
      </c>
      <c r="E677" s="1" t="s">
        <v>14135</v>
      </c>
      <c r="F677" s="6" t="s">
        <v>132</v>
      </c>
      <c r="G677" s="1" t="s">
        <v>14136</v>
      </c>
      <c r="H677" s="1" t="s">
        <v>14137</v>
      </c>
      <c r="I677" s="1" t="s">
        <v>14133</v>
      </c>
      <c r="J677" s="6" t="s">
        <v>14138</v>
      </c>
      <c r="K677" s="1" t="s">
        <v>14139</v>
      </c>
      <c r="L677" s="1" t="s">
        <v>14140</v>
      </c>
      <c r="M677" s="1" t="s">
        <v>14141</v>
      </c>
      <c r="N677" s="6" t="s">
        <v>132</v>
      </c>
      <c r="O677" s="6" t="s">
        <v>14142</v>
      </c>
      <c r="P677" s="1" t="s">
        <v>14133</v>
      </c>
      <c r="Q677" s="1" t="s">
        <v>14143</v>
      </c>
      <c r="R677" s="1" t="s">
        <v>14144</v>
      </c>
      <c r="S677" s="10" t="s">
        <v>14145</v>
      </c>
      <c r="T677" s="1" t="s">
        <v>14146</v>
      </c>
      <c r="U677" s="1" t="s">
        <v>14147</v>
      </c>
      <c r="V677" s="1" t="s">
        <v>14148</v>
      </c>
      <c r="W677" s="1" t="s">
        <v>14137</v>
      </c>
      <c r="X677" s="1" t="s">
        <v>14137</v>
      </c>
      <c r="Y677" s="1" t="s">
        <v>14149</v>
      </c>
      <c r="Z677" s="1" t="s">
        <v>14139</v>
      </c>
      <c r="AA677" s="1" t="s">
        <v>14150</v>
      </c>
      <c r="AB677" s="1" t="s">
        <v>14135</v>
      </c>
      <c r="AC677" s="1" t="s">
        <v>14151</v>
      </c>
      <c r="AD677" s="6" t="s">
        <v>14152</v>
      </c>
      <c r="AE677" s="1" t="s">
        <v>14133</v>
      </c>
      <c r="AF677" s="1" t="s">
        <v>14133</v>
      </c>
      <c r="AG677" s="6" t="s">
        <v>14153</v>
      </c>
      <c r="AH677" s="1" t="s">
        <v>14154</v>
      </c>
      <c r="AI677" s="6" t="s">
        <v>132</v>
      </c>
      <c r="AJ677" s="6" t="s">
        <v>14155</v>
      </c>
      <c r="AK677" s="1" t="s">
        <v>14156</v>
      </c>
      <c r="AL677" s="6" t="s">
        <v>14157</v>
      </c>
    </row>
    <row r="678" ht="15.75" customHeight="1">
      <c r="A678" s="1" t="s">
        <v>127</v>
      </c>
      <c r="B678" s="1" t="s">
        <v>14158</v>
      </c>
      <c r="C678" s="1" t="s">
        <v>14159</v>
      </c>
      <c r="D678" s="8" t="s">
        <v>14160</v>
      </c>
      <c r="E678" s="1" t="s">
        <v>14161</v>
      </c>
      <c r="F678" s="6" t="s">
        <v>132</v>
      </c>
      <c r="G678" s="1" t="s">
        <v>14162</v>
      </c>
      <c r="H678" s="1" t="s">
        <v>14163</v>
      </c>
      <c r="I678" s="1" t="s">
        <v>14164</v>
      </c>
      <c r="J678" s="6" t="s">
        <v>14165</v>
      </c>
      <c r="K678" s="1" t="s">
        <v>14166</v>
      </c>
      <c r="L678" s="1" t="s">
        <v>14167</v>
      </c>
      <c r="M678" s="1" t="s">
        <v>14168</v>
      </c>
      <c r="N678" s="6" t="s">
        <v>132</v>
      </c>
      <c r="O678" s="6" t="s">
        <v>14169</v>
      </c>
      <c r="P678" s="1" t="s">
        <v>14170</v>
      </c>
      <c r="Q678" s="1" t="s">
        <v>14171</v>
      </c>
      <c r="R678" s="1" t="s">
        <v>14172</v>
      </c>
      <c r="S678" s="10" t="s">
        <v>14173</v>
      </c>
      <c r="T678" s="1" t="s">
        <v>14174</v>
      </c>
      <c r="U678" s="1" t="s">
        <v>14175</v>
      </c>
      <c r="V678" s="1" t="s">
        <v>14176</v>
      </c>
      <c r="W678" s="1" t="s">
        <v>14177</v>
      </c>
      <c r="X678" s="1" t="s">
        <v>14178</v>
      </c>
      <c r="Y678" s="1" t="s">
        <v>14179</v>
      </c>
      <c r="Z678" s="1" t="s">
        <v>14180</v>
      </c>
      <c r="AA678" s="1" t="s">
        <v>14181</v>
      </c>
      <c r="AB678" s="1" t="s">
        <v>14182</v>
      </c>
      <c r="AC678" s="1" t="s">
        <v>14183</v>
      </c>
      <c r="AD678" s="6" t="s">
        <v>14184</v>
      </c>
      <c r="AE678" s="1" t="s">
        <v>14185</v>
      </c>
      <c r="AF678" s="1" t="s">
        <v>14186</v>
      </c>
      <c r="AG678" s="6" t="s">
        <v>14187</v>
      </c>
      <c r="AH678" s="1" t="s">
        <v>14188</v>
      </c>
      <c r="AI678" s="6" t="s">
        <v>132</v>
      </c>
      <c r="AJ678" s="6" t="s">
        <v>14189</v>
      </c>
      <c r="AK678" s="1" t="s">
        <v>14190</v>
      </c>
      <c r="AL678" s="6" t="s">
        <v>132</v>
      </c>
    </row>
    <row r="679" ht="15.75" customHeight="1">
      <c r="A679" s="1" t="s">
        <v>127</v>
      </c>
      <c r="B679" s="1" t="s">
        <v>14191</v>
      </c>
      <c r="C679" s="1" t="s">
        <v>5993</v>
      </c>
      <c r="D679" s="8" t="s">
        <v>5994</v>
      </c>
      <c r="E679" s="1" t="s">
        <v>5995</v>
      </c>
      <c r="F679" s="6" t="s">
        <v>132</v>
      </c>
      <c r="G679" s="1" t="s">
        <v>5996</v>
      </c>
      <c r="H679" s="1" t="s">
        <v>5997</v>
      </c>
      <c r="I679" s="1" t="s">
        <v>5998</v>
      </c>
      <c r="J679" s="6" t="s">
        <v>5999</v>
      </c>
      <c r="K679" s="1" t="s">
        <v>6000</v>
      </c>
      <c r="L679" s="1" t="s">
        <v>6001</v>
      </c>
      <c r="M679" s="1" t="s">
        <v>3437</v>
      </c>
      <c r="N679" s="6" t="s">
        <v>132</v>
      </c>
      <c r="O679" s="6" t="s">
        <v>6003</v>
      </c>
      <c r="P679" s="1" t="s">
        <v>6004</v>
      </c>
      <c r="Q679" s="1" t="s">
        <v>14192</v>
      </c>
      <c r="R679" s="1" t="s">
        <v>6006</v>
      </c>
      <c r="S679" s="10" t="s">
        <v>6007</v>
      </c>
      <c r="T679" s="1" t="s">
        <v>6008</v>
      </c>
      <c r="U679" s="1" t="s">
        <v>6009</v>
      </c>
      <c r="V679" s="1" t="s">
        <v>14192</v>
      </c>
      <c r="W679" s="1" t="s">
        <v>6010</v>
      </c>
      <c r="X679" s="1" t="s">
        <v>6011</v>
      </c>
      <c r="Y679" s="1" t="s">
        <v>6012</v>
      </c>
      <c r="Z679" s="1" t="s">
        <v>6013</v>
      </c>
      <c r="AA679" s="1" t="s">
        <v>6014</v>
      </c>
      <c r="AB679" s="1" t="s">
        <v>6015</v>
      </c>
      <c r="AC679" s="1" t="s">
        <v>6016</v>
      </c>
      <c r="AD679" s="6" t="s">
        <v>5996</v>
      </c>
      <c r="AE679" s="1" t="s">
        <v>6017</v>
      </c>
      <c r="AF679" s="1" t="s">
        <v>5997</v>
      </c>
      <c r="AG679" s="6" t="s">
        <v>6018</v>
      </c>
      <c r="AH679" s="1" t="s">
        <v>6019</v>
      </c>
      <c r="AI679" s="6" t="s">
        <v>132</v>
      </c>
      <c r="AJ679" s="6" t="s">
        <v>6020</v>
      </c>
      <c r="AK679" s="1" t="s">
        <v>6021</v>
      </c>
      <c r="AL679" s="6" t="s">
        <v>6022</v>
      </c>
    </row>
    <row r="680" ht="15.75" customHeight="1">
      <c r="A680" s="1" t="s">
        <v>127</v>
      </c>
      <c r="B680" s="1" t="s">
        <v>14193</v>
      </c>
      <c r="C680" s="1" t="s">
        <v>14194</v>
      </c>
      <c r="D680" s="8" t="s">
        <v>14195</v>
      </c>
      <c r="E680" s="1" t="s">
        <v>14196</v>
      </c>
      <c r="F680" s="6" t="s">
        <v>132</v>
      </c>
      <c r="G680" s="1" t="s">
        <v>14197</v>
      </c>
      <c r="H680" s="1" t="s">
        <v>14198</v>
      </c>
      <c r="I680" s="1" t="s">
        <v>14199</v>
      </c>
      <c r="J680" s="6" t="s">
        <v>14200</v>
      </c>
      <c r="K680" s="1" t="s">
        <v>14201</v>
      </c>
      <c r="L680" s="1" t="s">
        <v>14202</v>
      </c>
      <c r="M680" s="1" t="s">
        <v>14203</v>
      </c>
      <c r="N680" s="6" t="s">
        <v>132</v>
      </c>
      <c r="O680" s="6" t="s">
        <v>14204</v>
      </c>
      <c r="P680" s="1" t="s">
        <v>14205</v>
      </c>
      <c r="Q680" s="1" t="s">
        <v>14206</v>
      </c>
      <c r="R680" s="1" t="s">
        <v>14207</v>
      </c>
      <c r="S680" s="10" t="s">
        <v>14208</v>
      </c>
      <c r="T680" s="1" t="s">
        <v>14209</v>
      </c>
      <c r="U680" s="1" t="s">
        <v>14210</v>
      </c>
      <c r="V680" s="1" t="s">
        <v>14211</v>
      </c>
      <c r="W680" s="1" t="s">
        <v>14212</v>
      </c>
      <c r="X680" s="1" t="s">
        <v>14213</v>
      </c>
      <c r="Y680" s="1" t="s">
        <v>14214</v>
      </c>
      <c r="Z680" s="1" t="s">
        <v>14215</v>
      </c>
      <c r="AA680" s="1" t="s">
        <v>14216</v>
      </c>
      <c r="AB680" s="1" t="s">
        <v>14217</v>
      </c>
      <c r="AC680" s="1" t="s">
        <v>14218</v>
      </c>
      <c r="AD680" s="6" t="s">
        <v>14219</v>
      </c>
      <c r="AE680" s="1" t="s">
        <v>14220</v>
      </c>
      <c r="AF680" s="1" t="s">
        <v>14221</v>
      </c>
      <c r="AG680" s="6" t="s">
        <v>14222</v>
      </c>
      <c r="AH680" s="1" t="s">
        <v>14223</v>
      </c>
      <c r="AI680" s="6" t="s">
        <v>132</v>
      </c>
      <c r="AJ680" s="6" t="s">
        <v>14224</v>
      </c>
      <c r="AK680" s="1" t="s">
        <v>14225</v>
      </c>
      <c r="AL680" s="6" t="s">
        <v>14226</v>
      </c>
    </row>
    <row r="681" ht="15.75" hidden="1" customHeight="1">
      <c r="A681" s="1" t="s">
        <v>38</v>
      </c>
      <c r="B681" s="1" t="s">
        <v>14227</v>
      </c>
      <c r="C681" s="1" t="s">
        <v>14228</v>
      </c>
      <c r="D681" s="8" t="s">
        <v>14229</v>
      </c>
      <c r="E681" s="1" t="s">
        <v>14230</v>
      </c>
      <c r="F681" s="6" t="s">
        <v>14231</v>
      </c>
      <c r="G681" s="7" t="str">
        <f>IFERROR(__xludf.DUMMYFUNCTION("GOOGLETRANSLATE(C681, ""en"", ""cs"")"),"XEP-0198: Správa streamů")</f>
        <v>XEP-0198: Správa streamů</v>
      </c>
      <c r="H681" s="7" t="str">
        <f>IFERROR(__xludf.DUMMYFUNCTION("GOOGLETRANSLATE(C681, ""en"", ""da"")"),"XEP-0198: Stream Management")</f>
        <v>XEP-0198: Stream Management</v>
      </c>
      <c r="I681" s="1" t="s">
        <v>14228</v>
      </c>
      <c r="J681" s="6" t="s">
        <v>132</v>
      </c>
      <c r="K681" s="1" t="s">
        <v>14228</v>
      </c>
      <c r="L681" s="7" t="str">
        <f>IFERROR(__xludf.DUMMYFUNCTION("GOOGLETRANSLATE(C681, ""en"", ""fi"")"),"XEP-0198: Stream Management")</f>
        <v>XEP-0198: Stream Management</v>
      </c>
      <c r="M681" s="1" t="s">
        <v>14232</v>
      </c>
      <c r="N681" s="6" t="s">
        <v>14228</v>
      </c>
      <c r="O681" s="6" t="s">
        <v>132</v>
      </c>
      <c r="P681" s="1" t="s">
        <v>14228</v>
      </c>
      <c r="Q681" s="9" t="s">
        <v>14228</v>
      </c>
      <c r="R681" s="1" t="s">
        <v>14228</v>
      </c>
      <c r="S681" s="6" t="s">
        <v>132</v>
      </c>
      <c r="T681" s="1" t="s">
        <v>14233</v>
      </c>
      <c r="U681" s="1" t="s">
        <v>14228</v>
      </c>
      <c r="V681" s="7" t="str">
        <f>IFERROR(__xludf.DUMMYFUNCTION("GOOGLETRANSLATE(C681, ""en"", ""ms"")"),"XEP-0198: Pengurusan Stream")</f>
        <v>XEP-0198: Pengurusan Stream</v>
      </c>
      <c r="W681" s="1" t="s">
        <v>14228</v>
      </c>
      <c r="X681" s="7" t="str">
        <f>IFERROR(__xludf.DUMMYFUNCTION("GOOGLETRANSLATE(C681, ""en"", ""no"")"),"XEP-0198: Stream Management")</f>
        <v>XEP-0198: Stream Management</v>
      </c>
      <c r="Y681" s="1" t="s">
        <v>14228</v>
      </c>
      <c r="Z681" s="1" t="s">
        <v>14228</v>
      </c>
      <c r="AA681" s="7" t="str">
        <f>IFERROR(__xludf.DUMMYFUNCTION("GOOGLETRANSLATE(C681, ""en"", ""ro"")"),"XEP-0198: Managementul fluxului")</f>
        <v>XEP-0198: Managementul fluxului</v>
      </c>
      <c r="AB681" s="1" t="s">
        <v>14234</v>
      </c>
      <c r="AC681" s="1" t="s">
        <v>14228</v>
      </c>
      <c r="AD681" s="6" t="s">
        <v>132</v>
      </c>
      <c r="AE681" s="1" t="s">
        <v>14235</v>
      </c>
      <c r="AF681" s="1" t="s">
        <v>14228</v>
      </c>
      <c r="AG681" s="6" t="s">
        <v>132</v>
      </c>
      <c r="AH681" s="7" t="str">
        <f>IFERROR(__xludf.DUMMYFUNCTION("GOOGLETRANSLATE(C681, ""en"", ""tr"")"),"XEP-0198: Akış Yönetimi")</f>
        <v>XEP-0198: Akış Yönetimi</v>
      </c>
      <c r="AI681" s="6" t="s">
        <v>14236</v>
      </c>
      <c r="AJ681" s="6" t="s">
        <v>14228</v>
      </c>
      <c r="AK681" s="7" t="str">
        <f>IFERROR(__xludf.DUMMYFUNCTION("GOOGLETRANSLATE(C681, ""en"", ""zh"")"),"XEP-0198：流管理")</f>
        <v>XEP-0198：流管理</v>
      </c>
      <c r="AL681" s="6" t="s">
        <v>14237</v>
      </c>
    </row>
    <row r="682" ht="15.75" hidden="1" customHeight="1">
      <c r="A682" s="1" t="s">
        <v>38</v>
      </c>
      <c r="B682" s="1" t="s">
        <v>14238</v>
      </c>
      <c r="C682" s="1" t="s">
        <v>14239</v>
      </c>
      <c r="D682" s="8" t="s">
        <v>14240</v>
      </c>
      <c r="E682" s="1" t="s">
        <v>14241</v>
      </c>
      <c r="F682" s="6" t="s">
        <v>14242</v>
      </c>
      <c r="G682" s="7" t="str">
        <f>IFERROR(__xludf.DUMMYFUNCTION("GOOGLETRANSLATE(C682, ""en"", ""cs"")"),"Skupinové chaty")</f>
        <v>Skupinové chaty</v>
      </c>
      <c r="H682" s="7" t="str">
        <f>IFERROR(__xludf.DUMMYFUNCTION("GOOGLETRANSLATE(C682, ""en"", ""da"")"),"Gruppe chats.")</f>
        <v>Gruppe chats.</v>
      </c>
      <c r="I682" s="1" t="s">
        <v>14243</v>
      </c>
      <c r="J682" s="6" t="s">
        <v>132</v>
      </c>
      <c r="K682" s="1" t="s">
        <v>14244</v>
      </c>
      <c r="L682" s="7" t="str">
        <f>IFERROR(__xludf.DUMMYFUNCTION("GOOGLETRANSLATE(C682, ""en"", ""fi"")"),"Ryhmäkeskustelut")</f>
        <v>Ryhmäkeskustelut</v>
      </c>
      <c r="M682" s="1" t="s">
        <v>14245</v>
      </c>
      <c r="N682" s="6" t="s">
        <v>14246</v>
      </c>
      <c r="O682" s="6" t="s">
        <v>132</v>
      </c>
      <c r="P682" s="1" t="s">
        <v>14247</v>
      </c>
      <c r="Q682" s="7" t="str">
        <f>IFERROR(__xludf.DUMMYFUNCTION("GOOGLETRANSLATE(C682, ""en"", ""in"")"),"Obrolan grup.")</f>
        <v>Obrolan grup.</v>
      </c>
      <c r="R682" s="1" t="s">
        <v>14248</v>
      </c>
      <c r="S682" s="6" t="s">
        <v>132</v>
      </c>
      <c r="T682" s="1" t="s">
        <v>14249</v>
      </c>
      <c r="U682" s="7" t="str">
        <f>IFERROR(__xludf.DUMMYFUNCTION("GOOGLETRANSLATE(C682, ""en"", ""ko"")"),"그룹 채팅")</f>
        <v>그룹 채팅</v>
      </c>
      <c r="V682" s="7" t="str">
        <f>IFERROR(__xludf.DUMMYFUNCTION("GOOGLETRANSLATE(C682, ""en"", ""ms"")"),"Sembang kumpulan")</f>
        <v>Sembang kumpulan</v>
      </c>
      <c r="W682" s="1" t="s">
        <v>14250</v>
      </c>
      <c r="X682" s="7" t="str">
        <f>IFERROR(__xludf.DUMMYFUNCTION("GOOGLETRANSLATE(C682, ""en"", ""no"")"),"Gruppeskatter")</f>
        <v>Gruppeskatter</v>
      </c>
      <c r="Y682" s="1" t="s">
        <v>14251</v>
      </c>
      <c r="Z682" s="1" t="s">
        <v>14252</v>
      </c>
      <c r="AA682" s="7" t="str">
        <f>IFERROR(__xludf.DUMMYFUNCTION("GOOGLETRANSLATE(C682, ""en"", ""ro"")"),"Chat-uri de grup")</f>
        <v>Chat-uri de grup</v>
      </c>
      <c r="AB682" s="1" t="s">
        <v>14253</v>
      </c>
      <c r="AC682" s="7" t="str">
        <f>IFERROR(__xludf.DUMMYFUNCTION("GOOGLETRANSLATE(C682, ""en"", ""sk"")"),"Skupiny")</f>
        <v>Skupiny</v>
      </c>
      <c r="AD682" s="6" t="s">
        <v>132</v>
      </c>
      <c r="AE682" s="1" t="s">
        <v>14254</v>
      </c>
      <c r="AF682" s="7" t="str">
        <f>IFERROR(__xludf.DUMMYFUNCTION("GOOGLETRANSLATE(C682, ""en"", ""sv"")"),"Gruppchattar")</f>
        <v>Gruppchattar</v>
      </c>
      <c r="AG682" s="6" t="s">
        <v>132</v>
      </c>
      <c r="AH682" s="7" t="str">
        <f>IFERROR(__xludf.DUMMYFUNCTION("GOOGLETRANSLATE(C682, ""en"", ""tr"")"),"Grup sohbetleri")</f>
        <v>Grup sohbetleri</v>
      </c>
      <c r="AI682" s="6" t="s">
        <v>132</v>
      </c>
      <c r="AJ682" s="6" t="s">
        <v>132</v>
      </c>
      <c r="AK682" s="7" t="str">
        <f>IFERROR(__xludf.DUMMYFUNCTION("GOOGLETRANSLATE(C682, ""en"", ""zh"")"),"小组聊天")</f>
        <v>小组聊天</v>
      </c>
      <c r="AL682" s="6" t="s">
        <v>132</v>
      </c>
    </row>
    <row r="683" ht="15.75" hidden="1" customHeight="1">
      <c r="A683" s="1" t="s">
        <v>38</v>
      </c>
      <c r="B683" s="1" t="s">
        <v>14255</v>
      </c>
      <c r="C683" s="1" t="s">
        <v>14256</v>
      </c>
      <c r="D683" s="7" t="str">
        <f>IFERROR(__xludf.DUMMYFUNCTION("GOOGLETRANSLATE(C683, ""en"", ""ar"")"),"جزر تركس وكايكوس")</f>
        <v>جزر تركس وكايكوس</v>
      </c>
      <c r="E683" s="7" t="str">
        <f>IFERROR(__xludf.DUMMYFUNCTION("GOOGLETRANSLATE(C683, ""en"", ""bg"")"),"Острови Туркс и Кайкос")</f>
        <v>Острови Туркс и Кайкос</v>
      </c>
      <c r="F683" s="6" t="s">
        <v>132</v>
      </c>
      <c r="G683" s="7" t="str">
        <f>IFERROR(__xludf.DUMMYFUNCTION("GOOGLETRANSLATE(C683, ""en"", ""cs"")"),"ostrovy Turks a Cacois")</f>
        <v>ostrovy Turks a Cacois</v>
      </c>
      <c r="H683" s="7" t="str">
        <f>IFERROR(__xludf.DUMMYFUNCTION("GOOGLETRANSLATE(C683, ""en"", ""da"")"),"Turks og Caicosøerne")</f>
        <v>Turks og Caicosøerne</v>
      </c>
      <c r="I683" s="1" t="s">
        <v>14257</v>
      </c>
      <c r="J683" s="6" t="s">
        <v>132</v>
      </c>
      <c r="K683" s="1" t="s">
        <v>14258</v>
      </c>
      <c r="L683" s="7" t="str">
        <f>IFERROR(__xludf.DUMMYFUNCTION("GOOGLETRANSLATE(C683, ""en"", ""fi"")"),"Turks-ja Caicossaaret")</f>
        <v>Turks-ja Caicossaaret</v>
      </c>
      <c r="M683" s="1" t="s">
        <v>14259</v>
      </c>
      <c r="N683" s="6" t="s">
        <v>132</v>
      </c>
      <c r="O683" s="6" t="s">
        <v>132</v>
      </c>
      <c r="P683" s="1" t="s">
        <v>14256</v>
      </c>
      <c r="Q683" s="7" t="str">
        <f>IFERROR(__xludf.DUMMYFUNCTION("GOOGLETRANSLATE(C683, ""en"", ""in"")"),"Kepulauan Turks dan Caicos")</f>
        <v>Kepulauan Turks dan Caicos</v>
      </c>
      <c r="R683" s="7" t="str">
        <f>IFERROR(__xludf.DUMMYFUNCTION("GOOGLETRANSLATE(C683, ""en"", ""it"")"),"Isole Turks e Caicos")</f>
        <v>Isole Turks e Caicos</v>
      </c>
      <c r="S683" s="6" t="s">
        <v>132</v>
      </c>
      <c r="T683" s="7" t="str">
        <f>IFERROR(__xludf.DUMMYFUNCTION("GOOGLETRANSLATE(C683, ""en"", ""ja"")"),"タークスとケイコス諸島")</f>
        <v>タークスとケイコス諸島</v>
      </c>
      <c r="U683" s="7" t="str">
        <f>IFERROR(__xludf.DUMMYFUNCTION("GOOGLETRANSLATE(C683, ""en"", ""ko"")"),"터키와 카이 코스 제도")</f>
        <v>터키와 카이 코스 제도</v>
      </c>
      <c r="V683" s="7" t="str">
        <f>IFERROR(__xludf.DUMMYFUNCTION("GOOGLETRANSLATE(C683, ""en"", ""ms"")"),"Kepulauan Turks dan Caicos")</f>
        <v>Kepulauan Turks dan Caicos</v>
      </c>
      <c r="W683" s="7" t="str">
        <f>IFERROR(__xludf.DUMMYFUNCTION("GOOGLETRANSLATE(C683, ""en"", ""nl"")"),"Turks- en Caicoseilanden")</f>
        <v>Turks- en Caicoseilanden</v>
      </c>
      <c r="X683" s="7" t="str">
        <f>IFERROR(__xludf.DUMMYFUNCTION("GOOGLETRANSLATE(C683, ""en"", ""no"")"),"Turks og Caicosøyene")</f>
        <v>Turks og Caicosøyene</v>
      </c>
      <c r="Y683" s="7" t="str">
        <f>IFERROR(__xludf.DUMMYFUNCTION("GOOGLETRANSLATE(C683, ""en"", ""pl"")"),"Wyspy Turks i Caicos")</f>
        <v>Wyspy Turks i Caicos</v>
      </c>
      <c r="Z683" s="7" t="str">
        <f>IFERROR(__xludf.DUMMYFUNCTION("GOOGLETRANSLATE(C683, ""en"", ""pt"")"),"Ilhas Turcas e Caicos")</f>
        <v>Ilhas Turcas e Caicos</v>
      </c>
      <c r="AA683" s="7" t="str">
        <f>IFERROR(__xludf.DUMMYFUNCTION("GOOGLETRANSLATE(C683, ""en"", ""ro"")"),"Insulele Turks și Caicos")</f>
        <v>Insulele Turks și Caicos</v>
      </c>
      <c r="AB683" s="1" t="s">
        <v>14260</v>
      </c>
      <c r="AC683" s="7" t="str">
        <f>IFERROR(__xludf.DUMMYFUNCTION("GOOGLETRANSLATE(C683, ""en"", ""sk"")"),"Turks a Caicos Islands")</f>
        <v>Turks a Caicos Islands</v>
      </c>
      <c r="AD683" s="6" t="s">
        <v>132</v>
      </c>
      <c r="AE683" s="1" t="s">
        <v>14261</v>
      </c>
      <c r="AF683" s="7" t="str">
        <f>IFERROR(__xludf.DUMMYFUNCTION("GOOGLETRANSLATE(C683, ""en"", ""sv"")"),"Turks och Caicosöarna")</f>
        <v>Turks och Caicosöarna</v>
      </c>
      <c r="AG683" s="6" t="s">
        <v>132</v>
      </c>
      <c r="AH683" s="7" t="str">
        <f>IFERROR(__xludf.DUMMYFUNCTION("GOOGLETRANSLATE(C683, ""en"", ""tr"")"),"Turks ve Caicos Adaları")</f>
        <v>Turks ve Caicos Adaları</v>
      </c>
      <c r="AI683" s="6" t="s">
        <v>132</v>
      </c>
      <c r="AJ683" s="6" t="s">
        <v>132</v>
      </c>
      <c r="AK683" s="7" t="str">
        <f>IFERROR(__xludf.DUMMYFUNCTION("GOOGLETRANSLATE(C683, ""en"", ""zh"")"),"特克斯和凯科斯群岛")</f>
        <v>特克斯和凯科斯群岛</v>
      </c>
      <c r="AL683" s="6" t="s">
        <v>132</v>
      </c>
    </row>
    <row r="684" ht="15.75" hidden="1" customHeight="1">
      <c r="A684" s="1" t="s">
        <v>38</v>
      </c>
      <c r="B684" s="1" t="s">
        <v>14262</v>
      </c>
      <c r="C684" s="1" t="s">
        <v>14263</v>
      </c>
      <c r="D684" s="7" t="str">
        <f>IFERROR(__xludf.DUMMYFUNCTION("GOOGLETRANSLATE(C684, ""en"", ""ar"")"),"كازاخستان")</f>
        <v>كازاخستان</v>
      </c>
      <c r="E684" s="7" t="str">
        <f>IFERROR(__xludf.DUMMYFUNCTION("GOOGLETRANSLATE(C684, ""en"", ""bg"")"),"Казахстан")</f>
        <v>Казахстан</v>
      </c>
      <c r="F684" s="6" t="s">
        <v>132</v>
      </c>
      <c r="G684" s="7" t="str">
        <f>IFERROR(__xludf.DUMMYFUNCTION("GOOGLETRANSLATE(C684, ""en"", ""cs"")"),"Kazachstán")</f>
        <v>Kazachstán</v>
      </c>
      <c r="H684" s="7" t="str">
        <f>IFERROR(__xludf.DUMMYFUNCTION("GOOGLETRANSLATE(C684, ""en"", ""da"")"),"Kasakhstan.")</f>
        <v>Kasakhstan.</v>
      </c>
      <c r="I684" s="1" t="s">
        <v>14264</v>
      </c>
      <c r="J684" s="6" t="s">
        <v>132</v>
      </c>
      <c r="K684" s="1" t="s">
        <v>14265</v>
      </c>
      <c r="L684" s="7" t="str">
        <f>IFERROR(__xludf.DUMMYFUNCTION("GOOGLETRANSLATE(C684, ""en"", ""fi"")"),"Kazakstan")</f>
        <v>Kazakstan</v>
      </c>
      <c r="M684" s="1" t="s">
        <v>14263</v>
      </c>
      <c r="N684" s="6" t="s">
        <v>132</v>
      </c>
      <c r="O684" s="6" t="s">
        <v>132</v>
      </c>
      <c r="P684" s="1" t="s">
        <v>14263</v>
      </c>
      <c r="Q684" s="7" t="str">
        <f>IFERROR(__xludf.DUMMYFUNCTION("GOOGLETRANSLATE(C684, ""en"", ""in"")"),"Kazakhstan")</f>
        <v>Kazakhstan</v>
      </c>
      <c r="R684" s="7" t="str">
        <f>IFERROR(__xludf.DUMMYFUNCTION("GOOGLETRANSLATE(C684, ""en"", ""it"")"),"Kazakistan.")</f>
        <v>Kazakistan.</v>
      </c>
      <c r="S684" s="6" t="s">
        <v>132</v>
      </c>
      <c r="T684" s="7" t="str">
        <f>IFERROR(__xludf.DUMMYFUNCTION("GOOGLETRANSLATE(C684, ""en"", ""ja"")"),"カザフスタン")</f>
        <v>カザフスタン</v>
      </c>
      <c r="U684" s="7" t="str">
        <f>IFERROR(__xludf.DUMMYFUNCTION("GOOGLETRANSLATE(C684, ""en"", ""ko"")"),"카자흐스탄")</f>
        <v>카자흐스탄</v>
      </c>
      <c r="V684" s="7" t="str">
        <f>IFERROR(__xludf.DUMMYFUNCTION("GOOGLETRANSLATE(C684, ""en"", ""ms"")"),"Kazakhstan.")</f>
        <v>Kazakhstan.</v>
      </c>
      <c r="W684" s="7" t="str">
        <f>IFERROR(__xludf.DUMMYFUNCTION("GOOGLETRANSLATE(C684, ""en"", ""nl"")"),"Kazachstan")</f>
        <v>Kazachstan</v>
      </c>
      <c r="X684" s="7" t="str">
        <f>IFERROR(__xludf.DUMMYFUNCTION("GOOGLETRANSLATE(C684, ""en"", ""no"")"),"Kasakhstan")</f>
        <v>Kasakhstan</v>
      </c>
      <c r="Y684" s="7" t="str">
        <f>IFERROR(__xludf.DUMMYFUNCTION("GOOGLETRANSLATE(C684, ""en"", ""pl"")"),"Kazachstan.")</f>
        <v>Kazachstan.</v>
      </c>
      <c r="Z684" s="7" t="str">
        <f>IFERROR(__xludf.DUMMYFUNCTION("GOOGLETRANSLATE(C684, ""en"", ""pt"")"),"Cazaquistão")</f>
        <v>Cazaquistão</v>
      </c>
      <c r="AA684" s="7" t="str">
        <f>IFERROR(__xludf.DUMMYFUNCTION("GOOGLETRANSLATE(C684, ""en"", ""ro"")"),"Kazahstan.")</f>
        <v>Kazahstan.</v>
      </c>
      <c r="AB684" s="1" t="s">
        <v>14266</v>
      </c>
      <c r="AC684" s="7" t="str">
        <f>IFERROR(__xludf.DUMMYFUNCTION("GOOGLETRANSLATE(C684, ""en"", ""sk"")"),"Kazachstan")</f>
        <v>Kazachstan</v>
      </c>
      <c r="AD684" s="6" t="s">
        <v>132</v>
      </c>
      <c r="AE684" s="1" t="s">
        <v>14267</v>
      </c>
      <c r="AF684" s="7" t="str">
        <f>IFERROR(__xludf.DUMMYFUNCTION("GOOGLETRANSLATE(C684, ""en"", ""sv"")"),"Kazakstan")</f>
        <v>Kazakstan</v>
      </c>
      <c r="AG684" s="6" t="s">
        <v>132</v>
      </c>
      <c r="AH684" s="7" t="str">
        <f>IFERROR(__xludf.DUMMYFUNCTION("GOOGLETRANSLATE(C684, ""en"", ""tr"")"),"Kazakistan")</f>
        <v>Kazakistan</v>
      </c>
      <c r="AI684" s="6" t="s">
        <v>132</v>
      </c>
      <c r="AJ684" s="6" t="s">
        <v>132</v>
      </c>
      <c r="AK684" s="7" t="str">
        <f>IFERROR(__xludf.DUMMYFUNCTION("GOOGLETRANSLATE(C684, ""en"", ""zh"")"),"哈萨克斯坦")</f>
        <v>哈萨克斯坦</v>
      </c>
      <c r="AL684" s="6" t="s">
        <v>132</v>
      </c>
    </row>
    <row r="685" ht="15.75" hidden="1" customHeight="1">
      <c r="A685" s="1" t="s">
        <v>38</v>
      </c>
      <c r="B685" s="1" t="s">
        <v>14268</v>
      </c>
      <c r="C685" s="1" t="s">
        <v>14269</v>
      </c>
      <c r="D685" s="7" t="str">
        <f>IFERROR(__xludf.DUMMYFUNCTION("GOOGLETRANSLATE(C685, ""en"", ""ar"")"),"أروبا")</f>
        <v>أروبا</v>
      </c>
      <c r="E685" s="7" t="str">
        <f>IFERROR(__xludf.DUMMYFUNCTION("GOOGLETRANSLATE(C685, ""en"", ""bg"")"),"Аруба")</f>
        <v>Аруба</v>
      </c>
      <c r="F685" s="6" t="s">
        <v>132</v>
      </c>
      <c r="G685" s="7" t="str">
        <f>IFERROR(__xludf.DUMMYFUNCTION("GOOGLETRANSLATE(C685, ""en"", ""cs"")"),"Aruba.")</f>
        <v>Aruba.</v>
      </c>
      <c r="H685" s="7" t="str">
        <f>IFERROR(__xludf.DUMMYFUNCTION("GOOGLETRANSLATE(C685, ""en"", ""da"")"),"Aruba.")</f>
        <v>Aruba.</v>
      </c>
      <c r="I685" s="1" t="s">
        <v>14269</v>
      </c>
      <c r="J685" s="6" t="s">
        <v>132</v>
      </c>
      <c r="K685" s="1" t="s">
        <v>14269</v>
      </c>
      <c r="L685" s="7" t="str">
        <f>IFERROR(__xludf.DUMMYFUNCTION("GOOGLETRANSLATE(C685, ""en"", ""fi"")"),"Aruba")</f>
        <v>Aruba</v>
      </c>
      <c r="M685" s="1" t="s">
        <v>14269</v>
      </c>
      <c r="N685" s="6" t="s">
        <v>132</v>
      </c>
      <c r="O685" s="6" t="s">
        <v>132</v>
      </c>
      <c r="P685" s="1" t="s">
        <v>14269</v>
      </c>
      <c r="Q685" s="7" t="str">
        <f>IFERROR(__xludf.DUMMYFUNCTION("GOOGLETRANSLATE(C685, ""en"", ""in"")"),"Aruba.")</f>
        <v>Aruba.</v>
      </c>
      <c r="R685" s="7" t="str">
        <f>IFERROR(__xludf.DUMMYFUNCTION("GOOGLETRANSLATE(C685, ""en"", ""it"")"),"Aruba.")</f>
        <v>Aruba.</v>
      </c>
      <c r="S685" s="6" t="s">
        <v>132</v>
      </c>
      <c r="T685" s="7" t="str">
        <f>IFERROR(__xludf.DUMMYFUNCTION("GOOGLETRANSLATE(C685, ""en"", ""ja"")"),"アルバ")</f>
        <v>アルバ</v>
      </c>
      <c r="U685" s="7" t="str">
        <f>IFERROR(__xludf.DUMMYFUNCTION("GOOGLETRANSLATE(C685, ""en"", ""ko"")"),"아루바")</f>
        <v>아루바</v>
      </c>
      <c r="V685" s="7" t="str">
        <f>IFERROR(__xludf.DUMMYFUNCTION("GOOGLETRANSLATE(C685, ""en"", ""ms"")"),"Aruba.")</f>
        <v>Aruba.</v>
      </c>
      <c r="W685" s="7" t="str">
        <f>IFERROR(__xludf.DUMMYFUNCTION("GOOGLETRANSLATE(C685, ""en"", ""nl"")"),"Aruba")</f>
        <v>Aruba</v>
      </c>
      <c r="X685" s="7" t="str">
        <f>IFERROR(__xludf.DUMMYFUNCTION("GOOGLETRANSLATE(C685, ""en"", ""no"")"),"Aruba.")</f>
        <v>Aruba.</v>
      </c>
      <c r="Y685" s="7" t="str">
        <f>IFERROR(__xludf.DUMMYFUNCTION("GOOGLETRANSLATE(C685, ""en"", ""pl"")"),"Aruba.")</f>
        <v>Aruba.</v>
      </c>
      <c r="Z685" s="7" t="str">
        <f>IFERROR(__xludf.DUMMYFUNCTION("GOOGLETRANSLATE(C685, ""en"", ""pt"")"),"Aruba.")</f>
        <v>Aruba.</v>
      </c>
      <c r="AA685" s="7" t="str">
        <f>IFERROR(__xludf.DUMMYFUNCTION("GOOGLETRANSLATE(C685, ""en"", ""ro"")"),"Aruba.")</f>
        <v>Aruba.</v>
      </c>
      <c r="AB685" s="1" t="s">
        <v>14270</v>
      </c>
      <c r="AC685" s="7" t="str">
        <f>IFERROR(__xludf.DUMMYFUNCTION("GOOGLETRANSLATE(C685, ""en"", ""sk"")"),"Aruba")</f>
        <v>Aruba</v>
      </c>
      <c r="AD685" s="6" t="s">
        <v>132</v>
      </c>
      <c r="AE685" s="1" t="s">
        <v>14269</v>
      </c>
      <c r="AF685" s="7" t="str">
        <f>IFERROR(__xludf.DUMMYFUNCTION("GOOGLETRANSLATE(C685, ""en"", ""sv"")"),"Aruba")</f>
        <v>Aruba</v>
      </c>
      <c r="AG685" s="6" t="s">
        <v>132</v>
      </c>
      <c r="AH685" s="7" t="str">
        <f>IFERROR(__xludf.DUMMYFUNCTION("GOOGLETRANSLATE(C685, ""en"", ""tr"")"),"Aruba")</f>
        <v>Aruba</v>
      </c>
      <c r="AI685" s="6" t="s">
        <v>132</v>
      </c>
      <c r="AJ685" s="6" t="s">
        <v>132</v>
      </c>
      <c r="AK685" s="7" t="str">
        <f>IFERROR(__xludf.DUMMYFUNCTION("GOOGLETRANSLATE(C685, ""en"", ""zh"")"),"阿鲁巴")</f>
        <v>阿鲁巴</v>
      </c>
      <c r="AL685" s="6" t="s">
        <v>132</v>
      </c>
    </row>
    <row r="686" ht="15.75" customHeight="1">
      <c r="A686" s="1" t="s">
        <v>127</v>
      </c>
      <c r="B686" s="1" t="s">
        <v>14271</v>
      </c>
      <c r="C686" s="1" t="s">
        <v>14272</v>
      </c>
      <c r="D686" s="8" t="s">
        <v>14273</v>
      </c>
      <c r="E686" s="1" t="s">
        <v>14274</v>
      </c>
      <c r="F686" s="6" t="s">
        <v>132</v>
      </c>
      <c r="G686" s="1" t="s">
        <v>14272</v>
      </c>
      <c r="H686" s="1" t="s">
        <v>14272</v>
      </c>
      <c r="I686" s="1" t="s">
        <v>14272</v>
      </c>
      <c r="J686" s="6" t="s">
        <v>14272</v>
      </c>
      <c r="K686" s="1" t="s">
        <v>14272</v>
      </c>
      <c r="L686" s="1" t="s">
        <v>14272</v>
      </c>
      <c r="M686" s="1" t="s">
        <v>14272</v>
      </c>
      <c r="N686" s="6" t="s">
        <v>132</v>
      </c>
      <c r="O686" s="6" t="s">
        <v>14275</v>
      </c>
      <c r="P686" s="1" t="s">
        <v>14272</v>
      </c>
      <c r="Q686" s="1" t="s">
        <v>14276</v>
      </c>
      <c r="R686" s="1" t="s">
        <v>14272</v>
      </c>
      <c r="S686" s="10" t="s">
        <v>14277</v>
      </c>
      <c r="T686" s="1" t="s">
        <v>14278</v>
      </c>
      <c r="U686" s="1" t="s">
        <v>14279</v>
      </c>
      <c r="V686" s="1" t="s">
        <v>14280</v>
      </c>
      <c r="W686" s="1" t="s">
        <v>14272</v>
      </c>
      <c r="X686" s="1" t="s">
        <v>14272</v>
      </c>
      <c r="Y686" s="1" t="s">
        <v>14272</v>
      </c>
      <c r="Z686" s="1" t="s">
        <v>14272</v>
      </c>
      <c r="AA686" s="1" t="s">
        <v>14272</v>
      </c>
      <c r="AB686" s="1" t="s">
        <v>14272</v>
      </c>
      <c r="AC686" s="1" t="s">
        <v>14272</v>
      </c>
      <c r="AD686" s="6" t="s">
        <v>14281</v>
      </c>
      <c r="AE686" s="1" t="s">
        <v>14272</v>
      </c>
      <c r="AF686" s="1" t="s">
        <v>14272</v>
      </c>
      <c r="AG686" s="6" t="s">
        <v>14282</v>
      </c>
      <c r="AH686" s="1" t="s">
        <v>14283</v>
      </c>
      <c r="AI686" s="6" t="s">
        <v>132</v>
      </c>
      <c r="AJ686" s="6" t="s">
        <v>14284</v>
      </c>
      <c r="AK686" s="1" t="s">
        <v>14285</v>
      </c>
      <c r="AL686" s="6" t="s">
        <v>14286</v>
      </c>
    </row>
    <row r="687" ht="15.75" customHeight="1">
      <c r="A687" s="1" t="s">
        <v>127</v>
      </c>
      <c r="B687" s="1" t="s">
        <v>14287</v>
      </c>
      <c r="C687" s="1" t="s">
        <v>14288</v>
      </c>
      <c r="D687" s="8" t="s">
        <v>14289</v>
      </c>
      <c r="E687" s="1" t="s">
        <v>14290</v>
      </c>
      <c r="F687" s="6" t="s">
        <v>132</v>
      </c>
      <c r="G687" s="1" t="s">
        <v>14291</v>
      </c>
      <c r="H687" s="1" t="s">
        <v>14292</v>
      </c>
      <c r="I687" s="1" t="s">
        <v>14293</v>
      </c>
      <c r="J687" s="6" t="s">
        <v>14294</v>
      </c>
      <c r="K687" s="1" t="s">
        <v>14295</v>
      </c>
      <c r="L687" s="1" t="s">
        <v>14296</v>
      </c>
      <c r="M687" s="1" t="s">
        <v>14297</v>
      </c>
      <c r="N687" s="6" t="s">
        <v>132</v>
      </c>
      <c r="O687" s="6" t="s">
        <v>14298</v>
      </c>
      <c r="P687" s="1" t="s">
        <v>14299</v>
      </c>
      <c r="Q687" s="1" t="s">
        <v>14300</v>
      </c>
      <c r="R687" s="1" t="s">
        <v>14301</v>
      </c>
      <c r="S687" s="10" t="s">
        <v>14302</v>
      </c>
      <c r="T687" s="1" t="s">
        <v>14303</v>
      </c>
      <c r="U687" s="1" t="s">
        <v>14304</v>
      </c>
      <c r="V687" s="1" t="s">
        <v>14300</v>
      </c>
      <c r="W687" s="1" t="s">
        <v>14305</v>
      </c>
      <c r="X687" s="1" t="s">
        <v>14306</v>
      </c>
      <c r="Y687" s="1" t="s">
        <v>14307</v>
      </c>
      <c r="Z687" s="1" t="s">
        <v>14308</v>
      </c>
      <c r="AA687" s="1" t="s">
        <v>14309</v>
      </c>
      <c r="AB687" s="1" t="s">
        <v>14310</v>
      </c>
      <c r="AC687" s="1" t="s">
        <v>14311</v>
      </c>
      <c r="AD687" s="6" t="s">
        <v>14312</v>
      </c>
      <c r="AE687" s="1" t="s">
        <v>14313</v>
      </c>
      <c r="AF687" s="1" t="s">
        <v>14314</v>
      </c>
      <c r="AG687" s="6" t="s">
        <v>14315</v>
      </c>
      <c r="AH687" s="1" t="s">
        <v>14316</v>
      </c>
      <c r="AI687" s="6" t="s">
        <v>132</v>
      </c>
      <c r="AJ687" s="6" t="s">
        <v>14317</v>
      </c>
      <c r="AK687" s="1" t="s">
        <v>14318</v>
      </c>
      <c r="AL687" s="6" t="s">
        <v>14319</v>
      </c>
    </row>
    <row r="688" ht="15.75" hidden="1" customHeight="1">
      <c r="A688" s="1" t="s">
        <v>38</v>
      </c>
      <c r="B688" s="1" t="s">
        <v>14320</v>
      </c>
      <c r="C688" s="1" t="s">
        <v>14321</v>
      </c>
      <c r="D688" s="7" t="str">
        <f>IFERROR(__xludf.DUMMYFUNCTION("GOOGLETRANSLATE(C688, ""en"", ""ar"")"),"غواتيمالا")</f>
        <v>غواتيمالا</v>
      </c>
      <c r="E688" s="7" t="str">
        <f>IFERROR(__xludf.DUMMYFUNCTION("GOOGLETRANSLATE(C688, ""en"", ""bg"")"),"Гватемала")</f>
        <v>Гватемала</v>
      </c>
      <c r="F688" s="6" t="s">
        <v>132</v>
      </c>
      <c r="G688" s="7" t="str">
        <f>IFERROR(__xludf.DUMMYFUNCTION("GOOGLETRANSLATE(C688, ""en"", ""cs"")"),"Guatemala")</f>
        <v>Guatemala</v>
      </c>
      <c r="H688" s="7" t="str">
        <f>IFERROR(__xludf.DUMMYFUNCTION("GOOGLETRANSLATE(C688, ""en"", ""da"")"),"Guatemala.")</f>
        <v>Guatemala.</v>
      </c>
      <c r="I688" s="1" t="s">
        <v>14321</v>
      </c>
      <c r="J688" s="6" t="s">
        <v>132</v>
      </c>
      <c r="K688" s="1" t="s">
        <v>14321</v>
      </c>
      <c r="L688" s="7" t="str">
        <f>IFERROR(__xludf.DUMMYFUNCTION("GOOGLETRANSLATE(C688, ""en"", ""fi"")"),"Guatemala")</f>
        <v>Guatemala</v>
      </c>
      <c r="M688" s="1" t="s">
        <v>14321</v>
      </c>
      <c r="N688" s="6" t="s">
        <v>132</v>
      </c>
      <c r="O688" s="6" t="s">
        <v>132</v>
      </c>
      <c r="P688" s="1" t="s">
        <v>14321</v>
      </c>
      <c r="Q688" s="7" t="str">
        <f>IFERROR(__xludf.DUMMYFUNCTION("GOOGLETRANSLATE(C688, ""en"", ""in"")"),"Guatemala")</f>
        <v>Guatemala</v>
      </c>
      <c r="R688" s="7" t="str">
        <f>IFERROR(__xludf.DUMMYFUNCTION("GOOGLETRANSLATE(C688, ""en"", ""it"")"),"Guatemala")</f>
        <v>Guatemala</v>
      </c>
      <c r="S688" s="6" t="s">
        <v>132</v>
      </c>
      <c r="T688" s="7" t="str">
        <f>IFERROR(__xludf.DUMMYFUNCTION("GOOGLETRANSLATE(C688, ""en"", ""ja"")"),"グアテマラ")</f>
        <v>グアテマラ</v>
      </c>
      <c r="U688" s="7" t="str">
        <f>IFERROR(__xludf.DUMMYFUNCTION("GOOGLETRANSLATE(C688, ""en"", ""ko"")"),"과테말라")</f>
        <v>과테말라</v>
      </c>
      <c r="V688" s="7" t="str">
        <f>IFERROR(__xludf.DUMMYFUNCTION("GOOGLETRANSLATE(C688, ""en"", ""ms"")"),"Guatemala.")</f>
        <v>Guatemala.</v>
      </c>
      <c r="W688" s="7" t="str">
        <f>IFERROR(__xludf.DUMMYFUNCTION("GOOGLETRANSLATE(C688, ""en"", ""nl"")"),"Guatemala")</f>
        <v>Guatemala</v>
      </c>
      <c r="X688" s="7" t="str">
        <f>IFERROR(__xludf.DUMMYFUNCTION("GOOGLETRANSLATE(C688, ""en"", ""no"")"),"Guatemala.")</f>
        <v>Guatemala.</v>
      </c>
      <c r="Y688" s="7" t="str">
        <f>IFERROR(__xludf.DUMMYFUNCTION("GOOGLETRANSLATE(C688, ""en"", ""pl"")"),"Gwatemala")</f>
        <v>Gwatemala</v>
      </c>
      <c r="Z688" s="7" t="str">
        <f>IFERROR(__xludf.DUMMYFUNCTION("GOOGLETRANSLATE(C688, ""en"", ""pt"")"),"Guatemala")</f>
        <v>Guatemala</v>
      </c>
      <c r="AA688" s="7" t="str">
        <f>IFERROR(__xludf.DUMMYFUNCTION("GOOGLETRANSLATE(C688, ""en"", ""ro"")"),"Guatemala")</f>
        <v>Guatemala</v>
      </c>
      <c r="AB688" s="1" t="s">
        <v>14322</v>
      </c>
      <c r="AC688" s="7" t="str">
        <f>IFERROR(__xludf.DUMMYFUNCTION("GOOGLETRANSLATE(C688, ""en"", ""sk"")"),"Guatemala")</f>
        <v>Guatemala</v>
      </c>
      <c r="AD688" s="6" t="s">
        <v>132</v>
      </c>
      <c r="AE688" s="1" t="s">
        <v>14323</v>
      </c>
      <c r="AF688" s="7" t="str">
        <f>IFERROR(__xludf.DUMMYFUNCTION("GOOGLETRANSLATE(C688, ""en"", ""sv"")"),"Guatemala")</f>
        <v>Guatemala</v>
      </c>
      <c r="AG688" s="6" t="s">
        <v>132</v>
      </c>
      <c r="AH688" s="7" t="str">
        <f>IFERROR(__xludf.DUMMYFUNCTION("GOOGLETRANSLATE(C688, ""en"", ""tr"")"),"Guatemala")</f>
        <v>Guatemala</v>
      </c>
      <c r="AI688" s="6" t="s">
        <v>132</v>
      </c>
      <c r="AJ688" s="6" t="s">
        <v>132</v>
      </c>
      <c r="AK688" s="7" t="str">
        <f>IFERROR(__xludf.DUMMYFUNCTION("GOOGLETRANSLATE(C688, ""en"", ""zh"")"),"危地马拉")</f>
        <v>危地马拉</v>
      </c>
      <c r="AL688" s="6" t="s">
        <v>132</v>
      </c>
    </row>
    <row r="689" ht="15.75" hidden="1" customHeight="1">
      <c r="A689" s="1" t="s">
        <v>38</v>
      </c>
      <c r="B689" s="1" t="s">
        <v>14324</v>
      </c>
      <c r="C689" s="1" t="s">
        <v>8997</v>
      </c>
      <c r="D689" s="7" t="str">
        <f>IFERROR(__xludf.DUMMYFUNCTION("GOOGLETRANSLATE(C689, ""en"", ""ar"")"),"اسم")</f>
        <v>اسم</v>
      </c>
      <c r="E689" s="1" t="s">
        <v>8999</v>
      </c>
      <c r="F689" s="6" t="s">
        <v>9005</v>
      </c>
      <c r="G689" s="7" t="str">
        <f>IFERROR(__xludf.DUMMYFUNCTION("GOOGLETRANSLATE(C689, ""en"", ""cs"")"),"název")</f>
        <v>název</v>
      </c>
      <c r="H689" s="7" t="str">
        <f>IFERROR(__xludf.DUMMYFUNCTION("GOOGLETRANSLATE(C689, ""en"", ""da"")"),"Navn")</f>
        <v>Navn</v>
      </c>
      <c r="I689" s="1" t="s">
        <v>8997</v>
      </c>
      <c r="J689" s="6" t="s">
        <v>132</v>
      </c>
      <c r="K689" s="1" t="s">
        <v>9003</v>
      </c>
      <c r="L689" s="7" t="str">
        <f>IFERROR(__xludf.DUMMYFUNCTION("GOOGLETRANSLATE(C689, ""en"", ""fi"")"),"Nimi")</f>
        <v>Nimi</v>
      </c>
      <c r="M689" s="1" t="s">
        <v>9005</v>
      </c>
      <c r="N689" s="6" t="s">
        <v>9009</v>
      </c>
      <c r="O689" s="6" t="s">
        <v>132</v>
      </c>
      <c r="P689" s="1" t="s">
        <v>9007</v>
      </c>
      <c r="Q689" s="7" t="str">
        <f>IFERROR(__xludf.DUMMYFUNCTION("GOOGLETRANSLATE(C689, ""en"", ""in"")"),"Nama")</f>
        <v>Nama</v>
      </c>
      <c r="R689" s="1" t="s">
        <v>9009</v>
      </c>
      <c r="S689" s="6" t="s">
        <v>132</v>
      </c>
      <c r="T689" s="7" t="str">
        <f>IFERROR(__xludf.DUMMYFUNCTION("GOOGLETRANSLATE(C689, ""en"", ""ja"")"),"名前")</f>
        <v>名前</v>
      </c>
      <c r="U689" s="7" t="str">
        <f>IFERROR(__xludf.DUMMYFUNCTION("GOOGLETRANSLATE(C689, ""en"", ""ko"")"),"이름")</f>
        <v>이름</v>
      </c>
      <c r="V689" s="7" t="str">
        <f>IFERROR(__xludf.DUMMYFUNCTION("GOOGLETRANSLATE(C689, ""en"", ""ms"")"),"Nama")</f>
        <v>Nama</v>
      </c>
      <c r="W689" s="1" t="s">
        <v>9013</v>
      </c>
      <c r="X689" s="7" t="str">
        <f>IFERROR(__xludf.DUMMYFUNCTION("GOOGLETRANSLATE(C689, ""en"", ""no"")"),"Navn")</f>
        <v>Navn</v>
      </c>
      <c r="Y689" s="1" t="s">
        <v>9014</v>
      </c>
      <c r="Z689" s="7" t="str">
        <f>IFERROR(__xludf.DUMMYFUNCTION("GOOGLETRANSLATE(C689, ""en"", ""pt"")"),"Nome")</f>
        <v>Nome</v>
      </c>
      <c r="AA689" s="7" t="str">
        <f>IFERROR(__xludf.DUMMYFUNCTION("GOOGLETRANSLATE(C689, ""en"", ""ro"")"),"Nume")</f>
        <v>Nume</v>
      </c>
      <c r="AB689" s="7" t="str">
        <f>IFERROR(__xludf.DUMMYFUNCTION("GOOGLETRANSLATE(C689, ""en"", ""ru"")"),"Имя")</f>
        <v>Имя</v>
      </c>
      <c r="AC689" s="7" t="str">
        <f>IFERROR(__xludf.DUMMYFUNCTION("GOOGLETRANSLATE(C689, ""en"", ""sk"")"),"názov")</f>
        <v>názov</v>
      </c>
      <c r="AD689" s="6" t="s">
        <v>132</v>
      </c>
      <c r="AE689" s="1" t="s">
        <v>8999</v>
      </c>
      <c r="AF689" s="7" t="str">
        <f>IFERROR(__xludf.DUMMYFUNCTION("GOOGLETRANSLATE(C689, ""en"", ""sv"")"),"namn")</f>
        <v>namn</v>
      </c>
      <c r="AG689" s="6" t="s">
        <v>132</v>
      </c>
      <c r="AH689" s="7" t="str">
        <f>IFERROR(__xludf.DUMMYFUNCTION("GOOGLETRANSLATE(C689, ""en"", ""tr"")"),"İsim vermek")</f>
        <v>İsim vermek</v>
      </c>
      <c r="AI689" s="6" t="s">
        <v>132</v>
      </c>
      <c r="AJ689" s="6" t="s">
        <v>132</v>
      </c>
      <c r="AK689" s="7" t="str">
        <f>IFERROR(__xludf.DUMMYFUNCTION("GOOGLETRANSLATE(C689, ""en"", ""zh"")"),"名称")</f>
        <v>名称</v>
      </c>
      <c r="AL689" s="6" t="s">
        <v>132</v>
      </c>
    </row>
    <row r="690" ht="15.75" hidden="1" customHeight="1">
      <c r="A690" s="1" t="s">
        <v>38</v>
      </c>
      <c r="B690" s="1" t="s">
        <v>14325</v>
      </c>
      <c r="C690" s="1" t="s">
        <v>14326</v>
      </c>
      <c r="D690" s="7" t="str">
        <f>IFERROR(__xludf.DUMMYFUNCTION("GOOGLETRANSLATE(C690, ""en"", ""ar"")"),"الأردن")</f>
        <v>الأردن</v>
      </c>
      <c r="E690" s="7" t="str">
        <f>IFERROR(__xludf.DUMMYFUNCTION("GOOGLETRANSLATE(C690, ""en"", ""bg"")"),"Йордан")</f>
        <v>Йордан</v>
      </c>
      <c r="F690" s="6" t="s">
        <v>132</v>
      </c>
      <c r="G690" s="7" t="str">
        <f>IFERROR(__xludf.DUMMYFUNCTION("GOOGLETRANSLATE(C690, ""en"", ""cs"")"),"Jordán")</f>
        <v>Jordán</v>
      </c>
      <c r="H690" s="7" t="str">
        <f>IFERROR(__xludf.DUMMYFUNCTION("GOOGLETRANSLATE(C690, ""en"", ""da"")"),"Jordan.")</f>
        <v>Jordan.</v>
      </c>
      <c r="I690" s="1" t="s">
        <v>14327</v>
      </c>
      <c r="J690" s="6" t="s">
        <v>132</v>
      </c>
      <c r="K690" s="1" t="s">
        <v>14328</v>
      </c>
      <c r="L690" s="7" t="str">
        <f>IFERROR(__xludf.DUMMYFUNCTION("GOOGLETRANSLATE(C690, ""en"", ""fi"")"),"Jordania")</f>
        <v>Jordania</v>
      </c>
      <c r="M690" s="1" t="s">
        <v>14326</v>
      </c>
      <c r="N690" s="6" t="s">
        <v>132</v>
      </c>
      <c r="O690" s="6" t="s">
        <v>132</v>
      </c>
      <c r="P690" s="1" t="s">
        <v>14326</v>
      </c>
      <c r="Q690" s="7" t="str">
        <f>IFERROR(__xludf.DUMMYFUNCTION("GOOGLETRANSLATE(C690, ""en"", ""in"")"),"Yordania")</f>
        <v>Yordania</v>
      </c>
      <c r="R690" s="7" t="str">
        <f>IFERROR(__xludf.DUMMYFUNCTION("GOOGLETRANSLATE(C690, ""en"", ""it"")"),"Giordania")</f>
        <v>Giordania</v>
      </c>
      <c r="S690" s="6" t="s">
        <v>132</v>
      </c>
      <c r="T690" s="7" t="str">
        <f>IFERROR(__xludf.DUMMYFUNCTION("GOOGLETRANSLATE(C690, ""en"", ""ja"")"),"ヨルダン")</f>
        <v>ヨルダン</v>
      </c>
      <c r="U690" s="7" t="str">
        <f>IFERROR(__xludf.DUMMYFUNCTION("GOOGLETRANSLATE(C690, ""en"", ""ko"")"),"요르단")</f>
        <v>요르단</v>
      </c>
      <c r="V690" s="7" t="str">
        <f>IFERROR(__xludf.DUMMYFUNCTION("GOOGLETRANSLATE(C690, ""en"", ""ms"")"),"Jordan")</f>
        <v>Jordan</v>
      </c>
      <c r="W690" s="7" t="str">
        <f>IFERROR(__xludf.DUMMYFUNCTION("GOOGLETRANSLATE(C690, ""en"", ""nl"")"),"Jordanië")</f>
        <v>Jordanië</v>
      </c>
      <c r="X690" s="7" t="str">
        <f>IFERROR(__xludf.DUMMYFUNCTION("GOOGLETRANSLATE(C690, ""en"", ""no"")"),"Jordan.")</f>
        <v>Jordan.</v>
      </c>
      <c r="Y690" s="7" t="str">
        <f>IFERROR(__xludf.DUMMYFUNCTION("GOOGLETRANSLATE(C690, ""en"", ""pl"")"),"Jordania")</f>
        <v>Jordania</v>
      </c>
      <c r="Z690" s="7" t="str">
        <f>IFERROR(__xludf.DUMMYFUNCTION("GOOGLETRANSLATE(C690, ""en"", ""pt"")"),"Jordânia")</f>
        <v>Jordânia</v>
      </c>
      <c r="AA690" s="7" t="str">
        <f>IFERROR(__xludf.DUMMYFUNCTION("GOOGLETRANSLATE(C690, ""en"", ""ro"")"),"Iordania")</f>
        <v>Iordania</v>
      </c>
      <c r="AB690" s="1" t="s">
        <v>14329</v>
      </c>
      <c r="AC690" s="7" t="str">
        <f>IFERROR(__xludf.DUMMYFUNCTION("GOOGLETRANSLATE(C690, ""en"", ""sk"")"),"Jordánsky")</f>
        <v>Jordánsky</v>
      </c>
      <c r="AD690" s="6" t="s">
        <v>132</v>
      </c>
      <c r="AE690" s="1" t="s">
        <v>14326</v>
      </c>
      <c r="AF690" s="7" t="str">
        <f>IFERROR(__xludf.DUMMYFUNCTION("GOOGLETRANSLATE(C690, ""en"", ""sv"")"),"Jordanisk")</f>
        <v>Jordanisk</v>
      </c>
      <c r="AG690" s="6" t="s">
        <v>132</v>
      </c>
      <c r="AH690" s="7" t="str">
        <f>IFERROR(__xludf.DUMMYFUNCTION("GOOGLETRANSLATE(C690, ""en"", ""tr"")"),"Ürdün")</f>
        <v>Ürdün</v>
      </c>
      <c r="AI690" s="6" t="s">
        <v>132</v>
      </c>
      <c r="AJ690" s="6" t="s">
        <v>132</v>
      </c>
      <c r="AK690" s="7" t="str">
        <f>IFERROR(__xludf.DUMMYFUNCTION("GOOGLETRANSLATE(C690, ""en"", ""zh"")"),"约旦")</f>
        <v>约旦</v>
      </c>
      <c r="AL690" s="6" t="s">
        <v>132</v>
      </c>
    </row>
    <row r="691" ht="15.75" hidden="1" customHeight="1">
      <c r="A691" s="1" t="s">
        <v>38</v>
      </c>
      <c r="B691" s="1" t="s">
        <v>14330</v>
      </c>
      <c r="C691" s="1" t="s">
        <v>14331</v>
      </c>
      <c r="D691" s="7" t="str">
        <f>IFERROR(__xludf.DUMMYFUNCTION("GOOGLETRANSLATE(C691, ""en"", ""ar"")"),"أنكر")</f>
        <v>أنكر</v>
      </c>
      <c r="E691" s="7" t="str">
        <f>IFERROR(__xludf.DUMMYFUNCTION("GOOGLETRANSLATE(C691, ""en"", ""bg"")"),"Отряда")</f>
        <v>Отряда</v>
      </c>
      <c r="F691" s="6" t="s">
        <v>132</v>
      </c>
      <c r="G691" s="7" t="str">
        <f>IFERROR(__xludf.DUMMYFUNCTION("GOOGLETRANSLATE(C691, ""en"", ""cs"")"),"Odmítnout")</f>
        <v>Odmítnout</v>
      </c>
      <c r="H691" s="7" t="str">
        <f>IFERROR(__xludf.DUMMYFUNCTION("GOOGLETRANSLATE(C691, ""en"", ""da"")"),"Nægte")</f>
        <v>Nægte</v>
      </c>
      <c r="I691" s="1" t="s">
        <v>14332</v>
      </c>
      <c r="J691" s="6" t="s">
        <v>132</v>
      </c>
      <c r="K691" s="1" t="s">
        <v>14333</v>
      </c>
      <c r="L691" s="7" t="str">
        <f>IFERROR(__xludf.DUMMYFUNCTION("GOOGLETRANSLATE(C691, ""en"", ""fi"")"),"Kieltää")</f>
        <v>Kieltää</v>
      </c>
      <c r="M691" s="1" t="s">
        <v>14334</v>
      </c>
      <c r="N691" s="6" t="s">
        <v>132</v>
      </c>
      <c r="O691" s="6" t="s">
        <v>132</v>
      </c>
      <c r="P691" s="1" t="s">
        <v>14335</v>
      </c>
      <c r="Q691" s="7" t="str">
        <f>IFERROR(__xludf.DUMMYFUNCTION("GOOGLETRANSLATE(C691, ""en"", ""in"")"),"Menyangkal")</f>
        <v>Menyangkal</v>
      </c>
      <c r="R691" s="7" t="str">
        <f>IFERROR(__xludf.DUMMYFUNCTION("GOOGLETRANSLATE(C691, ""en"", ""it"")"),"Negare")</f>
        <v>Negare</v>
      </c>
      <c r="S691" s="6" t="s">
        <v>132</v>
      </c>
      <c r="T691" s="7" t="str">
        <f>IFERROR(__xludf.DUMMYFUNCTION("GOOGLETRANSLATE(C691, ""en"", ""ja"")"),"否定する")</f>
        <v>否定する</v>
      </c>
      <c r="U691" s="7" t="str">
        <f>IFERROR(__xludf.DUMMYFUNCTION("GOOGLETRANSLATE(C691, ""en"", ""ko"")"),"거부하다")</f>
        <v>거부하다</v>
      </c>
      <c r="V691" s="7" t="str">
        <f>IFERROR(__xludf.DUMMYFUNCTION("GOOGLETRANSLATE(C691, ""en"", ""ms"")"),"DENGAN")</f>
        <v>DENGAN</v>
      </c>
      <c r="W691" s="7" t="str">
        <f>IFERROR(__xludf.DUMMYFUNCTION("GOOGLETRANSLATE(C691, ""en"", ""nl"")"),"Ontkennen")</f>
        <v>Ontkennen</v>
      </c>
      <c r="X691" s="7" t="str">
        <f>IFERROR(__xludf.DUMMYFUNCTION("GOOGLETRANSLATE(C691, ""en"", ""no"")"),"Benekte")</f>
        <v>Benekte</v>
      </c>
      <c r="Y691" s="7" t="str">
        <f>IFERROR(__xludf.DUMMYFUNCTION("GOOGLETRANSLATE(C691, ""en"", ""pl"")"),"Zaprzeczać")</f>
        <v>Zaprzeczać</v>
      </c>
      <c r="Z691" s="7" t="str">
        <f>IFERROR(__xludf.DUMMYFUNCTION("GOOGLETRANSLATE(C691, ""en"", ""pt"")"),"Negar")</f>
        <v>Negar</v>
      </c>
      <c r="AA691" s="7" t="str">
        <f>IFERROR(__xludf.DUMMYFUNCTION("GOOGLETRANSLATE(C691, ""en"", ""ro"")"),"Deny.")</f>
        <v>Deny.</v>
      </c>
      <c r="AB691" s="1" t="s">
        <v>11369</v>
      </c>
      <c r="AC691" s="7" t="str">
        <f>IFERROR(__xludf.DUMMYFUNCTION("GOOGLETRANSLATE(C691, ""en"", ""sk"")"),"Poprieť")</f>
        <v>Poprieť</v>
      </c>
      <c r="AD691" s="6" t="s">
        <v>132</v>
      </c>
      <c r="AE691" s="1" t="s">
        <v>14336</v>
      </c>
      <c r="AF691" s="7" t="str">
        <f>IFERROR(__xludf.DUMMYFUNCTION("GOOGLETRANSLATE(C691, ""en"", ""sv"")"),"Förneka")</f>
        <v>Förneka</v>
      </c>
      <c r="AG691" s="6" t="s">
        <v>132</v>
      </c>
      <c r="AH691" s="7" t="str">
        <f>IFERROR(__xludf.DUMMYFUNCTION("GOOGLETRANSLATE(C691, ""en"", ""tr"")"),"Reddetmek")</f>
        <v>Reddetmek</v>
      </c>
      <c r="AI691" s="6" t="s">
        <v>132</v>
      </c>
      <c r="AJ691" s="6" t="s">
        <v>132</v>
      </c>
      <c r="AK691" s="7" t="str">
        <f>IFERROR(__xludf.DUMMYFUNCTION("GOOGLETRANSLATE(C691, ""en"", ""zh"")"),"否定")</f>
        <v>否定</v>
      </c>
      <c r="AL691" s="6" t="s">
        <v>132</v>
      </c>
    </row>
    <row r="692" ht="15.75" hidden="1" customHeight="1">
      <c r="A692" s="1" t="s">
        <v>38</v>
      </c>
      <c r="B692" s="1" t="s">
        <v>14337</v>
      </c>
      <c r="C692" s="1" t="s">
        <v>14338</v>
      </c>
      <c r="D692" s="7" t="str">
        <f>IFERROR(__xludf.DUMMYFUNCTION("GOOGLETRANSLATE(C692, ""en"", ""ar"")"),"ضغط الفيديو")</f>
        <v>ضغط الفيديو</v>
      </c>
      <c r="E692" s="1" t="s">
        <v>14339</v>
      </c>
      <c r="F692" s="6" t="s">
        <v>132</v>
      </c>
      <c r="G692" s="7" t="str">
        <f>IFERROR(__xludf.DUMMYFUNCTION("GOOGLETRANSLATE(C692, ""en"", ""cs"")"),"Video komprese")</f>
        <v>Video komprese</v>
      </c>
      <c r="H692" s="7" t="str">
        <f>IFERROR(__xludf.DUMMYFUNCTION("GOOGLETRANSLATE(C692, ""en"", ""da"")"),"Video Compression")</f>
        <v>Video Compression</v>
      </c>
      <c r="I692" s="1" t="s">
        <v>14340</v>
      </c>
      <c r="J692" s="6" t="s">
        <v>132</v>
      </c>
      <c r="K692" s="1" t="s">
        <v>14341</v>
      </c>
      <c r="L692" s="7" t="str">
        <f>IFERROR(__xludf.DUMMYFUNCTION("GOOGLETRANSLATE(C692, ""en"", ""fi"")"),"Videon pakkaus")</f>
        <v>Videon pakkaus</v>
      </c>
      <c r="M692" s="1" t="s">
        <v>14342</v>
      </c>
      <c r="N692" s="6" t="s">
        <v>14343</v>
      </c>
      <c r="O692" s="6" t="s">
        <v>132</v>
      </c>
      <c r="P692" s="1" t="s">
        <v>14344</v>
      </c>
      <c r="Q692" s="7" t="str">
        <f>IFERROR(__xludf.DUMMYFUNCTION("GOOGLETRANSLATE(C692, ""en"", ""in"")"),"Kompresi video")</f>
        <v>Kompresi video</v>
      </c>
      <c r="R692" s="1" t="s">
        <v>14345</v>
      </c>
      <c r="S692" s="6" t="s">
        <v>132</v>
      </c>
      <c r="T692" s="7" t="str">
        <f>IFERROR(__xludf.DUMMYFUNCTION("GOOGLETRANSLATE(C692, ""en"", ""ja"")"),"ビデオ圧縮")</f>
        <v>ビデオ圧縮</v>
      </c>
      <c r="U692" s="7" t="str">
        <f>IFERROR(__xludf.DUMMYFUNCTION("GOOGLETRANSLATE(C692, ""en"", ""ko"")"),"비디오 압축")</f>
        <v>비디오 압축</v>
      </c>
      <c r="V692" s="7" t="str">
        <f>IFERROR(__xludf.DUMMYFUNCTION("GOOGLETRANSLATE(C692, ""en"", ""ms"")"),"Pemampatan video.")</f>
        <v>Pemampatan video.</v>
      </c>
      <c r="W692" s="1" t="s">
        <v>14346</v>
      </c>
      <c r="X692" s="7" t="str">
        <f>IFERROR(__xludf.DUMMYFUNCTION("GOOGLETRANSLATE(C692, ""en"", ""no"")"),"Videokomprimering")</f>
        <v>Videokomprimering</v>
      </c>
      <c r="Y692" s="1" t="s">
        <v>14347</v>
      </c>
      <c r="Z692" s="7" t="str">
        <f>IFERROR(__xludf.DUMMYFUNCTION("GOOGLETRANSLATE(C692, ""en"", ""pt"")"),"Compressão de vídeo")</f>
        <v>Compressão de vídeo</v>
      </c>
      <c r="AA692" s="7" t="str">
        <f>IFERROR(__xludf.DUMMYFUNCTION("GOOGLETRANSLATE(C692, ""en"", ""ro"")"),"Compresie video.")</f>
        <v>Compresie video.</v>
      </c>
      <c r="AB692" s="7" t="str">
        <f>IFERROR(__xludf.DUMMYFUNCTION("GOOGLETRANSLATE(C692, ""en"", ""ru"")"),"Сжатие видео")</f>
        <v>Сжатие видео</v>
      </c>
      <c r="AC692" s="7" t="str">
        <f>IFERROR(__xludf.DUMMYFUNCTION("GOOGLETRANSLATE(C692, ""en"", ""sk"")"),"Kompresia videa")</f>
        <v>Kompresia videa</v>
      </c>
      <c r="AD692" s="6" t="s">
        <v>132</v>
      </c>
      <c r="AE692" s="1" t="s">
        <v>14348</v>
      </c>
      <c r="AF692" s="7" t="str">
        <f>IFERROR(__xludf.DUMMYFUNCTION("GOOGLETRANSLATE(C692, ""en"", ""sv"")"),"Videokomprimering")</f>
        <v>Videokomprimering</v>
      </c>
      <c r="AG692" s="6" t="s">
        <v>132</v>
      </c>
      <c r="AH692" s="7" t="str">
        <f>IFERROR(__xludf.DUMMYFUNCTION("GOOGLETRANSLATE(C692, ""en"", ""tr"")"),"Video sıkıştırma")</f>
        <v>Video sıkıştırma</v>
      </c>
      <c r="AI692" s="6" t="s">
        <v>132</v>
      </c>
      <c r="AJ692" s="6" t="s">
        <v>132</v>
      </c>
      <c r="AK692" s="7" t="str">
        <f>IFERROR(__xludf.DUMMYFUNCTION("GOOGLETRANSLATE(C692, ""en"", ""zh"")"),"视频压缩")</f>
        <v>视频压缩</v>
      </c>
      <c r="AL692" s="6" t="s">
        <v>132</v>
      </c>
    </row>
    <row r="693" ht="15.75" hidden="1" customHeight="1">
      <c r="A693" s="1" t="s">
        <v>38</v>
      </c>
      <c r="B693" s="1" t="s">
        <v>14349</v>
      </c>
      <c r="C693" s="1" t="s">
        <v>14350</v>
      </c>
      <c r="D693" s="8" t="s">
        <v>14351</v>
      </c>
      <c r="E693" s="1" t="s">
        <v>14352</v>
      </c>
      <c r="F693" s="6" t="s">
        <v>14353</v>
      </c>
      <c r="G693" s="7" t="str">
        <f>IFERROR(__xludf.DUMMYFUNCTION("GOOGLETRANSLATE(C693, ""en"", ""cs"")"),"Poslat zprávu")</f>
        <v>Poslat zprávu</v>
      </c>
      <c r="H693" s="7" t="str">
        <f>IFERROR(__xludf.DUMMYFUNCTION("GOOGLETRANSLATE(C693, ""en"", ""da"")"),"Send besked")</f>
        <v>Send besked</v>
      </c>
      <c r="I693" s="1" t="s">
        <v>14354</v>
      </c>
      <c r="J693" s="6" t="s">
        <v>132</v>
      </c>
      <c r="K693" s="1" t="s">
        <v>14355</v>
      </c>
      <c r="L693" s="7" t="str">
        <f>IFERROR(__xludf.DUMMYFUNCTION("GOOGLETRANSLATE(C693, ""en"", ""fi"")"),"Lähetä viesti")</f>
        <v>Lähetä viesti</v>
      </c>
      <c r="M693" s="1" t="s">
        <v>14356</v>
      </c>
      <c r="N693" s="6" t="s">
        <v>14357</v>
      </c>
      <c r="O693" s="6" t="s">
        <v>132</v>
      </c>
      <c r="P693" s="1" t="s">
        <v>14358</v>
      </c>
      <c r="Q693" s="7" t="str">
        <f>IFERROR(__xludf.DUMMYFUNCTION("GOOGLETRANSLATE(C693, ""en"", ""in"")"),"Mengirim pesan")</f>
        <v>Mengirim pesan</v>
      </c>
      <c r="R693" s="1" t="s">
        <v>14359</v>
      </c>
      <c r="S693" s="6" t="s">
        <v>132</v>
      </c>
      <c r="T693" s="1" t="s">
        <v>14360</v>
      </c>
      <c r="U693" s="7" t="str">
        <f>IFERROR(__xludf.DUMMYFUNCTION("GOOGLETRANSLATE(C693, ""en"", ""ko"")"),"문자 보내")</f>
        <v>문자 보내</v>
      </c>
      <c r="V693" s="7" t="str">
        <f>IFERROR(__xludf.DUMMYFUNCTION("GOOGLETRANSLATE(C693, ""en"", ""ms"")"),"Menghantar mesej")</f>
        <v>Menghantar mesej</v>
      </c>
      <c r="W693" s="1" t="s">
        <v>14361</v>
      </c>
      <c r="X693" s="7" t="str">
        <f>IFERROR(__xludf.DUMMYFUNCTION("GOOGLETRANSLATE(C693, ""en"", ""no"")"),"Sende melding")</f>
        <v>Sende melding</v>
      </c>
      <c r="Y693" s="1" t="s">
        <v>14362</v>
      </c>
      <c r="Z693" s="1" t="s">
        <v>14363</v>
      </c>
      <c r="AA693" s="7" t="str">
        <f>IFERROR(__xludf.DUMMYFUNCTION("GOOGLETRANSLATE(C693, ""en"", ""ro"")"),"Trimite mesaj")</f>
        <v>Trimite mesaj</v>
      </c>
      <c r="AB693" s="1" t="s">
        <v>14364</v>
      </c>
      <c r="AC693" s="7" t="str">
        <f>IFERROR(__xludf.DUMMYFUNCTION("GOOGLETRANSLATE(C693, ""en"", ""sk"")"),"Poslať správu")</f>
        <v>Poslať správu</v>
      </c>
      <c r="AD693" s="6" t="s">
        <v>132</v>
      </c>
      <c r="AE693" s="1" t="s">
        <v>14365</v>
      </c>
      <c r="AF693" s="1" t="s">
        <v>14366</v>
      </c>
      <c r="AG693" s="6" t="s">
        <v>132</v>
      </c>
      <c r="AH693" s="7" t="str">
        <f>IFERROR(__xludf.DUMMYFUNCTION("GOOGLETRANSLATE(C693, ""en"", ""tr"")"),"Mesaj gönder")</f>
        <v>Mesaj gönder</v>
      </c>
      <c r="AI693" s="6" t="s">
        <v>14367</v>
      </c>
      <c r="AJ693" s="6" t="s">
        <v>132</v>
      </c>
      <c r="AK693" s="7" t="str">
        <f>IFERROR(__xludf.DUMMYFUNCTION("GOOGLETRANSLATE(C693, ""en"", ""zh"")"),"发信息")</f>
        <v>发信息</v>
      </c>
      <c r="AL693" s="6" t="s">
        <v>14368</v>
      </c>
    </row>
    <row r="694" ht="15.75" hidden="1" customHeight="1">
      <c r="A694" s="1" t="s">
        <v>38</v>
      </c>
      <c r="B694" s="1" t="s">
        <v>14369</v>
      </c>
      <c r="C694" s="1" t="s">
        <v>14370</v>
      </c>
      <c r="D694" s="8" t="s">
        <v>14371</v>
      </c>
      <c r="E694" s="1" t="s">
        <v>14372</v>
      </c>
      <c r="F694" s="6" t="s">
        <v>14373</v>
      </c>
      <c r="G694" s="7" t="str">
        <f>IFERROR(__xludf.DUMMYFUNCTION("GOOGLETRANSLATE(C694, ""en"", ""cs"")"),"Čárový kód neobsahuje pro tuto konverzaci otisky prstů.")</f>
        <v>Čárový kód neobsahuje pro tuto konverzaci otisky prstů.</v>
      </c>
      <c r="H694" s="7" t="str">
        <f>IFERROR(__xludf.DUMMYFUNCTION("GOOGLETRANSLATE(C694, ""en"", ""da"")"),"Stregkode indeholder ikke fingeraftryk til denne samtale.")</f>
        <v>Stregkode indeholder ikke fingeraftryk til denne samtale.</v>
      </c>
      <c r="I694" s="1" t="s">
        <v>14374</v>
      </c>
      <c r="J694" s="6" t="s">
        <v>132</v>
      </c>
      <c r="K694" s="1" t="s">
        <v>14375</v>
      </c>
      <c r="L694" s="7" t="str">
        <f>IFERROR(__xludf.DUMMYFUNCTION("GOOGLETRANSLATE(C694, ""en"", ""fi"")"),"Viivakoodi ei sisällä tämän keskustelun sormenjälkiä.")</f>
        <v>Viivakoodi ei sisällä tämän keskustelun sormenjälkiä.</v>
      </c>
      <c r="M694" s="1" t="s">
        <v>14376</v>
      </c>
      <c r="N694" s="6" t="s">
        <v>14377</v>
      </c>
      <c r="O694" s="6" t="s">
        <v>132</v>
      </c>
      <c r="P694" s="1" t="s">
        <v>14378</v>
      </c>
      <c r="Q694" s="7" t="str">
        <f>IFERROR(__xludf.DUMMYFUNCTION("GOOGLETRANSLATE(C694, ""en"", ""in"")"),"Barcode tidak mengandung sidik jari untuk percakapan ini.")</f>
        <v>Barcode tidak mengandung sidik jari untuk percakapan ini.</v>
      </c>
      <c r="R694" s="1" t="s">
        <v>14379</v>
      </c>
      <c r="S694" s="6" t="s">
        <v>132</v>
      </c>
      <c r="T694" s="1" t="s">
        <v>14380</v>
      </c>
      <c r="U694" s="7" t="str">
        <f>IFERROR(__xludf.DUMMYFUNCTION("GOOGLETRANSLATE(C694, ""en"", ""ko"")"),"바코드에는이 대화에 대한 지문이 포함되어 있지 않습니다.")</f>
        <v>바코드에는이 대화에 대한 지문이 포함되어 있지 않습니다.</v>
      </c>
      <c r="V694" s="7" t="str">
        <f>IFERROR(__xludf.DUMMYFUNCTION("GOOGLETRANSLATE(C694, ""en"", ""ms"")"),"Barcode tidak mengandungi cap jari untuk perbualan ini.")</f>
        <v>Barcode tidak mengandungi cap jari untuk perbualan ini.</v>
      </c>
      <c r="W694" s="1" t="s">
        <v>14381</v>
      </c>
      <c r="X694" s="7" t="str">
        <f>IFERROR(__xludf.DUMMYFUNCTION("GOOGLETRANSLATE(C694, ""en"", ""no"")"),"Strekkode inneholder ikke fingeravtrykk for denne samtalen.")</f>
        <v>Strekkode inneholder ikke fingeravtrykk for denne samtalen.</v>
      </c>
      <c r="Y694" s="1" t="s">
        <v>14382</v>
      </c>
      <c r="Z694" s="7" t="str">
        <f>IFERROR(__xludf.DUMMYFUNCTION("GOOGLETRANSLATE(C694, ""en"", ""pt"")"),"O código de barras não contém impressões digitais para esta conversa.")</f>
        <v>O código de barras não contém impressões digitais para esta conversa.</v>
      </c>
      <c r="AA694" s="7" t="str">
        <f>IFERROR(__xludf.DUMMYFUNCTION("GOOGLETRANSLATE(C694, ""en"", ""ro"")"),"Codul de bare nu conține amprente digitale pentru această conversație.")</f>
        <v>Codul de bare nu conține amprente digitale pentru această conversație.</v>
      </c>
      <c r="AB694" s="1" t="s">
        <v>14383</v>
      </c>
      <c r="AC694" s="7" t="str">
        <f>IFERROR(__xludf.DUMMYFUNCTION("GOOGLETRANSLATE(C694, ""en"", ""sk"")"),"Barcode neobsahuje odtlačky prstov pre túto konverzáciu.")</f>
        <v>Barcode neobsahuje odtlačky prstov pre túto konverzáciu.</v>
      </c>
      <c r="AD694" s="6" t="s">
        <v>132</v>
      </c>
      <c r="AE694" s="1" t="s">
        <v>14384</v>
      </c>
      <c r="AF694" s="1" t="s">
        <v>14385</v>
      </c>
      <c r="AG694" s="6" t="s">
        <v>132</v>
      </c>
      <c r="AH694" s="7" t="str">
        <f>IFERROR(__xludf.DUMMYFUNCTION("GOOGLETRANSLATE(C694, ""en"", ""tr"")"),"Barkod bu sohbet için parmak izi içermez.")</f>
        <v>Barkod bu sohbet için parmak izi içermez.</v>
      </c>
      <c r="AI694" s="6" t="s">
        <v>14386</v>
      </c>
      <c r="AJ694" s="6" t="s">
        <v>132</v>
      </c>
      <c r="AK694" s="7" t="str">
        <f>IFERROR(__xludf.DUMMYFUNCTION("GOOGLETRANSLATE(C694, ""en"", ""zh"")"),"条形码不包含此对话的指纹。")</f>
        <v>条形码不包含此对话的指纹。</v>
      </c>
      <c r="AL694" s="6" t="s">
        <v>14387</v>
      </c>
    </row>
    <row r="695" ht="15.75" customHeight="1">
      <c r="A695" s="1" t="s">
        <v>127</v>
      </c>
      <c r="B695" s="1" t="s">
        <v>14388</v>
      </c>
      <c r="C695" s="1" t="s">
        <v>14389</v>
      </c>
      <c r="D695" s="8" t="s">
        <v>14390</v>
      </c>
      <c r="E695" s="1" t="s">
        <v>14391</v>
      </c>
      <c r="F695" s="6" t="s">
        <v>132</v>
      </c>
      <c r="G695" s="1" t="s">
        <v>14392</v>
      </c>
      <c r="H695" s="1" t="s">
        <v>14393</v>
      </c>
      <c r="I695" s="1" t="s">
        <v>14394</v>
      </c>
      <c r="J695" s="6" t="s">
        <v>14395</v>
      </c>
      <c r="K695" s="1" t="s">
        <v>14396</v>
      </c>
      <c r="L695" s="1" t="s">
        <v>14397</v>
      </c>
      <c r="M695" s="1" t="s">
        <v>14398</v>
      </c>
      <c r="N695" s="6" t="s">
        <v>132</v>
      </c>
      <c r="O695" s="6" t="s">
        <v>14399</v>
      </c>
      <c r="P695" s="1" t="s">
        <v>14400</v>
      </c>
      <c r="Q695" s="1" t="s">
        <v>14401</v>
      </c>
      <c r="R695" s="1" t="s">
        <v>14402</v>
      </c>
      <c r="S695" s="10" t="s">
        <v>14403</v>
      </c>
      <c r="T695" s="1" t="s">
        <v>14404</v>
      </c>
      <c r="U695" s="1" t="s">
        <v>14405</v>
      </c>
      <c r="V695" s="1" t="s">
        <v>14406</v>
      </c>
      <c r="W695" s="1" t="s">
        <v>14407</v>
      </c>
      <c r="X695" s="1" t="s">
        <v>14408</v>
      </c>
      <c r="Y695" s="1" t="s">
        <v>14409</v>
      </c>
      <c r="Z695" s="1" t="s">
        <v>14410</v>
      </c>
      <c r="AA695" s="1" t="s">
        <v>14411</v>
      </c>
      <c r="AB695" s="1" t="s">
        <v>14412</v>
      </c>
      <c r="AC695" s="1" t="s">
        <v>14413</v>
      </c>
      <c r="AD695" s="6" t="s">
        <v>14414</v>
      </c>
      <c r="AE695" s="1" t="s">
        <v>14415</v>
      </c>
      <c r="AF695" s="1" t="s">
        <v>14416</v>
      </c>
      <c r="AG695" s="6" t="s">
        <v>14417</v>
      </c>
      <c r="AH695" s="1" t="s">
        <v>14418</v>
      </c>
      <c r="AI695" s="6" t="s">
        <v>132</v>
      </c>
      <c r="AJ695" s="6" t="s">
        <v>14419</v>
      </c>
      <c r="AK695" s="1" t="s">
        <v>14420</v>
      </c>
      <c r="AL695" s="6" t="s">
        <v>14421</v>
      </c>
    </row>
    <row r="696" ht="15.75" customHeight="1">
      <c r="A696" s="1" t="s">
        <v>127</v>
      </c>
      <c r="B696" s="1" t="s">
        <v>14422</v>
      </c>
      <c r="C696" s="1" t="s">
        <v>14423</v>
      </c>
      <c r="D696" s="8" t="s">
        <v>14424</v>
      </c>
      <c r="E696" s="1" t="s">
        <v>14425</v>
      </c>
      <c r="F696" s="6" t="s">
        <v>132</v>
      </c>
      <c r="G696" s="1" t="s">
        <v>14426</v>
      </c>
      <c r="H696" s="1" t="s">
        <v>14427</v>
      </c>
      <c r="I696" s="1" t="s">
        <v>14428</v>
      </c>
      <c r="J696" s="6" t="s">
        <v>14429</v>
      </c>
      <c r="K696" s="1" t="s">
        <v>14430</v>
      </c>
      <c r="L696" s="1" t="s">
        <v>14431</v>
      </c>
      <c r="M696" s="1" t="s">
        <v>14432</v>
      </c>
      <c r="N696" s="6" t="s">
        <v>132</v>
      </c>
      <c r="O696" s="6" t="s">
        <v>14433</v>
      </c>
      <c r="P696" s="1" t="s">
        <v>14434</v>
      </c>
      <c r="Q696" s="1" t="s">
        <v>14435</v>
      </c>
      <c r="R696" s="1" t="s">
        <v>14436</v>
      </c>
      <c r="S696" s="10" t="s">
        <v>14437</v>
      </c>
      <c r="T696" s="1" t="s">
        <v>14438</v>
      </c>
      <c r="U696" s="1" t="s">
        <v>14439</v>
      </c>
      <c r="V696" s="1" t="s">
        <v>14440</v>
      </c>
      <c r="W696" s="1" t="s">
        <v>14441</v>
      </c>
      <c r="X696" s="1" t="s">
        <v>14427</v>
      </c>
      <c r="Y696" s="1" t="s">
        <v>14442</v>
      </c>
      <c r="Z696" s="1" t="s">
        <v>14443</v>
      </c>
      <c r="AA696" s="1" t="s">
        <v>14444</v>
      </c>
      <c r="AB696" s="1" t="s">
        <v>14445</v>
      </c>
      <c r="AC696" s="1" t="s">
        <v>14446</v>
      </c>
      <c r="AD696" s="6" t="s">
        <v>14447</v>
      </c>
      <c r="AE696" s="1" t="s">
        <v>14448</v>
      </c>
      <c r="AF696" s="1" t="s">
        <v>14449</v>
      </c>
      <c r="AG696" s="6" t="s">
        <v>14450</v>
      </c>
      <c r="AH696" s="1" t="s">
        <v>14451</v>
      </c>
      <c r="AI696" s="6" t="s">
        <v>132</v>
      </c>
      <c r="AJ696" s="6" t="s">
        <v>14452</v>
      </c>
      <c r="AK696" s="1" t="s">
        <v>14453</v>
      </c>
      <c r="AL696" s="6" t="s">
        <v>132</v>
      </c>
    </row>
    <row r="697" ht="15.75" customHeight="1">
      <c r="A697" s="1" t="s">
        <v>127</v>
      </c>
      <c r="B697" s="1" t="s">
        <v>14454</v>
      </c>
      <c r="C697" s="1" t="s">
        <v>14455</v>
      </c>
      <c r="D697" s="8" t="s">
        <v>14456</v>
      </c>
      <c r="E697" s="1" t="s">
        <v>14457</v>
      </c>
      <c r="F697" s="6" t="s">
        <v>132</v>
      </c>
      <c r="G697" s="1" t="s">
        <v>14458</v>
      </c>
      <c r="H697" s="1" t="s">
        <v>14459</v>
      </c>
      <c r="I697" s="1" t="s">
        <v>14460</v>
      </c>
      <c r="J697" s="6" t="s">
        <v>14461</v>
      </c>
      <c r="K697" s="1" t="s">
        <v>14462</v>
      </c>
      <c r="L697" s="1" t="s">
        <v>14463</v>
      </c>
      <c r="M697" s="1" t="s">
        <v>14455</v>
      </c>
      <c r="N697" s="6" t="s">
        <v>132</v>
      </c>
      <c r="O697" s="6" t="s">
        <v>14021</v>
      </c>
      <c r="P697" s="1" t="s">
        <v>14464</v>
      </c>
      <c r="Q697" s="1" t="s">
        <v>14023</v>
      </c>
      <c r="R697" s="1" t="s">
        <v>14465</v>
      </c>
      <c r="S697" s="10" t="s">
        <v>14466</v>
      </c>
      <c r="T697" s="1" t="s">
        <v>14025</v>
      </c>
      <c r="U697" s="1" t="s">
        <v>14026</v>
      </c>
      <c r="V697" s="1" t="s">
        <v>14027</v>
      </c>
      <c r="W697" s="1" t="s">
        <v>14467</v>
      </c>
      <c r="X697" s="1" t="s">
        <v>14459</v>
      </c>
      <c r="Y697" s="1" t="s">
        <v>14458</v>
      </c>
      <c r="Z697" s="1" t="s">
        <v>14462</v>
      </c>
      <c r="AA697" s="1" t="s">
        <v>14013</v>
      </c>
      <c r="AB697" s="1" t="s">
        <v>14468</v>
      </c>
      <c r="AC697" s="1" t="s">
        <v>14469</v>
      </c>
      <c r="AD697" s="6" t="s">
        <v>14013</v>
      </c>
      <c r="AE697" s="1" t="s">
        <v>14015</v>
      </c>
      <c r="AF697" s="1" t="s">
        <v>14470</v>
      </c>
      <c r="AG697" s="6" t="s">
        <v>14031</v>
      </c>
      <c r="AH697" s="1" t="s">
        <v>14032</v>
      </c>
      <c r="AI697" s="6" t="s">
        <v>132</v>
      </c>
      <c r="AJ697" s="6" t="s">
        <v>14033</v>
      </c>
      <c r="AK697" s="1" t="s">
        <v>14034</v>
      </c>
      <c r="AL697" s="6" t="s">
        <v>14035</v>
      </c>
    </row>
    <row r="698" ht="15.75" customHeight="1">
      <c r="A698" s="1" t="s">
        <v>127</v>
      </c>
      <c r="B698" s="1" t="s">
        <v>14471</v>
      </c>
      <c r="C698" s="1" t="s">
        <v>14472</v>
      </c>
      <c r="D698" s="8" t="s">
        <v>14473</v>
      </c>
      <c r="E698" s="1" t="s">
        <v>14474</v>
      </c>
      <c r="F698" s="6" t="s">
        <v>132</v>
      </c>
      <c r="G698" s="1" t="s">
        <v>14475</v>
      </c>
      <c r="H698" s="1" t="s">
        <v>14476</v>
      </c>
      <c r="I698" s="1" t="s">
        <v>14477</v>
      </c>
      <c r="J698" s="6" t="s">
        <v>14478</v>
      </c>
      <c r="K698" s="1" t="s">
        <v>14479</v>
      </c>
      <c r="L698" s="1" t="s">
        <v>14480</v>
      </c>
      <c r="M698" s="1" t="s">
        <v>14481</v>
      </c>
      <c r="N698" s="6" t="s">
        <v>132</v>
      </c>
      <c r="O698" s="6" t="s">
        <v>14482</v>
      </c>
      <c r="P698" s="1" t="s">
        <v>14472</v>
      </c>
      <c r="Q698" s="1" t="s">
        <v>14483</v>
      </c>
      <c r="R698" s="1" t="s">
        <v>14484</v>
      </c>
      <c r="S698" s="10" t="s">
        <v>14485</v>
      </c>
      <c r="T698" s="1" t="s">
        <v>14486</v>
      </c>
      <c r="U698" s="1" t="s">
        <v>9193</v>
      </c>
      <c r="V698" s="1" t="s">
        <v>14487</v>
      </c>
      <c r="W698" s="1" t="s">
        <v>14488</v>
      </c>
      <c r="X698" s="1" t="s">
        <v>14489</v>
      </c>
      <c r="Y698" s="1" t="s">
        <v>14472</v>
      </c>
      <c r="Z698" s="1" t="s">
        <v>14472</v>
      </c>
      <c r="AA698" s="1" t="s">
        <v>14490</v>
      </c>
      <c r="AB698" s="1" t="s">
        <v>14491</v>
      </c>
      <c r="AC698" s="1" t="s">
        <v>14492</v>
      </c>
      <c r="AD698" s="6" t="s">
        <v>14493</v>
      </c>
      <c r="AE698" s="1" t="s">
        <v>14494</v>
      </c>
      <c r="AF698" s="1" t="s">
        <v>14495</v>
      </c>
      <c r="AG698" s="6" t="s">
        <v>14496</v>
      </c>
      <c r="AH698" s="1" t="s">
        <v>14497</v>
      </c>
      <c r="AI698" s="6" t="s">
        <v>132</v>
      </c>
      <c r="AJ698" s="6" t="s">
        <v>14498</v>
      </c>
      <c r="AK698" s="1" t="s">
        <v>14499</v>
      </c>
      <c r="AL698" s="6" t="s">
        <v>14500</v>
      </c>
    </row>
    <row r="699" ht="15.75" hidden="1" customHeight="1">
      <c r="A699" s="1" t="s">
        <v>38</v>
      </c>
      <c r="B699" s="1" t="s">
        <v>14501</v>
      </c>
      <c r="C699" s="1" t="s">
        <v>14502</v>
      </c>
      <c r="D699" s="7" t="str">
        <f>IFERROR(__xludf.DUMMYFUNCTION("GOOGLETRANSLATE(C699, ""en"", ""ar"")"),"إرسال زر يشير إلى الحالة")</f>
        <v>إرسال زر يشير إلى الحالة</v>
      </c>
      <c r="E699" s="1" t="s">
        <v>14503</v>
      </c>
      <c r="F699" s="6" t="s">
        <v>14504</v>
      </c>
      <c r="G699" s="7" t="str">
        <f>IFERROR(__xludf.DUMMYFUNCTION("GOOGLETRANSLATE(C699, ""en"", ""cs"")"),"Tlačítko Odeslat Označuje stav")</f>
        <v>Tlačítko Odeslat Označuje stav</v>
      </c>
      <c r="H699" s="7" t="str">
        <f>IFERROR(__xludf.DUMMYFUNCTION("GOOGLETRANSLATE(C699, ""en"", ""da"")"),"Send-knap angiver status")</f>
        <v>Send-knap angiver status</v>
      </c>
      <c r="I699" s="1" t="s">
        <v>14505</v>
      </c>
      <c r="J699" s="6" t="s">
        <v>132</v>
      </c>
      <c r="K699" s="1" t="s">
        <v>14506</v>
      </c>
      <c r="L699" s="7" t="str">
        <f>IFERROR(__xludf.DUMMYFUNCTION("GOOGLETRANSLATE(C699, ""en"", ""fi"")"),"Lähetä-painike Osoittaa tilan")</f>
        <v>Lähetä-painike Osoittaa tilan</v>
      </c>
      <c r="M699" s="1" t="s">
        <v>14507</v>
      </c>
      <c r="N699" s="6" t="s">
        <v>14508</v>
      </c>
      <c r="O699" s="6" t="s">
        <v>132</v>
      </c>
      <c r="P699" s="1" t="s">
        <v>14509</v>
      </c>
      <c r="Q699" s="9" t="s">
        <v>14510</v>
      </c>
      <c r="R699" s="1" t="s">
        <v>14511</v>
      </c>
      <c r="S699" s="6" t="s">
        <v>132</v>
      </c>
      <c r="T699" s="1" t="s">
        <v>14512</v>
      </c>
      <c r="U699" s="1" t="s">
        <v>14513</v>
      </c>
      <c r="V699" s="7" t="str">
        <f>IFERROR(__xludf.DUMMYFUNCTION("GOOGLETRANSLATE(C699, ""en"", ""ms"")"),"Hantar butang menunjukkan status")</f>
        <v>Hantar butang menunjukkan status</v>
      </c>
      <c r="W699" s="1" t="s">
        <v>14514</v>
      </c>
      <c r="X699" s="7" t="str">
        <f>IFERROR(__xludf.DUMMYFUNCTION("GOOGLETRANSLATE(C699, ""en"", ""no"")"),"Send-knappen indikerer status")</f>
        <v>Send-knappen indikerer status</v>
      </c>
      <c r="Y699" s="1" t="s">
        <v>14515</v>
      </c>
      <c r="Z699" s="1" t="s">
        <v>14516</v>
      </c>
      <c r="AA699" s="7" t="str">
        <f>IFERROR(__xludf.DUMMYFUNCTION("GOOGLETRANSLATE(C699, ""en"", ""ro"")"),"Butonul de trimitere indică starea")</f>
        <v>Butonul de trimitere indică starea</v>
      </c>
      <c r="AB699" s="1" t="s">
        <v>14517</v>
      </c>
      <c r="AC699" s="1" t="s">
        <v>14518</v>
      </c>
      <c r="AD699" s="6" t="s">
        <v>132</v>
      </c>
      <c r="AE699" s="1" t="s">
        <v>14519</v>
      </c>
      <c r="AF699" s="1" t="s">
        <v>14520</v>
      </c>
      <c r="AG699" s="6" t="s">
        <v>132</v>
      </c>
      <c r="AH699" s="7" t="str">
        <f>IFERROR(__xludf.DUMMYFUNCTION("GOOGLETRANSLATE(C699, ""en"", ""tr"")"),"Gönder düğmesi durumu gösterir")</f>
        <v>Gönder düğmesi durumu gösterir</v>
      </c>
      <c r="AI699" s="6" t="s">
        <v>14521</v>
      </c>
      <c r="AJ699" s="6" t="s">
        <v>14522</v>
      </c>
      <c r="AK699" s="7" t="str">
        <f>IFERROR(__xludf.DUMMYFUNCTION("GOOGLETRANSLATE(C699, ""en"", ""zh"")"),"发送按钮表示状态")</f>
        <v>发送按钮表示状态</v>
      </c>
      <c r="AL699" s="6" t="s">
        <v>14523</v>
      </c>
    </row>
    <row r="700" ht="15.75" customHeight="1">
      <c r="A700" s="1" t="s">
        <v>127</v>
      </c>
      <c r="B700" s="1" t="s">
        <v>14524</v>
      </c>
      <c r="C700" s="1" t="s">
        <v>14525</v>
      </c>
      <c r="D700" s="8" t="s">
        <v>14526</v>
      </c>
      <c r="E700" s="1" t="s">
        <v>14527</v>
      </c>
      <c r="F700" s="6" t="s">
        <v>132</v>
      </c>
      <c r="G700" s="1" t="s">
        <v>14528</v>
      </c>
      <c r="H700" s="1" t="s">
        <v>14529</v>
      </c>
      <c r="I700" s="1" t="s">
        <v>14530</v>
      </c>
      <c r="J700" s="6" t="s">
        <v>14531</v>
      </c>
      <c r="K700" s="1" t="s">
        <v>14532</v>
      </c>
      <c r="L700" s="1" t="s">
        <v>14533</v>
      </c>
      <c r="M700" s="1" t="s">
        <v>14534</v>
      </c>
      <c r="N700" s="6" t="s">
        <v>132</v>
      </c>
      <c r="O700" s="6" t="s">
        <v>14535</v>
      </c>
      <c r="P700" s="1" t="s">
        <v>14536</v>
      </c>
      <c r="Q700" s="1" t="s">
        <v>14537</v>
      </c>
      <c r="R700" s="1" t="s">
        <v>14538</v>
      </c>
      <c r="S700" s="10" t="s">
        <v>14539</v>
      </c>
      <c r="T700" s="1" t="s">
        <v>14540</v>
      </c>
      <c r="U700" s="1" t="s">
        <v>14541</v>
      </c>
      <c r="V700" s="1" t="s">
        <v>14542</v>
      </c>
      <c r="W700" s="1" t="s">
        <v>14543</v>
      </c>
      <c r="X700" s="1" t="s">
        <v>14544</v>
      </c>
      <c r="Y700" s="1" t="s">
        <v>14545</v>
      </c>
      <c r="Z700" s="1" t="s">
        <v>14546</v>
      </c>
      <c r="AA700" s="1" t="s">
        <v>14547</v>
      </c>
      <c r="AB700" s="1" t="s">
        <v>14548</v>
      </c>
      <c r="AC700" s="1" t="s">
        <v>14549</v>
      </c>
      <c r="AD700" s="6" t="s">
        <v>14550</v>
      </c>
      <c r="AE700" s="1" t="s">
        <v>14551</v>
      </c>
      <c r="AF700" s="1" t="s">
        <v>14552</v>
      </c>
      <c r="AG700" s="6" t="s">
        <v>14553</v>
      </c>
      <c r="AH700" s="1" t="s">
        <v>14554</v>
      </c>
      <c r="AI700" s="6" t="s">
        <v>132</v>
      </c>
      <c r="AJ700" s="6" t="s">
        <v>14555</v>
      </c>
      <c r="AK700" s="1" t="s">
        <v>14556</v>
      </c>
      <c r="AL700" s="6" t="s">
        <v>14557</v>
      </c>
    </row>
    <row r="701" ht="15.75" customHeight="1">
      <c r="A701" s="1" t="s">
        <v>127</v>
      </c>
      <c r="B701" s="1" t="s">
        <v>14558</v>
      </c>
      <c r="C701" s="1" t="s">
        <v>14559</v>
      </c>
      <c r="D701" s="8" t="s">
        <v>14560</v>
      </c>
      <c r="E701" s="1" t="s">
        <v>14561</v>
      </c>
      <c r="F701" s="6" t="s">
        <v>132</v>
      </c>
      <c r="G701" s="1" t="s">
        <v>14562</v>
      </c>
      <c r="H701" s="1" t="s">
        <v>14563</v>
      </c>
      <c r="I701" s="1" t="s">
        <v>14564</v>
      </c>
      <c r="J701" s="6" t="s">
        <v>14565</v>
      </c>
      <c r="K701" s="1" t="s">
        <v>14566</v>
      </c>
      <c r="L701" s="1" t="s">
        <v>14567</v>
      </c>
      <c r="M701" s="1" t="s">
        <v>14568</v>
      </c>
      <c r="N701" s="6" t="s">
        <v>132</v>
      </c>
      <c r="O701" s="6" t="s">
        <v>14569</v>
      </c>
      <c r="P701" s="1" t="s">
        <v>14570</v>
      </c>
      <c r="Q701" s="1" t="s">
        <v>14571</v>
      </c>
      <c r="R701" s="1" t="s">
        <v>14572</v>
      </c>
      <c r="S701" s="10" t="s">
        <v>14573</v>
      </c>
      <c r="T701" s="1" t="s">
        <v>14574</v>
      </c>
      <c r="U701" s="1" t="s">
        <v>14575</v>
      </c>
      <c r="V701" s="1" t="s">
        <v>14576</v>
      </c>
      <c r="W701" s="1" t="s">
        <v>14564</v>
      </c>
      <c r="X701" s="1" t="s">
        <v>14577</v>
      </c>
      <c r="Y701" s="1" t="s">
        <v>14578</v>
      </c>
      <c r="Z701" s="1" t="s">
        <v>14579</v>
      </c>
      <c r="AA701" s="1" t="s">
        <v>14580</v>
      </c>
      <c r="AB701" s="1" t="s">
        <v>14581</v>
      </c>
      <c r="AC701" s="1" t="s">
        <v>14582</v>
      </c>
      <c r="AD701" s="6" t="s">
        <v>14583</v>
      </c>
      <c r="AE701" s="1" t="s">
        <v>14584</v>
      </c>
      <c r="AF701" s="1" t="s">
        <v>14585</v>
      </c>
      <c r="AG701" s="6" t="s">
        <v>14586</v>
      </c>
      <c r="AH701" s="1" t="s">
        <v>14587</v>
      </c>
      <c r="AI701" s="6" t="s">
        <v>132</v>
      </c>
      <c r="AJ701" s="6" t="s">
        <v>14588</v>
      </c>
      <c r="AK701" s="1" t="s">
        <v>14589</v>
      </c>
      <c r="AL701" s="6" t="s">
        <v>132</v>
      </c>
    </row>
    <row r="702" ht="15.75" customHeight="1">
      <c r="A702" s="1" t="s">
        <v>127</v>
      </c>
      <c r="B702" s="1" t="s">
        <v>14590</v>
      </c>
      <c r="C702" s="1" t="s">
        <v>14591</v>
      </c>
      <c r="D702" s="8" t="s">
        <v>14592</v>
      </c>
      <c r="E702" s="1" t="s">
        <v>14593</v>
      </c>
      <c r="F702" s="6" t="s">
        <v>132</v>
      </c>
      <c r="G702" s="1" t="s">
        <v>14594</v>
      </c>
      <c r="H702" s="1" t="s">
        <v>14595</v>
      </c>
      <c r="I702" s="1" t="s">
        <v>14596</v>
      </c>
      <c r="J702" s="6" t="s">
        <v>14597</v>
      </c>
      <c r="K702" s="1" t="s">
        <v>14598</v>
      </c>
      <c r="L702" s="1" t="s">
        <v>14599</v>
      </c>
      <c r="M702" s="1" t="s">
        <v>14600</v>
      </c>
      <c r="N702" s="6" t="s">
        <v>132</v>
      </c>
      <c r="O702" s="6" t="s">
        <v>14601</v>
      </c>
      <c r="P702" s="1" t="s">
        <v>14602</v>
      </c>
      <c r="Q702" s="1" t="s">
        <v>14603</v>
      </c>
      <c r="R702" s="1" t="s">
        <v>14604</v>
      </c>
      <c r="S702" s="10" t="s">
        <v>14605</v>
      </c>
      <c r="T702" s="1" t="s">
        <v>14606</v>
      </c>
      <c r="U702" s="1" t="s">
        <v>14607</v>
      </c>
      <c r="V702" s="1" t="s">
        <v>14608</v>
      </c>
      <c r="W702" s="1" t="s">
        <v>14609</v>
      </c>
      <c r="X702" s="1" t="s">
        <v>14610</v>
      </c>
      <c r="Y702" s="1" t="s">
        <v>14611</v>
      </c>
      <c r="Z702" s="1" t="s">
        <v>14612</v>
      </c>
      <c r="AA702" s="1" t="s">
        <v>14613</v>
      </c>
      <c r="AB702" s="1" t="s">
        <v>14614</v>
      </c>
      <c r="AC702" s="1" t="s">
        <v>14615</v>
      </c>
      <c r="AD702" s="6" t="s">
        <v>14616</v>
      </c>
      <c r="AE702" s="1" t="s">
        <v>14591</v>
      </c>
      <c r="AF702" s="1" t="s">
        <v>14617</v>
      </c>
      <c r="AG702" s="6" t="s">
        <v>14618</v>
      </c>
      <c r="AH702" s="1" t="s">
        <v>14619</v>
      </c>
      <c r="AI702" s="6" t="s">
        <v>132</v>
      </c>
      <c r="AJ702" s="6" t="s">
        <v>14620</v>
      </c>
      <c r="AK702" s="1" t="s">
        <v>14621</v>
      </c>
      <c r="AL702" s="6" t="s">
        <v>14622</v>
      </c>
    </row>
    <row r="703" ht="15.75" customHeight="1">
      <c r="A703" s="1" t="s">
        <v>127</v>
      </c>
      <c r="B703" s="1" t="s">
        <v>14623</v>
      </c>
      <c r="C703" s="1" t="s">
        <v>14624</v>
      </c>
      <c r="D703" s="8" t="s">
        <v>14625</v>
      </c>
      <c r="E703" s="1" t="s">
        <v>14626</v>
      </c>
      <c r="F703" s="6" t="s">
        <v>132</v>
      </c>
      <c r="G703" s="1" t="s">
        <v>14627</v>
      </c>
      <c r="H703" s="1" t="s">
        <v>14628</v>
      </c>
      <c r="I703" s="1" t="s">
        <v>14629</v>
      </c>
      <c r="J703" s="6" t="s">
        <v>14630</v>
      </c>
      <c r="K703" s="1" t="s">
        <v>14631</v>
      </c>
      <c r="L703" s="1" t="s">
        <v>14632</v>
      </c>
      <c r="M703" s="1" t="s">
        <v>14633</v>
      </c>
      <c r="N703" s="6" t="s">
        <v>132</v>
      </c>
      <c r="O703" s="6" t="s">
        <v>14634</v>
      </c>
      <c r="P703" s="1" t="s">
        <v>14635</v>
      </c>
      <c r="Q703" s="1" t="s">
        <v>14636</v>
      </c>
      <c r="R703" s="1" t="s">
        <v>14637</v>
      </c>
      <c r="S703" s="10" t="s">
        <v>14638</v>
      </c>
      <c r="T703" s="1" t="s">
        <v>14639</v>
      </c>
      <c r="U703" s="1" t="s">
        <v>14640</v>
      </c>
      <c r="V703" s="1" t="s">
        <v>14636</v>
      </c>
      <c r="W703" s="1" t="s">
        <v>14641</v>
      </c>
      <c r="X703" s="1" t="s">
        <v>14642</v>
      </c>
      <c r="Y703" s="1" t="s">
        <v>14643</v>
      </c>
      <c r="Z703" s="1" t="s">
        <v>14644</v>
      </c>
      <c r="AA703" s="1" t="s">
        <v>14645</v>
      </c>
      <c r="AB703" s="1" t="s">
        <v>14646</v>
      </c>
      <c r="AC703" s="1" t="s">
        <v>14647</v>
      </c>
      <c r="AD703" s="6" t="s">
        <v>14648</v>
      </c>
      <c r="AE703" s="1" t="s">
        <v>14649</v>
      </c>
      <c r="AF703" s="1" t="s">
        <v>14650</v>
      </c>
      <c r="AG703" s="6" t="s">
        <v>14651</v>
      </c>
      <c r="AH703" s="1" t="s">
        <v>14652</v>
      </c>
      <c r="AI703" s="6" t="s">
        <v>132</v>
      </c>
      <c r="AJ703" s="6" t="s">
        <v>14653</v>
      </c>
      <c r="AK703" s="1" t="s">
        <v>14654</v>
      </c>
      <c r="AL703" s="6" t="s">
        <v>132</v>
      </c>
    </row>
    <row r="704" ht="15.75" hidden="1" customHeight="1">
      <c r="A704" s="1" t="s">
        <v>38</v>
      </c>
      <c r="B704" s="1" t="s">
        <v>14655</v>
      </c>
      <c r="C704" s="1" t="s">
        <v>14656</v>
      </c>
      <c r="D704" s="7" t="str">
        <f>IFERROR(__xludf.DUMMYFUNCTION("GOOGLETRANSLATE(C704, ""en"", ""ar"")"),"صربيا")</f>
        <v>صربيا</v>
      </c>
      <c r="E704" s="7" t="str">
        <f>IFERROR(__xludf.DUMMYFUNCTION("GOOGLETRANSLATE(C704, ""en"", ""bg"")"),"Сърбия")</f>
        <v>Сърбия</v>
      </c>
      <c r="F704" s="6" t="s">
        <v>132</v>
      </c>
      <c r="G704" s="7" t="str">
        <f>IFERROR(__xludf.DUMMYFUNCTION("GOOGLETRANSLATE(C704, ""en"", ""cs"")"),"Srbsko")</f>
        <v>Srbsko</v>
      </c>
      <c r="H704" s="7" t="str">
        <f>IFERROR(__xludf.DUMMYFUNCTION("GOOGLETRANSLATE(C704, ""en"", ""da"")"),"Serbien.")</f>
        <v>Serbien.</v>
      </c>
      <c r="I704" s="1" t="s">
        <v>14657</v>
      </c>
      <c r="J704" s="6" t="s">
        <v>132</v>
      </c>
      <c r="K704" s="1" t="s">
        <v>14656</v>
      </c>
      <c r="L704" s="7" t="str">
        <f>IFERROR(__xludf.DUMMYFUNCTION("GOOGLETRANSLATE(C704, ""en"", ""fi"")"),"Serbia")</f>
        <v>Serbia</v>
      </c>
      <c r="M704" s="1" t="s">
        <v>14658</v>
      </c>
      <c r="N704" s="6" t="s">
        <v>132</v>
      </c>
      <c r="O704" s="6" t="s">
        <v>132</v>
      </c>
      <c r="P704" s="1" t="s">
        <v>14656</v>
      </c>
      <c r="Q704" s="7" t="str">
        <f>IFERROR(__xludf.DUMMYFUNCTION("GOOGLETRANSLATE(C704, ""en"", ""in"")"),"Serbia")</f>
        <v>Serbia</v>
      </c>
      <c r="R704" s="7" t="str">
        <f>IFERROR(__xludf.DUMMYFUNCTION("GOOGLETRANSLATE(C704, ""en"", ""it"")"),"Serbia")</f>
        <v>Serbia</v>
      </c>
      <c r="S704" s="6" t="s">
        <v>132</v>
      </c>
      <c r="T704" s="7" t="str">
        <f>IFERROR(__xludf.DUMMYFUNCTION("GOOGLETRANSLATE(C704, ""en"", ""ja"")"),"セルビア")</f>
        <v>セルビア</v>
      </c>
      <c r="U704" s="7" t="str">
        <f>IFERROR(__xludf.DUMMYFUNCTION("GOOGLETRANSLATE(C704, ""en"", ""ko"")"),"세르비아")</f>
        <v>세르비아</v>
      </c>
      <c r="V704" s="7" t="str">
        <f>IFERROR(__xludf.DUMMYFUNCTION("GOOGLETRANSLATE(C704, ""en"", ""ms"")"),"Serbia")</f>
        <v>Serbia</v>
      </c>
      <c r="W704" s="7" t="str">
        <f>IFERROR(__xludf.DUMMYFUNCTION("GOOGLETRANSLATE(C704, ""en"", ""nl"")"),"Servië")</f>
        <v>Servië</v>
      </c>
      <c r="X704" s="7" t="str">
        <f>IFERROR(__xludf.DUMMYFUNCTION("GOOGLETRANSLATE(C704, ""en"", ""no"")"),"Serbia")</f>
        <v>Serbia</v>
      </c>
      <c r="Y704" s="7" t="str">
        <f>IFERROR(__xludf.DUMMYFUNCTION("GOOGLETRANSLATE(C704, ""en"", ""pl"")"),"Serbia")</f>
        <v>Serbia</v>
      </c>
      <c r="Z704" s="7" t="str">
        <f>IFERROR(__xludf.DUMMYFUNCTION("GOOGLETRANSLATE(C704, ""en"", ""pt"")"),"Sérvia")</f>
        <v>Sérvia</v>
      </c>
      <c r="AA704" s="7" t="str">
        <f>IFERROR(__xludf.DUMMYFUNCTION("GOOGLETRANSLATE(C704, ""en"", ""ro"")"),"Serbia.")</f>
        <v>Serbia.</v>
      </c>
      <c r="AB704" s="1" t="s">
        <v>14659</v>
      </c>
      <c r="AC704" s="7" t="str">
        <f>IFERROR(__xludf.DUMMYFUNCTION("GOOGLETRANSLATE(C704, ""en"", ""sk"")"),"Srbsko")</f>
        <v>Srbsko</v>
      </c>
      <c r="AD704" s="6" t="s">
        <v>132</v>
      </c>
      <c r="AE704" s="1" t="s">
        <v>14660</v>
      </c>
      <c r="AF704" s="7" t="str">
        <f>IFERROR(__xludf.DUMMYFUNCTION("GOOGLETRANSLATE(C704, ""en"", ""sv"")"),"Serbien")</f>
        <v>Serbien</v>
      </c>
      <c r="AG704" s="6" t="s">
        <v>132</v>
      </c>
      <c r="AH704" s="7" t="str">
        <f>IFERROR(__xludf.DUMMYFUNCTION("GOOGLETRANSLATE(C704, ""en"", ""tr"")"),"Sırbistan")</f>
        <v>Sırbistan</v>
      </c>
      <c r="AI704" s="6" t="s">
        <v>132</v>
      </c>
      <c r="AJ704" s="6" t="s">
        <v>132</v>
      </c>
      <c r="AK704" s="7" t="str">
        <f>IFERROR(__xludf.DUMMYFUNCTION("GOOGLETRANSLATE(C704, ""en"", ""zh"")"),"塞尔维亚")</f>
        <v>塞尔维亚</v>
      </c>
      <c r="AL704" s="6" t="s">
        <v>132</v>
      </c>
    </row>
    <row r="705" ht="15.75" hidden="1" customHeight="1">
      <c r="A705" s="1" t="s">
        <v>38</v>
      </c>
      <c r="B705" s="1" t="s">
        <v>14661</v>
      </c>
      <c r="C705" s="1" t="s">
        <v>14662</v>
      </c>
      <c r="D705" s="7" t="str">
        <f>IFERROR(__xludf.DUMMYFUNCTION("GOOGLETRANSLATE(C705, ""en"", ""ar"")"),"الرأس الأخضر")</f>
        <v>الرأس الأخضر</v>
      </c>
      <c r="E705" s="7" t="str">
        <f>IFERROR(__xludf.DUMMYFUNCTION("GOOGLETRANSLATE(C705, ""en"", ""bg"")"),"Кабо Верде")</f>
        <v>Кабо Верде</v>
      </c>
      <c r="F705" s="6" t="s">
        <v>132</v>
      </c>
      <c r="G705" s="7" t="str">
        <f>IFERROR(__xludf.DUMMYFUNCTION("GOOGLETRANSLATE(C705, ""en"", ""cs"")"),"Kapverdy")</f>
        <v>Kapverdy</v>
      </c>
      <c r="H705" s="7" t="str">
        <f>IFERROR(__xludf.DUMMYFUNCTION("GOOGLETRANSLATE(C705, ""en"", ""da"")"),"Kap Verde.")</f>
        <v>Kap Verde.</v>
      </c>
      <c r="I705" s="1" t="s">
        <v>14663</v>
      </c>
      <c r="J705" s="6" t="s">
        <v>132</v>
      </c>
      <c r="K705" s="1" t="s">
        <v>14664</v>
      </c>
      <c r="L705" s="7" t="str">
        <f>IFERROR(__xludf.DUMMYFUNCTION("GOOGLETRANSLATE(C705, ""en"", ""fi"")"),"Kap Verde")</f>
        <v>Kap Verde</v>
      </c>
      <c r="M705" s="1" t="s">
        <v>14665</v>
      </c>
      <c r="N705" s="6" t="s">
        <v>132</v>
      </c>
      <c r="O705" s="6" t="s">
        <v>132</v>
      </c>
      <c r="P705" s="1" t="s">
        <v>14662</v>
      </c>
      <c r="Q705" s="7" t="str">
        <f>IFERROR(__xludf.DUMMYFUNCTION("GOOGLETRANSLATE(C705, ""en"", ""in"")"),"Cape Verde.")</f>
        <v>Cape Verde.</v>
      </c>
      <c r="R705" s="7" t="str">
        <f>IFERROR(__xludf.DUMMYFUNCTION("GOOGLETRANSLATE(C705, ""en"", ""it"")"),"capo Verde")</f>
        <v>capo Verde</v>
      </c>
      <c r="S705" s="6" t="s">
        <v>132</v>
      </c>
      <c r="T705" s="7" t="str">
        <f>IFERROR(__xludf.DUMMYFUNCTION("GOOGLETRANSLATE(C705, ""en"", ""ja"")"),"岬ヴェルデ")</f>
        <v>岬ヴェルデ</v>
      </c>
      <c r="U705" s="7" t="str">
        <f>IFERROR(__xludf.DUMMYFUNCTION("GOOGLETRANSLATE(C705, ""en"", ""ko"")"),"케이프 베르데")</f>
        <v>케이프 베르데</v>
      </c>
      <c r="V705" s="7" t="str">
        <f>IFERROR(__xludf.DUMMYFUNCTION("GOOGLETRANSLATE(C705, ""en"", ""ms"")"),"Cape Verde")</f>
        <v>Cape Verde</v>
      </c>
      <c r="W705" s="7" t="str">
        <f>IFERROR(__xludf.DUMMYFUNCTION("GOOGLETRANSLATE(C705, ""en"", ""nl"")"),"Kaapverdië")</f>
        <v>Kaapverdië</v>
      </c>
      <c r="X705" s="7" t="str">
        <f>IFERROR(__xludf.DUMMYFUNCTION("GOOGLETRANSLATE(C705, ""en"", ""no"")"),"Kapp Verde.")</f>
        <v>Kapp Verde.</v>
      </c>
      <c r="Y705" s="7" t="str">
        <f>IFERROR(__xludf.DUMMYFUNCTION("GOOGLETRANSLATE(C705, ""en"", ""pl"")"),"Wyspy Zielonego Przylądka")</f>
        <v>Wyspy Zielonego Przylądka</v>
      </c>
      <c r="Z705" s="7" t="str">
        <f>IFERROR(__xludf.DUMMYFUNCTION("GOOGLETRANSLATE(C705, ""en"", ""pt"")"),"cabo Verde")</f>
        <v>cabo Verde</v>
      </c>
      <c r="AA705" s="7" t="str">
        <f>IFERROR(__xludf.DUMMYFUNCTION("GOOGLETRANSLATE(C705, ""en"", ""ro"")"),"capul Verde")</f>
        <v>capul Verde</v>
      </c>
      <c r="AB705" s="1" t="s">
        <v>14666</v>
      </c>
      <c r="AC705" s="7" t="str">
        <f>IFERROR(__xludf.DUMMYFUNCTION("GOOGLETRANSLATE(C705, ""en"", ""sk"")"),"Kapelníctvo")</f>
        <v>Kapelníctvo</v>
      </c>
      <c r="AD705" s="6" t="s">
        <v>132</v>
      </c>
      <c r="AE705" s="1" t="s">
        <v>14667</v>
      </c>
      <c r="AF705" s="7" t="str">
        <f>IFERROR(__xludf.DUMMYFUNCTION("GOOGLETRANSLATE(C705, ""en"", ""sv"")"),"Cap Verde")</f>
        <v>Cap Verde</v>
      </c>
      <c r="AG705" s="6" t="s">
        <v>132</v>
      </c>
      <c r="AH705" s="7" t="str">
        <f>IFERROR(__xludf.DUMMYFUNCTION("GOOGLETRANSLATE(C705, ""en"", ""tr"")"),"Cape verde")</f>
        <v>Cape verde</v>
      </c>
      <c r="AI705" s="6" t="s">
        <v>132</v>
      </c>
      <c r="AJ705" s="6" t="s">
        <v>132</v>
      </c>
      <c r="AK705" s="7" t="str">
        <f>IFERROR(__xludf.DUMMYFUNCTION("GOOGLETRANSLATE(C705, ""en"", ""zh"")"),"佛得角")</f>
        <v>佛得角</v>
      </c>
      <c r="AL705" s="6" t="s">
        <v>132</v>
      </c>
    </row>
    <row r="706" ht="15.75" customHeight="1">
      <c r="A706" s="1" t="s">
        <v>127</v>
      </c>
      <c r="B706" s="1" t="s">
        <v>14668</v>
      </c>
      <c r="C706" s="1" t="s">
        <v>14669</v>
      </c>
      <c r="D706" s="8" t="s">
        <v>14670</v>
      </c>
      <c r="E706" s="1" t="s">
        <v>14671</v>
      </c>
      <c r="F706" s="6" t="s">
        <v>132</v>
      </c>
      <c r="G706" s="1" t="s">
        <v>14672</v>
      </c>
      <c r="H706" s="1" t="s">
        <v>14673</v>
      </c>
      <c r="I706" s="1" t="s">
        <v>14674</v>
      </c>
      <c r="J706" s="6" t="s">
        <v>14675</v>
      </c>
      <c r="K706" s="1" t="s">
        <v>14676</v>
      </c>
      <c r="L706" s="1" t="s">
        <v>14677</v>
      </c>
      <c r="M706" s="1" t="s">
        <v>14678</v>
      </c>
      <c r="N706" s="6" t="s">
        <v>132</v>
      </c>
      <c r="O706" s="6" t="s">
        <v>14679</v>
      </c>
      <c r="P706" s="1" t="s">
        <v>14680</v>
      </c>
      <c r="Q706" s="1" t="s">
        <v>14681</v>
      </c>
      <c r="R706" s="1" t="s">
        <v>14682</v>
      </c>
      <c r="S706" s="10" t="s">
        <v>14683</v>
      </c>
      <c r="T706" s="1" t="s">
        <v>14684</v>
      </c>
      <c r="U706" s="1" t="s">
        <v>14685</v>
      </c>
      <c r="V706" s="1" t="s">
        <v>14686</v>
      </c>
      <c r="W706" s="1" t="s">
        <v>14687</v>
      </c>
      <c r="X706" s="1" t="s">
        <v>14688</v>
      </c>
      <c r="Y706" s="1" t="s">
        <v>14689</v>
      </c>
      <c r="Z706" s="1" t="s">
        <v>14690</v>
      </c>
      <c r="AA706" s="1" t="s">
        <v>14691</v>
      </c>
      <c r="AB706" s="1" t="s">
        <v>14692</v>
      </c>
      <c r="AC706" s="1" t="s">
        <v>14693</v>
      </c>
      <c r="AD706" s="6" t="s">
        <v>14694</v>
      </c>
      <c r="AE706" s="1" t="s">
        <v>14695</v>
      </c>
      <c r="AF706" s="1" t="s">
        <v>14696</v>
      </c>
      <c r="AG706" s="6" t="s">
        <v>14697</v>
      </c>
      <c r="AH706" s="1" t="s">
        <v>14698</v>
      </c>
      <c r="AI706" s="6" t="s">
        <v>132</v>
      </c>
      <c r="AJ706" s="6" t="s">
        <v>14699</v>
      </c>
      <c r="AK706" s="1" t="s">
        <v>14700</v>
      </c>
      <c r="AL706" s="6" t="s">
        <v>14701</v>
      </c>
    </row>
    <row r="707" ht="15.75" hidden="1" customHeight="1">
      <c r="A707" s="1" t="s">
        <v>38</v>
      </c>
      <c r="B707" s="1" t="s">
        <v>14702</v>
      </c>
      <c r="C707" s="1" t="s">
        <v>14703</v>
      </c>
      <c r="D707" s="7" t="str">
        <f>IFERROR(__xludf.DUMMYFUNCTION("GOOGLETRANSLATE(C707, ""en"", ""ar"")"),"هل أنت متأكد أنك تريد مسح جميع الأجهزة الأخرى من إعلان OMEMO؟ في المرة التالية التي تتوصل فيها أجهزتك، ستقوم بإعادة توجيه أنفسهم، لكن قد لا يتلقون رسائل مرسلة في هذه الأثناء.")</f>
        <v>هل أنت متأكد أنك تريد مسح جميع الأجهزة الأخرى من إعلان OMEMO؟ في المرة التالية التي تتوصل فيها أجهزتك، ستقوم بإعادة توجيه أنفسهم، لكن قد لا يتلقون رسائل مرسلة في هذه الأثناء.</v>
      </c>
      <c r="E707" s="1" t="s">
        <v>14704</v>
      </c>
      <c r="F707" s="6" t="s">
        <v>14705</v>
      </c>
      <c r="G707" s="7" t="str">
        <f>IFERROR(__xludf.DUMMYFUNCTION("GOOGLETRANSLATE(C707, ""en"", ""cs"")"),"Opravdu chcete vymazat všechna ostatní zařízení z Omemo oznámení? Při příštím připojení se zařízením připojují, budou se znovu osvětlit, ale nemusí přijímat zprávy zaslané mezitím.")</f>
        <v>Opravdu chcete vymazat všechna ostatní zařízení z Omemo oznámení? Při příštím připojení se zařízením připojují, budou se znovu osvětlit, ale nemusí přijímat zprávy zaslané mezitím.</v>
      </c>
      <c r="H707" s="7" t="str">
        <f>IFERROR(__xludf.DUMMYFUNCTION("GOOGLETRANSLATE(C707, ""en"", ""da"")"),"Er du sikker på, at du vil rydde alle andre enheder fra Omemo-meddelelsen? Næste gang dine enheder forbinder, vil de genoplive sig selv, men de kan muligvis ikke modtage beskeder sendt i mellemtiden.")</f>
        <v>Er du sikker på, at du vil rydde alle andre enheder fra Omemo-meddelelsen? Næste gang dine enheder forbinder, vil de genoplive sig selv, men de kan muligvis ikke modtage beskeder sendt i mellemtiden.</v>
      </c>
      <c r="I707" s="1" t="s">
        <v>14706</v>
      </c>
      <c r="J707" s="6" t="s">
        <v>132</v>
      </c>
      <c r="K707" s="1" t="s">
        <v>14707</v>
      </c>
      <c r="L707" s="7" t="str">
        <f>IFERROR(__xludf.DUMMYFUNCTION("GOOGLETRANSLATE(C707, ""en"", ""fi"")"),"Haluatko varmasti poistaa kaikki muut laitteet omemo-ilmoituksesta? Seuraavan kerran, kun laitteet yhdistävät, ne toimivat itseään, mutta ne eivät ehkä saa viestejä lähetettynä tällä välin.")</f>
        <v>Haluatko varmasti poistaa kaikki muut laitteet omemo-ilmoituksesta? Seuraavan kerran, kun laitteet yhdistävät, ne toimivat itseään, mutta ne eivät ehkä saa viestejä lähetettynä tällä välin.</v>
      </c>
      <c r="M707" s="1" t="s">
        <v>14708</v>
      </c>
      <c r="N707" s="6" t="s">
        <v>14709</v>
      </c>
      <c r="O707" s="6" t="s">
        <v>132</v>
      </c>
      <c r="P707" s="1" t="s">
        <v>14710</v>
      </c>
      <c r="Q707" s="7" t="str">
        <f>IFERROR(__xludf.DUMMYFUNCTION("GOOGLETRANSLATE(C707, ""en"", ""in"")"),"Apakah Anda yakin ingin menghapus semua perangkat lain dari pengumuman Omemo? Lain kali perangkat Anda terhubung, mereka akan membatalkan sendiri, tetapi mereka mungkin tidak menerima pesan yang dikirim sementara itu.")</f>
        <v>Apakah Anda yakin ingin menghapus semua perangkat lain dari pengumuman Omemo? Lain kali perangkat Anda terhubung, mereka akan membatalkan sendiri, tetapi mereka mungkin tidak menerima pesan yang dikirim sementara itu.</v>
      </c>
      <c r="R707" s="1" t="s">
        <v>14711</v>
      </c>
      <c r="S707" s="6" t="s">
        <v>132</v>
      </c>
      <c r="T707" s="1" t="s">
        <v>14712</v>
      </c>
      <c r="U707" s="1" t="s">
        <v>14713</v>
      </c>
      <c r="V707" s="7" t="str">
        <f>IFERROR(__xludf.DUMMYFUNCTION("GOOGLETRANSLATE(C707, ""en"", ""ms"")"),"Adakah anda pasti mahu membersihkan semua peranti lain dari pengumuman Omemo? Kali berikutnya peranti anda menyambung, mereka akan merujuk sendiri, tetapi mereka mungkin tidak menerima mesej yang dihantar dalam masa yang sama.")</f>
        <v>Adakah anda pasti mahu membersihkan semua peranti lain dari pengumuman Omemo? Kali berikutnya peranti anda menyambung, mereka akan merujuk sendiri, tetapi mereka mungkin tidak menerima mesej yang dihantar dalam masa yang sama.</v>
      </c>
      <c r="W707" s="1" t="s">
        <v>14714</v>
      </c>
      <c r="X707" s="7" t="str">
        <f>IFERROR(__xludf.DUMMYFUNCTION("GOOGLETRANSLATE(C707, ""en"", ""no"")"),"Er du sikker på at du vil slette alle andre enheter fra OMEMO-kunngjøringen? Neste gang enhetene dine kobler seg til, vil de rene seg selv, men de kan ikke motta meldinger sendt i mellomtiden.")</f>
        <v>Er du sikker på at du vil slette alle andre enheter fra OMEMO-kunngjøringen? Neste gang enhetene dine kobler seg til, vil de rene seg selv, men de kan ikke motta meldinger sendt i mellomtiden.</v>
      </c>
      <c r="Y707" s="1" t="s">
        <v>14715</v>
      </c>
      <c r="Z707" s="1" t="s">
        <v>14716</v>
      </c>
      <c r="AA707" s="7" t="str">
        <f>IFERROR(__xludf.DUMMYFUNCTION("GOOGLETRANSLATE(C707, ""en"", ""ro"")"),"Sigur doriți să ștergeți toate celelalte dispozitive din anunțul Omemo? Data viitoare când dispozitivele dvs. se conectează, ei se vor reîncărca, dar ar putea să nu primească mesaje trimise între timp.")</f>
        <v>Sigur doriți să ștergeți toate celelalte dispozitive din anunțul Omemo? Data viitoare când dispozitivele dvs. se conectează, ei se vor reîncărca, dar ar putea să nu primească mesaje trimise între timp.</v>
      </c>
      <c r="AB707" s="1" t="s">
        <v>14717</v>
      </c>
      <c r="AC707" s="7" t="str">
        <f>IFERROR(__xludf.DUMMYFUNCTION("GOOGLETRANSLATE(C707, ""en"", ""sk"")"),"Ste si istý, že chcete vymazať všetky ostatné zariadenia z OMEMO OZNÁMENIE? Nabudúce sa vaše zariadenia pripájajú, budú sa opustiť, ale nemusia prijímať správy odoslané medzičasom.")</f>
        <v>Ste si istý, že chcete vymazať všetky ostatné zariadenia z OMEMO OZNÁMENIE? Nabudúce sa vaše zariadenia pripájajú, budú sa opustiť, ale nemusia prijímať správy odoslané medzičasom.</v>
      </c>
      <c r="AD707" s="6" t="s">
        <v>132</v>
      </c>
      <c r="AE707" s="1" t="s">
        <v>14718</v>
      </c>
      <c r="AF707" s="1" t="s">
        <v>14719</v>
      </c>
      <c r="AG707" s="6" t="s">
        <v>132</v>
      </c>
      <c r="AH707" s="7" t="str">
        <f>IFERROR(__xludf.DUMMYFUNCTION("GOOGLETRANSLATE(C707, ""en"", ""tr"")"),"OMEMO duyurusundan diğer tüm aygıtları temizlemek istediğinizden emin misiniz? Cihazlarınızın bir dahaki sefere bağlanır, kendilerini yeniden görürler, ancak bu arada gönderilen mesajları alamayabilirler.")</f>
        <v>OMEMO duyurusundan diğer tüm aygıtları temizlemek istediğinizden emin misiniz? Cihazlarınızın bir dahaki sefere bağlanır, kendilerini yeniden görürler, ancak bu arada gönderilen mesajları alamayabilirler.</v>
      </c>
      <c r="AI707" s="6" t="s">
        <v>14720</v>
      </c>
      <c r="AJ707" s="6" t="s">
        <v>14721</v>
      </c>
      <c r="AK707" s="7" t="str">
        <f>IFERROR(__xludf.DUMMYFUNCTION("GOOGLETRANSLATE(C707, ""en"", ""zh"")"),"您确定要清除Omemo公告中的所有其他设备吗？下次您的设备连接时，它们将自行兑换，但它们可能不会收到与此同时发送的消息。")</f>
        <v>您确定要清除Omemo公告中的所有其他设备吗？下次您的设备连接时，它们将自行兑换，但它们可能不会收到与此同时发送的消息。</v>
      </c>
      <c r="AL707" s="6" t="s">
        <v>14722</v>
      </c>
    </row>
    <row r="708" ht="15.75" hidden="1" customHeight="1">
      <c r="A708" s="1" t="s">
        <v>38</v>
      </c>
      <c r="B708" s="1" t="s">
        <v>14723</v>
      </c>
      <c r="C708" s="1" t="s">
        <v>14724</v>
      </c>
      <c r="D708" s="7" t="str">
        <f>IFERROR(__xludf.DUMMYFUNCTION("GOOGLETRANSLATE(C708, ""en"", ""ar"")"),"غير قادر على العثور على الخادم.")</f>
        <v>غير قادر على العثور على الخادم.</v>
      </c>
      <c r="E708" s="1" t="s">
        <v>14725</v>
      </c>
      <c r="F708" s="6" t="s">
        <v>132</v>
      </c>
      <c r="G708" s="7" t="str">
        <f>IFERROR(__xludf.DUMMYFUNCTION("GOOGLETRANSLATE(C708, ""en"", ""cs"")"),"Nelze najít server.")</f>
        <v>Nelze najít server.</v>
      </c>
      <c r="H708" s="7" t="str">
        <f>IFERROR(__xludf.DUMMYFUNCTION("GOOGLETRANSLATE(C708, ""en"", ""da"")"),"Kan ikke finde server.")</f>
        <v>Kan ikke finde server.</v>
      </c>
      <c r="I708" s="1" t="s">
        <v>14726</v>
      </c>
      <c r="J708" s="6" t="s">
        <v>132</v>
      </c>
      <c r="K708" s="1" t="s">
        <v>14727</v>
      </c>
      <c r="L708" s="7" t="str">
        <f>IFERROR(__xludf.DUMMYFUNCTION("GOOGLETRANSLATE(C708, ""en"", ""fi"")"),"Palvelinta ei löydy.")</f>
        <v>Palvelinta ei löydy.</v>
      </c>
      <c r="M708" s="7" t="str">
        <f>IFERROR(__xludf.DUMMYFUNCTION("GOOGLETRANSLATE(C708, ""en"", ""fr"")"),"Impossible de trouver le serveur.")</f>
        <v>Impossible de trouver le serveur.</v>
      </c>
      <c r="N708" s="6" t="s">
        <v>14728</v>
      </c>
      <c r="O708" s="6" t="s">
        <v>132</v>
      </c>
      <c r="P708" s="1" t="s">
        <v>14729</v>
      </c>
      <c r="Q708" s="7" t="str">
        <f>IFERROR(__xludf.DUMMYFUNCTION("GOOGLETRANSLATE(C708, ""en"", ""in"")"),"Tidak dapat menemukan server.")</f>
        <v>Tidak dapat menemukan server.</v>
      </c>
      <c r="R708" s="1" t="s">
        <v>14730</v>
      </c>
      <c r="S708" s="6" t="s">
        <v>132</v>
      </c>
      <c r="T708" s="7" t="str">
        <f>IFERROR(__xludf.DUMMYFUNCTION("GOOGLETRANSLATE(C708, ""en"", ""ja"")"),"サーバーが見つかりません。")</f>
        <v>サーバーが見つかりません。</v>
      </c>
      <c r="U708" s="7" t="str">
        <f>IFERROR(__xludf.DUMMYFUNCTION("GOOGLETRANSLATE(C708, ""en"", ""ko"")"),"서버를 찾을 수 없습니다.")</f>
        <v>서버를 찾을 수 없습니다.</v>
      </c>
      <c r="V708" s="7" t="str">
        <f>IFERROR(__xludf.DUMMYFUNCTION("GOOGLETRANSLATE(C708, ""en"", ""ms"")"),"Tidak dapat mencari pelayan.")</f>
        <v>Tidak dapat mencari pelayan.</v>
      </c>
      <c r="W708" s="1" t="s">
        <v>14731</v>
      </c>
      <c r="X708" s="7" t="str">
        <f>IFERROR(__xludf.DUMMYFUNCTION("GOOGLETRANSLATE(C708, ""en"", ""no"")"),"Kan ikke finne server.")</f>
        <v>Kan ikke finne server.</v>
      </c>
      <c r="Y708" s="1" t="s">
        <v>14732</v>
      </c>
      <c r="Z708" s="7" t="str">
        <f>IFERROR(__xludf.DUMMYFUNCTION("GOOGLETRANSLATE(C708, ""en"", ""pt"")"),"Não é possível encontrar o servidor.")</f>
        <v>Não é possível encontrar o servidor.</v>
      </c>
      <c r="AA708" s="7" t="str">
        <f>IFERROR(__xludf.DUMMYFUNCTION("GOOGLETRANSLATE(C708, ""en"", ""ro"")"),"Imposibil de găsit server.")</f>
        <v>Imposibil de găsit server.</v>
      </c>
      <c r="AB708" s="7" t="str">
        <f>IFERROR(__xludf.DUMMYFUNCTION("GOOGLETRANSLATE(C708, ""en"", ""ru"")"),"Невозможно найти сервер.")</f>
        <v>Невозможно найти сервер.</v>
      </c>
      <c r="AC708" s="7" t="str">
        <f>IFERROR(__xludf.DUMMYFUNCTION("GOOGLETRANSLATE(C708, ""en"", ""sk"")"),"Nepodarilo sa nájsť server.")</f>
        <v>Nepodarilo sa nájsť server.</v>
      </c>
      <c r="AD708" s="6" t="s">
        <v>132</v>
      </c>
      <c r="AE708" s="7" t="str">
        <f>IFERROR(__xludf.DUMMYFUNCTION("GOOGLETRANSLATE(C708, ""en"", ""sr"")"),"Није могуће пронаћи сервер.")</f>
        <v>Није могуће пронаћи сервер.</v>
      </c>
      <c r="AF708" s="7" t="str">
        <f>IFERROR(__xludf.DUMMYFUNCTION("GOOGLETRANSLATE(C708, ""en"", ""sv"")"),"Det gick inte att hitta server.")</f>
        <v>Det gick inte att hitta server.</v>
      </c>
      <c r="AG708" s="6" t="s">
        <v>132</v>
      </c>
      <c r="AH708" s="7" t="str">
        <f>IFERROR(__xludf.DUMMYFUNCTION("GOOGLETRANSLATE(C708, ""en"", ""tr"")"),"Sunucu bulunamadı.")</f>
        <v>Sunucu bulunamadı.</v>
      </c>
      <c r="AI708" s="6" t="s">
        <v>132</v>
      </c>
      <c r="AJ708" s="6" t="s">
        <v>132</v>
      </c>
      <c r="AK708" s="7" t="str">
        <f>IFERROR(__xludf.DUMMYFUNCTION("GOOGLETRANSLATE(C708, ""en"", ""zh"")"),"无法找到服务器。")</f>
        <v>无法找到服务器。</v>
      </c>
      <c r="AL708" s="6" t="s">
        <v>132</v>
      </c>
    </row>
    <row r="709" ht="15.75" hidden="1" customHeight="1">
      <c r="A709" s="1" t="s">
        <v>38</v>
      </c>
      <c r="B709" s="1" t="s">
        <v>14733</v>
      </c>
      <c r="C709" s="1" t="s">
        <v>14734</v>
      </c>
      <c r="D709" s="7" t="str">
        <f>IFERROR(__xludf.DUMMYFUNCTION("GOOGLETRANSLATE(C709, ""en"", ""ar"")"),"يتم تسجيل رقم الهاتف هذا حاليا مع جهاز آخر.")</f>
        <v>يتم تسجيل رقم الهاتف هذا حاليا مع جهاز آخر.</v>
      </c>
      <c r="E709" s="1" t="s">
        <v>14735</v>
      </c>
      <c r="F709" s="6" t="s">
        <v>132</v>
      </c>
      <c r="G709" s="7" t="str">
        <f>IFERROR(__xludf.DUMMYFUNCTION("GOOGLETRANSLATE(C709, ""en"", ""cs"")"),"Toto telefonní číslo je aktuálně přihlášeno s jiným zařízením.")</f>
        <v>Toto telefonní číslo je aktuálně přihlášeno s jiným zařízením.</v>
      </c>
      <c r="H709" s="7" t="str">
        <f>IFERROR(__xludf.DUMMYFUNCTION("GOOGLETRANSLATE(C709, ""en"", ""da"")"),"Dette telefonnummer er i øjeblikket logget ind med en anden enhed.")</f>
        <v>Dette telefonnummer er i øjeblikket logget ind med en anden enhed.</v>
      </c>
      <c r="I709" s="1" t="s">
        <v>14736</v>
      </c>
      <c r="J709" s="6" t="s">
        <v>132</v>
      </c>
      <c r="K709" s="1" t="s">
        <v>14737</v>
      </c>
      <c r="L709" s="7" t="str">
        <f>IFERROR(__xludf.DUMMYFUNCTION("GOOGLETRANSLATE(C709, ""en"", ""fi"")"),"Tämä puhelinnumero kirjautuu tällä hetkellä toisella laitteella.")</f>
        <v>Tämä puhelinnumero kirjautuu tällä hetkellä toisella laitteella.</v>
      </c>
      <c r="M709" s="7" t="str">
        <f>IFERROR(__xludf.DUMMYFUNCTION("GOOGLETRANSLATE(C709, ""en"", ""fr"")"),"Ce numéro de téléphone est actuellement connecté avec un autre périphérique.")</f>
        <v>Ce numéro de téléphone est actuellement connecté avec un autre périphérique.</v>
      </c>
      <c r="N709" s="6" t="s">
        <v>14738</v>
      </c>
      <c r="O709" s="6" t="s">
        <v>132</v>
      </c>
      <c r="P709" s="1" t="s">
        <v>14739</v>
      </c>
      <c r="Q709" s="7" t="str">
        <f>IFERROR(__xludf.DUMMYFUNCTION("GOOGLETRANSLATE(C709, ""en"", ""in"")"),"Nomor telepon ini saat ini masuk dengan perangkat lain.")</f>
        <v>Nomor telepon ini saat ini masuk dengan perangkat lain.</v>
      </c>
      <c r="R709" s="1" t="s">
        <v>14740</v>
      </c>
      <c r="S709" s="6" t="s">
        <v>132</v>
      </c>
      <c r="T709" s="7" t="str">
        <f>IFERROR(__xludf.DUMMYFUNCTION("GOOGLETRANSLATE(C709, ""en"", ""ja"")"),"この電話番号は現在別のデバイスでログインしています。")</f>
        <v>この電話番号は現在別のデバイスでログインしています。</v>
      </c>
      <c r="U709" s="7" t="str">
        <f>IFERROR(__xludf.DUMMYFUNCTION("GOOGLETRANSLATE(C709, ""en"", ""ko"")"),"이 전화 번호는 현재 다른 장치와 함께 로그인합니다.")</f>
        <v>이 전화 번호는 현재 다른 장치와 함께 로그인합니다.</v>
      </c>
      <c r="V709" s="7" t="str">
        <f>IFERROR(__xludf.DUMMYFUNCTION("GOOGLETRANSLATE(C709, ""en"", ""ms"")"),"Nombor telefon ini sedang dilog masuk dengan peranti lain.")</f>
        <v>Nombor telefon ini sedang dilog masuk dengan peranti lain.</v>
      </c>
      <c r="W709" s="1" t="s">
        <v>14741</v>
      </c>
      <c r="X709" s="7" t="str">
        <f>IFERROR(__xludf.DUMMYFUNCTION("GOOGLETRANSLATE(C709, ""en"", ""no"")"),"Dette telefonnummeret er for øyeblikket logget inn med en annen enhet.")</f>
        <v>Dette telefonnummeret er for øyeblikket logget inn med en annen enhet.</v>
      </c>
      <c r="Y709" s="1" t="s">
        <v>14742</v>
      </c>
      <c r="Z709" s="7" t="str">
        <f>IFERROR(__xludf.DUMMYFUNCTION("GOOGLETRANSLATE(C709, ""en"", ""pt"")"),"Este número de telefone está conectado atualmente com outro dispositivo.")</f>
        <v>Este número de telefone está conectado atualmente com outro dispositivo.</v>
      </c>
      <c r="AA709" s="7" t="str">
        <f>IFERROR(__xludf.DUMMYFUNCTION("GOOGLETRANSLATE(C709, ""en"", ""ro"")"),"Acest număr de telefon este conectat în prezent cu un alt dispozitiv.")</f>
        <v>Acest număr de telefon este conectat în prezent cu un alt dispozitiv.</v>
      </c>
      <c r="AB709" s="7" t="str">
        <f>IFERROR(__xludf.DUMMYFUNCTION("GOOGLETRANSLATE(C709, ""en"", ""ru"")"),"Этот номер телефона в настоящее время вошел в систему с другим устройством.")</f>
        <v>Этот номер телефона в настоящее время вошел в систему с другим устройством.</v>
      </c>
      <c r="AC709" s="7" t="str">
        <f>IFERROR(__xludf.DUMMYFUNCTION("GOOGLETRANSLATE(C709, ""en"", ""sk"")"),"Toto telefónne číslo je aktuálne prihlásené s iným zariadením.")</f>
        <v>Toto telefónne číslo je aktuálne prihlásené s iným zariadením.</v>
      </c>
      <c r="AD709" s="6" t="s">
        <v>132</v>
      </c>
      <c r="AE709" s="7" t="str">
        <f>IFERROR(__xludf.DUMMYFUNCTION("GOOGLETRANSLATE(C709, ""en"", ""sr"")"),"Овај телефонски број је тренутно пријављен са другим уређајем.")</f>
        <v>Овај телефонски број је тренутно пријављен са другим уређајем.</v>
      </c>
      <c r="AF709" s="7" t="str">
        <f>IFERROR(__xludf.DUMMYFUNCTION("GOOGLETRANSLATE(C709, ""en"", ""sv"")"),"Detta telefonnummer är för närvarande inloggat med en annan enhet.")</f>
        <v>Detta telefonnummer är för närvarande inloggat med en annan enhet.</v>
      </c>
      <c r="AG709" s="6" t="s">
        <v>132</v>
      </c>
      <c r="AH709" s="7" t="str">
        <f>IFERROR(__xludf.DUMMYFUNCTION("GOOGLETRANSLATE(C709, ""en"", ""tr"")"),"Bu telefon numarası şu anda başka bir cihazla giriş yapıldı.")</f>
        <v>Bu telefon numarası şu anda başka bir cihazla giriş yapıldı.</v>
      </c>
      <c r="AI709" s="6" t="s">
        <v>132</v>
      </c>
      <c r="AJ709" s="6" t="s">
        <v>132</v>
      </c>
      <c r="AK709" s="7" t="str">
        <f>IFERROR(__xludf.DUMMYFUNCTION("GOOGLETRANSLATE(C709, ""en"", ""zh"")"),"此电话号码目前使用其他设备登录。")</f>
        <v>此电话号码目前使用其他设备登录。</v>
      </c>
      <c r="AL709" s="6" t="s">
        <v>132</v>
      </c>
    </row>
    <row r="710" ht="15.75" hidden="1" customHeight="1">
      <c r="A710" s="1" t="s">
        <v>38</v>
      </c>
      <c r="B710" s="1" t="s">
        <v>14743</v>
      </c>
      <c r="C710" s="1" t="s">
        <v>14744</v>
      </c>
      <c r="D710" s="7" t="str">
        <f>IFERROR(__xludf.DUMMYFUNCTION("GOOGLETRANSLATE(C710, ""en"", ""ar"")"),"بدء orbot.")</f>
        <v>بدء orbot.</v>
      </c>
      <c r="E710" s="1" t="s">
        <v>14745</v>
      </c>
      <c r="F710" s="6" t="s">
        <v>132</v>
      </c>
      <c r="G710" s="7" t="str">
        <f>IFERROR(__xludf.DUMMYFUNCTION("GOOGLETRANSLATE(C710, ""en"", ""cs"")"),"Start Orbot.")</f>
        <v>Start Orbot.</v>
      </c>
      <c r="H710" s="7" t="str">
        <f>IFERROR(__xludf.DUMMYFUNCTION("GOOGLETRANSLATE(C710, ""en"", ""da"")"),"Start Orbot.")</f>
        <v>Start Orbot.</v>
      </c>
      <c r="I710" s="1" t="s">
        <v>14746</v>
      </c>
      <c r="J710" s="6" t="s">
        <v>132</v>
      </c>
      <c r="K710" s="1" t="s">
        <v>14747</v>
      </c>
      <c r="L710" s="7" t="str">
        <f>IFERROR(__xludf.DUMMYFUNCTION("GOOGLETRANSLATE(C710, ""en"", ""fi"")"),"Aloita subt")</f>
        <v>Aloita subt</v>
      </c>
      <c r="M710" s="7" t="str">
        <f>IFERROR(__xludf.DUMMYFUNCTION("GOOGLETRANSLATE(C710, ""en"", ""fr"")"),"Démarrer Orbot")</f>
        <v>Démarrer Orbot</v>
      </c>
      <c r="N710" s="6" t="s">
        <v>14747</v>
      </c>
      <c r="O710" s="6" t="s">
        <v>132</v>
      </c>
      <c r="P710" s="7" t="str">
        <f>IFERROR(__xludf.DUMMYFUNCTION("GOOGLETRANSLATE(C710, ""en"", ""hu"")"),"Megkezdi az orbotot")</f>
        <v>Megkezdi az orbotot</v>
      </c>
      <c r="Q710" s="7" t="str">
        <f>IFERROR(__xludf.DUMMYFUNCTION("GOOGLETRANSLATE(C710, ""en"", ""in"")"),"Mulai Orbot.")</f>
        <v>Mulai Orbot.</v>
      </c>
      <c r="R710" s="1" t="s">
        <v>14748</v>
      </c>
      <c r="S710" s="6" t="s">
        <v>132</v>
      </c>
      <c r="T710" s="7" t="str">
        <f>IFERROR(__xludf.DUMMYFUNCTION("GOOGLETRANSLATE(C710, ""en"", ""ja"")"),"orbotを起動します")</f>
        <v>orbotを起動します</v>
      </c>
      <c r="U710" s="7" t="str">
        <f>IFERROR(__xludf.DUMMYFUNCTION("GOOGLETRANSLATE(C710, ""en"", ""ko"")"),"orbot을 시작하십시오")</f>
        <v>orbot을 시작하십시오</v>
      </c>
      <c r="V710" s="7" t="str">
        <f>IFERROR(__xludf.DUMMYFUNCTION("GOOGLETRANSLATE(C710, ""en"", ""ms"")"),"Mula orbot.")</f>
        <v>Mula orbot.</v>
      </c>
      <c r="W710" s="1" t="s">
        <v>14746</v>
      </c>
      <c r="X710" s="7" t="str">
        <f>IFERROR(__xludf.DUMMYFUNCTION("GOOGLETRANSLATE(C710, ""en"", ""no"")"),"Start orbot")</f>
        <v>Start orbot</v>
      </c>
      <c r="Y710" s="1" t="s">
        <v>14749</v>
      </c>
      <c r="Z710" s="7" t="str">
        <f>IFERROR(__xludf.DUMMYFUNCTION("GOOGLETRANSLATE(C710, ""en"", ""pt"")"),"Comece orbot")</f>
        <v>Comece orbot</v>
      </c>
      <c r="AA710" s="7" t="str">
        <f>IFERROR(__xludf.DUMMYFUNCTION("GOOGLETRANSLATE(C710, ""en"", ""ro"")"),"Începeți orbot")</f>
        <v>Începeți orbot</v>
      </c>
      <c r="AB710" s="7" t="str">
        <f>IFERROR(__xludf.DUMMYFUNCTION("GOOGLETRANSLATE(C710, ""en"", ""ru"")"),"Начать орбот")</f>
        <v>Начать орбот</v>
      </c>
      <c r="AC710" s="7" t="str">
        <f>IFERROR(__xludf.DUMMYFUNCTION("GOOGLETRANSLATE(C710, ""en"", ""sk"")"),"Spustiť orbot")</f>
        <v>Spustiť orbot</v>
      </c>
      <c r="AD710" s="6" t="s">
        <v>132</v>
      </c>
      <c r="AE710" s="7" t="str">
        <f>IFERROR(__xludf.DUMMYFUNCTION("GOOGLETRANSLATE(C710, ""en"", ""sr"")"),"Огрнути")</f>
        <v>Огрнути</v>
      </c>
      <c r="AF710" s="7" t="str">
        <f>IFERROR(__xludf.DUMMYFUNCTION("GOOGLETRANSLATE(C710, ""en"", ""sv"")"),"Börja orbot")</f>
        <v>Börja orbot</v>
      </c>
      <c r="AG710" s="6" t="s">
        <v>132</v>
      </c>
      <c r="AH710" s="13" t="s">
        <v>14750</v>
      </c>
      <c r="AI710" s="6" t="s">
        <v>132</v>
      </c>
      <c r="AJ710" s="6" t="s">
        <v>132</v>
      </c>
      <c r="AK710" s="7" t="str">
        <f>IFERROR(__xludf.DUMMYFUNCTION("GOOGLETRANSLATE(C710, ""en"", ""zh"")"),"开始orbot.")</f>
        <v>开始orbot.</v>
      </c>
      <c r="AL710" s="6" t="s">
        <v>132</v>
      </c>
    </row>
    <row r="711" ht="15.75" hidden="1" customHeight="1">
      <c r="A711" s="1" t="s">
        <v>38</v>
      </c>
      <c r="B711" s="1" t="s">
        <v>14751</v>
      </c>
      <c r="C711" s="1" t="s">
        <v>14752</v>
      </c>
      <c r="D711" s="8" t="s">
        <v>14753</v>
      </c>
      <c r="E711" s="1" t="s">
        <v>14754</v>
      </c>
      <c r="F711" s="6" t="s">
        <v>14755</v>
      </c>
      <c r="G711" s="7" t="str">
        <f>IFERROR(__xludf.DUMMYFUNCTION("GOOGLETRANSLATE(C711, ""en"", ""cs"")"),"Server vyžaduje registraci na webových stránkách")</f>
        <v>Server vyžaduje registraci na webových stránkách</v>
      </c>
      <c r="H711" s="7" t="str">
        <f>IFERROR(__xludf.DUMMYFUNCTION("GOOGLETRANSLATE(C711, ""en"", ""da"")"),"Serveren kræver registrering på hjemmesiden")</f>
        <v>Serveren kræver registrering på hjemmesiden</v>
      </c>
      <c r="I711" s="1" t="s">
        <v>14756</v>
      </c>
      <c r="J711" s="6" t="s">
        <v>132</v>
      </c>
      <c r="K711" s="1" t="s">
        <v>14757</v>
      </c>
      <c r="L711" s="7" t="str">
        <f>IFERROR(__xludf.DUMMYFUNCTION("GOOGLETRANSLATE(C711, ""en"", ""fi"")"),"Palvelin vaatii rekisteröinnin verkkosivuilla")</f>
        <v>Palvelin vaatii rekisteröinnin verkkosivuilla</v>
      </c>
      <c r="M711" s="1" t="s">
        <v>14758</v>
      </c>
      <c r="N711" s="6" t="s">
        <v>14759</v>
      </c>
      <c r="O711" s="6" t="s">
        <v>132</v>
      </c>
      <c r="P711" s="1" t="s">
        <v>14760</v>
      </c>
      <c r="Q711" s="7" t="str">
        <f>IFERROR(__xludf.DUMMYFUNCTION("GOOGLETRANSLATE(C711, ""en"", ""in"")"),"Server memerlukan pendaftaran di situs web")</f>
        <v>Server memerlukan pendaftaran di situs web</v>
      </c>
      <c r="R711" s="1" t="s">
        <v>14761</v>
      </c>
      <c r="S711" s="6" t="s">
        <v>132</v>
      </c>
      <c r="T711" s="1" t="s">
        <v>14762</v>
      </c>
      <c r="U711" s="7" t="str">
        <f>IFERROR(__xludf.DUMMYFUNCTION("GOOGLETRANSLATE(C711, ""en"", ""ko"")"),"서버는 웹 사이트에 등록해야합니다")</f>
        <v>서버는 웹 사이트에 등록해야합니다</v>
      </c>
      <c r="V711" s="7" t="str">
        <f>IFERROR(__xludf.DUMMYFUNCTION("GOOGLETRANSLATE(C711, ""en"", ""ms"")"),"Pelayan memerlukan pendaftaran di laman web")</f>
        <v>Pelayan memerlukan pendaftaran di laman web</v>
      </c>
      <c r="W711" s="1" t="s">
        <v>14763</v>
      </c>
      <c r="X711" s="7" t="str">
        <f>IFERROR(__xludf.DUMMYFUNCTION("GOOGLETRANSLATE(C711, ""en"", ""no"")"),"Serveren krever registrering på nettstedet")</f>
        <v>Serveren krever registrering på nettstedet</v>
      </c>
      <c r="Y711" s="1" t="s">
        <v>14764</v>
      </c>
      <c r="Z711" s="7" t="str">
        <f>IFERROR(__xludf.DUMMYFUNCTION("GOOGLETRANSLATE(C711, ""en"", ""pt"")"),"O servidor requer registro no site")</f>
        <v>O servidor requer registro no site</v>
      </c>
      <c r="AA711" s="7" t="str">
        <f>IFERROR(__xludf.DUMMYFUNCTION("GOOGLETRANSLATE(C711, ""en"", ""ro"")"),"Serverul necesită înregistrarea pe site-ul web")</f>
        <v>Serverul necesită înregistrarea pe site-ul web</v>
      </c>
      <c r="AB711" s="1" t="s">
        <v>14765</v>
      </c>
      <c r="AC711" s="7" t="str">
        <f>IFERROR(__xludf.DUMMYFUNCTION("GOOGLETRANSLATE(C711, ""en"", ""sk"")"),"Server vyžaduje registráciu na webovej stránke")</f>
        <v>Server vyžaduje registráciu na webovej stránke</v>
      </c>
      <c r="AD711" s="6" t="s">
        <v>132</v>
      </c>
      <c r="AE711" s="1" t="s">
        <v>14766</v>
      </c>
      <c r="AF711" s="7" t="str">
        <f>IFERROR(__xludf.DUMMYFUNCTION("GOOGLETRANSLATE(C711, ""en"", ""sv"")"),"Server kräver registrering på webbplatsen")</f>
        <v>Server kräver registrering på webbplatsen</v>
      </c>
      <c r="AG711" s="6" t="s">
        <v>132</v>
      </c>
      <c r="AH711" s="7" t="str">
        <f>IFERROR(__xludf.DUMMYFUNCTION("GOOGLETRANSLATE(C711, ""en"", ""tr"")"),"Sunucu web sitesinde kayıt gerektiriyor")</f>
        <v>Sunucu web sitesinde kayıt gerektiriyor</v>
      </c>
      <c r="AI711" s="6" t="s">
        <v>14767</v>
      </c>
      <c r="AJ711" s="6" t="s">
        <v>132</v>
      </c>
      <c r="AK711" s="7" t="str">
        <f>IFERROR(__xludf.DUMMYFUNCTION("GOOGLETRANSLATE(C711, ""en"", ""zh"")"),"服务器需要在网站上注册")</f>
        <v>服务器需要在网站上注册</v>
      </c>
      <c r="AL711" s="6" t="s">
        <v>132</v>
      </c>
    </row>
    <row r="712" ht="15.75" customHeight="1">
      <c r="A712" s="1" t="s">
        <v>127</v>
      </c>
      <c r="B712" s="1" t="s">
        <v>14768</v>
      </c>
      <c r="C712" s="1" t="s">
        <v>14769</v>
      </c>
      <c r="D712" s="8" t="s">
        <v>14770</v>
      </c>
      <c r="E712" s="1" t="s">
        <v>14771</v>
      </c>
      <c r="F712" s="6" t="s">
        <v>132</v>
      </c>
      <c r="G712" s="1" t="s">
        <v>14772</v>
      </c>
      <c r="H712" s="1" t="s">
        <v>14773</v>
      </c>
      <c r="I712" s="1" t="s">
        <v>374</v>
      </c>
      <c r="J712" s="6" t="s">
        <v>14774</v>
      </c>
      <c r="K712" s="1" t="s">
        <v>14775</v>
      </c>
      <c r="L712" s="1" t="s">
        <v>14776</v>
      </c>
      <c r="M712" s="1" t="s">
        <v>14777</v>
      </c>
      <c r="N712" s="6" t="s">
        <v>132</v>
      </c>
      <c r="O712" s="6" t="s">
        <v>14778</v>
      </c>
      <c r="P712" s="1" t="s">
        <v>14779</v>
      </c>
      <c r="Q712" s="1" t="s">
        <v>14780</v>
      </c>
      <c r="R712" s="1" t="s">
        <v>14781</v>
      </c>
      <c r="S712" s="10" t="s">
        <v>14782</v>
      </c>
      <c r="T712" s="1" t="s">
        <v>384</v>
      </c>
      <c r="U712" s="1" t="s">
        <v>14783</v>
      </c>
      <c r="V712" s="1" t="s">
        <v>14780</v>
      </c>
      <c r="W712" s="1" t="s">
        <v>14784</v>
      </c>
      <c r="X712" s="1" t="s">
        <v>14773</v>
      </c>
      <c r="Y712" s="1" t="s">
        <v>389</v>
      </c>
      <c r="Z712" s="1" t="s">
        <v>390</v>
      </c>
      <c r="AA712" s="1" t="s">
        <v>389</v>
      </c>
      <c r="AB712" s="1" t="s">
        <v>14785</v>
      </c>
      <c r="AC712" s="1" t="s">
        <v>14772</v>
      </c>
      <c r="AD712" s="6" t="s">
        <v>14786</v>
      </c>
      <c r="AE712" s="1" t="s">
        <v>395</v>
      </c>
      <c r="AF712" s="1" t="s">
        <v>14773</v>
      </c>
      <c r="AG712" s="6" t="s">
        <v>14787</v>
      </c>
      <c r="AH712" s="1" t="s">
        <v>14773</v>
      </c>
      <c r="AI712" s="6" t="s">
        <v>132</v>
      </c>
      <c r="AJ712" s="6" t="s">
        <v>14788</v>
      </c>
      <c r="AK712" s="1" t="s">
        <v>384</v>
      </c>
      <c r="AL712" s="6" t="s">
        <v>400</v>
      </c>
    </row>
    <row r="713" ht="15.75" hidden="1" customHeight="1">
      <c r="A713" s="1" t="s">
        <v>38</v>
      </c>
      <c r="B713" s="1" t="s">
        <v>14789</v>
      </c>
      <c r="C713" s="1" t="s">
        <v>14790</v>
      </c>
      <c r="D713" s="7" t="str">
        <f>IFERROR(__xludf.DUMMYFUNCTION("GOOGLETRANSLATE(C713, ""en"", ""ar"")"),"منغوليا")</f>
        <v>منغوليا</v>
      </c>
      <c r="E713" s="7" t="str">
        <f>IFERROR(__xludf.DUMMYFUNCTION("GOOGLETRANSLATE(C713, ""en"", ""bg"")"),"Монголия")</f>
        <v>Монголия</v>
      </c>
      <c r="F713" s="6" t="s">
        <v>132</v>
      </c>
      <c r="G713" s="7" t="str">
        <f>IFERROR(__xludf.DUMMYFUNCTION("GOOGLETRANSLATE(C713, ""en"", ""cs"")"),"Mongolsko")</f>
        <v>Mongolsko</v>
      </c>
      <c r="H713" s="7" t="str">
        <f>IFERROR(__xludf.DUMMYFUNCTION("GOOGLETRANSLATE(C713, ""en"", ""da"")"),"Mongoliet.")</f>
        <v>Mongoliet.</v>
      </c>
      <c r="I713" s="1" t="s">
        <v>14791</v>
      </c>
      <c r="J713" s="6" t="s">
        <v>132</v>
      </c>
      <c r="K713" s="1" t="s">
        <v>14790</v>
      </c>
      <c r="L713" s="7" t="str">
        <f>IFERROR(__xludf.DUMMYFUNCTION("GOOGLETRANSLATE(C713, ""en"", ""fi"")"),"Mongolia")</f>
        <v>Mongolia</v>
      </c>
      <c r="M713" s="1" t="s">
        <v>14792</v>
      </c>
      <c r="N713" s="6" t="s">
        <v>132</v>
      </c>
      <c r="O713" s="6" t="s">
        <v>132</v>
      </c>
      <c r="P713" s="1" t="s">
        <v>14790</v>
      </c>
      <c r="Q713" s="7" t="str">
        <f>IFERROR(__xludf.DUMMYFUNCTION("GOOGLETRANSLATE(C713, ""en"", ""in"")"),"Mongolia")</f>
        <v>Mongolia</v>
      </c>
      <c r="R713" s="7" t="str">
        <f>IFERROR(__xludf.DUMMYFUNCTION("GOOGLETRANSLATE(C713, ""en"", ""it"")"),"Mongolia")</f>
        <v>Mongolia</v>
      </c>
      <c r="S713" s="6" t="s">
        <v>132</v>
      </c>
      <c r="T713" s="7" t="str">
        <f>IFERROR(__xludf.DUMMYFUNCTION("GOOGLETRANSLATE(C713, ""en"", ""ja"")"),"モンゴリア")</f>
        <v>モンゴリア</v>
      </c>
      <c r="U713" s="7" t="str">
        <f>IFERROR(__xludf.DUMMYFUNCTION("GOOGLETRANSLATE(C713, ""en"", ""ko"")"),"몽골리아")</f>
        <v>몽골리아</v>
      </c>
      <c r="V713" s="7" t="str">
        <f>IFERROR(__xludf.DUMMYFUNCTION("GOOGLETRANSLATE(C713, ""en"", ""ms"")"),"Mongolia")</f>
        <v>Mongolia</v>
      </c>
      <c r="W713" s="7" t="str">
        <f>IFERROR(__xludf.DUMMYFUNCTION("GOOGLETRANSLATE(C713, ""en"", ""nl"")"),"Mongolië")</f>
        <v>Mongolië</v>
      </c>
      <c r="X713" s="7" t="str">
        <f>IFERROR(__xludf.DUMMYFUNCTION("GOOGLETRANSLATE(C713, ""en"", ""no"")"),"Mongolia")</f>
        <v>Mongolia</v>
      </c>
      <c r="Y713" s="7" t="str">
        <f>IFERROR(__xludf.DUMMYFUNCTION("GOOGLETRANSLATE(C713, ""en"", ""pl"")"),"Mongolia")</f>
        <v>Mongolia</v>
      </c>
      <c r="Z713" s="7" t="str">
        <f>IFERROR(__xludf.DUMMYFUNCTION("GOOGLETRANSLATE(C713, ""en"", ""pt"")"),"Mongólia")</f>
        <v>Mongólia</v>
      </c>
      <c r="AA713" s="7" t="str">
        <f>IFERROR(__xludf.DUMMYFUNCTION("GOOGLETRANSLATE(C713, ""en"", ""ro"")"),"Mongolia")</f>
        <v>Mongolia</v>
      </c>
      <c r="AB713" s="1" t="s">
        <v>14793</v>
      </c>
      <c r="AC713" s="7" t="str">
        <f>IFERROR(__xludf.DUMMYFUNCTION("GOOGLETRANSLATE(C713, ""en"", ""sk"")"),"Mongolsko")</f>
        <v>Mongolsko</v>
      </c>
      <c r="AD713" s="6" t="s">
        <v>132</v>
      </c>
      <c r="AE713" s="1" t="s">
        <v>14790</v>
      </c>
      <c r="AF713" s="7" t="str">
        <f>IFERROR(__xludf.DUMMYFUNCTION("GOOGLETRANSLATE(C713, ""en"", ""sv"")"),"mongoliet")</f>
        <v>mongoliet</v>
      </c>
      <c r="AG713" s="6" t="s">
        <v>132</v>
      </c>
      <c r="AH713" s="7" t="str">
        <f>IFERROR(__xludf.DUMMYFUNCTION("GOOGLETRANSLATE(C713, ""en"", ""tr"")"),"Moğolistan")</f>
        <v>Moğolistan</v>
      </c>
      <c r="AI713" s="6" t="s">
        <v>132</v>
      </c>
      <c r="AJ713" s="6" t="s">
        <v>132</v>
      </c>
      <c r="AK713" s="7" t="str">
        <f>IFERROR(__xludf.DUMMYFUNCTION("GOOGLETRANSLATE(C713, ""en"", ""zh"")"),"蒙古")</f>
        <v>蒙古</v>
      </c>
      <c r="AL713" s="6" t="s">
        <v>132</v>
      </c>
    </row>
    <row r="714" ht="15.75" hidden="1" customHeight="1">
      <c r="A714" s="1" t="s">
        <v>38</v>
      </c>
      <c r="B714" s="1" t="s">
        <v>14794</v>
      </c>
      <c r="C714" s="1" t="s">
        <v>14795</v>
      </c>
      <c r="D714" s="8" t="s">
        <v>14796</v>
      </c>
      <c r="E714" s="1" t="s">
        <v>14795</v>
      </c>
      <c r="F714" s="6" t="s">
        <v>14797</v>
      </c>
      <c r="G714" s="7" t="str">
        <f>IFERROR(__xludf.DUMMYFUNCTION("GOOGLETRANSLATE(C714, ""en"", ""cs"")"),"Konverzace")</f>
        <v>Konverzace</v>
      </c>
      <c r="H714" s="7" t="str">
        <f>IFERROR(__xludf.DUMMYFUNCTION("GOOGLETRANSLATE(C714, ""en"", ""da"")"),"Samtaler.")</f>
        <v>Samtaler.</v>
      </c>
      <c r="I714" s="1" t="s">
        <v>14795</v>
      </c>
      <c r="J714" s="6" t="s">
        <v>132</v>
      </c>
      <c r="K714" s="1" t="s">
        <v>14795</v>
      </c>
      <c r="L714" s="7" t="str">
        <f>IFERROR(__xludf.DUMMYFUNCTION("GOOGLETRANSLATE(C714, ""en"", ""fi"")"),"Keskustelut")</f>
        <v>Keskustelut</v>
      </c>
      <c r="M714" s="1" t="s">
        <v>14795</v>
      </c>
      <c r="N714" s="6" t="s">
        <v>14795</v>
      </c>
      <c r="O714" s="6" t="s">
        <v>132</v>
      </c>
      <c r="P714" s="1" t="s">
        <v>14798</v>
      </c>
      <c r="Q714" s="9" t="s">
        <v>14799</v>
      </c>
      <c r="R714" s="1" t="s">
        <v>14795</v>
      </c>
      <c r="S714" s="6" t="s">
        <v>132</v>
      </c>
      <c r="T714" s="1" t="s">
        <v>14795</v>
      </c>
      <c r="U714" s="1" t="s">
        <v>14795</v>
      </c>
      <c r="V714" s="7" t="str">
        <f>IFERROR(__xludf.DUMMYFUNCTION("GOOGLETRANSLATE(C714, ""en"", ""ms"")"),"Perbualan")</f>
        <v>Perbualan</v>
      </c>
      <c r="W714" s="1" t="s">
        <v>14795</v>
      </c>
      <c r="X714" s="7" t="str">
        <f>IFERROR(__xludf.DUMMYFUNCTION("GOOGLETRANSLATE(C714, ""en"", ""no"")"),"Samtaler")</f>
        <v>Samtaler</v>
      </c>
      <c r="Y714" s="1" t="s">
        <v>14795</v>
      </c>
      <c r="Z714" s="1" t="s">
        <v>14795</v>
      </c>
      <c r="AA714" s="7" t="str">
        <f>IFERROR(__xludf.DUMMYFUNCTION("GOOGLETRANSLATE(C714, ""en"", ""ro"")"),"Conversații")</f>
        <v>Conversații</v>
      </c>
      <c r="AB714" s="1" t="s">
        <v>14795</v>
      </c>
      <c r="AC714" s="1" t="s">
        <v>14800</v>
      </c>
      <c r="AD714" s="6" t="s">
        <v>132</v>
      </c>
      <c r="AE714" s="1" t="s">
        <v>14801</v>
      </c>
      <c r="AF714" s="1" t="s">
        <v>14795</v>
      </c>
      <c r="AG714" s="6" t="s">
        <v>132</v>
      </c>
      <c r="AH714" s="7" t="str">
        <f>IFERROR(__xludf.DUMMYFUNCTION("GOOGLETRANSLATE(C714, ""en"", ""tr"")"),"Konuşmalar")</f>
        <v>Konuşmalar</v>
      </c>
      <c r="AI714" s="6" t="s">
        <v>14802</v>
      </c>
      <c r="AJ714" s="6" t="s">
        <v>14795</v>
      </c>
      <c r="AK714" s="7" t="str">
        <f>IFERROR(__xludf.DUMMYFUNCTION("GOOGLETRANSLATE(C714, ""en"", ""zh"")"),"谈话")</f>
        <v>谈话</v>
      </c>
      <c r="AL714" s="6" t="s">
        <v>14795</v>
      </c>
    </row>
    <row r="715" ht="15.75" customHeight="1">
      <c r="A715" s="1" t="s">
        <v>127</v>
      </c>
      <c r="B715" s="1" t="s">
        <v>14803</v>
      </c>
      <c r="C715" s="1" t="s">
        <v>3428</v>
      </c>
      <c r="D715" s="8" t="s">
        <v>3429</v>
      </c>
      <c r="E715" s="1" t="s">
        <v>3430</v>
      </c>
      <c r="F715" s="6" t="s">
        <v>132</v>
      </c>
      <c r="G715" s="1" t="s">
        <v>3431</v>
      </c>
      <c r="H715" s="1" t="s">
        <v>3432</v>
      </c>
      <c r="I715" s="1" t="s">
        <v>3433</v>
      </c>
      <c r="J715" s="6" t="s">
        <v>3434</v>
      </c>
      <c r="K715" s="1" t="s">
        <v>3435</v>
      </c>
      <c r="L715" s="1" t="s">
        <v>3436</v>
      </c>
      <c r="M715" s="1" t="s">
        <v>14804</v>
      </c>
      <c r="N715" s="6" t="s">
        <v>132</v>
      </c>
      <c r="O715" s="6" t="s">
        <v>3438</v>
      </c>
      <c r="P715" s="1" t="s">
        <v>3439</v>
      </c>
      <c r="Q715" s="1" t="s">
        <v>3440</v>
      </c>
      <c r="R715" s="1" t="s">
        <v>3441</v>
      </c>
      <c r="S715" s="10" t="s">
        <v>3442</v>
      </c>
      <c r="T715" s="1" t="s">
        <v>3443</v>
      </c>
      <c r="U715" s="1" t="s">
        <v>3444</v>
      </c>
      <c r="V715" s="1" t="s">
        <v>3440</v>
      </c>
      <c r="W715" s="1" t="s">
        <v>3445</v>
      </c>
      <c r="X715" s="1" t="s">
        <v>3446</v>
      </c>
      <c r="Y715" s="1" t="s">
        <v>3447</v>
      </c>
      <c r="Z715" s="1" t="s">
        <v>3448</v>
      </c>
      <c r="AA715" s="1" t="s">
        <v>3449</v>
      </c>
      <c r="AB715" s="1" t="s">
        <v>3450</v>
      </c>
      <c r="AC715" s="1" t="s">
        <v>3451</v>
      </c>
      <c r="AD715" s="6" t="s">
        <v>3431</v>
      </c>
      <c r="AE715" s="1" t="s">
        <v>3452</v>
      </c>
      <c r="AF715" s="1" t="s">
        <v>3432</v>
      </c>
      <c r="AG715" s="6" t="s">
        <v>3453</v>
      </c>
      <c r="AH715" s="1" t="s">
        <v>14805</v>
      </c>
      <c r="AI715" s="6" t="s">
        <v>132</v>
      </c>
      <c r="AJ715" s="6" t="s">
        <v>3455</v>
      </c>
      <c r="AK715" s="1" t="s">
        <v>3456</v>
      </c>
      <c r="AL715" s="6" t="s">
        <v>3457</v>
      </c>
    </row>
    <row r="716" ht="15.75" customHeight="1">
      <c r="A716" s="1" t="s">
        <v>127</v>
      </c>
      <c r="B716" s="1" t="s">
        <v>14806</v>
      </c>
      <c r="C716" s="1" t="s">
        <v>14807</v>
      </c>
      <c r="D716" s="8" t="s">
        <v>14808</v>
      </c>
      <c r="E716" s="1" t="s">
        <v>14809</v>
      </c>
      <c r="F716" s="6" t="s">
        <v>132</v>
      </c>
      <c r="G716" s="1" t="s">
        <v>14810</v>
      </c>
      <c r="H716" s="1" t="s">
        <v>14811</v>
      </c>
      <c r="I716" s="1" t="s">
        <v>14807</v>
      </c>
      <c r="J716" s="6" t="s">
        <v>14812</v>
      </c>
      <c r="K716" s="1" t="s">
        <v>14813</v>
      </c>
      <c r="L716" s="1" t="s">
        <v>14814</v>
      </c>
      <c r="M716" s="1" t="s">
        <v>14815</v>
      </c>
      <c r="N716" s="6" t="s">
        <v>132</v>
      </c>
      <c r="O716" s="6" t="s">
        <v>14816</v>
      </c>
      <c r="P716" s="1" t="s">
        <v>14807</v>
      </c>
      <c r="Q716" s="1" t="s">
        <v>14817</v>
      </c>
      <c r="R716" s="1" t="s">
        <v>14818</v>
      </c>
      <c r="S716" s="10" t="s">
        <v>14819</v>
      </c>
      <c r="T716" s="1" t="s">
        <v>14820</v>
      </c>
      <c r="U716" s="1" t="s">
        <v>14821</v>
      </c>
      <c r="V716" s="1" t="s">
        <v>14817</v>
      </c>
      <c r="W716" s="1" t="s">
        <v>14822</v>
      </c>
      <c r="X716" s="1" t="s">
        <v>14823</v>
      </c>
      <c r="Y716" s="1" t="s">
        <v>14824</v>
      </c>
      <c r="Z716" s="1" t="s">
        <v>14825</v>
      </c>
      <c r="AA716" s="1" t="s">
        <v>14826</v>
      </c>
      <c r="AB716" s="1" t="s">
        <v>14827</v>
      </c>
      <c r="AC716" s="1" t="s">
        <v>14828</v>
      </c>
      <c r="AD716" s="6" t="s">
        <v>14829</v>
      </c>
      <c r="AE716" s="1" t="s">
        <v>14830</v>
      </c>
      <c r="AF716" s="1" t="s">
        <v>14831</v>
      </c>
      <c r="AG716" s="6" t="s">
        <v>14832</v>
      </c>
      <c r="AH716" s="1" t="s">
        <v>14833</v>
      </c>
      <c r="AI716" s="6" t="s">
        <v>132</v>
      </c>
      <c r="AJ716" s="6" t="s">
        <v>14834</v>
      </c>
      <c r="AK716" s="1" t="s">
        <v>14835</v>
      </c>
      <c r="AL716" s="6" t="s">
        <v>132</v>
      </c>
    </row>
    <row r="717" ht="15.75" hidden="1" customHeight="1">
      <c r="A717" s="1" t="s">
        <v>38</v>
      </c>
      <c r="B717" s="1" t="s">
        <v>14836</v>
      </c>
      <c r="C717" s="1" t="s">
        <v>14837</v>
      </c>
      <c r="D717" s="8" t="s">
        <v>14838</v>
      </c>
      <c r="E717" s="1" t="s">
        <v>14839</v>
      </c>
      <c r="F717" s="6" t="s">
        <v>14840</v>
      </c>
      <c r="G717" s="7" t="str">
        <f>IFERROR(__xludf.DUMMYFUNCTION("GOOGLETRANSLATE(C717, ""en"", ""cs"")"),"Upravit název")</f>
        <v>Upravit název</v>
      </c>
      <c r="H717" s="7" t="str">
        <f>IFERROR(__xludf.DUMMYFUNCTION("GOOGLETRANSLATE(C717, ""en"", ""da"")"),"Rediger navn")</f>
        <v>Rediger navn</v>
      </c>
      <c r="I717" s="1" t="s">
        <v>14841</v>
      </c>
      <c r="J717" s="6" t="s">
        <v>132</v>
      </c>
      <c r="K717" s="1" t="s">
        <v>14842</v>
      </c>
      <c r="L717" s="7" t="str">
        <f>IFERROR(__xludf.DUMMYFUNCTION("GOOGLETRANSLATE(C717, ""en"", ""fi"")"),"Muokkaa nimeä")</f>
        <v>Muokkaa nimeä</v>
      </c>
      <c r="M717" s="1" t="s">
        <v>14843</v>
      </c>
      <c r="N717" s="6" t="s">
        <v>14842</v>
      </c>
      <c r="O717" s="6" t="s">
        <v>132</v>
      </c>
      <c r="P717" s="1" t="s">
        <v>14844</v>
      </c>
      <c r="Q717" s="9" t="s">
        <v>14845</v>
      </c>
      <c r="R717" s="1" t="s">
        <v>14846</v>
      </c>
      <c r="S717" s="6" t="s">
        <v>132</v>
      </c>
      <c r="T717" s="1" t="s">
        <v>14847</v>
      </c>
      <c r="U717" s="1" t="s">
        <v>14848</v>
      </c>
      <c r="V717" s="7" t="str">
        <f>IFERROR(__xludf.DUMMYFUNCTION("GOOGLETRANSLATE(C717, ""en"", ""ms"")"),"Edit nama")</f>
        <v>Edit nama</v>
      </c>
      <c r="W717" s="1" t="s">
        <v>14849</v>
      </c>
      <c r="X717" s="7" t="str">
        <f>IFERROR(__xludf.DUMMYFUNCTION("GOOGLETRANSLATE(C717, ""en"", ""no"")"),"Rediger navn")</f>
        <v>Rediger navn</v>
      </c>
      <c r="Y717" s="1" t="s">
        <v>14850</v>
      </c>
      <c r="Z717" s="1" t="s">
        <v>14851</v>
      </c>
      <c r="AA717" s="7" t="str">
        <f>IFERROR(__xludf.DUMMYFUNCTION("GOOGLETRANSLATE(C717, ""en"", ""ro"")"),"Editeaza numele")</f>
        <v>Editeaza numele</v>
      </c>
      <c r="AB717" s="1" t="s">
        <v>14852</v>
      </c>
      <c r="AC717" s="1" t="s">
        <v>14853</v>
      </c>
      <c r="AD717" s="6" t="s">
        <v>132</v>
      </c>
      <c r="AE717" s="1" t="s">
        <v>14854</v>
      </c>
      <c r="AF717" s="1" t="s">
        <v>14855</v>
      </c>
      <c r="AG717" s="6" t="s">
        <v>132</v>
      </c>
      <c r="AH717" s="7" t="str">
        <f>IFERROR(__xludf.DUMMYFUNCTION("GOOGLETRANSLATE(C717, ""en"", ""tr"")"),"Adı Düzenle")</f>
        <v>Adı Düzenle</v>
      </c>
      <c r="AI717" s="6" t="s">
        <v>14856</v>
      </c>
      <c r="AJ717" s="6" t="s">
        <v>14857</v>
      </c>
      <c r="AK717" s="7" t="str">
        <f>IFERROR(__xludf.DUMMYFUNCTION("GOOGLETRANSLATE(C717, ""en"", ""zh"")"),"编辑名称")</f>
        <v>编辑名称</v>
      </c>
      <c r="AL717" s="6" t="s">
        <v>14858</v>
      </c>
    </row>
    <row r="718" ht="15.75" hidden="1" customHeight="1">
      <c r="A718" s="1" t="s">
        <v>38</v>
      </c>
      <c r="B718" s="1" t="s">
        <v>14859</v>
      </c>
      <c r="C718" s="1" t="s">
        <v>14860</v>
      </c>
      <c r="D718" s="7" t="str">
        <f>IFERROR(__xludf.DUMMYFUNCTION("GOOGLETRANSLATE(C718, ""en"", ""ar"")"),"إدخال المستخدم غير صالح")</f>
        <v>إدخال المستخدم غير صالح</v>
      </c>
      <c r="E718" s="1" t="s">
        <v>14861</v>
      </c>
      <c r="F718" s="6" t="s">
        <v>132</v>
      </c>
      <c r="G718" s="7" t="str">
        <f>IFERROR(__xludf.DUMMYFUNCTION("GOOGLETRANSLATE(C718, ""en"", ""cs"")"),"Neplatný uživatelský vstup")</f>
        <v>Neplatný uživatelský vstup</v>
      </c>
      <c r="H718" s="7" t="str">
        <f>IFERROR(__xludf.DUMMYFUNCTION("GOOGLETRANSLATE(C718, ""en"", ""da"")"),"Ugyldig brugerindgang")</f>
        <v>Ugyldig brugerindgang</v>
      </c>
      <c r="I718" s="1" t="s">
        <v>14862</v>
      </c>
      <c r="J718" s="6" t="s">
        <v>132</v>
      </c>
      <c r="K718" s="1" t="s">
        <v>14863</v>
      </c>
      <c r="L718" s="7" t="str">
        <f>IFERROR(__xludf.DUMMYFUNCTION("GOOGLETRANSLATE(C718, ""en"", ""fi"")"),"Virheellinen käyttäjän syöttö")</f>
        <v>Virheellinen käyttäjän syöttö</v>
      </c>
      <c r="M718" s="7" t="str">
        <f>IFERROR(__xludf.DUMMYFUNCTION("GOOGLETRANSLATE(C718, ""en"", ""fr"")"),"Entrée utilisateur invalide")</f>
        <v>Entrée utilisateur invalide</v>
      </c>
      <c r="N718" s="6" t="s">
        <v>14864</v>
      </c>
      <c r="O718" s="6" t="s">
        <v>132</v>
      </c>
      <c r="P718" s="1" t="s">
        <v>14865</v>
      </c>
      <c r="Q718" s="7" t="str">
        <f>IFERROR(__xludf.DUMMYFUNCTION("GOOGLETRANSLATE(C718, ""en"", ""in"")"),"Input Pengguna Tidak Valid.")</f>
        <v>Input Pengguna Tidak Valid.</v>
      </c>
      <c r="R718" s="1" t="s">
        <v>14866</v>
      </c>
      <c r="S718" s="6" t="s">
        <v>132</v>
      </c>
      <c r="T718" s="7" t="str">
        <f>IFERROR(__xludf.DUMMYFUNCTION("GOOGLETRANSLATE(C718, ""en"", ""ja"")"),"無効なユーザー入力")</f>
        <v>無効なユーザー入力</v>
      </c>
      <c r="U718" s="7" t="str">
        <f>IFERROR(__xludf.DUMMYFUNCTION("GOOGLETRANSLATE(C718, ""en"", ""ko"")"),"잘못된 사용자 입력")</f>
        <v>잘못된 사용자 입력</v>
      </c>
      <c r="V718" s="7" t="str">
        <f>IFERROR(__xludf.DUMMYFUNCTION("GOOGLETRANSLATE(C718, ""en"", ""ms"")"),"Input pengguna tidak sah")</f>
        <v>Input pengguna tidak sah</v>
      </c>
      <c r="W718" s="1" t="s">
        <v>14867</v>
      </c>
      <c r="X718" s="7" t="str">
        <f>IFERROR(__xludf.DUMMYFUNCTION("GOOGLETRANSLATE(C718, ""en"", ""no"")"),"Ugyldig brukerinngang")</f>
        <v>Ugyldig brukerinngang</v>
      </c>
      <c r="Y718" s="1" t="s">
        <v>14868</v>
      </c>
      <c r="Z718" s="7" t="str">
        <f>IFERROR(__xludf.DUMMYFUNCTION("GOOGLETRANSLATE(C718, ""en"", ""pt"")"),"Entrada de usuário inválida")</f>
        <v>Entrada de usuário inválida</v>
      </c>
      <c r="AA718" s="7" t="str">
        <f>IFERROR(__xludf.DUMMYFUNCTION("GOOGLETRANSLATE(C718, ""en"", ""ro"")"),"Intrare de utilizator nevalidă")</f>
        <v>Intrare de utilizator nevalidă</v>
      </c>
      <c r="AB718" s="7" t="str">
        <f>IFERROR(__xludf.DUMMYFUNCTION("GOOGLETRANSLATE(C718, ""en"", ""ru"")"),"Неверный пользовательский ввод")</f>
        <v>Неверный пользовательский ввод</v>
      </c>
      <c r="AC718" s="7" t="str">
        <f>IFERROR(__xludf.DUMMYFUNCTION("GOOGLETRANSLATE(C718, ""en"", ""sk"")"),"Neplatný vstup používateľa")</f>
        <v>Neplatný vstup používateľa</v>
      </c>
      <c r="AD718" s="6" t="s">
        <v>132</v>
      </c>
      <c r="AE718" s="7" t="str">
        <f>IFERROR(__xludf.DUMMYFUNCTION("GOOGLETRANSLATE(C718, ""en"", ""sr"")"),"Неважећи унос корисника")</f>
        <v>Неважећи унос корисника</v>
      </c>
      <c r="AF718" s="7" t="str">
        <f>IFERROR(__xludf.DUMMYFUNCTION("GOOGLETRANSLATE(C718, ""en"", ""sv"")"),"Ogiltig användarinmatning")</f>
        <v>Ogiltig användarinmatning</v>
      </c>
      <c r="AG718" s="6" t="s">
        <v>132</v>
      </c>
      <c r="AH718" s="7" t="str">
        <f>IFERROR(__xludf.DUMMYFUNCTION("GOOGLETRANSLATE(C718, ""en"", ""tr"")"),"Geçersiz kullanıcı girişi")</f>
        <v>Geçersiz kullanıcı girişi</v>
      </c>
      <c r="AI718" s="6" t="s">
        <v>132</v>
      </c>
      <c r="AJ718" s="6" t="s">
        <v>132</v>
      </c>
      <c r="AK718" s="7" t="str">
        <f>IFERROR(__xludf.DUMMYFUNCTION("GOOGLETRANSLATE(C718, ""en"", ""zh"")"),"无效的用户输入")</f>
        <v>无效的用户输入</v>
      </c>
      <c r="AL718" s="6" t="s">
        <v>132</v>
      </c>
    </row>
    <row r="719" ht="15.75" customHeight="1">
      <c r="A719" s="1" t="s">
        <v>127</v>
      </c>
      <c r="B719" s="1" t="s">
        <v>14869</v>
      </c>
      <c r="C719" s="1" t="s">
        <v>14870</v>
      </c>
      <c r="D719" s="8" t="s">
        <v>14871</v>
      </c>
      <c r="E719" s="1" t="s">
        <v>14872</v>
      </c>
      <c r="F719" s="6" t="s">
        <v>132</v>
      </c>
      <c r="G719" s="1" t="s">
        <v>14873</v>
      </c>
      <c r="H719" s="1" t="s">
        <v>14874</v>
      </c>
      <c r="I719" s="1" t="s">
        <v>14875</v>
      </c>
      <c r="J719" s="6" t="s">
        <v>14876</v>
      </c>
      <c r="K719" s="1" t="s">
        <v>14877</v>
      </c>
      <c r="L719" s="1" t="s">
        <v>14878</v>
      </c>
      <c r="M719" s="1" t="s">
        <v>14879</v>
      </c>
      <c r="N719" s="6" t="s">
        <v>132</v>
      </c>
      <c r="O719" s="6" t="s">
        <v>14880</v>
      </c>
      <c r="P719" s="1" t="s">
        <v>14881</v>
      </c>
      <c r="Q719" s="1" t="s">
        <v>14882</v>
      </c>
      <c r="R719" s="1" t="s">
        <v>14883</v>
      </c>
      <c r="S719" s="10" t="s">
        <v>14884</v>
      </c>
      <c r="T719" s="1" t="s">
        <v>14885</v>
      </c>
      <c r="U719" s="1" t="s">
        <v>14886</v>
      </c>
      <c r="V719" s="1" t="s">
        <v>14882</v>
      </c>
      <c r="W719" s="1" t="s">
        <v>14887</v>
      </c>
      <c r="X719" s="1" t="s">
        <v>14874</v>
      </c>
      <c r="Y719" s="1" t="s">
        <v>14888</v>
      </c>
      <c r="Z719" s="1" t="s">
        <v>14889</v>
      </c>
      <c r="AA719" s="1" t="s">
        <v>14890</v>
      </c>
      <c r="AB719" s="1" t="s">
        <v>14891</v>
      </c>
      <c r="AC719" s="1" t="s">
        <v>14892</v>
      </c>
      <c r="AD719" s="6" t="s">
        <v>14893</v>
      </c>
      <c r="AE719" s="1" t="s">
        <v>14894</v>
      </c>
      <c r="AF719" s="1" t="s">
        <v>14895</v>
      </c>
      <c r="AG719" s="6" t="s">
        <v>14896</v>
      </c>
      <c r="AH719" s="1" t="s">
        <v>14897</v>
      </c>
      <c r="AI719" s="6" t="s">
        <v>132</v>
      </c>
      <c r="AJ719" s="6" t="s">
        <v>14898</v>
      </c>
      <c r="AK719" s="1" t="s">
        <v>14899</v>
      </c>
      <c r="AL719" s="6" t="s">
        <v>14900</v>
      </c>
    </row>
    <row r="720" ht="15.75" customHeight="1">
      <c r="A720" s="1" t="s">
        <v>127</v>
      </c>
      <c r="B720" s="1" t="s">
        <v>14901</v>
      </c>
      <c r="C720" s="1" t="s">
        <v>14902</v>
      </c>
      <c r="D720" s="8" t="s">
        <v>14903</v>
      </c>
      <c r="E720" s="1" t="s">
        <v>14904</v>
      </c>
      <c r="F720" s="6" t="s">
        <v>132</v>
      </c>
      <c r="G720" s="1" t="s">
        <v>14905</v>
      </c>
      <c r="H720" s="1" t="s">
        <v>14906</v>
      </c>
      <c r="I720" s="1" t="s">
        <v>14907</v>
      </c>
      <c r="J720" s="6" t="s">
        <v>14908</v>
      </c>
      <c r="K720" s="1" t="s">
        <v>14909</v>
      </c>
      <c r="L720" s="1" t="s">
        <v>14910</v>
      </c>
      <c r="M720" s="1" t="s">
        <v>14902</v>
      </c>
      <c r="N720" s="6" t="s">
        <v>132</v>
      </c>
      <c r="O720" s="6" t="s">
        <v>14911</v>
      </c>
      <c r="P720" s="1" t="s">
        <v>14902</v>
      </c>
      <c r="Q720" s="1" t="s">
        <v>14912</v>
      </c>
      <c r="R720" s="1" t="s">
        <v>14913</v>
      </c>
      <c r="S720" s="10" t="s">
        <v>14914</v>
      </c>
      <c r="T720" s="1" t="s">
        <v>14915</v>
      </c>
      <c r="U720" s="1" t="s">
        <v>14916</v>
      </c>
      <c r="V720" s="1" t="s">
        <v>14917</v>
      </c>
      <c r="W720" s="1" t="s">
        <v>14918</v>
      </c>
      <c r="X720" s="1" t="s">
        <v>14919</v>
      </c>
      <c r="Y720" s="1" t="s">
        <v>14902</v>
      </c>
      <c r="Z720" s="1" t="s">
        <v>14920</v>
      </c>
      <c r="AA720" s="1" t="s">
        <v>14921</v>
      </c>
      <c r="AB720" s="1" t="s">
        <v>14922</v>
      </c>
      <c r="AC720" s="1" t="s">
        <v>14923</v>
      </c>
      <c r="AD720" s="6" t="s">
        <v>14924</v>
      </c>
      <c r="AE720" s="1" t="s">
        <v>14902</v>
      </c>
      <c r="AF720" s="1" t="s">
        <v>14925</v>
      </c>
      <c r="AG720" s="6" t="s">
        <v>14926</v>
      </c>
      <c r="AH720" s="1" t="s">
        <v>14927</v>
      </c>
      <c r="AI720" s="6" t="s">
        <v>132</v>
      </c>
      <c r="AJ720" s="6" t="s">
        <v>14928</v>
      </c>
      <c r="AK720" s="1" t="s">
        <v>14929</v>
      </c>
      <c r="AL720" s="6" t="s">
        <v>14930</v>
      </c>
    </row>
    <row r="721" ht="15.75" hidden="1" customHeight="1">
      <c r="A721" s="1" t="s">
        <v>38</v>
      </c>
      <c r="B721" s="1" t="s">
        <v>14931</v>
      </c>
      <c r="C721" s="1" t="s">
        <v>14932</v>
      </c>
      <c r="D721" s="8" t="s">
        <v>14933</v>
      </c>
      <c r="E721" s="1" t="s">
        <v>14934</v>
      </c>
      <c r="F721" s="6" t="s">
        <v>14935</v>
      </c>
      <c r="G721" s="7" t="str">
        <f>IFERROR(__xludf.DUMMYFUNCTION("GOOGLETRANSLATE(C721, ""en"", ""cs"")"),"Citát")</f>
        <v>Citát</v>
      </c>
      <c r="H721" s="7" t="str">
        <f>IFERROR(__xludf.DUMMYFUNCTION("GOOGLETRANSLATE(C721, ""en"", ""da"")"),"Citere")</f>
        <v>Citere</v>
      </c>
      <c r="I721" s="1" t="s">
        <v>14936</v>
      </c>
      <c r="J721" s="6" t="s">
        <v>132</v>
      </c>
      <c r="K721" s="1" t="s">
        <v>14937</v>
      </c>
      <c r="L721" s="7" t="str">
        <f>IFERROR(__xludf.DUMMYFUNCTION("GOOGLETRANSLATE(C721, ""en"", ""fi"")"),"Lainata")</f>
        <v>Lainata</v>
      </c>
      <c r="M721" s="1" t="s">
        <v>14938</v>
      </c>
      <c r="N721" s="6" t="s">
        <v>14935</v>
      </c>
      <c r="O721" s="6" t="s">
        <v>132</v>
      </c>
      <c r="P721" s="1" t="s">
        <v>14939</v>
      </c>
      <c r="Q721" s="7" t="str">
        <f>IFERROR(__xludf.DUMMYFUNCTION("GOOGLETRANSLATE(C721, ""en"", ""in"")"),"Kutipan")</f>
        <v>Kutipan</v>
      </c>
      <c r="R721" s="1" t="s">
        <v>14935</v>
      </c>
      <c r="S721" s="6" t="s">
        <v>132</v>
      </c>
      <c r="T721" s="1" t="s">
        <v>14940</v>
      </c>
      <c r="U721" s="1" t="s">
        <v>14941</v>
      </c>
      <c r="V721" s="7" t="str">
        <f>IFERROR(__xludf.DUMMYFUNCTION("GOOGLETRANSLATE(C721, ""en"", ""ms"")"),"Petikan")</f>
        <v>Petikan</v>
      </c>
      <c r="W721" s="1" t="s">
        <v>14942</v>
      </c>
      <c r="X721" s="7" t="str">
        <f>IFERROR(__xludf.DUMMYFUNCTION("GOOGLETRANSLATE(C721, ""en"", ""no"")"),"Sitat")</f>
        <v>Sitat</v>
      </c>
      <c r="Y721" s="1" t="s">
        <v>14943</v>
      </c>
      <c r="Z721" s="1" t="s">
        <v>14937</v>
      </c>
      <c r="AA721" s="7" t="str">
        <f>IFERROR(__xludf.DUMMYFUNCTION("GOOGLETRANSLATE(C721, ""en"", ""ro"")"),"Citat")</f>
        <v>Citat</v>
      </c>
      <c r="AB721" s="1" t="s">
        <v>14944</v>
      </c>
      <c r="AC721" s="7" t="str">
        <f>IFERROR(__xludf.DUMMYFUNCTION("GOOGLETRANSLATE(C721, ""en"", ""sk"")"),"Citovať")</f>
        <v>Citovať</v>
      </c>
      <c r="AD721" s="6" t="s">
        <v>132</v>
      </c>
      <c r="AE721" s="1" t="s">
        <v>14945</v>
      </c>
      <c r="AF721" s="1" t="s">
        <v>14946</v>
      </c>
      <c r="AG721" s="6" t="s">
        <v>132</v>
      </c>
      <c r="AH721" s="7" t="str">
        <f>IFERROR(__xludf.DUMMYFUNCTION("GOOGLETRANSLATE(C721, ""en"", ""tr"")"),"Alıntı")</f>
        <v>Alıntı</v>
      </c>
      <c r="AI721" s="6" t="s">
        <v>14947</v>
      </c>
      <c r="AJ721" s="6" t="s">
        <v>132</v>
      </c>
      <c r="AK721" s="7" t="str">
        <f>IFERROR(__xludf.DUMMYFUNCTION("GOOGLETRANSLATE(C721, ""en"", ""zh"")"),"引用")</f>
        <v>引用</v>
      </c>
      <c r="AL721" s="6" t="s">
        <v>14940</v>
      </c>
    </row>
    <row r="722" ht="15.75" hidden="1" customHeight="1">
      <c r="A722" s="1" t="s">
        <v>38</v>
      </c>
      <c r="B722" s="1" t="s">
        <v>14948</v>
      </c>
      <c r="C722" s="1" t="s">
        <v>14949</v>
      </c>
      <c r="D722" s="8" t="s">
        <v>14950</v>
      </c>
      <c r="E722" s="1" t="s">
        <v>14951</v>
      </c>
      <c r="F722" s="6" t="s">
        <v>14952</v>
      </c>
      <c r="G722" s="7" t="str">
        <f>IFERROR(__xludf.DUMMYFUNCTION("GOOGLETRANSLATE(C722, ""en"", ""cs"")"),"Download Failed: Nelze se připojit k hostiteli")</f>
        <v>Download Failed: Nelze se připojit k hostiteli</v>
      </c>
      <c r="H722" s="7" t="str">
        <f>IFERROR(__xludf.DUMMYFUNCTION("GOOGLETRANSLATE(C722, ""en"", ""da"")"),"Download mislykkedes: Kunne ikke oprette forbindelse til vært")</f>
        <v>Download mislykkedes: Kunne ikke oprette forbindelse til vært</v>
      </c>
      <c r="I722" s="1" t="s">
        <v>14953</v>
      </c>
      <c r="J722" s="6" t="s">
        <v>132</v>
      </c>
      <c r="K722" s="1" t="s">
        <v>14954</v>
      </c>
      <c r="L722" s="7" t="str">
        <f>IFERROR(__xludf.DUMMYFUNCTION("GOOGLETRANSLATE(C722, ""en"", ""fi"")"),"Lataa epäonnistui: ei voi muodostaa yhteyttä isäntään")</f>
        <v>Lataa epäonnistui: ei voi muodostaa yhteyttä isäntään</v>
      </c>
      <c r="M722" s="1" t="s">
        <v>14955</v>
      </c>
      <c r="N722" s="6" t="s">
        <v>14956</v>
      </c>
      <c r="O722" s="6" t="s">
        <v>132</v>
      </c>
      <c r="P722" s="1" t="s">
        <v>14957</v>
      </c>
      <c r="Q722" s="9" t="s">
        <v>14958</v>
      </c>
      <c r="R722" s="1" t="s">
        <v>14959</v>
      </c>
      <c r="S722" s="6" t="s">
        <v>132</v>
      </c>
      <c r="T722" s="1" t="s">
        <v>14960</v>
      </c>
      <c r="U722" s="1" t="s">
        <v>14961</v>
      </c>
      <c r="V722" s="7" t="str">
        <f>IFERROR(__xludf.DUMMYFUNCTION("GOOGLETRANSLATE(C722, ""en"", ""ms"")"),"Muat turun gagal: Tidak dapat menyambung ke tuan rumah")</f>
        <v>Muat turun gagal: Tidak dapat menyambung ke tuan rumah</v>
      </c>
      <c r="W722" s="1" t="s">
        <v>14962</v>
      </c>
      <c r="X722" s="7" t="str">
        <f>IFERROR(__xludf.DUMMYFUNCTION("GOOGLETRANSLATE(C722, ""en"", ""no"")"),"Last ned mislyktes: Kunne ikke koble til verten")</f>
        <v>Last ned mislyktes: Kunne ikke koble til verten</v>
      </c>
      <c r="Y722" s="1" t="s">
        <v>14963</v>
      </c>
      <c r="Z722" s="1" t="s">
        <v>14964</v>
      </c>
      <c r="AA722" s="7" t="str">
        <f>IFERROR(__xludf.DUMMYFUNCTION("GOOGLETRANSLATE(C722, ""en"", ""ro"")"),"Descărcarea a eșuat: nu se poate conecta la gazdă")</f>
        <v>Descărcarea a eșuat: nu se poate conecta la gazdă</v>
      </c>
      <c r="AB722" s="1" t="s">
        <v>14965</v>
      </c>
      <c r="AC722" s="7" t="str">
        <f>IFERROR(__xludf.DUMMYFUNCTION("GOOGLETRANSLATE(C722, ""en"", ""sk"")"),"Stiahnutie zlyhania: Nepodarilo sa pripojiť k hostiteľovi")</f>
        <v>Stiahnutie zlyhania: Nepodarilo sa pripojiť k hostiteľovi</v>
      </c>
      <c r="AD722" s="6" t="s">
        <v>132</v>
      </c>
      <c r="AE722" s="1" t="s">
        <v>14966</v>
      </c>
      <c r="AF722" s="1" t="s">
        <v>14967</v>
      </c>
      <c r="AG722" s="6" t="s">
        <v>132</v>
      </c>
      <c r="AH722" s="7" t="str">
        <f>IFERROR(__xludf.DUMMYFUNCTION("GOOGLETRANSLATE(C722, ""en"", ""tr"")"),"İndirme başarısız oldu: ana bilgisayara bağlanamadı")</f>
        <v>İndirme başarısız oldu: ana bilgisayara bağlanamadı</v>
      </c>
      <c r="AI722" s="6" t="s">
        <v>14968</v>
      </c>
      <c r="AJ722" s="6" t="s">
        <v>14969</v>
      </c>
      <c r="AK722" s="7" t="str">
        <f>IFERROR(__xludf.DUMMYFUNCTION("GOOGLETRANSLATE(C722, ""en"", ""zh"")"),"下载失败：无法连接到主机")</f>
        <v>下载失败：无法连接到主机</v>
      </c>
      <c r="AL722" s="6" t="s">
        <v>14970</v>
      </c>
    </row>
    <row r="723" ht="15.75" hidden="1" customHeight="1">
      <c r="A723" s="1" t="s">
        <v>38</v>
      </c>
      <c r="B723" s="1" t="s">
        <v>14971</v>
      </c>
      <c r="C723" s="1" t="s">
        <v>14972</v>
      </c>
      <c r="D723" s="8" t="s">
        <v>14973</v>
      </c>
      <c r="E723" s="1" t="s">
        <v>14974</v>
      </c>
      <c r="F723" s="6" t="s">
        <v>14975</v>
      </c>
      <c r="G723" s="7" t="str">
        <f>IFERROR(__xludf.DUMMYFUNCTION("GOOGLETRANSLATE(C723, ""en"", ""cs"")"),"Server Info")</f>
        <v>Server Info</v>
      </c>
      <c r="H723" s="7" t="str">
        <f>IFERROR(__xludf.DUMMYFUNCTION("GOOGLETRANSLATE(C723, ""en"", ""da"")"),"Server info.")</f>
        <v>Server info.</v>
      </c>
      <c r="I723" s="1" t="s">
        <v>14976</v>
      </c>
      <c r="J723" s="6" t="s">
        <v>132</v>
      </c>
      <c r="K723" s="1" t="s">
        <v>14977</v>
      </c>
      <c r="L723" s="7" t="str">
        <f>IFERROR(__xludf.DUMMYFUNCTION("GOOGLETRANSLATE(C723, ""en"", ""fi"")"),"Palvelimen tiedot")</f>
        <v>Palvelimen tiedot</v>
      </c>
      <c r="M723" s="1" t="s">
        <v>14978</v>
      </c>
      <c r="N723" s="6" t="s">
        <v>14979</v>
      </c>
      <c r="O723" s="6" t="s">
        <v>132</v>
      </c>
      <c r="P723" s="1" t="s">
        <v>14980</v>
      </c>
      <c r="Q723" s="9" t="s">
        <v>14981</v>
      </c>
      <c r="R723" s="1" t="s">
        <v>14982</v>
      </c>
      <c r="S723" s="6" t="s">
        <v>132</v>
      </c>
      <c r="T723" s="1" t="s">
        <v>14983</v>
      </c>
      <c r="U723" s="1" t="s">
        <v>14984</v>
      </c>
      <c r="V723" s="7" t="str">
        <f>IFERROR(__xludf.DUMMYFUNCTION("GOOGLETRANSLATE(C723, ""en"", ""ms"")"),"Maklumat Pelayan.")</f>
        <v>Maklumat Pelayan.</v>
      </c>
      <c r="W723" s="1" t="s">
        <v>14985</v>
      </c>
      <c r="X723" s="7" t="str">
        <f>IFERROR(__xludf.DUMMYFUNCTION("GOOGLETRANSLATE(C723, ""en"", ""no"")"),"Server info")</f>
        <v>Server info</v>
      </c>
      <c r="Y723" s="1" t="s">
        <v>14986</v>
      </c>
      <c r="Z723" s="1" t="s">
        <v>14987</v>
      </c>
      <c r="AA723" s="7" t="str">
        <f>IFERROR(__xludf.DUMMYFUNCTION("GOOGLETRANSLATE(C723, ""en"", ""ro"")"),"Server Info.")</f>
        <v>Server Info.</v>
      </c>
      <c r="AB723" s="1" t="s">
        <v>14988</v>
      </c>
      <c r="AC723" s="1" t="s">
        <v>14989</v>
      </c>
      <c r="AD723" s="6" t="s">
        <v>132</v>
      </c>
      <c r="AE723" s="1" t="s">
        <v>14990</v>
      </c>
      <c r="AF723" s="1" t="s">
        <v>14985</v>
      </c>
      <c r="AG723" s="6" t="s">
        <v>132</v>
      </c>
      <c r="AH723" s="7" t="str">
        <f>IFERROR(__xludf.DUMMYFUNCTION("GOOGLETRANSLATE(C723, ""en"", ""tr"")"),"Sunucu Bilgisi")</f>
        <v>Sunucu Bilgisi</v>
      </c>
      <c r="AI723" s="6" t="s">
        <v>14991</v>
      </c>
      <c r="AJ723" s="6" t="s">
        <v>14992</v>
      </c>
      <c r="AK723" s="7" t="str">
        <f>IFERROR(__xludf.DUMMYFUNCTION("GOOGLETRANSLATE(C723, ""en"", ""zh"")"),"服务器信息")</f>
        <v>服务器信息</v>
      </c>
      <c r="AL723" s="6" t="s">
        <v>14993</v>
      </c>
    </row>
    <row r="724" ht="15.75" hidden="1" customHeight="1">
      <c r="A724" s="1" t="s">
        <v>38</v>
      </c>
      <c r="B724" s="1" t="s">
        <v>14994</v>
      </c>
      <c r="C724" s="1" t="s">
        <v>2484</v>
      </c>
      <c r="D724" s="7" t="str">
        <f>IFERROR(__xludf.DUMMYFUNCTION("GOOGLETRANSLATE(C724, ""en"", ""ar"")"),"متوسط")</f>
        <v>متوسط</v>
      </c>
      <c r="E724" s="1" t="s">
        <v>14995</v>
      </c>
      <c r="F724" s="6" t="s">
        <v>14996</v>
      </c>
      <c r="G724" s="7" t="str">
        <f>IFERROR(__xludf.DUMMYFUNCTION("GOOGLETRANSLATE(C724, ""en"", ""cs"")"),"Střední")</f>
        <v>Střední</v>
      </c>
      <c r="H724" s="7" t="str">
        <f>IFERROR(__xludf.DUMMYFUNCTION("GOOGLETRANSLATE(C724, ""en"", ""da"")"),"Medium")</f>
        <v>Medium</v>
      </c>
      <c r="I724" s="1" t="s">
        <v>2488</v>
      </c>
      <c r="J724" s="6" t="s">
        <v>132</v>
      </c>
      <c r="K724" s="1" t="s">
        <v>2490</v>
      </c>
      <c r="L724" s="7" t="str">
        <f>IFERROR(__xludf.DUMMYFUNCTION("GOOGLETRANSLATE(C724, ""en"", ""fi"")"),"Väliaine")</f>
        <v>Väliaine</v>
      </c>
      <c r="M724" s="1" t="s">
        <v>14997</v>
      </c>
      <c r="N724" s="6" t="s">
        <v>14998</v>
      </c>
      <c r="O724" s="6" t="s">
        <v>132</v>
      </c>
      <c r="P724" s="1" t="s">
        <v>14999</v>
      </c>
      <c r="Q724" s="7" t="str">
        <f>IFERROR(__xludf.DUMMYFUNCTION("GOOGLETRANSLATE(C724, ""en"", ""in"")"),"Medium")</f>
        <v>Medium</v>
      </c>
      <c r="R724" s="1" t="s">
        <v>2496</v>
      </c>
      <c r="S724" s="6" t="s">
        <v>132</v>
      </c>
      <c r="T724" s="1" t="s">
        <v>2498</v>
      </c>
      <c r="U724" s="7" t="str">
        <f>IFERROR(__xludf.DUMMYFUNCTION("GOOGLETRANSLATE(C724, ""en"", ""ko"")"),"매질")</f>
        <v>매질</v>
      </c>
      <c r="V724" s="7" t="str">
        <f>IFERROR(__xludf.DUMMYFUNCTION("GOOGLETRANSLATE(C724, ""en"", ""ms"")"),"Medium.")</f>
        <v>Medium.</v>
      </c>
      <c r="W724" s="1" t="s">
        <v>15000</v>
      </c>
      <c r="X724" s="7" t="str">
        <f>IFERROR(__xludf.DUMMYFUNCTION("GOOGLETRANSLATE(C724, ""en"", ""no"")"),"Medium")</f>
        <v>Medium</v>
      </c>
      <c r="Y724" s="1" t="s">
        <v>15001</v>
      </c>
      <c r="Z724" s="7" t="str">
        <f>IFERROR(__xludf.DUMMYFUNCTION("GOOGLETRANSLATE(C724, ""en"", ""pt"")"),"Médio")</f>
        <v>Médio</v>
      </c>
      <c r="AA724" s="7" t="str">
        <f>IFERROR(__xludf.DUMMYFUNCTION("GOOGLETRANSLATE(C724, ""en"", ""ro"")"),"Mediu")</f>
        <v>Mediu</v>
      </c>
      <c r="AB724" s="1" t="s">
        <v>2505</v>
      </c>
      <c r="AC724" s="7" t="str">
        <f>IFERROR(__xludf.DUMMYFUNCTION("GOOGLETRANSLATE(C724, ""en"", ""sk"")"),"Stredný")</f>
        <v>Stredný</v>
      </c>
      <c r="AD724" s="6" t="s">
        <v>132</v>
      </c>
      <c r="AE724" s="7" t="str">
        <f>IFERROR(__xludf.DUMMYFUNCTION("GOOGLETRANSLATE(C724, ""en"", ""sr"")"),"Средњи")</f>
        <v>Средњи</v>
      </c>
      <c r="AF724" s="7" t="str">
        <f>IFERROR(__xludf.DUMMYFUNCTION("GOOGLETRANSLATE(C724, ""en"", ""sv"")"),"Medium")</f>
        <v>Medium</v>
      </c>
      <c r="AG724" s="6" t="s">
        <v>132</v>
      </c>
      <c r="AH724" s="7" t="str">
        <f>IFERROR(__xludf.DUMMYFUNCTION("GOOGLETRANSLATE(C724, ""en"", ""tr"")"),"Orta")</f>
        <v>Orta</v>
      </c>
      <c r="AI724" s="6" t="s">
        <v>132</v>
      </c>
      <c r="AJ724" s="6" t="s">
        <v>132</v>
      </c>
      <c r="AK724" s="7" t="str">
        <f>IFERROR(__xludf.DUMMYFUNCTION("GOOGLETRANSLATE(C724, ""en"", ""zh"")"),"中等的")</f>
        <v>中等的</v>
      </c>
      <c r="AL724" s="6" t="s">
        <v>15002</v>
      </c>
    </row>
    <row r="725" ht="15.75" customHeight="1">
      <c r="A725" s="1" t="s">
        <v>127</v>
      </c>
      <c r="B725" s="1" t="s">
        <v>15003</v>
      </c>
      <c r="C725" s="1" t="s">
        <v>15004</v>
      </c>
      <c r="D725" s="8" t="s">
        <v>15005</v>
      </c>
      <c r="E725" s="1" t="s">
        <v>15006</v>
      </c>
      <c r="F725" s="6" t="s">
        <v>132</v>
      </c>
      <c r="G725" s="1" t="s">
        <v>15007</v>
      </c>
      <c r="H725" s="1" t="s">
        <v>15008</v>
      </c>
      <c r="I725" s="1" t="s">
        <v>15009</v>
      </c>
      <c r="J725" s="6" t="s">
        <v>15010</v>
      </c>
      <c r="K725" s="1" t="s">
        <v>15011</v>
      </c>
      <c r="L725" s="1" t="s">
        <v>15012</v>
      </c>
      <c r="M725" s="1" t="s">
        <v>15013</v>
      </c>
      <c r="N725" s="6" t="s">
        <v>132</v>
      </c>
      <c r="O725" s="6" t="s">
        <v>15014</v>
      </c>
      <c r="P725" s="1" t="s">
        <v>15015</v>
      </c>
      <c r="Q725" s="1" t="s">
        <v>15016</v>
      </c>
      <c r="R725" s="1" t="s">
        <v>15017</v>
      </c>
      <c r="S725" s="10" t="s">
        <v>15018</v>
      </c>
      <c r="T725" s="1" t="s">
        <v>15019</v>
      </c>
      <c r="U725" s="1" t="s">
        <v>15020</v>
      </c>
      <c r="V725" s="1" t="s">
        <v>15021</v>
      </c>
      <c r="W725" s="1" t="s">
        <v>15022</v>
      </c>
      <c r="X725" s="1" t="s">
        <v>15023</v>
      </c>
      <c r="Y725" s="1" t="s">
        <v>15024</v>
      </c>
      <c r="Z725" s="1" t="s">
        <v>15025</v>
      </c>
      <c r="AA725" s="1" t="s">
        <v>15026</v>
      </c>
      <c r="AB725" s="1" t="s">
        <v>15027</v>
      </c>
      <c r="AC725" s="1" t="s">
        <v>15028</v>
      </c>
      <c r="AD725" s="6" t="s">
        <v>15029</v>
      </c>
      <c r="AE725" s="1" t="s">
        <v>15030</v>
      </c>
      <c r="AF725" s="1" t="s">
        <v>15031</v>
      </c>
      <c r="AG725" s="6" t="s">
        <v>15032</v>
      </c>
      <c r="AH725" s="1" t="s">
        <v>15033</v>
      </c>
      <c r="AI725" s="6" t="s">
        <v>132</v>
      </c>
      <c r="AJ725" s="6" t="s">
        <v>15034</v>
      </c>
      <c r="AK725" s="1" t="s">
        <v>15035</v>
      </c>
      <c r="AL725" s="6" t="s">
        <v>15036</v>
      </c>
    </row>
    <row r="726" ht="15.75" customHeight="1">
      <c r="A726" s="1" t="s">
        <v>127</v>
      </c>
      <c r="B726" s="1" t="s">
        <v>15037</v>
      </c>
      <c r="C726" s="1" t="s">
        <v>15038</v>
      </c>
      <c r="D726" s="8" t="s">
        <v>15039</v>
      </c>
      <c r="E726" s="1" t="s">
        <v>15040</v>
      </c>
      <c r="F726" s="6" t="s">
        <v>132</v>
      </c>
      <c r="G726" s="1" t="s">
        <v>15041</v>
      </c>
      <c r="H726" s="1" t="s">
        <v>15042</v>
      </c>
      <c r="I726" s="1" t="s">
        <v>15043</v>
      </c>
      <c r="J726" s="6" t="s">
        <v>15044</v>
      </c>
      <c r="K726" s="1" t="s">
        <v>15045</v>
      </c>
      <c r="L726" s="1" t="s">
        <v>15046</v>
      </c>
      <c r="M726" s="1" t="s">
        <v>15047</v>
      </c>
      <c r="N726" s="6" t="s">
        <v>132</v>
      </c>
      <c r="O726" s="6" t="s">
        <v>15048</v>
      </c>
      <c r="P726" s="1" t="s">
        <v>15049</v>
      </c>
      <c r="Q726" s="1" t="s">
        <v>15050</v>
      </c>
      <c r="R726" s="1" t="s">
        <v>15051</v>
      </c>
      <c r="S726" s="10" t="s">
        <v>15052</v>
      </c>
      <c r="T726" s="1" t="s">
        <v>15053</v>
      </c>
      <c r="U726" s="1" t="s">
        <v>15054</v>
      </c>
      <c r="V726" s="1" t="s">
        <v>15055</v>
      </c>
      <c r="W726" s="1" t="s">
        <v>15056</v>
      </c>
      <c r="X726" s="1" t="s">
        <v>15057</v>
      </c>
      <c r="Y726" s="1" t="s">
        <v>15058</v>
      </c>
      <c r="Z726" s="1" t="s">
        <v>15059</v>
      </c>
      <c r="AA726" s="1" t="s">
        <v>15060</v>
      </c>
      <c r="AB726" s="1" t="s">
        <v>15061</v>
      </c>
      <c r="AC726" s="1" t="s">
        <v>15062</v>
      </c>
      <c r="AD726" s="6" t="s">
        <v>15063</v>
      </c>
      <c r="AE726" s="1" t="s">
        <v>15038</v>
      </c>
      <c r="AF726" s="1" t="s">
        <v>15064</v>
      </c>
      <c r="AG726" s="6" t="s">
        <v>15065</v>
      </c>
      <c r="AH726" s="1" t="s">
        <v>15066</v>
      </c>
      <c r="AI726" s="6" t="s">
        <v>132</v>
      </c>
      <c r="AJ726" s="6" t="s">
        <v>15067</v>
      </c>
      <c r="AK726" s="1" t="s">
        <v>15068</v>
      </c>
      <c r="AL726" s="6" t="s">
        <v>132</v>
      </c>
    </row>
    <row r="727" ht="15.75" hidden="1" customHeight="1">
      <c r="A727" s="1" t="s">
        <v>38</v>
      </c>
      <c r="B727" s="1" t="s">
        <v>15069</v>
      </c>
      <c r="C727" s="1" t="s">
        <v>15070</v>
      </c>
      <c r="D727" s="8" t="s">
        <v>15071</v>
      </c>
      <c r="E727" s="1" t="s">
        <v>15072</v>
      </c>
      <c r="F727" s="6" t="s">
        <v>15073</v>
      </c>
      <c r="G727" s="7" t="str">
        <f>IFERROR(__xludf.DUMMYFUNCTION("GOOGLETRANSLATE(C727, ""en"", ""cs"")"),"Chcete přidat% s do adresáře?")</f>
        <v>Chcete přidat% s do adresáře?</v>
      </c>
      <c r="H727" s="7" t="str">
        <f>IFERROR(__xludf.DUMMYFUNCTION("GOOGLETRANSLATE(C727, ""en"", ""da"")"),"Vil du tilføje% s til din adressebog?")</f>
        <v>Vil du tilføje% s til din adressebog?</v>
      </c>
      <c r="I727" s="1" t="s">
        <v>15074</v>
      </c>
      <c r="J727" s="6" t="s">
        <v>132</v>
      </c>
      <c r="K727" s="1" t="s">
        <v>15075</v>
      </c>
      <c r="L727" s="7" t="str">
        <f>IFERROR(__xludf.DUMMYFUNCTION("GOOGLETRANSLATE(C727, ""en"", ""fi"")"),"Haluatko lisätä% s osoitekirjaan?")</f>
        <v>Haluatko lisätä% s osoitekirjaan?</v>
      </c>
      <c r="M727" s="1" t="s">
        <v>15076</v>
      </c>
      <c r="N727" s="6" t="s">
        <v>15077</v>
      </c>
      <c r="O727" s="6" t="s">
        <v>132</v>
      </c>
      <c r="P727" s="1" t="s">
        <v>15078</v>
      </c>
      <c r="Q727" s="7" t="str">
        <f>IFERROR(__xludf.DUMMYFUNCTION("GOOGLETRANSLATE(C727, ""en"", ""in"")"),"Apakah Anda ingin menambahkan% s ke buku alamat Anda?")</f>
        <v>Apakah Anda ingin menambahkan% s ke buku alamat Anda?</v>
      </c>
      <c r="R727" s="1" t="s">
        <v>15079</v>
      </c>
      <c r="S727" s="6" t="s">
        <v>132</v>
      </c>
      <c r="T727" s="1" t="s">
        <v>15080</v>
      </c>
      <c r="U727" s="1" t="s">
        <v>15081</v>
      </c>
      <c r="V727" s="7" t="str">
        <f>IFERROR(__xludf.DUMMYFUNCTION("GOOGLETRANSLATE(C727, ""en"", ""ms"")"),"Adakah anda mahu menambah% s ke buku alamat anda?")</f>
        <v>Adakah anda mahu menambah% s ke buku alamat anda?</v>
      </c>
      <c r="W727" s="1" t="s">
        <v>15082</v>
      </c>
      <c r="X727" s="7" t="str">
        <f>IFERROR(__xludf.DUMMYFUNCTION("GOOGLETRANSLATE(C727, ""en"", ""no"")"),"Ønsker du å legge til% s i adresseboken din?")</f>
        <v>Ønsker du å legge til% s i adresseboken din?</v>
      </c>
      <c r="Y727" s="1" t="s">
        <v>15083</v>
      </c>
      <c r="Z727" s="1" t="s">
        <v>15084</v>
      </c>
      <c r="AA727" s="7" t="str">
        <f>IFERROR(__xludf.DUMMYFUNCTION("GOOGLETRANSLATE(C727, ""en"", ""ro"")"),"Doriți să adăugați% s în agenda dvs.?")</f>
        <v>Doriți să adăugați% s în agenda dvs.?</v>
      </c>
      <c r="AB727" s="1" t="s">
        <v>15085</v>
      </c>
      <c r="AC727" s="7" t="str">
        <f>IFERROR(__xludf.DUMMYFUNCTION("GOOGLETRANSLATE(C727, ""en"", ""sk"")"),"Chcete pridať% s na vašu adresáru?")</f>
        <v>Chcete pridať% s na vašu adresáru?</v>
      </c>
      <c r="AD727" s="6" t="s">
        <v>132</v>
      </c>
      <c r="AE727" s="1" t="s">
        <v>15086</v>
      </c>
      <c r="AF727" s="1" t="s">
        <v>15087</v>
      </c>
      <c r="AG727" s="6" t="s">
        <v>132</v>
      </c>
      <c r="AH727" s="7" t="str">
        <f>IFERROR(__xludf.DUMMYFUNCTION("GOOGLETRANSLATE(C727, ""en"", ""tr"")"),"Adres defterinize% s eklemek ister misiniz?")</f>
        <v>Adres defterinize% s eklemek ister misiniz?</v>
      </c>
      <c r="AI727" s="6" t="s">
        <v>15088</v>
      </c>
      <c r="AJ727" s="6" t="s">
        <v>15089</v>
      </c>
      <c r="AK727" s="7" t="str">
        <f>IFERROR(__xludf.DUMMYFUNCTION("GOOGLETRANSLATE(C727, ""en"", ""zh"")"),"您想将％s添加到您的地址簿吗？")</f>
        <v>您想将％s添加到您的地址簿吗？</v>
      </c>
      <c r="AL727" s="6" t="s">
        <v>15090</v>
      </c>
    </row>
    <row r="728" ht="15.75" hidden="1" customHeight="1">
      <c r="A728" s="1" t="s">
        <v>38</v>
      </c>
      <c r="B728" s="1" t="s">
        <v>15091</v>
      </c>
      <c r="C728" s="1" t="s">
        <v>15092</v>
      </c>
      <c r="D728" s="7" t="str">
        <f>IFERROR(__xludf.DUMMYFUNCTION("GOOGLETRANSLATE(C728, ""en"", ""ar"")"),"اضبط توفرك عند تحرير رسالة الحالة الخاصة بك.")</f>
        <v>اضبط توفرك عند تحرير رسالة الحالة الخاصة بك.</v>
      </c>
      <c r="E728" s="1" t="s">
        <v>15093</v>
      </c>
      <c r="F728" s="6" t="s">
        <v>15094</v>
      </c>
      <c r="G728" s="7" t="str">
        <f>IFERROR(__xludf.DUMMYFUNCTION("GOOGLETRANSLATE(C728, ""en"", ""cs"")"),"Nastavte si svou dostupnost při úpravě zprávy o stavu.")</f>
        <v>Nastavte si svou dostupnost při úpravě zprávy o stavu.</v>
      </c>
      <c r="H728" s="7" t="str">
        <f>IFERROR(__xludf.DUMMYFUNCTION("GOOGLETRANSLATE(C728, ""en"", ""da"")"),"Indstil din tilgængelighed, når du redigerer din statusmeddelelse.")</f>
        <v>Indstil din tilgængelighed, når du redigerer din statusmeddelelse.</v>
      </c>
      <c r="I728" s="1" t="s">
        <v>15095</v>
      </c>
      <c r="J728" s="6" t="s">
        <v>132</v>
      </c>
      <c r="K728" s="1" t="s">
        <v>15096</v>
      </c>
      <c r="L728" s="7" t="str">
        <f>IFERROR(__xludf.DUMMYFUNCTION("GOOGLETRANSLATE(C728, ""en"", ""fi"")"),"Aseta saatavuus muokkaamalla tilaviestin.")</f>
        <v>Aseta saatavuus muokkaamalla tilaviestin.</v>
      </c>
      <c r="M728" s="1" t="s">
        <v>15097</v>
      </c>
      <c r="N728" s="6" t="s">
        <v>15098</v>
      </c>
      <c r="O728" s="6" t="s">
        <v>132</v>
      </c>
      <c r="P728" s="1" t="s">
        <v>15099</v>
      </c>
      <c r="Q728" s="7" t="str">
        <f>IFERROR(__xludf.DUMMYFUNCTION("GOOGLETRANSLATE(C728, ""en"", ""in"")"),"Tetapkan ketersediaan Anda saat mengedit pesan status Anda.")</f>
        <v>Tetapkan ketersediaan Anda saat mengedit pesan status Anda.</v>
      </c>
      <c r="R728" s="1" t="s">
        <v>15100</v>
      </c>
      <c r="S728" s="6" t="s">
        <v>132</v>
      </c>
      <c r="T728" s="7" t="str">
        <f>IFERROR(__xludf.DUMMYFUNCTION("GOOGLETRANSLATE(C728, ""en"", ""ja"")"),"ステータスメッセージを編集するときに可用性を設定します。")</f>
        <v>ステータスメッセージを編集するときに可用性を設定します。</v>
      </c>
      <c r="U728" s="7" t="str">
        <f>IFERROR(__xludf.DUMMYFUNCTION("GOOGLETRANSLATE(C728, ""en"", ""ko"")"),"상태 메시지를 편집 할 때 가용성을 설정하십시오.")</f>
        <v>상태 메시지를 편집 할 때 가용성을 설정하십시오.</v>
      </c>
      <c r="V728" s="7" t="str">
        <f>IFERROR(__xludf.DUMMYFUNCTION("GOOGLETRANSLATE(C728, ""en"", ""ms"")"),"Tetapkan ketersediaan anda semasa mengedit mesej status anda.")</f>
        <v>Tetapkan ketersediaan anda semasa mengedit mesej status anda.</v>
      </c>
      <c r="W728" s="1" t="s">
        <v>15101</v>
      </c>
      <c r="X728" s="7" t="str">
        <f>IFERROR(__xludf.DUMMYFUNCTION("GOOGLETRANSLATE(C728, ""en"", ""no"")"),"Angi tilgjengeligheten når du redigerer statusmeldingen din.")</f>
        <v>Angi tilgjengeligheten når du redigerer statusmeldingen din.</v>
      </c>
      <c r="Y728" s="1" t="s">
        <v>15102</v>
      </c>
      <c r="Z728" s="7" t="str">
        <f>IFERROR(__xludf.DUMMYFUNCTION("GOOGLETRANSLATE(C728, ""en"", ""pt"")"),"Defina sua disponibilidade ao editar sua mensagem de status.")</f>
        <v>Defina sua disponibilidade ao editar sua mensagem de status.</v>
      </c>
      <c r="AA728" s="7" t="str">
        <f>IFERROR(__xludf.DUMMYFUNCTION("GOOGLETRANSLATE(C728, ""en"", ""ro"")"),"Setați disponibilitatea la editarea mesajului de stare.")</f>
        <v>Setați disponibilitatea la editarea mesajului de stare.</v>
      </c>
      <c r="AB728" s="7" t="str">
        <f>IFERROR(__xludf.DUMMYFUNCTION("GOOGLETRANSLATE(C728, ""en"", ""ru"")"),"Установите доступность при редактировании сообщения вашего статуса.")</f>
        <v>Установите доступность при редактировании сообщения вашего статуса.</v>
      </c>
      <c r="AC728" s="7" t="str">
        <f>IFERROR(__xludf.DUMMYFUNCTION("GOOGLETRANSLATE(C728, ""en"", ""sk"")"),"Pri úprave vašej stavovej správy Nastavte svoju dostupnosť.")</f>
        <v>Pri úprave vašej stavovej správy Nastavte svoju dostupnosť.</v>
      </c>
      <c r="AD728" s="6" t="s">
        <v>132</v>
      </c>
      <c r="AE728" s="7" t="str">
        <f>IFERROR(__xludf.DUMMYFUNCTION("GOOGLETRANSLATE(C728, ""en"", ""sr"")"),"Подесите своју доступност приликом уређивања поруке о статусу.")</f>
        <v>Подесите своју доступност приликом уређивања поруке о статусу.</v>
      </c>
      <c r="AF728" s="7" t="str">
        <f>IFERROR(__xludf.DUMMYFUNCTION("GOOGLETRANSLATE(C728, ""en"", ""sv"")"),"Ange din tillgänglighet när du redigerar ditt statusmeddelande.")</f>
        <v>Ange din tillgänglighet när du redigerar ditt statusmeddelande.</v>
      </c>
      <c r="AG728" s="6" t="s">
        <v>132</v>
      </c>
      <c r="AH728" s="7" t="str">
        <f>IFERROR(__xludf.DUMMYFUNCTION("GOOGLETRANSLATE(C728, ""en"", ""tr"")"),"Durum mesajınızı düzenlerken kullanılabilirliğini ayarlayın.")</f>
        <v>Durum mesajınızı düzenlerken kullanılabilirliğini ayarlayın.</v>
      </c>
      <c r="AI728" s="6" t="s">
        <v>132</v>
      </c>
      <c r="AJ728" s="6" t="s">
        <v>132</v>
      </c>
      <c r="AK728" s="7" t="str">
        <f>IFERROR(__xludf.DUMMYFUNCTION("GOOGLETRANSLATE(C728, ""en"", ""zh"")"),"在编辑状态消息时设置您的可用性。")</f>
        <v>在编辑状态消息时设置您的可用性。</v>
      </c>
      <c r="AL728" s="6" t="s">
        <v>132</v>
      </c>
    </row>
    <row r="729" ht="15.75" hidden="1" customHeight="1">
      <c r="A729" s="1" t="s">
        <v>38</v>
      </c>
      <c r="B729" s="1" t="s">
        <v>15103</v>
      </c>
      <c r="C729" s="1" t="s">
        <v>15104</v>
      </c>
      <c r="D729" s="8" t="s">
        <v>15105</v>
      </c>
      <c r="E729" s="1" t="s">
        <v>15106</v>
      </c>
      <c r="F729" s="6" t="s">
        <v>15107</v>
      </c>
      <c r="G729" s="7" t="str">
        <f>IFERROR(__xludf.DUMMYFUNCTION("GOOGLETRANSLATE(C729, ""en"", ""cs"")"),"Sdílet prostřednictvím účtu")</f>
        <v>Sdílet prostřednictvím účtu</v>
      </c>
      <c r="H729" s="7" t="str">
        <f>IFERROR(__xludf.DUMMYFUNCTION("GOOGLETRANSLATE(C729, ""en"", ""da"")"),"Del via konto")</f>
        <v>Del via konto</v>
      </c>
      <c r="I729" s="1" t="s">
        <v>15108</v>
      </c>
      <c r="J729" s="6" t="s">
        <v>132</v>
      </c>
      <c r="K729" s="1" t="s">
        <v>15109</v>
      </c>
      <c r="L729" s="7" t="str">
        <f>IFERROR(__xludf.DUMMYFUNCTION("GOOGLETRANSLATE(C729, ""en"", ""fi"")"),"Jaa tilillä")</f>
        <v>Jaa tilillä</v>
      </c>
      <c r="M729" s="1" t="s">
        <v>15110</v>
      </c>
      <c r="N729" s="6" t="s">
        <v>15111</v>
      </c>
      <c r="O729" s="6" t="s">
        <v>132</v>
      </c>
      <c r="P729" s="1" t="s">
        <v>15112</v>
      </c>
      <c r="Q729" s="7" t="str">
        <f>IFERROR(__xludf.DUMMYFUNCTION("GOOGLETRANSLATE(C729, ""en"", ""in"")"),"Bagikan melalui Akun")</f>
        <v>Bagikan melalui Akun</v>
      </c>
      <c r="R729" s="1" t="s">
        <v>15113</v>
      </c>
      <c r="S729" s="6" t="s">
        <v>132</v>
      </c>
      <c r="T729" s="1" t="s">
        <v>15114</v>
      </c>
      <c r="U729" s="7" t="str">
        <f>IFERROR(__xludf.DUMMYFUNCTION("GOOGLETRANSLATE(C729, ""en"", ""ko"")"),"계정을 통해 공유하십시오")</f>
        <v>계정을 통해 공유하십시오</v>
      </c>
      <c r="V729" s="7" t="str">
        <f>IFERROR(__xludf.DUMMYFUNCTION("GOOGLETRANSLATE(C729, ""en"", ""ms"")"),"Berkongsi melalui akaun")</f>
        <v>Berkongsi melalui akaun</v>
      </c>
      <c r="W729" s="1" t="s">
        <v>15115</v>
      </c>
      <c r="X729" s="7" t="str">
        <f>IFERROR(__xludf.DUMMYFUNCTION("GOOGLETRANSLATE(C729, ""en"", ""no"")"),"Del via konto")</f>
        <v>Del via konto</v>
      </c>
      <c r="Y729" s="1" t="s">
        <v>15116</v>
      </c>
      <c r="Z729" s="7" t="str">
        <f>IFERROR(__xludf.DUMMYFUNCTION("GOOGLETRANSLATE(C729, ""en"", ""pt"")"),"Compartilhar via conta")</f>
        <v>Compartilhar via conta</v>
      </c>
      <c r="AA729" s="7" t="str">
        <f>IFERROR(__xludf.DUMMYFUNCTION("GOOGLETRANSLATE(C729, ""en"", ""ro"")"),"Distribuiți prin cont")</f>
        <v>Distribuiți prin cont</v>
      </c>
      <c r="AB729" s="1" t="s">
        <v>15117</v>
      </c>
      <c r="AC729" s="7" t="str">
        <f>IFERROR(__xludf.DUMMYFUNCTION("GOOGLETRANSLATE(C729, ""en"", ""sk"")"),"Zdieľajte prostredníctvom účtu")</f>
        <v>Zdieľajte prostredníctvom účtu</v>
      </c>
      <c r="AD729" s="6" t="s">
        <v>132</v>
      </c>
      <c r="AE729" s="1" t="s">
        <v>15118</v>
      </c>
      <c r="AF729" s="7" t="str">
        <f>IFERROR(__xludf.DUMMYFUNCTION("GOOGLETRANSLATE(C729, ""en"", ""sv"")"),"Dela via konto")</f>
        <v>Dela via konto</v>
      </c>
      <c r="AG729" s="6" t="s">
        <v>132</v>
      </c>
      <c r="AH729" s="7" t="str">
        <f>IFERROR(__xludf.DUMMYFUNCTION("GOOGLETRANSLATE(C729, ""en"", ""tr"")"),"Hesapla Paylaş")</f>
        <v>Hesapla Paylaş</v>
      </c>
      <c r="AI729" s="6" t="s">
        <v>132</v>
      </c>
      <c r="AJ729" s="6" t="s">
        <v>132</v>
      </c>
      <c r="AK729" s="7" t="str">
        <f>IFERROR(__xludf.DUMMYFUNCTION("GOOGLETRANSLATE(C729, ""en"", ""zh"")"),"通过帐户分享")</f>
        <v>通过帐户分享</v>
      </c>
      <c r="AL729" s="6" t="s">
        <v>132</v>
      </c>
    </row>
    <row r="730" ht="15.75" hidden="1" customHeight="1">
      <c r="A730" s="1" t="s">
        <v>38</v>
      </c>
      <c r="B730" s="1" t="s">
        <v>15119</v>
      </c>
      <c r="C730" s="1" t="s">
        <v>15120</v>
      </c>
      <c r="D730" s="8" t="s">
        <v>15121</v>
      </c>
      <c r="E730" s="1" t="s">
        <v>15122</v>
      </c>
      <c r="F730" s="6" t="s">
        <v>15123</v>
      </c>
      <c r="G730" s="7" t="str">
        <f>IFERROR(__xludf.DUMMYFUNCTION("GOOGLETRANSLATE(C730, ""en"", ""cs"")"),"Šifrování zprávy")</f>
        <v>Šifrování zprávy</v>
      </c>
      <c r="H730" s="7" t="str">
        <f>IFERROR(__xludf.DUMMYFUNCTION("GOOGLETRANSLATE(C730, ""en"", ""da"")"),"Krypteringsmeddelelse")</f>
        <v>Krypteringsmeddelelse</v>
      </c>
      <c r="I730" s="1" t="s">
        <v>15124</v>
      </c>
      <c r="J730" s="6" t="s">
        <v>132</v>
      </c>
      <c r="K730" s="1" t="s">
        <v>15125</v>
      </c>
      <c r="L730" s="7" t="str">
        <f>IFERROR(__xludf.DUMMYFUNCTION("GOOGLETRANSLATE(C730, ""en"", ""fi"")"),"Salausviesti")</f>
        <v>Salausviesti</v>
      </c>
      <c r="M730" s="1" t="s">
        <v>15126</v>
      </c>
      <c r="N730" s="6" t="s">
        <v>15127</v>
      </c>
      <c r="O730" s="6" t="s">
        <v>132</v>
      </c>
      <c r="P730" s="1" t="s">
        <v>15128</v>
      </c>
      <c r="Q730" s="7" t="str">
        <f>IFERROR(__xludf.DUMMYFUNCTION("GOOGLETRANSLATE(C730, ""en"", ""in"")"),"Mengenkripsi pesan")</f>
        <v>Mengenkripsi pesan</v>
      </c>
      <c r="R730" s="1" t="s">
        <v>15129</v>
      </c>
      <c r="S730" s="6" t="s">
        <v>132</v>
      </c>
      <c r="T730" s="1" t="s">
        <v>15130</v>
      </c>
      <c r="U730" s="7" t="str">
        <f>IFERROR(__xludf.DUMMYFUNCTION("GOOGLETRANSLATE(C730, ""en"", ""ko"")"),"암호화 메시지")</f>
        <v>암호화 메시지</v>
      </c>
      <c r="V730" s="7" t="str">
        <f>IFERROR(__xludf.DUMMYFUNCTION("GOOGLETRANSLATE(C730, ""en"", ""ms"")"),"Mesej menyulitkan")</f>
        <v>Mesej menyulitkan</v>
      </c>
      <c r="W730" s="1" t="s">
        <v>15131</v>
      </c>
      <c r="X730" s="7" t="str">
        <f>IFERROR(__xludf.DUMMYFUNCTION("GOOGLETRANSLATE(C730, ""en"", ""no"")"),"Kryptering av melding")</f>
        <v>Kryptering av melding</v>
      </c>
      <c r="Y730" s="1" t="s">
        <v>15132</v>
      </c>
      <c r="Z730" s="7" t="str">
        <f>IFERROR(__xludf.DUMMYFUNCTION("GOOGLETRANSLATE(C730, ""en"", ""pt"")"),"Criptografando mensagem.")</f>
        <v>Criptografando mensagem.</v>
      </c>
      <c r="AA730" s="7" t="str">
        <f>IFERROR(__xludf.DUMMYFUNCTION("GOOGLETRANSLATE(C730, ""en"", ""ro"")"),"Mesaj de criptare")</f>
        <v>Mesaj de criptare</v>
      </c>
      <c r="AB730" s="1" t="s">
        <v>15133</v>
      </c>
      <c r="AC730" s="7" t="str">
        <f>IFERROR(__xludf.DUMMYFUNCTION("GOOGLETRANSLATE(C730, ""en"", ""sk"")"),"Šifrovanie správy")</f>
        <v>Šifrovanie správy</v>
      </c>
      <c r="AD730" s="6" t="s">
        <v>132</v>
      </c>
      <c r="AE730" s="1" t="s">
        <v>15134</v>
      </c>
      <c r="AF730" s="1" t="s">
        <v>15135</v>
      </c>
      <c r="AG730" s="6" t="s">
        <v>132</v>
      </c>
      <c r="AH730" s="7" t="str">
        <f>IFERROR(__xludf.DUMMYFUNCTION("GOOGLETRANSLATE(C730, ""en"", ""tr"")"),"Şifrelenen mesaj")</f>
        <v>Şifrelenen mesaj</v>
      </c>
      <c r="AI730" s="6" t="s">
        <v>15136</v>
      </c>
      <c r="AJ730" s="6" t="s">
        <v>132</v>
      </c>
      <c r="AK730" s="7" t="str">
        <f>IFERROR(__xludf.DUMMYFUNCTION("GOOGLETRANSLATE(C730, ""en"", ""zh"")"),"加密留言")</f>
        <v>加密留言</v>
      </c>
      <c r="AL730" s="6" t="s">
        <v>15137</v>
      </c>
    </row>
    <row r="731" ht="15.75" hidden="1" customHeight="1">
      <c r="A731" s="1" t="s">
        <v>38</v>
      </c>
      <c r="B731" s="1" t="s">
        <v>15138</v>
      </c>
      <c r="C731" s="1" t="s">
        <v>15139</v>
      </c>
      <c r="D731" s="8" t="s">
        <v>15140</v>
      </c>
      <c r="E731" s="1" t="s">
        <v>15141</v>
      </c>
      <c r="F731" s="6" t="s">
        <v>15142</v>
      </c>
      <c r="G731" s="7" t="str">
        <f>IFERROR(__xludf.DUMMYFUNCTION("GOOGLETRANSLATE(C731, ""en"", ""cs"")"),"Zrušit členství")</f>
        <v>Zrušit členství</v>
      </c>
      <c r="H731" s="7" t="str">
        <f>IFERROR(__xludf.DUMMYFUNCTION("GOOGLETRANSLATE(C731, ""en"", ""da"")"),"Revoke medlemskab")</f>
        <v>Revoke medlemskab</v>
      </c>
      <c r="I731" s="1" t="s">
        <v>15143</v>
      </c>
      <c r="J731" s="6" t="s">
        <v>132</v>
      </c>
      <c r="K731" s="1" t="s">
        <v>15144</v>
      </c>
      <c r="L731" s="7" t="str">
        <f>IFERROR(__xludf.DUMMYFUNCTION("GOOGLETRANSLATE(C731, ""en"", ""fi"")"),"Peruuttaa jäsenyyden")</f>
        <v>Peruuttaa jäsenyyden</v>
      </c>
      <c r="M731" s="1" t="s">
        <v>15145</v>
      </c>
      <c r="N731" s="6" t="s">
        <v>15146</v>
      </c>
      <c r="O731" s="6" t="s">
        <v>132</v>
      </c>
      <c r="P731" s="1" t="s">
        <v>15147</v>
      </c>
      <c r="Q731" s="9" t="s">
        <v>15148</v>
      </c>
      <c r="R731" s="1" t="s">
        <v>15149</v>
      </c>
      <c r="S731" s="6" t="s">
        <v>132</v>
      </c>
      <c r="T731" s="1" t="s">
        <v>15150</v>
      </c>
      <c r="U731" s="1" t="s">
        <v>15151</v>
      </c>
      <c r="V731" s="7" t="str">
        <f>IFERROR(__xludf.DUMMYFUNCTION("GOOGLETRANSLATE(C731, ""en"", ""ms"")"),"Membatalkan keahlian.")</f>
        <v>Membatalkan keahlian.</v>
      </c>
      <c r="W731" s="1" t="s">
        <v>15152</v>
      </c>
      <c r="X731" s="7" t="str">
        <f>IFERROR(__xludf.DUMMYFUNCTION("GOOGLETRANSLATE(C731, ""en"", ""no"")"),"Tilbakekalle medlemskap")</f>
        <v>Tilbakekalle medlemskap</v>
      </c>
      <c r="Y731" s="1" t="s">
        <v>15153</v>
      </c>
      <c r="Z731" s="1" t="s">
        <v>15154</v>
      </c>
      <c r="AA731" s="7" t="str">
        <f>IFERROR(__xludf.DUMMYFUNCTION("GOOGLETRANSLATE(C731, ""en"", ""ro"")"),"Revocați aderarea la revocare")</f>
        <v>Revocați aderarea la revocare</v>
      </c>
      <c r="AB731" s="1" t="s">
        <v>15155</v>
      </c>
      <c r="AC731" s="1" t="s">
        <v>15156</v>
      </c>
      <c r="AD731" s="6" t="s">
        <v>132</v>
      </c>
      <c r="AE731" s="1" t="s">
        <v>15157</v>
      </c>
      <c r="AF731" s="1" t="s">
        <v>15158</v>
      </c>
      <c r="AG731" s="6" t="s">
        <v>132</v>
      </c>
      <c r="AH731" s="7" t="str">
        <f>IFERROR(__xludf.DUMMYFUNCTION("GOOGLETRANSLATE(C731, ""en"", ""tr"")"),"Üyeliği iptal et")</f>
        <v>Üyeliği iptal et</v>
      </c>
      <c r="AI731" s="6" t="s">
        <v>15159</v>
      </c>
      <c r="AJ731" s="6" t="s">
        <v>15160</v>
      </c>
      <c r="AK731" s="7" t="str">
        <f>IFERROR(__xludf.DUMMYFUNCTION("GOOGLETRANSLATE(C731, ""en"", ""zh"")"),"撤销会员资格")</f>
        <v>撤销会员资格</v>
      </c>
      <c r="AL731" s="6" t="s">
        <v>15161</v>
      </c>
    </row>
    <row r="732" ht="15.75" hidden="1" customHeight="1">
      <c r="A732" s="1" t="s">
        <v>38</v>
      </c>
      <c r="B732" s="1" t="s">
        <v>15162</v>
      </c>
      <c r="C732" s="1" t="s">
        <v>15163</v>
      </c>
      <c r="D732" s="8" t="s">
        <v>15164</v>
      </c>
      <c r="E732" s="1" t="s">
        <v>15165</v>
      </c>
      <c r="F732" s="6" t="s">
        <v>15166</v>
      </c>
      <c r="G732" s="7" t="str">
        <f>IFERROR(__xludf.DUMMYFUNCTION("GOOGLETRANSLATE(C732, ""en"", ""cs"")"),"Trust Omemo otisky prstů")</f>
        <v>Trust Omemo otisky prstů</v>
      </c>
      <c r="H732" s="7" t="str">
        <f>IFERROR(__xludf.DUMMYFUNCTION("GOOGLETRANSLATE(C732, ""en"", ""da"")"),"Stol på Omemo Fingerprints.")</f>
        <v>Stol på Omemo Fingerprints.</v>
      </c>
      <c r="I732" s="1" t="s">
        <v>15167</v>
      </c>
      <c r="J732" s="6" t="s">
        <v>132</v>
      </c>
      <c r="K732" s="1" t="s">
        <v>15168</v>
      </c>
      <c r="L732" s="7" t="str">
        <f>IFERROR(__xludf.DUMMYFUNCTION("GOOGLETRANSLATE(C732, ""en"", ""fi"")"),"Luota omemo sormenjäljet")</f>
        <v>Luota omemo sormenjäljet</v>
      </c>
      <c r="M732" s="1" t="s">
        <v>15169</v>
      </c>
      <c r="N732" s="6" t="s">
        <v>15170</v>
      </c>
      <c r="O732" s="6" t="s">
        <v>132</v>
      </c>
      <c r="P732" s="1" t="s">
        <v>15171</v>
      </c>
      <c r="Q732" s="7" t="str">
        <f>IFERROR(__xludf.DUMMYFUNCTION("GOOGLETRANSLATE(C732, ""en"", ""in"")"),"Percayai sidik jari Omemo.")</f>
        <v>Percayai sidik jari Omemo.</v>
      </c>
      <c r="R732" s="1" t="s">
        <v>15172</v>
      </c>
      <c r="S732" s="6" t="s">
        <v>132</v>
      </c>
      <c r="T732" s="1" t="s">
        <v>15173</v>
      </c>
      <c r="U732" s="1" t="s">
        <v>15174</v>
      </c>
      <c r="V732" s="7" t="str">
        <f>IFERROR(__xludf.DUMMYFUNCTION("GOOGLETRANSLATE(C732, ""en"", ""ms"")"),"Amanah omemo cap jari.")</f>
        <v>Amanah omemo cap jari.</v>
      </c>
      <c r="W732" s="1" t="s">
        <v>15175</v>
      </c>
      <c r="X732" s="7" t="str">
        <f>IFERROR(__xludf.DUMMYFUNCTION("GOOGLETRANSLATE(C732, ""en"", ""no"")"),"TRUST OMEMO FingerPrints.")</f>
        <v>TRUST OMEMO FingerPrints.</v>
      </c>
      <c r="Y732" s="1" t="s">
        <v>15176</v>
      </c>
      <c r="Z732" s="1" t="s">
        <v>15177</v>
      </c>
      <c r="AA732" s="7" t="str">
        <f>IFERROR(__xludf.DUMMYFUNCTION("GOOGLETRANSLATE(C732, ""en"", ""ro"")"),"Încrederea amprentelor omemo")</f>
        <v>Încrederea amprentelor omemo</v>
      </c>
      <c r="AB732" s="1" t="s">
        <v>15178</v>
      </c>
      <c r="AC732" s="1" t="s">
        <v>15179</v>
      </c>
      <c r="AD732" s="6" t="s">
        <v>132</v>
      </c>
      <c r="AE732" s="1" t="s">
        <v>15180</v>
      </c>
      <c r="AF732" s="1" t="s">
        <v>15181</v>
      </c>
      <c r="AG732" s="6" t="s">
        <v>132</v>
      </c>
      <c r="AH732" s="7" t="str">
        <f>IFERROR(__xludf.DUMMYFUNCTION("GOOGLETRANSLATE(C732, ""en"", ""tr"")"),"Omemo parmak izleri güven")</f>
        <v>Omemo parmak izleri güven</v>
      </c>
      <c r="AI732" s="6" t="s">
        <v>15182</v>
      </c>
      <c r="AJ732" s="6" t="s">
        <v>15183</v>
      </c>
      <c r="AK732" s="7" t="str">
        <f>IFERROR(__xludf.DUMMYFUNCTION("GOOGLETRANSLATE(C732, ""en"", ""zh"")"),"信任omemo指纹")</f>
        <v>信任omemo指纹</v>
      </c>
      <c r="AL732" s="6" t="s">
        <v>15184</v>
      </c>
    </row>
    <row r="733" ht="15.75" hidden="1" customHeight="1">
      <c r="A733" s="1" t="s">
        <v>38</v>
      </c>
      <c r="B733" s="1" t="s">
        <v>15185</v>
      </c>
      <c r="C733" s="1" t="s">
        <v>15186</v>
      </c>
      <c r="D733" s="7" t="str">
        <f>IFERROR(__xludf.DUMMYFUNCTION("GOOGLETRANSLATE(C733, ""en"", ""ar"")"),"مجموعة الدردشة الرمزية")</f>
        <v>مجموعة الدردشة الرمزية</v>
      </c>
      <c r="E733" s="1" t="s">
        <v>15187</v>
      </c>
      <c r="F733" s="6" t="s">
        <v>15188</v>
      </c>
      <c r="G733" s="7" t="str">
        <f>IFERROR(__xludf.DUMMYFUNCTION("GOOGLETRANSLATE(C733, ""en"", ""cs"")"),"Skupinový chat avatar.")</f>
        <v>Skupinový chat avatar.</v>
      </c>
      <c r="H733" s="7" t="str">
        <f>IFERROR(__xludf.DUMMYFUNCTION("GOOGLETRANSLATE(C733, ""en"", ""da"")"),"Gruppe chat avatar.")</f>
        <v>Gruppe chat avatar.</v>
      </c>
      <c r="I733" s="1" t="s">
        <v>15189</v>
      </c>
      <c r="J733" s="6" t="s">
        <v>132</v>
      </c>
      <c r="K733" s="1" t="s">
        <v>15190</v>
      </c>
      <c r="L733" s="7" t="str">
        <f>IFERROR(__xludf.DUMMYFUNCTION("GOOGLETRANSLATE(C733, ""en"", ""fi"")"),"Ryhmä Chat Avatar")</f>
        <v>Ryhmä Chat Avatar</v>
      </c>
      <c r="M733" s="1" t="s">
        <v>15191</v>
      </c>
      <c r="N733" s="6" t="s">
        <v>15192</v>
      </c>
      <c r="O733" s="6" t="s">
        <v>132</v>
      </c>
      <c r="P733" s="1" t="s">
        <v>15193</v>
      </c>
      <c r="Q733" s="7" t="str">
        <f>IFERROR(__xludf.DUMMYFUNCTION("GOOGLETRANSLATE(C733, ""en"", ""in"")"),"Grup Chat Avatar.")</f>
        <v>Grup Chat Avatar.</v>
      </c>
      <c r="R733" s="1" t="s">
        <v>15194</v>
      </c>
      <c r="S733" s="6" t="s">
        <v>132</v>
      </c>
      <c r="T733" s="7" t="str">
        <f>IFERROR(__xludf.DUMMYFUNCTION("GOOGLETRANSLATE(C733, ""en"", ""ja"")"),"グループチャットアバター")</f>
        <v>グループチャットアバター</v>
      </c>
      <c r="U733" s="7" t="str">
        <f>IFERROR(__xludf.DUMMYFUNCTION("GOOGLETRANSLATE(C733, ""en"", ""ko"")"),"그룹 채팅 아바타")</f>
        <v>그룹 채팅 아바타</v>
      </c>
      <c r="V733" s="7" t="str">
        <f>IFERROR(__xludf.DUMMYFUNCTION("GOOGLETRANSLATE(C733, ""en"", ""ms"")"),"Chat Chat Avatar.")</f>
        <v>Chat Chat Avatar.</v>
      </c>
      <c r="W733" s="1" t="s">
        <v>15195</v>
      </c>
      <c r="X733" s="7" t="str">
        <f>IFERROR(__xludf.DUMMYFUNCTION("GOOGLETRANSLATE(C733, ""en"", ""no"")"),"Gruppe Chat Avatar.")</f>
        <v>Gruppe Chat Avatar.</v>
      </c>
      <c r="Y733" s="1" t="s">
        <v>15196</v>
      </c>
      <c r="Z733" s="7" t="str">
        <f>IFERROR(__xludf.DUMMYFUNCTION("GOOGLETRANSLATE(C733, ""en"", ""pt"")"),"Avatar do bate-papo do grupo.")</f>
        <v>Avatar do bate-papo do grupo.</v>
      </c>
      <c r="AA733" s="7" t="str">
        <f>IFERROR(__xludf.DUMMYFUNCTION("GOOGLETRANSLATE(C733, ""en"", ""ro"")"),"Grup de chat Avatar")</f>
        <v>Grup de chat Avatar</v>
      </c>
      <c r="AB733" s="7" t="str">
        <f>IFERROR(__xludf.DUMMYFUNCTION("GOOGLETRANSLATE(C733, ""en"", ""ru"")"),"Групповой чат аватар")</f>
        <v>Групповой чат аватар</v>
      </c>
      <c r="AC733" s="7" t="str">
        <f>IFERROR(__xludf.DUMMYFUNCTION("GOOGLETRANSLATE(C733, ""en"", ""sk"")"),"Skupinový chat Avatar")</f>
        <v>Skupinový chat Avatar</v>
      </c>
      <c r="AD733" s="6" t="s">
        <v>132</v>
      </c>
      <c r="AE733" s="1" t="s">
        <v>15197</v>
      </c>
      <c r="AF733" s="7" t="str">
        <f>IFERROR(__xludf.DUMMYFUNCTION("GOOGLETRANSLATE(C733, ""en"", ""sv"")"),"Gruppchatt avatar")</f>
        <v>Gruppchatt avatar</v>
      </c>
      <c r="AG733" s="6" t="s">
        <v>132</v>
      </c>
      <c r="AH733" s="7" t="str">
        <f>IFERROR(__xludf.DUMMYFUNCTION("GOOGLETRANSLATE(C733, ""en"", ""tr"")"),"Grup Sohbeti Avatar")</f>
        <v>Grup Sohbeti Avatar</v>
      </c>
      <c r="AI733" s="6" t="s">
        <v>132</v>
      </c>
      <c r="AJ733" s="6" t="s">
        <v>132</v>
      </c>
      <c r="AK733" s="7" t="str">
        <f>IFERROR(__xludf.DUMMYFUNCTION("GOOGLETRANSLATE(C733, ""en"", ""zh"")"),"小组聊天头像")</f>
        <v>小组聊天头像</v>
      </c>
      <c r="AL733" s="6" t="s">
        <v>132</v>
      </c>
    </row>
    <row r="734" ht="15.75" customHeight="1">
      <c r="A734" s="1" t="s">
        <v>127</v>
      </c>
      <c r="B734" s="1" t="s">
        <v>15198</v>
      </c>
      <c r="C734" s="1" t="s">
        <v>15199</v>
      </c>
      <c r="D734" s="8" t="s">
        <v>15200</v>
      </c>
      <c r="E734" s="1" t="s">
        <v>15201</v>
      </c>
      <c r="F734" s="6" t="s">
        <v>132</v>
      </c>
      <c r="G734" s="1" t="s">
        <v>15202</v>
      </c>
      <c r="H734" s="1" t="s">
        <v>15203</v>
      </c>
      <c r="I734" s="1" t="s">
        <v>15204</v>
      </c>
      <c r="J734" s="6" t="s">
        <v>15205</v>
      </c>
      <c r="K734" s="1" t="s">
        <v>15206</v>
      </c>
      <c r="L734" s="1" t="s">
        <v>15207</v>
      </c>
      <c r="M734" s="1" t="s">
        <v>15208</v>
      </c>
      <c r="N734" s="6" t="s">
        <v>132</v>
      </c>
      <c r="O734" s="6" t="s">
        <v>15209</v>
      </c>
      <c r="P734" s="1" t="s">
        <v>15210</v>
      </c>
      <c r="Q734" s="1" t="s">
        <v>15211</v>
      </c>
      <c r="R734" s="1" t="s">
        <v>15212</v>
      </c>
      <c r="S734" s="6" t="s">
        <v>132</v>
      </c>
      <c r="T734" s="1" t="s">
        <v>15213</v>
      </c>
      <c r="U734" s="1" t="s">
        <v>15214</v>
      </c>
      <c r="V734" s="1" t="s">
        <v>15211</v>
      </c>
      <c r="W734" s="1" t="s">
        <v>15215</v>
      </c>
      <c r="X734" s="1" t="s">
        <v>15216</v>
      </c>
      <c r="Y734" s="1" t="s">
        <v>15217</v>
      </c>
      <c r="Z734" s="1" t="s">
        <v>15218</v>
      </c>
      <c r="AA734" s="1" t="s">
        <v>15219</v>
      </c>
      <c r="AB734" s="1" t="s">
        <v>15220</v>
      </c>
      <c r="AC734" s="1" t="s">
        <v>15221</v>
      </c>
      <c r="AD734" s="6" t="s">
        <v>15222</v>
      </c>
      <c r="AE734" s="1" t="s">
        <v>15223</v>
      </c>
      <c r="AF734" s="1" t="s">
        <v>15224</v>
      </c>
      <c r="AG734" s="6" t="s">
        <v>15225</v>
      </c>
      <c r="AH734" s="1" t="s">
        <v>15226</v>
      </c>
      <c r="AI734" s="6" t="s">
        <v>132</v>
      </c>
      <c r="AJ734" s="6" t="s">
        <v>15227</v>
      </c>
      <c r="AK734" s="1" t="s">
        <v>15228</v>
      </c>
      <c r="AL734" s="6" t="s">
        <v>132</v>
      </c>
    </row>
    <row r="735" ht="15.75" customHeight="1">
      <c r="A735" s="1" t="s">
        <v>127</v>
      </c>
      <c r="B735" s="1" t="s">
        <v>15229</v>
      </c>
      <c r="C735" s="1" t="s">
        <v>15230</v>
      </c>
      <c r="D735" s="8" t="s">
        <v>15231</v>
      </c>
      <c r="E735" s="1" t="s">
        <v>15232</v>
      </c>
      <c r="F735" s="6" t="s">
        <v>132</v>
      </c>
      <c r="G735" s="1" t="s">
        <v>15233</v>
      </c>
      <c r="H735" s="1" t="s">
        <v>15234</v>
      </c>
      <c r="I735" s="1" t="s">
        <v>15235</v>
      </c>
      <c r="J735" s="6" t="s">
        <v>15236</v>
      </c>
      <c r="K735" s="1" t="s">
        <v>15237</v>
      </c>
      <c r="L735" s="1" t="s">
        <v>15238</v>
      </c>
      <c r="M735" s="1" t="s">
        <v>15230</v>
      </c>
      <c r="N735" s="6" t="s">
        <v>132</v>
      </c>
      <c r="O735" s="6" t="s">
        <v>15239</v>
      </c>
      <c r="P735" s="1" t="s">
        <v>15240</v>
      </c>
      <c r="Q735" s="1" t="s">
        <v>15241</v>
      </c>
      <c r="R735" s="1" t="s">
        <v>15242</v>
      </c>
      <c r="S735" s="6" t="s">
        <v>132</v>
      </c>
      <c r="T735" s="1" t="s">
        <v>15243</v>
      </c>
      <c r="U735" s="1" t="s">
        <v>15244</v>
      </c>
      <c r="V735" s="1" t="s">
        <v>15245</v>
      </c>
      <c r="W735" s="1" t="s">
        <v>15230</v>
      </c>
      <c r="X735" s="1" t="s">
        <v>15246</v>
      </c>
      <c r="Y735" s="1" t="s">
        <v>15238</v>
      </c>
      <c r="Z735" s="1" t="s">
        <v>15247</v>
      </c>
      <c r="AA735" s="1" t="s">
        <v>15248</v>
      </c>
      <c r="AB735" s="1" t="s">
        <v>15249</v>
      </c>
      <c r="AC735" s="1" t="s">
        <v>15250</v>
      </c>
      <c r="AD735" s="6" t="s">
        <v>15230</v>
      </c>
      <c r="AE735" s="1" t="s">
        <v>15238</v>
      </c>
      <c r="AF735" s="1" t="s">
        <v>15251</v>
      </c>
      <c r="AG735" s="6" t="s">
        <v>15252</v>
      </c>
      <c r="AH735" s="1" t="s">
        <v>15253</v>
      </c>
      <c r="AI735" s="6" t="s">
        <v>132</v>
      </c>
      <c r="AJ735" s="6" t="s">
        <v>15254</v>
      </c>
      <c r="AK735" s="1" t="s">
        <v>15255</v>
      </c>
      <c r="AL735" s="6" t="s">
        <v>15256</v>
      </c>
    </row>
    <row r="736" ht="15.75" hidden="1" customHeight="1">
      <c r="A736" s="1" t="s">
        <v>38</v>
      </c>
      <c r="B736" s="1" t="s">
        <v>15257</v>
      </c>
      <c r="C736" s="1" t="s">
        <v>15258</v>
      </c>
      <c r="D736" s="8" t="s">
        <v>8446</v>
      </c>
      <c r="E736" s="1" t="s">
        <v>15259</v>
      </c>
      <c r="F736" s="6" t="s">
        <v>15260</v>
      </c>
      <c r="G736" s="7" t="str">
        <f>IFERROR(__xludf.DUMMYFUNCTION("GOOGLETRANSLATE(C736, ""en"", ""cs"")"),"% s přečtou až do tohoto bodu")</f>
        <v>% s přečtou až do tohoto bodu</v>
      </c>
      <c r="H736" s="7" t="str">
        <f>IFERROR(__xludf.DUMMYFUNCTION("GOOGLETRANSLATE(C736, ""en"", ""da"")"),"% s har læst op til dette punkt")</f>
        <v>% s har læst op til dette punkt</v>
      </c>
      <c r="I736" s="1" t="s">
        <v>15261</v>
      </c>
      <c r="J736" s="6" t="s">
        <v>132</v>
      </c>
      <c r="K736" s="1" t="s">
        <v>15262</v>
      </c>
      <c r="L736" s="7" t="str">
        <f>IFERROR(__xludf.DUMMYFUNCTION("GOOGLETRANSLATE(C736, ""en"", ""fi"")"),"% s on lukenut tähän pisteeseen")</f>
        <v>% s on lukenut tähän pisteeseen</v>
      </c>
      <c r="M736" s="1" t="s">
        <v>8451</v>
      </c>
      <c r="N736" s="6" t="s">
        <v>15263</v>
      </c>
      <c r="O736" s="6" t="s">
        <v>132</v>
      </c>
      <c r="P736" s="1" t="s">
        <v>15264</v>
      </c>
      <c r="Q736" s="9" t="s">
        <v>15265</v>
      </c>
      <c r="R736" s="1" t="s">
        <v>8454</v>
      </c>
      <c r="S736" s="6" t="s">
        <v>132</v>
      </c>
      <c r="T736" s="1" t="s">
        <v>15266</v>
      </c>
      <c r="U736" s="1" t="s">
        <v>15267</v>
      </c>
      <c r="V736" s="7" t="str">
        <f>IFERROR(__xludf.DUMMYFUNCTION("GOOGLETRANSLATE(C736, ""en"", ""ms"")"),"% s telah membaca sehingga titik ini")</f>
        <v>% s telah membaca sehingga titik ini</v>
      </c>
      <c r="W736" s="1" t="s">
        <v>15268</v>
      </c>
      <c r="X736" s="7" t="str">
        <f>IFERROR(__xludf.DUMMYFUNCTION("GOOGLETRANSLATE(C736, ""en"", ""no"")"),"% s har lest opp til dette punktet")</f>
        <v>% s har lest opp til dette punktet</v>
      </c>
      <c r="Y736" s="1" t="s">
        <v>15269</v>
      </c>
      <c r="Z736" s="1" t="s">
        <v>15270</v>
      </c>
      <c r="AA736" s="7" t="str">
        <f>IFERROR(__xludf.DUMMYFUNCTION("GOOGLETRANSLATE(C736, ""en"", ""ro"")"),"% s a citit până la acest punct")</f>
        <v>% s a citit până la acest punct</v>
      </c>
      <c r="AB736" s="1" t="s">
        <v>15271</v>
      </c>
      <c r="AC736" s="1" t="s">
        <v>15272</v>
      </c>
      <c r="AD736" s="6" t="s">
        <v>132</v>
      </c>
      <c r="AE736" s="1" t="s">
        <v>15273</v>
      </c>
      <c r="AF736" s="1" t="s">
        <v>15274</v>
      </c>
      <c r="AG736" s="6" t="s">
        <v>132</v>
      </c>
      <c r="AH736" s="7" t="str">
        <f>IFERROR(__xludf.DUMMYFUNCTION("GOOGLETRANSLATE(C736, ""en"", ""tr"")"),"% s bu noktaya kadar okudu")</f>
        <v>% s bu noktaya kadar okudu</v>
      </c>
      <c r="AI736" s="6" t="s">
        <v>15275</v>
      </c>
      <c r="AJ736" s="6" t="s">
        <v>15276</v>
      </c>
      <c r="AK736" s="7" t="str">
        <f>IFERROR(__xludf.DUMMYFUNCTION("GOOGLETRANSLATE(C736, ""en"", ""zh"")"),"％s已读到这一点")</f>
        <v>％s已读到这一点</v>
      </c>
      <c r="AL736" s="6" t="s">
        <v>15277</v>
      </c>
    </row>
    <row r="737" ht="15.75" hidden="1" customHeight="1">
      <c r="A737" s="1" t="s">
        <v>38</v>
      </c>
      <c r="B737" s="1" t="s">
        <v>15278</v>
      </c>
      <c r="C737" s="1" t="s">
        <v>15279</v>
      </c>
      <c r="D737" s="8" t="s">
        <v>15280</v>
      </c>
      <c r="E737" s="1" t="s">
        <v>15281</v>
      </c>
      <c r="F737" s="6" t="s">
        <v>15282</v>
      </c>
      <c r="G737" s="7" t="str">
        <f>IFERROR(__xludf.DUMMYFUNCTION("GOOGLETRANSLATE(C737, ""en"", ""cs"")"),"Oznámení od cizinců")</f>
        <v>Oznámení od cizinců</v>
      </c>
      <c r="H737" s="7" t="str">
        <f>IFERROR(__xludf.DUMMYFUNCTION("GOOGLETRANSLATE(C737, ""en"", ""da"")"),"Meddelelser fra Strangers.")</f>
        <v>Meddelelser fra Strangers.</v>
      </c>
      <c r="I737" s="1" t="s">
        <v>15283</v>
      </c>
      <c r="J737" s="6" t="s">
        <v>132</v>
      </c>
      <c r="K737" s="1" t="s">
        <v>15284</v>
      </c>
      <c r="L737" s="7" t="str">
        <f>IFERROR(__xludf.DUMMYFUNCTION("GOOGLETRANSLATE(C737, ""en"", ""fi"")"),"Ilmoitukset muukalaisilta")</f>
        <v>Ilmoitukset muukalaisilta</v>
      </c>
      <c r="M737" s="1" t="s">
        <v>15285</v>
      </c>
      <c r="N737" s="6" t="s">
        <v>15286</v>
      </c>
      <c r="O737" s="6" t="s">
        <v>132</v>
      </c>
      <c r="P737" s="1" t="s">
        <v>15287</v>
      </c>
      <c r="Q737" s="7" t="str">
        <f>IFERROR(__xludf.DUMMYFUNCTION("GOOGLETRANSLATE(C737, ""en"", ""in"")"),"Pemberitahuan dari orang asing")</f>
        <v>Pemberitahuan dari orang asing</v>
      </c>
      <c r="R737" s="1" t="s">
        <v>15288</v>
      </c>
      <c r="S737" s="6" t="s">
        <v>132</v>
      </c>
      <c r="T737" s="1" t="s">
        <v>15289</v>
      </c>
      <c r="U737" s="7" t="str">
        <f>IFERROR(__xludf.DUMMYFUNCTION("GOOGLETRANSLATE(C737, ""en"", ""ko"")"),"낯선 사람들의 알림")</f>
        <v>낯선 사람들의 알림</v>
      </c>
      <c r="V737" s="7" t="str">
        <f>IFERROR(__xludf.DUMMYFUNCTION("GOOGLETRANSLATE(C737, ""en"", ""ms"")"),"Pemberitahuan daripada orang yang tidak dikenali")</f>
        <v>Pemberitahuan daripada orang yang tidak dikenali</v>
      </c>
      <c r="W737" s="1" t="s">
        <v>15290</v>
      </c>
      <c r="X737" s="7" t="str">
        <f>IFERROR(__xludf.DUMMYFUNCTION("GOOGLETRANSLATE(C737, ""en"", ""no"")"),"Varsler fra fremmede")</f>
        <v>Varsler fra fremmede</v>
      </c>
      <c r="Y737" s="1" t="s">
        <v>15291</v>
      </c>
      <c r="Z737" s="7" t="str">
        <f>IFERROR(__xludf.DUMMYFUNCTION("GOOGLETRANSLATE(C737, ""en"", ""pt"")"),"Notificações de estranhos")</f>
        <v>Notificações de estranhos</v>
      </c>
      <c r="AA737" s="7" t="str">
        <f>IFERROR(__xludf.DUMMYFUNCTION("GOOGLETRANSLATE(C737, ""en"", ""ro"")"),"Notificări de la străini")</f>
        <v>Notificări de la străini</v>
      </c>
      <c r="AB737" s="1" t="s">
        <v>15292</v>
      </c>
      <c r="AC737" s="7" t="str">
        <f>IFERROR(__xludf.DUMMYFUNCTION("GOOGLETRANSLATE(C737, ""en"", ""sk"")"),"Upozornenia od cudzincov")</f>
        <v>Upozornenia od cudzincov</v>
      </c>
      <c r="AD737" s="6" t="s">
        <v>132</v>
      </c>
      <c r="AE737" s="1" t="s">
        <v>15293</v>
      </c>
      <c r="AF737" s="1" t="s">
        <v>15294</v>
      </c>
      <c r="AG737" s="6" t="s">
        <v>132</v>
      </c>
      <c r="AH737" s="7" t="str">
        <f>IFERROR(__xludf.DUMMYFUNCTION("GOOGLETRANSLATE(C737, ""en"", ""tr"")"),"Yabancılardan Bildirimler")</f>
        <v>Yabancılardan Bildirimler</v>
      </c>
      <c r="AI737" s="6" t="s">
        <v>15295</v>
      </c>
      <c r="AJ737" s="6" t="s">
        <v>132</v>
      </c>
      <c r="AK737" s="7" t="str">
        <f>IFERROR(__xludf.DUMMYFUNCTION("GOOGLETRANSLATE(C737, ""en"", ""zh"")"),"来自陌生人的通知")</f>
        <v>来自陌生人的通知</v>
      </c>
      <c r="AL737" s="6" t="s">
        <v>15296</v>
      </c>
    </row>
    <row r="738" ht="15.75" hidden="1" customHeight="1">
      <c r="A738" s="1" t="s">
        <v>38</v>
      </c>
      <c r="B738" s="1" t="s">
        <v>15297</v>
      </c>
      <c r="C738" s="1" t="s">
        <v>12760</v>
      </c>
      <c r="D738" s="8" t="s">
        <v>15298</v>
      </c>
      <c r="E738" s="1" t="s">
        <v>12762</v>
      </c>
      <c r="F738" s="6" t="s">
        <v>15299</v>
      </c>
      <c r="G738" s="7" t="str">
        <f>IFERROR(__xludf.DUMMYFUNCTION("GOOGLETRANSLATE(C738, ""en"", ""cs"")"),"Něco se pokazilo")</f>
        <v>Něco se pokazilo</v>
      </c>
      <c r="H738" s="7" t="str">
        <f>IFERROR(__xludf.DUMMYFUNCTION("GOOGLETRANSLATE(C738, ""en"", ""da"")"),"Noget gik galt")</f>
        <v>Noget gik galt</v>
      </c>
      <c r="I738" s="1" t="s">
        <v>15300</v>
      </c>
      <c r="J738" s="6" t="s">
        <v>132</v>
      </c>
      <c r="K738" s="1" t="s">
        <v>15301</v>
      </c>
      <c r="L738" s="7" t="str">
        <f>IFERROR(__xludf.DUMMYFUNCTION("GOOGLETRANSLATE(C738, ""en"", ""fi"")"),"Jotain meni pieleen")</f>
        <v>Jotain meni pieleen</v>
      </c>
      <c r="M738" s="1" t="s">
        <v>15302</v>
      </c>
      <c r="N738" s="6" t="s">
        <v>15303</v>
      </c>
      <c r="O738" s="6" t="s">
        <v>132</v>
      </c>
      <c r="P738" s="1" t="s">
        <v>15304</v>
      </c>
      <c r="Q738" s="7" t="str">
        <f>IFERROR(__xludf.DUMMYFUNCTION("GOOGLETRANSLATE(C738, ""en"", ""in"")"),"Ada yang salah")</f>
        <v>Ada yang salah</v>
      </c>
      <c r="R738" s="1" t="s">
        <v>12771</v>
      </c>
      <c r="S738" s="6" t="s">
        <v>132</v>
      </c>
      <c r="T738" s="7" t="str">
        <f>IFERROR(__xludf.DUMMYFUNCTION("GOOGLETRANSLATE(C738, ""en"", ""ja"")"),"何かがうまくいかなかった")</f>
        <v>何かがうまくいかなかった</v>
      </c>
      <c r="U738" s="7" t="str">
        <f>IFERROR(__xludf.DUMMYFUNCTION("GOOGLETRANSLATE(C738, ""en"", ""ko"")"),"무언가가 잘못되었습니다")</f>
        <v>무언가가 잘못되었습니다</v>
      </c>
      <c r="V738" s="7" t="str">
        <f>IFERROR(__xludf.DUMMYFUNCTION("GOOGLETRANSLATE(C738, ""en"", ""ms"")"),"Sesuatu yang berlaku")</f>
        <v>Sesuatu yang berlaku</v>
      </c>
      <c r="W738" s="1" t="s">
        <v>15305</v>
      </c>
      <c r="X738" s="7" t="str">
        <f>IFERROR(__xludf.DUMMYFUNCTION("GOOGLETRANSLATE(C738, ""en"", ""no"")"),"Noe gikk galt")</f>
        <v>Noe gikk galt</v>
      </c>
      <c r="Y738" s="1" t="s">
        <v>15306</v>
      </c>
      <c r="Z738" s="7" t="str">
        <f>IFERROR(__xludf.DUMMYFUNCTION("GOOGLETRANSLATE(C738, ""en"", ""pt"")"),"Algo deu errado")</f>
        <v>Algo deu errado</v>
      </c>
      <c r="AA738" s="7" t="str">
        <f>IFERROR(__xludf.DUMMYFUNCTION("GOOGLETRANSLATE(C738, ""en"", ""ro"")"),"Ceva n-a mers bine")</f>
        <v>Ceva n-a mers bine</v>
      </c>
      <c r="AB738" s="1" t="s">
        <v>12780</v>
      </c>
      <c r="AC738" s="7" t="str">
        <f>IFERROR(__xludf.DUMMYFUNCTION("GOOGLETRANSLATE(C738, ""en"", ""sk"")"),"Niečo sa pokazilo")</f>
        <v>Niečo sa pokazilo</v>
      </c>
      <c r="AD738" s="6" t="s">
        <v>132</v>
      </c>
      <c r="AE738" s="1" t="s">
        <v>15307</v>
      </c>
      <c r="AF738" s="7" t="str">
        <f>IFERROR(__xludf.DUMMYFUNCTION("GOOGLETRANSLATE(C738, ""en"", ""sv"")"),"Något gick fel")</f>
        <v>Något gick fel</v>
      </c>
      <c r="AG738" s="6" t="s">
        <v>132</v>
      </c>
      <c r="AH738" s="7" t="str">
        <f>IFERROR(__xludf.DUMMYFUNCTION("GOOGLETRANSLATE(C738, ""en"", ""tr"")"),"Bir şeyler yanlış gitti")</f>
        <v>Bir şeyler yanlış gitti</v>
      </c>
      <c r="AI738" s="6" t="s">
        <v>132</v>
      </c>
      <c r="AJ738" s="6" t="s">
        <v>132</v>
      </c>
      <c r="AK738" s="7" t="str">
        <f>IFERROR(__xludf.DUMMYFUNCTION("GOOGLETRANSLATE(C738, ""en"", ""zh"")"),"出问题了")</f>
        <v>出问题了</v>
      </c>
      <c r="AL738" s="6" t="s">
        <v>132</v>
      </c>
    </row>
    <row r="739" ht="15.75" customHeight="1">
      <c r="A739" s="1" t="s">
        <v>127</v>
      </c>
      <c r="B739" s="1" t="s">
        <v>15308</v>
      </c>
      <c r="C739" s="1" t="s">
        <v>5370</v>
      </c>
      <c r="D739" s="8" t="s">
        <v>5371</v>
      </c>
      <c r="E739" s="1" t="s">
        <v>5372</v>
      </c>
      <c r="F739" s="6" t="s">
        <v>132</v>
      </c>
      <c r="G739" s="1" t="s">
        <v>5373</v>
      </c>
      <c r="H739" s="1" t="s">
        <v>5374</v>
      </c>
      <c r="I739" s="1" t="s">
        <v>5375</v>
      </c>
      <c r="J739" s="6" t="s">
        <v>5376</v>
      </c>
      <c r="K739" s="1" t="s">
        <v>15309</v>
      </c>
      <c r="L739" s="1" t="s">
        <v>5378</v>
      </c>
      <c r="M739" s="1" t="s">
        <v>5379</v>
      </c>
      <c r="N739" s="6" t="s">
        <v>132</v>
      </c>
      <c r="O739" s="6" t="s">
        <v>5380</v>
      </c>
      <c r="P739" s="1" t="s">
        <v>5381</v>
      </c>
      <c r="Q739" s="1" t="s">
        <v>5382</v>
      </c>
      <c r="R739" s="1" t="s">
        <v>5383</v>
      </c>
      <c r="S739" s="6" t="s">
        <v>132</v>
      </c>
      <c r="T739" s="1" t="s">
        <v>5385</v>
      </c>
      <c r="U739" s="1" t="s">
        <v>5386</v>
      </c>
      <c r="V739" s="1" t="s">
        <v>5382</v>
      </c>
      <c r="W739" s="1" t="s">
        <v>5387</v>
      </c>
      <c r="X739" s="1" t="s">
        <v>5374</v>
      </c>
      <c r="Y739" s="1" t="s">
        <v>5373</v>
      </c>
      <c r="Z739" s="1" t="s">
        <v>5388</v>
      </c>
      <c r="AA739" s="1" t="s">
        <v>5389</v>
      </c>
      <c r="AB739" s="1" t="s">
        <v>5390</v>
      </c>
      <c r="AC739" s="1" t="s">
        <v>5373</v>
      </c>
      <c r="AD739" s="6" t="s">
        <v>5391</v>
      </c>
      <c r="AE739" s="1" t="s">
        <v>5392</v>
      </c>
      <c r="AF739" s="1" t="s">
        <v>5374</v>
      </c>
      <c r="AG739" s="6" t="s">
        <v>5393</v>
      </c>
      <c r="AH739" s="1" t="s">
        <v>15310</v>
      </c>
      <c r="AI739" s="6" t="s">
        <v>132</v>
      </c>
      <c r="AJ739" s="6" t="s">
        <v>5395</v>
      </c>
      <c r="AK739" s="1" t="s">
        <v>5396</v>
      </c>
      <c r="AL739" s="6" t="s">
        <v>5397</v>
      </c>
    </row>
    <row r="740" ht="15.75" hidden="1" customHeight="1">
      <c r="A740" s="1" t="s">
        <v>38</v>
      </c>
      <c r="B740" s="1" t="s">
        <v>15311</v>
      </c>
      <c r="C740" s="1" t="s">
        <v>15312</v>
      </c>
      <c r="D740" s="7" t="str">
        <f>IFERROR(__xludf.DUMMYFUNCTION("GOOGLETRANSLATE(C740, ""en"", ""ar"")"),"متصل")</f>
        <v>متصل</v>
      </c>
      <c r="E740" s="7" t="str">
        <f>IFERROR(__xludf.DUMMYFUNCTION("GOOGLETRANSLATE(C740, ""en"", ""bg"")"),"На линия")</f>
        <v>На линия</v>
      </c>
      <c r="F740" s="6" t="s">
        <v>132</v>
      </c>
      <c r="G740" s="7" t="str">
        <f>IFERROR(__xludf.DUMMYFUNCTION("GOOGLETRANSLATE(C740, ""en"", ""cs"")"),"Online")</f>
        <v>Online</v>
      </c>
      <c r="H740" s="7" t="str">
        <f>IFERROR(__xludf.DUMMYFUNCTION("GOOGLETRANSLATE(C740, ""en"", ""da"")"),"Online.")</f>
        <v>Online.</v>
      </c>
      <c r="I740" s="1" t="s">
        <v>15312</v>
      </c>
      <c r="J740" s="6" t="s">
        <v>132</v>
      </c>
      <c r="K740" s="1" t="s">
        <v>15312</v>
      </c>
      <c r="L740" s="7" t="str">
        <f>IFERROR(__xludf.DUMMYFUNCTION("GOOGLETRANSLATE(C740, ""en"", ""fi"")"),"Verkossa")</f>
        <v>Verkossa</v>
      </c>
      <c r="M740" s="1" t="s">
        <v>15313</v>
      </c>
      <c r="N740" s="6" t="s">
        <v>132</v>
      </c>
      <c r="O740" s="6" t="s">
        <v>132</v>
      </c>
      <c r="P740" s="1" t="s">
        <v>15312</v>
      </c>
      <c r="Q740" s="7" t="str">
        <f>IFERROR(__xludf.DUMMYFUNCTION("GOOGLETRANSLATE(C740, ""en"", ""in"")"),"On line")</f>
        <v>On line</v>
      </c>
      <c r="R740" s="7" t="str">
        <f>IFERROR(__xludf.DUMMYFUNCTION("GOOGLETRANSLATE(C740, ""en"", ""it"")"),"in linea")</f>
        <v>in linea</v>
      </c>
      <c r="S740" s="6" t="s">
        <v>132</v>
      </c>
      <c r="T740" s="7" t="str">
        <f>IFERROR(__xludf.DUMMYFUNCTION("GOOGLETRANSLATE(C740, ""en"", ""ja"")"),"オンライン")</f>
        <v>オンライン</v>
      </c>
      <c r="U740" s="7" t="str">
        <f>IFERROR(__xludf.DUMMYFUNCTION("GOOGLETRANSLATE(C740, ""en"", ""ko"")"),"온라인으로")</f>
        <v>온라인으로</v>
      </c>
      <c r="V740" s="7" t="str">
        <f>IFERROR(__xludf.DUMMYFUNCTION("GOOGLETRANSLATE(C740, ""en"", ""ms"")"),"Dalam talian")</f>
        <v>Dalam talian</v>
      </c>
      <c r="W740" s="7" t="str">
        <f>IFERROR(__xludf.DUMMYFUNCTION("GOOGLETRANSLATE(C740, ""en"", ""nl"")"),"Online")</f>
        <v>Online</v>
      </c>
      <c r="X740" s="7" t="str">
        <f>IFERROR(__xludf.DUMMYFUNCTION("GOOGLETRANSLATE(C740, ""en"", ""no"")"),"på nett")</f>
        <v>på nett</v>
      </c>
      <c r="Y740" s="7" t="str">
        <f>IFERROR(__xludf.DUMMYFUNCTION("GOOGLETRANSLATE(C740, ""en"", ""pl"")"),"online")</f>
        <v>online</v>
      </c>
      <c r="Z740" s="7" t="str">
        <f>IFERROR(__xludf.DUMMYFUNCTION("GOOGLETRANSLATE(C740, ""en"", ""pt"")"),"Conectados")</f>
        <v>Conectados</v>
      </c>
      <c r="AA740" s="7" t="str">
        <f>IFERROR(__xludf.DUMMYFUNCTION("GOOGLETRANSLATE(C740, ""en"", ""ro"")"),"Pe net")</f>
        <v>Pe net</v>
      </c>
      <c r="AB740" s="1" t="s">
        <v>15314</v>
      </c>
      <c r="AC740" s="7" t="str">
        <f>IFERROR(__xludf.DUMMYFUNCTION("GOOGLETRANSLATE(C740, ""en"", ""sk"")"),"On-line")</f>
        <v>On-line</v>
      </c>
      <c r="AD740" s="6" t="s">
        <v>132</v>
      </c>
      <c r="AE740" s="1" t="s">
        <v>15315</v>
      </c>
      <c r="AF740" s="7" t="str">
        <f>IFERROR(__xludf.DUMMYFUNCTION("GOOGLETRANSLATE(C740, ""en"", ""sv"")"),"Uppkopplad")</f>
        <v>Uppkopplad</v>
      </c>
      <c r="AG740" s="6" t="s">
        <v>132</v>
      </c>
      <c r="AH740" s="7" t="str">
        <f>IFERROR(__xludf.DUMMYFUNCTION("GOOGLETRANSLATE(C740, ""en"", ""tr"")"),"İnternet üzerinden")</f>
        <v>İnternet üzerinden</v>
      </c>
      <c r="AI740" s="6" t="s">
        <v>132</v>
      </c>
      <c r="AJ740" s="6" t="s">
        <v>132</v>
      </c>
      <c r="AK740" s="7" t="str">
        <f>IFERROR(__xludf.DUMMYFUNCTION("GOOGLETRANSLATE(C740, ""en"", ""zh"")"),"在线的")</f>
        <v>在线的</v>
      </c>
      <c r="AL740" s="6" t="s">
        <v>132</v>
      </c>
    </row>
    <row r="741" ht="15.75" customHeight="1">
      <c r="A741" s="1" t="s">
        <v>127</v>
      </c>
      <c r="B741" s="1" t="s">
        <v>15316</v>
      </c>
      <c r="C741" s="1" t="s">
        <v>15317</v>
      </c>
      <c r="D741" s="8" t="s">
        <v>15318</v>
      </c>
      <c r="E741" s="1" t="s">
        <v>15319</v>
      </c>
      <c r="F741" s="6" t="s">
        <v>132</v>
      </c>
      <c r="G741" s="1" t="s">
        <v>15320</v>
      </c>
      <c r="H741" s="1" t="s">
        <v>15321</v>
      </c>
      <c r="I741" s="1" t="s">
        <v>15322</v>
      </c>
      <c r="J741" s="6" t="s">
        <v>15323</v>
      </c>
      <c r="K741" s="1" t="s">
        <v>15324</v>
      </c>
      <c r="L741" s="1" t="s">
        <v>15325</v>
      </c>
      <c r="M741" s="1" t="s">
        <v>15326</v>
      </c>
      <c r="N741" s="6" t="s">
        <v>132</v>
      </c>
      <c r="O741" s="6" t="s">
        <v>15327</v>
      </c>
      <c r="P741" s="1" t="s">
        <v>15328</v>
      </c>
      <c r="Q741" s="1" t="s">
        <v>15329</v>
      </c>
      <c r="R741" s="1" t="s">
        <v>15330</v>
      </c>
      <c r="S741" s="6" t="s">
        <v>132</v>
      </c>
      <c r="T741" s="1" t="s">
        <v>15331</v>
      </c>
      <c r="U741" s="1" t="s">
        <v>15332</v>
      </c>
      <c r="V741" s="1" t="s">
        <v>15333</v>
      </c>
      <c r="W741" s="1" t="s">
        <v>15334</v>
      </c>
      <c r="X741" s="1" t="s">
        <v>15335</v>
      </c>
      <c r="Y741" s="1" t="s">
        <v>15336</v>
      </c>
      <c r="Z741" s="1" t="s">
        <v>15337</v>
      </c>
      <c r="AA741" s="1" t="s">
        <v>15338</v>
      </c>
      <c r="AB741" s="1" t="s">
        <v>15339</v>
      </c>
      <c r="AC741" s="1" t="s">
        <v>15320</v>
      </c>
      <c r="AD741" s="6" t="s">
        <v>15340</v>
      </c>
      <c r="AE741" s="1" t="s">
        <v>15341</v>
      </c>
      <c r="AF741" s="1" t="s">
        <v>15342</v>
      </c>
      <c r="AG741" s="6" t="s">
        <v>15343</v>
      </c>
      <c r="AH741" s="1" t="s">
        <v>15344</v>
      </c>
      <c r="AI741" s="6" t="s">
        <v>132</v>
      </c>
      <c r="AJ741" s="6" t="s">
        <v>15345</v>
      </c>
      <c r="AK741" s="1" t="s">
        <v>15346</v>
      </c>
      <c r="AL741" s="6" t="s">
        <v>132</v>
      </c>
    </row>
    <row r="742" ht="15.75" customHeight="1">
      <c r="A742" s="1" t="s">
        <v>127</v>
      </c>
      <c r="B742" s="1" t="s">
        <v>15347</v>
      </c>
      <c r="C742" s="1" t="s">
        <v>8168</v>
      </c>
      <c r="D742" s="8" t="s">
        <v>8169</v>
      </c>
      <c r="E742" s="1" t="s">
        <v>8170</v>
      </c>
      <c r="F742" s="6" t="s">
        <v>132</v>
      </c>
      <c r="G742" s="1" t="s">
        <v>8171</v>
      </c>
      <c r="H742" s="1" t="s">
        <v>8172</v>
      </c>
      <c r="I742" s="1" t="s">
        <v>8173</v>
      </c>
      <c r="J742" s="6" t="s">
        <v>8174</v>
      </c>
      <c r="K742" s="1" t="s">
        <v>8175</v>
      </c>
      <c r="L742" s="1" t="s">
        <v>8176</v>
      </c>
      <c r="M742" s="1" t="s">
        <v>8168</v>
      </c>
      <c r="N742" s="6" t="s">
        <v>132</v>
      </c>
      <c r="O742" s="6" t="s">
        <v>8177</v>
      </c>
      <c r="P742" s="1" t="s">
        <v>15348</v>
      </c>
      <c r="Q742" s="1" t="s">
        <v>8178</v>
      </c>
      <c r="R742" s="1" t="s">
        <v>8168</v>
      </c>
      <c r="S742" s="6" t="s">
        <v>132</v>
      </c>
      <c r="T742" s="1" t="s">
        <v>8181</v>
      </c>
      <c r="U742" s="1" t="s">
        <v>8182</v>
      </c>
      <c r="V742" s="1" t="s">
        <v>8183</v>
      </c>
      <c r="W742" s="1" t="s">
        <v>8184</v>
      </c>
      <c r="X742" s="1" t="s">
        <v>8185</v>
      </c>
      <c r="Y742" s="1" t="s">
        <v>8186</v>
      </c>
      <c r="Z742" s="1" t="s">
        <v>15349</v>
      </c>
      <c r="AA742" s="1" t="s">
        <v>8188</v>
      </c>
      <c r="AB742" s="1" t="s">
        <v>15350</v>
      </c>
      <c r="AC742" s="1" t="s">
        <v>8171</v>
      </c>
      <c r="AD742" s="6" t="s">
        <v>8190</v>
      </c>
      <c r="AE742" s="1" t="s">
        <v>15351</v>
      </c>
      <c r="AF742" s="1" t="s">
        <v>8191</v>
      </c>
      <c r="AG742" s="6" t="s">
        <v>8192</v>
      </c>
      <c r="AH742" s="1" t="s">
        <v>8193</v>
      </c>
      <c r="AI742" s="6" t="s">
        <v>132</v>
      </c>
      <c r="AJ742" s="6" t="s">
        <v>8194</v>
      </c>
      <c r="AK742" s="1" t="s">
        <v>8195</v>
      </c>
      <c r="AL742" s="6" t="s">
        <v>8196</v>
      </c>
    </row>
    <row r="743" ht="15.75" customHeight="1">
      <c r="A743" s="1" t="s">
        <v>4051</v>
      </c>
      <c r="B743" s="1" t="s">
        <v>15352</v>
      </c>
      <c r="C743" s="1" t="s">
        <v>15353</v>
      </c>
      <c r="D743" s="8" t="s">
        <v>15354</v>
      </c>
      <c r="E743" s="1" t="s">
        <v>15355</v>
      </c>
      <c r="F743" s="6" t="s">
        <v>132</v>
      </c>
      <c r="G743" s="1" t="s">
        <v>15356</v>
      </c>
      <c r="H743" s="1" t="s">
        <v>15357</v>
      </c>
      <c r="I743" s="1" t="s">
        <v>15358</v>
      </c>
      <c r="J743" s="6" t="s">
        <v>15359</v>
      </c>
      <c r="K743" s="1" t="s">
        <v>15360</v>
      </c>
      <c r="L743" s="1" t="s">
        <v>15361</v>
      </c>
      <c r="M743" s="1" t="s">
        <v>15362</v>
      </c>
      <c r="N743" s="6" t="s">
        <v>132</v>
      </c>
      <c r="O743" s="6" t="s">
        <v>15363</v>
      </c>
      <c r="P743" s="1" t="s">
        <v>15364</v>
      </c>
      <c r="Q743" s="1" t="s">
        <v>15365</v>
      </c>
      <c r="R743" s="1" t="s">
        <v>15366</v>
      </c>
      <c r="S743" s="6" t="s">
        <v>132</v>
      </c>
      <c r="T743" s="1" t="s">
        <v>15367</v>
      </c>
      <c r="U743" s="1" t="s">
        <v>15368</v>
      </c>
      <c r="V743" s="1" t="s">
        <v>15369</v>
      </c>
      <c r="W743" s="1" t="s">
        <v>15370</v>
      </c>
      <c r="X743" s="1" t="s">
        <v>15371</v>
      </c>
      <c r="Y743" s="1" t="s">
        <v>15372</v>
      </c>
      <c r="Z743" s="1" t="s">
        <v>15373</v>
      </c>
      <c r="AA743" s="1" t="s">
        <v>15374</v>
      </c>
      <c r="AB743" s="1" t="s">
        <v>15375</v>
      </c>
      <c r="AC743" s="1" t="s">
        <v>15376</v>
      </c>
      <c r="AD743" s="6" t="s">
        <v>15377</v>
      </c>
      <c r="AE743" s="1" t="s">
        <v>15378</v>
      </c>
      <c r="AF743" s="1" t="s">
        <v>15379</v>
      </c>
      <c r="AG743" s="6" t="s">
        <v>15380</v>
      </c>
      <c r="AH743" s="1" t="s">
        <v>15381</v>
      </c>
      <c r="AI743" s="6" t="s">
        <v>132</v>
      </c>
      <c r="AJ743" s="6" t="s">
        <v>15382</v>
      </c>
      <c r="AK743" s="14" t="s">
        <v>15383</v>
      </c>
      <c r="AL743" s="6" t="s">
        <v>132</v>
      </c>
    </row>
    <row r="744" ht="15.75" hidden="1" customHeight="1">
      <c r="A744" s="1" t="s">
        <v>38</v>
      </c>
      <c r="B744" s="1" t="s">
        <v>15384</v>
      </c>
      <c r="C744" s="1" t="s">
        <v>15385</v>
      </c>
      <c r="D744" s="8" t="s">
        <v>15386</v>
      </c>
      <c r="E744" s="1" t="s">
        <v>15387</v>
      </c>
      <c r="F744" s="6" t="s">
        <v>15388</v>
      </c>
      <c r="G744" s="7" t="str">
        <f>IFERROR(__xludf.DUMMYFUNCTION("GOOGLETRANSLATE(C744, ""en"", ""cs"")"),"Zobrazit neaktivní")</f>
        <v>Zobrazit neaktivní</v>
      </c>
      <c r="H744" s="7" t="str">
        <f>IFERROR(__xludf.DUMMYFUNCTION("GOOGLETRANSLATE(C744, ""en"", ""da"")"),"Vis inaktivt")</f>
        <v>Vis inaktivt</v>
      </c>
      <c r="I744" s="1" t="s">
        <v>15389</v>
      </c>
      <c r="J744" s="6" t="s">
        <v>132</v>
      </c>
      <c r="K744" s="1" t="s">
        <v>15390</v>
      </c>
      <c r="L744" s="7" t="str">
        <f>IFERROR(__xludf.DUMMYFUNCTION("GOOGLETRANSLATE(C744, ""en"", ""fi"")"),"Näytä inaktiivinen")</f>
        <v>Näytä inaktiivinen</v>
      </c>
      <c r="M744" s="1" t="s">
        <v>15391</v>
      </c>
      <c r="N744" s="6" t="s">
        <v>15390</v>
      </c>
      <c r="O744" s="6" t="s">
        <v>132</v>
      </c>
      <c r="P744" s="1" t="s">
        <v>15392</v>
      </c>
      <c r="Q744" s="7" t="str">
        <f>IFERROR(__xludf.DUMMYFUNCTION("GOOGLETRANSLATE(C744, ""en"", ""in"")"),"Tampilkan tidak aktif")</f>
        <v>Tampilkan tidak aktif</v>
      </c>
      <c r="R744" s="1" t="s">
        <v>15393</v>
      </c>
      <c r="S744" s="6" t="s">
        <v>132</v>
      </c>
      <c r="T744" s="7" t="str">
        <f>IFERROR(__xludf.DUMMYFUNCTION("GOOGLETRANSLATE(C744, ""en"", ""ja"")"),"非活動を示す")</f>
        <v>非活動を示す</v>
      </c>
      <c r="U744" s="7" t="str">
        <f>IFERROR(__xludf.DUMMYFUNCTION("GOOGLETRANSLATE(C744, ""en"", ""ko"")"),"비활성을 보여줍니다")</f>
        <v>비활성을 보여줍니다</v>
      </c>
      <c r="V744" s="7" t="str">
        <f>IFERROR(__xludf.DUMMYFUNCTION("GOOGLETRANSLATE(C744, ""en"", ""ms"")"),"Tunjukkan tidak aktif")</f>
        <v>Tunjukkan tidak aktif</v>
      </c>
      <c r="W744" s="1" t="s">
        <v>15394</v>
      </c>
      <c r="X744" s="7" t="str">
        <f>IFERROR(__xludf.DUMMYFUNCTION("GOOGLETRANSLATE(C744, ""en"", ""no"")"),"Vis inaktivt")</f>
        <v>Vis inaktivt</v>
      </c>
      <c r="Y744" s="1" t="s">
        <v>15395</v>
      </c>
      <c r="Z744" s="7" t="str">
        <f>IFERROR(__xludf.DUMMYFUNCTION("GOOGLETRANSLATE(C744, ""en"", ""pt"")"),"Mostrar inativo")</f>
        <v>Mostrar inativo</v>
      </c>
      <c r="AA744" s="7" t="str">
        <f>IFERROR(__xludf.DUMMYFUNCTION("GOOGLETRANSLATE(C744, ""en"", ""ro"")"),"Arată inactiv")</f>
        <v>Arată inactiv</v>
      </c>
      <c r="AB744" s="1" t="s">
        <v>15396</v>
      </c>
      <c r="AC744" s="7" t="str">
        <f>IFERROR(__xludf.DUMMYFUNCTION("GOOGLETRANSLATE(C744, ""en"", ""sk"")"),"Ukázať neaktívne")</f>
        <v>Ukázať neaktívne</v>
      </c>
      <c r="AD744" s="6" t="s">
        <v>132</v>
      </c>
      <c r="AE744" s="1" t="s">
        <v>15397</v>
      </c>
      <c r="AF744" s="7" t="str">
        <f>IFERROR(__xludf.DUMMYFUNCTION("GOOGLETRANSLATE(C744, ""en"", ""sv"")"),"Visa inaktiv")</f>
        <v>Visa inaktiv</v>
      </c>
      <c r="AG744" s="6" t="s">
        <v>132</v>
      </c>
      <c r="AH744" s="7" t="str">
        <f>IFERROR(__xludf.DUMMYFUNCTION("GOOGLETRANSLATE(C744, ""en"", ""tr"")"),"Aktif değil")</f>
        <v>Aktif değil</v>
      </c>
      <c r="AI744" s="6" t="s">
        <v>132</v>
      </c>
      <c r="AJ744" s="6" t="s">
        <v>132</v>
      </c>
      <c r="AK744" s="7" t="str">
        <f>IFERROR(__xludf.DUMMYFUNCTION("GOOGLETRANSLATE(C744, ""en"", ""zh"")"),"显示不活动")</f>
        <v>显示不活动</v>
      </c>
      <c r="AL744" s="6" t="s">
        <v>132</v>
      </c>
    </row>
    <row r="745" ht="15.75" customHeight="1">
      <c r="A745" s="1" t="s">
        <v>127</v>
      </c>
      <c r="B745" s="1" t="s">
        <v>15398</v>
      </c>
      <c r="C745" s="1" t="s">
        <v>15399</v>
      </c>
      <c r="D745" s="8" t="s">
        <v>15400</v>
      </c>
      <c r="E745" s="1" t="s">
        <v>15401</v>
      </c>
      <c r="F745" s="6" t="s">
        <v>132</v>
      </c>
      <c r="G745" s="1" t="s">
        <v>15402</v>
      </c>
      <c r="H745" s="1" t="s">
        <v>15403</v>
      </c>
      <c r="I745" s="1" t="s">
        <v>15404</v>
      </c>
      <c r="J745" s="6" t="s">
        <v>15405</v>
      </c>
      <c r="K745" s="1" t="s">
        <v>15406</v>
      </c>
      <c r="L745" s="1" t="s">
        <v>15407</v>
      </c>
      <c r="M745" s="1" t="s">
        <v>15408</v>
      </c>
      <c r="N745" s="6" t="s">
        <v>132</v>
      </c>
      <c r="O745" s="6" t="s">
        <v>15409</v>
      </c>
      <c r="P745" s="1" t="s">
        <v>15410</v>
      </c>
      <c r="Q745" s="1" t="s">
        <v>15411</v>
      </c>
      <c r="R745" s="1" t="s">
        <v>15412</v>
      </c>
      <c r="S745" s="6" t="s">
        <v>132</v>
      </c>
      <c r="T745" s="1" t="s">
        <v>15413</v>
      </c>
      <c r="U745" s="1" t="s">
        <v>15414</v>
      </c>
      <c r="V745" s="1" t="s">
        <v>15415</v>
      </c>
      <c r="W745" s="1" t="s">
        <v>15416</v>
      </c>
      <c r="X745" s="1" t="s">
        <v>15417</v>
      </c>
      <c r="Y745" s="1" t="s">
        <v>15418</v>
      </c>
      <c r="Z745" s="1" t="s">
        <v>15419</v>
      </c>
      <c r="AA745" s="1" t="s">
        <v>15420</v>
      </c>
      <c r="AB745" s="1" t="s">
        <v>15421</v>
      </c>
      <c r="AC745" s="1" t="s">
        <v>15422</v>
      </c>
      <c r="AD745" s="6" t="s">
        <v>15423</v>
      </c>
      <c r="AE745" s="1" t="s">
        <v>15424</v>
      </c>
      <c r="AF745" s="1" t="s">
        <v>15425</v>
      </c>
      <c r="AG745" s="6" t="s">
        <v>15426</v>
      </c>
      <c r="AH745" s="1" t="s">
        <v>15427</v>
      </c>
      <c r="AI745" s="6" t="s">
        <v>132</v>
      </c>
      <c r="AJ745" s="6" t="s">
        <v>15428</v>
      </c>
      <c r="AK745" s="1" t="s">
        <v>15429</v>
      </c>
      <c r="AL745" s="6" t="s">
        <v>15430</v>
      </c>
    </row>
    <row r="746" ht="15.75" customHeight="1">
      <c r="A746" s="1" t="s">
        <v>127</v>
      </c>
      <c r="B746" s="1" t="s">
        <v>15431</v>
      </c>
      <c r="C746" s="1" t="s">
        <v>15432</v>
      </c>
      <c r="D746" s="8" t="s">
        <v>15433</v>
      </c>
      <c r="E746" s="1" t="s">
        <v>15434</v>
      </c>
      <c r="F746" s="6" t="s">
        <v>132</v>
      </c>
      <c r="G746" s="1" t="s">
        <v>15435</v>
      </c>
      <c r="H746" s="1" t="s">
        <v>15436</v>
      </c>
      <c r="I746" s="1" t="s">
        <v>15437</v>
      </c>
      <c r="J746" s="6" t="s">
        <v>15438</v>
      </c>
      <c r="K746" s="1" t="s">
        <v>15439</v>
      </c>
      <c r="L746" s="1" t="s">
        <v>15440</v>
      </c>
      <c r="M746" s="1" t="s">
        <v>15441</v>
      </c>
      <c r="N746" s="6" t="s">
        <v>132</v>
      </c>
      <c r="O746" s="6" t="s">
        <v>15442</v>
      </c>
      <c r="P746" s="1" t="s">
        <v>15432</v>
      </c>
      <c r="Q746" s="1" t="s">
        <v>15443</v>
      </c>
      <c r="R746" s="1" t="s">
        <v>15444</v>
      </c>
      <c r="S746" s="6" t="s">
        <v>132</v>
      </c>
      <c r="T746" s="1" t="s">
        <v>15445</v>
      </c>
      <c r="U746" s="1" t="s">
        <v>15446</v>
      </c>
      <c r="V746" s="1" t="s">
        <v>15443</v>
      </c>
      <c r="W746" s="1" t="s">
        <v>15447</v>
      </c>
      <c r="X746" s="1" t="s">
        <v>15448</v>
      </c>
      <c r="Y746" s="1" t="s">
        <v>14824</v>
      </c>
      <c r="Z746" s="1" t="s">
        <v>15449</v>
      </c>
      <c r="AA746" s="1" t="s">
        <v>15450</v>
      </c>
      <c r="AB746" s="1" t="s">
        <v>15451</v>
      </c>
      <c r="AC746" s="1" t="s">
        <v>15452</v>
      </c>
      <c r="AD746" s="6" t="s">
        <v>15453</v>
      </c>
      <c r="AE746" s="1" t="s">
        <v>15454</v>
      </c>
      <c r="AF746" s="1" t="s">
        <v>15455</v>
      </c>
      <c r="AG746" s="6" t="s">
        <v>15456</v>
      </c>
      <c r="AH746" s="1" t="s">
        <v>15457</v>
      </c>
      <c r="AI746" s="6" t="s">
        <v>132</v>
      </c>
      <c r="AJ746" s="6" t="s">
        <v>15458</v>
      </c>
      <c r="AK746" s="1" t="s">
        <v>15459</v>
      </c>
      <c r="AL746" s="6" t="s">
        <v>132</v>
      </c>
    </row>
    <row r="747" ht="15.75" hidden="1" customHeight="1">
      <c r="A747" s="1" t="s">
        <v>38</v>
      </c>
      <c r="B747" s="1" t="s">
        <v>15460</v>
      </c>
      <c r="C747" s="1" t="s">
        <v>15461</v>
      </c>
      <c r="D747" s="7" t="str">
        <f>IFERROR(__xludf.DUMMYFUNCTION("GOOGLETRANSLATE(C747, ""en"", ""ar"")"),"تمت إضافته الاتصال!")</f>
        <v>تمت إضافته الاتصال!</v>
      </c>
      <c r="E747" s="7" t="str">
        <f>IFERROR(__xludf.DUMMYFUNCTION("GOOGLETRANSLATE(C747, ""en"", ""bg"")"),"Добавяне на контакт!")</f>
        <v>Добавяне на контакт!</v>
      </c>
      <c r="F747" s="6" t="s">
        <v>132</v>
      </c>
      <c r="G747" s="7" t="str">
        <f>IFERROR(__xludf.DUMMYFUNCTION("GOOGLETRANSLATE(C747, ""en"", ""cs"")"),"Přidáno kontakt!")</f>
        <v>Přidáno kontakt!</v>
      </c>
      <c r="H747" s="7" t="str">
        <f>IFERROR(__xludf.DUMMYFUNCTION("GOOGLETRANSLATE(C747, ""en"", ""da"")"),"Kontakt tilføjet!")</f>
        <v>Kontakt tilføjet!</v>
      </c>
      <c r="I747" s="1" t="s">
        <v>15462</v>
      </c>
      <c r="J747" s="6" t="s">
        <v>132</v>
      </c>
      <c r="K747" s="1" t="s">
        <v>15463</v>
      </c>
      <c r="L747" s="7" t="str">
        <f>IFERROR(__xludf.DUMMYFUNCTION("GOOGLETRANSLATE(C747, ""en"", ""fi"")"),"Yhteystiedot lisätään!")</f>
        <v>Yhteystiedot lisätään!</v>
      </c>
      <c r="M747" s="1" t="s">
        <v>15464</v>
      </c>
      <c r="N747" s="6" t="s">
        <v>132</v>
      </c>
      <c r="O747" s="6" t="s">
        <v>132</v>
      </c>
      <c r="P747" s="1" t="s">
        <v>15465</v>
      </c>
      <c r="Q747" s="7" t="str">
        <f>IFERROR(__xludf.DUMMYFUNCTION("GOOGLETRANSLATE(C747, ""en"", ""in"")"),"Kontak ditambahkan!")</f>
        <v>Kontak ditambahkan!</v>
      </c>
      <c r="R747" s="7" t="str">
        <f>IFERROR(__xludf.DUMMYFUNCTION("GOOGLETRANSLATE(C747, ""en"", ""it"")"),"Contatto aggiunto!")</f>
        <v>Contatto aggiunto!</v>
      </c>
      <c r="S747" s="6" t="s">
        <v>132</v>
      </c>
      <c r="T747" s="7" t="str">
        <f>IFERROR(__xludf.DUMMYFUNCTION("GOOGLETRANSLATE(C747, ""en"", ""ja"")"),"連絡先が追加されました！")</f>
        <v>連絡先が追加されました！</v>
      </c>
      <c r="U747" s="7" t="str">
        <f>IFERROR(__xludf.DUMMYFUNCTION("GOOGLETRANSLATE(C747, ""en"", ""ko"")"),"연락처 추가!")</f>
        <v>연락처 추가!</v>
      </c>
      <c r="V747" s="7" t="str">
        <f>IFERROR(__xludf.DUMMYFUNCTION("GOOGLETRANSLATE(C747, ""en"", ""ms"")"),"Hubungi Ditambah!")</f>
        <v>Hubungi Ditambah!</v>
      </c>
      <c r="W747" s="7" t="str">
        <f>IFERROR(__xludf.DUMMYFUNCTION("GOOGLETRANSLATE(C747, ""en"", ""nl"")"),"Contact toegevoegd!")</f>
        <v>Contact toegevoegd!</v>
      </c>
      <c r="X747" s="7" t="str">
        <f>IFERROR(__xludf.DUMMYFUNCTION("GOOGLETRANSLATE(C747, ""en"", ""no"")"),"Kontakt lagt til!")</f>
        <v>Kontakt lagt til!</v>
      </c>
      <c r="Y747" s="7" t="str">
        <f>IFERROR(__xludf.DUMMYFUNCTION("GOOGLETRANSLATE(C747, ""en"", ""pl"")"),"Skontaktuj się z dodanym!")</f>
        <v>Skontaktuj się z dodanym!</v>
      </c>
      <c r="Z747" s="7" t="str">
        <f>IFERROR(__xludf.DUMMYFUNCTION("GOOGLETRANSLATE(C747, ""en"", ""pt"")"),"Contato Adicionado!")</f>
        <v>Contato Adicionado!</v>
      </c>
      <c r="AA747" s="7" t="str">
        <f>IFERROR(__xludf.DUMMYFUNCTION("GOOGLETRANSLATE(C747, ""en"", ""ro"")"),"Contactul a adăugat!")</f>
        <v>Contactul a adăugat!</v>
      </c>
      <c r="AB747" s="1" t="s">
        <v>15466</v>
      </c>
      <c r="AC747" s="7" t="str">
        <f>IFERROR(__xludf.DUMMYFUNCTION("GOOGLETRANSLATE(C747, ""en"", ""sk"")"),"Pridaný kontakt!")</f>
        <v>Pridaný kontakt!</v>
      </c>
      <c r="AD747" s="6" t="s">
        <v>132</v>
      </c>
      <c r="AE747" s="1" t="s">
        <v>15467</v>
      </c>
      <c r="AF747" s="7" t="str">
        <f>IFERROR(__xludf.DUMMYFUNCTION("GOOGLETRANSLATE(C747, ""en"", ""sv"")"),"Kontakta tillagd!")</f>
        <v>Kontakta tillagd!</v>
      </c>
      <c r="AG747" s="6" t="s">
        <v>132</v>
      </c>
      <c r="AH747" s="7" t="str">
        <f>IFERROR(__xludf.DUMMYFUNCTION("GOOGLETRANSLATE(C747, ""en"", ""tr"")"),"İletişim Eklendi!")</f>
        <v>İletişim Eklendi!</v>
      </c>
      <c r="AI747" s="6" t="s">
        <v>132</v>
      </c>
      <c r="AJ747" s="6" t="s">
        <v>132</v>
      </c>
      <c r="AK747" s="7" t="str">
        <f>IFERROR(__xludf.DUMMYFUNCTION("GOOGLETRANSLATE(C747, ""en"", ""zh"")"),"联系添加！")</f>
        <v>联系添加！</v>
      </c>
      <c r="AL747" s="6" t="s">
        <v>132</v>
      </c>
    </row>
    <row r="748" ht="15.75" hidden="1" customHeight="1">
      <c r="A748" s="1" t="s">
        <v>38</v>
      </c>
      <c r="B748" s="1" t="s">
        <v>15468</v>
      </c>
      <c r="C748" s="1" t="s">
        <v>15469</v>
      </c>
      <c r="D748" s="7" t="str">
        <f>IFERROR(__xludf.DUMMYFUNCTION("GOOGLETRANSLATE(C748, ""en"", ""ar"")"),"هندوراس")</f>
        <v>هندوراس</v>
      </c>
      <c r="E748" s="7" t="str">
        <f>IFERROR(__xludf.DUMMYFUNCTION("GOOGLETRANSLATE(C748, ""en"", ""bg"")"),"Хондурас")</f>
        <v>Хондурас</v>
      </c>
      <c r="F748" s="6" t="s">
        <v>132</v>
      </c>
      <c r="G748" s="7" t="str">
        <f>IFERROR(__xludf.DUMMYFUNCTION("GOOGLETRANSLATE(C748, ""en"", ""cs"")"),"Honduras")</f>
        <v>Honduras</v>
      </c>
      <c r="H748" s="7" t="str">
        <f>IFERROR(__xludf.DUMMYFUNCTION("GOOGLETRANSLATE(C748, ""en"", ""da"")"),"Honduras.")</f>
        <v>Honduras.</v>
      </c>
      <c r="I748" s="1" t="s">
        <v>15469</v>
      </c>
      <c r="J748" s="6" t="s">
        <v>132</v>
      </c>
      <c r="K748" s="1" t="s">
        <v>15469</v>
      </c>
      <c r="L748" s="7" t="str">
        <f>IFERROR(__xludf.DUMMYFUNCTION("GOOGLETRANSLATE(C748, ""en"", ""fi"")"),"Honduras")</f>
        <v>Honduras</v>
      </c>
      <c r="M748" s="1" t="s">
        <v>15469</v>
      </c>
      <c r="N748" s="6" t="s">
        <v>132</v>
      </c>
      <c r="O748" s="6" t="s">
        <v>132</v>
      </c>
      <c r="P748" s="1" t="s">
        <v>15469</v>
      </c>
      <c r="Q748" s="7" t="str">
        <f>IFERROR(__xludf.DUMMYFUNCTION("GOOGLETRANSLATE(C748, ""en"", ""in"")"),"Honduras.")</f>
        <v>Honduras.</v>
      </c>
      <c r="R748" s="7" t="str">
        <f>IFERROR(__xludf.DUMMYFUNCTION("GOOGLETRANSLATE(C748, ""en"", ""it"")"),"Honduras")</f>
        <v>Honduras</v>
      </c>
      <c r="S748" s="6" t="s">
        <v>132</v>
      </c>
      <c r="T748" s="7" t="str">
        <f>IFERROR(__xludf.DUMMYFUNCTION("GOOGLETRANSLATE(C748, ""en"", ""ja"")"),"ホンジュラス")</f>
        <v>ホンジュラス</v>
      </c>
      <c r="U748" s="7" t="str">
        <f>IFERROR(__xludf.DUMMYFUNCTION("GOOGLETRANSLATE(C748, ""en"", ""ko"")"),"온두라스")</f>
        <v>온두라스</v>
      </c>
      <c r="V748" s="7" t="str">
        <f>IFERROR(__xludf.DUMMYFUNCTION("GOOGLETRANSLATE(C748, ""en"", ""ms"")"),"Honduras.")</f>
        <v>Honduras.</v>
      </c>
      <c r="W748" s="7" t="str">
        <f>IFERROR(__xludf.DUMMYFUNCTION("GOOGLETRANSLATE(C748, ""en"", ""nl"")"),"Honduras")</f>
        <v>Honduras</v>
      </c>
      <c r="X748" s="7" t="str">
        <f>IFERROR(__xludf.DUMMYFUNCTION("GOOGLETRANSLATE(C748, ""en"", ""no"")"),"Honduras.")</f>
        <v>Honduras.</v>
      </c>
      <c r="Y748" s="7" t="str">
        <f>IFERROR(__xludf.DUMMYFUNCTION("GOOGLETRANSLATE(C748, ""en"", ""pl"")"),"Honduras.")</f>
        <v>Honduras.</v>
      </c>
      <c r="Z748" s="7" t="str">
        <f>IFERROR(__xludf.DUMMYFUNCTION("GOOGLETRANSLATE(C748, ""en"", ""pt"")"),"Honduras")</f>
        <v>Honduras</v>
      </c>
      <c r="AA748" s="7" t="str">
        <f>IFERROR(__xludf.DUMMYFUNCTION("GOOGLETRANSLATE(C748, ""en"", ""ro"")"),"Honduras.")</f>
        <v>Honduras.</v>
      </c>
      <c r="AB748" s="1" t="s">
        <v>15470</v>
      </c>
      <c r="AC748" s="7" t="str">
        <f>IFERROR(__xludf.DUMMYFUNCTION("GOOGLETRANSLATE(C748, ""en"", ""sk"")"),"Honduras")</f>
        <v>Honduras</v>
      </c>
      <c r="AD748" s="6" t="s">
        <v>132</v>
      </c>
      <c r="AE748" s="1" t="s">
        <v>15469</v>
      </c>
      <c r="AF748" s="7" t="str">
        <f>IFERROR(__xludf.DUMMYFUNCTION("GOOGLETRANSLATE(C748, ""en"", ""sv"")"),"Honduras")</f>
        <v>Honduras</v>
      </c>
      <c r="AG748" s="6" t="s">
        <v>132</v>
      </c>
      <c r="AH748" s="7" t="str">
        <f>IFERROR(__xludf.DUMMYFUNCTION("GOOGLETRANSLATE(C748, ""en"", ""tr"")"),"Honduras")</f>
        <v>Honduras</v>
      </c>
      <c r="AI748" s="6" t="s">
        <v>132</v>
      </c>
      <c r="AJ748" s="6" t="s">
        <v>132</v>
      </c>
      <c r="AK748" s="7" t="str">
        <f>IFERROR(__xludf.DUMMYFUNCTION("GOOGLETRANSLATE(C748, ""en"", ""zh"")"),"洪都拉斯")</f>
        <v>洪都拉斯</v>
      </c>
      <c r="AL748" s="6" t="s">
        <v>132</v>
      </c>
    </row>
    <row r="749" ht="15.75" hidden="1" customHeight="1">
      <c r="A749" s="1" t="s">
        <v>38</v>
      </c>
      <c r="B749" s="1" t="s">
        <v>15471</v>
      </c>
      <c r="C749" s="1" t="s">
        <v>15472</v>
      </c>
      <c r="D749" s="8" t="s">
        <v>15473</v>
      </c>
      <c r="E749" s="1" t="s">
        <v>15474</v>
      </c>
      <c r="F749" s="6" t="s">
        <v>15475</v>
      </c>
      <c r="G749" s="7" t="str">
        <f>IFERROR(__xludf.DUMMYFUNCTION("GOOGLETRANSLATE(C749, ""en"", ""cs"")"),"Sdílený text s% s")</f>
        <v>Sdílený text s% s</v>
      </c>
      <c r="H749" s="7" t="str">
        <f>IFERROR(__xludf.DUMMYFUNCTION("GOOGLETRANSLATE(C749, ""en"", ""da"")"),"Deltekst med% s")</f>
        <v>Deltekst med% s</v>
      </c>
      <c r="I749" s="1" t="s">
        <v>15476</v>
      </c>
      <c r="J749" s="6" t="s">
        <v>132</v>
      </c>
      <c r="K749" s="1" t="s">
        <v>15477</v>
      </c>
      <c r="L749" s="7" t="str">
        <f>IFERROR(__xludf.DUMMYFUNCTION("GOOGLETRANSLATE(C749, ""en"", ""fi"")"),"Jaettu teksti% s")</f>
        <v>Jaettu teksti% s</v>
      </c>
      <c r="M749" s="1" t="s">
        <v>15478</v>
      </c>
      <c r="N749" s="6" t="s">
        <v>15479</v>
      </c>
      <c r="O749" s="6" t="s">
        <v>132</v>
      </c>
      <c r="P749" s="1" t="s">
        <v>15480</v>
      </c>
      <c r="Q749" s="7" t="str">
        <f>IFERROR(__xludf.DUMMYFUNCTION("GOOGLETRANSLATE(C749, ""en"", ""in"")"),"Teks bersama dengan% s")</f>
        <v>Teks bersama dengan% s</v>
      </c>
      <c r="R749" s="1" t="s">
        <v>15481</v>
      </c>
      <c r="S749" s="6" t="s">
        <v>132</v>
      </c>
      <c r="T749" s="1" t="s">
        <v>15482</v>
      </c>
      <c r="U749" s="1" t="s">
        <v>15483</v>
      </c>
      <c r="V749" s="7" t="str">
        <f>IFERROR(__xludf.DUMMYFUNCTION("GOOGLETRANSLATE(C749, ""en"", ""ms"")"),"Teks yang dikongsi dengan% s")</f>
        <v>Teks yang dikongsi dengan% s</v>
      </c>
      <c r="W749" s="1" t="s">
        <v>15484</v>
      </c>
      <c r="X749" s="7" t="str">
        <f>IFERROR(__xludf.DUMMYFUNCTION("GOOGLETRANSLATE(C749, ""en"", ""no"")"),"Felles tekst med% s")</f>
        <v>Felles tekst med% s</v>
      </c>
      <c r="Y749" s="1" t="s">
        <v>15485</v>
      </c>
      <c r="Z749" s="1" t="s">
        <v>15486</v>
      </c>
      <c r="AA749" s="7" t="str">
        <f>IFERROR(__xludf.DUMMYFUNCTION("GOOGLETRANSLATE(C749, ""en"", ""ro"")"),"Text comun cu% s")</f>
        <v>Text comun cu% s</v>
      </c>
      <c r="AB749" s="1" t="s">
        <v>15487</v>
      </c>
      <c r="AC749" s="7" t="str">
        <f>IFERROR(__xludf.DUMMYFUNCTION("GOOGLETRANSLATE(C749, ""en"", ""sk"")"),"Zdieľaný text s% s")</f>
        <v>Zdieľaný text s% s</v>
      </c>
      <c r="AD749" s="6" t="s">
        <v>132</v>
      </c>
      <c r="AE749" s="1" t="s">
        <v>15488</v>
      </c>
      <c r="AF749" s="1" t="s">
        <v>15489</v>
      </c>
      <c r="AG749" s="6" t="s">
        <v>132</v>
      </c>
      <c r="AH749" s="7" t="str">
        <f>IFERROR(__xludf.DUMMYFUNCTION("GOOGLETRANSLATE(C749, ""en"", ""tr"")"),"% S ile paylaşılan metin")</f>
        <v>% S ile paylaşılan metin</v>
      </c>
      <c r="AI749" s="6" t="s">
        <v>15490</v>
      </c>
      <c r="AJ749" s="6" t="s">
        <v>132</v>
      </c>
      <c r="AK749" s="7" t="str">
        <f>IFERROR(__xludf.DUMMYFUNCTION("GOOGLETRANSLATE(C749, ""en"", ""zh"")"),"具有％s的共享文本")</f>
        <v>具有％s的共享文本</v>
      </c>
      <c r="AL749" s="6" t="s">
        <v>15491</v>
      </c>
    </row>
    <row r="750" ht="15.75" hidden="1" customHeight="1">
      <c r="A750" s="1" t="s">
        <v>38</v>
      </c>
      <c r="B750" s="1" t="s">
        <v>15492</v>
      </c>
      <c r="C750" s="1" t="s">
        <v>15493</v>
      </c>
      <c r="D750" s="8" t="s">
        <v>15494</v>
      </c>
      <c r="E750" s="1" t="s">
        <v>15495</v>
      </c>
      <c r="F750" s="6" t="s">
        <v>15496</v>
      </c>
      <c r="G750" s="7" t="str">
        <f>IFERROR(__xludf.DUMMYFUNCTION("GOOGLETRANSLATE(C750, ""en"", ""cs"")"),"Server neodpovídá za doménu")</f>
        <v>Server neodpovídá za doménu</v>
      </c>
      <c r="H750" s="7" t="str">
        <f>IFERROR(__xludf.DUMMYFUNCTION("GOOGLETRANSLATE(C750, ""en"", ""da"")"),"Server ikke ansvarlig for domæne")</f>
        <v>Server ikke ansvarlig for domæne</v>
      </c>
      <c r="I750" s="1" t="s">
        <v>15497</v>
      </c>
      <c r="J750" s="6" t="s">
        <v>132</v>
      </c>
      <c r="K750" s="1" t="s">
        <v>15498</v>
      </c>
      <c r="L750" s="7" t="str">
        <f>IFERROR(__xludf.DUMMYFUNCTION("GOOGLETRANSLATE(C750, ""en"", ""fi"")"),"Palvelin ei ole vastuussa verkkotunnuksesta")</f>
        <v>Palvelin ei ole vastuussa verkkotunnuksesta</v>
      </c>
      <c r="M750" s="1" t="s">
        <v>15499</v>
      </c>
      <c r="N750" s="6" t="s">
        <v>15500</v>
      </c>
      <c r="O750" s="6" t="s">
        <v>132</v>
      </c>
      <c r="P750" s="1" t="s">
        <v>15501</v>
      </c>
      <c r="Q750" s="7" t="str">
        <f>IFERROR(__xludf.DUMMYFUNCTION("GOOGLETRANSLATE(C750, ""en"", ""in"")"),"Server tidak bertanggung jawab atas domain")</f>
        <v>Server tidak bertanggung jawab atas domain</v>
      </c>
      <c r="R750" s="1" t="s">
        <v>15502</v>
      </c>
      <c r="S750" s="6" t="s">
        <v>132</v>
      </c>
      <c r="T750" s="1" t="s">
        <v>15503</v>
      </c>
      <c r="U750" s="1" t="s">
        <v>15504</v>
      </c>
      <c r="V750" s="7" t="str">
        <f>IFERROR(__xludf.DUMMYFUNCTION("GOOGLETRANSLATE(C750, ""en"", ""ms"")"),"Pelayan tidak bertanggungjawab untuk domain")</f>
        <v>Pelayan tidak bertanggungjawab untuk domain</v>
      </c>
      <c r="W750" s="1" t="s">
        <v>15505</v>
      </c>
      <c r="X750" s="7" t="str">
        <f>IFERROR(__xludf.DUMMYFUNCTION("GOOGLETRANSLATE(C750, ""en"", ""no"")"),"Server ikke ansvarlig for domenet")</f>
        <v>Server ikke ansvarlig for domenet</v>
      </c>
      <c r="Y750" s="1" t="s">
        <v>15506</v>
      </c>
      <c r="Z750" s="1" t="s">
        <v>15507</v>
      </c>
      <c r="AA750" s="7" t="str">
        <f>IFERROR(__xludf.DUMMYFUNCTION("GOOGLETRANSLATE(C750, ""en"", ""ro"")"),"Serverul nu este responsabil pentru domeniul")</f>
        <v>Serverul nu este responsabil pentru domeniul</v>
      </c>
      <c r="AB750" s="1" t="s">
        <v>15508</v>
      </c>
      <c r="AC750" s="7" t="str">
        <f>IFERROR(__xludf.DUMMYFUNCTION("GOOGLETRANSLATE(C750, ""en"", ""sk"")"),"Server nezodpovedá za doménu")</f>
        <v>Server nezodpovedá za doménu</v>
      </c>
      <c r="AD750" s="6" t="s">
        <v>132</v>
      </c>
      <c r="AE750" s="1" t="s">
        <v>15509</v>
      </c>
      <c r="AF750" s="1" t="s">
        <v>15510</v>
      </c>
      <c r="AG750" s="6" t="s">
        <v>132</v>
      </c>
      <c r="AH750" s="7" t="str">
        <f>IFERROR(__xludf.DUMMYFUNCTION("GOOGLETRANSLATE(C750, ""en"", ""tr"")"),"Sunucu etki alanından sorumlu değil")</f>
        <v>Sunucu etki alanından sorumlu değil</v>
      </c>
      <c r="AI750" s="6" t="s">
        <v>15511</v>
      </c>
      <c r="AJ750" s="6" t="s">
        <v>132</v>
      </c>
      <c r="AK750" s="7" t="str">
        <f>IFERROR(__xludf.DUMMYFUNCTION("GOOGLETRANSLATE(C750, ""en"", ""zh"")"),"服务器不对域负责")</f>
        <v>服务器不对域负责</v>
      </c>
      <c r="AL750" s="6" t="s">
        <v>15512</v>
      </c>
    </row>
    <row r="751" ht="15.75" customHeight="1">
      <c r="A751" s="1" t="s">
        <v>127</v>
      </c>
      <c r="B751" s="1" t="s">
        <v>15513</v>
      </c>
      <c r="C751" s="1" t="s">
        <v>15514</v>
      </c>
      <c r="D751" s="8" t="s">
        <v>15515</v>
      </c>
      <c r="E751" s="1" t="s">
        <v>15514</v>
      </c>
      <c r="F751" s="6" t="s">
        <v>132</v>
      </c>
      <c r="G751" s="1" t="s">
        <v>15514</v>
      </c>
      <c r="H751" s="1" t="s">
        <v>15514</v>
      </c>
      <c r="I751" s="1" t="s">
        <v>15514</v>
      </c>
      <c r="J751" s="6" t="s">
        <v>15514</v>
      </c>
      <c r="K751" s="1" t="s">
        <v>15514</v>
      </c>
      <c r="L751" s="1" t="s">
        <v>15514</v>
      </c>
      <c r="M751" s="1" t="s">
        <v>15516</v>
      </c>
      <c r="N751" s="6" t="s">
        <v>132</v>
      </c>
      <c r="O751" s="6" t="s">
        <v>15517</v>
      </c>
      <c r="P751" s="1" t="s">
        <v>15514</v>
      </c>
      <c r="Q751" s="1" t="s">
        <v>15514</v>
      </c>
      <c r="R751" s="1" t="s">
        <v>15514</v>
      </c>
      <c r="S751" s="6" t="s">
        <v>132</v>
      </c>
      <c r="T751" s="1" t="s">
        <v>15514</v>
      </c>
      <c r="U751" s="1" t="s">
        <v>15518</v>
      </c>
      <c r="V751" s="1" t="s">
        <v>15514</v>
      </c>
      <c r="W751" s="1" t="s">
        <v>15519</v>
      </c>
      <c r="X751" s="1" t="s">
        <v>15520</v>
      </c>
      <c r="Y751" s="1" t="s">
        <v>15514</v>
      </c>
      <c r="Z751" s="1" t="s">
        <v>15514</v>
      </c>
      <c r="AA751" s="1" t="s">
        <v>15514</v>
      </c>
      <c r="AB751" s="1" t="s">
        <v>15514</v>
      </c>
      <c r="AC751" s="1" t="s">
        <v>15514</v>
      </c>
      <c r="AD751" s="6" t="s">
        <v>15514</v>
      </c>
      <c r="AE751" s="1" t="s">
        <v>15514</v>
      </c>
      <c r="AF751" s="1" t="s">
        <v>15514</v>
      </c>
      <c r="AG751" s="6" t="s">
        <v>15521</v>
      </c>
      <c r="AH751" s="1" t="s">
        <v>15522</v>
      </c>
      <c r="AI751" s="6" t="s">
        <v>132</v>
      </c>
      <c r="AJ751" s="6" t="s">
        <v>15514</v>
      </c>
      <c r="AK751" s="1" t="s">
        <v>15523</v>
      </c>
      <c r="AL751" s="6" t="s">
        <v>15524</v>
      </c>
    </row>
    <row r="752" ht="15.75" hidden="1" customHeight="1">
      <c r="A752" s="1" t="s">
        <v>38</v>
      </c>
      <c r="B752" s="1" t="s">
        <v>15525</v>
      </c>
      <c r="C752" s="1" t="s">
        <v>15526</v>
      </c>
      <c r="D752" s="8" t="s">
        <v>15527</v>
      </c>
      <c r="E752" s="1" t="s">
        <v>15528</v>
      </c>
      <c r="F752" s="6" t="s">
        <v>15529</v>
      </c>
      <c r="G752" s="7" t="str">
        <f>IFERROR(__xludf.DUMMYFUNCTION("GOOGLETRANSLATE(C752, ""en"", ""cs"")"),"Ovoky správce privilegií")</f>
        <v>Ovoky správce privilegií</v>
      </c>
      <c r="H752" s="7" t="str">
        <f>IFERROR(__xludf.DUMMYFUNCTION("GOOGLETRANSLATE(C752, ""en"", ""da"")"),"Revoke admin privilegier")</f>
        <v>Revoke admin privilegier</v>
      </c>
      <c r="I752" s="1" t="s">
        <v>15530</v>
      </c>
      <c r="J752" s="6" t="s">
        <v>132</v>
      </c>
      <c r="K752" s="1" t="s">
        <v>15531</v>
      </c>
      <c r="L752" s="7" t="str">
        <f>IFERROR(__xludf.DUMMYFUNCTION("GOOGLETRANSLATE(C752, ""en"", ""fi"")"),"Peruuttaa admin-etuoikeudet")</f>
        <v>Peruuttaa admin-etuoikeudet</v>
      </c>
      <c r="M752" s="1" t="s">
        <v>15532</v>
      </c>
      <c r="N752" s="6" t="s">
        <v>15533</v>
      </c>
      <c r="O752" s="6" t="s">
        <v>132</v>
      </c>
      <c r="P752" s="1" t="s">
        <v>15534</v>
      </c>
      <c r="Q752" s="9" t="s">
        <v>15535</v>
      </c>
      <c r="R752" s="1" t="s">
        <v>15536</v>
      </c>
      <c r="S752" s="6" t="s">
        <v>132</v>
      </c>
      <c r="T752" s="1" t="s">
        <v>15537</v>
      </c>
      <c r="U752" s="1" t="s">
        <v>15538</v>
      </c>
      <c r="V752" s="7" t="str">
        <f>IFERROR(__xludf.DUMMYFUNCTION("GOOGLETRANSLATE(C752, ""en"", ""ms"")"),"Membatalkan keistimewaan admin.")</f>
        <v>Membatalkan keistimewaan admin.</v>
      </c>
      <c r="W752" s="1" t="s">
        <v>15539</v>
      </c>
      <c r="X752" s="7" t="str">
        <f>IFERROR(__xludf.DUMMYFUNCTION("GOOGLETRANSLATE(C752, ""en"", ""no"")"),"Tilbakekalle admin privilegier")</f>
        <v>Tilbakekalle admin privilegier</v>
      </c>
      <c r="Y752" s="1" t="s">
        <v>15540</v>
      </c>
      <c r="Z752" s="1" t="s">
        <v>15541</v>
      </c>
      <c r="AA752" s="7" t="str">
        <f>IFERROR(__xludf.DUMMYFUNCTION("GOOGLETRANSLATE(C752, ""en"", ""ro"")"),"Revocați privilegii de admin")</f>
        <v>Revocați privilegii de admin</v>
      </c>
      <c r="AB752" s="1" t="s">
        <v>15542</v>
      </c>
      <c r="AC752" s="1" t="s">
        <v>15543</v>
      </c>
      <c r="AD752" s="6" t="s">
        <v>132</v>
      </c>
      <c r="AE752" s="1" t="s">
        <v>15544</v>
      </c>
      <c r="AF752" s="1" t="s">
        <v>15545</v>
      </c>
      <c r="AG752" s="6" t="s">
        <v>132</v>
      </c>
      <c r="AH752" s="7" t="str">
        <f>IFERROR(__xludf.DUMMYFUNCTION("GOOGLETRANSLATE(C752, ""en"", ""tr"")"),"Yönetici ayrıcalıklarını iptal et")</f>
        <v>Yönetici ayrıcalıklarını iptal et</v>
      </c>
      <c r="AI752" s="6" t="s">
        <v>15546</v>
      </c>
      <c r="AJ752" s="6" t="s">
        <v>15547</v>
      </c>
      <c r="AK752" s="7" t="str">
        <f>IFERROR(__xludf.DUMMYFUNCTION("GOOGLETRANSLATE(C752, ""en"", ""zh"")"),"撤消管理员权限")</f>
        <v>撤消管理员权限</v>
      </c>
      <c r="AL752" s="6" t="s">
        <v>15548</v>
      </c>
    </row>
    <row r="753" ht="15.75" hidden="1" customHeight="1">
      <c r="A753" s="1" t="s">
        <v>38</v>
      </c>
      <c r="B753" s="1" t="s">
        <v>15549</v>
      </c>
      <c r="C753" s="1" t="s">
        <v>15550</v>
      </c>
      <c r="D753" s="8" t="s">
        <v>15551</v>
      </c>
      <c r="E753" s="1" t="s">
        <v>15552</v>
      </c>
      <c r="F753" s="6" t="s">
        <v>15553</v>
      </c>
      <c r="G753" s="7" t="str">
        <f>IFERROR(__xludf.DUMMYFUNCTION("GOOGLETRANSLATE(C753, ""en"", ""cs"")"),"Modifikované možnosti chatu skupiny!")</f>
        <v>Modifikované možnosti chatu skupiny!</v>
      </c>
      <c r="H753" s="7" t="str">
        <f>IFERROR(__xludf.DUMMYFUNCTION("GOOGLETRANSLATE(C753, ""en"", ""da"")"),"MODIFIED GROUP chat Valg!")</f>
        <v>MODIFIED GROUP chat Valg!</v>
      </c>
      <c r="I753" s="1" t="s">
        <v>15554</v>
      </c>
      <c r="J753" s="6" t="s">
        <v>132</v>
      </c>
      <c r="K753" s="1" t="s">
        <v>15555</v>
      </c>
      <c r="L753" s="7" t="str">
        <f>IFERROR(__xludf.DUMMYFUNCTION("GOOGLETRANSLATE(C753, ""en"", ""fi"")"),"Modifioidut ryhmäkeskustelut!")</f>
        <v>Modifioidut ryhmäkeskustelut!</v>
      </c>
      <c r="M753" s="1" t="s">
        <v>15556</v>
      </c>
      <c r="N753" s="6" t="s">
        <v>15557</v>
      </c>
      <c r="O753" s="6" t="s">
        <v>132</v>
      </c>
      <c r="P753" s="1" t="s">
        <v>15558</v>
      </c>
      <c r="Q753" s="7" t="str">
        <f>IFERROR(__xludf.DUMMYFUNCTION("GOOGLETRANSLATE(C753, ""en"", ""in"")"),"Opsi obrolan grup yang dimodifikasi!")</f>
        <v>Opsi obrolan grup yang dimodifikasi!</v>
      </c>
      <c r="R753" s="1" t="s">
        <v>15559</v>
      </c>
      <c r="S753" s="6" t="s">
        <v>132</v>
      </c>
      <c r="T753" s="1" t="s">
        <v>15560</v>
      </c>
      <c r="U753" s="7" t="str">
        <f>IFERROR(__xludf.DUMMYFUNCTION("GOOGLETRANSLATE(C753, ""en"", ""ko"")"),"수정 된 그룹 채팅 옵션!")</f>
        <v>수정 된 그룹 채팅 옵션!</v>
      </c>
      <c r="V753" s="7" t="str">
        <f>IFERROR(__xludf.DUMMYFUNCTION("GOOGLETRANSLATE(C753, ""en"", ""ms"")"),"Pilihan sembang kumpulan yang diubahsuai!")</f>
        <v>Pilihan sembang kumpulan yang diubahsuai!</v>
      </c>
      <c r="W753" s="1" t="s">
        <v>15561</v>
      </c>
      <c r="X753" s="7" t="str">
        <f>IFERROR(__xludf.DUMMYFUNCTION("GOOGLETRANSLATE(C753, ""en"", ""no"")"),"Modifisert gruppe chat alternativer!")</f>
        <v>Modifisert gruppe chat alternativer!</v>
      </c>
      <c r="Y753" s="1" t="s">
        <v>15562</v>
      </c>
      <c r="Z753" s="1" t="s">
        <v>15563</v>
      </c>
      <c r="AA753" s="7" t="str">
        <f>IFERROR(__xludf.DUMMYFUNCTION("GOOGLETRANSLATE(C753, ""en"", ""ro"")"),"Opțiuni de chat de grup modificate!")</f>
        <v>Opțiuni de chat de grup modificate!</v>
      </c>
      <c r="AB753" s="1" t="s">
        <v>15564</v>
      </c>
      <c r="AC753" s="7" t="str">
        <f>IFERROR(__xludf.DUMMYFUNCTION("GOOGLETRANSLATE(C753, ""en"", ""sk"")"),"Modifikované možnosti chatovania skupiny!")</f>
        <v>Modifikované možnosti chatovania skupiny!</v>
      </c>
      <c r="AD753" s="6" t="s">
        <v>132</v>
      </c>
      <c r="AE753" s="1" t="s">
        <v>15565</v>
      </c>
      <c r="AF753" s="7" t="str">
        <f>IFERROR(__xludf.DUMMYFUNCTION("GOOGLETRANSLATE(C753, ""en"", ""sv"")"),"Modifierade gruppchattalternativ!")</f>
        <v>Modifierade gruppchattalternativ!</v>
      </c>
      <c r="AG753" s="6" t="s">
        <v>132</v>
      </c>
      <c r="AH753" s="7" t="str">
        <f>IFERROR(__xludf.DUMMYFUNCTION("GOOGLETRANSLATE(C753, ""en"", ""tr"")"),"Değiştirilmiş Grup Sohbet Seçenekleri!")</f>
        <v>Değiştirilmiş Grup Sohbet Seçenekleri!</v>
      </c>
      <c r="AI753" s="6" t="s">
        <v>132</v>
      </c>
      <c r="AJ753" s="6" t="s">
        <v>132</v>
      </c>
      <c r="AK753" s="7" t="str">
        <f>IFERROR(__xludf.DUMMYFUNCTION("GOOGLETRANSLATE(C753, ""en"", ""zh"")"),"修改的群组聊天选项！")</f>
        <v>修改的群组聊天选项！</v>
      </c>
      <c r="AL753" s="6" t="s">
        <v>132</v>
      </c>
    </row>
    <row r="754" ht="15.75" hidden="1" customHeight="1">
      <c r="A754" s="1" t="s">
        <v>38</v>
      </c>
      <c r="B754" s="1" t="s">
        <v>15566</v>
      </c>
      <c r="C754" s="1" t="s">
        <v>15566</v>
      </c>
      <c r="D754" s="7" t="str">
        <f>IFERROR(__xludf.DUMMYFUNCTION("GOOGLETRANSLATE(C754, ""en"", ""ar"")"),"غير متصل على الانترنت")</f>
        <v>غير متصل على الانترنت</v>
      </c>
      <c r="E754" s="7" t="str">
        <f>IFERROR(__xludf.DUMMYFUNCTION("GOOGLETRANSLATE(C754, ""en"", ""bg"")"),"извън линия")</f>
        <v>извън линия</v>
      </c>
      <c r="F754" s="6" t="s">
        <v>132</v>
      </c>
      <c r="G754" s="7" t="str">
        <f>IFERROR(__xludf.DUMMYFUNCTION("GOOGLETRANSLATE(C754, ""en"", ""cs"")"),"Offline.")</f>
        <v>Offline.</v>
      </c>
      <c r="H754" s="7" t="str">
        <f>IFERROR(__xludf.DUMMYFUNCTION("GOOGLETRANSLATE(C754, ""en"", ""da"")"),"offline.")</f>
        <v>offline.</v>
      </c>
      <c r="I754" s="1" t="s">
        <v>15566</v>
      </c>
      <c r="J754" s="6" t="s">
        <v>132</v>
      </c>
      <c r="K754" s="1" t="s">
        <v>15566</v>
      </c>
      <c r="L754" s="7" t="str">
        <f>IFERROR(__xludf.DUMMYFUNCTION("GOOGLETRANSLATE(C754, ""en"", ""fi"")"),"offline")</f>
        <v>offline</v>
      </c>
      <c r="M754" s="1" t="s">
        <v>15567</v>
      </c>
      <c r="N754" s="6" t="s">
        <v>132</v>
      </c>
      <c r="O754" s="6" t="s">
        <v>132</v>
      </c>
      <c r="P754" s="1" t="s">
        <v>15566</v>
      </c>
      <c r="Q754" s="7" t="str">
        <f>IFERROR(__xludf.DUMMYFUNCTION("GOOGLETRANSLATE(C754, ""en"", ""in"")"),"Offline.")</f>
        <v>Offline.</v>
      </c>
      <c r="R754" s="7" t="str">
        <f>IFERROR(__xludf.DUMMYFUNCTION("GOOGLETRANSLATE(C754, ""en"", ""it"")"),"disconnesso")</f>
        <v>disconnesso</v>
      </c>
      <c r="S754" s="6" t="s">
        <v>132</v>
      </c>
      <c r="T754" s="7" t="str">
        <f>IFERROR(__xludf.DUMMYFUNCTION("GOOGLETRANSLATE(C754, ""en"", ""ja"")"),"オフライン")</f>
        <v>オフライン</v>
      </c>
      <c r="U754" s="7" t="str">
        <f>IFERROR(__xludf.DUMMYFUNCTION("GOOGLETRANSLATE(C754, ""en"", ""ko"")"),"오프라인")</f>
        <v>오프라인</v>
      </c>
      <c r="V754" s="7" t="str">
        <f>IFERROR(__xludf.DUMMYFUNCTION("GOOGLETRANSLATE(C754, ""en"", ""ms"")"),"offline")</f>
        <v>offline</v>
      </c>
      <c r="W754" s="7" t="str">
        <f>IFERROR(__xludf.DUMMYFUNCTION("GOOGLETRANSLATE(C754, ""en"", ""nl"")"),"offline")</f>
        <v>offline</v>
      </c>
      <c r="X754" s="7" t="str">
        <f>IFERROR(__xludf.DUMMYFUNCTION("GOOGLETRANSLATE(C754, ""en"", ""no"")"),"offline.")</f>
        <v>offline.</v>
      </c>
      <c r="Y754" s="7" t="str">
        <f>IFERROR(__xludf.DUMMYFUNCTION("GOOGLETRANSLATE(C754, ""en"", ""pl"")"),"offline.")</f>
        <v>offline.</v>
      </c>
      <c r="Z754" s="7" t="str">
        <f>IFERROR(__xludf.DUMMYFUNCTION("GOOGLETRANSLATE(C754, ""en"", ""pt"")"),"desligada")</f>
        <v>desligada</v>
      </c>
      <c r="AA754" s="7" t="str">
        <f>IFERROR(__xludf.DUMMYFUNCTION("GOOGLETRANSLATE(C754, ""en"", ""ro"")"),"deconectat")</f>
        <v>deconectat</v>
      </c>
      <c r="AB754" s="1" t="s">
        <v>15568</v>
      </c>
      <c r="AC754" s="7" t="str">
        <f>IFERROR(__xludf.DUMMYFUNCTION("GOOGLETRANSLATE(C754, ""en"", ""sk"")"),"v režime offline")</f>
        <v>v režime offline</v>
      </c>
      <c r="AD754" s="6" t="s">
        <v>132</v>
      </c>
      <c r="AE754" s="1" t="s">
        <v>15569</v>
      </c>
      <c r="AF754" s="7" t="str">
        <f>IFERROR(__xludf.DUMMYFUNCTION("GOOGLETRANSLATE(C754, ""en"", ""sv"")"),"off-line")</f>
        <v>off-line</v>
      </c>
      <c r="AG754" s="6" t="s">
        <v>132</v>
      </c>
      <c r="AH754" s="7" t="str">
        <f>IFERROR(__xludf.DUMMYFUNCTION("GOOGLETRANSLATE(C754, ""en"", ""tr"")"),"çevrimdışı")</f>
        <v>çevrimdışı</v>
      </c>
      <c r="AI754" s="6" t="s">
        <v>132</v>
      </c>
      <c r="AJ754" s="6" t="s">
        <v>132</v>
      </c>
      <c r="AK754" s="7" t="str">
        <f>IFERROR(__xludf.DUMMYFUNCTION("GOOGLETRANSLATE(C754, ""en"", ""zh"")"),"离线")</f>
        <v>离线</v>
      </c>
      <c r="AL754" s="6" t="s">
        <v>132</v>
      </c>
    </row>
    <row r="755" ht="15.75" customHeight="1">
      <c r="A755" s="1" t="s">
        <v>127</v>
      </c>
      <c r="B755" s="1" t="s">
        <v>15570</v>
      </c>
      <c r="C755" s="1" t="s">
        <v>15571</v>
      </c>
      <c r="D755" s="8" t="s">
        <v>15572</v>
      </c>
      <c r="E755" s="1" t="s">
        <v>15573</v>
      </c>
      <c r="F755" s="6" t="s">
        <v>132</v>
      </c>
      <c r="G755" s="1" t="s">
        <v>15574</v>
      </c>
      <c r="H755" s="1" t="s">
        <v>15575</v>
      </c>
      <c r="I755" s="1" t="s">
        <v>15576</v>
      </c>
      <c r="J755" s="6" t="s">
        <v>15577</v>
      </c>
      <c r="K755" s="1" t="s">
        <v>15578</v>
      </c>
      <c r="L755" s="1" t="s">
        <v>15579</v>
      </c>
      <c r="M755" s="1" t="s">
        <v>15571</v>
      </c>
      <c r="N755" s="6" t="s">
        <v>132</v>
      </c>
      <c r="O755" s="6" t="s">
        <v>15580</v>
      </c>
      <c r="P755" s="1" t="s">
        <v>15571</v>
      </c>
      <c r="Q755" s="1" t="s">
        <v>15581</v>
      </c>
      <c r="R755" s="1" t="s">
        <v>15582</v>
      </c>
      <c r="S755" s="6" t="s">
        <v>132</v>
      </c>
      <c r="T755" s="1" t="s">
        <v>15583</v>
      </c>
      <c r="U755" s="1" t="s">
        <v>15584</v>
      </c>
      <c r="V755" s="1" t="s">
        <v>15585</v>
      </c>
      <c r="W755" s="1" t="s">
        <v>15586</v>
      </c>
      <c r="X755" s="1" t="s">
        <v>15587</v>
      </c>
      <c r="Y755" s="1" t="s">
        <v>15588</v>
      </c>
      <c r="Z755" s="1" t="s">
        <v>15589</v>
      </c>
      <c r="AA755" s="1" t="s">
        <v>15590</v>
      </c>
      <c r="AB755" s="1" t="s">
        <v>15591</v>
      </c>
      <c r="AC755" s="1" t="s">
        <v>15592</v>
      </c>
      <c r="AD755" s="6" t="s">
        <v>15593</v>
      </c>
      <c r="AE755" s="1" t="s">
        <v>15594</v>
      </c>
      <c r="AF755" s="1" t="s">
        <v>15595</v>
      </c>
      <c r="AG755" s="6" t="s">
        <v>15596</v>
      </c>
      <c r="AH755" s="1" t="s">
        <v>15597</v>
      </c>
      <c r="AI755" s="6" t="s">
        <v>132</v>
      </c>
      <c r="AJ755" s="6" t="s">
        <v>15598</v>
      </c>
      <c r="AK755" s="1" t="s">
        <v>15599</v>
      </c>
      <c r="AL755" s="6" t="s">
        <v>132</v>
      </c>
    </row>
    <row r="756" ht="15.75" hidden="1" customHeight="1">
      <c r="A756" s="1" t="s">
        <v>38</v>
      </c>
      <c r="B756" s="1" t="s">
        <v>15600</v>
      </c>
      <c r="C756" s="1" t="s">
        <v>15601</v>
      </c>
      <c r="D756" s="8" t="s">
        <v>15602</v>
      </c>
      <c r="E756" s="1" t="s">
        <v>15603</v>
      </c>
      <c r="F756" s="6" t="s">
        <v>15604</v>
      </c>
      <c r="G756" s="7" t="str">
        <f>IFERROR(__xludf.DUMMYFUNCTION("GOOGLETRANSLATE(C756, ""en"", ""cs"")"),"Dešifrovat")</f>
        <v>Dešifrovat</v>
      </c>
      <c r="H756" s="7" t="str">
        <f>IFERROR(__xludf.DUMMYFUNCTION("GOOGLETRANSLATE(C756, ""en"", ""da"")"),"Dekryptere")</f>
        <v>Dekryptere</v>
      </c>
      <c r="I756" s="1" t="s">
        <v>15605</v>
      </c>
      <c r="J756" s="6" t="s">
        <v>132</v>
      </c>
      <c r="K756" s="1" t="s">
        <v>15606</v>
      </c>
      <c r="L756" s="7" t="str">
        <f>IFERROR(__xludf.DUMMYFUNCTION("GOOGLETRANSLATE(C756, ""en"", ""fi"")"),"Purkaa")</f>
        <v>Purkaa</v>
      </c>
      <c r="M756" s="1" t="s">
        <v>15607</v>
      </c>
      <c r="N756" s="6" t="s">
        <v>15606</v>
      </c>
      <c r="O756" s="6" t="s">
        <v>132</v>
      </c>
      <c r="P756" s="1" t="s">
        <v>15608</v>
      </c>
      <c r="Q756" s="9" t="s">
        <v>15609</v>
      </c>
      <c r="R756" s="1" t="s">
        <v>15610</v>
      </c>
      <c r="S756" s="6" t="s">
        <v>132</v>
      </c>
      <c r="T756" s="1" t="s">
        <v>15611</v>
      </c>
      <c r="U756" s="1" t="s">
        <v>15612</v>
      </c>
      <c r="V756" s="7" t="str">
        <f>IFERROR(__xludf.DUMMYFUNCTION("GOOGLETRANSLATE(C756, ""en"", ""ms"")"),"Menyahsulitkan")</f>
        <v>Menyahsulitkan</v>
      </c>
      <c r="W756" s="1" t="s">
        <v>15613</v>
      </c>
      <c r="X756" s="7" t="str">
        <f>IFERROR(__xludf.DUMMYFUNCTION("GOOGLETRANSLATE(C756, ""en"", ""no"")"),"Dekrypter")</f>
        <v>Dekrypter</v>
      </c>
      <c r="Y756" s="1" t="s">
        <v>15614</v>
      </c>
      <c r="Z756" s="1" t="s">
        <v>15615</v>
      </c>
      <c r="AA756" s="7" t="str">
        <f>IFERROR(__xludf.DUMMYFUNCTION("GOOGLETRANSLATE(C756, ""en"", ""ro"")"),"Decripta")</f>
        <v>Decripta</v>
      </c>
      <c r="AB756" s="1" t="s">
        <v>15616</v>
      </c>
      <c r="AC756" s="1" t="s">
        <v>15617</v>
      </c>
      <c r="AD756" s="6" t="s">
        <v>132</v>
      </c>
      <c r="AE756" s="1" t="s">
        <v>15618</v>
      </c>
      <c r="AF756" s="1" t="s">
        <v>15619</v>
      </c>
      <c r="AG756" s="6" t="s">
        <v>132</v>
      </c>
      <c r="AH756" s="7" t="str">
        <f>IFERROR(__xludf.DUMMYFUNCTION("GOOGLETRANSLATE(C756, ""en"", ""tr"")"),"Şifresini çözmek")</f>
        <v>Şifresini çözmek</v>
      </c>
      <c r="AI756" s="6" t="s">
        <v>15620</v>
      </c>
      <c r="AJ756" s="6" t="s">
        <v>15621</v>
      </c>
      <c r="AK756" s="7" t="str">
        <f>IFERROR(__xludf.DUMMYFUNCTION("GOOGLETRANSLATE(C756, ""en"", ""zh"")"),"解密")</f>
        <v>解密</v>
      </c>
      <c r="AL756" s="6" t="s">
        <v>15622</v>
      </c>
    </row>
    <row r="757" ht="15.75" hidden="1" customHeight="1">
      <c r="A757" s="1" t="s">
        <v>38</v>
      </c>
      <c r="B757" s="1" t="s">
        <v>15623</v>
      </c>
      <c r="C757" s="13" t="s">
        <v>15624</v>
      </c>
      <c r="D757" s="7" t="str">
        <f>IFERROR(__xludf.DUMMYFUNCTION("GOOGLETRANSLATE(C757, ""en"", ""ar"")"),"تعذر على الخادم المصادقة كما \ &amp; amp؛ quot؛٪ s \ &amp; amp؛ quot؛. الشهادة صالحة فقط ل:")</f>
        <v>تعذر على الخادم المصادقة كما \ &amp; amp؛ quot؛٪ s \ &amp; amp؛ quot؛. الشهادة صالحة فقط ل:</v>
      </c>
      <c r="E757" s="1" t="s">
        <v>15625</v>
      </c>
      <c r="F757" s="6" t="s">
        <v>15626</v>
      </c>
      <c r="G757" s="7" t="str">
        <f>IFERROR(__xludf.DUMMYFUNCTION("GOOGLETRANSLATE(C757, ""en"", ""cs"")"),"Server nemohl autentizovat jako ""% s \ a quot;. Certifikát je platný pouze pro:")</f>
        <v>Server nemohl autentizovat jako "% s \ a quot;. Certifikát je platný pouze pro:</v>
      </c>
      <c r="H757" s="13" t="s">
        <v>15627</v>
      </c>
      <c r="I757" s="1" t="s">
        <v>15628</v>
      </c>
      <c r="J757" s="6" t="s">
        <v>132</v>
      </c>
      <c r="K757" s="1" t="s">
        <v>15629</v>
      </c>
      <c r="L757" s="7" t="str">
        <f>IFERROR(__xludf.DUMMYFUNCTION("GOOGLETRANSLATE(C757, ""en"", ""fi"")"),"Palvelin ei voinut todentaa \ &amp; amp; quot;% s \ &amp; amp; quot;. Todistus on voimassa vain:")</f>
        <v>Palvelin ei voinut todentaa \ &amp; amp; quot;% s \ &amp; amp; quot;. Todistus on voimassa vain:</v>
      </c>
      <c r="M757" s="1" t="s">
        <v>15630</v>
      </c>
      <c r="N757" s="6" t="s">
        <v>15631</v>
      </c>
      <c r="O757" s="6" t="s">
        <v>132</v>
      </c>
      <c r="P757" s="1" t="s">
        <v>15632</v>
      </c>
      <c r="Q757" s="13" t="s">
        <v>15633</v>
      </c>
      <c r="R757" s="1" t="s">
        <v>15634</v>
      </c>
      <c r="S757" s="6" t="s">
        <v>132</v>
      </c>
      <c r="T757" s="13" t="s">
        <v>15635</v>
      </c>
      <c r="U757" s="13" t="s">
        <v>15636</v>
      </c>
      <c r="V757" s="13" t="s">
        <v>15637</v>
      </c>
      <c r="W757" s="1" t="s">
        <v>15638</v>
      </c>
      <c r="X757" s="13" t="s">
        <v>15639</v>
      </c>
      <c r="Y757" s="1" t="s">
        <v>15640</v>
      </c>
      <c r="Z757" s="13" t="s">
        <v>15641</v>
      </c>
      <c r="AA757" s="7" t="str">
        <f>IFERROR(__xludf.DUMMYFUNCTION("GOOGLETRANSLATE(C757, ""en"", ""ro"")"),"Serverul nu a putut autentifica ca \ &amp; amp;% s \ &amp; amp; quot;. Certificatul este valabil numai pentru:")</f>
        <v>Serverul nu a putut autentifica ca \ &amp; amp;% s \ &amp; amp; quot;. Certificatul este valabil numai pentru:</v>
      </c>
      <c r="AB757" s="7" t="str">
        <f>IFERROR(__xludf.DUMMYFUNCTION("GOOGLETRANSLATE(C757, ""en"", ""ru"")"),"Сервер не мог пройти аутентификацию AS \ &amp; AMP;%% S \ &amp; AMP; Сертификат действителен только для:")</f>
        <v>Сервер не мог пройти аутентификацию AS \ &amp; AMP;%% S \ &amp; AMP; Сертификат действителен только для:</v>
      </c>
      <c r="AC757" s="7" t="str">
        <f>IFERROR(__xludf.DUMMYFUNCTION("GOOGLETRANSLATE(C757, ""en"", ""sk"")"),"Server nemohol autentifikovať ako quot;% s, quot;. Certifikát je platný len pre:")</f>
        <v>Server nemohol autentifikovať ako quot;% s, quot;. Certifikát je platný len pre:</v>
      </c>
      <c r="AD757" s="6" t="s">
        <v>132</v>
      </c>
      <c r="AE757" s="7" t="str">
        <f>IFERROR(__xludf.DUMMYFUNCTION("GOOGLETRANSLATE(C757, ""en"", ""sr"")"),"Сервер није могао да потврђује као \ &amp; амп;% с \ &amp; амп; "" Сертификат важи само за:")</f>
        <v>Сервер није могао да потврђује као \ &amp; амп;% с \ &amp; амп; " Сертификат важи само за:</v>
      </c>
      <c r="AF757" s="7" t="str">
        <f>IFERROR(__xludf.DUMMYFUNCTION("GOOGLETRANSLATE(C757, ""en"", ""sv"")"),"Servern kunde inte autentisera som \ &amp; amp; quot;% s \ &amp; amp; quot; Certifikatet gäller endast för:")</f>
        <v>Servern kunde inte autentisera som \ &amp; amp; quot;% s \ &amp; amp; quot; Certifikatet gäller endast för:</v>
      </c>
      <c r="AG757" s="6" t="s">
        <v>132</v>
      </c>
      <c r="AH757" s="7" t="str">
        <f>IFERROR(__xludf.DUMMYFUNCTION("GOOGLETRANSLATE(C757, ""en"", ""tr"")"),"Sunucu \ &amp; amp; ""% s \ &amp; amp"" olarak doğrulanamadı. Sertifika sadece için geçerlidir:")</f>
        <v>Sunucu \ &amp; amp; "% s \ &amp; amp" olarak doğrulanamadı. Sertifika sadece için geçerlidir:</v>
      </c>
      <c r="AI757" s="6" t="s">
        <v>132</v>
      </c>
      <c r="AJ757" s="6" t="s">
        <v>132</v>
      </c>
      <c r="AK757" s="7" t="str">
        <f>IFERROR(__xludf.DUMMYFUNCTION("GOOGLETRANSLATE(C757, ""en"", ""zh"")"),"服务器无法验证为\＆amp;％s \＆amp;“。证书仅适用于：")</f>
        <v>服务器无法验证为\＆amp;％s \＆amp;“。证书仅适用于：</v>
      </c>
      <c r="AL757" s="6" t="s">
        <v>132</v>
      </c>
    </row>
    <row r="758" ht="15.75" customHeight="1">
      <c r="A758" s="1" t="s">
        <v>127</v>
      </c>
      <c r="B758" s="1" t="s">
        <v>15642</v>
      </c>
      <c r="C758" s="1" t="s">
        <v>15643</v>
      </c>
      <c r="D758" s="8" t="s">
        <v>15644</v>
      </c>
      <c r="E758" s="1" t="s">
        <v>15645</v>
      </c>
      <c r="F758" s="6" t="s">
        <v>132</v>
      </c>
      <c r="G758" s="1" t="s">
        <v>15646</v>
      </c>
      <c r="H758" s="1" t="s">
        <v>15647</v>
      </c>
      <c r="I758" s="1" t="s">
        <v>15648</v>
      </c>
      <c r="J758" s="6" t="s">
        <v>15649</v>
      </c>
      <c r="K758" s="1" t="s">
        <v>15650</v>
      </c>
      <c r="L758" s="1" t="s">
        <v>15651</v>
      </c>
      <c r="M758" s="1" t="s">
        <v>15652</v>
      </c>
      <c r="N758" s="6" t="s">
        <v>132</v>
      </c>
      <c r="O758" s="6" t="s">
        <v>15653</v>
      </c>
      <c r="P758" s="1" t="s">
        <v>2855</v>
      </c>
      <c r="Q758" s="1" t="s">
        <v>15654</v>
      </c>
      <c r="R758" s="1" t="s">
        <v>15655</v>
      </c>
      <c r="S758" s="6" t="s">
        <v>132</v>
      </c>
      <c r="T758" s="1" t="s">
        <v>15656</v>
      </c>
      <c r="U758" s="1" t="s">
        <v>15657</v>
      </c>
      <c r="V758" s="1" t="s">
        <v>15654</v>
      </c>
      <c r="W758" s="1" t="s">
        <v>15658</v>
      </c>
      <c r="X758" s="1" t="s">
        <v>15659</v>
      </c>
      <c r="Y758" s="1" t="s">
        <v>15660</v>
      </c>
      <c r="Z758" s="1" t="s">
        <v>15661</v>
      </c>
      <c r="AA758" s="1" t="s">
        <v>15662</v>
      </c>
      <c r="AB758" s="1" t="s">
        <v>15663</v>
      </c>
      <c r="AC758" s="1" t="s">
        <v>15664</v>
      </c>
      <c r="AD758" s="6" t="s">
        <v>15665</v>
      </c>
      <c r="AE758" s="1" t="s">
        <v>15666</v>
      </c>
      <c r="AF758" s="1" t="s">
        <v>15667</v>
      </c>
      <c r="AG758" s="6" t="s">
        <v>15668</v>
      </c>
      <c r="AH758" s="1" t="s">
        <v>15669</v>
      </c>
      <c r="AI758" s="6" t="s">
        <v>132</v>
      </c>
      <c r="AJ758" s="6" t="s">
        <v>15670</v>
      </c>
      <c r="AK758" s="1" t="s">
        <v>15671</v>
      </c>
      <c r="AL758" s="6" t="s">
        <v>132</v>
      </c>
    </row>
    <row r="759" ht="15.75" customHeight="1">
      <c r="A759" s="1" t="s">
        <v>127</v>
      </c>
      <c r="B759" s="1" t="s">
        <v>15672</v>
      </c>
      <c r="C759" s="1" t="s">
        <v>15673</v>
      </c>
      <c r="D759" s="8" t="s">
        <v>15674</v>
      </c>
      <c r="E759" s="1" t="s">
        <v>15675</v>
      </c>
      <c r="F759" s="6" t="s">
        <v>132</v>
      </c>
      <c r="G759" s="1" t="s">
        <v>15676</v>
      </c>
      <c r="H759" s="1" t="s">
        <v>15677</v>
      </c>
      <c r="I759" s="1" t="s">
        <v>15678</v>
      </c>
      <c r="J759" s="6" t="s">
        <v>15679</v>
      </c>
      <c r="K759" s="1" t="s">
        <v>15680</v>
      </c>
      <c r="L759" s="1" t="s">
        <v>15681</v>
      </c>
      <c r="M759" s="1" t="s">
        <v>15682</v>
      </c>
      <c r="N759" s="6" t="s">
        <v>132</v>
      </c>
      <c r="O759" s="6" t="s">
        <v>15683</v>
      </c>
      <c r="P759" s="1" t="s">
        <v>13138</v>
      </c>
      <c r="Q759" s="1" t="s">
        <v>15684</v>
      </c>
      <c r="R759" s="1" t="s">
        <v>15685</v>
      </c>
      <c r="S759" s="6" t="s">
        <v>132</v>
      </c>
      <c r="T759" s="1" t="s">
        <v>15686</v>
      </c>
      <c r="U759" s="1" t="s">
        <v>15687</v>
      </c>
      <c r="V759" s="1" t="s">
        <v>15684</v>
      </c>
      <c r="W759" s="1" t="s">
        <v>15688</v>
      </c>
      <c r="X759" s="1" t="s">
        <v>15677</v>
      </c>
      <c r="Y759" s="1" t="s">
        <v>15689</v>
      </c>
      <c r="Z759" s="1" t="s">
        <v>15690</v>
      </c>
      <c r="AA759" s="1" t="s">
        <v>15691</v>
      </c>
      <c r="AB759" s="1" t="s">
        <v>15692</v>
      </c>
      <c r="AC759" s="1" t="s">
        <v>15693</v>
      </c>
      <c r="AD759" s="6" t="s">
        <v>15694</v>
      </c>
      <c r="AE759" s="1" t="s">
        <v>15695</v>
      </c>
      <c r="AF759" s="1" t="s">
        <v>15677</v>
      </c>
      <c r="AG759" s="6" t="s">
        <v>15696</v>
      </c>
      <c r="AH759" s="1" t="s">
        <v>15697</v>
      </c>
      <c r="AI759" s="6" t="s">
        <v>132</v>
      </c>
      <c r="AJ759" s="6" t="s">
        <v>15698</v>
      </c>
      <c r="AK759" s="1" t="s">
        <v>15699</v>
      </c>
      <c r="AL759" s="6" t="s">
        <v>132</v>
      </c>
    </row>
    <row r="760" ht="15.75" hidden="1" customHeight="1">
      <c r="A760" s="1" t="s">
        <v>38</v>
      </c>
      <c r="B760" s="1" t="s">
        <v>15700</v>
      </c>
      <c r="C760" s="1" t="s">
        <v>15701</v>
      </c>
      <c r="D760" s="8" t="s">
        <v>15702</v>
      </c>
      <c r="E760" s="1" t="s">
        <v>15703</v>
      </c>
      <c r="F760" s="6" t="s">
        <v>15704</v>
      </c>
      <c r="G760" s="7" t="str">
        <f>IFERROR(__xludf.DUMMYFUNCTION("GOOGLETRANSLATE(C760, ""en"", ""cs"")"),"Všechny klíče Omemo byly ověřeny")</f>
        <v>Všechny klíče Omemo byly ověřeny</v>
      </c>
      <c r="H760" s="7" t="str">
        <f>IFERROR(__xludf.DUMMYFUNCTION("GOOGLETRANSLATE(C760, ""en"", ""da"")"),"Alle OMEMO-nøgler er blevet verificeret")</f>
        <v>Alle OMEMO-nøgler er blevet verificeret</v>
      </c>
      <c r="I760" s="1" t="s">
        <v>15705</v>
      </c>
      <c r="J760" s="6" t="s">
        <v>132</v>
      </c>
      <c r="K760" s="1" t="s">
        <v>15706</v>
      </c>
      <c r="L760" s="7" t="str">
        <f>IFERROR(__xludf.DUMMYFUNCTION("GOOGLETRANSLATE(C760, ""en"", ""fi"")"),"Kaikki OMEMO-avaimet on vahvistettu")</f>
        <v>Kaikki OMEMO-avaimet on vahvistettu</v>
      </c>
      <c r="M760" s="1" t="s">
        <v>15707</v>
      </c>
      <c r="N760" s="6" t="s">
        <v>15708</v>
      </c>
      <c r="O760" s="6" t="s">
        <v>132</v>
      </c>
      <c r="P760" s="1" t="s">
        <v>15709</v>
      </c>
      <c r="Q760" s="7" t="str">
        <f>IFERROR(__xludf.DUMMYFUNCTION("GOOGLETRANSLATE(C760, ""en"", ""in"")"),"Semua kunci Omemo telah diverifikasi")</f>
        <v>Semua kunci Omemo telah diverifikasi</v>
      </c>
      <c r="R760" s="1" t="s">
        <v>15710</v>
      </c>
      <c r="S760" s="6" t="s">
        <v>132</v>
      </c>
      <c r="T760" s="1" t="s">
        <v>15711</v>
      </c>
      <c r="U760" s="7" t="str">
        <f>IFERROR(__xludf.DUMMYFUNCTION("GOOGLETRANSLATE(C760, ""en"", ""ko"")"),"모든 Omemo 키가 확인되었습니다")</f>
        <v>모든 Omemo 키가 확인되었습니다</v>
      </c>
      <c r="V760" s="7" t="str">
        <f>IFERROR(__xludf.DUMMYFUNCTION("GOOGLETRANSLATE(C760, ""en"", ""ms"")"),"Semua kunci Omemo telah disahkan")</f>
        <v>Semua kunci Omemo telah disahkan</v>
      </c>
      <c r="W760" s="1" t="s">
        <v>15712</v>
      </c>
      <c r="X760" s="7" t="str">
        <f>IFERROR(__xludf.DUMMYFUNCTION("GOOGLETRANSLATE(C760, ""en"", ""no"")"),"Alle OMEMO-nøklene er verifisert")</f>
        <v>Alle OMEMO-nøklene er verifisert</v>
      </c>
      <c r="Y760" s="1" t="s">
        <v>15713</v>
      </c>
      <c r="Z760" s="7" t="str">
        <f>IFERROR(__xludf.DUMMYFUNCTION("GOOGLETRANSLATE(C760, ""en"", ""pt"")"),"Todas as chaves Omemo foram verificadas")</f>
        <v>Todas as chaves Omemo foram verificadas</v>
      </c>
      <c r="AA760" s="7" t="str">
        <f>IFERROR(__xludf.DUMMYFUNCTION("GOOGLETRANSLATE(C760, ""en"", ""ro"")"),"Toate cheile de omemo au fost verificate")</f>
        <v>Toate cheile de omemo au fost verificate</v>
      </c>
      <c r="AB760" s="1" t="s">
        <v>15714</v>
      </c>
      <c r="AC760" s="7" t="str">
        <f>IFERROR(__xludf.DUMMYFUNCTION("GOOGLETRANSLATE(C760, ""en"", ""sk"")"),"Všetky OMEMO KEYS boli overené")</f>
        <v>Všetky OMEMO KEYS boli overené</v>
      </c>
      <c r="AD760" s="6" t="s">
        <v>132</v>
      </c>
      <c r="AE760" s="1" t="s">
        <v>15715</v>
      </c>
      <c r="AF760" s="1" t="s">
        <v>15716</v>
      </c>
      <c r="AG760" s="6" t="s">
        <v>132</v>
      </c>
      <c r="AH760" s="7" t="str">
        <f>IFERROR(__xludf.DUMMYFUNCTION("GOOGLETRANSLATE(C760, ""en"", ""tr"")"),"Tüm OMEMO tuşları doğrulandı")</f>
        <v>Tüm OMEMO tuşları doğrulandı</v>
      </c>
      <c r="AI760" s="6" t="s">
        <v>15717</v>
      </c>
      <c r="AJ760" s="6" t="s">
        <v>132</v>
      </c>
      <c r="AK760" s="7" t="str">
        <f>IFERROR(__xludf.DUMMYFUNCTION("GOOGLETRANSLATE(C760, ""en"", ""zh"")"),"所有Omemo键都已经过验证")</f>
        <v>所有Omemo键都已经过验证</v>
      </c>
      <c r="AL760" s="6" t="s">
        <v>15718</v>
      </c>
    </row>
    <row r="761" ht="15.75" customHeight="1">
      <c r="A761" s="1" t="s">
        <v>127</v>
      </c>
      <c r="B761" s="1" t="s">
        <v>15719</v>
      </c>
      <c r="C761" s="1" t="s">
        <v>15720</v>
      </c>
      <c r="D761" s="8" t="s">
        <v>15721</v>
      </c>
      <c r="E761" s="1" t="s">
        <v>15722</v>
      </c>
      <c r="F761" s="6" t="s">
        <v>132</v>
      </c>
      <c r="G761" s="1" t="s">
        <v>15720</v>
      </c>
      <c r="H761" s="1" t="s">
        <v>15720</v>
      </c>
      <c r="I761" s="1" t="s">
        <v>15720</v>
      </c>
      <c r="J761" s="6" t="s">
        <v>15723</v>
      </c>
      <c r="K761" s="1" t="s">
        <v>15720</v>
      </c>
      <c r="L761" s="1" t="s">
        <v>15720</v>
      </c>
      <c r="M761" s="1" t="s">
        <v>15720</v>
      </c>
      <c r="N761" s="6" t="s">
        <v>132</v>
      </c>
      <c r="O761" s="6" t="s">
        <v>15724</v>
      </c>
      <c r="P761" s="1" t="s">
        <v>15720</v>
      </c>
      <c r="Q761" s="1" t="s">
        <v>15720</v>
      </c>
      <c r="R761" s="1" t="s">
        <v>15720</v>
      </c>
      <c r="S761" s="6" t="s">
        <v>132</v>
      </c>
      <c r="T761" s="1" t="s">
        <v>15725</v>
      </c>
      <c r="U761" s="1" t="s">
        <v>15726</v>
      </c>
      <c r="V761" s="1" t="s">
        <v>15720</v>
      </c>
      <c r="W761" s="1" t="s">
        <v>15720</v>
      </c>
      <c r="X761" s="1" t="s">
        <v>15720</v>
      </c>
      <c r="Y761" s="1" t="s">
        <v>15720</v>
      </c>
      <c r="Z761" s="1" t="s">
        <v>15720</v>
      </c>
      <c r="AA761" s="1" t="s">
        <v>15720</v>
      </c>
      <c r="AB761" s="1" t="s">
        <v>15727</v>
      </c>
      <c r="AC761" s="1" t="s">
        <v>15720</v>
      </c>
      <c r="AD761" s="6" t="s">
        <v>15720</v>
      </c>
      <c r="AE761" s="1" t="s">
        <v>15720</v>
      </c>
      <c r="AF761" s="1" t="s">
        <v>15720</v>
      </c>
      <c r="AG761" s="6" t="s">
        <v>15728</v>
      </c>
      <c r="AH761" s="1" t="s">
        <v>15720</v>
      </c>
      <c r="AI761" s="6" t="s">
        <v>132</v>
      </c>
      <c r="AJ761" s="6" t="s">
        <v>15720</v>
      </c>
      <c r="AK761" s="1" t="s">
        <v>15720</v>
      </c>
      <c r="AL761" s="6" t="s">
        <v>132</v>
      </c>
    </row>
    <row r="762" ht="15.75" customHeight="1">
      <c r="A762" s="1" t="s">
        <v>127</v>
      </c>
      <c r="B762" s="1" t="s">
        <v>15729</v>
      </c>
      <c r="C762" s="1" t="s">
        <v>15730</v>
      </c>
      <c r="D762" s="8" t="s">
        <v>15731</v>
      </c>
      <c r="E762" s="1" t="s">
        <v>15732</v>
      </c>
      <c r="F762" s="6" t="s">
        <v>132</v>
      </c>
      <c r="G762" s="1" t="s">
        <v>15733</v>
      </c>
      <c r="H762" s="1" t="s">
        <v>15734</v>
      </c>
      <c r="I762" s="1" t="s">
        <v>15735</v>
      </c>
      <c r="J762" s="6" t="s">
        <v>15736</v>
      </c>
      <c r="K762" s="1" t="s">
        <v>15737</v>
      </c>
      <c r="L762" s="1" t="s">
        <v>15738</v>
      </c>
      <c r="M762" s="1" t="s">
        <v>15739</v>
      </c>
      <c r="N762" s="6" t="s">
        <v>132</v>
      </c>
      <c r="O762" s="6" t="s">
        <v>15740</v>
      </c>
      <c r="P762" s="1" t="s">
        <v>15741</v>
      </c>
      <c r="Q762" s="1" t="s">
        <v>15742</v>
      </c>
      <c r="R762" s="1" t="s">
        <v>15743</v>
      </c>
      <c r="S762" s="6" t="s">
        <v>132</v>
      </c>
      <c r="T762" s="1" t="s">
        <v>15744</v>
      </c>
      <c r="U762" s="1" t="s">
        <v>15745</v>
      </c>
      <c r="V762" s="1" t="s">
        <v>15746</v>
      </c>
      <c r="W762" s="1" t="s">
        <v>15747</v>
      </c>
      <c r="X762" s="1" t="s">
        <v>15748</v>
      </c>
      <c r="Y762" s="1" t="s">
        <v>15749</v>
      </c>
      <c r="Z762" s="1" t="s">
        <v>15750</v>
      </c>
      <c r="AA762" s="1" t="s">
        <v>15751</v>
      </c>
      <c r="AB762" s="1" t="s">
        <v>15752</v>
      </c>
      <c r="AC762" s="1" t="s">
        <v>15753</v>
      </c>
      <c r="AD762" s="6" t="s">
        <v>15754</v>
      </c>
      <c r="AE762" s="1" t="s">
        <v>15755</v>
      </c>
      <c r="AF762" s="1" t="s">
        <v>15756</v>
      </c>
      <c r="AG762" s="6" t="s">
        <v>15757</v>
      </c>
      <c r="AH762" s="1" t="s">
        <v>15758</v>
      </c>
      <c r="AI762" s="6" t="s">
        <v>132</v>
      </c>
      <c r="AJ762" s="6" t="s">
        <v>15759</v>
      </c>
      <c r="AK762" s="1" t="s">
        <v>15760</v>
      </c>
      <c r="AL762" s="6" t="s">
        <v>15761</v>
      </c>
    </row>
    <row r="763" ht="15.75" customHeight="1">
      <c r="A763" s="1" t="s">
        <v>127</v>
      </c>
      <c r="B763" s="1" t="s">
        <v>15762</v>
      </c>
      <c r="C763" s="1" t="s">
        <v>15763</v>
      </c>
      <c r="D763" s="8" t="s">
        <v>15764</v>
      </c>
      <c r="E763" s="1" t="s">
        <v>15765</v>
      </c>
      <c r="F763" s="6" t="s">
        <v>132</v>
      </c>
      <c r="G763" s="1" t="s">
        <v>15766</v>
      </c>
      <c r="H763" s="1" t="s">
        <v>15767</v>
      </c>
      <c r="I763" s="1" t="s">
        <v>15768</v>
      </c>
      <c r="J763" s="6" t="s">
        <v>15769</v>
      </c>
      <c r="K763" s="1" t="s">
        <v>15770</v>
      </c>
      <c r="L763" s="1" t="s">
        <v>15771</v>
      </c>
      <c r="M763" s="1" t="s">
        <v>15772</v>
      </c>
      <c r="N763" s="6" t="s">
        <v>132</v>
      </c>
      <c r="O763" s="6" t="s">
        <v>15773</v>
      </c>
      <c r="P763" s="1" t="s">
        <v>15763</v>
      </c>
      <c r="Q763" s="1" t="s">
        <v>15774</v>
      </c>
      <c r="R763" s="1" t="s">
        <v>15775</v>
      </c>
      <c r="S763" s="6" t="s">
        <v>132</v>
      </c>
      <c r="T763" s="1" t="s">
        <v>15776</v>
      </c>
      <c r="U763" s="1" t="s">
        <v>15777</v>
      </c>
      <c r="V763" s="1" t="s">
        <v>15778</v>
      </c>
      <c r="W763" s="1" t="s">
        <v>15779</v>
      </c>
      <c r="X763" s="1" t="s">
        <v>15780</v>
      </c>
      <c r="Y763" s="1" t="s">
        <v>15781</v>
      </c>
      <c r="Z763" s="1" t="s">
        <v>15782</v>
      </c>
      <c r="AA763" s="1" t="s">
        <v>15783</v>
      </c>
      <c r="AB763" s="1" t="s">
        <v>15784</v>
      </c>
      <c r="AC763" s="1" t="s">
        <v>15785</v>
      </c>
      <c r="AD763" s="6" t="s">
        <v>15786</v>
      </c>
      <c r="AE763" s="1" t="s">
        <v>15787</v>
      </c>
      <c r="AF763" s="1" t="s">
        <v>15788</v>
      </c>
      <c r="AG763" s="6" t="s">
        <v>15789</v>
      </c>
      <c r="AH763" s="1" t="s">
        <v>15790</v>
      </c>
      <c r="AI763" s="6" t="s">
        <v>132</v>
      </c>
      <c r="AJ763" s="6" t="s">
        <v>15791</v>
      </c>
      <c r="AK763" s="1" t="s">
        <v>15792</v>
      </c>
      <c r="AL763" s="6" t="s">
        <v>132</v>
      </c>
    </row>
    <row r="764" ht="15.75" hidden="1" customHeight="1">
      <c r="A764" s="1" t="s">
        <v>38</v>
      </c>
      <c r="B764" s="1" t="s">
        <v>15793</v>
      </c>
      <c r="C764" s="1" t="s">
        <v>15794</v>
      </c>
      <c r="D764" s="8" t="s">
        <v>15795</v>
      </c>
      <c r="E764" s="1" t="s">
        <v>15796</v>
      </c>
      <c r="F764" s="6" t="s">
        <v>15797</v>
      </c>
      <c r="G764" s="7" t="str">
        <f>IFERROR(__xludf.DUMMYFUNCTION("GOOGLETRANSLATE(C764, ""en"", ""cs"")"),"Smazat% S.")</f>
        <v>Smazat% S.</v>
      </c>
      <c r="H764" s="7" t="str">
        <f>IFERROR(__xludf.DUMMYFUNCTION("GOOGLETRANSLATE(C764, ""en"", ""da"")"),"Slet% S.")</f>
        <v>Slet% S.</v>
      </c>
      <c r="I764" s="1" t="s">
        <v>15798</v>
      </c>
      <c r="J764" s="6" t="s">
        <v>132</v>
      </c>
      <c r="K764" s="1" t="s">
        <v>15799</v>
      </c>
      <c r="L764" s="7" t="str">
        <f>IFERROR(__xludf.DUMMYFUNCTION("GOOGLETRANSLATE(C764, ""en"", ""fi"")"),"Poista% s")</f>
        <v>Poista% s</v>
      </c>
      <c r="M764" s="1" t="s">
        <v>15800</v>
      </c>
      <c r="N764" s="6" t="s">
        <v>15799</v>
      </c>
      <c r="O764" s="6" t="s">
        <v>132</v>
      </c>
      <c r="P764" s="1" t="s">
        <v>15801</v>
      </c>
      <c r="Q764" s="9" t="s">
        <v>15802</v>
      </c>
      <c r="R764" s="1" t="s">
        <v>15803</v>
      </c>
      <c r="S764" s="6" t="s">
        <v>132</v>
      </c>
      <c r="T764" s="1" t="s">
        <v>15804</v>
      </c>
      <c r="U764" s="1" t="s">
        <v>15805</v>
      </c>
      <c r="V764" s="7" t="str">
        <f>IFERROR(__xludf.DUMMYFUNCTION("GOOGLETRANSLATE(C764, ""en"", ""ms"")"),"Padam% S.")</f>
        <v>Padam% S.</v>
      </c>
      <c r="W764" s="1" t="s">
        <v>15806</v>
      </c>
      <c r="X764" s="7" t="str">
        <f>IFERROR(__xludf.DUMMYFUNCTION("GOOGLETRANSLATE(C764, ""en"", ""no"")"),"Slett% S.")</f>
        <v>Slett% S.</v>
      </c>
      <c r="Y764" s="1" t="s">
        <v>15807</v>
      </c>
      <c r="Z764" s="1" t="s">
        <v>15808</v>
      </c>
      <c r="AA764" s="7" t="str">
        <f>IFERROR(__xludf.DUMMYFUNCTION("GOOGLETRANSLATE(C764, ""en"", ""ro"")"),"DELETE% S.")</f>
        <v>DELETE% S.</v>
      </c>
      <c r="AB764" s="1" t="s">
        <v>15809</v>
      </c>
      <c r="AC764" s="7" t="str">
        <f>IFERROR(__xludf.DUMMYFUNCTION("GOOGLETRANSLATE(C764, ""en"", ""sk"")"),"Odstrániť% s")</f>
        <v>Odstrániť% s</v>
      </c>
      <c r="AD764" s="6" t="s">
        <v>132</v>
      </c>
      <c r="AE764" s="1" t="s">
        <v>15810</v>
      </c>
      <c r="AF764" s="1" t="s">
        <v>15811</v>
      </c>
      <c r="AG764" s="6" t="s">
        <v>132</v>
      </c>
      <c r="AH764" s="7" t="str">
        <f>IFERROR(__xludf.DUMMYFUNCTION("GOOGLETRANSLATE(C764, ""en"", ""tr"")"),"% S silin")</f>
        <v>% S silin</v>
      </c>
      <c r="AI764" s="6" t="s">
        <v>15812</v>
      </c>
      <c r="AJ764" s="6" t="s">
        <v>132</v>
      </c>
      <c r="AK764" s="7" t="str">
        <f>IFERROR(__xludf.DUMMYFUNCTION("GOOGLETRANSLATE(C764, ""en"", ""zh"")"),"删除％S.")</f>
        <v>删除％S.</v>
      </c>
      <c r="AL764" s="6" t="s">
        <v>15813</v>
      </c>
    </row>
    <row r="765" ht="15.75" hidden="1" customHeight="1">
      <c r="A765" s="1" t="s">
        <v>38</v>
      </c>
      <c r="B765" s="1" t="s">
        <v>15814</v>
      </c>
      <c r="C765" s="12" t="s">
        <v>132</v>
      </c>
      <c r="D765" s="7" t="str">
        <f>IFERROR(__xludf.DUMMYFUNCTION("GOOGLETRANSLATE(C765, ""en"", ""ar"")"),"#VALUE!")</f>
        <v>#VALUE!</v>
      </c>
      <c r="E765" s="7" t="str">
        <f>IFERROR(__xludf.DUMMYFUNCTION("GOOGLETRANSLATE(C765, ""en"", ""bg"")"),"#VALUE!")</f>
        <v>#VALUE!</v>
      </c>
      <c r="F765" s="6" t="s">
        <v>132</v>
      </c>
      <c r="G765" s="7" t="str">
        <f>IFERROR(__xludf.DUMMYFUNCTION("GOOGLETRANSLATE(C765, ""en"", ""cs"")"),"#VALUE!")</f>
        <v>#VALUE!</v>
      </c>
      <c r="H765" s="7" t="str">
        <f>IFERROR(__xludf.DUMMYFUNCTION("GOOGLETRANSLATE(C765, ""en"", ""da"")"),"#VALUE!")</f>
        <v>#VALUE!</v>
      </c>
      <c r="I765" s="7" t="str">
        <f>IFERROR(__xludf.DUMMYFUNCTION("GOOGLETRANSLATE(C765, ""en"", ""de"")"),"#VALUE!")</f>
        <v>#VALUE!</v>
      </c>
      <c r="J765" s="6" t="s">
        <v>132</v>
      </c>
      <c r="K765" s="7" t="str">
        <f>IFERROR(__xludf.DUMMYFUNCTION("GOOGLETRANSLATE(C765, ""en"", ""es"")"),"#VALUE!")</f>
        <v>#VALUE!</v>
      </c>
      <c r="L765" s="7" t="str">
        <f>IFERROR(__xludf.DUMMYFUNCTION("GOOGLETRANSLATE(C765, ""en"", ""fi"")"),"#VALUE!")</f>
        <v>#VALUE!</v>
      </c>
      <c r="M765" s="7" t="str">
        <f>IFERROR(__xludf.DUMMYFUNCTION("GOOGLETRANSLATE(C765, ""en"", ""fr"")"),"#VALUE!")</f>
        <v>#VALUE!</v>
      </c>
      <c r="N765" s="6" t="s">
        <v>132</v>
      </c>
      <c r="O765" s="6" t="s">
        <v>132</v>
      </c>
      <c r="P765" s="7" t="str">
        <f>IFERROR(__xludf.DUMMYFUNCTION("GOOGLETRANSLATE(C765, ""en"", ""hu"")"),"#VALUE!")</f>
        <v>#VALUE!</v>
      </c>
      <c r="Q765" s="7" t="str">
        <f>IFERROR(__xludf.DUMMYFUNCTION("GOOGLETRANSLATE(C765, ""en"", ""in"")"),"#VALUE!")</f>
        <v>#VALUE!</v>
      </c>
      <c r="R765" s="7" t="str">
        <f>IFERROR(__xludf.DUMMYFUNCTION("GOOGLETRANSLATE(C765, ""en"", ""it"")"),"#VALUE!")</f>
        <v>#VALUE!</v>
      </c>
      <c r="S765" s="6" t="s">
        <v>132</v>
      </c>
      <c r="T765" s="7" t="str">
        <f>IFERROR(__xludf.DUMMYFUNCTION("GOOGLETRANSLATE(C765, ""en"", ""ja"")"),"#VALUE!")</f>
        <v>#VALUE!</v>
      </c>
      <c r="U765" s="7" t="str">
        <f>IFERROR(__xludf.DUMMYFUNCTION("GOOGLETRANSLATE(C765, ""en"", ""ko"")"),"#VALUE!")</f>
        <v>#VALUE!</v>
      </c>
      <c r="V765" s="7" t="str">
        <f>IFERROR(__xludf.DUMMYFUNCTION("GOOGLETRANSLATE(C765, ""en"", ""ms"")"),"#VALUE!")</f>
        <v>#VALUE!</v>
      </c>
      <c r="W765" s="7" t="str">
        <f>IFERROR(__xludf.DUMMYFUNCTION("GOOGLETRANSLATE(C765, ""en"", ""nl"")"),"#VALUE!")</f>
        <v>#VALUE!</v>
      </c>
      <c r="X765" s="7" t="str">
        <f>IFERROR(__xludf.DUMMYFUNCTION("GOOGLETRANSLATE(C765, ""en"", ""no"")"),"#VALUE!")</f>
        <v>#VALUE!</v>
      </c>
      <c r="Y765" s="7" t="str">
        <f>IFERROR(__xludf.DUMMYFUNCTION("GOOGLETRANSLATE(C765, ""en"", ""pl"")"),"#VALUE!")</f>
        <v>#VALUE!</v>
      </c>
      <c r="Z765" s="7" t="str">
        <f>IFERROR(__xludf.DUMMYFUNCTION("GOOGLETRANSLATE(C765, ""en"", ""pt"")"),"#VALUE!")</f>
        <v>#VALUE!</v>
      </c>
      <c r="AA765" s="7" t="str">
        <f>IFERROR(__xludf.DUMMYFUNCTION("GOOGLETRANSLATE(C765, ""en"", ""ro"")"),"#VALUE!")</f>
        <v>#VALUE!</v>
      </c>
      <c r="AB765" s="7" t="str">
        <f>IFERROR(__xludf.DUMMYFUNCTION("GOOGLETRANSLATE(C765, ""en"", ""ru"")"),"#VALUE!")</f>
        <v>#VALUE!</v>
      </c>
      <c r="AC765" s="7" t="str">
        <f>IFERROR(__xludf.DUMMYFUNCTION("GOOGLETRANSLATE(C765, ""en"", ""sk"")"),"#VALUE!")</f>
        <v>#VALUE!</v>
      </c>
      <c r="AD765" s="6" t="s">
        <v>132</v>
      </c>
      <c r="AE765" s="7" t="str">
        <f>IFERROR(__xludf.DUMMYFUNCTION("GOOGLETRANSLATE(C765, ""en"", ""sr"")"),"#VALUE!")</f>
        <v>#VALUE!</v>
      </c>
      <c r="AF765" s="7" t="str">
        <f>IFERROR(__xludf.DUMMYFUNCTION("GOOGLETRANSLATE(C765, ""en"", ""sv"")"),"#VALUE!")</f>
        <v>#VALUE!</v>
      </c>
      <c r="AG765" s="6" t="s">
        <v>132</v>
      </c>
      <c r="AH765" s="7" t="str">
        <f>IFERROR(__xludf.DUMMYFUNCTION("GOOGLETRANSLATE(C765, ""en"", ""tr"")"),"#VALUE!")</f>
        <v>#VALUE!</v>
      </c>
      <c r="AI765" s="6" t="s">
        <v>132</v>
      </c>
      <c r="AJ765" s="6" t="s">
        <v>132</v>
      </c>
      <c r="AK765" s="7" t="str">
        <f>IFERROR(__xludf.DUMMYFUNCTION("GOOGLETRANSLATE(C765, ""en"", ""zh"")"),"#VALUE!")</f>
        <v>#VALUE!</v>
      </c>
      <c r="AL765" s="6" t="s">
        <v>132</v>
      </c>
    </row>
    <row r="766" ht="15.75" customHeight="1">
      <c r="A766" s="1" t="s">
        <v>127</v>
      </c>
      <c r="B766" s="1" t="s">
        <v>15815</v>
      </c>
      <c r="C766" s="1" t="s">
        <v>15816</v>
      </c>
      <c r="D766" s="8" t="s">
        <v>15817</v>
      </c>
      <c r="E766" s="1" t="s">
        <v>15818</v>
      </c>
      <c r="F766" s="6" t="s">
        <v>132</v>
      </c>
      <c r="G766" s="1" t="s">
        <v>15819</v>
      </c>
      <c r="H766" s="1" t="s">
        <v>15820</v>
      </c>
      <c r="I766" s="1" t="s">
        <v>15821</v>
      </c>
      <c r="J766" s="6" t="s">
        <v>15822</v>
      </c>
      <c r="K766" s="1" t="s">
        <v>15823</v>
      </c>
      <c r="L766" s="1" t="s">
        <v>15824</v>
      </c>
      <c r="M766" s="1" t="s">
        <v>15825</v>
      </c>
      <c r="N766" s="6" t="s">
        <v>132</v>
      </c>
      <c r="O766" s="6" t="s">
        <v>15826</v>
      </c>
      <c r="P766" s="1" t="s">
        <v>15827</v>
      </c>
      <c r="Q766" s="1" t="s">
        <v>15828</v>
      </c>
      <c r="R766" s="1" t="s">
        <v>15829</v>
      </c>
      <c r="S766" s="6" t="s">
        <v>132</v>
      </c>
      <c r="T766" s="1" t="s">
        <v>15830</v>
      </c>
      <c r="U766" s="1" t="s">
        <v>15831</v>
      </c>
      <c r="V766" s="1" t="s">
        <v>15832</v>
      </c>
      <c r="W766" s="1" t="s">
        <v>15833</v>
      </c>
      <c r="X766" s="1" t="s">
        <v>15834</v>
      </c>
      <c r="Y766" s="1" t="s">
        <v>15835</v>
      </c>
      <c r="Z766" s="1" t="s">
        <v>15836</v>
      </c>
      <c r="AA766" s="1" t="s">
        <v>15837</v>
      </c>
      <c r="AB766" s="1" t="s">
        <v>15838</v>
      </c>
      <c r="AC766" s="1" t="s">
        <v>15839</v>
      </c>
      <c r="AD766" s="6" t="s">
        <v>15840</v>
      </c>
      <c r="AE766" s="1" t="s">
        <v>15841</v>
      </c>
      <c r="AF766" s="1" t="s">
        <v>15842</v>
      </c>
      <c r="AG766" s="6" t="s">
        <v>15843</v>
      </c>
      <c r="AH766" s="1" t="s">
        <v>15844</v>
      </c>
      <c r="AI766" s="6" t="s">
        <v>132</v>
      </c>
      <c r="AJ766" s="6" t="s">
        <v>15845</v>
      </c>
      <c r="AK766" s="1" t="s">
        <v>15846</v>
      </c>
      <c r="AL766" s="6" t="s">
        <v>15847</v>
      </c>
    </row>
    <row r="767" ht="15.75" customHeight="1">
      <c r="A767" s="1" t="s">
        <v>127</v>
      </c>
      <c r="B767" s="1" t="s">
        <v>15848</v>
      </c>
      <c r="C767" s="1" t="s">
        <v>15849</v>
      </c>
      <c r="D767" s="8" t="s">
        <v>15850</v>
      </c>
      <c r="E767" s="1" t="s">
        <v>15851</v>
      </c>
      <c r="F767" s="6" t="s">
        <v>132</v>
      </c>
      <c r="G767" s="1" t="s">
        <v>15852</v>
      </c>
      <c r="H767" s="1" t="s">
        <v>15853</v>
      </c>
      <c r="I767" s="1" t="s">
        <v>15849</v>
      </c>
      <c r="J767" s="6" t="s">
        <v>15854</v>
      </c>
      <c r="K767" s="1" t="s">
        <v>15855</v>
      </c>
      <c r="L767" s="1" t="s">
        <v>15856</v>
      </c>
      <c r="M767" s="1" t="s">
        <v>15857</v>
      </c>
      <c r="N767" s="6" t="s">
        <v>132</v>
      </c>
      <c r="O767" s="6" t="s">
        <v>15858</v>
      </c>
      <c r="P767" s="1" t="s">
        <v>15855</v>
      </c>
      <c r="Q767" s="1" t="s">
        <v>15859</v>
      </c>
      <c r="R767" s="1" t="s">
        <v>15849</v>
      </c>
      <c r="S767" s="6" t="s">
        <v>132</v>
      </c>
      <c r="T767" s="1" t="s">
        <v>15860</v>
      </c>
      <c r="U767" s="1" t="s">
        <v>15861</v>
      </c>
      <c r="V767" s="1" t="s">
        <v>15862</v>
      </c>
      <c r="W767" s="1" t="s">
        <v>15849</v>
      </c>
      <c r="X767" s="1" t="s">
        <v>15863</v>
      </c>
      <c r="Y767" s="1" t="s">
        <v>15864</v>
      </c>
      <c r="Z767" s="1" t="s">
        <v>15865</v>
      </c>
      <c r="AA767" s="1" t="s">
        <v>15866</v>
      </c>
      <c r="AB767" s="1" t="s">
        <v>15867</v>
      </c>
      <c r="AC767" s="1" t="s">
        <v>15868</v>
      </c>
      <c r="AD767" s="6" t="s">
        <v>15869</v>
      </c>
      <c r="AE767" s="1" t="s">
        <v>15870</v>
      </c>
      <c r="AF767" s="1" t="s">
        <v>15853</v>
      </c>
      <c r="AG767" s="6" t="s">
        <v>15871</v>
      </c>
      <c r="AH767" s="1" t="s">
        <v>15872</v>
      </c>
      <c r="AI767" s="6" t="s">
        <v>132</v>
      </c>
      <c r="AJ767" s="6" t="s">
        <v>15873</v>
      </c>
      <c r="AK767" s="1" t="s">
        <v>15874</v>
      </c>
      <c r="AL767" s="6" t="s">
        <v>15875</v>
      </c>
    </row>
    <row r="768" ht="15.75" customHeight="1">
      <c r="A768" s="1" t="s">
        <v>127</v>
      </c>
      <c r="B768" s="1" t="s">
        <v>15876</v>
      </c>
      <c r="C768" s="1" t="s">
        <v>5924</v>
      </c>
      <c r="D768" s="8" t="s">
        <v>15877</v>
      </c>
      <c r="E768" s="1" t="s">
        <v>15878</v>
      </c>
      <c r="F768" s="6" t="s">
        <v>132</v>
      </c>
      <c r="G768" s="1" t="s">
        <v>5924</v>
      </c>
      <c r="H768" s="1" t="s">
        <v>5924</v>
      </c>
      <c r="I768" s="1" t="s">
        <v>15879</v>
      </c>
      <c r="J768" s="6" t="s">
        <v>15880</v>
      </c>
      <c r="K768" s="1" t="s">
        <v>15881</v>
      </c>
      <c r="L768" s="1" t="s">
        <v>15882</v>
      </c>
      <c r="M768" s="1" t="s">
        <v>15883</v>
      </c>
      <c r="N768" s="6" t="s">
        <v>132</v>
      </c>
      <c r="O768" s="6" t="s">
        <v>15884</v>
      </c>
      <c r="P768" s="1" t="s">
        <v>15885</v>
      </c>
      <c r="Q768" s="1" t="s">
        <v>5924</v>
      </c>
      <c r="R768" s="1" t="s">
        <v>15886</v>
      </c>
      <c r="S768" s="6" t="s">
        <v>132</v>
      </c>
      <c r="T768" s="1" t="s">
        <v>15887</v>
      </c>
      <c r="U768" s="1" t="s">
        <v>15888</v>
      </c>
      <c r="V768" s="1" t="s">
        <v>5924</v>
      </c>
      <c r="W768" s="1" t="s">
        <v>15889</v>
      </c>
      <c r="X768" s="1" t="s">
        <v>5924</v>
      </c>
      <c r="Y768" s="1" t="s">
        <v>15890</v>
      </c>
      <c r="Z768" s="1" t="s">
        <v>15891</v>
      </c>
      <c r="AA768" s="1" t="s">
        <v>5079</v>
      </c>
      <c r="AB768" s="1" t="s">
        <v>15892</v>
      </c>
      <c r="AC768" s="1" t="s">
        <v>15893</v>
      </c>
      <c r="AD768" s="6" t="s">
        <v>15894</v>
      </c>
      <c r="AE768" s="1" t="s">
        <v>15895</v>
      </c>
      <c r="AF768" s="1" t="s">
        <v>5924</v>
      </c>
      <c r="AG768" s="6" t="s">
        <v>15896</v>
      </c>
      <c r="AH768" s="1" t="s">
        <v>15897</v>
      </c>
      <c r="AI768" s="6" t="s">
        <v>132</v>
      </c>
      <c r="AJ768" s="6" t="s">
        <v>15898</v>
      </c>
      <c r="AK768" s="1" t="s">
        <v>15899</v>
      </c>
      <c r="AL768" s="6" t="s">
        <v>132</v>
      </c>
    </row>
    <row r="769" ht="15.75" hidden="1" customHeight="1">
      <c r="A769" s="1" t="s">
        <v>38</v>
      </c>
      <c r="B769" s="1" t="s">
        <v>15900</v>
      </c>
      <c r="C769" s="1" t="s">
        <v>15901</v>
      </c>
      <c r="D769" s="8" t="s">
        <v>15902</v>
      </c>
      <c r="E769" s="1" t="s">
        <v>15903</v>
      </c>
      <c r="F769" s="6" t="s">
        <v>15904</v>
      </c>
      <c r="G769" s="7" t="str">
        <f>IFERROR(__xludf.DUMMYFUNCTION("GOOGLETRANSLATE(C769, ""en"", ""cs"")"),"Aktuální relace usazena")</f>
        <v>Aktuální relace usazena</v>
      </c>
      <c r="H769" s="7" t="str">
        <f>IFERROR(__xludf.DUMMYFUNCTION("GOOGLETRANSLATE(C769, ""en"", ""da"")"),"Nuværende session etableret")</f>
        <v>Nuværende session etableret</v>
      </c>
      <c r="I769" s="1" t="s">
        <v>15905</v>
      </c>
      <c r="J769" s="6" t="s">
        <v>132</v>
      </c>
      <c r="K769" s="1" t="s">
        <v>15906</v>
      </c>
      <c r="L769" s="7" t="str">
        <f>IFERROR(__xludf.DUMMYFUNCTION("GOOGLETRANSLATE(C769, ""en"", ""fi"")"),"Nykyinen istunto perustettu")</f>
        <v>Nykyinen istunto perustettu</v>
      </c>
      <c r="M769" s="1" t="s">
        <v>15907</v>
      </c>
      <c r="N769" s="6" t="s">
        <v>15908</v>
      </c>
      <c r="O769" s="6" t="s">
        <v>132</v>
      </c>
      <c r="P769" s="1" t="s">
        <v>15909</v>
      </c>
      <c r="Q769" s="9" t="s">
        <v>15910</v>
      </c>
      <c r="R769" s="1" t="s">
        <v>15911</v>
      </c>
      <c r="S769" s="6" t="s">
        <v>132</v>
      </c>
      <c r="T769" s="1" t="s">
        <v>15912</v>
      </c>
      <c r="U769" s="1" t="s">
        <v>15913</v>
      </c>
      <c r="V769" s="7" t="str">
        <f>IFERROR(__xludf.DUMMYFUNCTION("GOOGLETRANSLATE(C769, ""en"", ""ms"")"),"Sesi semasa ditubuhkan")</f>
        <v>Sesi semasa ditubuhkan</v>
      </c>
      <c r="W769" s="1" t="s">
        <v>15914</v>
      </c>
      <c r="X769" s="7" t="str">
        <f>IFERROR(__xludf.DUMMYFUNCTION("GOOGLETRANSLATE(C769, ""en"", ""no"")"),"Nåværende økt etablert")</f>
        <v>Nåværende økt etablert</v>
      </c>
      <c r="Y769" s="1" t="s">
        <v>15915</v>
      </c>
      <c r="Z769" s="1" t="s">
        <v>15916</v>
      </c>
      <c r="AA769" s="7" t="str">
        <f>IFERROR(__xludf.DUMMYFUNCTION("GOOGLETRANSLATE(C769, ""en"", ""ro"")"),"Sesiunea curentă stabilită")</f>
        <v>Sesiunea curentă stabilită</v>
      </c>
      <c r="AB769" s="1" t="s">
        <v>15917</v>
      </c>
      <c r="AC769" s="1" t="s">
        <v>15918</v>
      </c>
      <c r="AD769" s="6" t="s">
        <v>132</v>
      </c>
      <c r="AE769" s="1" t="s">
        <v>15919</v>
      </c>
      <c r="AF769" s="1" t="s">
        <v>15920</v>
      </c>
      <c r="AG769" s="6" t="s">
        <v>132</v>
      </c>
      <c r="AH769" s="7" t="str">
        <f>IFERROR(__xludf.DUMMYFUNCTION("GOOGLETRANSLATE(C769, ""en"", ""tr"")"),"Güncel Oturum Kuruldu")</f>
        <v>Güncel Oturum Kuruldu</v>
      </c>
      <c r="AI769" s="6" t="s">
        <v>15921</v>
      </c>
      <c r="AJ769" s="6" t="s">
        <v>15922</v>
      </c>
      <c r="AK769" s="7" t="str">
        <f>IFERROR(__xludf.DUMMYFUNCTION("GOOGLETRANSLATE(C769, ""en"", ""zh"")"),"本届会议建立")</f>
        <v>本届会议建立</v>
      </c>
      <c r="AL769" s="6" t="s">
        <v>15923</v>
      </c>
    </row>
    <row r="770" ht="15.75" customHeight="1">
      <c r="A770" s="1" t="s">
        <v>127</v>
      </c>
      <c r="B770" s="1" t="s">
        <v>15924</v>
      </c>
      <c r="C770" s="1" t="s">
        <v>15925</v>
      </c>
      <c r="D770" s="8" t="s">
        <v>15926</v>
      </c>
      <c r="E770" s="1" t="s">
        <v>15927</v>
      </c>
      <c r="F770" s="6" t="s">
        <v>132</v>
      </c>
      <c r="G770" s="1" t="s">
        <v>15925</v>
      </c>
      <c r="H770" s="1" t="s">
        <v>15925</v>
      </c>
      <c r="I770" s="1" t="s">
        <v>15925</v>
      </c>
      <c r="J770" s="6" t="s">
        <v>15925</v>
      </c>
      <c r="K770" s="1" t="s">
        <v>15925</v>
      </c>
      <c r="L770" s="1" t="s">
        <v>15928</v>
      </c>
      <c r="M770" s="1" t="s">
        <v>15925</v>
      </c>
      <c r="N770" s="6" t="s">
        <v>132</v>
      </c>
      <c r="O770" s="6" t="s">
        <v>15929</v>
      </c>
      <c r="P770" s="1" t="s">
        <v>15925</v>
      </c>
      <c r="Q770" s="1" t="s">
        <v>15930</v>
      </c>
      <c r="R770" s="1" t="s">
        <v>15931</v>
      </c>
      <c r="S770" s="6" t="s">
        <v>132</v>
      </c>
      <c r="T770" s="1" t="s">
        <v>15932</v>
      </c>
      <c r="U770" s="1" t="s">
        <v>15933</v>
      </c>
      <c r="V770" s="1" t="s">
        <v>15934</v>
      </c>
      <c r="W770" s="1" t="s">
        <v>15925</v>
      </c>
      <c r="X770" s="1" t="s">
        <v>15925</v>
      </c>
      <c r="Y770" s="1" t="s">
        <v>15925</v>
      </c>
      <c r="Z770" s="1" t="s">
        <v>15925</v>
      </c>
      <c r="AA770" s="1" t="s">
        <v>15935</v>
      </c>
      <c r="AB770" s="1" t="s">
        <v>15927</v>
      </c>
      <c r="AC770" s="1" t="s">
        <v>15925</v>
      </c>
      <c r="AD770" s="6" t="s">
        <v>15925</v>
      </c>
      <c r="AE770" s="1" t="s">
        <v>15936</v>
      </c>
      <c r="AF770" s="1" t="s">
        <v>15925</v>
      </c>
      <c r="AG770" s="6" t="s">
        <v>15925</v>
      </c>
      <c r="AH770" s="1" t="s">
        <v>15937</v>
      </c>
      <c r="AI770" s="6" t="s">
        <v>132</v>
      </c>
      <c r="AJ770" s="6" t="s">
        <v>15925</v>
      </c>
      <c r="AK770" s="1" t="s">
        <v>15938</v>
      </c>
      <c r="AL770" s="6" t="s">
        <v>132</v>
      </c>
    </row>
    <row r="771" ht="15.75" customHeight="1">
      <c r="A771" s="1" t="s">
        <v>127</v>
      </c>
      <c r="B771" s="1" t="s">
        <v>15939</v>
      </c>
      <c r="C771" s="1" t="s">
        <v>15940</v>
      </c>
      <c r="D771" s="8" t="s">
        <v>15941</v>
      </c>
      <c r="E771" s="1" t="s">
        <v>15940</v>
      </c>
      <c r="F771" s="6" t="s">
        <v>132</v>
      </c>
      <c r="G771" s="1" t="s">
        <v>15940</v>
      </c>
      <c r="H771" s="1" t="s">
        <v>15940</v>
      </c>
      <c r="I771" s="1" t="s">
        <v>15942</v>
      </c>
      <c r="J771" s="6" t="s">
        <v>15940</v>
      </c>
      <c r="K771" s="1" t="s">
        <v>15943</v>
      </c>
      <c r="L771" s="1" t="s">
        <v>15940</v>
      </c>
      <c r="M771" s="1" t="s">
        <v>15940</v>
      </c>
      <c r="N771" s="6" t="s">
        <v>132</v>
      </c>
      <c r="O771" s="6" t="s">
        <v>15944</v>
      </c>
      <c r="P771" s="1" t="s">
        <v>15940</v>
      </c>
      <c r="Q771" s="1" t="s">
        <v>15940</v>
      </c>
      <c r="R771" s="1" t="s">
        <v>15940</v>
      </c>
      <c r="S771" s="6" t="s">
        <v>132</v>
      </c>
      <c r="T771" s="1" t="s">
        <v>15945</v>
      </c>
      <c r="U771" s="1" t="s">
        <v>15940</v>
      </c>
      <c r="V771" s="1" t="s">
        <v>15940</v>
      </c>
      <c r="W771" s="1" t="s">
        <v>15946</v>
      </c>
      <c r="X771" s="1" t="s">
        <v>15940</v>
      </c>
      <c r="Y771" s="1" t="s">
        <v>15940</v>
      </c>
      <c r="Z771" s="1" t="s">
        <v>15947</v>
      </c>
      <c r="AA771" s="1" t="s">
        <v>15940</v>
      </c>
      <c r="AB771" s="1" t="s">
        <v>2376</v>
      </c>
      <c r="AC771" s="1" t="s">
        <v>15940</v>
      </c>
      <c r="AD771" s="6" t="s">
        <v>15940</v>
      </c>
      <c r="AE771" s="1" t="s">
        <v>15940</v>
      </c>
      <c r="AF771" s="1" t="s">
        <v>15940</v>
      </c>
      <c r="AG771" s="6" t="s">
        <v>15948</v>
      </c>
      <c r="AH771" s="1" t="s">
        <v>15949</v>
      </c>
      <c r="AI771" s="6" t="s">
        <v>132</v>
      </c>
      <c r="AJ771" s="6" t="s">
        <v>15940</v>
      </c>
      <c r="AK771" s="1" t="s">
        <v>15950</v>
      </c>
      <c r="AL771" s="6" t="s">
        <v>15951</v>
      </c>
    </row>
    <row r="772" ht="15.75" customHeight="1">
      <c r="A772" s="1" t="s">
        <v>127</v>
      </c>
      <c r="B772" s="1" t="s">
        <v>15952</v>
      </c>
      <c r="C772" s="1" t="s">
        <v>15953</v>
      </c>
      <c r="D772" s="8" t="s">
        <v>15954</v>
      </c>
      <c r="E772" s="1" t="s">
        <v>15955</v>
      </c>
      <c r="F772" s="6" t="s">
        <v>132</v>
      </c>
      <c r="G772" s="1" t="s">
        <v>15956</v>
      </c>
      <c r="H772" s="1" t="s">
        <v>15957</v>
      </c>
      <c r="I772" s="1" t="s">
        <v>13784</v>
      </c>
      <c r="J772" s="6" t="s">
        <v>15958</v>
      </c>
      <c r="K772" s="1" t="s">
        <v>13784</v>
      </c>
      <c r="L772" s="1" t="s">
        <v>15959</v>
      </c>
      <c r="M772" s="1" t="s">
        <v>13784</v>
      </c>
      <c r="N772" s="6" t="s">
        <v>132</v>
      </c>
      <c r="O772" s="6" t="s">
        <v>15960</v>
      </c>
      <c r="P772" s="1" t="s">
        <v>15961</v>
      </c>
      <c r="Q772" s="1" t="s">
        <v>15962</v>
      </c>
      <c r="R772" s="1" t="s">
        <v>15963</v>
      </c>
      <c r="S772" s="6" t="s">
        <v>132</v>
      </c>
      <c r="T772" s="1" t="s">
        <v>15964</v>
      </c>
      <c r="U772" s="1" t="s">
        <v>15965</v>
      </c>
      <c r="V772" s="1" t="s">
        <v>15962</v>
      </c>
      <c r="W772" s="1" t="s">
        <v>15966</v>
      </c>
      <c r="X772" s="1" t="s">
        <v>15957</v>
      </c>
      <c r="Y772" s="1" t="s">
        <v>15967</v>
      </c>
      <c r="Z772" s="1" t="s">
        <v>15968</v>
      </c>
      <c r="AA772" s="1" t="s">
        <v>15969</v>
      </c>
      <c r="AB772" s="1" t="s">
        <v>15970</v>
      </c>
      <c r="AC772" s="1" t="s">
        <v>15971</v>
      </c>
      <c r="AD772" s="6" t="s">
        <v>15972</v>
      </c>
      <c r="AE772" s="1" t="s">
        <v>13784</v>
      </c>
      <c r="AF772" s="1" t="s">
        <v>15973</v>
      </c>
      <c r="AG772" s="6" t="s">
        <v>15974</v>
      </c>
      <c r="AH772" s="1" t="s">
        <v>15975</v>
      </c>
      <c r="AI772" s="6" t="s">
        <v>132</v>
      </c>
      <c r="AJ772" s="6" t="s">
        <v>15976</v>
      </c>
      <c r="AK772" s="1" t="s">
        <v>15977</v>
      </c>
      <c r="AL772" s="6" t="s">
        <v>15978</v>
      </c>
    </row>
    <row r="773" ht="15.75" hidden="1" customHeight="1">
      <c r="A773" s="1" t="s">
        <v>38</v>
      </c>
      <c r="B773" s="1" t="s">
        <v>15979</v>
      </c>
      <c r="C773" s="1" t="s">
        <v>15980</v>
      </c>
      <c r="D773" s="8" t="s">
        <v>15981</v>
      </c>
      <c r="E773" s="1" t="s">
        <v>15982</v>
      </c>
      <c r="F773" s="6" t="s">
        <v>15983</v>
      </c>
      <c r="G773" s="7" t="str">
        <f>IFERROR(__xludf.DUMMYFUNCTION("GOOGLETRANSLATE(C773, ""en"", ""cs"")"),"% s je psaní ...")</f>
        <v>% s je psaní ...</v>
      </c>
      <c r="H773" s="7" t="str">
        <f>IFERROR(__xludf.DUMMYFUNCTION("GOOGLETRANSLATE(C773, ""en"", ""da"")"),"% s skriver ...")</f>
        <v>% s skriver ...</v>
      </c>
      <c r="I773" s="1" t="s">
        <v>15984</v>
      </c>
      <c r="J773" s="6" t="s">
        <v>132</v>
      </c>
      <c r="K773" s="1" t="s">
        <v>15985</v>
      </c>
      <c r="L773" s="7" t="str">
        <f>IFERROR(__xludf.DUMMYFUNCTION("GOOGLETRANSLATE(C773, ""en"", ""fi"")"),"% s on kirjoittaa ...")</f>
        <v>% s on kirjoittaa ...</v>
      </c>
      <c r="M773" s="1" t="s">
        <v>15986</v>
      </c>
      <c r="N773" s="6" t="s">
        <v>15987</v>
      </c>
      <c r="O773" s="6" t="s">
        <v>132</v>
      </c>
      <c r="P773" s="1" t="s">
        <v>15988</v>
      </c>
      <c r="Q773" s="9" t="s">
        <v>15989</v>
      </c>
      <c r="R773" s="1" t="s">
        <v>15990</v>
      </c>
      <c r="S773" s="6" t="s">
        <v>132</v>
      </c>
      <c r="T773" s="1" t="s">
        <v>15991</v>
      </c>
      <c r="U773" s="1" t="s">
        <v>15992</v>
      </c>
      <c r="V773" s="7" t="str">
        <f>IFERROR(__xludf.DUMMYFUNCTION("GOOGLETRANSLATE(C773, ""en"", ""ms"")"),"% s menaip ...")</f>
        <v>% s menaip ...</v>
      </c>
      <c r="W773" s="1" t="s">
        <v>15993</v>
      </c>
      <c r="X773" s="7" t="str">
        <f>IFERROR(__xludf.DUMMYFUNCTION("GOOGLETRANSLATE(C773, ""en"", ""no"")"),"% s er å skrive ...")</f>
        <v>% s er å skrive ...</v>
      </c>
      <c r="Y773" s="1" t="s">
        <v>15994</v>
      </c>
      <c r="Z773" s="1" t="s">
        <v>15995</v>
      </c>
      <c r="AA773" s="7" t="str">
        <f>IFERROR(__xludf.DUMMYFUNCTION("GOOGLETRANSLATE(C773, ""en"", ""ro"")"),"% s este tastarea ...")</f>
        <v>% s este tastarea ...</v>
      </c>
      <c r="AB773" s="1" t="s">
        <v>15996</v>
      </c>
      <c r="AC773" s="7" t="str">
        <f>IFERROR(__xludf.DUMMYFUNCTION("GOOGLETRANSLATE(C773, ""en"", ""sk"")"),"% s ...")</f>
        <v>% s ...</v>
      </c>
      <c r="AD773" s="6" t="s">
        <v>132</v>
      </c>
      <c r="AE773" s="1" t="s">
        <v>15997</v>
      </c>
      <c r="AF773" s="1" t="s">
        <v>15998</v>
      </c>
      <c r="AG773" s="6" t="s">
        <v>132</v>
      </c>
      <c r="AH773" s="7" t="str">
        <f>IFERROR(__xludf.DUMMYFUNCTION("GOOGLETRANSLATE(C773, ""en"", ""tr"")"),"% S yazıyor ...")</f>
        <v>% S yazıyor ...</v>
      </c>
      <c r="AI773" s="6" t="s">
        <v>15999</v>
      </c>
      <c r="AJ773" s="6" t="s">
        <v>16000</v>
      </c>
      <c r="AK773" s="7" t="str">
        <f>IFERROR(__xludf.DUMMYFUNCTION("GOOGLETRANSLATE(C773, ""en"", ""zh"")"),"％s是打字......")</f>
        <v>％s是打字......</v>
      </c>
      <c r="AL773" s="6" t="s">
        <v>16001</v>
      </c>
    </row>
    <row r="774" ht="15.75" hidden="1" customHeight="1">
      <c r="A774" s="1" t="s">
        <v>38</v>
      </c>
      <c r="B774" s="1" t="s">
        <v>16002</v>
      </c>
      <c r="C774" s="1" t="s">
        <v>16003</v>
      </c>
      <c r="D774" s="8" t="s">
        <v>16004</v>
      </c>
      <c r="E774" s="1" t="s">
        <v>16005</v>
      </c>
      <c r="F774" s="6" t="s">
        <v>16006</v>
      </c>
      <c r="G774" s="7" t="str">
        <f>IFERROR(__xludf.DUMMYFUNCTION("GOOGLETRANSLATE(C774, ""en"", ""cs"")"),"Certifikační řetězec není důvěryhodný")</f>
        <v>Certifikační řetězec není důvěryhodný</v>
      </c>
      <c r="H774" s="7" t="str">
        <f>IFERROR(__xludf.DUMMYFUNCTION("GOOGLETRANSLATE(C774, ""en"", ""da"")"),"Certifikatkæden er ikke betroet")</f>
        <v>Certifikatkæden er ikke betroet</v>
      </c>
      <c r="I774" s="1" t="s">
        <v>16007</v>
      </c>
      <c r="J774" s="6" t="s">
        <v>132</v>
      </c>
      <c r="K774" s="1" t="s">
        <v>16008</v>
      </c>
      <c r="L774" s="7" t="str">
        <f>IFERROR(__xludf.DUMMYFUNCTION("GOOGLETRANSLATE(C774, ""en"", ""fi"")"),"Todistusketjua ei luota")</f>
        <v>Todistusketjua ei luota</v>
      </c>
      <c r="M774" s="1" t="s">
        <v>16009</v>
      </c>
      <c r="N774" s="6" t="s">
        <v>16010</v>
      </c>
      <c r="O774" s="6" t="s">
        <v>132</v>
      </c>
      <c r="P774" s="1" t="s">
        <v>16011</v>
      </c>
      <c r="Q774" s="7" t="str">
        <f>IFERROR(__xludf.DUMMYFUNCTION("GOOGLETRANSLATE(C774, ""en"", ""in"")"),"Rantai sertifikat tidak dipercaya")</f>
        <v>Rantai sertifikat tidak dipercaya</v>
      </c>
      <c r="R774" s="1" t="s">
        <v>16012</v>
      </c>
      <c r="S774" s="6" t="s">
        <v>132</v>
      </c>
      <c r="T774" s="1" t="s">
        <v>16013</v>
      </c>
      <c r="U774" s="1" t="s">
        <v>16014</v>
      </c>
      <c r="V774" s="7" t="str">
        <f>IFERROR(__xludf.DUMMYFUNCTION("GOOGLETRANSLATE(C774, ""en"", ""ms"")"),"Rangkaian Sijil tidak dipercayai")</f>
        <v>Rangkaian Sijil tidak dipercayai</v>
      </c>
      <c r="W774" s="1" t="s">
        <v>16015</v>
      </c>
      <c r="X774" s="7" t="str">
        <f>IFERROR(__xludf.DUMMYFUNCTION("GOOGLETRANSLATE(C774, ""en"", ""no"")"),"Sertifikatkjede er ikke klarert")</f>
        <v>Sertifikatkjede er ikke klarert</v>
      </c>
      <c r="Y774" s="1" t="s">
        <v>16016</v>
      </c>
      <c r="Z774" s="1" t="s">
        <v>16017</v>
      </c>
      <c r="AA774" s="7" t="str">
        <f>IFERROR(__xludf.DUMMYFUNCTION("GOOGLETRANSLATE(C774, ""en"", ""ro"")"),"Lanțul de certificate nu este de încredere")</f>
        <v>Lanțul de certificate nu este de încredere</v>
      </c>
      <c r="AB774" s="1" t="s">
        <v>16018</v>
      </c>
      <c r="AC774" s="7" t="str">
        <f>IFERROR(__xludf.DUMMYFUNCTION("GOOGLETRANSLATE(C774, ""en"", ""sk"")"),"Certifikátový reťazec nie je dôveryhodný")</f>
        <v>Certifikátový reťazec nie je dôveryhodný</v>
      </c>
      <c r="AD774" s="6" t="s">
        <v>132</v>
      </c>
      <c r="AE774" s="1" t="s">
        <v>16019</v>
      </c>
      <c r="AF774" s="1" t="s">
        <v>16020</v>
      </c>
      <c r="AG774" s="6" t="s">
        <v>132</v>
      </c>
      <c r="AH774" s="7" t="str">
        <f>IFERROR(__xludf.DUMMYFUNCTION("GOOGLETRANSLATE(C774, ""en"", ""tr"")"),"Sertifika zinciri güvenilir değil")</f>
        <v>Sertifika zinciri güvenilir değil</v>
      </c>
      <c r="AI774" s="6" t="s">
        <v>16021</v>
      </c>
      <c r="AJ774" s="6" t="s">
        <v>16022</v>
      </c>
      <c r="AK774" s="7" t="str">
        <f>IFERROR(__xludf.DUMMYFUNCTION("GOOGLETRANSLATE(C774, ""en"", ""zh"")"),"证书链不值得信任")</f>
        <v>证书链不值得信任</v>
      </c>
      <c r="AL774" s="6" t="s">
        <v>16023</v>
      </c>
    </row>
    <row r="775" ht="15.75" customHeight="1">
      <c r="A775" s="1" t="s">
        <v>127</v>
      </c>
      <c r="B775" s="1" t="s">
        <v>16024</v>
      </c>
      <c r="C775" s="1" t="s">
        <v>16025</v>
      </c>
      <c r="D775" s="8" t="s">
        <v>16026</v>
      </c>
      <c r="E775" s="1" t="s">
        <v>16027</v>
      </c>
      <c r="F775" s="6" t="s">
        <v>132</v>
      </c>
      <c r="G775" s="1" t="s">
        <v>16028</v>
      </c>
      <c r="H775" s="1" t="s">
        <v>16029</v>
      </c>
      <c r="I775" s="1" t="s">
        <v>16030</v>
      </c>
      <c r="J775" s="6" t="s">
        <v>16031</v>
      </c>
      <c r="K775" s="1" t="s">
        <v>16032</v>
      </c>
      <c r="L775" s="1" t="s">
        <v>16033</v>
      </c>
      <c r="M775" s="1" t="s">
        <v>16034</v>
      </c>
      <c r="N775" s="6" t="s">
        <v>132</v>
      </c>
      <c r="O775" s="6" t="s">
        <v>16035</v>
      </c>
      <c r="P775" s="1" t="s">
        <v>16036</v>
      </c>
      <c r="Q775" s="1" t="s">
        <v>16037</v>
      </c>
      <c r="R775" s="1" t="s">
        <v>16038</v>
      </c>
      <c r="S775" s="6" t="s">
        <v>132</v>
      </c>
      <c r="T775" s="1" t="s">
        <v>16039</v>
      </c>
      <c r="U775" s="1" t="s">
        <v>16040</v>
      </c>
      <c r="V775" s="1" t="s">
        <v>16037</v>
      </c>
      <c r="W775" s="1" t="s">
        <v>16041</v>
      </c>
      <c r="X775" s="1" t="s">
        <v>16029</v>
      </c>
      <c r="Y775" s="1" t="s">
        <v>16042</v>
      </c>
      <c r="Z775" s="1" t="s">
        <v>16043</v>
      </c>
      <c r="AA775" s="1" t="s">
        <v>16044</v>
      </c>
      <c r="AB775" s="1" t="s">
        <v>16045</v>
      </c>
      <c r="AC775" s="1" t="s">
        <v>16046</v>
      </c>
      <c r="AD775" s="6" t="s">
        <v>16047</v>
      </c>
      <c r="AE775" s="1" t="s">
        <v>16048</v>
      </c>
      <c r="AF775" s="1" t="s">
        <v>16049</v>
      </c>
      <c r="AG775" s="6" t="s">
        <v>16050</v>
      </c>
      <c r="AH775" s="1" t="s">
        <v>16051</v>
      </c>
      <c r="AI775" s="6" t="s">
        <v>132</v>
      </c>
      <c r="AJ775" s="6" t="s">
        <v>16052</v>
      </c>
      <c r="AK775" s="1" t="s">
        <v>16053</v>
      </c>
      <c r="AL775" s="6" t="s">
        <v>16054</v>
      </c>
    </row>
    <row r="776" ht="15.75" customHeight="1">
      <c r="A776" s="1" t="s">
        <v>127</v>
      </c>
      <c r="B776" s="1" t="s">
        <v>16055</v>
      </c>
      <c r="C776" s="1" t="s">
        <v>16056</v>
      </c>
      <c r="D776" s="8" t="s">
        <v>16057</v>
      </c>
      <c r="E776" s="1" t="s">
        <v>16058</v>
      </c>
      <c r="F776" s="6" t="s">
        <v>132</v>
      </c>
      <c r="G776" s="13" t="s">
        <v>16059</v>
      </c>
      <c r="H776" s="1" t="s">
        <v>16060</v>
      </c>
      <c r="I776" s="1" t="s">
        <v>16061</v>
      </c>
      <c r="J776" s="6" t="s">
        <v>132</v>
      </c>
      <c r="K776" s="1" t="s">
        <v>16062</v>
      </c>
      <c r="L776" s="1" t="s">
        <v>16063</v>
      </c>
      <c r="M776" s="1" t="s">
        <v>16064</v>
      </c>
      <c r="N776" s="6" t="s">
        <v>132</v>
      </c>
      <c r="O776" s="6" t="s">
        <v>16065</v>
      </c>
      <c r="P776" s="1" t="s">
        <v>16066</v>
      </c>
      <c r="Q776" s="1" t="s">
        <v>16067</v>
      </c>
      <c r="R776" s="1" t="s">
        <v>16068</v>
      </c>
      <c r="S776" s="10" t="s">
        <v>16069</v>
      </c>
      <c r="T776" s="1" t="s">
        <v>16070</v>
      </c>
      <c r="U776" s="1" t="s">
        <v>16071</v>
      </c>
      <c r="V776" s="1" t="s">
        <v>16072</v>
      </c>
      <c r="W776" s="13" t="s">
        <v>16073</v>
      </c>
      <c r="X776" s="1" t="s">
        <v>16074</v>
      </c>
      <c r="Y776" s="1" t="s">
        <v>16075</v>
      </c>
      <c r="Z776" s="1" t="s">
        <v>16076</v>
      </c>
      <c r="AA776" s="13" t="s">
        <v>16077</v>
      </c>
      <c r="AB776" s="1" t="s">
        <v>16078</v>
      </c>
      <c r="AC776" s="13" t="s">
        <v>16079</v>
      </c>
      <c r="AD776" s="6"/>
      <c r="AE776" s="1" t="s">
        <v>16080</v>
      </c>
      <c r="AF776" s="1" t="s">
        <v>16081</v>
      </c>
      <c r="AG776" s="6" t="s">
        <v>16082</v>
      </c>
      <c r="AH776" s="1" t="s">
        <v>16083</v>
      </c>
      <c r="AI776" s="6" t="s">
        <v>132</v>
      </c>
      <c r="AJ776" s="6" t="s">
        <v>16084</v>
      </c>
      <c r="AK776" s="1" t="s">
        <v>16085</v>
      </c>
      <c r="AL776" s="6" t="s">
        <v>16085</v>
      </c>
    </row>
    <row r="777" ht="15.75" customHeight="1">
      <c r="A777" s="1" t="s">
        <v>127</v>
      </c>
      <c r="B777" s="1" t="s">
        <v>16086</v>
      </c>
      <c r="C777" s="1" t="s">
        <v>4716</v>
      </c>
      <c r="D777" s="8" t="s">
        <v>4717</v>
      </c>
      <c r="E777" s="1" t="s">
        <v>4718</v>
      </c>
      <c r="F777" s="6" t="s">
        <v>132</v>
      </c>
      <c r="G777" s="1" t="s">
        <v>4719</v>
      </c>
      <c r="H777" s="1" t="s">
        <v>4720</v>
      </c>
      <c r="I777" s="1" t="s">
        <v>4721</v>
      </c>
      <c r="J777" s="6" t="s">
        <v>4722</v>
      </c>
      <c r="K777" s="1" t="s">
        <v>4723</v>
      </c>
      <c r="L777" s="1" t="s">
        <v>4724</v>
      </c>
      <c r="M777" s="1" t="s">
        <v>4725</v>
      </c>
      <c r="N777" s="6" t="s">
        <v>132</v>
      </c>
      <c r="O777" s="6" t="s">
        <v>4726</v>
      </c>
      <c r="P777" s="1" t="s">
        <v>4727</v>
      </c>
      <c r="Q777" s="1" t="s">
        <v>4728</v>
      </c>
      <c r="R777" s="1" t="s">
        <v>4729</v>
      </c>
      <c r="S777" s="6" t="s">
        <v>132</v>
      </c>
      <c r="T777" s="1" t="s">
        <v>4731</v>
      </c>
      <c r="U777" s="1" t="s">
        <v>4732</v>
      </c>
      <c r="V777" s="1" t="s">
        <v>4728</v>
      </c>
      <c r="W777" s="1" t="s">
        <v>4733</v>
      </c>
      <c r="X777" s="1" t="s">
        <v>4734</v>
      </c>
      <c r="Y777" s="1" t="s">
        <v>4735</v>
      </c>
      <c r="Z777" s="1" t="s">
        <v>4723</v>
      </c>
      <c r="AA777" s="1" t="s">
        <v>4736</v>
      </c>
      <c r="AB777" s="1" t="s">
        <v>4737</v>
      </c>
      <c r="AC777" s="1" t="s">
        <v>4738</v>
      </c>
      <c r="AD777" s="6" t="s">
        <v>4739</v>
      </c>
      <c r="AE777" s="1" t="s">
        <v>4740</v>
      </c>
      <c r="AF777" s="1" t="s">
        <v>4741</v>
      </c>
      <c r="AG777" s="6" t="s">
        <v>4742</v>
      </c>
      <c r="AH777" s="1" t="s">
        <v>16087</v>
      </c>
      <c r="AI777" s="6" t="s">
        <v>132</v>
      </c>
      <c r="AJ777" s="6" t="s">
        <v>4744</v>
      </c>
      <c r="AK777" s="1" t="s">
        <v>4745</v>
      </c>
      <c r="AL777" s="6" t="s">
        <v>4746</v>
      </c>
    </row>
    <row r="778" ht="15.75" hidden="1" customHeight="1">
      <c r="A778" s="1" t="s">
        <v>38</v>
      </c>
      <c r="B778" s="1" t="s">
        <v>16088</v>
      </c>
      <c r="C778" s="1" t="s">
        <v>16089</v>
      </c>
      <c r="D778" s="7" t="str">
        <f>IFERROR(__xludf.DUMMYFUNCTION("GOOGLETRANSLATE(C778, ""en"", ""ar"")"),"مسودة:")</f>
        <v>مسودة:</v>
      </c>
      <c r="E778" s="1" t="s">
        <v>16090</v>
      </c>
      <c r="F778" s="6" t="s">
        <v>16091</v>
      </c>
      <c r="G778" s="7" t="str">
        <f>IFERROR(__xludf.DUMMYFUNCTION("GOOGLETRANSLATE(C778, ""en"", ""cs"")"),"Návrh:")</f>
        <v>Návrh:</v>
      </c>
      <c r="H778" s="7" t="str">
        <f>IFERROR(__xludf.DUMMYFUNCTION("GOOGLETRANSLATE(C778, ""en"", ""da"")"),"Udkast:")</f>
        <v>Udkast:</v>
      </c>
      <c r="I778" s="1" t="s">
        <v>16092</v>
      </c>
      <c r="J778" s="6" t="s">
        <v>132</v>
      </c>
      <c r="K778" s="1" t="s">
        <v>16093</v>
      </c>
      <c r="L778" s="7" t="str">
        <f>IFERROR(__xludf.DUMMYFUNCTION("GOOGLETRANSLATE(C778, ""en"", ""fi"")"),"Luonnos:")</f>
        <v>Luonnos:</v>
      </c>
      <c r="M778" s="1" t="s">
        <v>16094</v>
      </c>
      <c r="N778" s="6" t="s">
        <v>16093</v>
      </c>
      <c r="O778" s="6" t="s">
        <v>132</v>
      </c>
      <c r="P778" s="1" t="s">
        <v>16095</v>
      </c>
      <c r="Q778" s="7" t="str">
        <f>IFERROR(__xludf.DUMMYFUNCTION("GOOGLETRANSLATE(C778, ""en"", ""in"")"),"Minuman:")</f>
        <v>Minuman:</v>
      </c>
      <c r="R778" s="1" t="s">
        <v>16096</v>
      </c>
      <c r="S778" s="6" t="s">
        <v>132</v>
      </c>
      <c r="T778" s="1" t="s">
        <v>16097</v>
      </c>
      <c r="U778" s="7" t="str">
        <f>IFERROR(__xludf.DUMMYFUNCTION("GOOGLETRANSLATE(C778, ""en"", ""ko"")"),"초안:")</f>
        <v>초안:</v>
      </c>
      <c r="V778" s="7" t="str">
        <f>IFERROR(__xludf.DUMMYFUNCTION("GOOGLETRANSLATE(C778, ""en"", ""ms"")"),"Draf:")</f>
        <v>Draf:</v>
      </c>
      <c r="W778" s="1" t="s">
        <v>16098</v>
      </c>
      <c r="X778" s="7" t="str">
        <f>IFERROR(__xludf.DUMMYFUNCTION("GOOGLETRANSLATE(C778, ""en"", ""no"")"),"Utkast til:")</f>
        <v>Utkast til:</v>
      </c>
      <c r="Y778" s="1" t="s">
        <v>16099</v>
      </c>
      <c r="Z778" s="7" t="str">
        <f>IFERROR(__xludf.DUMMYFUNCTION("GOOGLETRANSLATE(C778, ""en"", ""pt"")"),"Rascunho:")</f>
        <v>Rascunho:</v>
      </c>
      <c r="AA778" s="7" t="str">
        <f>IFERROR(__xludf.DUMMYFUNCTION("GOOGLETRANSLATE(C778, ""en"", ""ro"")"),"Proiect:")</f>
        <v>Proiect:</v>
      </c>
      <c r="AB778" s="1" t="s">
        <v>16100</v>
      </c>
      <c r="AC778" s="7" t="str">
        <f>IFERROR(__xludf.DUMMYFUNCTION("GOOGLETRANSLATE(C778, ""en"", ""sk"")"),"Návrh:")</f>
        <v>Návrh:</v>
      </c>
      <c r="AD778" s="6" t="s">
        <v>132</v>
      </c>
      <c r="AE778" s="1" t="s">
        <v>16101</v>
      </c>
      <c r="AF778" s="7" t="str">
        <f>IFERROR(__xludf.DUMMYFUNCTION("GOOGLETRANSLATE(C778, ""en"", ""sv"")"),"Förslag:")</f>
        <v>Förslag:</v>
      </c>
      <c r="AG778" s="6" t="s">
        <v>132</v>
      </c>
      <c r="AH778" s="7" t="str">
        <f>IFERROR(__xludf.DUMMYFUNCTION("GOOGLETRANSLATE(C778, ""en"", ""tr"")"),"Taslak:")</f>
        <v>Taslak:</v>
      </c>
      <c r="AI778" s="6" t="s">
        <v>132</v>
      </c>
      <c r="AJ778" s="6" t="s">
        <v>132</v>
      </c>
      <c r="AK778" s="7" t="str">
        <f>IFERROR(__xludf.DUMMYFUNCTION("GOOGLETRANSLATE(C778, ""en"", ""zh"")"),"草案：")</f>
        <v>草案：</v>
      </c>
      <c r="AL778" s="6" t="s">
        <v>132</v>
      </c>
    </row>
    <row r="779" ht="15.75" hidden="1" customHeight="1">
      <c r="A779" s="1" t="s">
        <v>38</v>
      </c>
      <c r="B779" s="1" t="s">
        <v>16102</v>
      </c>
      <c r="C779" s="1" t="s">
        <v>16103</v>
      </c>
      <c r="D779" s="7" t="str">
        <f>IFERROR(__xludf.DUMMYFUNCTION("GOOGLETRANSLATE(C779, ""en"", ""ar"")"),"تلوين زر إرسال للإشارة إلى حالة الاتصال")</f>
        <v>تلوين زر إرسال للإشارة إلى حالة الاتصال</v>
      </c>
      <c r="E779" s="1" t="s">
        <v>16104</v>
      </c>
      <c r="F779" s="6" t="s">
        <v>16105</v>
      </c>
      <c r="G779" s="7" t="str">
        <f>IFERROR(__xludf.DUMMYFUNCTION("GOOGLETRANSLATE(C779, ""en"", ""cs"")"),"Colorize Tlačítko Odeslat pro označení stavu kontaktu")</f>
        <v>Colorize Tlačítko Odeslat pro označení stavu kontaktu</v>
      </c>
      <c r="H779" s="7" t="str">
        <f>IFERROR(__xludf.DUMMYFUNCTION("GOOGLETRANSLATE(C779, ""en"", ""da"")"),"Farve Send-knappen for at angive kontaktstatus")</f>
        <v>Farve Send-knappen for at angive kontaktstatus</v>
      </c>
      <c r="I779" s="1" t="s">
        <v>16106</v>
      </c>
      <c r="J779" s="6" t="s">
        <v>132</v>
      </c>
      <c r="K779" s="1" t="s">
        <v>16107</v>
      </c>
      <c r="L779" s="7" t="str">
        <f>IFERROR(__xludf.DUMMYFUNCTION("GOOGLETRANSLATE(C779, ""en"", ""fi"")"),"Colorize Lähetä -painiketta osoittamaan yhteystieto")</f>
        <v>Colorize Lähetä -painiketta osoittamaan yhteystieto</v>
      </c>
      <c r="M779" s="1" t="s">
        <v>16108</v>
      </c>
      <c r="N779" s="6" t="s">
        <v>16109</v>
      </c>
      <c r="O779" s="6" t="s">
        <v>132</v>
      </c>
      <c r="P779" s="1" t="s">
        <v>16110</v>
      </c>
      <c r="Q779" s="9" t="s">
        <v>16111</v>
      </c>
      <c r="R779" s="1" t="s">
        <v>16112</v>
      </c>
      <c r="S779" s="6" t="s">
        <v>132</v>
      </c>
      <c r="T779" s="1" t="s">
        <v>16113</v>
      </c>
      <c r="U779" s="1" t="s">
        <v>16114</v>
      </c>
      <c r="V779" s="7" t="str">
        <f>IFERROR(__xludf.DUMMYFUNCTION("GOOGLETRANSLATE(C779, ""en"", ""ms"")"),"Butang Hantar Colorize untuk menunjukkan status kenalan")</f>
        <v>Butang Hantar Colorize untuk menunjukkan status kenalan</v>
      </c>
      <c r="W779" s="1" t="s">
        <v>16115</v>
      </c>
      <c r="X779" s="7" t="str">
        <f>IFERROR(__xludf.DUMMYFUNCTION("GOOGLETRANSLATE(C779, ""en"", ""no"")"),"Colorize Send-knappen for å indikere kontaktstatus")</f>
        <v>Colorize Send-knappen for å indikere kontaktstatus</v>
      </c>
      <c r="Y779" s="1" t="s">
        <v>16116</v>
      </c>
      <c r="Z779" s="1" t="s">
        <v>16117</v>
      </c>
      <c r="AA779" s="7" t="str">
        <f>IFERROR(__xludf.DUMMYFUNCTION("GOOGLETRANSLATE(C779, ""en"", ""ro"")"),"Colorizați butonul Trimitere pentru a indica starea de contact")</f>
        <v>Colorizați butonul Trimitere pentru a indica starea de contact</v>
      </c>
      <c r="AB779" s="1" t="s">
        <v>16118</v>
      </c>
      <c r="AC779" s="1" t="s">
        <v>16119</v>
      </c>
      <c r="AD779" s="6" t="s">
        <v>132</v>
      </c>
      <c r="AE779" s="1" t="s">
        <v>16120</v>
      </c>
      <c r="AF779" s="1" t="s">
        <v>16121</v>
      </c>
      <c r="AG779" s="6" t="s">
        <v>132</v>
      </c>
      <c r="AH779" s="7" t="str">
        <f>IFERROR(__xludf.DUMMYFUNCTION("GOOGLETRANSLATE(C779, ""en"", ""tr"")"),"İletişim durumunu belirtmek için Gönder düğmesini renklendirin")</f>
        <v>İletişim durumunu belirtmek için Gönder düğmesini renklendirin</v>
      </c>
      <c r="AI779" s="6" t="s">
        <v>16122</v>
      </c>
      <c r="AJ779" s="6" t="s">
        <v>16123</v>
      </c>
      <c r="AK779" s="7" t="str">
        <f>IFERROR(__xludf.DUMMYFUNCTION("GOOGLETRANSLATE(C779, ""en"", ""zh"")"),"Colorize Send按钮以指示联系人状态")</f>
        <v>Colorize Send按钮以指示联系人状态</v>
      </c>
      <c r="AL779" s="6" t="s">
        <v>16124</v>
      </c>
    </row>
    <row r="780" ht="15.75" customHeight="1">
      <c r="A780" s="1" t="s">
        <v>127</v>
      </c>
      <c r="B780" s="1" t="s">
        <v>16125</v>
      </c>
      <c r="C780" s="1" t="s">
        <v>16126</v>
      </c>
      <c r="D780" s="8" t="s">
        <v>16127</v>
      </c>
      <c r="E780" s="1" t="s">
        <v>16128</v>
      </c>
      <c r="F780" s="6" t="s">
        <v>132</v>
      </c>
      <c r="G780" s="1" t="s">
        <v>16129</v>
      </c>
      <c r="H780" s="1" t="s">
        <v>16130</v>
      </c>
      <c r="I780" s="1" t="s">
        <v>16131</v>
      </c>
      <c r="J780" s="6" t="s">
        <v>16132</v>
      </c>
      <c r="K780" s="1" t="s">
        <v>16133</v>
      </c>
      <c r="L780" s="1" t="s">
        <v>16134</v>
      </c>
      <c r="M780" s="1" t="s">
        <v>16135</v>
      </c>
      <c r="N780" s="6" t="s">
        <v>132</v>
      </c>
      <c r="O780" s="6" t="s">
        <v>16136</v>
      </c>
      <c r="P780" s="1" t="s">
        <v>16137</v>
      </c>
      <c r="Q780" s="1" t="s">
        <v>16138</v>
      </c>
      <c r="R780" s="1" t="s">
        <v>16139</v>
      </c>
      <c r="S780" s="6" t="s">
        <v>132</v>
      </c>
      <c r="T780" s="1" t="s">
        <v>16140</v>
      </c>
      <c r="U780" s="1" t="s">
        <v>16141</v>
      </c>
      <c r="V780" s="1" t="s">
        <v>16138</v>
      </c>
      <c r="W780" s="1" t="s">
        <v>16142</v>
      </c>
      <c r="X780" s="1" t="s">
        <v>16130</v>
      </c>
      <c r="Y780" s="1" t="s">
        <v>16143</v>
      </c>
      <c r="Z780" s="1" t="s">
        <v>16144</v>
      </c>
      <c r="AA780" s="1" t="s">
        <v>16145</v>
      </c>
      <c r="AB780" s="1" t="s">
        <v>16146</v>
      </c>
      <c r="AC780" s="1" t="s">
        <v>16147</v>
      </c>
      <c r="AD780" s="6" t="s">
        <v>16148</v>
      </c>
      <c r="AE780" s="1" t="s">
        <v>16149</v>
      </c>
      <c r="AF780" s="1" t="s">
        <v>16150</v>
      </c>
      <c r="AG780" s="6" t="s">
        <v>16151</v>
      </c>
      <c r="AH780" s="1" t="s">
        <v>16152</v>
      </c>
      <c r="AI780" s="6" t="s">
        <v>132</v>
      </c>
      <c r="AJ780" s="6" t="s">
        <v>16153</v>
      </c>
      <c r="AK780" s="1" t="s">
        <v>16154</v>
      </c>
      <c r="AL780" s="6" t="s">
        <v>16155</v>
      </c>
    </row>
    <row r="781" ht="15.75" customHeight="1">
      <c r="A781" s="1" t="s">
        <v>127</v>
      </c>
      <c r="B781" s="1" t="s">
        <v>16156</v>
      </c>
      <c r="C781" s="1" t="s">
        <v>16157</v>
      </c>
      <c r="D781" s="8" t="s">
        <v>16158</v>
      </c>
      <c r="E781" s="1" t="s">
        <v>16159</v>
      </c>
      <c r="F781" s="6" t="s">
        <v>132</v>
      </c>
      <c r="G781" s="1" t="s">
        <v>16160</v>
      </c>
      <c r="H781" s="1" t="s">
        <v>16161</v>
      </c>
      <c r="I781" s="1" t="s">
        <v>16162</v>
      </c>
      <c r="J781" s="6" t="s">
        <v>16163</v>
      </c>
      <c r="K781" s="1" t="s">
        <v>16164</v>
      </c>
      <c r="L781" s="1" t="s">
        <v>16165</v>
      </c>
      <c r="M781" s="1" t="s">
        <v>16166</v>
      </c>
      <c r="N781" s="6" t="s">
        <v>132</v>
      </c>
      <c r="O781" s="6" t="s">
        <v>16167</v>
      </c>
      <c r="P781" s="1" t="s">
        <v>16157</v>
      </c>
      <c r="Q781" s="1" t="s">
        <v>16168</v>
      </c>
      <c r="R781" s="1" t="s">
        <v>16169</v>
      </c>
      <c r="S781" s="6" t="s">
        <v>132</v>
      </c>
      <c r="T781" s="1" t="s">
        <v>16170</v>
      </c>
      <c r="U781" s="1" t="s">
        <v>16171</v>
      </c>
      <c r="V781" s="1" t="s">
        <v>16172</v>
      </c>
      <c r="W781" s="1" t="s">
        <v>16173</v>
      </c>
      <c r="X781" s="1" t="s">
        <v>16174</v>
      </c>
      <c r="Y781" s="1" t="s">
        <v>16175</v>
      </c>
      <c r="Z781" s="1" t="s">
        <v>16176</v>
      </c>
      <c r="AA781" s="1" t="s">
        <v>16177</v>
      </c>
      <c r="AB781" s="1" t="s">
        <v>16178</v>
      </c>
      <c r="AC781" s="1" t="s">
        <v>16179</v>
      </c>
      <c r="AD781" s="6" t="s">
        <v>16180</v>
      </c>
      <c r="AE781" s="1" t="s">
        <v>16181</v>
      </c>
      <c r="AF781" s="1" t="s">
        <v>16182</v>
      </c>
      <c r="AG781" s="6" t="s">
        <v>16183</v>
      </c>
      <c r="AH781" s="1" t="s">
        <v>16184</v>
      </c>
      <c r="AI781" s="6" t="s">
        <v>132</v>
      </c>
      <c r="AJ781" s="6" t="s">
        <v>16185</v>
      </c>
      <c r="AK781" s="1" t="s">
        <v>16186</v>
      </c>
      <c r="AL781" s="6" t="s">
        <v>16187</v>
      </c>
    </row>
    <row r="782" ht="15.75" hidden="1" customHeight="1">
      <c r="A782" s="1" t="s">
        <v>38</v>
      </c>
      <c r="B782" s="1" t="s">
        <v>16188</v>
      </c>
      <c r="C782" s="1" t="s">
        <v>16189</v>
      </c>
      <c r="D782" s="7" t="str">
        <f>IFERROR(__xludf.DUMMYFUNCTION("GOOGLETRANSLATE(C782, ""en"", ""ar"")"),"جزر فاروس")</f>
        <v>جزر فاروس</v>
      </c>
      <c r="E782" s="7" t="str">
        <f>IFERROR(__xludf.DUMMYFUNCTION("GOOGLETRANSLATE(C782, ""en"", ""bg"")"),"Фарьорските острови")</f>
        <v>Фарьорските острови</v>
      </c>
      <c r="F782" s="6" t="s">
        <v>132</v>
      </c>
      <c r="G782" s="7" t="str">
        <f>IFERROR(__xludf.DUMMYFUNCTION("GOOGLETRANSLATE(C782, ""en"", ""cs"")"),"Faerské ostrovy")</f>
        <v>Faerské ostrovy</v>
      </c>
      <c r="H782" s="7" t="str">
        <f>IFERROR(__xludf.DUMMYFUNCTION("GOOGLETRANSLATE(C782, ""en"", ""da"")"),"Færøerne")</f>
        <v>Færøerne</v>
      </c>
      <c r="I782" s="1" t="s">
        <v>16190</v>
      </c>
      <c r="J782" s="6" t="s">
        <v>132</v>
      </c>
      <c r="K782" s="1" t="s">
        <v>16191</v>
      </c>
      <c r="L782" s="7" t="str">
        <f>IFERROR(__xludf.DUMMYFUNCTION("GOOGLETRANSLATE(C782, ""en"", ""fi"")"),"Färsaaret")</f>
        <v>Färsaaret</v>
      </c>
      <c r="M782" s="1" t="s">
        <v>16192</v>
      </c>
      <c r="N782" s="6" t="s">
        <v>132</v>
      </c>
      <c r="O782" s="6" t="s">
        <v>132</v>
      </c>
      <c r="P782" s="1" t="s">
        <v>16189</v>
      </c>
      <c r="Q782" s="7" t="str">
        <f>IFERROR(__xludf.DUMMYFUNCTION("GOOGLETRANSLATE(C782, ""en"", ""in"")"),"Kepulauan Faroe")</f>
        <v>Kepulauan Faroe</v>
      </c>
      <c r="R782" s="7" t="str">
        <f>IFERROR(__xludf.DUMMYFUNCTION("GOOGLETRANSLATE(C782, ""en"", ""it"")"),"Isole Faroe")</f>
        <v>Isole Faroe</v>
      </c>
      <c r="S782" s="6" t="s">
        <v>132</v>
      </c>
      <c r="T782" s="7" t="str">
        <f>IFERROR(__xludf.DUMMYFUNCTION("GOOGLETRANSLATE(C782, ""en"", ""ja"")"),"フェロー諸島")</f>
        <v>フェロー諸島</v>
      </c>
      <c r="U782" s="7" t="str">
        <f>IFERROR(__xludf.DUMMYFUNCTION("GOOGLETRANSLATE(C782, ""en"", ""ko"")"),"페로 제도")</f>
        <v>페로 제도</v>
      </c>
      <c r="V782" s="7" t="str">
        <f>IFERROR(__xludf.DUMMYFUNCTION("GOOGLETRANSLATE(C782, ""en"", ""ms"")"),"Pulau Faroe")</f>
        <v>Pulau Faroe</v>
      </c>
      <c r="W782" s="7" t="str">
        <f>IFERROR(__xludf.DUMMYFUNCTION("GOOGLETRANSLATE(C782, ""en"", ""nl"")"),"Faerische eilanden")</f>
        <v>Faerische eilanden</v>
      </c>
      <c r="X782" s="7" t="str">
        <f>IFERROR(__xludf.DUMMYFUNCTION("GOOGLETRANSLATE(C782, ""en"", ""no"")"),"Færøyene")</f>
        <v>Færøyene</v>
      </c>
      <c r="Y782" s="7" t="str">
        <f>IFERROR(__xludf.DUMMYFUNCTION("GOOGLETRANSLATE(C782, ""en"", ""pl"")"),"Wyspy Owcze")</f>
        <v>Wyspy Owcze</v>
      </c>
      <c r="Z782" s="7" t="str">
        <f>IFERROR(__xludf.DUMMYFUNCTION("GOOGLETRANSLATE(C782, ""en"", ""pt"")"),"ilhas Faroe")</f>
        <v>ilhas Faroe</v>
      </c>
      <c r="AA782" s="7" t="str">
        <f>IFERROR(__xludf.DUMMYFUNCTION("GOOGLETRANSLATE(C782, ""en"", ""ro"")"),"Insulele Feroe")</f>
        <v>Insulele Feroe</v>
      </c>
      <c r="AB782" s="1" t="s">
        <v>16193</v>
      </c>
      <c r="AC782" s="7" t="str">
        <f>IFERROR(__xludf.DUMMYFUNCTION("GOOGLETRANSLATE(C782, ""en"", ""sk"")"),"Faerské ostrovy")</f>
        <v>Faerské ostrovy</v>
      </c>
      <c r="AD782" s="6" t="s">
        <v>132</v>
      </c>
      <c r="AE782" s="1" t="s">
        <v>16194</v>
      </c>
      <c r="AF782" s="7" t="str">
        <f>IFERROR(__xludf.DUMMYFUNCTION("GOOGLETRANSLATE(C782, ""en"", ""sv"")"),"Färöarna")</f>
        <v>Färöarna</v>
      </c>
      <c r="AG782" s="6" t="s">
        <v>132</v>
      </c>
      <c r="AH782" s="7" t="str">
        <f>IFERROR(__xludf.DUMMYFUNCTION("GOOGLETRANSLATE(C782, ""en"", ""tr"")"),"Faroe Adaları")</f>
        <v>Faroe Adaları</v>
      </c>
      <c r="AI782" s="6" t="s">
        <v>132</v>
      </c>
      <c r="AJ782" s="6" t="s">
        <v>132</v>
      </c>
      <c r="AK782" s="7" t="str">
        <f>IFERROR(__xludf.DUMMYFUNCTION("GOOGLETRANSLATE(C782, ""en"", ""zh"")"),"法罗群岛")</f>
        <v>法罗群岛</v>
      </c>
      <c r="AL782" s="6" t="s">
        <v>132</v>
      </c>
    </row>
    <row r="783" ht="15.75" hidden="1" customHeight="1">
      <c r="A783" s="1" t="s">
        <v>38</v>
      </c>
      <c r="B783" s="1" t="s">
        <v>16195</v>
      </c>
      <c r="C783" s="1" t="s">
        <v>16196</v>
      </c>
      <c r="D783" s="8" t="s">
        <v>16197</v>
      </c>
      <c r="E783" s="1" t="s">
        <v>16198</v>
      </c>
      <c r="F783" s="6" t="s">
        <v>16199</v>
      </c>
      <c r="G783" s="7" t="str">
        <f>IFERROR(__xludf.DUMMYFUNCTION("GOOGLETRANSLATE(C783, ""en"", ""cs"")"),"Server nepodporuje registraci")</f>
        <v>Server nepodporuje registraci</v>
      </c>
      <c r="H783" s="7" t="str">
        <f>IFERROR(__xludf.DUMMYFUNCTION("GOOGLETRANSLATE(C783, ""en"", ""da"")"),"Server understøtter ikke registrering")</f>
        <v>Server understøtter ikke registrering</v>
      </c>
      <c r="I783" s="1" t="s">
        <v>16200</v>
      </c>
      <c r="J783" s="6" t="s">
        <v>132</v>
      </c>
      <c r="K783" s="1" t="s">
        <v>16201</v>
      </c>
      <c r="L783" s="7" t="str">
        <f>IFERROR(__xludf.DUMMYFUNCTION("GOOGLETRANSLATE(C783, ""en"", ""fi"")"),"Palvelin ei tue rekisteröintiä")</f>
        <v>Palvelin ei tue rekisteröintiä</v>
      </c>
      <c r="M783" s="1" t="s">
        <v>16202</v>
      </c>
      <c r="N783" s="6" t="s">
        <v>16203</v>
      </c>
      <c r="O783" s="6" t="s">
        <v>132</v>
      </c>
      <c r="P783" s="1" t="s">
        <v>16204</v>
      </c>
      <c r="Q783" s="9" t="s">
        <v>16205</v>
      </c>
      <c r="R783" s="1" t="s">
        <v>16206</v>
      </c>
      <c r="S783" s="6" t="s">
        <v>132</v>
      </c>
      <c r="T783" s="1" t="s">
        <v>16207</v>
      </c>
      <c r="U783" s="1" t="s">
        <v>16208</v>
      </c>
      <c r="V783" s="7" t="str">
        <f>IFERROR(__xludf.DUMMYFUNCTION("GOOGLETRANSLATE(C783, ""en"", ""ms"")"),"Pelayan tidak menyokong pendaftaran")</f>
        <v>Pelayan tidak menyokong pendaftaran</v>
      </c>
      <c r="W783" s="1" t="s">
        <v>16209</v>
      </c>
      <c r="X783" s="7" t="str">
        <f>IFERROR(__xludf.DUMMYFUNCTION("GOOGLETRANSLATE(C783, ""en"", ""no"")"),"Server støtter ikke registrering")</f>
        <v>Server støtter ikke registrering</v>
      </c>
      <c r="Y783" s="1" t="s">
        <v>16210</v>
      </c>
      <c r="Z783" s="1" t="s">
        <v>16211</v>
      </c>
      <c r="AA783" s="7" t="str">
        <f>IFERROR(__xludf.DUMMYFUNCTION("GOOGLETRANSLATE(C783, ""en"", ""ro"")"),"Serverul nu acceptă înregistrarea")</f>
        <v>Serverul nu acceptă înregistrarea</v>
      </c>
      <c r="AB783" s="1" t="s">
        <v>16212</v>
      </c>
      <c r="AC783" s="1" t="s">
        <v>16213</v>
      </c>
      <c r="AD783" s="6" t="s">
        <v>132</v>
      </c>
      <c r="AE783" s="1" t="s">
        <v>16214</v>
      </c>
      <c r="AF783" s="1" t="s">
        <v>16215</v>
      </c>
      <c r="AG783" s="6" t="s">
        <v>132</v>
      </c>
      <c r="AH783" s="7" t="str">
        <f>IFERROR(__xludf.DUMMYFUNCTION("GOOGLETRANSLATE(C783, ""en"", ""tr"")"),"Sunucu kaydı desteklemiyor")</f>
        <v>Sunucu kaydı desteklemiyor</v>
      </c>
      <c r="AI783" s="6" t="s">
        <v>16216</v>
      </c>
      <c r="AJ783" s="6" t="s">
        <v>16217</v>
      </c>
      <c r="AK783" s="7" t="str">
        <f>IFERROR(__xludf.DUMMYFUNCTION("GOOGLETRANSLATE(C783, ""en"", ""zh"")"),"服务器不支持注册")</f>
        <v>服务器不支持注册</v>
      </c>
      <c r="AL783" s="6" t="s">
        <v>16218</v>
      </c>
    </row>
    <row r="784" ht="15.75" hidden="1" customHeight="1">
      <c r="A784" s="1" t="s">
        <v>38</v>
      </c>
      <c r="B784" s="1" t="s">
        <v>16219</v>
      </c>
      <c r="C784" s="1" t="s">
        <v>16220</v>
      </c>
      <c r="D784" s="7" t="str">
        <f>IFERROR(__xludf.DUMMYFUNCTION("GOOGLETRANSLATE(C784, ""en"", ""ar"")"),"قيود الموارد")</f>
        <v>قيود الموارد</v>
      </c>
      <c r="E784" s="1" t="s">
        <v>16221</v>
      </c>
      <c r="F784" s="6" t="s">
        <v>16222</v>
      </c>
      <c r="G784" s="7" t="str">
        <f>IFERROR(__xludf.DUMMYFUNCTION("GOOGLETRANSLATE(C784, ""en"", ""cs"")"),"Omezení zdrojů")</f>
        <v>Omezení zdrojů</v>
      </c>
      <c r="H784" s="7" t="str">
        <f>IFERROR(__xludf.DUMMYFUNCTION("GOOGLETRANSLATE(C784, ""en"", ""da"")"),"Ressourcebegrænsning")</f>
        <v>Ressourcebegrænsning</v>
      </c>
      <c r="I784" s="1" t="s">
        <v>16223</v>
      </c>
      <c r="J784" s="6" t="s">
        <v>132</v>
      </c>
      <c r="K784" s="1" t="s">
        <v>16224</v>
      </c>
      <c r="L784" s="7" t="str">
        <f>IFERROR(__xludf.DUMMYFUNCTION("GOOGLETRANSLATE(C784, ""en"", ""fi"")"),"Resurssien rajoitus")</f>
        <v>Resurssien rajoitus</v>
      </c>
      <c r="M784" s="1" t="s">
        <v>16225</v>
      </c>
      <c r="N784" s="6" t="s">
        <v>16226</v>
      </c>
      <c r="O784" s="6" t="s">
        <v>132</v>
      </c>
      <c r="P784" s="1" t="s">
        <v>16227</v>
      </c>
      <c r="Q784" s="7" t="str">
        <f>IFERROR(__xludf.DUMMYFUNCTION("GOOGLETRANSLATE(C784, ""en"", ""in"")"),"Kendala sumber daya")</f>
        <v>Kendala sumber daya</v>
      </c>
      <c r="R784" s="1" t="s">
        <v>16228</v>
      </c>
      <c r="S784" s="6" t="s">
        <v>132</v>
      </c>
      <c r="T784" s="7" t="str">
        <f>IFERROR(__xludf.DUMMYFUNCTION("GOOGLETRANSLATE(C784, ""en"", ""ja"")"),"リソース制約")</f>
        <v>リソース制約</v>
      </c>
      <c r="U784" s="7" t="str">
        <f>IFERROR(__xludf.DUMMYFUNCTION("GOOGLETRANSLATE(C784, ""en"", ""ko"")"),"자원 제약 조건")</f>
        <v>자원 제약 조건</v>
      </c>
      <c r="V784" s="7" t="str">
        <f>IFERROR(__xludf.DUMMYFUNCTION("GOOGLETRANSLATE(C784, ""en"", ""ms"")"),"Kekangan sumber.")</f>
        <v>Kekangan sumber.</v>
      </c>
      <c r="W784" s="1" t="s">
        <v>16229</v>
      </c>
      <c r="X784" s="7" t="str">
        <f>IFERROR(__xludf.DUMMYFUNCTION("GOOGLETRANSLATE(C784, ""en"", ""no"")"),"Ressursbegrensning")</f>
        <v>Ressursbegrensning</v>
      </c>
      <c r="Y784" s="1" t="s">
        <v>16230</v>
      </c>
      <c r="Z784" s="7" t="str">
        <f>IFERROR(__xludf.DUMMYFUNCTION("GOOGLETRANSLATE(C784, ""en"", ""pt"")"),"Restrição de recursos")</f>
        <v>Restrição de recursos</v>
      </c>
      <c r="AA784" s="7" t="str">
        <f>IFERROR(__xludf.DUMMYFUNCTION("GOOGLETRANSLATE(C784, ""en"", ""ro"")"),"Constrângerea resurselor")</f>
        <v>Constrângerea resurselor</v>
      </c>
      <c r="AB784" s="7" t="str">
        <f>IFERROR(__xludf.DUMMYFUNCTION("GOOGLETRANSLATE(C784, ""en"", ""ru"")"),"Ресурс ограничения")</f>
        <v>Ресурс ограничения</v>
      </c>
      <c r="AC784" s="7" t="str">
        <f>IFERROR(__xludf.DUMMYFUNCTION("GOOGLETRANSLATE(C784, ""en"", ""sk"")"),"Obmedzenie zdrojov")</f>
        <v>Obmedzenie zdrojov</v>
      </c>
      <c r="AD784" s="6" t="s">
        <v>132</v>
      </c>
      <c r="AE784" s="7" t="str">
        <f>IFERROR(__xludf.DUMMYFUNCTION("GOOGLETRANSLATE(C784, ""en"", ""sr"")"),"Ограничење ресурса")</f>
        <v>Ограничење ресурса</v>
      </c>
      <c r="AF784" s="7" t="str">
        <f>IFERROR(__xludf.DUMMYFUNCTION("GOOGLETRANSLATE(C784, ""en"", ""sv"")"),"Resursbegränsning")</f>
        <v>Resursbegränsning</v>
      </c>
      <c r="AG784" s="6" t="s">
        <v>132</v>
      </c>
      <c r="AH784" s="7" t="str">
        <f>IFERROR(__xludf.DUMMYFUNCTION("GOOGLETRANSLATE(C784, ""en"", ""tr"")"),"Kaynak kısıtı")</f>
        <v>Kaynak kısıtı</v>
      </c>
      <c r="AI784" s="6" t="s">
        <v>132</v>
      </c>
      <c r="AJ784" s="6" t="s">
        <v>132</v>
      </c>
      <c r="AK784" s="7" t="str">
        <f>IFERROR(__xludf.DUMMYFUNCTION("GOOGLETRANSLATE(C784, ""en"", ""zh"")"),"资源约束")</f>
        <v>资源约束</v>
      </c>
      <c r="AL784" s="6" t="s">
        <v>132</v>
      </c>
    </row>
    <row r="785" ht="15.75" hidden="1" customHeight="1">
      <c r="A785" s="1" t="s">
        <v>38</v>
      </c>
      <c r="B785" s="1" t="s">
        <v>16231</v>
      </c>
      <c r="C785" s="1" t="s">
        <v>16232</v>
      </c>
      <c r="D785" s="7" t="str">
        <f>IFERROR(__xludf.DUMMYFUNCTION("GOOGLETRANSLATE(C785, ""en"", ""ar"")"),"بابوا غينيا الجديدة")</f>
        <v>بابوا غينيا الجديدة</v>
      </c>
      <c r="E785" s="7" t="str">
        <f>IFERROR(__xludf.DUMMYFUNCTION("GOOGLETRANSLATE(C785, ""en"", ""bg"")"),"Папуа-Нова Гвинея")</f>
        <v>Папуа-Нова Гвинея</v>
      </c>
      <c r="F785" s="6" t="s">
        <v>132</v>
      </c>
      <c r="G785" s="7" t="str">
        <f>IFERROR(__xludf.DUMMYFUNCTION("GOOGLETRANSLATE(C785, ""en"", ""cs"")"),"Papua-Nová Guinea")</f>
        <v>Papua-Nová Guinea</v>
      </c>
      <c r="H785" s="7" t="str">
        <f>IFERROR(__xludf.DUMMYFUNCTION("GOOGLETRANSLATE(C785, ""en"", ""da"")"),"Papua Ny Guinea")</f>
        <v>Papua Ny Guinea</v>
      </c>
      <c r="I785" s="1" t="s">
        <v>16233</v>
      </c>
      <c r="J785" s="6" t="s">
        <v>132</v>
      </c>
      <c r="K785" s="1" t="s">
        <v>16234</v>
      </c>
      <c r="L785" s="7" t="str">
        <f>IFERROR(__xludf.DUMMYFUNCTION("GOOGLETRANSLATE(C785, ""en"", ""fi"")"),"Papua-Uusi-Guinea")</f>
        <v>Papua-Uusi-Guinea</v>
      </c>
      <c r="M785" s="1" t="s">
        <v>16235</v>
      </c>
      <c r="N785" s="6" t="s">
        <v>132</v>
      </c>
      <c r="O785" s="6" t="s">
        <v>132</v>
      </c>
      <c r="P785" s="1" t="s">
        <v>16232</v>
      </c>
      <c r="Q785" s="7" t="str">
        <f>IFERROR(__xludf.DUMMYFUNCTION("GOOGLETRANSLATE(C785, ""en"", ""in"")"),"Papua Nugini")</f>
        <v>Papua Nugini</v>
      </c>
      <c r="R785" s="7" t="str">
        <f>IFERROR(__xludf.DUMMYFUNCTION("GOOGLETRANSLATE(C785, ""en"", ""it"")"),"Papua Nuova Guinea")</f>
        <v>Papua Nuova Guinea</v>
      </c>
      <c r="S785" s="6" t="s">
        <v>132</v>
      </c>
      <c r="T785" s="7" t="str">
        <f>IFERROR(__xludf.DUMMYFUNCTION("GOOGLETRANSLATE(C785, ""en"", ""ja"")"),"パプアニューギニア")</f>
        <v>パプアニューギニア</v>
      </c>
      <c r="U785" s="7" t="str">
        <f>IFERROR(__xludf.DUMMYFUNCTION("GOOGLETRANSLATE(C785, ""en"", ""ko"")"),"파푸아 뉴기니")</f>
        <v>파푸아 뉴기니</v>
      </c>
      <c r="V785" s="7" t="str">
        <f>IFERROR(__xludf.DUMMYFUNCTION("GOOGLETRANSLATE(C785, ""en"", ""ms"")"),"Papua New Guinea.")</f>
        <v>Papua New Guinea.</v>
      </c>
      <c r="W785" s="7" t="str">
        <f>IFERROR(__xludf.DUMMYFUNCTION("GOOGLETRANSLATE(C785, ""en"", ""nl"")"),"Papoea-Nieuw-Guinea")</f>
        <v>Papoea-Nieuw-Guinea</v>
      </c>
      <c r="X785" s="7" t="str">
        <f>IFERROR(__xludf.DUMMYFUNCTION("GOOGLETRANSLATE(C785, ""en"", ""no"")"),"Papua Ny Guinea.")</f>
        <v>Papua Ny Guinea.</v>
      </c>
      <c r="Y785" s="7" t="str">
        <f>IFERROR(__xludf.DUMMYFUNCTION("GOOGLETRANSLATE(C785, ""en"", ""pl"")"),"Papua Nowa Gwinea")</f>
        <v>Papua Nowa Gwinea</v>
      </c>
      <c r="Z785" s="7" t="str">
        <f>IFERROR(__xludf.DUMMYFUNCTION("GOOGLETRANSLATE(C785, ""en"", ""pt"")"),"Papua Nova Guiné")</f>
        <v>Papua Nova Guiné</v>
      </c>
      <c r="AA785" s="7" t="str">
        <f>IFERROR(__xludf.DUMMYFUNCTION("GOOGLETRANSLATE(C785, ""en"", ""ro"")"),"Papua Noua Guinee")</f>
        <v>Papua Noua Guinee</v>
      </c>
      <c r="AB785" s="1" t="s">
        <v>16236</v>
      </c>
      <c r="AC785" s="7" t="str">
        <f>IFERROR(__xludf.DUMMYFUNCTION("GOOGLETRANSLATE(C785, ""en"", ""sk"")"),"Papua-Nová Guinea")</f>
        <v>Papua-Nová Guinea</v>
      </c>
      <c r="AD785" s="6" t="s">
        <v>132</v>
      </c>
      <c r="AE785" s="1" t="s">
        <v>16237</v>
      </c>
      <c r="AF785" s="7" t="str">
        <f>IFERROR(__xludf.DUMMYFUNCTION("GOOGLETRANSLATE(C785, ""en"", ""sv"")"),"Papua Nya Guinea")</f>
        <v>Papua Nya Guinea</v>
      </c>
      <c r="AG785" s="6" t="s">
        <v>132</v>
      </c>
      <c r="AH785" s="7" t="str">
        <f>IFERROR(__xludf.DUMMYFUNCTION("GOOGLETRANSLATE(C785, ""en"", ""tr"")"),"Papua Yeni Gine")</f>
        <v>Papua Yeni Gine</v>
      </c>
      <c r="AI785" s="6" t="s">
        <v>132</v>
      </c>
      <c r="AJ785" s="6" t="s">
        <v>132</v>
      </c>
      <c r="AK785" s="7" t="str">
        <f>IFERROR(__xludf.DUMMYFUNCTION("GOOGLETRANSLATE(C785, ""en"", ""zh"")"),"巴布亚新几内亚")</f>
        <v>巴布亚新几内亚</v>
      </c>
      <c r="AL785" s="6" t="s">
        <v>132</v>
      </c>
    </row>
    <row r="786" ht="15.75" customHeight="1">
      <c r="A786" s="1" t="s">
        <v>127</v>
      </c>
      <c r="B786" s="1" t="s">
        <v>16238</v>
      </c>
      <c r="C786" s="1" t="s">
        <v>16239</v>
      </c>
      <c r="D786" s="8" t="s">
        <v>16240</v>
      </c>
      <c r="E786" s="1" t="s">
        <v>16241</v>
      </c>
      <c r="F786" s="6" t="s">
        <v>132</v>
      </c>
      <c r="G786" s="1" t="s">
        <v>16242</v>
      </c>
      <c r="H786" s="1" t="s">
        <v>16243</v>
      </c>
      <c r="I786" s="1" t="s">
        <v>16239</v>
      </c>
      <c r="J786" s="6" t="s">
        <v>16239</v>
      </c>
      <c r="K786" s="1" t="s">
        <v>16244</v>
      </c>
      <c r="L786" s="1" t="s">
        <v>16245</v>
      </c>
      <c r="M786" s="1" t="s">
        <v>16246</v>
      </c>
      <c r="N786" s="6" t="s">
        <v>132</v>
      </c>
      <c r="O786" s="6" t="s">
        <v>16247</v>
      </c>
      <c r="P786" s="1" t="s">
        <v>16248</v>
      </c>
      <c r="Q786" s="1" t="s">
        <v>16249</v>
      </c>
      <c r="R786" s="1" t="s">
        <v>16250</v>
      </c>
      <c r="S786" s="6" t="s">
        <v>132</v>
      </c>
      <c r="T786" s="1" t="s">
        <v>16251</v>
      </c>
      <c r="U786" s="1" t="s">
        <v>16252</v>
      </c>
      <c r="V786" s="1" t="s">
        <v>16253</v>
      </c>
      <c r="W786" s="1" t="s">
        <v>16254</v>
      </c>
      <c r="X786" s="1" t="s">
        <v>16255</v>
      </c>
      <c r="Y786" s="11" t="s">
        <v>16256</v>
      </c>
      <c r="Z786" s="1" t="s">
        <v>16257</v>
      </c>
      <c r="AA786" s="1" t="s">
        <v>16258</v>
      </c>
      <c r="AB786" s="1" t="s">
        <v>16259</v>
      </c>
      <c r="AC786" s="1" t="s">
        <v>16260</v>
      </c>
      <c r="AD786" s="6" t="s">
        <v>16261</v>
      </c>
      <c r="AE786" s="1" t="s">
        <v>16262</v>
      </c>
      <c r="AF786" s="1" t="s">
        <v>16255</v>
      </c>
      <c r="AG786" s="6" t="s">
        <v>16263</v>
      </c>
      <c r="AH786" s="1" t="s">
        <v>16264</v>
      </c>
      <c r="AI786" s="6" t="s">
        <v>132</v>
      </c>
      <c r="AJ786" s="6" t="s">
        <v>16265</v>
      </c>
      <c r="AK786" s="1" t="s">
        <v>16266</v>
      </c>
      <c r="AL786" s="6" t="s">
        <v>132</v>
      </c>
    </row>
    <row r="787" ht="15.75" customHeight="1">
      <c r="A787" s="1" t="s">
        <v>127</v>
      </c>
      <c r="B787" s="1" t="s">
        <v>16267</v>
      </c>
      <c r="C787" s="1" t="s">
        <v>16268</v>
      </c>
      <c r="D787" s="8" t="s">
        <v>16269</v>
      </c>
      <c r="E787" s="1" t="s">
        <v>16270</v>
      </c>
      <c r="F787" s="6" t="s">
        <v>132</v>
      </c>
      <c r="G787" s="1" t="s">
        <v>16271</v>
      </c>
      <c r="H787" s="1" t="s">
        <v>16272</v>
      </c>
      <c r="I787" s="1" t="s">
        <v>16268</v>
      </c>
      <c r="J787" s="6" t="s">
        <v>16273</v>
      </c>
      <c r="K787" s="1" t="s">
        <v>16268</v>
      </c>
      <c r="L787" s="1" t="s">
        <v>16274</v>
      </c>
      <c r="M787" s="1" t="s">
        <v>16275</v>
      </c>
      <c r="N787" s="6" t="s">
        <v>132</v>
      </c>
      <c r="O787" s="6" t="s">
        <v>16276</v>
      </c>
      <c r="P787" s="1" t="s">
        <v>16277</v>
      </c>
      <c r="Q787" s="1" t="s">
        <v>16278</v>
      </c>
      <c r="R787" s="1" t="s">
        <v>16279</v>
      </c>
      <c r="S787" s="6" t="s">
        <v>132</v>
      </c>
      <c r="T787" s="1" t="s">
        <v>16280</v>
      </c>
      <c r="U787" s="1" t="s">
        <v>16281</v>
      </c>
      <c r="V787" s="1" t="s">
        <v>16278</v>
      </c>
      <c r="W787" s="1" t="s">
        <v>16282</v>
      </c>
      <c r="X787" s="1" t="s">
        <v>16272</v>
      </c>
      <c r="Y787" s="1" t="s">
        <v>16283</v>
      </c>
      <c r="Z787" s="1" t="s">
        <v>16268</v>
      </c>
      <c r="AA787" s="1" t="s">
        <v>16284</v>
      </c>
      <c r="AB787" s="1" t="s">
        <v>16285</v>
      </c>
      <c r="AC787" s="1" t="s">
        <v>16286</v>
      </c>
      <c r="AD787" s="6" t="s">
        <v>16287</v>
      </c>
      <c r="AE787" s="1" t="s">
        <v>16288</v>
      </c>
      <c r="AF787" s="1" t="s">
        <v>16272</v>
      </c>
      <c r="AG787" s="6" t="s">
        <v>16289</v>
      </c>
      <c r="AH787" s="1" t="s">
        <v>16290</v>
      </c>
      <c r="AI787" s="6" t="s">
        <v>132</v>
      </c>
      <c r="AJ787" s="6" t="s">
        <v>16291</v>
      </c>
      <c r="AK787" s="1" t="s">
        <v>16292</v>
      </c>
      <c r="AL787" s="6" t="s">
        <v>16293</v>
      </c>
    </row>
    <row r="788" ht="15.75" hidden="1" customHeight="1">
      <c r="A788" s="1" t="s">
        <v>38</v>
      </c>
      <c r="B788" s="1" t="s">
        <v>16294</v>
      </c>
      <c r="C788" s="1" t="s">
        <v>16295</v>
      </c>
      <c r="D788" s="8" t="s">
        <v>16296</v>
      </c>
      <c r="E788" s="1" t="s">
        <v>16297</v>
      </c>
      <c r="F788" s="6" t="s">
        <v>16298</v>
      </c>
      <c r="G788" s="7" t="str">
        <f>IFERROR(__xludf.DUMMYFUNCTION("GOOGLETRANSLATE(C788, ""en"", ""cs"")"),"Non-anonymní")</f>
        <v>Non-anonymní</v>
      </c>
      <c r="H788" s="7" t="str">
        <f>IFERROR(__xludf.DUMMYFUNCTION("GOOGLETRANSLATE(C788, ""en"", ""da"")"),"Ikke-anonym.")</f>
        <v>Ikke-anonym.</v>
      </c>
      <c r="I788" s="1" t="s">
        <v>16299</v>
      </c>
      <c r="J788" s="6" t="s">
        <v>132</v>
      </c>
      <c r="K788" s="1" t="s">
        <v>16300</v>
      </c>
      <c r="L788" s="7" t="str">
        <f>IFERROR(__xludf.DUMMYFUNCTION("GOOGLETRANSLATE(C788, ""en"", ""fi"")"),"Ei-anonyymi")</f>
        <v>Ei-anonyymi</v>
      </c>
      <c r="M788" s="1" t="s">
        <v>16301</v>
      </c>
      <c r="N788" s="6" t="s">
        <v>16302</v>
      </c>
      <c r="O788" s="6" t="s">
        <v>132</v>
      </c>
      <c r="P788" s="1" t="s">
        <v>16303</v>
      </c>
      <c r="Q788" s="9" t="s">
        <v>16304</v>
      </c>
      <c r="R788" s="1" t="s">
        <v>16305</v>
      </c>
      <c r="S788" s="6" t="s">
        <v>132</v>
      </c>
      <c r="T788" s="1" t="s">
        <v>16306</v>
      </c>
      <c r="U788" s="1" t="s">
        <v>16307</v>
      </c>
      <c r="V788" s="7" t="str">
        <f>IFERROR(__xludf.DUMMYFUNCTION("GOOGLETRANSLATE(C788, ""en"", ""ms"")"),"Bukan tanpa nama")</f>
        <v>Bukan tanpa nama</v>
      </c>
      <c r="W788" s="1" t="s">
        <v>16308</v>
      </c>
      <c r="X788" s="7" t="str">
        <f>IFERROR(__xludf.DUMMYFUNCTION("GOOGLETRANSLATE(C788, ""en"", ""no"")"),"Ikke-anonym")</f>
        <v>Ikke-anonym</v>
      </c>
      <c r="Y788" s="1" t="s">
        <v>16309</v>
      </c>
      <c r="Z788" s="1" t="s">
        <v>16310</v>
      </c>
      <c r="AA788" s="7" t="str">
        <f>IFERROR(__xludf.DUMMYFUNCTION("GOOGLETRANSLATE(C788, ""en"", ""ro"")"),"Non-anonim")</f>
        <v>Non-anonim</v>
      </c>
      <c r="AB788" s="1" t="s">
        <v>16311</v>
      </c>
      <c r="AC788" s="1" t="s">
        <v>16312</v>
      </c>
      <c r="AD788" s="6" t="s">
        <v>132</v>
      </c>
      <c r="AE788" s="1" t="s">
        <v>16313</v>
      </c>
      <c r="AF788" s="1" t="s">
        <v>16314</v>
      </c>
      <c r="AG788" s="6" t="s">
        <v>132</v>
      </c>
      <c r="AH788" s="7" t="str">
        <f>IFERROR(__xludf.DUMMYFUNCTION("GOOGLETRANSLATE(C788, ""en"", ""tr"")"),"Anonim olmayan")</f>
        <v>Anonim olmayan</v>
      </c>
      <c r="AI788" s="6" t="s">
        <v>16315</v>
      </c>
      <c r="AJ788" s="6" t="s">
        <v>16316</v>
      </c>
      <c r="AK788" s="7" t="str">
        <f>IFERROR(__xludf.DUMMYFUNCTION("GOOGLETRANSLATE(C788, ""en"", ""zh"")"),"非匿名")</f>
        <v>非匿名</v>
      </c>
      <c r="AL788" s="6" t="s">
        <v>16317</v>
      </c>
    </row>
    <row r="789" ht="15.75" customHeight="1">
      <c r="A789" s="1" t="s">
        <v>127</v>
      </c>
      <c r="B789" s="1" t="s">
        <v>16318</v>
      </c>
      <c r="C789" s="1" t="s">
        <v>16319</v>
      </c>
      <c r="D789" s="8" t="s">
        <v>16320</v>
      </c>
      <c r="E789" s="1" t="s">
        <v>16321</v>
      </c>
      <c r="F789" s="6" t="s">
        <v>132</v>
      </c>
      <c r="G789" s="1" t="s">
        <v>16322</v>
      </c>
      <c r="H789" s="1" t="s">
        <v>16323</v>
      </c>
      <c r="I789" s="1" t="s">
        <v>16324</v>
      </c>
      <c r="J789" s="6" t="s">
        <v>16325</v>
      </c>
      <c r="K789" s="1" t="s">
        <v>16326</v>
      </c>
      <c r="L789" s="1" t="s">
        <v>16327</v>
      </c>
      <c r="M789" s="1" t="s">
        <v>16328</v>
      </c>
      <c r="N789" s="6" t="s">
        <v>132</v>
      </c>
      <c r="O789" s="6" t="s">
        <v>16329</v>
      </c>
      <c r="P789" s="1" t="s">
        <v>16330</v>
      </c>
      <c r="Q789" s="1" t="s">
        <v>16331</v>
      </c>
      <c r="R789" s="1" t="s">
        <v>16332</v>
      </c>
      <c r="S789" s="6" t="s">
        <v>132</v>
      </c>
      <c r="T789" s="1" t="s">
        <v>16333</v>
      </c>
      <c r="U789" s="1" t="s">
        <v>16334</v>
      </c>
      <c r="V789" s="1" t="s">
        <v>16335</v>
      </c>
      <c r="W789" s="1" t="s">
        <v>16336</v>
      </c>
      <c r="X789" s="1" t="s">
        <v>16337</v>
      </c>
      <c r="Y789" s="1" t="s">
        <v>16338</v>
      </c>
      <c r="Z789" s="1" t="s">
        <v>16339</v>
      </c>
      <c r="AA789" s="1" t="s">
        <v>16340</v>
      </c>
      <c r="AB789" s="1" t="s">
        <v>16341</v>
      </c>
      <c r="AC789" s="1" t="s">
        <v>16342</v>
      </c>
      <c r="AD789" s="6" t="s">
        <v>16343</v>
      </c>
      <c r="AE789" s="1" t="s">
        <v>16344</v>
      </c>
      <c r="AF789" s="1" t="s">
        <v>16345</v>
      </c>
      <c r="AG789" s="6" t="s">
        <v>16346</v>
      </c>
      <c r="AH789" s="1" t="s">
        <v>16347</v>
      </c>
      <c r="AI789" s="6" t="s">
        <v>132</v>
      </c>
      <c r="AJ789" s="6" t="s">
        <v>16348</v>
      </c>
      <c r="AK789" s="1" t="s">
        <v>16349</v>
      </c>
      <c r="AL789" s="6" t="s">
        <v>132</v>
      </c>
    </row>
    <row r="790" ht="15.75" hidden="1" customHeight="1">
      <c r="A790" s="1" t="s">
        <v>38</v>
      </c>
      <c r="B790" s="1" t="s">
        <v>16350</v>
      </c>
      <c r="C790" s="1" t="s">
        <v>16351</v>
      </c>
      <c r="D790" s="8" t="s">
        <v>16352</v>
      </c>
      <c r="E790" s="1" t="s">
        <v>16353</v>
      </c>
      <c r="F790" s="6" t="s">
        <v>16354</v>
      </c>
      <c r="G790" s="7" t="str">
        <f>IFERROR(__xludf.DUMMYFUNCTION("GOOGLETRANSLATE(C790, ""en"", ""cs"")"),"Seznam blokovaných")</f>
        <v>Seznam blokovaných</v>
      </c>
      <c r="H790" s="7" t="str">
        <f>IFERROR(__xludf.DUMMYFUNCTION("GOOGLETRANSLATE(C790, ""en"", ""da"")"),"Blokliste")</f>
        <v>Blokliste</v>
      </c>
      <c r="I790" s="1" t="s">
        <v>16355</v>
      </c>
      <c r="J790" s="6" t="s">
        <v>132</v>
      </c>
      <c r="K790" s="1" t="s">
        <v>16356</v>
      </c>
      <c r="L790" s="7" t="str">
        <f>IFERROR(__xludf.DUMMYFUNCTION("GOOGLETRANSLATE(C790, ""en"", ""fi"")"),"Lohkoluettelo")</f>
        <v>Lohkoluettelo</v>
      </c>
      <c r="M790" s="1" t="s">
        <v>16357</v>
      </c>
      <c r="N790" s="6" t="s">
        <v>16358</v>
      </c>
      <c r="O790" s="6" t="s">
        <v>132</v>
      </c>
      <c r="P790" s="1" t="s">
        <v>16359</v>
      </c>
      <c r="Q790" s="9" t="s">
        <v>16360</v>
      </c>
      <c r="R790" s="1" t="s">
        <v>16361</v>
      </c>
      <c r="S790" s="6" t="s">
        <v>132</v>
      </c>
      <c r="T790" s="1" t="s">
        <v>16362</v>
      </c>
      <c r="U790" s="1" t="s">
        <v>16363</v>
      </c>
      <c r="V790" s="7" t="str">
        <f>IFERROR(__xludf.DUMMYFUNCTION("GOOGLETRANSLATE(C790, ""en"", ""ms"")"),"Senarai blok")</f>
        <v>Senarai blok</v>
      </c>
      <c r="W790" s="1" t="s">
        <v>16364</v>
      </c>
      <c r="X790" s="7" t="str">
        <f>IFERROR(__xludf.DUMMYFUNCTION("GOOGLETRANSLATE(C790, ""en"", ""no"")"),"Blokkeringsliste")</f>
        <v>Blokkeringsliste</v>
      </c>
      <c r="Y790" s="1" t="s">
        <v>16365</v>
      </c>
      <c r="Z790" s="1" t="s">
        <v>16366</v>
      </c>
      <c r="AA790" s="7" t="str">
        <f>IFERROR(__xludf.DUMMYFUNCTION("GOOGLETRANSLATE(C790, ""en"", ""ro"")"),"Lista de blocati")</f>
        <v>Lista de blocati</v>
      </c>
      <c r="AB790" s="1" t="s">
        <v>16367</v>
      </c>
      <c r="AC790" s="1" t="s">
        <v>16368</v>
      </c>
      <c r="AD790" s="6" t="s">
        <v>132</v>
      </c>
      <c r="AE790" s="1" t="s">
        <v>16369</v>
      </c>
      <c r="AF790" s="1" t="s">
        <v>16370</v>
      </c>
      <c r="AG790" s="6" t="s">
        <v>132</v>
      </c>
      <c r="AH790" s="7" t="str">
        <f>IFERROR(__xludf.DUMMYFUNCTION("GOOGLETRANSLATE(C790, ""en"", ""tr"")"),"Blok listesi")</f>
        <v>Blok listesi</v>
      </c>
      <c r="AI790" s="6" t="s">
        <v>16371</v>
      </c>
      <c r="AJ790" s="6" t="s">
        <v>16372</v>
      </c>
      <c r="AK790" s="7" t="str">
        <f>IFERROR(__xludf.DUMMYFUNCTION("GOOGLETRANSLATE(C790, ""en"", ""zh"")"),"黑名单")</f>
        <v>黑名单</v>
      </c>
      <c r="AL790" s="6" t="s">
        <v>16373</v>
      </c>
    </row>
    <row r="791" ht="15.75" hidden="1" customHeight="1">
      <c r="A791" s="1" t="s">
        <v>16374</v>
      </c>
      <c r="B791" s="1" t="s">
        <v>16375</v>
      </c>
      <c r="C791" s="1" t="s">
        <v>16376</v>
      </c>
      <c r="D791" s="7" t="str">
        <f>IFERROR(__xludf.DUMMYFUNCTION("GOOGLETRANSLATE(C791, ""en"", ""ar"")"),"ميلادي")</f>
        <v>ميلادي</v>
      </c>
      <c r="E791" s="7" t="str">
        <f>IFERROR(__xludf.DUMMYFUNCTION("GOOGLETRANSLATE(C791, ""en"", ""bg"")"),"АД")</f>
        <v>АД</v>
      </c>
      <c r="F791" s="6" t="s">
        <v>132</v>
      </c>
      <c r="G791" s="7" t="str">
        <f>IFERROR(__xludf.DUMMYFUNCTION("GOOGLETRANSLATE(C791, ""en"", ""cs"")"),"Inzerát")</f>
        <v>Inzerát</v>
      </c>
      <c r="H791" s="7" t="str">
        <f>IFERROR(__xludf.DUMMYFUNCTION("GOOGLETRANSLATE(C791, ""en"", ""da"")"),"Ad.")</f>
        <v>Ad.</v>
      </c>
      <c r="I791" s="7" t="str">
        <f>IFERROR(__xludf.DUMMYFUNCTION("GOOGLETRANSLATE(C791, ""en"", ""de"")"),"Anzeige")</f>
        <v>Anzeige</v>
      </c>
      <c r="J791" s="6" t="s">
        <v>132</v>
      </c>
      <c r="K791" s="7" t="str">
        <f>IFERROR(__xludf.DUMMYFUNCTION("GOOGLETRANSLATE(C791, ""en"", ""es"")"),"Anuncio")</f>
        <v>Anuncio</v>
      </c>
      <c r="L791" s="7" t="str">
        <f>IFERROR(__xludf.DUMMYFUNCTION("GOOGLETRANSLATE(C791, ""en"", ""fi"")"),"Ilmoitus")</f>
        <v>Ilmoitus</v>
      </c>
      <c r="M791" s="7" t="str">
        <f>IFERROR(__xludf.DUMMYFUNCTION("GOOGLETRANSLATE(C791, ""en"", ""fr"")"),"Un d")</f>
        <v>Un d</v>
      </c>
      <c r="N791" s="6" t="s">
        <v>132</v>
      </c>
      <c r="O791" s="6" t="s">
        <v>132</v>
      </c>
      <c r="P791" s="7" t="str">
        <f>IFERROR(__xludf.DUMMYFUNCTION("GOOGLETRANSLATE(C791, ""en"", ""hu"")"),"Hirdetés")</f>
        <v>Hirdetés</v>
      </c>
      <c r="Q791" s="7" t="str">
        <f>IFERROR(__xludf.DUMMYFUNCTION("GOOGLETRANSLATE(C791, ""en"", ""in"")"),"Iklan")</f>
        <v>Iklan</v>
      </c>
      <c r="R791" s="7" t="str">
        <f>IFERROR(__xludf.DUMMYFUNCTION("GOOGLETRANSLATE(C791, ""en"", ""it"")"),"Anno Domini")</f>
        <v>Anno Domini</v>
      </c>
      <c r="S791" s="6" t="s">
        <v>132</v>
      </c>
      <c r="T791" s="7" t="str">
        <f>IFERROR(__xludf.DUMMYFUNCTION("GOOGLETRANSLATE(C791, ""en"", ""ja"")"),"広告")</f>
        <v>広告</v>
      </c>
      <c r="U791" s="7" t="str">
        <f>IFERROR(__xludf.DUMMYFUNCTION("GOOGLETRANSLATE(C791, ""en"", ""ko"")"),"기원 후")</f>
        <v>기원 후</v>
      </c>
      <c r="V791" s="7" t="str">
        <f>IFERROR(__xludf.DUMMYFUNCTION("GOOGLETRANSLATE(C791, ""en"", ""ms"")"),"Iklan")</f>
        <v>Iklan</v>
      </c>
      <c r="W791" s="7" t="str">
        <f>IFERROR(__xludf.DUMMYFUNCTION("GOOGLETRANSLATE(C791, ""en"", ""nl"")"),"Advertentie")</f>
        <v>Advertentie</v>
      </c>
      <c r="X791" s="7" t="str">
        <f>IFERROR(__xludf.DUMMYFUNCTION("GOOGLETRANSLATE(C791, ""en"", ""no"")"),"AD.")</f>
        <v>AD.</v>
      </c>
      <c r="Y791" s="7" t="str">
        <f>IFERROR(__xludf.DUMMYFUNCTION("GOOGLETRANSLATE(C791, ""en"", ""pl"")"),"Ogłoszenie")</f>
        <v>Ogłoszenie</v>
      </c>
      <c r="Z791" s="7" t="str">
        <f>IFERROR(__xludf.DUMMYFUNCTION("GOOGLETRANSLATE(C791, ""en"", ""pt"")"),"de Anúncios")</f>
        <v>de Anúncios</v>
      </c>
      <c r="AA791" s="7" t="str">
        <f>IFERROR(__xludf.DUMMYFUNCTION("GOOGLETRANSLATE(C791, ""en"", ""ro"")"),"Anunț")</f>
        <v>Anunț</v>
      </c>
      <c r="AB791" s="7" t="str">
        <f>IFERROR(__xludf.DUMMYFUNCTION("GOOGLETRANSLATE(C791, ""en"", ""ru"")"),"Объявление")</f>
        <v>Объявление</v>
      </c>
      <c r="AC791" s="7" t="str">
        <f>IFERROR(__xludf.DUMMYFUNCTION("GOOGLETRANSLATE(C791, ""en"", ""sk"")"),"Reklama")</f>
        <v>Reklama</v>
      </c>
      <c r="AD791" s="6" t="s">
        <v>132</v>
      </c>
      <c r="AE791" s="7" t="str">
        <f>IFERROR(__xludf.DUMMYFUNCTION("GOOGLETRANSLATE(C791, ""en"", ""sr"")"),"Оглас")</f>
        <v>Оглас</v>
      </c>
      <c r="AF791" s="7" t="str">
        <f>IFERROR(__xludf.DUMMYFUNCTION("GOOGLETRANSLATE(C791, ""en"", ""sv"")"),"Annons")</f>
        <v>Annons</v>
      </c>
      <c r="AG791" s="6" t="s">
        <v>132</v>
      </c>
      <c r="AH791" s="7" t="str">
        <f>IFERROR(__xludf.DUMMYFUNCTION("GOOGLETRANSLATE(C791, ""en"", ""tr"")"),"Reklam")</f>
        <v>Reklam</v>
      </c>
      <c r="AI791" s="6" t="s">
        <v>132</v>
      </c>
      <c r="AJ791" s="6" t="s">
        <v>132</v>
      </c>
      <c r="AK791" s="7" t="str">
        <f>IFERROR(__xludf.DUMMYFUNCTION("GOOGLETRANSLATE(C791, ""en"", ""zh"")"),"广告")</f>
        <v>广告</v>
      </c>
      <c r="AL791" s="6" t="s">
        <v>132</v>
      </c>
    </row>
    <row r="792" ht="15.75" hidden="1" customHeight="1">
      <c r="A792" s="1" t="s">
        <v>38</v>
      </c>
      <c r="B792" s="1" t="s">
        <v>16377</v>
      </c>
      <c r="C792" s="1" t="s">
        <v>16378</v>
      </c>
      <c r="D792" s="8" t="s">
        <v>16379</v>
      </c>
      <c r="E792" s="1" t="s">
        <v>16380</v>
      </c>
      <c r="F792" s="6" t="s">
        <v>8212</v>
      </c>
      <c r="G792" s="7" t="str">
        <f>IFERROR(__xludf.DUMMYFUNCTION("GOOGLETRANSLATE(C792, ""en"", ""cs"")"),"k dispozici")</f>
        <v>k dispozici</v>
      </c>
      <c r="H792" s="7" t="str">
        <f>IFERROR(__xludf.DUMMYFUNCTION("GOOGLETRANSLATE(C792, ""en"", ""da"")"),"ledig")</f>
        <v>ledig</v>
      </c>
      <c r="I792" s="1" t="s">
        <v>19</v>
      </c>
      <c r="J792" s="6" t="s">
        <v>132</v>
      </c>
      <c r="K792" s="1" t="s">
        <v>3462</v>
      </c>
      <c r="L792" s="7" t="str">
        <f>IFERROR(__xludf.DUMMYFUNCTION("GOOGLETRANSLATE(C792, ""en"", ""fi"")"),"saatavilla")</f>
        <v>saatavilla</v>
      </c>
      <c r="M792" s="1" t="s">
        <v>16381</v>
      </c>
      <c r="N792" s="6" t="s">
        <v>16382</v>
      </c>
      <c r="O792" s="6" t="s">
        <v>132</v>
      </c>
      <c r="P792" s="1" t="s">
        <v>16383</v>
      </c>
      <c r="Q792" s="9" t="s">
        <v>16384</v>
      </c>
      <c r="R792" s="1" t="s">
        <v>16385</v>
      </c>
      <c r="S792" s="6" t="s">
        <v>132</v>
      </c>
      <c r="T792" s="1" t="s">
        <v>16386</v>
      </c>
      <c r="U792" s="1" t="s">
        <v>16387</v>
      </c>
      <c r="V792" s="7" t="str">
        <f>IFERROR(__xludf.DUMMYFUNCTION("GOOGLETRANSLATE(C792, ""en"", ""ms"")"),"Tersedia")</f>
        <v>Tersedia</v>
      </c>
      <c r="W792" s="1" t="s">
        <v>16388</v>
      </c>
      <c r="X792" s="7" t="str">
        <f>IFERROR(__xludf.DUMMYFUNCTION("GOOGLETRANSLATE(C792, ""en"", ""no"")"),"tilgjengelig")</f>
        <v>tilgjengelig</v>
      </c>
      <c r="Y792" s="1" t="s">
        <v>16389</v>
      </c>
      <c r="Z792" s="1" t="s">
        <v>16390</v>
      </c>
      <c r="AA792" s="7" t="str">
        <f>IFERROR(__xludf.DUMMYFUNCTION("GOOGLETRANSLATE(C792, ""en"", ""ro"")"),"disponibil")</f>
        <v>disponibil</v>
      </c>
      <c r="AB792" s="1" t="s">
        <v>16391</v>
      </c>
      <c r="AC792" s="1" t="s">
        <v>16392</v>
      </c>
      <c r="AD792" s="6" t="s">
        <v>132</v>
      </c>
      <c r="AE792" s="1" t="s">
        <v>16393</v>
      </c>
      <c r="AF792" s="1" t="s">
        <v>16394</v>
      </c>
      <c r="AG792" s="6" t="s">
        <v>132</v>
      </c>
      <c r="AH792" s="7" t="str">
        <f>IFERROR(__xludf.DUMMYFUNCTION("GOOGLETRANSLATE(C792, ""en"", ""tr"")"),"mevcut")</f>
        <v>mevcut</v>
      </c>
      <c r="AI792" s="6" t="s">
        <v>16395</v>
      </c>
      <c r="AJ792" s="6" t="s">
        <v>16396</v>
      </c>
      <c r="AK792" s="7" t="str">
        <f>IFERROR(__xludf.DUMMYFUNCTION("GOOGLETRANSLATE(C792, ""en"", ""zh"")"),"可用的")</f>
        <v>可用的</v>
      </c>
      <c r="AL792" s="6" t="s">
        <v>16397</v>
      </c>
    </row>
    <row r="793" ht="15.75" customHeight="1">
      <c r="A793" s="1" t="s">
        <v>127</v>
      </c>
      <c r="B793" s="1" t="s">
        <v>16398</v>
      </c>
      <c r="C793" s="1" t="s">
        <v>16399</v>
      </c>
      <c r="D793" s="8" t="s">
        <v>16400</v>
      </c>
      <c r="E793" s="1" t="s">
        <v>16401</v>
      </c>
      <c r="F793" s="6" t="s">
        <v>132</v>
      </c>
      <c r="G793" s="1" t="s">
        <v>16402</v>
      </c>
      <c r="H793" s="1" t="s">
        <v>16403</v>
      </c>
      <c r="I793" s="1" t="s">
        <v>16404</v>
      </c>
      <c r="J793" s="6" t="s">
        <v>16405</v>
      </c>
      <c r="K793" s="1" t="s">
        <v>16406</v>
      </c>
      <c r="L793" s="1" t="s">
        <v>16407</v>
      </c>
      <c r="M793" s="1" t="s">
        <v>16408</v>
      </c>
      <c r="N793" s="6" t="s">
        <v>132</v>
      </c>
      <c r="O793" s="6" t="s">
        <v>16409</v>
      </c>
      <c r="P793" s="1" t="s">
        <v>16410</v>
      </c>
      <c r="Q793" s="1" t="s">
        <v>16411</v>
      </c>
      <c r="R793" s="1" t="s">
        <v>16412</v>
      </c>
      <c r="S793" s="10" t="s">
        <v>16413</v>
      </c>
      <c r="T793" s="1" t="s">
        <v>16414</v>
      </c>
      <c r="U793" s="1" t="s">
        <v>16415</v>
      </c>
      <c r="V793" s="1" t="s">
        <v>16416</v>
      </c>
      <c r="W793" s="1" t="s">
        <v>16417</v>
      </c>
      <c r="X793" s="1" t="s">
        <v>16418</v>
      </c>
      <c r="Y793" s="1" t="s">
        <v>16419</v>
      </c>
      <c r="Z793" s="1" t="s">
        <v>16420</v>
      </c>
      <c r="AA793" s="1" t="s">
        <v>16421</v>
      </c>
      <c r="AB793" s="1" t="s">
        <v>16422</v>
      </c>
      <c r="AC793" s="1" t="s">
        <v>16423</v>
      </c>
      <c r="AD793" s="6" t="s">
        <v>16424</v>
      </c>
      <c r="AE793" s="1" t="s">
        <v>16425</v>
      </c>
      <c r="AF793" s="1" t="s">
        <v>16426</v>
      </c>
      <c r="AG793" s="6" t="s">
        <v>16427</v>
      </c>
      <c r="AH793" s="1" t="s">
        <v>16428</v>
      </c>
      <c r="AI793" s="6" t="s">
        <v>132</v>
      </c>
      <c r="AJ793" s="6" t="s">
        <v>16429</v>
      </c>
      <c r="AK793" s="1" t="s">
        <v>16430</v>
      </c>
      <c r="AL793" s="6" t="s">
        <v>16431</v>
      </c>
    </row>
    <row r="794" ht="15.75" customHeight="1">
      <c r="A794" s="1" t="s">
        <v>127</v>
      </c>
      <c r="B794" s="1" t="s">
        <v>16432</v>
      </c>
      <c r="C794" s="1" t="s">
        <v>16433</v>
      </c>
      <c r="D794" s="8" t="s">
        <v>16434</v>
      </c>
      <c r="E794" s="1" t="s">
        <v>16435</v>
      </c>
      <c r="F794" s="6" t="s">
        <v>132</v>
      </c>
      <c r="G794" s="1" t="s">
        <v>16436</v>
      </c>
      <c r="H794" s="1" t="s">
        <v>16437</v>
      </c>
      <c r="I794" s="1" t="s">
        <v>16438</v>
      </c>
      <c r="J794" s="6" t="s">
        <v>16439</v>
      </c>
      <c r="K794" s="1" t="s">
        <v>16440</v>
      </c>
      <c r="L794" s="1" t="s">
        <v>16441</v>
      </c>
      <c r="M794" s="1" t="s">
        <v>16442</v>
      </c>
      <c r="N794" s="6" t="s">
        <v>132</v>
      </c>
      <c r="O794" s="6" t="s">
        <v>16443</v>
      </c>
      <c r="P794" s="1" t="s">
        <v>16433</v>
      </c>
      <c r="Q794" s="1" t="s">
        <v>16444</v>
      </c>
      <c r="R794" s="1" t="s">
        <v>16445</v>
      </c>
      <c r="S794" s="10" t="s">
        <v>16446</v>
      </c>
      <c r="T794" s="1" t="s">
        <v>16447</v>
      </c>
      <c r="U794" s="1" t="s">
        <v>16448</v>
      </c>
      <c r="V794" s="1" t="s">
        <v>16449</v>
      </c>
      <c r="W794" s="1" t="s">
        <v>16450</v>
      </c>
      <c r="X794" s="1" t="s">
        <v>16437</v>
      </c>
      <c r="Y794" s="1" t="s">
        <v>16451</v>
      </c>
      <c r="Z794" s="1" t="s">
        <v>16452</v>
      </c>
      <c r="AA794" s="1" t="s">
        <v>16453</v>
      </c>
      <c r="AB794" s="1" t="s">
        <v>16454</v>
      </c>
      <c r="AC794" s="1" t="s">
        <v>16455</v>
      </c>
      <c r="AD794" s="6" t="s">
        <v>16456</v>
      </c>
      <c r="AE794" s="1" t="s">
        <v>16457</v>
      </c>
      <c r="AF794" s="1" t="s">
        <v>16458</v>
      </c>
      <c r="AG794" s="6" t="s">
        <v>16459</v>
      </c>
      <c r="AH794" s="1" t="s">
        <v>16460</v>
      </c>
      <c r="AI794" s="6" t="s">
        <v>132</v>
      </c>
      <c r="AJ794" s="6" t="s">
        <v>16461</v>
      </c>
      <c r="AK794" s="1" t="s">
        <v>16462</v>
      </c>
      <c r="AL794" s="6" t="s">
        <v>16463</v>
      </c>
    </row>
    <row r="795" ht="15.75" customHeight="1">
      <c r="A795" s="1" t="s">
        <v>127</v>
      </c>
      <c r="B795" s="1" t="s">
        <v>16464</v>
      </c>
      <c r="C795" s="1" t="s">
        <v>16465</v>
      </c>
      <c r="D795" s="8" t="s">
        <v>16466</v>
      </c>
      <c r="E795" s="1" t="s">
        <v>16467</v>
      </c>
      <c r="F795" s="6" t="s">
        <v>132</v>
      </c>
      <c r="G795" s="1" t="s">
        <v>16468</v>
      </c>
      <c r="H795" s="1" t="s">
        <v>16469</v>
      </c>
      <c r="I795" s="1" t="s">
        <v>16470</v>
      </c>
      <c r="J795" s="6" t="s">
        <v>16471</v>
      </c>
      <c r="K795" s="1" t="s">
        <v>16472</v>
      </c>
      <c r="L795" s="1" t="s">
        <v>16473</v>
      </c>
      <c r="M795" s="1" t="s">
        <v>16474</v>
      </c>
      <c r="N795" s="6" t="s">
        <v>132</v>
      </c>
      <c r="O795" s="6" t="s">
        <v>16475</v>
      </c>
      <c r="P795" s="1" t="s">
        <v>16476</v>
      </c>
      <c r="Q795" s="1" t="s">
        <v>16477</v>
      </c>
      <c r="R795" s="1" t="s">
        <v>16478</v>
      </c>
      <c r="S795" s="10" t="s">
        <v>16479</v>
      </c>
      <c r="T795" s="1" t="s">
        <v>16480</v>
      </c>
      <c r="U795" s="1" t="s">
        <v>16481</v>
      </c>
      <c r="V795" s="1" t="s">
        <v>16482</v>
      </c>
      <c r="W795" s="1" t="s">
        <v>16483</v>
      </c>
      <c r="X795" s="1" t="s">
        <v>16484</v>
      </c>
      <c r="Y795" s="1" t="s">
        <v>16485</v>
      </c>
      <c r="Z795" s="1" t="s">
        <v>16486</v>
      </c>
      <c r="AA795" s="1" t="s">
        <v>16487</v>
      </c>
      <c r="AB795" s="1" t="s">
        <v>16488</v>
      </c>
      <c r="AC795" s="1" t="s">
        <v>16489</v>
      </c>
      <c r="AD795" s="6" t="s">
        <v>16490</v>
      </c>
      <c r="AE795" s="1" t="s">
        <v>16491</v>
      </c>
      <c r="AF795" s="1" t="s">
        <v>16492</v>
      </c>
      <c r="AG795" s="6" t="s">
        <v>16493</v>
      </c>
      <c r="AH795" s="1" t="s">
        <v>16494</v>
      </c>
      <c r="AI795" s="6" t="s">
        <v>132</v>
      </c>
      <c r="AJ795" s="6" t="s">
        <v>16495</v>
      </c>
      <c r="AK795" s="1" t="s">
        <v>16480</v>
      </c>
      <c r="AL795" s="6" t="s">
        <v>16496</v>
      </c>
    </row>
    <row r="796" ht="15.75" hidden="1" customHeight="1">
      <c r="A796" s="1" t="s">
        <v>38</v>
      </c>
      <c r="B796" s="1" t="s">
        <v>16497</v>
      </c>
      <c r="C796" s="1" t="s">
        <v>16498</v>
      </c>
      <c r="D796" s="7" t="str">
        <f>IFERROR(__xludf.DUMMYFUNCTION("GOOGLETRANSLATE(C796, ""en"", ""ar"")"),"خطأ I / O العام. ربما نفدت مساحة التخزين؟")</f>
        <v>خطأ I / O العام. ربما نفدت مساحة التخزين؟</v>
      </c>
      <c r="E796" s="1" t="s">
        <v>16499</v>
      </c>
      <c r="F796" s="6" t="s">
        <v>16500</v>
      </c>
      <c r="G796" s="7" t="str">
        <f>IFERROR(__xludf.DUMMYFUNCTION("GOOGLETRANSLATE(C796, ""en"", ""cs"")"),"Obecná chyba I / O. Možná jste utekl úložný prostor?")</f>
        <v>Obecná chyba I / O. Možná jste utekl úložný prostor?</v>
      </c>
      <c r="H796" s="7" t="str">
        <f>IFERROR(__xludf.DUMMYFUNCTION("GOOGLETRANSLATE(C796, ""en"", ""da"")"),"Generelt I / O Fejl. Måske løb du ud af lagerplads?")</f>
        <v>Generelt I / O Fejl. Måske løb du ud af lagerplads?</v>
      </c>
      <c r="I796" s="1" t="s">
        <v>16501</v>
      </c>
      <c r="J796" s="6" t="s">
        <v>132</v>
      </c>
      <c r="K796" s="1" t="s">
        <v>16502</v>
      </c>
      <c r="L796" s="7" t="str">
        <f>IFERROR(__xludf.DUMMYFUNCTION("GOOGLETRANSLATE(C796, ""en"", ""fi"")"),"Yleistä I / O-virhe. Ehkä loppui varastotilasta?")</f>
        <v>Yleistä I / O-virhe. Ehkä loppui varastotilasta?</v>
      </c>
      <c r="M796" s="1" t="s">
        <v>16503</v>
      </c>
      <c r="N796" s="6" t="s">
        <v>16504</v>
      </c>
      <c r="O796" s="6" t="s">
        <v>132</v>
      </c>
      <c r="P796" s="1" t="s">
        <v>16505</v>
      </c>
      <c r="Q796" s="9" t="s">
        <v>16506</v>
      </c>
      <c r="R796" s="1" t="s">
        <v>16507</v>
      </c>
      <c r="S796" s="6" t="s">
        <v>132</v>
      </c>
      <c r="T796" s="1" t="s">
        <v>16508</v>
      </c>
      <c r="U796" s="1" t="s">
        <v>16509</v>
      </c>
      <c r="V796" s="7" t="str">
        <f>IFERROR(__xludf.DUMMYFUNCTION("GOOGLETRANSLATE(C796, ""en"", ""ms"")"),"Kesalahan Umum I / O. Mungkin anda kehabisan ruang penyimpanan?")</f>
        <v>Kesalahan Umum I / O. Mungkin anda kehabisan ruang penyimpanan?</v>
      </c>
      <c r="W796" s="1" t="s">
        <v>16510</v>
      </c>
      <c r="X796" s="7" t="str">
        <f>IFERROR(__xludf.DUMMYFUNCTION("GOOGLETRANSLATE(C796, ""en"", ""no"")"),"Generell I / O-feil. Kanskje du løp ut av lagringsplass?")</f>
        <v>Generell I / O-feil. Kanskje du løp ut av lagringsplass?</v>
      </c>
      <c r="Y796" s="1" t="s">
        <v>16511</v>
      </c>
      <c r="Z796" s="1" t="s">
        <v>16512</v>
      </c>
      <c r="AA796" s="7" t="str">
        <f>IFERROR(__xludf.DUMMYFUNCTION("GOOGLETRANSLATE(C796, ""en"", ""ro"")"),"Eroare generală I / O. Poate ai fugit din spațiul de depozitare?")</f>
        <v>Eroare generală I / O. Poate ai fugit din spațiul de depozitare?</v>
      </c>
      <c r="AB796" s="1" t="s">
        <v>16513</v>
      </c>
      <c r="AC796" s="1" t="s">
        <v>16514</v>
      </c>
      <c r="AD796" s="6" t="s">
        <v>132</v>
      </c>
      <c r="AE796" s="1" t="s">
        <v>16515</v>
      </c>
      <c r="AF796" s="1" t="s">
        <v>16516</v>
      </c>
      <c r="AG796" s="6" t="s">
        <v>132</v>
      </c>
      <c r="AH796" s="7" t="str">
        <f>IFERROR(__xludf.DUMMYFUNCTION("GOOGLETRANSLATE(C796, ""en"", ""tr"")"),"Genel I / O hatası. Belki depolama alanından kaçtınız?")</f>
        <v>Genel I / O hatası. Belki depolama alanından kaçtınız?</v>
      </c>
      <c r="AI796" s="6" t="s">
        <v>16517</v>
      </c>
      <c r="AJ796" s="6" t="s">
        <v>16518</v>
      </c>
      <c r="AK796" s="7" t="str">
        <f>IFERROR(__xludf.DUMMYFUNCTION("GOOGLETRANSLATE(C796, ""en"", ""zh"")"),"一般I / O错误。也许你用完了存储空间？")</f>
        <v>一般I / O错误。也许你用完了存储空间？</v>
      </c>
      <c r="AL796" s="6" t="s">
        <v>16519</v>
      </c>
    </row>
    <row r="797" ht="15.75" hidden="1" customHeight="1">
      <c r="A797" s="1" t="s">
        <v>38</v>
      </c>
      <c r="B797" s="1" t="s">
        <v>16520</v>
      </c>
      <c r="C797" s="1" t="s">
        <v>16521</v>
      </c>
      <c r="D797" s="7" t="str">
        <f>IFERROR(__xludf.DUMMYFUNCTION("GOOGLETRANSLATE(C797, ""en"", ""ar"")"),"أثيوبيا")</f>
        <v>أثيوبيا</v>
      </c>
      <c r="E797" s="7" t="str">
        <f>IFERROR(__xludf.DUMMYFUNCTION("GOOGLETRANSLATE(C797, ""en"", ""bg"")"),"Етиопия")</f>
        <v>Етиопия</v>
      </c>
      <c r="F797" s="6" t="s">
        <v>132</v>
      </c>
      <c r="G797" s="7" t="str">
        <f>IFERROR(__xludf.DUMMYFUNCTION("GOOGLETRANSLATE(C797, ""en"", ""cs"")"),"Etiopie")</f>
        <v>Etiopie</v>
      </c>
      <c r="H797" s="7" t="str">
        <f>IFERROR(__xludf.DUMMYFUNCTION("GOOGLETRANSLATE(C797, ""en"", ""da"")"),"Etiopien.")</f>
        <v>Etiopien.</v>
      </c>
      <c r="I797" s="1" t="s">
        <v>16522</v>
      </c>
      <c r="J797" s="6" t="s">
        <v>132</v>
      </c>
      <c r="K797" s="1" t="s">
        <v>16523</v>
      </c>
      <c r="L797" s="7" t="str">
        <f>IFERROR(__xludf.DUMMYFUNCTION("GOOGLETRANSLATE(C797, ""en"", ""fi"")"),"Etiopia")</f>
        <v>Etiopia</v>
      </c>
      <c r="M797" s="1" t="s">
        <v>16524</v>
      </c>
      <c r="N797" s="6" t="s">
        <v>132</v>
      </c>
      <c r="O797" s="6" t="s">
        <v>132</v>
      </c>
      <c r="P797" s="1" t="s">
        <v>16521</v>
      </c>
      <c r="Q797" s="7" t="str">
        <f>IFERROR(__xludf.DUMMYFUNCTION("GOOGLETRANSLATE(C797, ""en"", ""in"")"),"Etiopia")</f>
        <v>Etiopia</v>
      </c>
      <c r="R797" s="7" t="str">
        <f>IFERROR(__xludf.DUMMYFUNCTION("GOOGLETRANSLATE(C797, ""en"", ""it"")"),"Etiopia")</f>
        <v>Etiopia</v>
      </c>
      <c r="S797" s="6" t="s">
        <v>132</v>
      </c>
      <c r="T797" s="7" t="str">
        <f>IFERROR(__xludf.DUMMYFUNCTION("GOOGLETRANSLATE(C797, ""en"", ""ja"")"),"エチオピア")</f>
        <v>エチオピア</v>
      </c>
      <c r="U797" s="7" t="str">
        <f>IFERROR(__xludf.DUMMYFUNCTION("GOOGLETRANSLATE(C797, ""en"", ""ko"")"),"에티오피아")</f>
        <v>에티오피아</v>
      </c>
      <c r="V797" s="7" t="str">
        <f>IFERROR(__xludf.DUMMYFUNCTION("GOOGLETRANSLATE(C797, ""en"", ""ms"")"),"Ethiopia.")</f>
        <v>Ethiopia.</v>
      </c>
      <c r="W797" s="7" t="str">
        <f>IFERROR(__xludf.DUMMYFUNCTION("GOOGLETRANSLATE(C797, ""en"", ""nl"")"),"Ethiopië")</f>
        <v>Ethiopië</v>
      </c>
      <c r="X797" s="7" t="str">
        <f>IFERROR(__xludf.DUMMYFUNCTION("GOOGLETRANSLATE(C797, ""en"", ""no"")"),"Etiopia")</f>
        <v>Etiopia</v>
      </c>
      <c r="Y797" s="7" t="str">
        <f>IFERROR(__xludf.DUMMYFUNCTION("GOOGLETRANSLATE(C797, ""en"", ""pl"")"),"Etiopia")</f>
        <v>Etiopia</v>
      </c>
      <c r="Z797" s="7" t="str">
        <f>IFERROR(__xludf.DUMMYFUNCTION("GOOGLETRANSLATE(C797, ""en"", ""pt"")"),"Etiópia")</f>
        <v>Etiópia</v>
      </c>
      <c r="AA797" s="7" t="str">
        <f>IFERROR(__xludf.DUMMYFUNCTION("GOOGLETRANSLATE(C797, ""en"", ""ro"")"),"Etiopia")</f>
        <v>Etiopia</v>
      </c>
      <c r="AB797" s="1" t="s">
        <v>16525</v>
      </c>
      <c r="AC797" s="7" t="str">
        <f>IFERROR(__xludf.DUMMYFUNCTION("GOOGLETRANSLATE(C797, ""en"", ""sk"")"),"Etiópia")</f>
        <v>Etiópia</v>
      </c>
      <c r="AD797" s="6" t="s">
        <v>132</v>
      </c>
      <c r="AE797" s="1" t="s">
        <v>16526</v>
      </c>
      <c r="AF797" s="7" t="str">
        <f>IFERROR(__xludf.DUMMYFUNCTION("GOOGLETRANSLATE(C797, ""en"", ""sv"")"),"Etiopien")</f>
        <v>Etiopien</v>
      </c>
      <c r="AG797" s="6" t="s">
        <v>132</v>
      </c>
      <c r="AH797" s="7" t="str">
        <f>IFERROR(__xludf.DUMMYFUNCTION("GOOGLETRANSLATE(C797, ""en"", ""tr"")"),"Etiyopya")</f>
        <v>Etiyopya</v>
      </c>
      <c r="AI797" s="6" t="s">
        <v>132</v>
      </c>
      <c r="AJ797" s="6" t="s">
        <v>132</v>
      </c>
      <c r="AK797" s="7" t="str">
        <f>IFERROR(__xludf.DUMMYFUNCTION("GOOGLETRANSLATE(C797, ""en"", ""zh"")"),"埃塞俄比亚")</f>
        <v>埃塞俄比亚</v>
      </c>
      <c r="AL797" s="6" t="s">
        <v>132</v>
      </c>
    </row>
    <row r="798" ht="15.75" customHeight="1">
      <c r="A798" s="1" t="s">
        <v>127</v>
      </c>
      <c r="B798" s="1" t="s">
        <v>16527</v>
      </c>
      <c r="C798" s="1" t="s">
        <v>16528</v>
      </c>
      <c r="D798" s="8" t="s">
        <v>16529</v>
      </c>
      <c r="E798" s="1" t="s">
        <v>7895</v>
      </c>
      <c r="F798" s="6" t="s">
        <v>132</v>
      </c>
      <c r="G798" s="1" t="s">
        <v>16530</v>
      </c>
      <c r="H798" s="1" t="s">
        <v>16531</v>
      </c>
      <c r="I798" s="1" t="s">
        <v>7897</v>
      </c>
      <c r="J798" s="6" t="s">
        <v>16532</v>
      </c>
      <c r="K798" s="1" t="s">
        <v>7898</v>
      </c>
      <c r="L798" s="1" t="s">
        <v>16533</v>
      </c>
      <c r="M798" s="1" t="s">
        <v>16534</v>
      </c>
      <c r="N798" s="6" t="s">
        <v>132</v>
      </c>
      <c r="O798" s="6" t="s">
        <v>16535</v>
      </c>
      <c r="P798" s="1" t="s">
        <v>16536</v>
      </c>
      <c r="Q798" s="1" t="s">
        <v>16537</v>
      </c>
      <c r="R798" s="1" t="s">
        <v>7898</v>
      </c>
      <c r="S798" s="10" t="s">
        <v>16538</v>
      </c>
      <c r="T798" s="1" t="s">
        <v>7900</v>
      </c>
      <c r="U798" s="1" t="s">
        <v>16539</v>
      </c>
      <c r="V798" s="1" t="s">
        <v>16537</v>
      </c>
      <c r="W798" s="1" t="s">
        <v>7901</v>
      </c>
      <c r="X798" s="1" t="s">
        <v>16531</v>
      </c>
      <c r="Y798" s="1" t="s">
        <v>16540</v>
      </c>
      <c r="Z798" s="1" t="s">
        <v>7898</v>
      </c>
      <c r="AA798" s="1" t="s">
        <v>16541</v>
      </c>
      <c r="AB798" s="1" t="s">
        <v>7903</v>
      </c>
      <c r="AC798" s="1" t="s">
        <v>16542</v>
      </c>
      <c r="AD798" s="6" t="s">
        <v>16543</v>
      </c>
      <c r="AE798" s="1" t="s">
        <v>16544</v>
      </c>
      <c r="AF798" s="1" t="s">
        <v>16531</v>
      </c>
      <c r="AG798" s="6" t="s">
        <v>16545</v>
      </c>
      <c r="AH798" s="1" t="s">
        <v>16546</v>
      </c>
      <c r="AI798" s="6" t="s">
        <v>132</v>
      </c>
      <c r="AJ798" s="6" t="s">
        <v>16547</v>
      </c>
      <c r="AK798" s="1" t="s">
        <v>7900</v>
      </c>
      <c r="AL798" s="6" t="s">
        <v>16548</v>
      </c>
    </row>
    <row r="799" ht="15.75" hidden="1" customHeight="1">
      <c r="A799" s="1" t="s">
        <v>38</v>
      </c>
      <c r="B799" s="1" t="s">
        <v>16549</v>
      </c>
      <c r="C799" s="1" t="s">
        <v>16550</v>
      </c>
      <c r="D799" s="8" t="s">
        <v>16551</v>
      </c>
      <c r="E799" s="1" t="s">
        <v>16552</v>
      </c>
      <c r="F799" s="6" t="s">
        <v>16553</v>
      </c>
      <c r="G799" s="7" t="str">
        <f>IFERROR(__xludf.DUMMYFUNCTION("GOOGLETRANSLATE(C799, ""en"", ""cs"")"),"Posíláním stohových stop pomáháte probíhajícímu rozvoji konverzací")</f>
        <v>Posíláním stohových stop pomáháte probíhajícímu rozvoji konverzací</v>
      </c>
      <c r="H799" s="7" t="str">
        <f>IFERROR(__xludf.DUMMYFUNCTION("GOOGLETRANSLATE(C799, ""en"", ""da"")"),"Ved at sende i stakspor hjælper du den igangværende udvikling af samtaler")</f>
        <v>Ved at sende i stakspor hjælper du den igangværende udvikling af samtaler</v>
      </c>
      <c r="I799" s="1" t="s">
        <v>16554</v>
      </c>
      <c r="J799" s="6" t="s">
        <v>132</v>
      </c>
      <c r="K799" s="1" t="s">
        <v>16555</v>
      </c>
      <c r="L799" s="7" t="str">
        <f>IFERROR(__xludf.DUMMYFUNCTION("GOOGLETRANSLATE(C799, ""en"", ""fi"")"),"Lähettämällä pinon jälkiä auttaessasi jatkuvaa keskustelujen kehittämistä")</f>
        <v>Lähettämällä pinon jälkiä auttaessasi jatkuvaa keskustelujen kehittämistä</v>
      </c>
      <c r="M799" s="1" t="s">
        <v>16556</v>
      </c>
      <c r="N799" s="6" t="s">
        <v>16557</v>
      </c>
      <c r="O799" s="6" t="s">
        <v>132</v>
      </c>
      <c r="P799" s="1" t="s">
        <v>16558</v>
      </c>
      <c r="Q799" s="9" t="s">
        <v>16559</v>
      </c>
      <c r="R799" s="1" t="s">
        <v>16560</v>
      </c>
      <c r="S799" s="6" t="s">
        <v>132</v>
      </c>
      <c r="T799" s="1" t="s">
        <v>16561</v>
      </c>
      <c r="U799" s="1" t="s">
        <v>16562</v>
      </c>
      <c r="V799" s="7" t="str">
        <f>IFERROR(__xludf.DUMMYFUNCTION("GOOGLETRANSLATE(C799, ""en"", ""ms"")"),"Dengan menghantar dalam jejak tindanan anda membantu perkembangan perbualan yang berterusan")</f>
        <v>Dengan menghantar dalam jejak tindanan anda membantu perkembangan perbualan yang berterusan</v>
      </c>
      <c r="W799" s="1" t="s">
        <v>16563</v>
      </c>
      <c r="X799" s="7" t="str">
        <f>IFERROR(__xludf.DUMMYFUNCTION("GOOGLETRANSLATE(C799, ""en"", ""no"")"),"Ved å sende inn stakk spor hjelper du den pågående utviklingen av samtaler")</f>
        <v>Ved å sende inn stakk spor hjelper du den pågående utviklingen av samtaler</v>
      </c>
      <c r="Y799" s="1" t="s">
        <v>16564</v>
      </c>
      <c r="Z799" s="1" t="s">
        <v>16565</v>
      </c>
      <c r="AA799" s="7" t="str">
        <f>IFERROR(__xludf.DUMMYFUNCTION("GOOGLETRANSLATE(C799, ""en"", ""ro"")"),"Prin trimiterea de urme de stivă, ajutați dezvoltarea continuă a conversațiilor")</f>
        <v>Prin trimiterea de urme de stivă, ajutați dezvoltarea continuă a conversațiilor</v>
      </c>
      <c r="AB799" s="1" t="s">
        <v>16566</v>
      </c>
      <c r="AC799" s="1" t="s">
        <v>16567</v>
      </c>
      <c r="AD799" s="6" t="s">
        <v>132</v>
      </c>
      <c r="AE799" s="1" t="s">
        <v>16568</v>
      </c>
      <c r="AF799" s="1" t="s">
        <v>16569</v>
      </c>
      <c r="AG799" s="6" t="s">
        <v>132</v>
      </c>
      <c r="AH799" s="7" t="str">
        <f>IFERROR(__xludf.DUMMYFUNCTION("GOOGLETRANSLATE(C799, ""en"", ""tr"")"),"Yığın izlerini göndererek, devam eden konuşmaların geliştirilmesine yardım ediyorsunuz")</f>
        <v>Yığın izlerini göndererek, devam eden konuşmaların geliştirilmesine yardım ediyorsunuz</v>
      </c>
      <c r="AI799" s="6" t="s">
        <v>16570</v>
      </c>
      <c r="AJ799" s="6" t="s">
        <v>16571</v>
      </c>
      <c r="AK799" s="7" t="str">
        <f>IFERROR(__xludf.DUMMYFUNCTION("GOOGLETRANSLATE(C799, ""en"", ""zh"")"),"通过在堆栈迹线中发送您正在帮助正在进行的对话发展")</f>
        <v>通过在堆栈迹线中发送您正在帮助正在进行的对话发展</v>
      </c>
      <c r="AL799" s="6" t="s">
        <v>16572</v>
      </c>
    </row>
    <row r="800" ht="15.75" customHeight="1">
      <c r="A800" s="1" t="s">
        <v>127</v>
      </c>
      <c r="B800" s="1" t="s">
        <v>16573</v>
      </c>
      <c r="C800" s="1" t="s">
        <v>16574</v>
      </c>
      <c r="D800" s="8" t="s">
        <v>16575</v>
      </c>
      <c r="E800" s="1" t="s">
        <v>16574</v>
      </c>
      <c r="F800" s="6" t="s">
        <v>132</v>
      </c>
      <c r="G800" s="1" t="s">
        <v>16574</v>
      </c>
      <c r="H800" s="1" t="s">
        <v>16574</v>
      </c>
      <c r="I800" s="1" t="s">
        <v>16574</v>
      </c>
      <c r="J800" s="6" t="s">
        <v>16574</v>
      </c>
      <c r="K800" s="1" t="s">
        <v>16574</v>
      </c>
      <c r="L800" s="1" t="s">
        <v>16576</v>
      </c>
      <c r="M800" s="1" t="s">
        <v>16574</v>
      </c>
      <c r="N800" s="6" t="s">
        <v>132</v>
      </c>
      <c r="O800" s="6" t="s">
        <v>16574</v>
      </c>
      <c r="P800" s="1" t="s">
        <v>16574</v>
      </c>
      <c r="Q800" s="1" t="s">
        <v>16574</v>
      </c>
      <c r="R800" s="1" t="s">
        <v>16574</v>
      </c>
      <c r="S800" s="10" t="s">
        <v>16577</v>
      </c>
      <c r="T800" s="1" t="s">
        <v>16574</v>
      </c>
      <c r="U800" s="1" t="s">
        <v>16578</v>
      </c>
      <c r="V800" s="1" t="s">
        <v>16574</v>
      </c>
      <c r="W800" s="1" t="s">
        <v>16574</v>
      </c>
      <c r="X800" s="1" t="s">
        <v>16574</v>
      </c>
      <c r="Y800" s="1" t="s">
        <v>16574</v>
      </c>
      <c r="Z800" s="1" t="s">
        <v>16574</v>
      </c>
      <c r="AA800" s="1" t="s">
        <v>16574</v>
      </c>
      <c r="AB800" s="1" t="s">
        <v>16579</v>
      </c>
      <c r="AC800" s="1" t="s">
        <v>16580</v>
      </c>
      <c r="AD800" s="6" t="s">
        <v>16574</v>
      </c>
      <c r="AE800" s="1" t="s">
        <v>16574</v>
      </c>
      <c r="AF800" s="1" t="s">
        <v>16574</v>
      </c>
      <c r="AG800" s="6" t="s">
        <v>16574</v>
      </c>
      <c r="AH800" s="1" t="s">
        <v>16574</v>
      </c>
      <c r="AI800" s="6" t="s">
        <v>132</v>
      </c>
      <c r="AJ800" s="6" t="s">
        <v>16574</v>
      </c>
      <c r="AK800" s="1" t="s">
        <v>16574</v>
      </c>
      <c r="AL800" s="6" t="s">
        <v>132</v>
      </c>
    </row>
    <row r="801" ht="15.75" customHeight="1">
      <c r="A801" s="1" t="s">
        <v>127</v>
      </c>
      <c r="B801" s="1" t="s">
        <v>16581</v>
      </c>
      <c r="C801" s="1" t="s">
        <v>16582</v>
      </c>
      <c r="D801" s="1" t="s">
        <v>16583</v>
      </c>
      <c r="E801" s="1" t="s">
        <v>16584</v>
      </c>
      <c r="F801" s="6" t="s">
        <v>16582</v>
      </c>
      <c r="G801" s="7" t="str">
        <f>IFERROR(__xludf.DUMMYFUNCTION("GOOGLETRANSLATE(C801, ""en"", ""cs"")"),"24/7 zprávy, které přesouvají trhy.")</f>
        <v>24/7 zprávy, které přesouvají trhy.</v>
      </c>
      <c r="H801" s="1" t="s">
        <v>16585</v>
      </c>
      <c r="I801" s="1" t="s">
        <v>16584</v>
      </c>
      <c r="J801" s="6" t="s">
        <v>132</v>
      </c>
      <c r="K801" s="1" t="s">
        <v>16586</v>
      </c>
      <c r="L801" s="1" t="s">
        <v>16587</v>
      </c>
      <c r="M801" s="1" t="s">
        <v>16588</v>
      </c>
      <c r="N801" s="6" t="s">
        <v>132</v>
      </c>
      <c r="O801" s="6" t="s">
        <v>132</v>
      </c>
      <c r="P801" s="1" t="s">
        <v>16589</v>
      </c>
      <c r="Q801" s="1" t="s">
        <v>16590</v>
      </c>
      <c r="R801" s="1" t="s">
        <v>16591</v>
      </c>
      <c r="S801" s="6" t="s">
        <v>16592</v>
      </c>
      <c r="T801" s="1" t="s">
        <v>16593</v>
      </c>
      <c r="U801" s="1" t="s">
        <v>16594</v>
      </c>
      <c r="V801" s="1" t="s">
        <v>16595</v>
      </c>
      <c r="W801" s="1" t="s">
        <v>16583</v>
      </c>
      <c r="X801" s="1" t="s">
        <v>16596</v>
      </c>
      <c r="Y801" s="1" t="s">
        <v>16597</v>
      </c>
      <c r="Z801" s="1" t="s">
        <v>16598</v>
      </c>
      <c r="AA801" s="7" t="str">
        <f>IFERROR(__xludf.DUMMYFUNCTION("GOOGLETRANSLATE(C801, ""en"", ""ro"")"),"24 de ani de știri care mută piețele.")</f>
        <v>24 de ani de știri care mută piețele.</v>
      </c>
      <c r="AB801" s="1" t="s">
        <v>16599</v>
      </c>
      <c r="AC801" s="7" t="str">
        <f>IFERROR(__xludf.DUMMYFUNCTION("GOOGLETRANSLATE(C801, ""en"", ""sk"")"),"24/7 správy, ktoré pohybujú trhy.")</f>
        <v>24/7 správy, ktoré pohybujú trhy.</v>
      </c>
      <c r="AD801" s="6" t="s">
        <v>132</v>
      </c>
      <c r="AE801" s="1" t="s">
        <v>16600</v>
      </c>
      <c r="AF801" s="1" t="s">
        <v>16601</v>
      </c>
      <c r="AG801" s="6" t="s">
        <v>132</v>
      </c>
      <c r="AH801" s="1" t="s">
        <v>16592</v>
      </c>
      <c r="AI801" s="6" t="s">
        <v>132</v>
      </c>
      <c r="AJ801" s="6" t="s">
        <v>132</v>
      </c>
      <c r="AK801" s="1" t="s">
        <v>16594</v>
      </c>
      <c r="AL801" s="6" t="s">
        <v>16602</v>
      </c>
    </row>
    <row r="802" ht="15.75" customHeight="1">
      <c r="A802" s="1" t="s">
        <v>127</v>
      </c>
      <c r="B802" s="1" t="s">
        <v>16603</v>
      </c>
      <c r="C802" s="1" t="s">
        <v>16604</v>
      </c>
      <c r="D802" s="8" t="s">
        <v>16605</v>
      </c>
      <c r="E802" s="1" t="s">
        <v>16606</v>
      </c>
      <c r="F802" s="6" t="s">
        <v>132</v>
      </c>
      <c r="G802" s="1" t="s">
        <v>16607</v>
      </c>
      <c r="H802" s="1" t="s">
        <v>16608</v>
      </c>
      <c r="I802" s="1" t="s">
        <v>16609</v>
      </c>
      <c r="J802" s="6" t="s">
        <v>16610</v>
      </c>
      <c r="K802" s="1" t="s">
        <v>16611</v>
      </c>
      <c r="L802" s="1" t="s">
        <v>16612</v>
      </c>
      <c r="M802" s="1" t="s">
        <v>16613</v>
      </c>
      <c r="N802" s="6" t="s">
        <v>132</v>
      </c>
      <c r="O802" s="6" t="s">
        <v>16614</v>
      </c>
      <c r="P802" s="1" t="s">
        <v>16615</v>
      </c>
      <c r="Q802" s="1" t="s">
        <v>16616</v>
      </c>
      <c r="R802" s="1" t="s">
        <v>16617</v>
      </c>
      <c r="S802" s="10" t="s">
        <v>16618</v>
      </c>
      <c r="T802" s="1" t="s">
        <v>16619</v>
      </c>
      <c r="U802" s="1" t="s">
        <v>16620</v>
      </c>
      <c r="V802" s="1" t="s">
        <v>16616</v>
      </c>
      <c r="W802" s="1" t="s">
        <v>16621</v>
      </c>
      <c r="X802" s="1" t="s">
        <v>16622</v>
      </c>
      <c r="Y802" s="1" t="s">
        <v>16623</v>
      </c>
      <c r="Z802" s="1" t="s">
        <v>16624</v>
      </c>
      <c r="AA802" s="1" t="s">
        <v>16625</v>
      </c>
      <c r="AB802" s="1" t="s">
        <v>16626</v>
      </c>
      <c r="AC802" s="1" t="s">
        <v>16627</v>
      </c>
      <c r="AD802" s="6" t="s">
        <v>16628</v>
      </c>
      <c r="AE802" s="1" t="s">
        <v>16604</v>
      </c>
      <c r="AF802" s="1" t="s">
        <v>16629</v>
      </c>
      <c r="AG802" s="6" t="s">
        <v>16630</v>
      </c>
      <c r="AH802" s="1" t="s">
        <v>16631</v>
      </c>
      <c r="AI802" s="6" t="s">
        <v>132</v>
      </c>
      <c r="AJ802" s="6" t="s">
        <v>16632</v>
      </c>
      <c r="AK802" s="1" t="s">
        <v>16633</v>
      </c>
      <c r="AL802" s="6" t="s">
        <v>132</v>
      </c>
    </row>
    <row r="803" ht="15.75" customHeight="1">
      <c r="A803" s="1" t="s">
        <v>127</v>
      </c>
      <c r="B803" s="1" t="s">
        <v>16634</v>
      </c>
      <c r="C803" s="1" t="s">
        <v>16635</v>
      </c>
      <c r="D803" s="8" t="s">
        <v>16636</v>
      </c>
      <c r="E803" s="1" t="s">
        <v>16637</v>
      </c>
      <c r="F803" s="6" t="s">
        <v>132</v>
      </c>
      <c r="G803" s="1" t="s">
        <v>16638</v>
      </c>
      <c r="H803" s="1" t="s">
        <v>16639</v>
      </c>
      <c r="I803" s="1" t="s">
        <v>16640</v>
      </c>
      <c r="J803" s="6" t="s">
        <v>16641</v>
      </c>
      <c r="K803" s="1" t="s">
        <v>16642</v>
      </c>
      <c r="L803" s="1" t="s">
        <v>16643</v>
      </c>
      <c r="M803" s="1" t="s">
        <v>16644</v>
      </c>
      <c r="N803" s="6" t="s">
        <v>132</v>
      </c>
      <c r="O803" s="6" t="s">
        <v>16645</v>
      </c>
      <c r="P803" s="1" t="s">
        <v>16646</v>
      </c>
      <c r="Q803" s="1" t="s">
        <v>16647</v>
      </c>
      <c r="R803" s="1" t="s">
        <v>16635</v>
      </c>
      <c r="S803" s="10" t="s">
        <v>16648</v>
      </c>
      <c r="T803" s="1" t="s">
        <v>16649</v>
      </c>
      <c r="U803" s="1" t="s">
        <v>16650</v>
      </c>
      <c r="V803" s="1" t="s">
        <v>16647</v>
      </c>
      <c r="W803" s="1" t="s">
        <v>16651</v>
      </c>
      <c r="X803" s="1" t="s">
        <v>16639</v>
      </c>
      <c r="Y803" s="1" t="s">
        <v>16652</v>
      </c>
      <c r="Z803" s="1" t="s">
        <v>16635</v>
      </c>
      <c r="AA803" s="1" t="s">
        <v>16653</v>
      </c>
      <c r="AB803" s="1" t="s">
        <v>16654</v>
      </c>
      <c r="AC803" s="1" t="s">
        <v>16655</v>
      </c>
      <c r="AD803" s="6" t="s">
        <v>16656</v>
      </c>
      <c r="AE803" s="1" t="s">
        <v>16657</v>
      </c>
      <c r="AF803" s="1" t="s">
        <v>16639</v>
      </c>
      <c r="AG803" s="6" t="s">
        <v>16658</v>
      </c>
      <c r="AH803" s="1" t="s">
        <v>16659</v>
      </c>
      <c r="AI803" s="6" t="s">
        <v>132</v>
      </c>
      <c r="AJ803" s="6" t="s">
        <v>16660</v>
      </c>
      <c r="AK803" s="1" t="s">
        <v>16661</v>
      </c>
      <c r="AL803" s="6" t="s">
        <v>16662</v>
      </c>
    </row>
    <row r="804" ht="15.75" hidden="1" customHeight="1">
      <c r="A804" s="1" t="s">
        <v>38</v>
      </c>
      <c r="B804" s="1" t="s">
        <v>16663</v>
      </c>
      <c r="C804" s="1" t="s">
        <v>16664</v>
      </c>
      <c r="D804" s="7" t="str">
        <f>IFERROR(__xludf.DUMMYFUNCTION("GOOGLETRANSLATE(C804, ""en"", ""ar"")"),"مزامنة مع الإشارات المرجعية")</f>
        <v>مزامنة مع الإشارات المرجعية</v>
      </c>
      <c r="E804" s="7" t="str">
        <f>IFERROR(__xludf.DUMMYFUNCTION("GOOGLETRANSLATE(C804, ""en"", ""bg"")"),"Синхронизиране с отметки")</f>
        <v>Синхронизиране с отметки</v>
      </c>
      <c r="F804" s="6" t="s">
        <v>132</v>
      </c>
      <c r="G804" s="7" t="str">
        <f>IFERROR(__xludf.DUMMYFUNCTION("GOOGLETRANSLATE(C804, ""en"", ""cs"")"),"Synchronizace s záložkami")</f>
        <v>Synchronizace s záložkami</v>
      </c>
      <c r="H804" s="7" t="str">
        <f>IFERROR(__xludf.DUMMYFUNCTION("GOOGLETRANSLATE(C804, ""en"", ""da"")"),"Synkroniser med bogmærker")</f>
        <v>Synkroniser med bogmærker</v>
      </c>
      <c r="I804" s="7" t="str">
        <f>IFERROR(__xludf.DUMMYFUNCTION("GOOGLETRANSLATE(C804, ""en"", ""de"")"),"Synchronisieren Sie mit Lesezeichen")</f>
        <v>Synchronisieren Sie mit Lesezeichen</v>
      </c>
      <c r="J804" s="6" t="s">
        <v>132</v>
      </c>
      <c r="K804" s="7" t="str">
        <f>IFERROR(__xludf.DUMMYFUNCTION("GOOGLETRANSLATE(C804, ""en"", ""es"")"),"Sincronizar con marcadores")</f>
        <v>Sincronizar con marcadores</v>
      </c>
      <c r="L804" s="7" t="str">
        <f>IFERROR(__xludf.DUMMYFUNCTION("GOOGLETRANSLATE(C804, ""en"", ""fi"")"),"Synkronoi kirjanmerkkien kanssa")</f>
        <v>Synkronoi kirjanmerkkien kanssa</v>
      </c>
      <c r="M804" s="7" t="str">
        <f>IFERROR(__xludf.DUMMYFUNCTION("GOOGLETRANSLATE(C804, ""en"", ""fr"")"),"Synchroniser avec des signets")</f>
        <v>Synchroniser avec des signets</v>
      </c>
      <c r="N804" s="6" t="s">
        <v>132</v>
      </c>
      <c r="O804" s="6" t="s">
        <v>132</v>
      </c>
      <c r="P804" s="7" t="str">
        <f>IFERROR(__xludf.DUMMYFUNCTION("GOOGLETRANSLATE(C804, ""en"", ""hu"")"),"Szinkronizáljon könyvjelzőkkel")</f>
        <v>Szinkronizáljon könyvjelzőkkel</v>
      </c>
      <c r="Q804" s="7" t="str">
        <f>IFERROR(__xludf.DUMMYFUNCTION("GOOGLETRANSLATE(C804, ""en"", ""in"")"),"Sinkronisasi dengan bookmark")</f>
        <v>Sinkronisasi dengan bookmark</v>
      </c>
      <c r="R804" s="7" t="str">
        <f>IFERROR(__xludf.DUMMYFUNCTION("GOOGLETRANSLATE(C804, ""en"", ""it"")"),"Sincronizzare con i segnalibri")</f>
        <v>Sincronizzare con i segnalibri</v>
      </c>
      <c r="S804" s="6" t="s">
        <v>132</v>
      </c>
      <c r="T804" s="7" t="str">
        <f>IFERROR(__xludf.DUMMYFUNCTION("GOOGLETRANSLATE(C804, ""en"", ""ja"")"),"ブックマークと同期します")</f>
        <v>ブックマークと同期します</v>
      </c>
      <c r="U804" s="7" t="str">
        <f>IFERROR(__xludf.DUMMYFUNCTION("GOOGLETRANSLATE(C804, ""en"", ""ko"")"),"북마크와 동기화하십시오")</f>
        <v>북마크와 동기화하십시오</v>
      </c>
      <c r="V804" s="7" t="str">
        <f>IFERROR(__xludf.DUMMYFUNCTION("GOOGLETRANSLATE(C804, ""en"", ""ms"")"),"Segerakkan dengan penanda halaman")</f>
        <v>Segerakkan dengan penanda halaman</v>
      </c>
      <c r="W804" s="7" t="str">
        <f>IFERROR(__xludf.DUMMYFUNCTION("GOOGLETRANSLATE(C804, ""en"", ""nl"")"),"Synchroniseren met bladwijzers")</f>
        <v>Synchroniseren met bladwijzers</v>
      </c>
      <c r="X804" s="7" t="str">
        <f>IFERROR(__xludf.DUMMYFUNCTION("GOOGLETRANSLATE(C804, ""en"", ""no"")"),"Synkroniser med bokmerker")</f>
        <v>Synkroniser med bokmerker</v>
      </c>
      <c r="Y804" s="7" t="str">
        <f>IFERROR(__xludf.DUMMYFUNCTION("GOOGLETRANSLATE(C804, ""en"", ""pl"")"),"Synchronizować z zakładkami")</f>
        <v>Synchronizować z zakładkami</v>
      </c>
      <c r="Z804" s="7" t="str">
        <f>IFERROR(__xludf.DUMMYFUNCTION("GOOGLETRANSLATE(C804, ""en"", ""pt"")"),"Sincronizar com marcadores")</f>
        <v>Sincronizar com marcadores</v>
      </c>
      <c r="AA804" s="7" t="str">
        <f>IFERROR(__xludf.DUMMYFUNCTION("GOOGLETRANSLATE(C804, ""en"", ""ro"")"),"Sincronizați cu marcajele")</f>
        <v>Sincronizați cu marcajele</v>
      </c>
      <c r="AB804" s="7" t="str">
        <f>IFERROR(__xludf.DUMMYFUNCTION("GOOGLETRANSLATE(C804, ""en"", ""ru"")"),"Синхронизировать с закладками")</f>
        <v>Синхронизировать с закладками</v>
      </c>
      <c r="AC804" s="7" t="str">
        <f>IFERROR(__xludf.DUMMYFUNCTION("GOOGLETRANSLATE(C804, ""en"", ""sk"")"),"Synchronizujte so záložkami")</f>
        <v>Synchronizujte so záložkami</v>
      </c>
      <c r="AD804" s="6" t="s">
        <v>132</v>
      </c>
      <c r="AE804" s="7" t="str">
        <f>IFERROR(__xludf.DUMMYFUNCTION("GOOGLETRANSLATE(C804, ""en"", ""sr"")"),"Синхронизујте са обележивачима")</f>
        <v>Синхронизујте са обележивачима</v>
      </c>
      <c r="AF804" s="7" t="str">
        <f>IFERROR(__xludf.DUMMYFUNCTION("GOOGLETRANSLATE(C804, ""en"", ""sv"")"),"Synkronisera med bokmärken")</f>
        <v>Synkronisera med bokmärken</v>
      </c>
      <c r="AG804" s="6" t="s">
        <v>132</v>
      </c>
      <c r="AH804" s="7" t="str">
        <f>IFERROR(__xludf.DUMMYFUNCTION("GOOGLETRANSLATE(C804, ""en"", ""tr"")"),"Yer imleri ile senkronize edin")</f>
        <v>Yer imleri ile senkronize edin</v>
      </c>
      <c r="AI804" s="6" t="s">
        <v>132</v>
      </c>
      <c r="AJ804" s="6" t="s">
        <v>132</v>
      </c>
      <c r="AK804" s="7" t="str">
        <f>IFERROR(__xludf.DUMMYFUNCTION("GOOGLETRANSLATE(C804, ""en"", ""zh"")"),"与书签同步")</f>
        <v>与书签同步</v>
      </c>
      <c r="AL804" s="6" t="s">
        <v>132</v>
      </c>
    </row>
    <row r="805" ht="15.75" hidden="1" customHeight="1">
      <c r="A805" s="1" t="s">
        <v>38</v>
      </c>
      <c r="B805" s="1" t="s">
        <v>16665</v>
      </c>
      <c r="C805" s="1" t="s">
        <v>16666</v>
      </c>
      <c r="D805" s="8" t="s">
        <v>16667</v>
      </c>
      <c r="E805" s="1" t="s">
        <v>16668</v>
      </c>
      <c r="F805" s="6" t="s">
        <v>16669</v>
      </c>
      <c r="G805" s="7" t="str">
        <f>IFERROR(__xludf.DUMMYFUNCTION("GOOGLETRANSLATE(C805, ""en"", ""cs"")"),"Vyberte soubor")</f>
        <v>Vyberte soubor</v>
      </c>
      <c r="H805" s="7" t="str">
        <f>IFERROR(__xludf.DUMMYFUNCTION("GOOGLETRANSLATE(C805, ""en"", ""da"")"),"Vælg fil")</f>
        <v>Vælg fil</v>
      </c>
      <c r="I805" s="1" t="s">
        <v>16670</v>
      </c>
      <c r="J805" s="6" t="s">
        <v>132</v>
      </c>
      <c r="K805" s="1" t="s">
        <v>16671</v>
      </c>
      <c r="L805" s="7" t="str">
        <f>IFERROR(__xludf.DUMMYFUNCTION("GOOGLETRANSLATE(C805, ""en"", ""fi"")"),"Valitse tiedosto")</f>
        <v>Valitse tiedosto</v>
      </c>
      <c r="M805" s="1" t="s">
        <v>16672</v>
      </c>
      <c r="N805" s="6" t="s">
        <v>16673</v>
      </c>
      <c r="O805" s="6" t="s">
        <v>132</v>
      </c>
      <c r="P805" s="1" t="s">
        <v>16674</v>
      </c>
      <c r="Q805" s="9" t="s">
        <v>16675</v>
      </c>
      <c r="R805" s="1" t="s">
        <v>16676</v>
      </c>
      <c r="S805" s="6" t="s">
        <v>132</v>
      </c>
      <c r="T805" s="1" t="s">
        <v>16677</v>
      </c>
      <c r="U805" s="1" t="s">
        <v>16678</v>
      </c>
      <c r="V805" s="7" t="str">
        <f>IFERROR(__xludf.DUMMYFUNCTION("GOOGLETRANSLATE(C805, ""en"", ""ms"")"),"Pilih fail")</f>
        <v>Pilih fail</v>
      </c>
      <c r="W805" s="1" t="s">
        <v>16679</v>
      </c>
      <c r="X805" s="7" t="str">
        <f>IFERROR(__xludf.DUMMYFUNCTION("GOOGLETRANSLATE(C805, ""en"", ""no"")"),"Velg Fil")</f>
        <v>Velg Fil</v>
      </c>
      <c r="Y805" s="1" t="s">
        <v>16680</v>
      </c>
      <c r="Z805" s="1" t="s">
        <v>16681</v>
      </c>
      <c r="AA805" s="7" t="str">
        <f>IFERROR(__xludf.DUMMYFUNCTION("GOOGLETRANSLATE(C805, ""en"", ""ro"")"),"Alege fișierul")</f>
        <v>Alege fișierul</v>
      </c>
      <c r="AB805" s="1" t="s">
        <v>16682</v>
      </c>
      <c r="AC805" s="1" t="s">
        <v>16683</v>
      </c>
      <c r="AD805" s="6" t="s">
        <v>132</v>
      </c>
      <c r="AE805" s="1" t="s">
        <v>16684</v>
      </c>
      <c r="AF805" s="1" t="s">
        <v>16685</v>
      </c>
      <c r="AG805" s="6" t="s">
        <v>132</v>
      </c>
      <c r="AH805" s="7" t="str">
        <f>IFERROR(__xludf.DUMMYFUNCTION("GOOGLETRANSLATE(C805, ""en"", ""tr"")"),"Dosya seçin")</f>
        <v>Dosya seçin</v>
      </c>
      <c r="AI805" s="6" t="s">
        <v>16686</v>
      </c>
      <c r="AJ805" s="6" t="s">
        <v>16687</v>
      </c>
      <c r="AK805" s="7" t="str">
        <f>IFERROR(__xludf.DUMMYFUNCTION("GOOGLETRANSLATE(C805, ""en"", ""zh"")"),"选择文件")</f>
        <v>选择文件</v>
      </c>
      <c r="AL805" s="6" t="s">
        <v>16688</v>
      </c>
    </row>
    <row r="806" ht="15.75" customHeight="1">
      <c r="A806" s="1" t="s">
        <v>127</v>
      </c>
      <c r="B806" s="1" t="s">
        <v>16689</v>
      </c>
      <c r="C806" s="1" t="s">
        <v>16690</v>
      </c>
      <c r="D806" s="8" t="s">
        <v>16691</v>
      </c>
      <c r="E806" s="1" t="s">
        <v>16692</v>
      </c>
      <c r="F806" s="6" t="s">
        <v>132</v>
      </c>
      <c r="G806" s="1" t="s">
        <v>16693</v>
      </c>
      <c r="H806" s="1" t="s">
        <v>16694</v>
      </c>
      <c r="I806" s="1" t="s">
        <v>16695</v>
      </c>
      <c r="J806" s="6" t="s">
        <v>16696</v>
      </c>
      <c r="K806" s="1" t="s">
        <v>16697</v>
      </c>
      <c r="L806" s="1" t="s">
        <v>16698</v>
      </c>
      <c r="M806" s="1" t="s">
        <v>16699</v>
      </c>
      <c r="N806" s="6" t="s">
        <v>132</v>
      </c>
      <c r="O806" s="6" t="s">
        <v>16700</v>
      </c>
      <c r="P806" s="1" t="s">
        <v>16701</v>
      </c>
      <c r="Q806" s="1" t="s">
        <v>16702</v>
      </c>
      <c r="R806" s="1" t="s">
        <v>16703</v>
      </c>
      <c r="S806" s="10" t="s">
        <v>16704</v>
      </c>
      <c r="T806" s="1" t="s">
        <v>16705</v>
      </c>
      <c r="U806" s="1" t="s">
        <v>16706</v>
      </c>
      <c r="V806" s="1" t="s">
        <v>16702</v>
      </c>
      <c r="W806" s="1" t="s">
        <v>16707</v>
      </c>
      <c r="X806" s="1" t="s">
        <v>16708</v>
      </c>
      <c r="Y806" s="1" t="s">
        <v>16709</v>
      </c>
      <c r="Z806" s="1" t="s">
        <v>16710</v>
      </c>
      <c r="AA806" s="1" t="s">
        <v>16711</v>
      </c>
      <c r="AB806" s="1" t="s">
        <v>16712</v>
      </c>
      <c r="AC806" s="1" t="s">
        <v>16713</v>
      </c>
      <c r="AD806" s="6" t="s">
        <v>16714</v>
      </c>
      <c r="AE806" s="1" t="s">
        <v>16715</v>
      </c>
      <c r="AF806" s="1" t="s">
        <v>16716</v>
      </c>
      <c r="AG806" s="6" t="s">
        <v>16717</v>
      </c>
      <c r="AH806" s="1" t="s">
        <v>16718</v>
      </c>
      <c r="AI806" s="6" t="s">
        <v>132</v>
      </c>
      <c r="AJ806" s="6" t="s">
        <v>16719</v>
      </c>
      <c r="AK806" s="1" t="s">
        <v>16720</v>
      </c>
      <c r="AL806" s="6" t="s">
        <v>16721</v>
      </c>
    </row>
    <row r="807" ht="15.75" hidden="1" customHeight="1">
      <c r="A807" s="1" t="s">
        <v>38</v>
      </c>
      <c r="B807" s="1" t="s">
        <v>16722</v>
      </c>
      <c r="C807" s="1" t="s">
        <v>16723</v>
      </c>
      <c r="D807" s="8" t="s">
        <v>16724</v>
      </c>
      <c r="E807" s="1" t="s">
        <v>16725</v>
      </c>
      <c r="F807" s="6" t="s">
        <v>16726</v>
      </c>
      <c r="G807" s="7" t="str">
        <f>IFERROR(__xludf.DUMMYFUNCTION("GOOGLETRANSLATE(C807, ""en"", ""cs"")"),"Obdržel zprávu od cizince")</f>
        <v>Obdržel zprávu od cizince</v>
      </c>
      <c r="H807" s="7" t="str">
        <f>IFERROR(__xludf.DUMMYFUNCTION("GOOGLETRANSLATE(C807, ""en"", ""da"")"),"Modtaget besked fra fremmed")</f>
        <v>Modtaget besked fra fremmed</v>
      </c>
      <c r="I807" s="1" t="s">
        <v>16727</v>
      </c>
      <c r="J807" s="6" t="s">
        <v>132</v>
      </c>
      <c r="K807" s="1" t="s">
        <v>16728</v>
      </c>
      <c r="L807" s="7" t="str">
        <f>IFERROR(__xludf.DUMMYFUNCTION("GOOGLETRANSLATE(C807, ""en"", ""fi"")"),"Vastaanotettu viesti muukalaiselta")</f>
        <v>Vastaanotettu viesti muukalaiselta</v>
      </c>
      <c r="M807" s="1" t="s">
        <v>16729</v>
      </c>
      <c r="N807" s="6" t="s">
        <v>16730</v>
      </c>
      <c r="O807" s="6" t="s">
        <v>132</v>
      </c>
      <c r="P807" s="1" t="s">
        <v>16731</v>
      </c>
      <c r="Q807" s="7" t="str">
        <f>IFERROR(__xludf.DUMMYFUNCTION("GOOGLETRANSLATE(C807, ""en"", ""in"")"),"Menerima pesan dari orang asing")</f>
        <v>Menerima pesan dari orang asing</v>
      </c>
      <c r="R807" s="1" t="s">
        <v>16732</v>
      </c>
      <c r="S807" s="6" t="s">
        <v>132</v>
      </c>
      <c r="T807" s="1" t="s">
        <v>16733</v>
      </c>
      <c r="U807" s="7" t="str">
        <f>IFERROR(__xludf.DUMMYFUNCTION("GOOGLETRANSLATE(C807, ""en"", ""ko"")"),"낯선 사람의 메시지를 받았습니다")</f>
        <v>낯선 사람의 메시지를 받았습니다</v>
      </c>
      <c r="V807" s="7" t="str">
        <f>IFERROR(__xludf.DUMMYFUNCTION("GOOGLETRANSLATE(C807, ""en"", ""ms"")"),"Menerima mesej daripada orang asing")</f>
        <v>Menerima mesej daripada orang asing</v>
      </c>
      <c r="W807" s="1" t="s">
        <v>16734</v>
      </c>
      <c r="X807" s="7" t="str">
        <f>IFERROR(__xludf.DUMMYFUNCTION("GOOGLETRANSLATE(C807, ""en"", ""no"")"),"Mottatt melding fra fremmed")</f>
        <v>Mottatt melding fra fremmed</v>
      </c>
      <c r="Y807" s="1" t="s">
        <v>16735</v>
      </c>
      <c r="Z807" s="7" t="str">
        <f>IFERROR(__xludf.DUMMYFUNCTION("GOOGLETRANSLATE(C807, ""en"", ""pt"")"),"Mensagem recebida do estranho")</f>
        <v>Mensagem recebida do estranho</v>
      </c>
      <c r="AA807" s="7" t="str">
        <f>IFERROR(__xludf.DUMMYFUNCTION("GOOGLETRANSLATE(C807, ""en"", ""ro"")"),"Mesajul primit de la străin")</f>
        <v>Mesajul primit de la străin</v>
      </c>
      <c r="AB807" s="1" t="s">
        <v>16736</v>
      </c>
      <c r="AC807" s="7" t="str">
        <f>IFERROR(__xludf.DUMMYFUNCTION("GOOGLETRANSLATE(C807, ""en"", ""sk"")"),"Prijaté správy od cudzinca")</f>
        <v>Prijaté správy od cudzinca</v>
      </c>
      <c r="AD807" s="6" t="s">
        <v>132</v>
      </c>
      <c r="AE807" s="1" t="s">
        <v>16737</v>
      </c>
      <c r="AF807" s="1" t="s">
        <v>16738</v>
      </c>
      <c r="AG807" s="6" t="s">
        <v>132</v>
      </c>
      <c r="AH807" s="7" t="str">
        <f>IFERROR(__xludf.DUMMYFUNCTION("GOOGLETRANSLATE(C807, ""en"", ""tr"")"),"Yabancılardan alınan mesaj")</f>
        <v>Yabancılardan alınan mesaj</v>
      </c>
      <c r="AI807" s="6" t="s">
        <v>16739</v>
      </c>
      <c r="AJ807" s="6" t="s">
        <v>132</v>
      </c>
      <c r="AK807" s="7" t="str">
        <f>IFERROR(__xludf.DUMMYFUNCTION("GOOGLETRANSLATE(C807, ""en"", ""zh"")"),"从陌生人收到消息")</f>
        <v>从陌生人收到消息</v>
      </c>
      <c r="AL807" s="6" t="s">
        <v>16740</v>
      </c>
    </row>
    <row r="808" ht="15.75" customHeight="1">
      <c r="A808" s="1" t="s">
        <v>127</v>
      </c>
      <c r="B808" s="1" t="s">
        <v>16741</v>
      </c>
      <c r="C808" s="1" t="s">
        <v>16742</v>
      </c>
      <c r="D808" s="8" t="s">
        <v>16743</v>
      </c>
      <c r="E808" s="1" t="s">
        <v>16744</v>
      </c>
      <c r="F808" s="6" t="s">
        <v>132</v>
      </c>
      <c r="G808" s="1" t="s">
        <v>16745</v>
      </c>
      <c r="H808" s="1" t="s">
        <v>16746</v>
      </c>
      <c r="I808" s="1" t="s">
        <v>16747</v>
      </c>
      <c r="J808" s="6" t="s">
        <v>16748</v>
      </c>
      <c r="K808" s="1" t="s">
        <v>16749</v>
      </c>
      <c r="L808" s="1" t="s">
        <v>16750</v>
      </c>
      <c r="M808" s="1" t="s">
        <v>16751</v>
      </c>
      <c r="N808" s="6" t="s">
        <v>132</v>
      </c>
      <c r="O808" s="6" t="s">
        <v>16752</v>
      </c>
      <c r="P808" s="1" t="s">
        <v>16753</v>
      </c>
      <c r="Q808" s="1" t="s">
        <v>16754</v>
      </c>
      <c r="R808" s="1" t="s">
        <v>16755</v>
      </c>
      <c r="S808" s="10" t="s">
        <v>16756</v>
      </c>
      <c r="T808" s="1" t="s">
        <v>16757</v>
      </c>
      <c r="U808" s="1" t="s">
        <v>16758</v>
      </c>
      <c r="V808" s="1" t="s">
        <v>16759</v>
      </c>
      <c r="W808" s="1" t="s">
        <v>16760</v>
      </c>
      <c r="X808" s="1" t="s">
        <v>16761</v>
      </c>
      <c r="Y808" s="1" t="s">
        <v>16762</v>
      </c>
      <c r="Z808" s="1" t="s">
        <v>16763</v>
      </c>
      <c r="AA808" s="1" t="s">
        <v>16764</v>
      </c>
      <c r="AB808" s="1" t="s">
        <v>16765</v>
      </c>
      <c r="AC808" s="1" t="s">
        <v>16766</v>
      </c>
      <c r="AD808" s="6" t="s">
        <v>16767</v>
      </c>
      <c r="AE808" s="1" t="s">
        <v>16768</v>
      </c>
      <c r="AF808" s="1" t="s">
        <v>16769</v>
      </c>
      <c r="AG808" s="6" t="s">
        <v>16770</v>
      </c>
      <c r="AH808" s="1" t="s">
        <v>16771</v>
      </c>
      <c r="AI808" s="6" t="s">
        <v>132</v>
      </c>
      <c r="AJ808" s="6" t="s">
        <v>16772</v>
      </c>
      <c r="AK808" s="1" t="s">
        <v>16773</v>
      </c>
      <c r="AL808" s="6" t="s">
        <v>132</v>
      </c>
    </row>
    <row r="809" ht="15.75" hidden="1" customHeight="1">
      <c r="A809" s="1" t="s">
        <v>38</v>
      </c>
      <c r="B809" s="1" t="s">
        <v>16774</v>
      </c>
      <c r="C809" s="1" t="s">
        <v>16775</v>
      </c>
      <c r="D809" s="8" t="s">
        <v>16776</v>
      </c>
      <c r="E809" s="1" t="s">
        <v>16777</v>
      </c>
      <c r="F809" s="6" t="s">
        <v>16778</v>
      </c>
      <c r="G809" s="7" t="str">
        <f>IFERROR(__xludf.DUMMYFUNCTION("GOOGLETRANSLATE(C809, ""en"", ""cs"")"),"Konverzace nejsou schopny šifrovat vaše zprávy, protože váš kontakt neřeší jeho veřejný klíč. N \ n")</f>
        <v>Konverzace nejsou schopny šifrovat vaše zprávy, protože váš kontakt neřeší jeho veřejný klíč. N \ n</v>
      </c>
      <c r="H809" s="7" t="str">
        <f>IFERROR(__xludf.DUMMYFUNCTION("GOOGLETRANSLATE(C809, ""en"", ""da"")"),"Samtaler kan ikke kryptere dine beskeder, fordi din kontakt annoncerer ikke hans eller hendes offentlige nøgle. \ N \ n")</f>
        <v>Samtaler kan ikke kryptere dine beskeder, fordi din kontakt annoncerer ikke hans eller hendes offentlige nøgle. \ N \ n</v>
      </c>
      <c r="I809" s="1" t="s">
        <v>16779</v>
      </c>
      <c r="J809" s="6" t="s">
        <v>132</v>
      </c>
      <c r="K809" s="1" t="s">
        <v>16780</v>
      </c>
      <c r="L809" s="7" t="str">
        <f>IFERROR(__xludf.DUMMYFUNCTION("GOOGLETRANSLATE(C809, ""en"", ""fi"")"),"Keskustelut eivät pysty salattamaan viestejäsi, koska yhteystietosi ei ilmoita hänen julkisen avaimensa. \ N \ n")</f>
        <v>Keskustelut eivät pysty salattamaan viestejäsi, koska yhteystietosi ei ilmoita hänen julkisen avaimensa. \ N \ n</v>
      </c>
      <c r="M809" s="1" t="s">
        <v>16781</v>
      </c>
      <c r="N809" s="6" t="s">
        <v>16782</v>
      </c>
      <c r="O809" s="6" t="s">
        <v>132</v>
      </c>
      <c r="P809" s="1" t="s">
        <v>16783</v>
      </c>
      <c r="Q809" s="9" t="s">
        <v>16784</v>
      </c>
      <c r="R809" s="1" t="s">
        <v>16785</v>
      </c>
      <c r="S809" s="6" t="s">
        <v>132</v>
      </c>
      <c r="T809" s="1" t="s">
        <v>16786</v>
      </c>
      <c r="U809" s="1" t="s">
        <v>16787</v>
      </c>
      <c r="V809" s="7" t="str">
        <f>IFERROR(__xludf.DUMMYFUNCTION("GOOGLETRANSLATE(C809, ""en"", ""ms"")"),"Perbualan tidak dapat menyulitkan mesej anda kerana kenalan anda tidak mengumumkan kekunci awamnya. \ N \ n")</f>
        <v>Perbualan tidak dapat menyulitkan mesej anda kerana kenalan anda tidak mengumumkan kekunci awamnya. \ N \ n</v>
      </c>
      <c r="W809" s="1" t="s">
        <v>16788</v>
      </c>
      <c r="X809" s="7" t="str">
        <f>IFERROR(__xludf.DUMMYFUNCTION("GOOGLETRANSLATE(C809, ""en"", ""no"")"),"Samtaler kan ikke kryptere meldingene dine fordi kontakten din ikke annonserer hans eller hennes offentlige nøkkel. \ N \ n")</f>
        <v>Samtaler kan ikke kryptere meldingene dine fordi kontakten din ikke annonserer hans eller hennes offentlige nøkkel. \ N \ n</v>
      </c>
      <c r="Y809" s="1" t="s">
        <v>16789</v>
      </c>
      <c r="Z809" s="1" t="s">
        <v>16790</v>
      </c>
      <c r="AA809" s="7" t="str">
        <f>IFERROR(__xludf.DUMMYFUNCTION("GOOGLETRANSLATE(C809, ""en"", ""ro"")"),"Conversațiile nu pot cripta mesajele, deoarece contactul dvs. nu anunță cheia publică a acestuia. \ N \ n")</f>
        <v>Conversațiile nu pot cripta mesajele, deoarece contactul dvs. nu anunță cheia publică a acestuia. \ N \ n</v>
      </c>
      <c r="AB809" s="1" t="s">
        <v>16791</v>
      </c>
      <c r="AC809" s="1" t="s">
        <v>16792</v>
      </c>
      <c r="AD809" s="6" t="s">
        <v>132</v>
      </c>
      <c r="AE809" s="1" t="s">
        <v>16793</v>
      </c>
      <c r="AF809" s="1" t="s">
        <v>16794</v>
      </c>
      <c r="AG809" s="6" t="s">
        <v>132</v>
      </c>
      <c r="AH809" s="13" t="s">
        <v>16795</v>
      </c>
      <c r="AI809" s="6" t="s">
        <v>16796</v>
      </c>
      <c r="AJ809" s="6" t="s">
        <v>16797</v>
      </c>
      <c r="AK809" s="7" t="str">
        <f>IFERROR(__xludf.DUMMYFUNCTION("GOOGLETRANSLATE(C809, ""en"", ""zh"")"),"对话无法加密您的消息，因为您的联系人不公布他或HERS公钥。\ n \ n")</f>
        <v>对话无法加密您的消息，因为您的联系人不公布他或HERS公钥。\ n \ n</v>
      </c>
      <c r="AL809" s="6" t="s">
        <v>16798</v>
      </c>
    </row>
    <row r="810" ht="15.75" customHeight="1">
      <c r="A810" s="1" t="s">
        <v>127</v>
      </c>
      <c r="B810" s="1" t="s">
        <v>16799</v>
      </c>
      <c r="C810" s="1" t="s">
        <v>16800</v>
      </c>
      <c r="D810" s="8" t="s">
        <v>16801</v>
      </c>
      <c r="E810" s="1" t="s">
        <v>16802</v>
      </c>
      <c r="F810" s="6" t="s">
        <v>132</v>
      </c>
      <c r="G810" s="1" t="s">
        <v>16803</v>
      </c>
      <c r="H810" s="1" t="s">
        <v>16804</v>
      </c>
      <c r="I810" s="1" t="s">
        <v>16805</v>
      </c>
      <c r="J810" s="6" t="s">
        <v>16806</v>
      </c>
      <c r="K810" s="1" t="s">
        <v>16807</v>
      </c>
      <c r="L810" s="1" t="s">
        <v>16808</v>
      </c>
      <c r="M810" s="1" t="s">
        <v>16809</v>
      </c>
      <c r="N810" s="6" t="s">
        <v>132</v>
      </c>
      <c r="O810" s="6" t="s">
        <v>16810</v>
      </c>
      <c r="P810" s="1" t="s">
        <v>16811</v>
      </c>
      <c r="Q810" s="1" t="s">
        <v>16812</v>
      </c>
      <c r="R810" s="1" t="s">
        <v>16813</v>
      </c>
      <c r="S810" s="10" t="s">
        <v>16814</v>
      </c>
      <c r="T810" s="1" t="s">
        <v>16815</v>
      </c>
      <c r="U810" s="1" t="s">
        <v>16816</v>
      </c>
      <c r="V810" s="1" t="s">
        <v>16817</v>
      </c>
      <c r="W810" s="1" t="s">
        <v>16818</v>
      </c>
      <c r="X810" s="1" t="s">
        <v>16804</v>
      </c>
      <c r="Y810" s="1" t="s">
        <v>16819</v>
      </c>
      <c r="Z810" s="1" t="s">
        <v>16820</v>
      </c>
      <c r="AA810" s="1" t="s">
        <v>16821</v>
      </c>
      <c r="AB810" s="1" t="s">
        <v>16822</v>
      </c>
      <c r="AC810" s="1" t="s">
        <v>16823</v>
      </c>
      <c r="AD810" s="6" t="s">
        <v>16824</v>
      </c>
      <c r="AE810" s="1" t="s">
        <v>16825</v>
      </c>
      <c r="AF810" s="1" t="s">
        <v>16804</v>
      </c>
      <c r="AG810" s="6" t="s">
        <v>16826</v>
      </c>
      <c r="AH810" s="1" t="s">
        <v>16827</v>
      </c>
      <c r="AI810" s="6" t="s">
        <v>132</v>
      </c>
      <c r="AJ810" s="6" t="s">
        <v>16828</v>
      </c>
      <c r="AK810" s="1" t="s">
        <v>16829</v>
      </c>
      <c r="AL810" s="6" t="s">
        <v>16830</v>
      </c>
    </row>
    <row r="811" ht="15.75" customHeight="1">
      <c r="A811" s="1" t="s">
        <v>127</v>
      </c>
      <c r="B811" s="1" t="s">
        <v>16831</v>
      </c>
      <c r="C811" s="1" t="s">
        <v>16832</v>
      </c>
      <c r="D811" s="8" t="s">
        <v>16833</v>
      </c>
      <c r="E811" s="1" t="s">
        <v>16834</v>
      </c>
      <c r="F811" s="6" t="s">
        <v>132</v>
      </c>
      <c r="G811" s="1" t="s">
        <v>16835</v>
      </c>
      <c r="H811" s="1" t="s">
        <v>16836</v>
      </c>
      <c r="I811" s="1" t="s">
        <v>16837</v>
      </c>
      <c r="J811" s="6" t="s">
        <v>16838</v>
      </c>
      <c r="K811" s="1" t="s">
        <v>16839</v>
      </c>
      <c r="L811" s="1" t="s">
        <v>14776</v>
      </c>
      <c r="M811" s="1" t="s">
        <v>14777</v>
      </c>
      <c r="N811" s="6" t="s">
        <v>132</v>
      </c>
      <c r="O811" s="6" t="s">
        <v>16840</v>
      </c>
      <c r="P811" s="1" t="s">
        <v>16841</v>
      </c>
      <c r="Q811" s="1" t="s">
        <v>16842</v>
      </c>
      <c r="R811" s="1" t="s">
        <v>16843</v>
      </c>
      <c r="S811" s="10" t="s">
        <v>16844</v>
      </c>
      <c r="T811" s="1" t="s">
        <v>384</v>
      </c>
      <c r="U811" s="1" t="s">
        <v>16845</v>
      </c>
      <c r="V811" s="1" t="s">
        <v>16842</v>
      </c>
      <c r="W811" s="1" t="s">
        <v>16846</v>
      </c>
      <c r="X811" s="1" t="s">
        <v>16836</v>
      </c>
      <c r="Y811" s="1" t="s">
        <v>16847</v>
      </c>
      <c r="Z811" s="1" t="s">
        <v>16848</v>
      </c>
      <c r="AA811" s="1" t="s">
        <v>16849</v>
      </c>
      <c r="AB811" s="1" t="s">
        <v>16850</v>
      </c>
      <c r="AC811" s="1" t="s">
        <v>16835</v>
      </c>
      <c r="AD811" s="6" t="s">
        <v>16851</v>
      </c>
      <c r="AE811" s="1" t="s">
        <v>16852</v>
      </c>
      <c r="AF811" s="1" t="s">
        <v>16836</v>
      </c>
      <c r="AG811" s="6" t="s">
        <v>16853</v>
      </c>
      <c r="AH811" s="1" t="s">
        <v>14773</v>
      </c>
      <c r="AI811" s="6" t="s">
        <v>132</v>
      </c>
      <c r="AJ811" s="6" t="s">
        <v>16854</v>
      </c>
      <c r="AK811" s="1" t="s">
        <v>384</v>
      </c>
      <c r="AL811" s="6" t="s">
        <v>400</v>
      </c>
    </row>
    <row r="812" ht="15.75" customHeight="1">
      <c r="A812" s="1" t="s">
        <v>2265</v>
      </c>
      <c r="B812" s="1" t="s">
        <v>16855</v>
      </c>
      <c r="C812" s="1" t="s">
        <v>16856</v>
      </c>
      <c r="D812" s="8" t="s">
        <v>16857</v>
      </c>
      <c r="E812" s="1" t="s">
        <v>16858</v>
      </c>
      <c r="F812" s="6" t="s">
        <v>132</v>
      </c>
      <c r="G812" s="1" t="s">
        <v>16859</v>
      </c>
      <c r="H812" s="1" t="s">
        <v>16860</v>
      </c>
      <c r="I812" s="1" t="s">
        <v>16861</v>
      </c>
      <c r="J812" s="6" t="s">
        <v>16862</v>
      </c>
      <c r="K812" s="1" t="s">
        <v>16863</v>
      </c>
      <c r="L812" s="1" t="s">
        <v>16864</v>
      </c>
      <c r="M812" s="1" t="s">
        <v>16865</v>
      </c>
      <c r="N812" s="6" t="s">
        <v>132</v>
      </c>
      <c r="O812" s="6" t="s">
        <v>16866</v>
      </c>
      <c r="P812" s="1" t="s">
        <v>16867</v>
      </c>
      <c r="Q812" s="1" t="s">
        <v>16868</v>
      </c>
      <c r="R812" s="1" t="s">
        <v>16869</v>
      </c>
      <c r="S812" s="10" t="s">
        <v>16870</v>
      </c>
      <c r="T812" s="1" t="s">
        <v>16871</v>
      </c>
      <c r="U812" s="1" t="s">
        <v>7844</v>
      </c>
      <c r="V812" s="1" t="s">
        <v>16872</v>
      </c>
      <c r="W812" s="1" t="s">
        <v>16873</v>
      </c>
      <c r="X812" s="1" t="s">
        <v>16874</v>
      </c>
      <c r="Y812" s="1" t="s">
        <v>16875</v>
      </c>
      <c r="Z812" s="1" t="s">
        <v>16876</v>
      </c>
      <c r="AA812" s="1" t="s">
        <v>16877</v>
      </c>
      <c r="AB812" s="1" t="s">
        <v>16878</v>
      </c>
      <c r="AC812" s="1" t="s">
        <v>16879</v>
      </c>
      <c r="AD812" s="6" t="s">
        <v>16880</v>
      </c>
      <c r="AE812" s="1" t="s">
        <v>16881</v>
      </c>
      <c r="AF812" s="1" t="s">
        <v>16882</v>
      </c>
      <c r="AG812" s="6" t="s">
        <v>16883</v>
      </c>
      <c r="AH812" s="1" t="s">
        <v>16884</v>
      </c>
      <c r="AI812" s="6" t="s">
        <v>132</v>
      </c>
      <c r="AJ812" s="6" t="s">
        <v>16885</v>
      </c>
      <c r="AK812" s="14" t="s">
        <v>16886</v>
      </c>
      <c r="AL812" s="6" t="s">
        <v>132</v>
      </c>
    </row>
    <row r="813" ht="15.75" customHeight="1">
      <c r="A813" s="1" t="s">
        <v>127</v>
      </c>
      <c r="B813" s="1" t="s">
        <v>16887</v>
      </c>
      <c r="C813" s="1" t="s">
        <v>16888</v>
      </c>
      <c r="D813" s="8" t="s">
        <v>16889</v>
      </c>
      <c r="E813" s="1" t="s">
        <v>16890</v>
      </c>
      <c r="F813" s="6" t="s">
        <v>132</v>
      </c>
      <c r="G813" s="1" t="s">
        <v>16891</v>
      </c>
      <c r="H813" s="1" t="s">
        <v>16892</v>
      </c>
      <c r="I813" s="1" t="s">
        <v>16893</v>
      </c>
      <c r="J813" s="6" t="s">
        <v>16894</v>
      </c>
      <c r="K813" s="1" t="s">
        <v>16895</v>
      </c>
      <c r="L813" s="1" t="s">
        <v>16896</v>
      </c>
      <c r="M813" s="1" t="s">
        <v>16897</v>
      </c>
      <c r="N813" s="6" t="s">
        <v>132</v>
      </c>
      <c r="O813" s="6" t="s">
        <v>16898</v>
      </c>
      <c r="P813" s="1" t="s">
        <v>16899</v>
      </c>
      <c r="Q813" s="1" t="s">
        <v>16900</v>
      </c>
      <c r="R813" s="1" t="s">
        <v>16901</v>
      </c>
      <c r="S813" s="10" t="s">
        <v>16902</v>
      </c>
      <c r="T813" s="1" t="s">
        <v>16903</v>
      </c>
      <c r="U813" s="1" t="s">
        <v>16904</v>
      </c>
      <c r="V813" s="1" t="s">
        <v>16905</v>
      </c>
      <c r="W813" s="1" t="s">
        <v>16906</v>
      </c>
      <c r="X813" s="1" t="s">
        <v>16907</v>
      </c>
      <c r="Y813" s="1" t="s">
        <v>16908</v>
      </c>
      <c r="Z813" s="1" t="s">
        <v>16909</v>
      </c>
      <c r="AA813" s="1" t="s">
        <v>16910</v>
      </c>
      <c r="AB813" s="1" t="s">
        <v>16911</v>
      </c>
      <c r="AC813" s="1" t="s">
        <v>16912</v>
      </c>
      <c r="AD813" s="6" t="s">
        <v>16913</v>
      </c>
      <c r="AE813" s="1" t="s">
        <v>16914</v>
      </c>
      <c r="AF813" s="1" t="s">
        <v>16915</v>
      </c>
      <c r="AG813" s="6" t="s">
        <v>16916</v>
      </c>
      <c r="AH813" s="1" t="s">
        <v>16917</v>
      </c>
      <c r="AI813" s="6" t="s">
        <v>132</v>
      </c>
      <c r="AJ813" s="6" t="s">
        <v>16918</v>
      </c>
      <c r="AK813" s="1" t="s">
        <v>16919</v>
      </c>
      <c r="AL813" s="6" t="s">
        <v>16920</v>
      </c>
    </row>
    <row r="814" ht="15.75" hidden="1" customHeight="1">
      <c r="A814" s="1" t="s">
        <v>38</v>
      </c>
      <c r="B814" s="1" t="s">
        <v>16921</v>
      </c>
      <c r="C814" s="1" t="s">
        <v>16922</v>
      </c>
      <c r="D814" s="8" t="s">
        <v>16923</v>
      </c>
      <c r="E814" s="1" t="s">
        <v>16924</v>
      </c>
      <c r="F814" s="6" t="s">
        <v>16925</v>
      </c>
      <c r="G814" s="7" t="str">
        <f>IFERROR(__xludf.DUMMYFUNCTION("GOOGLETRANSLATE(C814, ""en"", ""cs"")"),"Dotkněte se pro otevření konverzací")</f>
        <v>Dotkněte se pro otevření konverzací</v>
      </c>
      <c r="H814" s="7" t="str">
        <f>IFERROR(__xludf.DUMMYFUNCTION("GOOGLETRANSLATE(C814, ""en"", ""da"")"),"Tryk for at åbne samtaler")</f>
        <v>Tryk for at åbne samtaler</v>
      </c>
      <c r="I814" s="1" t="s">
        <v>16926</v>
      </c>
      <c r="J814" s="6" t="s">
        <v>132</v>
      </c>
      <c r="K814" s="1" t="s">
        <v>16927</v>
      </c>
      <c r="L814" s="7" t="str">
        <f>IFERROR(__xludf.DUMMYFUNCTION("GOOGLETRANSLATE(C814, ""en"", ""fi"")"),"Kosketa avata keskusteluja")</f>
        <v>Kosketa avata keskusteluja</v>
      </c>
      <c r="M814" s="1" t="s">
        <v>16928</v>
      </c>
      <c r="N814" s="6" t="s">
        <v>16929</v>
      </c>
      <c r="O814" s="6" t="s">
        <v>132</v>
      </c>
      <c r="P814" s="1" t="s">
        <v>16930</v>
      </c>
      <c r="Q814" s="9" t="s">
        <v>16931</v>
      </c>
      <c r="R814" s="1" t="s">
        <v>16932</v>
      </c>
      <c r="S814" s="6" t="s">
        <v>132</v>
      </c>
      <c r="T814" s="1" t="s">
        <v>16933</v>
      </c>
      <c r="U814" s="1" t="s">
        <v>16934</v>
      </c>
      <c r="V814" s="7" t="str">
        <f>IFERROR(__xludf.DUMMYFUNCTION("GOOGLETRANSLATE(C814, ""en"", ""ms"")"),"Sentuh untuk membuka perbualan")</f>
        <v>Sentuh untuk membuka perbualan</v>
      </c>
      <c r="W814" s="1" t="s">
        <v>16935</v>
      </c>
      <c r="X814" s="7" t="str">
        <f>IFERROR(__xludf.DUMMYFUNCTION("GOOGLETRANSLATE(C814, ""en"", ""no"")"),"Trykk på for å åpne samtaler")</f>
        <v>Trykk på for å åpne samtaler</v>
      </c>
      <c r="Y814" s="1" t="s">
        <v>16936</v>
      </c>
      <c r="Z814" s="1" t="s">
        <v>16929</v>
      </c>
      <c r="AA814" s="7" t="str">
        <f>IFERROR(__xludf.DUMMYFUNCTION("GOOGLETRANSLATE(C814, ""en"", ""ro"")"),"Atingeți pentru a deschide convorbirile")</f>
        <v>Atingeți pentru a deschide convorbirile</v>
      </c>
      <c r="AB814" s="1" t="s">
        <v>16937</v>
      </c>
      <c r="AC814" s="1" t="s">
        <v>16938</v>
      </c>
      <c r="AD814" s="6" t="s">
        <v>132</v>
      </c>
      <c r="AE814" s="1" t="s">
        <v>16939</v>
      </c>
      <c r="AF814" s="1" t="s">
        <v>16940</v>
      </c>
      <c r="AG814" s="6" t="s">
        <v>132</v>
      </c>
      <c r="AH814" s="7" t="str">
        <f>IFERROR(__xludf.DUMMYFUNCTION("GOOGLETRANSLATE(C814, ""en"", ""tr"")"),"Konuşmaları açmak için dokunun")</f>
        <v>Konuşmaları açmak için dokunun</v>
      </c>
      <c r="AI814" s="6" t="s">
        <v>16941</v>
      </c>
      <c r="AJ814" s="6" t="s">
        <v>16942</v>
      </c>
      <c r="AK814" s="7" t="str">
        <f>IFERROR(__xludf.DUMMYFUNCTION("GOOGLETRANSLATE(C814, ""en"", ""zh"")"),"触摸打开对话")</f>
        <v>触摸打开对话</v>
      </c>
      <c r="AL814" s="6" t="s">
        <v>16943</v>
      </c>
    </row>
    <row r="815" ht="15.75" customHeight="1">
      <c r="A815" s="1" t="s">
        <v>127</v>
      </c>
      <c r="B815" s="1" t="s">
        <v>16944</v>
      </c>
      <c r="C815" s="1" t="s">
        <v>16945</v>
      </c>
      <c r="D815" s="8" t="s">
        <v>16946</v>
      </c>
      <c r="E815" s="1" t="s">
        <v>16947</v>
      </c>
      <c r="F815" s="6" t="s">
        <v>132</v>
      </c>
      <c r="G815" s="1" t="s">
        <v>16948</v>
      </c>
      <c r="H815" s="1" t="s">
        <v>16949</v>
      </c>
      <c r="I815" s="1" t="s">
        <v>16950</v>
      </c>
      <c r="J815" s="6" t="s">
        <v>16951</v>
      </c>
      <c r="K815" s="1" t="s">
        <v>16952</v>
      </c>
      <c r="L815" s="1" t="s">
        <v>16953</v>
      </c>
      <c r="M815" s="1" t="s">
        <v>16954</v>
      </c>
      <c r="N815" s="6" t="s">
        <v>132</v>
      </c>
      <c r="O815" s="6" t="s">
        <v>16955</v>
      </c>
      <c r="P815" s="1" t="s">
        <v>16956</v>
      </c>
      <c r="Q815" s="1" t="s">
        <v>16957</v>
      </c>
      <c r="R815" s="1" t="s">
        <v>16958</v>
      </c>
      <c r="S815" s="10" t="s">
        <v>16959</v>
      </c>
      <c r="T815" s="1" t="s">
        <v>16960</v>
      </c>
      <c r="U815" s="1" t="s">
        <v>16961</v>
      </c>
      <c r="V815" s="1" t="s">
        <v>16957</v>
      </c>
      <c r="W815" s="1" t="s">
        <v>16962</v>
      </c>
      <c r="X815" s="1" t="s">
        <v>16963</v>
      </c>
      <c r="Y815" s="1" t="s">
        <v>16964</v>
      </c>
      <c r="Z815" s="1" t="s">
        <v>16965</v>
      </c>
      <c r="AA815" s="1" t="s">
        <v>16966</v>
      </c>
      <c r="AB815" s="1" t="s">
        <v>16967</v>
      </c>
      <c r="AC815" s="1" t="s">
        <v>16968</v>
      </c>
      <c r="AD815" s="6" t="s">
        <v>16969</v>
      </c>
      <c r="AE815" s="1" t="s">
        <v>16970</v>
      </c>
      <c r="AF815" s="1" t="s">
        <v>16971</v>
      </c>
      <c r="AG815" s="6" t="s">
        <v>16972</v>
      </c>
      <c r="AH815" s="1" t="s">
        <v>16973</v>
      </c>
      <c r="AI815" s="6" t="s">
        <v>132</v>
      </c>
      <c r="AJ815" s="6" t="s">
        <v>16974</v>
      </c>
      <c r="AK815" s="1" t="s">
        <v>16975</v>
      </c>
      <c r="AL815" s="6" t="s">
        <v>16976</v>
      </c>
    </row>
    <row r="816" ht="15.75" hidden="1" customHeight="1">
      <c r="A816" s="1" t="s">
        <v>38</v>
      </c>
      <c r="B816" s="1" t="s">
        <v>16977</v>
      </c>
      <c r="C816" s="1" t="s">
        <v>16978</v>
      </c>
      <c r="D816" s="7" t="str">
        <f>IFERROR(__xludf.DUMMYFUNCTION("GOOGLETRANSLATE(C816, ""en"", ""ar"")"),"جزر كوك")</f>
        <v>جزر كوك</v>
      </c>
      <c r="E816" s="7" t="str">
        <f>IFERROR(__xludf.DUMMYFUNCTION("GOOGLETRANSLATE(C816, ""en"", ""bg"")"),"Кук острови")</f>
        <v>Кук острови</v>
      </c>
      <c r="F816" s="6" t="s">
        <v>132</v>
      </c>
      <c r="G816" s="7" t="str">
        <f>IFERROR(__xludf.DUMMYFUNCTION("GOOGLETRANSLATE(C816, ""en"", ""cs"")"),"Cookovy ostrovy")</f>
        <v>Cookovy ostrovy</v>
      </c>
      <c r="H816" s="7" t="str">
        <f>IFERROR(__xludf.DUMMYFUNCTION("GOOGLETRANSLATE(C816, ""en"", ""da"")"),"Cook Islands.")</f>
        <v>Cook Islands.</v>
      </c>
      <c r="I816" s="1" t="s">
        <v>16979</v>
      </c>
      <c r="J816" s="6" t="s">
        <v>132</v>
      </c>
      <c r="K816" s="1" t="s">
        <v>16980</v>
      </c>
      <c r="L816" s="7" t="str">
        <f>IFERROR(__xludf.DUMMYFUNCTION("GOOGLETRANSLATE(C816, ""en"", ""fi"")"),"Cook saaret")</f>
        <v>Cook saaret</v>
      </c>
      <c r="M816" s="1" t="s">
        <v>16981</v>
      </c>
      <c r="N816" s="6" t="s">
        <v>132</v>
      </c>
      <c r="O816" s="6" t="s">
        <v>132</v>
      </c>
      <c r="P816" s="1" t="s">
        <v>16978</v>
      </c>
      <c r="Q816" s="7" t="str">
        <f>IFERROR(__xludf.DUMMYFUNCTION("GOOGLETRANSLATE(C816, ""en"", ""in"")"),"Kepulauan Cook")</f>
        <v>Kepulauan Cook</v>
      </c>
      <c r="R816" s="7" t="str">
        <f>IFERROR(__xludf.DUMMYFUNCTION("GOOGLETRANSLATE(C816, ""en"", ""it"")"),"Isole Cook")</f>
        <v>Isole Cook</v>
      </c>
      <c r="S816" s="6" t="s">
        <v>132</v>
      </c>
      <c r="T816" s="7" t="str">
        <f>IFERROR(__xludf.DUMMYFUNCTION("GOOGLETRANSLATE(C816, ""en"", ""ja"")"),"クック諸島")</f>
        <v>クック諸島</v>
      </c>
      <c r="U816" s="7" t="str">
        <f>IFERROR(__xludf.DUMMYFUNCTION("GOOGLETRANSLATE(C816, ""en"", ""ko"")"),"쿡 제도")</f>
        <v>쿡 제도</v>
      </c>
      <c r="V816" s="7" t="str">
        <f>IFERROR(__xludf.DUMMYFUNCTION("GOOGLETRANSLATE(C816, ""en"", ""ms"")"),"Kepulauan Cook.")</f>
        <v>Kepulauan Cook.</v>
      </c>
      <c r="W816" s="7" t="str">
        <f>IFERROR(__xludf.DUMMYFUNCTION("GOOGLETRANSLATE(C816, ""en"", ""nl"")"),"Cook-eilanden")</f>
        <v>Cook-eilanden</v>
      </c>
      <c r="X816" s="7" t="str">
        <f>IFERROR(__xludf.DUMMYFUNCTION("GOOGLETRANSLATE(C816, ""en"", ""no"")"),"Cook-øyene")</f>
        <v>Cook-øyene</v>
      </c>
      <c r="Y816" s="7" t="str">
        <f>IFERROR(__xludf.DUMMYFUNCTION("GOOGLETRANSLATE(C816, ""en"", ""pl"")"),"Wyspy Cooka")</f>
        <v>Wyspy Cooka</v>
      </c>
      <c r="Z816" s="7" t="str">
        <f>IFERROR(__xludf.DUMMYFUNCTION("GOOGLETRANSLATE(C816, ""en"", ""pt"")"),"Ilhas Cook")</f>
        <v>Ilhas Cook</v>
      </c>
      <c r="AA816" s="7" t="str">
        <f>IFERROR(__xludf.DUMMYFUNCTION("GOOGLETRANSLATE(C816, ""en"", ""ro"")"),"Insulele Cook.")</f>
        <v>Insulele Cook.</v>
      </c>
      <c r="AB816" s="1" t="s">
        <v>16982</v>
      </c>
      <c r="AC816" s="7" t="str">
        <f>IFERROR(__xludf.DUMMYFUNCTION("GOOGLETRANSLATE(C816, ""en"", ""sk"")"),"Cookove ostrovy")</f>
        <v>Cookove ostrovy</v>
      </c>
      <c r="AD816" s="6" t="s">
        <v>132</v>
      </c>
      <c r="AE816" s="1" t="s">
        <v>16983</v>
      </c>
      <c r="AF816" s="7" t="str">
        <f>IFERROR(__xludf.DUMMYFUNCTION("GOOGLETRANSLATE(C816, ""en"", ""sv"")"),"Cooköarna")</f>
        <v>Cooköarna</v>
      </c>
      <c r="AG816" s="6" t="s">
        <v>132</v>
      </c>
      <c r="AH816" s="7" t="str">
        <f>IFERROR(__xludf.DUMMYFUNCTION("GOOGLETRANSLATE(C816, ""en"", ""tr"")"),"Cook Adaları")</f>
        <v>Cook Adaları</v>
      </c>
      <c r="AI816" s="6" t="s">
        <v>132</v>
      </c>
      <c r="AJ816" s="6" t="s">
        <v>132</v>
      </c>
      <c r="AK816" s="7" t="str">
        <f>IFERROR(__xludf.DUMMYFUNCTION("GOOGLETRANSLATE(C816, ""en"", ""zh"")"),"库克群岛")</f>
        <v>库克群岛</v>
      </c>
      <c r="AL816" s="6" t="s">
        <v>132</v>
      </c>
    </row>
    <row r="817" ht="15.75" customHeight="1">
      <c r="A817" s="1" t="s">
        <v>127</v>
      </c>
      <c r="B817" s="1" t="s">
        <v>16984</v>
      </c>
      <c r="C817" s="1" t="s">
        <v>16985</v>
      </c>
      <c r="D817" s="8" t="s">
        <v>16986</v>
      </c>
      <c r="E817" s="1" t="s">
        <v>16987</v>
      </c>
      <c r="F817" s="6" t="s">
        <v>132</v>
      </c>
      <c r="G817" s="1" t="s">
        <v>16988</v>
      </c>
      <c r="H817" s="1" t="s">
        <v>16989</v>
      </c>
      <c r="I817" s="1" t="s">
        <v>16990</v>
      </c>
      <c r="J817" s="6" t="s">
        <v>8924</v>
      </c>
      <c r="K817" s="1" t="s">
        <v>16991</v>
      </c>
      <c r="L817" s="1" t="s">
        <v>16992</v>
      </c>
      <c r="M817" s="1" t="s">
        <v>16985</v>
      </c>
      <c r="N817" s="6" t="s">
        <v>132</v>
      </c>
      <c r="O817" s="6" t="s">
        <v>16993</v>
      </c>
      <c r="P817" s="1" t="s">
        <v>16994</v>
      </c>
      <c r="Q817" s="1" t="s">
        <v>16995</v>
      </c>
      <c r="R817" s="1" t="s">
        <v>16996</v>
      </c>
      <c r="S817" s="10" t="s">
        <v>8932</v>
      </c>
      <c r="T817" s="1" t="s">
        <v>16997</v>
      </c>
      <c r="U817" s="1" t="s">
        <v>16998</v>
      </c>
      <c r="V817" s="1" t="s">
        <v>16995</v>
      </c>
      <c r="W817" s="1" t="s">
        <v>16999</v>
      </c>
      <c r="X817" s="1" t="s">
        <v>8937</v>
      </c>
      <c r="Y817" s="1" t="s">
        <v>17000</v>
      </c>
      <c r="Z817" s="1" t="s">
        <v>17001</v>
      </c>
      <c r="AA817" s="1" t="s">
        <v>17002</v>
      </c>
      <c r="AB817" s="1" t="s">
        <v>17003</v>
      </c>
      <c r="AC817" s="1" t="s">
        <v>17004</v>
      </c>
      <c r="AD817" s="6" t="s">
        <v>17005</v>
      </c>
      <c r="AE817" s="1" t="s">
        <v>17006</v>
      </c>
      <c r="AF817" s="1" t="s">
        <v>17007</v>
      </c>
      <c r="AG817" s="6" t="s">
        <v>17008</v>
      </c>
      <c r="AH817" s="1" t="s">
        <v>17009</v>
      </c>
      <c r="AI817" s="6" t="s">
        <v>132</v>
      </c>
      <c r="AJ817" s="6" t="s">
        <v>17010</v>
      </c>
      <c r="AK817" s="1" t="s">
        <v>16997</v>
      </c>
      <c r="AL817" s="6" t="s">
        <v>132</v>
      </c>
    </row>
    <row r="818" ht="15.75" customHeight="1">
      <c r="A818" s="1" t="s">
        <v>127</v>
      </c>
      <c r="B818" s="1" t="s">
        <v>17011</v>
      </c>
      <c r="C818" s="1" t="s">
        <v>17012</v>
      </c>
      <c r="D818" s="8" t="s">
        <v>17013</v>
      </c>
      <c r="E818" s="1" t="s">
        <v>17014</v>
      </c>
      <c r="F818" s="6" t="s">
        <v>132</v>
      </c>
      <c r="G818" s="1" t="s">
        <v>17015</v>
      </c>
      <c r="H818" s="1" t="s">
        <v>17016</v>
      </c>
      <c r="I818" s="1" t="s">
        <v>17012</v>
      </c>
      <c r="J818" s="6" t="s">
        <v>17017</v>
      </c>
      <c r="K818" s="1" t="s">
        <v>17018</v>
      </c>
      <c r="L818" s="1" t="s">
        <v>17019</v>
      </c>
      <c r="M818" s="1" t="s">
        <v>17020</v>
      </c>
      <c r="N818" s="6" t="s">
        <v>132</v>
      </c>
      <c r="O818" s="6" t="s">
        <v>17021</v>
      </c>
      <c r="P818" s="1" t="s">
        <v>17022</v>
      </c>
      <c r="Q818" s="1" t="s">
        <v>17023</v>
      </c>
      <c r="R818" s="1" t="s">
        <v>17024</v>
      </c>
      <c r="S818" s="10" t="s">
        <v>17025</v>
      </c>
      <c r="T818" s="1" t="s">
        <v>17026</v>
      </c>
      <c r="U818" s="1" t="s">
        <v>17027</v>
      </c>
      <c r="V818" s="1" t="s">
        <v>17023</v>
      </c>
      <c r="W818" s="1" t="s">
        <v>17028</v>
      </c>
      <c r="X818" s="1" t="s">
        <v>17029</v>
      </c>
      <c r="Y818" s="1" t="s">
        <v>8326</v>
      </c>
      <c r="Z818" s="1" t="s">
        <v>17030</v>
      </c>
      <c r="AA818" s="1" t="s">
        <v>17031</v>
      </c>
      <c r="AB818" s="1" t="s">
        <v>17032</v>
      </c>
      <c r="AC818" s="1" t="s">
        <v>17033</v>
      </c>
      <c r="AD818" s="6" t="s">
        <v>17034</v>
      </c>
      <c r="AE818" s="1" t="s">
        <v>17035</v>
      </c>
      <c r="AF818" s="1" t="s">
        <v>17036</v>
      </c>
      <c r="AG818" s="6" t="s">
        <v>17037</v>
      </c>
      <c r="AH818" s="1" t="s">
        <v>17038</v>
      </c>
      <c r="AI818" s="6" t="s">
        <v>132</v>
      </c>
      <c r="AJ818" s="6" t="s">
        <v>17039</v>
      </c>
      <c r="AK818" s="1" t="s">
        <v>17040</v>
      </c>
      <c r="AL818" s="6" t="s">
        <v>132</v>
      </c>
    </row>
    <row r="819" ht="15.75" hidden="1" customHeight="1">
      <c r="A819" s="1" t="s">
        <v>38</v>
      </c>
      <c r="B819" s="1" t="s">
        <v>17041</v>
      </c>
      <c r="C819" s="1" t="s">
        <v>17042</v>
      </c>
      <c r="D819" s="7" t="str">
        <f>IFERROR(__xludf.DUMMYFUNCTION("GOOGLETRANSLATE(C819, ""en"", ""ar"")"),"ضوء إشعار وميض عند وصول رسالة جديدة")</f>
        <v>ضوء إشعار وميض عند وصول رسالة جديدة</v>
      </c>
      <c r="E819" s="1" t="s">
        <v>17043</v>
      </c>
      <c r="F819" s="6" t="s">
        <v>17044</v>
      </c>
      <c r="G819" s="7" t="str">
        <f>IFERROR(__xludf.DUMMYFUNCTION("GOOGLETRANSLATE(C819, ""en"", ""cs"")"),"Pokud přijde nová zpráva")</f>
        <v>Pokud přijde nová zpráva</v>
      </c>
      <c r="H819" s="7" t="str">
        <f>IFERROR(__xludf.DUMMYFUNCTION("GOOGLETRANSLATE(C819, ""en"", ""da"")"),"Blink notifikationslys, når en ny besked ankommer")</f>
        <v>Blink notifikationslys, når en ny besked ankommer</v>
      </c>
      <c r="I819" s="1" t="s">
        <v>17045</v>
      </c>
      <c r="J819" s="6" t="s">
        <v>132</v>
      </c>
      <c r="K819" s="1" t="s">
        <v>17046</v>
      </c>
      <c r="L819" s="7" t="str">
        <f>IFERROR(__xludf.DUMMYFUNCTION("GOOGLETRANSLATE(C819, ""en"", ""fi"")"),"Vilkkuu ilmoitusvalo, kun uusi viesti saapuu")</f>
        <v>Vilkkuu ilmoitusvalo, kun uusi viesti saapuu</v>
      </c>
      <c r="M819" s="1" t="s">
        <v>17047</v>
      </c>
      <c r="N819" s="6" t="s">
        <v>17048</v>
      </c>
      <c r="O819" s="6" t="s">
        <v>132</v>
      </c>
      <c r="P819" s="1" t="s">
        <v>17049</v>
      </c>
      <c r="Q819" s="7" t="str">
        <f>IFERROR(__xludf.DUMMYFUNCTION("GOOGLETRANSLATE(C819, ""en"", ""in"")"),"Lampu notifikasi berkedip ketika pesan baru tiba")</f>
        <v>Lampu notifikasi berkedip ketika pesan baru tiba</v>
      </c>
      <c r="R819" s="1" t="s">
        <v>17050</v>
      </c>
      <c r="S819" s="6" t="s">
        <v>132</v>
      </c>
      <c r="T819" s="1" t="s">
        <v>17051</v>
      </c>
      <c r="U819" s="1" t="s">
        <v>17052</v>
      </c>
      <c r="V819" s="7" t="str">
        <f>IFERROR(__xludf.DUMMYFUNCTION("GOOGLETRANSLATE(C819, ""en"", ""ms"")"),"Cahaya pemberitahuan berkelip apabila mesej baru tiba")</f>
        <v>Cahaya pemberitahuan berkelip apabila mesej baru tiba</v>
      </c>
      <c r="W819" s="1" t="s">
        <v>17053</v>
      </c>
      <c r="X819" s="7" t="str">
        <f>IFERROR(__xludf.DUMMYFUNCTION("GOOGLETRANSLATE(C819, ""en"", ""no"")"),"Blink varslingslys når en ny melding kommer")</f>
        <v>Blink varslingslys når en ny melding kommer</v>
      </c>
      <c r="Y819" s="1" t="s">
        <v>17054</v>
      </c>
      <c r="Z819" s="1" t="s">
        <v>17055</v>
      </c>
      <c r="AA819" s="7" t="str">
        <f>IFERROR(__xludf.DUMMYFUNCTION("GOOGLETRANSLATE(C819, ""en"", ""ro"")"),"Clipește lumina notificării atunci când sosește un mesaj nou")</f>
        <v>Clipește lumina notificării atunci când sosește un mesaj nou</v>
      </c>
      <c r="AB819" s="1" t="s">
        <v>17056</v>
      </c>
      <c r="AC819" s="7" t="str">
        <f>IFERROR(__xludf.DUMMYFUNCTION("GOOGLETRANSLATE(C819, ""en"", ""sk"")"),"Blikanie upozornenia, keď príde nová správa")</f>
        <v>Blikanie upozornenia, keď príde nová správa</v>
      </c>
      <c r="AD819" s="6" t="s">
        <v>132</v>
      </c>
      <c r="AE819" s="1" t="s">
        <v>17057</v>
      </c>
      <c r="AF819" s="1" t="s">
        <v>17058</v>
      </c>
      <c r="AG819" s="6" t="s">
        <v>132</v>
      </c>
      <c r="AH819" s="7" t="str">
        <f>IFERROR(__xludf.DUMMYFUNCTION("GOOGLETRANSLATE(C819, ""en"", ""tr"")"),"Yeni bir mesaj geldiğinde göz kırpma bildirim ışığı")</f>
        <v>Yeni bir mesaj geldiğinde göz kırpma bildirim ışığı</v>
      </c>
      <c r="AI819" s="6" t="s">
        <v>17059</v>
      </c>
      <c r="AJ819" s="6" t="s">
        <v>17060</v>
      </c>
      <c r="AK819" s="7" t="str">
        <f>IFERROR(__xludf.DUMMYFUNCTION("GOOGLETRANSLATE(C819, ""en"", ""zh"")"),"新消息到达时闪烁通知灯")</f>
        <v>新消息到达时闪烁通知灯</v>
      </c>
      <c r="AL819" s="6" t="s">
        <v>17061</v>
      </c>
    </row>
    <row r="820" ht="15.75" customHeight="1">
      <c r="A820" s="1" t="s">
        <v>127</v>
      </c>
      <c r="B820" s="1" t="s">
        <v>17062</v>
      </c>
      <c r="C820" s="1" t="s">
        <v>17063</v>
      </c>
      <c r="D820" s="8" t="s">
        <v>17064</v>
      </c>
      <c r="E820" s="1" t="s">
        <v>17063</v>
      </c>
      <c r="F820" s="6" t="s">
        <v>132</v>
      </c>
      <c r="G820" s="1" t="s">
        <v>17063</v>
      </c>
      <c r="H820" s="1" t="s">
        <v>17065</v>
      </c>
      <c r="I820" s="1" t="s">
        <v>17063</v>
      </c>
      <c r="J820" s="6" t="s">
        <v>17066</v>
      </c>
      <c r="K820" s="1" t="s">
        <v>17063</v>
      </c>
      <c r="L820" s="1" t="s">
        <v>17063</v>
      </c>
      <c r="M820" s="1" t="s">
        <v>17063</v>
      </c>
      <c r="N820" s="6" t="s">
        <v>132</v>
      </c>
      <c r="O820" s="6" t="s">
        <v>17067</v>
      </c>
      <c r="P820" s="1" t="s">
        <v>17063</v>
      </c>
      <c r="Q820" s="1" t="s">
        <v>17068</v>
      </c>
      <c r="R820" s="1" t="s">
        <v>17063</v>
      </c>
      <c r="S820" s="6" t="s">
        <v>17063</v>
      </c>
      <c r="T820" s="1" t="s">
        <v>17063</v>
      </c>
      <c r="U820" s="1" t="s">
        <v>17069</v>
      </c>
      <c r="V820" s="1" t="s">
        <v>17070</v>
      </c>
      <c r="W820" s="1" t="s">
        <v>17071</v>
      </c>
      <c r="X820" s="1" t="s">
        <v>17072</v>
      </c>
      <c r="Y820" s="1" t="s">
        <v>17063</v>
      </c>
      <c r="Z820" s="1" t="s">
        <v>17073</v>
      </c>
      <c r="AA820" s="1" t="s">
        <v>17074</v>
      </c>
      <c r="AB820" s="1" t="s">
        <v>17075</v>
      </c>
      <c r="AC820" s="1" t="s">
        <v>17063</v>
      </c>
      <c r="AD820" s="6" t="s">
        <v>17063</v>
      </c>
      <c r="AE820" s="1" t="s">
        <v>17063</v>
      </c>
      <c r="AF820" s="1" t="s">
        <v>17063</v>
      </c>
      <c r="AG820" s="6" t="s">
        <v>17076</v>
      </c>
      <c r="AH820" s="1" t="s">
        <v>17077</v>
      </c>
      <c r="AI820" s="6" t="s">
        <v>132</v>
      </c>
      <c r="AJ820" s="6" t="s">
        <v>17063</v>
      </c>
      <c r="AK820" s="1" t="s">
        <v>17078</v>
      </c>
      <c r="AL820" s="6" t="s">
        <v>17079</v>
      </c>
    </row>
    <row r="821" ht="15.75" hidden="1" customHeight="1">
      <c r="A821" s="1" t="s">
        <v>38</v>
      </c>
      <c r="B821" s="1" t="s">
        <v>17080</v>
      </c>
      <c r="C821" s="1" t="s">
        <v>17081</v>
      </c>
      <c r="D821" s="8" t="s">
        <v>17082</v>
      </c>
      <c r="E821" s="1" t="s">
        <v>17083</v>
      </c>
      <c r="F821" s="6" t="s">
        <v>17084</v>
      </c>
      <c r="G821" s="7" t="str">
        <f>IFERROR(__xludf.DUMMYFUNCTION("GOOGLETRANSLATE(C821, ""en"", ""cs"")"),"Ověřte klíčové klíče Omemo.")</f>
        <v>Ověřte klíčové klíče Omemo.</v>
      </c>
      <c r="H821" s="7" t="str">
        <f>IFERROR(__xludf.DUMMYFUNCTION("GOOGLETRANSLATE(C821, ""en"", ""da"")"),"Bekræft Omemo Keys.")</f>
        <v>Bekræft Omemo Keys.</v>
      </c>
      <c r="I821" s="1" t="s">
        <v>17085</v>
      </c>
      <c r="J821" s="6" t="s">
        <v>132</v>
      </c>
      <c r="K821" s="1" t="s">
        <v>17086</v>
      </c>
      <c r="L821" s="7" t="str">
        <f>IFERROR(__xludf.DUMMYFUNCTION("GOOGLETRANSLATE(C821, ""en"", ""fi"")"),"Vahvista omemon avaimet")</f>
        <v>Vahvista omemon avaimet</v>
      </c>
      <c r="M821" s="1" t="s">
        <v>17087</v>
      </c>
      <c r="N821" s="6" t="s">
        <v>17088</v>
      </c>
      <c r="O821" s="6" t="s">
        <v>132</v>
      </c>
      <c r="P821" s="1" t="s">
        <v>17089</v>
      </c>
      <c r="Q821" s="7" t="str">
        <f>IFERROR(__xludf.DUMMYFUNCTION("GOOGLETRANSLATE(C821, ""en"", ""in"")"),"Verifikasi Omemo Keys.")</f>
        <v>Verifikasi Omemo Keys.</v>
      </c>
      <c r="R821" s="1" t="s">
        <v>17090</v>
      </c>
      <c r="S821" s="6" t="s">
        <v>132</v>
      </c>
      <c r="T821" s="1" t="s">
        <v>17091</v>
      </c>
      <c r="U821" s="1" t="s">
        <v>17092</v>
      </c>
      <c r="V821" s="7" t="str">
        <f>IFERROR(__xludf.DUMMYFUNCTION("GOOGLETRANSLATE(C821, ""en"", ""ms"")"),"Sahkan kunci Omemo.")</f>
        <v>Sahkan kunci Omemo.</v>
      </c>
      <c r="W821" s="1" t="s">
        <v>17093</v>
      </c>
      <c r="X821" s="7" t="str">
        <f>IFERROR(__xludf.DUMMYFUNCTION("GOOGLETRANSLATE(C821, ""en"", ""no"")"),"Bekreft OMEMO-tastene")</f>
        <v>Bekreft OMEMO-tastene</v>
      </c>
      <c r="Y821" s="1" t="s">
        <v>17094</v>
      </c>
      <c r="Z821" s="7" t="str">
        <f>IFERROR(__xludf.DUMMYFUNCTION("GOOGLETRANSLATE(C821, ""en"", ""pt"")"),"Verifique as teclas omemo.")</f>
        <v>Verifique as teclas omemo.</v>
      </c>
      <c r="AA821" s="7" t="str">
        <f>IFERROR(__xludf.DUMMYFUNCTION("GOOGLETRANSLATE(C821, ""en"", ""ro"")"),"Verificați cheile Omemo.")</f>
        <v>Verificați cheile Omemo.</v>
      </c>
      <c r="AB821" s="1" t="s">
        <v>17095</v>
      </c>
      <c r="AC821" s="7" t="str">
        <f>IFERROR(__xludf.DUMMYFUNCTION("GOOGLETRANSLATE(C821, ""en"", ""sk"")"),"Overiť omemické kľúče")</f>
        <v>Overiť omemické kľúče</v>
      </c>
      <c r="AD821" s="6" t="s">
        <v>132</v>
      </c>
      <c r="AE821" s="1" t="s">
        <v>17096</v>
      </c>
      <c r="AF821" s="1" t="s">
        <v>17097</v>
      </c>
      <c r="AG821" s="6" t="s">
        <v>132</v>
      </c>
      <c r="AH821" s="7" t="str">
        <f>IFERROR(__xludf.DUMMYFUNCTION("GOOGLETRANSLATE(C821, ""en"", ""tr"")"),"OMEMO tuşlarını doğrula")</f>
        <v>OMEMO tuşlarını doğrula</v>
      </c>
      <c r="AI821" s="6" t="s">
        <v>17098</v>
      </c>
      <c r="AJ821" s="6" t="s">
        <v>132</v>
      </c>
      <c r="AK821" s="7" t="str">
        <f>IFERROR(__xludf.DUMMYFUNCTION("GOOGLETRANSLATE(C821, ""en"", ""zh"")"),"验证omemo键")</f>
        <v>验证omemo键</v>
      </c>
      <c r="AL821" s="6" t="s">
        <v>17099</v>
      </c>
    </row>
    <row r="822" ht="15.75" hidden="1" customHeight="1">
      <c r="A822" s="1" t="s">
        <v>38</v>
      </c>
      <c r="B822" s="1" t="s">
        <v>17100</v>
      </c>
      <c r="C822" s="1" t="s">
        <v>17101</v>
      </c>
      <c r="D822" s="7" t="str">
        <f>IFERROR(__xludf.DUMMYFUNCTION("GOOGLETRANSLATE(C822, ""en"", ""ar"")"),"ليبيا")</f>
        <v>ليبيا</v>
      </c>
      <c r="E822" s="7" t="str">
        <f>IFERROR(__xludf.DUMMYFUNCTION("GOOGLETRANSLATE(C822, ""en"", ""bg"")"),"Либия")</f>
        <v>Либия</v>
      </c>
      <c r="F822" s="6" t="s">
        <v>132</v>
      </c>
      <c r="G822" s="7" t="str">
        <f>IFERROR(__xludf.DUMMYFUNCTION("GOOGLETRANSLATE(C822, ""en"", ""cs"")"),"Libye")</f>
        <v>Libye</v>
      </c>
      <c r="H822" s="7" t="str">
        <f>IFERROR(__xludf.DUMMYFUNCTION("GOOGLETRANSLATE(C822, ""en"", ""da"")"),"Libyen")</f>
        <v>Libyen</v>
      </c>
      <c r="I822" s="1" t="s">
        <v>17102</v>
      </c>
      <c r="J822" s="6" t="s">
        <v>132</v>
      </c>
      <c r="K822" s="1" t="s">
        <v>17103</v>
      </c>
      <c r="L822" s="7" t="str">
        <f>IFERROR(__xludf.DUMMYFUNCTION("GOOGLETRANSLATE(C822, ""en"", ""fi"")"),"Libya")</f>
        <v>Libya</v>
      </c>
      <c r="M822" s="1" t="s">
        <v>17104</v>
      </c>
      <c r="N822" s="6" t="s">
        <v>132</v>
      </c>
      <c r="O822" s="6" t="s">
        <v>132</v>
      </c>
      <c r="P822" s="1" t="s">
        <v>17101</v>
      </c>
      <c r="Q822" s="7" t="str">
        <f>IFERROR(__xludf.DUMMYFUNCTION("GOOGLETRANSLATE(C822, ""en"", ""in"")"),"Libya")</f>
        <v>Libya</v>
      </c>
      <c r="R822" s="7" t="str">
        <f>IFERROR(__xludf.DUMMYFUNCTION("GOOGLETRANSLATE(C822, ""en"", ""it"")"),"Libia")</f>
        <v>Libia</v>
      </c>
      <c r="S822" s="6" t="s">
        <v>132</v>
      </c>
      <c r="T822" s="7" t="str">
        <f>IFERROR(__xludf.DUMMYFUNCTION("GOOGLETRANSLATE(C822, ""en"", ""ja"")"),"リビア")</f>
        <v>リビア</v>
      </c>
      <c r="U822" s="7" t="str">
        <f>IFERROR(__xludf.DUMMYFUNCTION("GOOGLETRANSLATE(C822, ""en"", ""ko"")"),"리비아")</f>
        <v>리비아</v>
      </c>
      <c r="V822" s="7" t="str">
        <f>IFERROR(__xludf.DUMMYFUNCTION("GOOGLETRANSLATE(C822, ""en"", ""ms"")"),"Libya")</f>
        <v>Libya</v>
      </c>
      <c r="W822" s="7" t="str">
        <f>IFERROR(__xludf.DUMMYFUNCTION("GOOGLETRANSLATE(C822, ""en"", ""nl"")"),"Libië")</f>
        <v>Libië</v>
      </c>
      <c r="X822" s="7" t="str">
        <f>IFERROR(__xludf.DUMMYFUNCTION("GOOGLETRANSLATE(C822, ""en"", ""no"")"),"Libya")</f>
        <v>Libya</v>
      </c>
      <c r="Y822" s="7" t="str">
        <f>IFERROR(__xludf.DUMMYFUNCTION("GOOGLETRANSLATE(C822, ""en"", ""pl"")"),"Libia")</f>
        <v>Libia</v>
      </c>
      <c r="Z822" s="7" t="str">
        <f>IFERROR(__xludf.DUMMYFUNCTION("GOOGLETRANSLATE(C822, ""en"", ""pt"")"),"Líbia")</f>
        <v>Líbia</v>
      </c>
      <c r="AA822" s="7" t="str">
        <f>IFERROR(__xludf.DUMMYFUNCTION("GOOGLETRANSLATE(C822, ""en"", ""ro"")"),"Libia")</f>
        <v>Libia</v>
      </c>
      <c r="AB822" s="1" t="s">
        <v>17105</v>
      </c>
      <c r="AC822" s="7" t="str">
        <f>IFERROR(__xludf.DUMMYFUNCTION("GOOGLETRANSLATE(C822, ""en"", ""sk"")"),"Líbya")</f>
        <v>Líbya</v>
      </c>
      <c r="AD822" s="6" t="s">
        <v>132</v>
      </c>
      <c r="AE822" s="1" t="s">
        <v>17106</v>
      </c>
      <c r="AF822" s="7" t="str">
        <f>IFERROR(__xludf.DUMMYFUNCTION("GOOGLETRANSLATE(C822, ""en"", ""sv"")"),"Libyen")</f>
        <v>Libyen</v>
      </c>
      <c r="AG822" s="6" t="s">
        <v>132</v>
      </c>
      <c r="AH822" s="7" t="str">
        <f>IFERROR(__xludf.DUMMYFUNCTION("GOOGLETRANSLATE(C822, ""en"", ""tr"")"),"Libya")</f>
        <v>Libya</v>
      </c>
      <c r="AI822" s="6" t="s">
        <v>132</v>
      </c>
      <c r="AJ822" s="6" t="s">
        <v>132</v>
      </c>
      <c r="AK822" s="7" t="str">
        <f>IFERROR(__xludf.DUMMYFUNCTION("GOOGLETRANSLATE(C822, ""en"", ""zh"")"),"利比亚")</f>
        <v>利比亚</v>
      </c>
      <c r="AL822" s="6" t="s">
        <v>132</v>
      </c>
    </row>
    <row r="823" ht="15.75" customHeight="1">
      <c r="A823" s="1" t="s">
        <v>127</v>
      </c>
      <c r="B823" s="1" t="s">
        <v>17107</v>
      </c>
      <c r="C823" s="1" t="s">
        <v>17108</v>
      </c>
      <c r="D823" s="8" t="s">
        <v>17109</v>
      </c>
      <c r="E823" s="1" t="s">
        <v>17110</v>
      </c>
      <c r="F823" s="6" t="s">
        <v>132</v>
      </c>
      <c r="G823" s="1" t="s">
        <v>17111</v>
      </c>
      <c r="H823" s="1" t="s">
        <v>17112</v>
      </c>
      <c r="I823" s="1" t="s">
        <v>17113</v>
      </c>
      <c r="J823" s="6" t="s">
        <v>17114</v>
      </c>
      <c r="K823" s="1" t="s">
        <v>17115</v>
      </c>
      <c r="L823" s="1" t="s">
        <v>17116</v>
      </c>
      <c r="M823" s="1" t="s">
        <v>17117</v>
      </c>
      <c r="N823" s="6" t="s">
        <v>132</v>
      </c>
      <c r="O823" s="6" t="s">
        <v>17118</v>
      </c>
      <c r="P823" s="1" t="s">
        <v>17119</v>
      </c>
      <c r="Q823" s="1" t="s">
        <v>17120</v>
      </c>
      <c r="R823" s="1" t="s">
        <v>17121</v>
      </c>
      <c r="S823" s="10" t="s">
        <v>17122</v>
      </c>
      <c r="T823" s="1" t="s">
        <v>17123</v>
      </c>
      <c r="U823" s="1" t="s">
        <v>17124</v>
      </c>
      <c r="V823" s="1" t="s">
        <v>17125</v>
      </c>
      <c r="W823" s="1" t="s">
        <v>17126</v>
      </c>
      <c r="X823" s="1" t="s">
        <v>17127</v>
      </c>
      <c r="Y823" s="1" t="s">
        <v>17128</v>
      </c>
      <c r="Z823" s="1" t="s">
        <v>17129</v>
      </c>
      <c r="AA823" s="1" t="s">
        <v>17130</v>
      </c>
      <c r="AB823" s="1" t="s">
        <v>17131</v>
      </c>
      <c r="AC823" s="1" t="s">
        <v>17132</v>
      </c>
      <c r="AD823" s="6" t="s">
        <v>17133</v>
      </c>
      <c r="AE823" s="1" t="s">
        <v>17134</v>
      </c>
      <c r="AF823" s="1" t="s">
        <v>17135</v>
      </c>
      <c r="AG823" s="6" t="s">
        <v>17136</v>
      </c>
      <c r="AH823" s="1" t="s">
        <v>17137</v>
      </c>
      <c r="AI823" s="6" t="s">
        <v>132</v>
      </c>
      <c r="AJ823" s="6" t="s">
        <v>17138</v>
      </c>
      <c r="AK823" s="1" t="s">
        <v>17139</v>
      </c>
      <c r="AL823" s="6" t="s">
        <v>132</v>
      </c>
    </row>
    <row r="824" ht="15.75" hidden="1" customHeight="1">
      <c r="A824" s="1" t="s">
        <v>38</v>
      </c>
      <c r="B824" s="1" t="s">
        <v>17140</v>
      </c>
      <c r="C824" s="1" t="s">
        <v>17141</v>
      </c>
      <c r="D824" s="8" t="s">
        <v>17142</v>
      </c>
      <c r="E824" s="1" t="s">
        <v>17143</v>
      </c>
      <c r="F824" s="6" t="s">
        <v>17144</v>
      </c>
      <c r="G824" s="7" t="str">
        <f>IFERROR(__xludf.DUMMYFUNCTION("GOOGLETRANSLATE(C824, ""en"", ""cs"")"),"Přílohy")</f>
        <v>Přílohy</v>
      </c>
      <c r="H824" s="7" t="str">
        <f>IFERROR(__xludf.DUMMYFUNCTION("GOOGLETRANSLATE(C824, ""en"", ""da"")"),"Vedhæftede filer.")</f>
        <v>Vedhæftede filer.</v>
      </c>
      <c r="I824" s="1" t="s">
        <v>17145</v>
      </c>
      <c r="J824" s="6" t="s">
        <v>132</v>
      </c>
      <c r="K824" s="1" t="s">
        <v>17146</v>
      </c>
      <c r="L824" s="7" t="str">
        <f>IFERROR(__xludf.DUMMYFUNCTION("GOOGLETRANSLATE(C824, ""en"", ""fi"")"),"Liitetiedostot")</f>
        <v>Liitetiedostot</v>
      </c>
      <c r="M824" s="1" t="s">
        <v>17147</v>
      </c>
      <c r="N824" s="6" t="s">
        <v>17148</v>
      </c>
      <c r="O824" s="6" t="s">
        <v>132</v>
      </c>
      <c r="P824" s="1" t="s">
        <v>17149</v>
      </c>
      <c r="Q824" s="9" t="s">
        <v>17150</v>
      </c>
      <c r="R824" s="1" t="s">
        <v>17151</v>
      </c>
      <c r="S824" s="6" t="s">
        <v>132</v>
      </c>
      <c r="T824" s="1" t="s">
        <v>6222</v>
      </c>
      <c r="U824" s="1" t="s">
        <v>17152</v>
      </c>
      <c r="V824" s="7" t="str">
        <f>IFERROR(__xludf.DUMMYFUNCTION("GOOGLETRANSLATE(C824, ""en"", ""ms"")"),"Lampiran")</f>
        <v>Lampiran</v>
      </c>
      <c r="W824" s="1" t="s">
        <v>17153</v>
      </c>
      <c r="X824" s="7" t="str">
        <f>IFERROR(__xludf.DUMMYFUNCTION("GOOGLETRANSLATE(C824, ""en"", ""no"")"),"Vedlegg")</f>
        <v>Vedlegg</v>
      </c>
      <c r="Y824" s="1" t="s">
        <v>17154</v>
      </c>
      <c r="Z824" s="1" t="s">
        <v>17155</v>
      </c>
      <c r="AA824" s="7" t="str">
        <f>IFERROR(__xludf.DUMMYFUNCTION("GOOGLETRANSLATE(C824, ""en"", ""ro"")"),"Atașamente")</f>
        <v>Atașamente</v>
      </c>
      <c r="AB824" s="1" t="s">
        <v>17156</v>
      </c>
      <c r="AC824" s="7" t="str">
        <f>IFERROR(__xludf.DUMMYFUNCTION("GOOGLETRANSLATE(C824, ""en"", ""sk"")"),"Prídavné zariadenia")</f>
        <v>Prídavné zariadenia</v>
      </c>
      <c r="AD824" s="6" t="s">
        <v>132</v>
      </c>
      <c r="AE824" s="1" t="s">
        <v>17157</v>
      </c>
      <c r="AF824" s="1" t="s">
        <v>17158</v>
      </c>
      <c r="AG824" s="6" t="s">
        <v>132</v>
      </c>
      <c r="AH824" s="7" t="str">
        <f>IFERROR(__xludf.DUMMYFUNCTION("GOOGLETRANSLATE(C824, ""en"", ""tr"")"),"Ataşmanlar")</f>
        <v>Ataşmanlar</v>
      </c>
      <c r="AI824" s="6" t="s">
        <v>17159</v>
      </c>
      <c r="AJ824" s="6" t="s">
        <v>17160</v>
      </c>
      <c r="AK824" s="7" t="str">
        <f>IFERROR(__xludf.DUMMYFUNCTION("GOOGLETRANSLATE(C824, ""en"", ""zh"")"),"附件")</f>
        <v>附件</v>
      </c>
      <c r="AL824" s="6" t="s">
        <v>17161</v>
      </c>
    </row>
    <row r="825" ht="15.75" hidden="1" customHeight="1">
      <c r="A825" s="1" t="s">
        <v>38</v>
      </c>
      <c r="B825" s="1" t="s">
        <v>17162</v>
      </c>
      <c r="C825" s="1" t="s">
        <v>17163</v>
      </c>
      <c r="D825" s="8" t="s">
        <v>17164</v>
      </c>
      <c r="E825" s="1" t="s">
        <v>17165</v>
      </c>
      <c r="F825" s="6" t="s">
        <v>17166</v>
      </c>
      <c r="G825" s="7" t="str">
        <f>IFERROR(__xludf.DUMMYFUNCTION("GOOGLETRANSLATE(C825, ""en"", ""cs"")"),"Člen")</f>
        <v>Člen</v>
      </c>
      <c r="H825" s="7" t="str">
        <f>IFERROR(__xludf.DUMMYFUNCTION("GOOGLETRANSLATE(C825, ""en"", ""da"")"),"Medlem")</f>
        <v>Medlem</v>
      </c>
      <c r="I825" s="1" t="s">
        <v>17167</v>
      </c>
      <c r="J825" s="6" t="s">
        <v>132</v>
      </c>
      <c r="K825" s="1" t="s">
        <v>17168</v>
      </c>
      <c r="L825" s="7" t="str">
        <f>IFERROR(__xludf.DUMMYFUNCTION("GOOGLETRANSLATE(C825, ""en"", ""fi"")"),"Jäsen")</f>
        <v>Jäsen</v>
      </c>
      <c r="M825" s="1" t="s">
        <v>17166</v>
      </c>
      <c r="N825" s="6" t="s">
        <v>17169</v>
      </c>
      <c r="O825" s="6" t="s">
        <v>132</v>
      </c>
      <c r="P825" s="1" t="s">
        <v>17170</v>
      </c>
      <c r="Q825" s="9" t="s">
        <v>17163</v>
      </c>
      <c r="R825" s="1" t="s">
        <v>17169</v>
      </c>
      <c r="S825" s="6" t="s">
        <v>132</v>
      </c>
      <c r="T825" s="1" t="s">
        <v>17171</v>
      </c>
      <c r="U825" s="1" t="s">
        <v>17172</v>
      </c>
      <c r="V825" s="7" t="str">
        <f>IFERROR(__xludf.DUMMYFUNCTION("GOOGLETRANSLATE(C825, ""en"", ""ms"")"),"Ahli")</f>
        <v>Ahli</v>
      </c>
      <c r="W825" s="1" t="s">
        <v>17173</v>
      </c>
      <c r="X825" s="7" t="str">
        <f>IFERROR(__xludf.DUMMYFUNCTION("GOOGLETRANSLATE(C825, ""en"", ""no"")"),"Medlem")</f>
        <v>Medlem</v>
      </c>
      <c r="Y825" s="1" t="s">
        <v>17174</v>
      </c>
      <c r="Z825" s="1" t="s">
        <v>17169</v>
      </c>
      <c r="AA825" s="7" t="str">
        <f>IFERROR(__xludf.DUMMYFUNCTION("GOOGLETRANSLATE(C825, ""en"", ""ro"")"),"Membru")</f>
        <v>Membru</v>
      </c>
      <c r="AB825" s="1" t="s">
        <v>17175</v>
      </c>
      <c r="AC825" s="1" t="s">
        <v>17176</v>
      </c>
      <c r="AD825" s="6" t="s">
        <v>132</v>
      </c>
      <c r="AE825" s="1" t="s">
        <v>17177</v>
      </c>
      <c r="AF825" s="1" t="s">
        <v>17178</v>
      </c>
      <c r="AG825" s="6" t="s">
        <v>132</v>
      </c>
      <c r="AH825" s="7" t="str">
        <f>IFERROR(__xludf.DUMMYFUNCTION("GOOGLETRANSLATE(C825, ""en"", ""tr"")"),"Üye")</f>
        <v>Üye</v>
      </c>
      <c r="AI825" s="6" t="s">
        <v>17179</v>
      </c>
      <c r="AJ825" s="6" t="s">
        <v>17180</v>
      </c>
      <c r="AK825" s="7" t="str">
        <f>IFERROR(__xludf.DUMMYFUNCTION("GOOGLETRANSLATE(C825, ""en"", ""zh"")"),"成员")</f>
        <v>成员</v>
      </c>
      <c r="AL825" s="6" t="s">
        <v>17181</v>
      </c>
    </row>
    <row r="826" ht="15.75" hidden="1" customHeight="1">
      <c r="A826" s="1" t="s">
        <v>38</v>
      </c>
      <c r="B826" s="1" t="s">
        <v>17182</v>
      </c>
      <c r="C826" s="1" t="s">
        <v>17183</v>
      </c>
      <c r="D826" s="8" t="s">
        <v>17184</v>
      </c>
      <c r="E826" s="1" t="s">
        <v>17185</v>
      </c>
      <c r="F826" s="6" t="s">
        <v>17186</v>
      </c>
      <c r="G826" s="7" t="str">
        <f>IFERROR(__xludf.DUMMYFUNCTION("GOOGLETRANSLATE(C826, ""en"", ""cs"")"),"Nové heslo")</f>
        <v>Nové heslo</v>
      </c>
      <c r="H826" s="7" t="str">
        <f>IFERROR(__xludf.DUMMYFUNCTION("GOOGLETRANSLATE(C826, ""en"", ""da"")"),"Nyt kodeord")</f>
        <v>Nyt kodeord</v>
      </c>
      <c r="I826" s="1" t="s">
        <v>17187</v>
      </c>
      <c r="J826" s="6" t="s">
        <v>132</v>
      </c>
      <c r="K826" s="1" t="s">
        <v>17188</v>
      </c>
      <c r="L826" s="7" t="str">
        <f>IFERROR(__xludf.DUMMYFUNCTION("GOOGLETRANSLATE(C826, ""en"", ""fi"")"),"Uusi salasana")</f>
        <v>Uusi salasana</v>
      </c>
      <c r="M826" s="1" t="s">
        <v>17189</v>
      </c>
      <c r="N826" s="6" t="s">
        <v>17190</v>
      </c>
      <c r="O826" s="6" t="s">
        <v>132</v>
      </c>
      <c r="P826" s="1" t="s">
        <v>17191</v>
      </c>
      <c r="Q826" s="9" t="s">
        <v>17192</v>
      </c>
      <c r="R826" s="1" t="s">
        <v>17193</v>
      </c>
      <c r="S826" s="6" t="s">
        <v>132</v>
      </c>
      <c r="T826" s="1" t="s">
        <v>17194</v>
      </c>
      <c r="U826" s="1" t="s">
        <v>17195</v>
      </c>
      <c r="V826" s="7" t="str">
        <f>IFERROR(__xludf.DUMMYFUNCTION("GOOGLETRANSLATE(C826, ""en"", ""ms"")"),"Kata laluan baharu")</f>
        <v>Kata laluan baharu</v>
      </c>
      <c r="W826" s="1" t="s">
        <v>17196</v>
      </c>
      <c r="X826" s="7" t="str">
        <f>IFERROR(__xludf.DUMMYFUNCTION("GOOGLETRANSLATE(C826, ""en"", ""no"")"),"Nytt passord")</f>
        <v>Nytt passord</v>
      </c>
      <c r="Y826" s="1" t="s">
        <v>17197</v>
      </c>
      <c r="Z826" s="1" t="s">
        <v>17198</v>
      </c>
      <c r="AA826" s="7" t="str">
        <f>IFERROR(__xludf.DUMMYFUNCTION("GOOGLETRANSLATE(C826, ""en"", ""ro"")"),"Parolă Nouă")</f>
        <v>Parolă Nouă</v>
      </c>
      <c r="AB826" s="1" t="s">
        <v>17199</v>
      </c>
      <c r="AC826" s="1" t="s">
        <v>17200</v>
      </c>
      <c r="AD826" s="6" t="s">
        <v>132</v>
      </c>
      <c r="AE826" s="1" t="s">
        <v>17201</v>
      </c>
      <c r="AF826" s="1" t="s">
        <v>17202</v>
      </c>
      <c r="AG826" s="6" t="s">
        <v>132</v>
      </c>
      <c r="AH826" s="7" t="str">
        <f>IFERROR(__xludf.DUMMYFUNCTION("GOOGLETRANSLATE(C826, ""en"", ""tr"")"),"Yeni Şifre")</f>
        <v>Yeni Şifre</v>
      </c>
      <c r="AI826" s="6" t="s">
        <v>17203</v>
      </c>
      <c r="AJ826" s="6" t="s">
        <v>17204</v>
      </c>
      <c r="AK826" s="7" t="str">
        <f>IFERROR(__xludf.DUMMYFUNCTION("GOOGLETRANSLATE(C826, ""en"", ""zh"")"),"新密码")</f>
        <v>新密码</v>
      </c>
      <c r="AL826" s="6" t="s">
        <v>17205</v>
      </c>
    </row>
    <row r="827" ht="15.75" hidden="1" customHeight="1">
      <c r="A827" s="1" t="s">
        <v>38</v>
      </c>
      <c r="B827" s="1" t="s">
        <v>17206</v>
      </c>
      <c r="C827" s="1" t="s">
        <v>17207</v>
      </c>
      <c r="D827" s="7" t="str">
        <f>IFERROR(__xludf.DUMMYFUNCTION("GOOGLETRANSLATE(C827, ""en"", ""ar"")"),"غينيا")</f>
        <v>غينيا</v>
      </c>
      <c r="E827" s="7" t="str">
        <f>IFERROR(__xludf.DUMMYFUNCTION("GOOGLETRANSLATE(C827, ""en"", ""bg"")"),"Гвинея")</f>
        <v>Гвинея</v>
      </c>
      <c r="F827" s="6" t="s">
        <v>132</v>
      </c>
      <c r="G827" s="7" t="str">
        <f>IFERROR(__xludf.DUMMYFUNCTION("GOOGLETRANSLATE(C827, ""en"", ""cs"")"),"Guinea")</f>
        <v>Guinea</v>
      </c>
      <c r="H827" s="7" t="str">
        <f>IFERROR(__xludf.DUMMYFUNCTION("GOOGLETRANSLATE(C827, ""en"", ""da"")"),"Guinea")</f>
        <v>Guinea</v>
      </c>
      <c r="I827" s="1" t="s">
        <v>17207</v>
      </c>
      <c r="J827" s="6" t="s">
        <v>132</v>
      </c>
      <c r="K827" s="1" t="s">
        <v>17207</v>
      </c>
      <c r="L827" s="7" t="str">
        <f>IFERROR(__xludf.DUMMYFUNCTION("GOOGLETRANSLATE(C827, ""en"", ""fi"")"),"Guinea")</f>
        <v>Guinea</v>
      </c>
      <c r="M827" s="1" t="s">
        <v>17208</v>
      </c>
      <c r="N827" s="6" t="s">
        <v>132</v>
      </c>
      <c r="O827" s="6" t="s">
        <v>132</v>
      </c>
      <c r="P827" s="1" t="s">
        <v>17207</v>
      </c>
      <c r="Q827" s="7" t="str">
        <f>IFERROR(__xludf.DUMMYFUNCTION("GOOGLETRANSLATE(C827, ""en"", ""in"")"),"Guinea")</f>
        <v>Guinea</v>
      </c>
      <c r="R827" s="7" t="str">
        <f>IFERROR(__xludf.DUMMYFUNCTION("GOOGLETRANSLATE(C827, ""en"", ""it"")"),"Guinea")</f>
        <v>Guinea</v>
      </c>
      <c r="S827" s="6" t="s">
        <v>132</v>
      </c>
      <c r="T827" s="7" t="str">
        <f>IFERROR(__xludf.DUMMYFUNCTION("GOOGLETRANSLATE(C827, ""en"", ""ja"")"),"ギニア")</f>
        <v>ギニア</v>
      </c>
      <c r="U827" s="7" t="str">
        <f>IFERROR(__xludf.DUMMYFUNCTION("GOOGLETRANSLATE(C827, ""en"", ""ko"")"),"기니")</f>
        <v>기니</v>
      </c>
      <c r="V827" s="7" t="str">
        <f>IFERROR(__xludf.DUMMYFUNCTION("GOOGLETRANSLATE(C827, ""en"", ""ms"")"),"Guinea.")</f>
        <v>Guinea.</v>
      </c>
      <c r="W827" s="7" t="str">
        <f>IFERROR(__xludf.DUMMYFUNCTION("GOOGLETRANSLATE(C827, ""en"", ""nl"")"),"Guinea")</f>
        <v>Guinea</v>
      </c>
      <c r="X827" s="7" t="str">
        <f>IFERROR(__xludf.DUMMYFUNCTION("GOOGLETRANSLATE(C827, ""en"", ""no"")"),"Guinea.")</f>
        <v>Guinea.</v>
      </c>
      <c r="Y827" s="7" t="str">
        <f>IFERROR(__xludf.DUMMYFUNCTION("GOOGLETRANSLATE(C827, ""en"", ""pl"")"),"Gwinea")</f>
        <v>Gwinea</v>
      </c>
      <c r="Z827" s="7" t="str">
        <f>IFERROR(__xludf.DUMMYFUNCTION("GOOGLETRANSLATE(C827, ""en"", ""pt"")"),"Guiné")</f>
        <v>Guiné</v>
      </c>
      <c r="AA827" s="7" t="str">
        <f>IFERROR(__xludf.DUMMYFUNCTION("GOOGLETRANSLATE(C827, ""en"", ""ro"")"),"Guineea")</f>
        <v>Guineea</v>
      </c>
      <c r="AB827" s="1" t="s">
        <v>17209</v>
      </c>
      <c r="AC827" s="7" t="str">
        <f>IFERROR(__xludf.DUMMYFUNCTION("GOOGLETRANSLATE(C827, ""en"", ""sk"")"),"Guinesa")</f>
        <v>Guinesa</v>
      </c>
      <c r="AD827" s="6" t="s">
        <v>132</v>
      </c>
      <c r="AE827" s="1" t="s">
        <v>17210</v>
      </c>
      <c r="AF827" s="7" t="str">
        <f>IFERROR(__xludf.DUMMYFUNCTION("GOOGLETRANSLATE(C827, ""en"", ""sv"")"),"Guinea")</f>
        <v>Guinea</v>
      </c>
      <c r="AG827" s="6" t="s">
        <v>132</v>
      </c>
      <c r="AH827" s="7" t="str">
        <f>IFERROR(__xludf.DUMMYFUNCTION("GOOGLETRANSLATE(C827, ""en"", ""tr"")"),"Gine")</f>
        <v>Gine</v>
      </c>
      <c r="AI827" s="6" t="s">
        <v>132</v>
      </c>
      <c r="AJ827" s="6" t="s">
        <v>132</v>
      </c>
      <c r="AK827" s="7" t="str">
        <f>IFERROR(__xludf.DUMMYFUNCTION("GOOGLETRANSLATE(C827, ""en"", ""zh"")"),"几内亚")</f>
        <v>几内亚</v>
      </c>
      <c r="AL827" s="6" t="s">
        <v>132</v>
      </c>
    </row>
    <row r="828" ht="15.75" hidden="1" customHeight="1">
      <c r="A828" s="1" t="s">
        <v>38</v>
      </c>
      <c r="B828" s="1" t="s">
        <v>17211</v>
      </c>
      <c r="C828" s="1" t="s">
        <v>17212</v>
      </c>
      <c r="D828" s="8" t="s">
        <v>17213</v>
      </c>
      <c r="E828" s="1" t="s">
        <v>17214</v>
      </c>
      <c r="F828" s="6" t="s">
        <v>17215</v>
      </c>
      <c r="G828" s="7" t="str">
        <f>IFERROR(__xludf.DUMMYFUNCTION("GOOGLETRANSLATE(C828, ""en"", ""cs"")"),"Server nebyl nalezen")</f>
        <v>Server nebyl nalezen</v>
      </c>
      <c r="H828" s="7" t="str">
        <f>IFERROR(__xludf.DUMMYFUNCTION("GOOGLETRANSLATE(C828, ""en"", ""da"")"),"Server ikke fundet")</f>
        <v>Server ikke fundet</v>
      </c>
      <c r="I828" s="1" t="s">
        <v>17216</v>
      </c>
      <c r="J828" s="6" t="s">
        <v>132</v>
      </c>
      <c r="K828" s="1" t="s">
        <v>17217</v>
      </c>
      <c r="L828" s="7" t="str">
        <f>IFERROR(__xludf.DUMMYFUNCTION("GOOGLETRANSLATE(C828, ""en"", ""fi"")"),"Palvelinta ei löydy")</f>
        <v>Palvelinta ei löydy</v>
      </c>
      <c r="M828" s="1" t="s">
        <v>17218</v>
      </c>
      <c r="N828" s="6" t="s">
        <v>17219</v>
      </c>
      <c r="O828" s="6" t="s">
        <v>132</v>
      </c>
      <c r="P828" s="1" t="s">
        <v>17220</v>
      </c>
      <c r="Q828" s="9" t="s">
        <v>17221</v>
      </c>
      <c r="R828" s="1" t="s">
        <v>17222</v>
      </c>
      <c r="S828" s="6" t="s">
        <v>132</v>
      </c>
      <c r="T828" s="1" t="s">
        <v>17223</v>
      </c>
      <c r="U828" s="1" t="s">
        <v>17224</v>
      </c>
      <c r="V828" s="7" t="str">
        <f>IFERROR(__xludf.DUMMYFUNCTION("GOOGLETRANSLATE(C828, ""en"", ""ms"")"),"Server tidak dijumpai")</f>
        <v>Server tidak dijumpai</v>
      </c>
      <c r="W828" s="1" t="s">
        <v>17225</v>
      </c>
      <c r="X828" s="7" t="str">
        <f>IFERROR(__xludf.DUMMYFUNCTION("GOOGLETRANSLATE(C828, ""en"", ""no"")"),"Server ikke funnet")</f>
        <v>Server ikke funnet</v>
      </c>
      <c r="Y828" s="1" t="s">
        <v>17226</v>
      </c>
      <c r="Z828" s="1" t="s">
        <v>17227</v>
      </c>
      <c r="AA828" s="7" t="str">
        <f>IFERROR(__xludf.DUMMYFUNCTION("GOOGLETRANSLATE(C828, ""en"", ""ro"")"),"Serverul nu a fost gasit")</f>
        <v>Serverul nu a fost gasit</v>
      </c>
      <c r="AB828" s="1" t="s">
        <v>17228</v>
      </c>
      <c r="AC828" s="1" t="s">
        <v>17229</v>
      </c>
      <c r="AD828" s="6" t="s">
        <v>132</v>
      </c>
      <c r="AE828" s="1" t="s">
        <v>17230</v>
      </c>
      <c r="AF828" s="1" t="s">
        <v>17231</v>
      </c>
      <c r="AG828" s="6" t="s">
        <v>132</v>
      </c>
      <c r="AH828" s="7" t="str">
        <f>IFERROR(__xludf.DUMMYFUNCTION("GOOGLETRANSLATE(C828, ""en"", ""tr"")"),"Sunucu bulunamadı")</f>
        <v>Sunucu bulunamadı</v>
      </c>
      <c r="AI828" s="6" t="s">
        <v>17232</v>
      </c>
      <c r="AJ828" s="6" t="s">
        <v>17233</v>
      </c>
      <c r="AK828" s="7" t="str">
        <f>IFERROR(__xludf.DUMMYFUNCTION("GOOGLETRANSLATE(C828, ""en"", ""zh"")"),"找不到服务器")</f>
        <v>找不到服务器</v>
      </c>
      <c r="AL828" s="6" t="s">
        <v>17234</v>
      </c>
    </row>
    <row r="829" ht="15.75" hidden="1" customHeight="1">
      <c r="A829" s="1" t="s">
        <v>38</v>
      </c>
      <c r="B829" s="1" t="s">
        <v>17235</v>
      </c>
      <c r="C829" s="1" t="s">
        <v>6246</v>
      </c>
      <c r="D829" s="7" t="str">
        <f>IFERROR(__xludf.DUMMYFUNCTION("GOOGLETRANSLATE(C829, ""en"", ""ar"")"),"غير متصل على الانترنت")</f>
        <v>غير متصل على الانترنت</v>
      </c>
      <c r="E829" s="7" t="str">
        <f>IFERROR(__xludf.DUMMYFUNCTION("GOOGLETRANSLATE(C829, ""en"", ""bg"")"),"Извън линия")</f>
        <v>Извън линия</v>
      </c>
      <c r="F829" s="6" t="s">
        <v>132</v>
      </c>
      <c r="G829" s="7" t="str">
        <f>IFERROR(__xludf.DUMMYFUNCTION("GOOGLETRANSLATE(C829, ""en"", ""cs"")"),"Offline.")</f>
        <v>Offline.</v>
      </c>
      <c r="H829" s="7" t="str">
        <f>IFERROR(__xludf.DUMMYFUNCTION("GOOGLETRANSLATE(C829, ""en"", ""da"")"),"Offline.")</f>
        <v>Offline.</v>
      </c>
      <c r="I829" s="1" t="s">
        <v>6246</v>
      </c>
      <c r="J829" s="6" t="s">
        <v>132</v>
      </c>
      <c r="K829" s="1" t="s">
        <v>6246</v>
      </c>
      <c r="L829" s="7" t="str">
        <f>IFERROR(__xludf.DUMMYFUNCTION("GOOGLETRANSLATE(C829, ""en"", ""fi"")"),"Offline")</f>
        <v>Offline</v>
      </c>
      <c r="M829" s="1" t="s">
        <v>12995</v>
      </c>
      <c r="N829" s="6" t="s">
        <v>132</v>
      </c>
      <c r="O829" s="6" t="s">
        <v>132</v>
      </c>
      <c r="P829" s="1" t="s">
        <v>6246</v>
      </c>
      <c r="Q829" s="7" t="str">
        <f>IFERROR(__xludf.DUMMYFUNCTION("GOOGLETRANSLATE(C829, ""en"", ""in"")"),"Offline.")</f>
        <v>Offline.</v>
      </c>
      <c r="R829" s="7" t="str">
        <f>IFERROR(__xludf.DUMMYFUNCTION("GOOGLETRANSLATE(C829, ""en"", ""it"")"),"disconnesso")</f>
        <v>disconnesso</v>
      </c>
      <c r="S829" s="6" t="s">
        <v>132</v>
      </c>
      <c r="T829" s="7" t="str">
        <f>IFERROR(__xludf.DUMMYFUNCTION("GOOGLETRANSLATE(C829, ""en"", ""ja"")"),"オフライン")</f>
        <v>オフライン</v>
      </c>
      <c r="U829" s="7" t="str">
        <f>IFERROR(__xludf.DUMMYFUNCTION("GOOGLETRANSLATE(C829, ""en"", ""ko"")"),"오프라인")</f>
        <v>오프라인</v>
      </c>
      <c r="V829" s="7" t="str">
        <f>IFERROR(__xludf.DUMMYFUNCTION("GOOGLETRANSLATE(C829, ""en"", ""ms"")"),"Offline")</f>
        <v>Offline</v>
      </c>
      <c r="W829" s="7" t="str">
        <f>IFERROR(__xludf.DUMMYFUNCTION("GOOGLETRANSLATE(C829, ""en"", ""nl"")"),"Offline")</f>
        <v>Offline</v>
      </c>
      <c r="X829" s="7" t="str">
        <f>IFERROR(__xludf.DUMMYFUNCTION("GOOGLETRANSLATE(C829, ""en"", ""no"")"),"Offline.")</f>
        <v>Offline.</v>
      </c>
      <c r="Y829" s="7" t="str">
        <f>IFERROR(__xludf.DUMMYFUNCTION("GOOGLETRANSLATE(C829, ""en"", ""pl"")"),"Offline.")</f>
        <v>Offline.</v>
      </c>
      <c r="Z829" s="7" t="str">
        <f>IFERROR(__xludf.DUMMYFUNCTION("GOOGLETRANSLATE(C829, ""en"", ""pt"")"),"desligada")</f>
        <v>desligada</v>
      </c>
      <c r="AA829" s="7" t="str">
        <f>IFERROR(__xludf.DUMMYFUNCTION("GOOGLETRANSLATE(C829, ""en"", ""ro"")"),"Deconectat")</f>
        <v>Deconectat</v>
      </c>
      <c r="AB829" s="1" t="s">
        <v>17236</v>
      </c>
      <c r="AC829" s="7" t="str">
        <f>IFERROR(__xludf.DUMMYFUNCTION("GOOGLETRANSLATE(C829, ""en"", ""sk"")"),"V režime offline")</f>
        <v>V režime offline</v>
      </c>
      <c r="AD829" s="6" t="s">
        <v>132</v>
      </c>
      <c r="AE829" s="1" t="s">
        <v>17237</v>
      </c>
      <c r="AF829" s="7" t="str">
        <f>IFERROR(__xludf.DUMMYFUNCTION("GOOGLETRANSLATE(C829, ""en"", ""sv"")"),"Off-line")</f>
        <v>Off-line</v>
      </c>
      <c r="AG829" s="6" t="s">
        <v>132</v>
      </c>
      <c r="AH829" s="7" t="str">
        <f>IFERROR(__xludf.DUMMYFUNCTION("GOOGLETRANSLATE(C829, ""en"", ""tr"")"),"Çevrimdışı")</f>
        <v>Çevrimdışı</v>
      </c>
      <c r="AI829" s="6" t="s">
        <v>132</v>
      </c>
      <c r="AJ829" s="6" t="s">
        <v>132</v>
      </c>
      <c r="AK829" s="7" t="str">
        <f>IFERROR(__xludf.DUMMYFUNCTION("GOOGLETRANSLATE(C829, ""en"", ""zh"")"),"离线")</f>
        <v>离线</v>
      </c>
      <c r="AL829" s="6" t="s">
        <v>132</v>
      </c>
    </row>
    <row r="830" ht="15.75" hidden="1" customHeight="1">
      <c r="A830" s="1" t="s">
        <v>38</v>
      </c>
      <c r="B830" s="1" t="s">
        <v>17238</v>
      </c>
      <c r="C830" s="1" t="s">
        <v>17239</v>
      </c>
      <c r="D830" s="7" t="str">
        <f>IFERROR(__xludf.DUMMYFUNCTION("GOOGLETRANSLATE(C830, ""en"", ""ar"")"),"رسالة دردشة جديدة")</f>
        <v>رسالة دردشة جديدة</v>
      </c>
      <c r="E830" s="7" t="str">
        <f>IFERROR(__xludf.DUMMYFUNCTION("GOOGLETRANSLATE(C830, ""en"", ""bg"")"),"Ново съобщение за чат")</f>
        <v>Ново съобщение за чат</v>
      </c>
      <c r="F830" s="6" t="s">
        <v>132</v>
      </c>
      <c r="G830" s="7" t="str">
        <f>IFERROR(__xludf.DUMMYFUNCTION("GOOGLETRANSLATE(C830, ""en"", ""cs"")"),"Nový chatová zpráva")</f>
        <v>Nový chatová zpráva</v>
      </c>
      <c r="H830" s="7" t="str">
        <f>IFERROR(__xludf.DUMMYFUNCTION("GOOGLETRANSLATE(C830, ""en"", ""da"")"),"Ny chatbesked")</f>
        <v>Ny chatbesked</v>
      </c>
      <c r="I830" s="7" t="str">
        <f>IFERROR(__xludf.DUMMYFUNCTION("GOOGLETRANSLATE(C830, ""en"", ""de"")"),"Neue Chat-Nachricht")</f>
        <v>Neue Chat-Nachricht</v>
      </c>
      <c r="J830" s="6" t="s">
        <v>132</v>
      </c>
      <c r="K830" s="7" t="str">
        <f>IFERROR(__xludf.DUMMYFUNCTION("GOOGLETRANSLATE(C830, ""en"", ""es"")"),"Nuevo mensaje de chat")</f>
        <v>Nuevo mensaje de chat</v>
      </c>
      <c r="L830" s="7" t="str">
        <f>IFERROR(__xludf.DUMMYFUNCTION("GOOGLETRANSLATE(C830, ""en"", ""fi"")"),"Uusi chat-viesti")</f>
        <v>Uusi chat-viesti</v>
      </c>
      <c r="M830" s="7" t="str">
        <f>IFERROR(__xludf.DUMMYFUNCTION("GOOGLETRANSLATE(C830, ""en"", ""fr"")"),"Nouveau message de discussion")</f>
        <v>Nouveau message de discussion</v>
      </c>
      <c r="N830" s="6" t="s">
        <v>132</v>
      </c>
      <c r="O830" s="6" t="s">
        <v>132</v>
      </c>
      <c r="P830" s="7" t="str">
        <f>IFERROR(__xludf.DUMMYFUNCTION("GOOGLETRANSLATE(C830, ""en"", ""hu"")"),"Új csevegési üzenet")</f>
        <v>Új csevegési üzenet</v>
      </c>
      <c r="Q830" s="7" t="str">
        <f>IFERROR(__xludf.DUMMYFUNCTION("GOOGLETRANSLATE(C830, ""en"", ""in"")"),"Pesan obrolan baru")</f>
        <v>Pesan obrolan baru</v>
      </c>
      <c r="R830" s="7" t="str">
        <f>IFERROR(__xludf.DUMMYFUNCTION("GOOGLETRANSLATE(C830, ""en"", ""it"")"),"Nuovo messaggio di chat.")</f>
        <v>Nuovo messaggio di chat.</v>
      </c>
      <c r="S830" s="6" t="s">
        <v>132</v>
      </c>
      <c r="T830" s="7" t="str">
        <f>IFERROR(__xludf.DUMMYFUNCTION("GOOGLETRANSLATE(C830, ""en"", ""ja"")"),"新しいチャットメッセージ")</f>
        <v>新しいチャットメッセージ</v>
      </c>
      <c r="U830" s="7" t="str">
        <f>IFERROR(__xludf.DUMMYFUNCTION("GOOGLETRANSLATE(C830, ""en"", ""ko"")"),"새로운 채팅 메시지")</f>
        <v>새로운 채팅 메시지</v>
      </c>
      <c r="V830" s="7" t="str">
        <f>IFERROR(__xludf.DUMMYFUNCTION("GOOGLETRANSLATE(C830, ""en"", ""ms"")"),"Mesej sembang baru.")</f>
        <v>Mesej sembang baru.</v>
      </c>
      <c r="W830" s="7" t="str">
        <f>IFERROR(__xludf.DUMMYFUNCTION("GOOGLETRANSLATE(C830, ""en"", ""nl"")"),"Nieuw chatbericht")</f>
        <v>Nieuw chatbericht</v>
      </c>
      <c r="X830" s="7" t="str">
        <f>IFERROR(__xludf.DUMMYFUNCTION("GOOGLETRANSLATE(C830, ""en"", ""no"")"),"Ny chatmelding")</f>
        <v>Ny chatmelding</v>
      </c>
      <c r="Y830" s="7" t="str">
        <f>IFERROR(__xludf.DUMMYFUNCTION("GOOGLETRANSLATE(C830, ""en"", ""pl"")"),"Nowa wiadomość czatu.")</f>
        <v>Nowa wiadomość czatu.</v>
      </c>
      <c r="Z830" s="7" t="str">
        <f>IFERROR(__xludf.DUMMYFUNCTION("GOOGLETRANSLATE(C830, ""en"", ""pt"")"),"Nova mensagem de bate-papo.")</f>
        <v>Nova mensagem de bate-papo.</v>
      </c>
      <c r="AA830" s="7" t="str">
        <f>IFERROR(__xludf.DUMMYFUNCTION("GOOGLETRANSLATE(C830, ""en"", ""ro"")"),"Mesaj de chat nou")</f>
        <v>Mesaj de chat nou</v>
      </c>
      <c r="AB830" s="7" t="str">
        <f>IFERROR(__xludf.DUMMYFUNCTION("GOOGLETRANSLATE(C830, ""en"", ""ru"")"),"Новое сообщение чата")</f>
        <v>Новое сообщение чата</v>
      </c>
      <c r="AC830" s="7" t="str">
        <f>IFERROR(__xludf.DUMMYFUNCTION("GOOGLETRANSLATE(C830, ""en"", ""sk"")"),"Nová správa chatu")</f>
        <v>Nová správa chatu</v>
      </c>
      <c r="AD830" s="6" t="s">
        <v>132</v>
      </c>
      <c r="AE830" s="7" t="str">
        <f>IFERROR(__xludf.DUMMYFUNCTION("GOOGLETRANSLATE(C830, ""en"", ""sr"")"),"Нова порука за ћаскање")</f>
        <v>Нова порука за ћаскање</v>
      </c>
      <c r="AF830" s="7" t="str">
        <f>IFERROR(__xludf.DUMMYFUNCTION("GOOGLETRANSLATE(C830, ""en"", ""sv"")"),"Nytt chattmeddelande")</f>
        <v>Nytt chattmeddelande</v>
      </c>
      <c r="AG830" s="6" t="s">
        <v>132</v>
      </c>
      <c r="AH830" s="7" t="str">
        <f>IFERROR(__xludf.DUMMYFUNCTION("GOOGLETRANSLATE(C830, ""en"", ""tr"")"),"Yeni Sohbet Mesajı")</f>
        <v>Yeni Sohbet Mesajı</v>
      </c>
      <c r="AI830" s="6" t="s">
        <v>132</v>
      </c>
      <c r="AJ830" s="6" t="s">
        <v>132</v>
      </c>
      <c r="AK830" s="7" t="str">
        <f>IFERROR(__xludf.DUMMYFUNCTION("GOOGLETRANSLATE(C830, ""en"", ""zh"")"),"新的聊天消息")</f>
        <v>新的聊天消息</v>
      </c>
      <c r="AL830" s="6" t="s">
        <v>132</v>
      </c>
    </row>
    <row r="831" ht="15.75" customHeight="1">
      <c r="A831" s="1" t="s">
        <v>127</v>
      </c>
      <c r="B831" s="1" t="s">
        <v>17240</v>
      </c>
      <c r="C831" s="1" t="s">
        <v>17241</v>
      </c>
      <c r="D831" s="8" t="s">
        <v>17242</v>
      </c>
      <c r="E831" s="1" t="s">
        <v>17243</v>
      </c>
      <c r="F831" s="6" t="s">
        <v>132</v>
      </c>
      <c r="G831" s="1" t="s">
        <v>17244</v>
      </c>
      <c r="H831" s="1" t="s">
        <v>17245</v>
      </c>
      <c r="I831" s="1" t="s">
        <v>17246</v>
      </c>
      <c r="J831" s="6" t="s">
        <v>17247</v>
      </c>
      <c r="K831" s="1" t="s">
        <v>17248</v>
      </c>
      <c r="L831" s="1" t="s">
        <v>17249</v>
      </c>
      <c r="M831" s="1" t="s">
        <v>17250</v>
      </c>
      <c r="N831" s="6" t="s">
        <v>132</v>
      </c>
      <c r="O831" s="6" t="s">
        <v>17251</v>
      </c>
      <c r="P831" s="1" t="s">
        <v>17252</v>
      </c>
      <c r="Q831" s="1" t="s">
        <v>17253</v>
      </c>
      <c r="R831" s="1" t="s">
        <v>17254</v>
      </c>
      <c r="S831" s="10" t="s">
        <v>17255</v>
      </c>
      <c r="T831" s="1" t="s">
        <v>17256</v>
      </c>
      <c r="U831" s="1" t="s">
        <v>17257</v>
      </c>
      <c r="V831" s="1" t="s">
        <v>17253</v>
      </c>
      <c r="W831" s="1" t="s">
        <v>17258</v>
      </c>
      <c r="X831" s="1" t="s">
        <v>17259</v>
      </c>
      <c r="Y831" s="1" t="s">
        <v>17260</v>
      </c>
      <c r="Z831" s="1" t="s">
        <v>17261</v>
      </c>
      <c r="AA831" s="1" t="s">
        <v>17262</v>
      </c>
      <c r="AB831" s="1" t="s">
        <v>17263</v>
      </c>
      <c r="AC831" s="1" t="s">
        <v>17264</v>
      </c>
      <c r="AD831" s="6" t="s">
        <v>17265</v>
      </c>
      <c r="AE831" s="1" t="s">
        <v>17266</v>
      </c>
      <c r="AF831" s="1" t="s">
        <v>17267</v>
      </c>
      <c r="AG831" s="6" t="s">
        <v>17268</v>
      </c>
      <c r="AH831" s="1" t="s">
        <v>17269</v>
      </c>
      <c r="AI831" s="6" t="s">
        <v>132</v>
      </c>
      <c r="AJ831" s="6" t="s">
        <v>17270</v>
      </c>
      <c r="AK831" s="1" t="s">
        <v>17271</v>
      </c>
      <c r="AL831" s="6" t="s">
        <v>132</v>
      </c>
    </row>
    <row r="832" ht="15.75" hidden="1" customHeight="1">
      <c r="A832" s="1" t="s">
        <v>16374</v>
      </c>
      <c r="B832" s="1" t="s">
        <v>17272</v>
      </c>
      <c r="C832" s="1" t="s">
        <v>17273</v>
      </c>
      <c r="D832" s="7" t="str">
        <f>IFERROR(__xludf.DUMMYFUNCTION("GOOGLETRANSLATE(C832, ""en"", ""ar"")"),"معدل على متجر التطبيقات")</f>
        <v>معدل على متجر التطبيقات</v>
      </c>
      <c r="E832" s="7" t="str">
        <f>IFERROR(__xludf.DUMMYFUNCTION("GOOGLETRANSLATE(C832, ""en"", ""bg"")"),"Оценете в App Store")</f>
        <v>Оценете в App Store</v>
      </c>
      <c r="F832" s="6" t="s">
        <v>132</v>
      </c>
      <c r="G832" s="7" t="str">
        <f>IFERROR(__xludf.DUMMYFUNCTION("GOOGLETRANSLATE(C832, ""en"", ""cs"")"),"Hodnotit u App Store")</f>
        <v>Hodnotit u App Store</v>
      </c>
      <c r="H832" s="7" t="str">
        <f>IFERROR(__xludf.DUMMYFUNCTION("GOOGLETRANSLATE(C832, ""en"", ""da"")"),"Vurder på App Store")</f>
        <v>Vurder på App Store</v>
      </c>
      <c r="I832" s="7" t="str">
        <f>IFERROR(__xludf.DUMMYFUNCTION("GOOGLETRANSLATE(C832, ""en"", ""de"")"),"Bewerten Sie den App Store")</f>
        <v>Bewerten Sie den App Store</v>
      </c>
      <c r="J832" s="6" t="s">
        <v>132</v>
      </c>
      <c r="K832" s="7" t="str">
        <f>IFERROR(__xludf.DUMMYFUNCTION("GOOGLETRANSLATE(C832, ""en"", ""es"")"),"Tarifa en App Store")</f>
        <v>Tarifa en App Store</v>
      </c>
      <c r="L832" s="7" t="str">
        <f>IFERROR(__xludf.DUMMYFUNCTION("GOOGLETRANSLATE(C832, ""en"", ""fi"")"),"Arvioi App Storesta")</f>
        <v>Arvioi App Storesta</v>
      </c>
      <c r="M832" s="7" t="str">
        <f>IFERROR(__xludf.DUMMYFUNCTION("GOOGLETRANSLATE(C832, ""en"", ""fr"")"),"Tarif sur App Store")</f>
        <v>Tarif sur App Store</v>
      </c>
      <c r="N832" s="6" t="s">
        <v>132</v>
      </c>
      <c r="O832" s="6" t="s">
        <v>132</v>
      </c>
      <c r="P832" s="7" t="str">
        <f>IFERROR(__xludf.DUMMYFUNCTION("GOOGLETRANSLATE(C832, ""en"", ""hu"")"),"Értékelés az App Store-on")</f>
        <v>Értékelés az App Store-on</v>
      </c>
      <c r="Q832" s="7" t="str">
        <f>IFERROR(__xludf.DUMMYFUNCTION("GOOGLETRANSLATE(C832, ""en"", ""in"")"),"Nilai di App Store")</f>
        <v>Nilai di App Store</v>
      </c>
      <c r="R832" s="7" t="str">
        <f>IFERROR(__xludf.DUMMYFUNCTION("GOOGLETRANSLATE(C832, ""en"", ""it"")"),"Vota su App Store")</f>
        <v>Vota su App Store</v>
      </c>
      <c r="S832" s="6" t="s">
        <v>132</v>
      </c>
      <c r="T832" s="7" t="str">
        <f>IFERROR(__xludf.DUMMYFUNCTION("GOOGLETRANSLATE(C832, ""en"", ""ja"")"),"App Storeの料金")</f>
        <v>App Storeの料金</v>
      </c>
      <c r="U832" s="7" t="str">
        <f>IFERROR(__xludf.DUMMYFUNCTION("GOOGLETRANSLATE(C832, ""en"", ""ko"")"),"앱 스토어에서 비율")</f>
        <v>앱 스토어에서 비율</v>
      </c>
      <c r="V832" s="7" t="str">
        <f>IFERROR(__xludf.DUMMYFUNCTION("GOOGLETRANSLATE(C832, ""en"", ""ms"")"),"Kadar di App Store")</f>
        <v>Kadar di App Store</v>
      </c>
      <c r="W832" s="7" t="str">
        <f>IFERROR(__xludf.DUMMYFUNCTION("GOOGLETRANSLATE(C832, ""en"", ""nl"")"),"Prijs op App Store")</f>
        <v>Prijs op App Store</v>
      </c>
      <c r="X832" s="7" t="str">
        <f>IFERROR(__xludf.DUMMYFUNCTION("GOOGLETRANSLATE(C832, ""en"", ""no"")"),"Ranger på App Store")</f>
        <v>Ranger på App Store</v>
      </c>
      <c r="Y832" s="7" t="str">
        <f>IFERROR(__xludf.DUMMYFUNCTION("GOOGLETRANSLATE(C832, ""en"", ""pl"")"),"Oceń w App Store")</f>
        <v>Oceń w App Store</v>
      </c>
      <c r="Z832" s="7" t="str">
        <f>IFERROR(__xludf.DUMMYFUNCTION("GOOGLETRANSLATE(C832, ""en"", ""pt"")"),"Taxa na App Store")</f>
        <v>Taxa na App Store</v>
      </c>
      <c r="AA832" s="7" t="str">
        <f>IFERROR(__xludf.DUMMYFUNCTION("GOOGLETRANSLATE(C832, ""en"", ""ro"")"),"Rata pe App Store")</f>
        <v>Rata pe App Store</v>
      </c>
      <c r="AB832" s="7" t="str">
        <f>IFERROR(__xludf.DUMMYFUNCTION("GOOGLETRANSLATE(C832, ""en"", ""ru"")"),"Скорость на App Store")</f>
        <v>Скорость на App Store</v>
      </c>
      <c r="AC832" s="7" t="str">
        <f>IFERROR(__xludf.DUMMYFUNCTION("GOOGLETRANSLATE(C832, ""en"", ""sk"")"),"Cena na App Store")</f>
        <v>Cena na App Store</v>
      </c>
      <c r="AD832" s="6" t="s">
        <v>132</v>
      </c>
      <c r="AE832" s="7" t="str">
        <f>IFERROR(__xludf.DUMMYFUNCTION("GOOGLETRANSLATE(C832, ""en"", ""sr"")"),"Оцените на Апп Сторе-у")</f>
        <v>Оцените на Апп Сторе-у</v>
      </c>
      <c r="AF832" s="7" t="str">
        <f>IFERROR(__xludf.DUMMYFUNCTION("GOOGLETRANSLATE(C832, ""en"", ""sv"")"),"Betygsätt på App Store")</f>
        <v>Betygsätt på App Store</v>
      </c>
      <c r="AG832" s="6" t="s">
        <v>132</v>
      </c>
      <c r="AH832" s="13" t="s">
        <v>17274</v>
      </c>
      <c r="AI832" s="6" t="s">
        <v>132</v>
      </c>
      <c r="AJ832" s="6" t="s">
        <v>132</v>
      </c>
      <c r="AK832" s="7" t="str">
        <f>IFERROR(__xludf.DUMMYFUNCTION("GOOGLETRANSLATE(C832, ""en"", ""zh"")"),"应用商店的费率")</f>
        <v>应用商店的费率</v>
      </c>
      <c r="AL832" s="6" t="s">
        <v>132</v>
      </c>
    </row>
    <row r="833" ht="15.75" customHeight="1">
      <c r="A833" s="1" t="s">
        <v>127</v>
      </c>
      <c r="B833" s="1" t="s">
        <v>17275</v>
      </c>
      <c r="C833" s="1" t="s">
        <v>17276</v>
      </c>
      <c r="D833" s="8" t="s">
        <v>17277</v>
      </c>
      <c r="E833" s="1" t="s">
        <v>17278</v>
      </c>
      <c r="F833" s="6" t="s">
        <v>132</v>
      </c>
      <c r="G833" s="1" t="s">
        <v>17279</v>
      </c>
      <c r="H833" s="1" t="s">
        <v>17280</v>
      </c>
      <c r="I833" s="1" t="s">
        <v>17281</v>
      </c>
      <c r="J833" s="6" t="s">
        <v>17282</v>
      </c>
      <c r="K833" s="1" t="s">
        <v>17283</v>
      </c>
      <c r="L833" s="1" t="s">
        <v>17284</v>
      </c>
      <c r="M833" s="1" t="s">
        <v>17285</v>
      </c>
      <c r="N833" s="6" t="s">
        <v>132</v>
      </c>
      <c r="O833" s="6" t="s">
        <v>17286</v>
      </c>
      <c r="P833" s="1" t="s">
        <v>17276</v>
      </c>
      <c r="Q833" s="1" t="s">
        <v>17287</v>
      </c>
      <c r="R833" s="1" t="s">
        <v>17288</v>
      </c>
      <c r="S833" s="10" t="s">
        <v>17289</v>
      </c>
      <c r="T833" s="1" t="s">
        <v>17290</v>
      </c>
      <c r="U833" s="1" t="s">
        <v>17291</v>
      </c>
      <c r="V833" s="1" t="s">
        <v>17292</v>
      </c>
      <c r="W833" s="1" t="s">
        <v>17293</v>
      </c>
      <c r="X833" s="1" t="s">
        <v>17280</v>
      </c>
      <c r="Y833" s="1" t="s">
        <v>17294</v>
      </c>
      <c r="Z833" s="1" t="s">
        <v>17295</v>
      </c>
      <c r="AA833" s="1" t="s">
        <v>17296</v>
      </c>
      <c r="AB833" s="1" t="s">
        <v>17297</v>
      </c>
      <c r="AC833" s="1" t="s">
        <v>17298</v>
      </c>
      <c r="AD833" s="6" t="s">
        <v>17299</v>
      </c>
      <c r="AE833" s="1" t="s">
        <v>17300</v>
      </c>
      <c r="AF833" s="1" t="s">
        <v>17301</v>
      </c>
      <c r="AG833" s="6" t="s">
        <v>17302</v>
      </c>
      <c r="AH833" s="1" t="s">
        <v>17303</v>
      </c>
      <c r="AI833" s="6" t="s">
        <v>132</v>
      </c>
      <c r="AJ833" s="6" t="s">
        <v>17304</v>
      </c>
      <c r="AK833" s="1" t="s">
        <v>17305</v>
      </c>
      <c r="AL833" s="6" t="s">
        <v>132</v>
      </c>
    </row>
    <row r="834" ht="15.75" customHeight="1">
      <c r="A834" s="1" t="s">
        <v>127</v>
      </c>
      <c r="B834" s="1" t="s">
        <v>17306</v>
      </c>
      <c r="C834" s="1" t="s">
        <v>17307</v>
      </c>
      <c r="D834" s="8" t="s">
        <v>17308</v>
      </c>
      <c r="E834" s="1" t="s">
        <v>17309</v>
      </c>
      <c r="F834" s="6" t="s">
        <v>132</v>
      </c>
      <c r="G834" s="1" t="s">
        <v>17310</v>
      </c>
      <c r="H834" s="1" t="s">
        <v>17311</v>
      </c>
      <c r="I834" s="1" t="s">
        <v>17312</v>
      </c>
      <c r="J834" s="6" t="s">
        <v>17313</v>
      </c>
      <c r="K834" s="1" t="s">
        <v>17314</v>
      </c>
      <c r="L834" s="1" t="s">
        <v>17315</v>
      </c>
      <c r="M834" s="1" t="s">
        <v>17316</v>
      </c>
      <c r="N834" s="6" t="s">
        <v>132</v>
      </c>
      <c r="O834" s="6" t="s">
        <v>17317</v>
      </c>
      <c r="P834" s="1" t="s">
        <v>17318</v>
      </c>
      <c r="Q834" s="1" t="s">
        <v>17319</v>
      </c>
      <c r="R834" s="1" t="s">
        <v>17320</v>
      </c>
      <c r="S834" s="10" t="s">
        <v>17321</v>
      </c>
      <c r="T834" s="1" t="s">
        <v>17322</v>
      </c>
      <c r="U834" s="1" t="s">
        <v>17323</v>
      </c>
      <c r="V834" s="1" t="s">
        <v>17324</v>
      </c>
      <c r="W834" s="1" t="s">
        <v>17325</v>
      </c>
      <c r="X834" s="1" t="s">
        <v>17326</v>
      </c>
      <c r="Y834" s="1" t="s">
        <v>17327</v>
      </c>
      <c r="Z834" s="1" t="s">
        <v>17328</v>
      </c>
      <c r="AA834" s="1" t="s">
        <v>17329</v>
      </c>
      <c r="AB834" s="1" t="s">
        <v>17330</v>
      </c>
      <c r="AC834" s="1" t="s">
        <v>17331</v>
      </c>
      <c r="AD834" s="6" t="s">
        <v>17332</v>
      </c>
      <c r="AE834" s="1" t="s">
        <v>17333</v>
      </c>
      <c r="AF834" s="1" t="s">
        <v>17334</v>
      </c>
      <c r="AG834" s="6" t="s">
        <v>17335</v>
      </c>
      <c r="AH834" s="1" t="s">
        <v>17336</v>
      </c>
      <c r="AI834" s="6" t="s">
        <v>132</v>
      </c>
      <c r="AJ834" s="6" t="s">
        <v>17337</v>
      </c>
      <c r="AK834" s="1" t="s">
        <v>17338</v>
      </c>
      <c r="AL834" s="6" t="s">
        <v>132</v>
      </c>
    </row>
    <row r="835" ht="15.75" hidden="1" customHeight="1">
      <c r="A835" s="1" t="s">
        <v>38</v>
      </c>
      <c r="B835" s="1" t="s">
        <v>17339</v>
      </c>
      <c r="C835" s="1" t="s">
        <v>17340</v>
      </c>
      <c r="D835" s="8" t="s">
        <v>17341</v>
      </c>
      <c r="E835" s="1" t="s">
        <v>17342</v>
      </c>
      <c r="F835" s="6" t="s">
        <v>17343</v>
      </c>
      <c r="G835" s="7" t="str">
        <f>IFERROR(__xludf.DUMMYFUNCTION("GOOGLETRANSLATE(C835, ""en"", ""cs"")"),"Kopírovat otisk prstu")</f>
        <v>Kopírovat otisk prstu</v>
      </c>
      <c r="H835" s="7" t="str">
        <f>IFERROR(__xludf.DUMMYFUNCTION("GOOGLETRANSLATE(C835, ""en"", ""da"")"),"Kopier fingeraftryk")</f>
        <v>Kopier fingeraftryk</v>
      </c>
      <c r="I835" s="1" t="s">
        <v>17344</v>
      </c>
      <c r="J835" s="6" t="s">
        <v>132</v>
      </c>
      <c r="K835" s="1" t="s">
        <v>17345</v>
      </c>
      <c r="L835" s="7" t="str">
        <f>IFERROR(__xludf.DUMMYFUNCTION("GOOGLETRANSLATE(C835, ""en"", ""fi"")"),"Kopioi sormenjälki")</f>
        <v>Kopioi sormenjälki</v>
      </c>
      <c r="M835" s="1" t="s">
        <v>17346</v>
      </c>
      <c r="N835" s="6" t="s">
        <v>17347</v>
      </c>
      <c r="O835" s="6" t="s">
        <v>132</v>
      </c>
      <c r="P835" s="1" t="s">
        <v>17348</v>
      </c>
      <c r="Q835" s="7" t="str">
        <f>IFERROR(__xludf.DUMMYFUNCTION("GOOGLETRANSLATE(C835, ""en"", ""in"")"),"Salin sidik jari")</f>
        <v>Salin sidik jari</v>
      </c>
      <c r="R835" s="1" t="s">
        <v>17349</v>
      </c>
      <c r="S835" s="6" t="s">
        <v>132</v>
      </c>
      <c r="T835" s="1" t="s">
        <v>17350</v>
      </c>
      <c r="U835" s="1" t="s">
        <v>17351</v>
      </c>
      <c r="V835" s="7" t="str">
        <f>IFERROR(__xludf.DUMMYFUNCTION("GOOGLETRANSLATE(C835, ""en"", ""ms"")"),"Salin cap jari")</f>
        <v>Salin cap jari</v>
      </c>
      <c r="W835" s="1" t="s">
        <v>17352</v>
      </c>
      <c r="X835" s="7" t="str">
        <f>IFERROR(__xludf.DUMMYFUNCTION("GOOGLETRANSLATE(C835, ""en"", ""no"")"),"Kopier fingeravtrykk")</f>
        <v>Kopier fingeravtrykk</v>
      </c>
      <c r="Y835" s="1" t="s">
        <v>17353</v>
      </c>
      <c r="Z835" s="7" t="str">
        <f>IFERROR(__xludf.DUMMYFUNCTION("GOOGLETRANSLATE(C835, ""en"", ""pt"")"),"Copie a impressão digital")</f>
        <v>Copie a impressão digital</v>
      </c>
      <c r="AA835" s="7" t="str">
        <f>IFERROR(__xludf.DUMMYFUNCTION("GOOGLETRANSLATE(C835, ""en"", ""ro"")"),"Copiați amprenta digitală")</f>
        <v>Copiați amprenta digitală</v>
      </c>
      <c r="AB835" s="1" t="s">
        <v>17354</v>
      </c>
      <c r="AC835" s="7" t="str">
        <f>IFERROR(__xludf.DUMMYFUNCTION("GOOGLETRANSLATE(C835, ""en"", ""sk"")"),"Kópia odtlačkov prstov")</f>
        <v>Kópia odtlačkov prstov</v>
      </c>
      <c r="AD835" s="6" t="s">
        <v>132</v>
      </c>
      <c r="AE835" s="1" t="s">
        <v>17355</v>
      </c>
      <c r="AF835" s="1" t="s">
        <v>17356</v>
      </c>
      <c r="AG835" s="6" t="s">
        <v>132</v>
      </c>
      <c r="AH835" s="7" t="str">
        <f>IFERROR(__xludf.DUMMYFUNCTION("GOOGLETRANSLATE(C835, ""en"", ""tr"")"),"Parmak izi kopyala")</f>
        <v>Parmak izi kopyala</v>
      </c>
      <c r="AI835" s="6" t="s">
        <v>17357</v>
      </c>
      <c r="AJ835" s="6" t="s">
        <v>132</v>
      </c>
      <c r="AK835" s="7" t="str">
        <f>IFERROR(__xludf.DUMMYFUNCTION("GOOGLETRANSLATE(C835, ""en"", ""zh"")"),"复制指纹")</f>
        <v>复制指纹</v>
      </c>
      <c r="AL835" s="6" t="s">
        <v>17358</v>
      </c>
    </row>
    <row r="836" ht="15.75" customHeight="1">
      <c r="A836" s="1" t="s">
        <v>127</v>
      </c>
      <c r="B836" s="1" t="s">
        <v>17359</v>
      </c>
      <c r="C836" s="1" t="s">
        <v>17360</v>
      </c>
      <c r="D836" s="8" t="s">
        <v>17361</v>
      </c>
      <c r="E836" s="1" t="s">
        <v>17360</v>
      </c>
      <c r="F836" s="6" t="s">
        <v>132</v>
      </c>
      <c r="G836" s="1" t="s">
        <v>17360</v>
      </c>
      <c r="H836" s="1" t="s">
        <v>17360</v>
      </c>
      <c r="I836" s="1" t="s">
        <v>17360</v>
      </c>
      <c r="J836" s="6" t="s">
        <v>17362</v>
      </c>
      <c r="K836" s="1" t="s">
        <v>17360</v>
      </c>
      <c r="L836" s="1" t="s">
        <v>17360</v>
      </c>
      <c r="M836" s="1" t="s">
        <v>17363</v>
      </c>
      <c r="N836" s="6" t="s">
        <v>132</v>
      </c>
      <c r="O836" s="6" t="s">
        <v>17364</v>
      </c>
      <c r="P836" s="1" t="s">
        <v>17360</v>
      </c>
      <c r="Q836" s="1" t="s">
        <v>17360</v>
      </c>
      <c r="R836" s="1" t="s">
        <v>17360</v>
      </c>
      <c r="S836" s="10" t="s">
        <v>17365</v>
      </c>
      <c r="T836" s="1" t="s">
        <v>17366</v>
      </c>
      <c r="U836" s="1" t="s">
        <v>17367</v>
      </c>
      <c r="V836" s="1" t="s">
        <v>17360</v>
      </c>
      <c r="W836" s="1" t="s">
        <v>17360</v>
      </c>
      <c r="X836" s="1" t="s">
        <v>17360</v>
      </c>
      <c r="Y836" s="1" t="s">
        <v>17360</v>
      </c>
      <c r="Z836" s="1" t="s">
        <v>17360</v>
      </c>
      <c r="AA836" s="1" t="s">
        <v>17360</v>
      </c>
      <c r="AB836" s="1" t="s">
        <v>17368</v>
      </c>
      <c r="AC836" s="1" t="s">
        <v>17360</v>
      </c>
      <c r="AD836" s="6" t="s">
        <v>17360</v>
      </c>
      <c r="AE836" s="1" t="s">
        <v>17360</v>
      </c>
      <c r="AF836" s="1" t="s">
        <v>17360</v>
      </c>
      <c r="AG836" s="6" t="s">
        <v>17360</v>
      </c>
      <c r="AH836" s="1" t="s">
        <v>17360</v>
      </c>
      <c r="AI836" s="6" t="s">
        <v>132</v>
      </c>
      <c r="AJ836" s="6" t="s">
        <v>17360</v>
      </c>
      <c r="AK836" s="1" t="s">
        <v>17360</v>
      </c>
      <c r="AL836" s="6" t="s">
        <v>132</v>
      </c>
    </row>
    <row r="837" ht="15.75" customHeight="1">
      <c r="A837" s="1" t="s">
        <v>127</v>
      </c>
      <c r="B837" s="1" t="s">
        <v>17369</v>
      </c>
      <c r="C837" s="1" t="s">
        <v>17370</v>
      </c>
      <c r="D837" s="8" t="s">
        <v>17371</v>
      </c>
      <c r="E837" s="1" t="s">
        <v>17372</v>
      </c>
      <c r="F837" s="6" t="s">
        <v>132</v>
      </c>
      <c r="G837" s="1" t="s">
        <v>17373</v>
      </c>
      <c r="H837" s="1" t="s">
        <v>17374</v>
      </c>
      <c r="I837" s="1" t="s">
        <v>17375</v>
      </c>
      <c r="J837" s="6" t="s">
        <v>17376</v>
      </c>
      <c r="K837" s="1" t="s">
        <v>17377</v>
      </c>
      <c r="L837" s="1" t="s">
        <v>17378</v>
      </c>
      <c r="M837" s="1" t="s">
        <v>17379</v>
      </c>
      <c r="N837" s="6" t="s">
        <v>132</v>
      </c>
      <c r="O837" s="6" t="s">
        <v>17380</v>
      </c>
      <c r="P837" s="1" t="s">
        <v>17381</v>
      </c>
      <c r="Q837" s="1" t="s">
        <v>17382</v>
      </c>
      <c r="R837" s="1" t="s">
        <v>17383</v>
      </c>
      <c r="S837" s="10" t="s">
        <v>17384</v>
      </c>
      <c r="T837" s="1" t="s">
        <v>17370</v>
      </c>
      <c r="U837" s="1" t="s">
        <v>17385</v>
      </c>
      <c r="V837" s="1" t="s">
        <v>17386</v>
      </c>
      <c r="W837" s="1" t="s">
        <v>17387</v>
      </c>
      <c r="X837" s="1" t="s">
        <v>17388</v>
      </c>
      <c r="Y837" s="1" t="s">
        <v>17389</v>
      </c>
      <c r="Z837" s="1" t="s">
        <v>17390</v>
      </c>
      <c r="AA837" s="1" t="s">
        <v>17391</v>
      </c>
      <c r="AB837" s="1" t="s">
        <v>17392</v>
      </c>
      <c r="AC837" s="1" t="s">
        <v>17393</v>
      </c>
      <c r="AD837" s="6" t="s">
        <v>17394</v>
      </c>
      <c r="AE837" s="1" t="s">
        <v>17395</v>
      </c>
      <c r="AF837" s="1" t="s">
        <v>17396</v>
      </c>
      <c r="AG837" s="6" t="s">
        <v>17397</v>
      </c>
      <c r="AH837" s="1" t="s">
        <v>17398</v>
      </c>
      <c r="AI837" s="6" t="s">
        <v>132</v>
      </c>
      <c r="AJ837" s="6" t="s">
        <v>17399</v>
      </c>
      <c r="AK837" s="1" t="s">
        <v>17400</v>
      </c>
      <c r="AL837" s="6" t="s">
        <v>132</v>
      </c>
    </row>
    <row r="838" ht="15.75" customHeight="1">
      <c r="A838" s="1" t="s">
        <v>127</v>
      </c>
      <c r="B838" s="1" t="s">
        <v>17401</v>
      </c>
      <c r="C838" s="1" t="s">
        <v>17402</v>
      </c>
      <c r="D838" s="8" t="s">
        <v>17403</v>
      </c>
      <c r="E838" s="1" t="s">
        <v>17404</v>
      </c>
      <c r="F838" s="6" t="s">
        <v>132</v>
      </c>
      <c r="G838" s="1" t="s">
        <v>17405</v>
      </c>
      <c r="H838" s="1" t="s">
        <v>17406</v>
      </c>
      <c r="I838" s="1" t="s">
        <v>17407</v>
      </c>
      <c r="J838" s="6" t="s">
        <v>17408</v>
      </c>
      <c r="K838" s="1" t="s">
        <v>2800</v>
      </c>
      <c r="L838" s="1" t="s">
        <v>2801</v>
      </c>
      <c r="M838" s="1" t="s">
        <v>2802</v>
      </c>
      <c r="N838" s="6" t="s">
        <v>132</v>
      </c>
      <c r="O838" s="6" t="s">
        <v>2803</v>
      </c>
      <c r="P838" s="1" t="s">
        <v>17409</v>
      </c>
      <c r="Q838" s="1" t="s">
        <v>17410</v>
      </c>
      <c r="R838" s="1" t="s">
        <v>3825</v>
      </c>
      <c r="S838" s="10" t="s">
        <v>17411</v>
      </c>
      <c r="T838" s="1" t="s">
        <v>2808</v>
      </c>
      <c r="U838" s="1" t="s">
        <v>2809</v>
      </c>
      <c r="V838" s="1" t="s">
        <v>17412</v>
      </c>
      <c r="W838" s="1" t="s">
        <v>17413</v>
      </c>
      <c r="X838" s="1" t="s">
        <v>17414</v>
      </c>
      <c r="Y838" s="1" t="s">
        <v>2813</v>
      </c>
      <c r="Z838" s="1" t="s">
        <v>2800</v>
      </c>
      <c r="AA838" s="1" t="s">
        <v>17415</v>
      </c>
      <c r="AB838" s="1" t="s">
        <v>2816</v>
      </c>
      <c r="AC838" s="1" t="s">
        <v>17416</v>
      </c>
      <c r="AD838" s="6" t="s">
        <v>17417</v>
      </c>
      <c r="AE838" s="1" t="s">
        <v>17418</v>
      </c>
      <c r="AF838" s="1" t="s">
        <v>17419</v>
      </c>
      <c r="AG838" s="6" t="s">
        <v>2821</v>
      </c>
      <c r="AH838" s="1" t="s">
        <v>17420</v>
      </c>
      <c r="AI838" s="6" t="s">
        <v>132</v>
      </c>
      <c r="AJ838" s="6" t="s">
        <v>17421</v>
      </c>
      <c r="AK838" s="1" t="s">
        <v>17422</v>
      </c>
      <c r="AL838" s="6" t="s">
        <v>17423</v>
      </c>
    </row>
    <row r="839" ht="15.75" customHeight="1">
      <c r="A839" s="1" t="s">
        <v>127</v>
      </c>
      <c r="B839" s="1" t="s">
        <v>17424</v>
      </c>
      <c r="C839" s="1" t="s">
        <v>17425</v>
      </c>
      <c r="D839" s="8" t="s">
        <v>17426</v>
      </c>
      <c r="E839" s="1" t="s">
        <v>17427</v>
      </c>
      <c r="F839" s="6" t="s">
        <v>132</v>
      </c>
      <c r="G839" s="1" t="s">
        <v>17428</v>
      </c>
      <c r="H839" s="1" t="s">
        <v>17429</v>
      </c>
      <c r="I839" s="1" t="s">
        <v>17430</v>
      </c>
      <c r="J839" s="6" t="s">
        <v>17431</v>
      </c>
      <c r="K839" s="1" t="s">
        <v>17432</v>
      </c>
      <c r="L839" s="1" t="s">
        <v>17433</v>
      </c>
      <c r="M839" s="1" t="s">
        <v>17434</v>
      </c>
      <c r="N839" s="6" t="s">
        <v>132</v>
      </c>
      <c r="O839" s="6" t="s">
        <v>17435</v>
      </c>
      <c r="P839" s="1" t="s">
        <v>17425</v>
      </c>
      <c r="Q839" s="1" t="s">
        <v>17436</v>
      </c>
      <c r="R839" s="1" t="s">
        <v>17437</v>
      </c>
      <c r="S839" s="10" t="s">
        <v>17438</v>
      </c>
      <c r="T839" s="1" t="s">
        <v>17439</v>
      </c>
      <c r="U839" s="1" t="s">
        <v>17440</v>
      </c>
      <c r="V839" s="1" t="s">
        <v>17441</v>
      </c>
      <c r="W839" s="1" t="s">
        <v>17442</v>
      </c>
      <c r="X839" s="1" t="s">
        <v>17443</v>
      </c>
      <c r="Y839" s="1" t="s">
        <v>17444</v>
      </c>
      <c r="Z839" s="1" t="s">
        <v>17445</v>
      </c>
      <c r="AA839" s="1" t="s">
        <v>17446</v>
      </c>
      <c r="AB839" s="1" t="s">
        <v>17447</v>
      </c>
      <c r="AC839" s="1" t="s">
        <v>17448</v>
      </c>
      <c r="AD839" s="6" t="s">
        <v>17449</v>
      </c>
      <c r="AE839" s="1" t="s">
        <v>17450</v>
      </c>
      <c r="AF839" s="1" t="s">
        <v>17451</v>
      </c>
      <c r="AG839" s="6" t="s">
        <v>17452</v>
      </c>
      <c r="AH839" s="1" t="s">
        <v>17453</v>
      </c>
      <c r="AI839" s="6" t="s">
        <v>132</v>
      </c>
      <c r="AJ839" s="6" t="s">
        <v>17454</v>
      </c>
      <c r="AK839" s="1" t="s">
        <v>17455</v>
      </c>
      <c r="AL839" s="6" t="s">
        <v>132</v>
      </c>
    </row>
    <row r="840" ht="15.75" customHeight="1">
      <c r="A840" s="1" t="s">
        <v>127</v>
      </c>
      <c r="B840" s="1" t="s">
        <v>17456</v>
      </c>
      <c r="C840" s="1" t="s">
        <v>17457</v>
      </c>
      <c r="D840" s="8" t="s">
        <v>17458</v>
      </c>
      <c r="E840" s="1" t="s">
        <v>17459</v>
      </c>
      <c r="F840" s="6" t="s">
        <v>132</v>
      </c>
      <c r="G840" s="1" t="s">
        <v>17460</v>
      </c>
      <c r="H840" s="1" t="s">
        <v>17461</v>
      </c>
      <c r="I840" s="1" t="s">
        <v>17462</v>
      </c>
      <c r="J840" s="6" t="s">
        <v>17457</v>
      </c>
      <c r="K840" s="1" t="s">
        <v>17463</v>
      </c>
      <c r="L840" s="1" t="s">
        <v>17464</v>
      </c>
      <c r="M840" s="1" t="s">
        <v>17465</v>
      </c>
      <c r="N840" s="6" t="s">
        <v>132</v>
      </c>
      <c r="O840" s="6" t="s">
        <v>17466</v>
      </c>
      <c r="P840" s="1" t="s">
        <v>17467</v>
      </c>
      <c r="Q840" s="1" t="s">
        <v>17468</v>
      </c>
      <c r="R840" s="1" t="s">
        <v>17469</v>
      </c>
      <c r="S840" s="10" t="s">
        <v>17470</v>
      </c>
      <c r="T840" s="1" t="s">
        <v>17471</v>
      </c>
      <c r="U840" s="1" t="s">
        <v>17472</v>
      </c>
      <c r="V840" s="1" t="s">
        <v>17468</v>
      </c>
      <c r="W840" s="1" t="s">
        <v>17473</v>
      </c>
      <c r="X840" s="1" t="s">
        <v>17474</v>
      </c>
      <c r="Y840" s="1" t="s">
        <v>17475</v>
      </c>
      <c r="Z840" s="1" t="s">
        <v>17476</v>
      </c>
      <c r="AA840" s="1" t="s">
        <v>17477</v>
      </c>
      <c r="AB840" s="1" t="s">
        <v>17478</v>
      </c>
      <c r="AC840" s="1" t="s">
        <v>17479</v>
      </c>
      <c r="AD840" s="6" t="s">
        <v>17480</v>
      </c>
      <c r="AE840" s="1" t="s">
        <v>17457</v>
      </c>
      <c r="AF840" s="1" t="s">
        <v>17481</v>
      </c>
      <c r="AG840" s="6" t="s">
        <v>17482</v>
      </c>
      <c r="AH840" s="1" t="s">
        <v>17483</v>
      </c>
      <c r="AI840" s="6" t="s">
        <v>132</v>
      </c>
      <c r="AJ840" s="6" t="s">
        <v>17484</v>
      </c>
      <c r="AK840" s="1" t="s">
        <v>17485</v>
      </c>
      <c r="AL840" s="6" t="s">
        <v>17486</v>
      </c>
    </row>
    <row r="841" ht="15.75" hidden="1" customHeight="1">
      <c r="A841" s="1" t="s">
        <v>38</v>
      </c>
      <c r="B841" s="1" t="s">
        <v>17487</v>
      </c>
      <c r="C841" s="1" t="s">
        <v>17488</v>
      </c>
      <c r="D841" s="8" t="s">
        <v>17489</v>
      </c>
      <c r="E841" s="1" t="s">
        <v>17490</v>
      </c>
      <c r="F841" s="6" t="s">
        <v>17491</v>
      </c>
      <c r="G841" s="7" t="str">
        <f>IFERROR(__xludf.DUMMYFUNCTION("GOOGLETRANSLATE(C841, ""en"", ""cs"")"),"Odebrat ze skupinového chatu")</f>
        <v>Odebrat ze skupinového chatu</v>
      </c>
      <c r="H841" s="7" t="str">
        <f>IFERROR(__xludf.DUMMYFUNCTION("GOOGLETRANSLATE(C841, ""en"", ""da"")"),"Fjern fra gruppe chat")</f>
        <v>Fjern fra gruppe chat</v>
      </c>
      <c r="I841" s="1" t="s">
        <v>17492</v>
      </c>
      <c r="J841" s="6" t="s">
        <v>132</v>
      </c>
      <c r="K841" s="1" t="s">
        <v>17493</v>
      </c>
      <c r="L841" s="7" t="str">
        <f>IFERROR(__xludf.DUMMYFUNCTION("GOOGLETRANSLATE(C841, ""en"", ""fi"")"),"Poista ryhmäkeskustelusta")</f>
        <v>Poista ryhmäkeskustelusta</v>
      </c>
      <c r="M841" s="1" t="s">
        <v>17494</v>
      </c>
      <c r="N841" s="6" t="s">
        <v>17495</v>
      </c>
      <c r="O841" s="6" t="s">
        <v>132</v>
      </c>
      <c r="P841" s="1" t="s">
        <v>17496</v>
      </c>
      <c r="Q841" s="7" t="str">
        <f>IFERROR(__xludf.DUMMYFUNCTION("GOOGLETRANSLATE(C841, ""en"", ""in"")"),"Hapus dari obrolan grup")</f>
        <v>Hapus dari obrolan grup</v>
      </c>
      <c r="R841" s="1" t="s">
        <v>17497</v>
      </c>
      <c r="S841" s="6" t="s">
        <v>132</v>
      </c>
      <c r="T841" s="7" t="str">
        <f>IFERROR(__xludf.DUMMYFUNCTION("GOOGLETRANSLATE(C841, ""en"", ""ja"")"),"グループチャットから削除します")</f>
        <v>グループチャットから削除します</v>
      </c>
      <c r="U841" s="7" t="str">
        <f>IFERROR(__xludf.DUMMYFUNCTION("GOOGLETRANSLATE(C841, ""en"", ""ko"")"),"그룹 채팅에서 제거하십시오")</f>
        <v>그룹 채팅에서 제거하십시오</v>
      </c>
      <c r="V841" s="7" t="str">
        <f>IFERROR(__xludf.DUMMYFUNCTION("GOOGLETRANSLATE(C841, ""en"", ""ms"")"),"Keluarkan dari sembang kumpulan")</f>
        <v>Keluarkan dari sembang kumpulan</v>
      </c>
      <c r="W841" s="1" t="s">
        <v>17498</v>
      </c>
      <c r="X841" s="7" t="str">
        <f>IFERROR(__xludf.DUMMYFUNCTION("GOOGLETRANSLATE(C841, ""en"", ""no"")"),"Fjern fra gruppe chat")</f>
        <v>Fjern fra gruppe chat</v>
      </c>
      <c r="Y841" s="1" t="s">
        <v>17499</v>
      </c>
      <c r="Z841" s="1" t="s">
        <v>17500</v>
      </c>
      <c r="AA841" s="7" t="str">
        <f>IFERROR(__xludf.DUMMYFUNCTION("GOOGLETRANSLATE(C841, ""en"", ""ro"")"),"Eliminați din chat-ul de grup")</f>
        <v>Eliminați din chat-ul de grup</v>
      </c>
      <c r="AB841" s="1" t="s">
        <v>17501</v>
      </c>
      <c r="AC841" s="7" t="str">
        <f>IFERROR(__xludf.DUMMYFUNCTION("GOOGLETRANSLATE(C841, ""en"", ""sk"")"),"Odstráňte zo skupiny Chat")</f>
        <v>Odstráňte zo skupiny Chat</v>
      </c>
      <c r="AD841" s="6" t="s">
        <v>132</v>
      </c>
      <c r="AE841" s="1" t="s">
        <v>17502</v>
      </c>
      <c r="AF841" s="7" t="str">
        <f>IFERROR(__xludf.DUMMYFUNCTION("GOOGLETRANSLATE(C841, ""en"", ""sv"")"),"Ta bort från gruppchatt")</f>
        <v>Ta bort från gruppchatt</v>
      </c>
      <c r="AG841" s="6" t="s">
        <v>132</v>
      </c>
      <c r="AH841" s="7" t="str">
        <f>IFERROR(__xludf.DUMMYFUNCTION("GOOGLETRANSLATE(C841, ""en"", ""tr"")"),"Grup sohbetinden kaldır")</f>
        <v>Grup sohbetinden kaldır</v>
      </c>
      <c r="AI841" s="6" t="s">
        <v>132</v>
      </c>
      <c r="AJ841" s="6" t="s">
        <v>132</v>
      </c>
      <c r="AK841" s="7" t="str">
        <f>IFERROR(__xludf.DUMMYFUNCTION("GOOGLETRANSLATE(C841, ""en"", ""zh"")"),"从组聊天中删除")</f>
        <v>从组聊天中删除</v>
      </c>
      <c r="AL841" s="6" t="s">
        <v>132</v>
      </c>
    </row>
    <row r="842" ht="15.75" customHeight="1">
      <c r="A842" s="1" t="s">
        <v>127</v>
      </c>
      <c r="B842" s="1" t="s">
        <v>17503</v>
      </c>
      <c r="C842" s="1" t="s">
        <v>17504</v>
      </c>
      <c r="D842" s="8" t="s">
        <v>17505</v>
      </c>
      <c r="E842" s="1" t="s">
        <v>17504</v>
      </c>
      <c r="F842" s="6" t="s">
        <v>132</v>
      </c>
      <c r="G842" s="1" t="s">
        <v>17506</v>
      </c>
      <c r="H842" s="1" t="s">
        <v>17504</v>
      </c>
      <c r="I842" s="1" t="s">
        <v>17507</v>
      </c>
      <c r="J842" s="6" t="s">
        <v>17504</v>
      </c>
      <c r="K842" s="1" t="s">
        <v>17508</v>
      </c>
      <c r="L842" s="1" t="s">
        <v>17504</v>
      </c>
      <c r="M842" s="1" t="s">
        <v>17509</v>
      </c>
      <c r="N842" s="6" t="s">
        <v>132</v>
      </c>
      <c r="O842" s="6" t="s">
        <v>17510</v>
      </c>
      <c r="P842" s="1" t="s">
        <v>17507</v>
      </c>
      <c r="Q842" s="1" t="s">
        <v>17511</v>
      </c>
      <c r="R842" s="1" t="s">
        <v>17504</v>
      </c>
      <c r="S842" s="6" t="s">
        <v>17504</v>
      </c>
      <c r="T842" s="1" t="s">
        <v>17512</v>
      </c>
      <c r="U842" s="1" t="s">
        <v>17513</v>
      </c>
      <c r="V842" s="1" t="s">
        <v>17504</v>
      </c>
      <c r="W842" s="1" t="s">
        <v>17514</v>
      </c>
      <c r="X842" s="1" t="s">
        <v>17515</v>
      </c>
      <c r="Y842" s="1" t="s">
        <v>17516</v>
      </c>
      <c r="Z842" s="1" t="s">
        <v>17517</v>
      </c>
      <c r="AA842" s="1" t="s">
        <v>17518</v>
      </c>
      <c r="AB842" s="1" t="s">
        <v>17519</v>
      </c>
      <c r="AC842" s="1" t="s">
        <v>17520</v>
      </c>
      <c r="AD842" s="6" t="s">
        <v>17504</v>
      </c>
      <c r="AE842" s="1" t="s">
        <v>17521</v>
      </c>
      <c r="AF842" s="1" t="s">
        <v>17504</v>
      </c>
      <c r="AG842" s="6" t="s">
        <v>17522</v>
      </c>
      <c r="AH842" s="1" t="s">
        <v>17504</v>
      </c>
      <c r="AI842" s="6" t="s">
        <v>132</v>
      </c>
      <c r="AJ842" s="6" t="s">
        <v>17523</v>
      </c>
      <c r="AK842" s="1" t="s">
        <v>17524</v>
      </c>
      <c r="AL842" s="6" t="s">
        <v>17525</v>
      </c>
    </row>
    <row r="843" ht="15.75" customHeight="1">
      <c r="A843" s="1" t="s">
        <v>127</v>
      </c>
      <c r="B843" s="1" t="s">
        <v>17526</v>
      </c>
      <c r="C843" s="1" t="s">
        <v>8146</v>
      </c>
      <c r="D843" s="8" t="s">
        <v>17527</v>
      </c>
      <c r="E843" s="1" t="s">
        <v>17528</v>
      </c>
      <c r="F843" s="6" t="s">
        <v>132</v>
      </c>
      <c r="G843" s="1" t="s">
        <v>17529</v>
      </c>
      <c r="H843" s="1" t="s">
        <v>17530</v>
      </c>
      <c r="I843" s="1" t="s">
        <v>17531</v>
      </c>
      <c r="J843" s="6" t="s">
        <v>17532</v>
      </c>
      <c r="K843" s="1" t="s">
        <v>17533</v>
      </c>
      <c r="L843" s="1" t="s">
        <v>8151</v>
      </c>
      <c r="M843" s="1" t="s">
        <v>17534</v>
      </c>
      <c r="N843" s="6" t="s">
        <v>132</v>
      </c>
      <c r="O843" s="6" t="s">
        <v>17535</v>
      </c>
      <c r="P843" s="1" t="s">
        <v>17536</v>
      </c>
      <c r="Q843" s="1" t="s">
        <v>17537</v>
      </c>
      <c r="R843" s="1" t="s">
        <v>8156</v>
      </c>
      <c r="S843" s="10" t="s">
        <v>17538</v>
      </c>
      <c r="T843" s="1" t="s">
        <v>17539</v>
      </c>
      <c r="U843" s="1" t="s">
        <v>17540</v>
      </c>
      <c r="V843" s="1" t="s">
        <v>17541</v>
      </c>
      <c r="W843" s="1" t="s">
        <v>8147</v>
      </c>
      <c r="X843" s="1" t="s">
        <v>8160</v>
      </c>
      <c r="Y843" s="1" t="s">
        <v>17542</v>
      </c>
      <c r="Z843" s="1" t="s">
        <v>17543</v>
      </c>
      <c r="AA843" s="1" t="s">
        <v>17544</v>
      </c>
      <c r="AB843" s="1" t="s">
        <v>17545</v>
      </c>
      <c r="AC843" s="1" t="s">
        <v>17546</v>
      </c>
      <c r="AD843" s="6" t="s">
        <v>17547</v>
      </c>
      <c r="AE843" s="1" t="s">
        <v>17548</v>
      </c>
      <c r="AF843" s="1" t="s">
        <v>8164</v>
      </c>
      <c r="AG843" s="6" t="s">
        <v>17549</v>
      </c>
      <c r="AH843" s="1" t="s">
        <v>17550</v>
      </c>
      <c r="AI843" s="6" t="s">
        <v>132</v>
      </c>
      <c r="AJ843" s="6" t="s">
        <v>17551</v>
      </c>
      <c r="AK843" s="1" t="s">
        <v>17552</v>
      </c>
      <c r="AL843" s="6" t="s">
        <v>132</v>
      </c>
    </row>
    <row r="844" ht="15.75" customHeight="1">
      <c r="A844" s="1" t="s">
        <v>127</v>
      </c>
      <c r="B844" s="1" t="s">
        <v>17553</v>
      </c>
      <c r="C844" s="1" t="s">
        <v>17554</v>
      </c>
      <c r="D844" s="8" t="s">
        <v>13068</v>
      </c>
      <c r="E844" s="1" t="s">
        <v>13069</v>
      </c>
      <c r="F844" s="6" t="s">
        <v>132</v>
      </c>
      <c r="G844" s="1" t="s">
        <v>17555</v>
      </c>
      <c r="H844" s="1" t="s">
        <v>17556</v>
      </c>
      <c r="I844" s="1" t="s">
        <v>17557</v>
      </c>
      <c r="J844" s="6" t="s">
        <v>17558</v>
      </c>
      <c r="K844" s="1" t="s">
        <v>17559</v>
      </c>
      <c r="L844" s="1" t="s">
        <v>17560</v>
      </c>
      <c r="M844" s="1" t="s">
        <v>13073</v>
      </c>
      <c r="N844" s="6" t="s">
        <v>132</v>
      </c>
      <c r="O844" s="6" t="s">
        <v>17561</v>
      </c>
      <c r="P844" s="1" t="s">
        <v>17562</v>
      </c>
      <c r="Q844" s="1" t="s">
        <v>17563</v>
      </c>
      <c r="R844" s="1" t="s">
        <v>13070</v>
      </c>
      <c r="S844" s="10" t="s">
        <v>17564</v>
      </c>
      <c r="T844" s="1" t="s">
        <v>17565</v>
      </c>
      <c r="U844" s="1" t="s">
        <v>17566</v>
      </c>
      <c r="V844" s="1" t="s">
        <v>17567</v>
      </c>
      <c r="W844" s="1" t="s">
        <v>17568</v>
      </c>
      <c r="X844" s="1" t="s">
        <v>17556</v>
      </c>
      <c r="Y844" s="1" t="s">
        <v>17569</v>
      </c>
      <c r="Z844" s="1" t="s">
        <v>17570</v>
      </c>
      <c r="AA844" s="1" t="s">
        <v>17571</v>
      </c>
      <c r="AB844" s="1" t="s">
        <v>17572</v>
      </c>
      <c r="AC844" s="1" t="s">
        <v>17573</v>
      </c>
      <c r="AD844" s="6" t="s">
        <v>17574</v>
      </c>
      <c r="AE844" s="1" t="s">
        <v>17575</v>
      </c>
      <c r="AF844" s="1" t="s">
        <v>17556</v>
      </c>
      <c r="AG844" s="6" t="s">
        <v>17576</v>
      </c>
      <c r="AH844" s="1" t="s">
        <v>17577</v>
      </c>
      <c r="AI844" s="6" t="s">
        <v>132</v>
      </c>
      <c r="AJ844" s="6" t="s">
        <v>17578</v>
      </c>
      <c r="AK844" s="1" t="s">
        <v>17579</v>
      </c>
      <c r="AL844" s="6" t="s">
        <v>132</v>
      </c>
    </row>
    <row r="845" ht="15.75" customHeight="1">
      <c r="A845" s="1" t="s">
        <v>127</v>
      </c>
      <c r="B845" s="1" t="s">
        <v>17580</v>
      </c>
      <c r="C845" s="1" t="s">
        <v>17581</v>
      </c>
      <c r="D845" s="8" t="s">
        <v>17582</v>
      </c>
      <c r="E845" s="1" t="s">
        <v>17583</v>
      </c>
      <c r="F845" s="6" t="s">
        <v>132</v>
      </c>
      <c r="G845" s="1" t="s">
        <v>17584</v>
      </c>
      <c r="H845" s="1" t="s">
        <v>17585</v>
      </c>
      <c r="I845" s="1" t="s">
        <v>17586</v>
      </c>
      <c r="J845" s="6" t="s">
        <v>17587</v>
      </c>
      <c r="K845" s="1" t="s">
        <v>17588</v>
      </c>
      <c r="L845" s="1" t="s">
        <v>17589</v>
      </c>
      <c r="M845" s="1" t="s">
        <v>17590</v>
      </c>
      <c r="N845" s="6" t="s">
        <v>132</v>
      </c>
      <c r="O845" s="6" t="s">
        <v>17591</v>
      </c>
      <c r="P845" s="1" t="s">
        <v>17592</v>
      </c>
      <c r="Q845" s="1" t="s">
        <v>17593</v>
      </c>
      <c r="R845" s="1" t="s">
        <v>17594</v>
      </c>
      <c r="S845" s="10" t="s">
        <v>11227</v>
      </c>
      <c r="T845" s="1" t="s">
        <v>17595</v>
      </c>
      <c r="U845" s="1" t="s">
        <v>17596</v>
      </c>
      <c r="V845" s="1" t="s">
        <v>17597</v>
      </c>
      <c r="W845" s="1" t="s">
        <v>17598</v>
      </c>
      <c r="X845" s="1" t="s">
        <v>17599</v>
      </c>
      <c r="Y845" s="1" t="s">
        <v>17600</v>
      </c>
      <c r="Z845" s="1" t="s">
        <v>17601</v>
      </c>
      <c r="AA845" s="1" t="s">
        <v>17602</v>
      </c>
      <c r="AB845" s="1" t="s">
        <v>17603</v>
      </c>
      <c r="AC845" s="1" t="s">
        <v>17604</v>
      </c>
      <c r="AD845" s="6" t="s">
        <v>17605</v>
      </c>
      <c r="AE845" s="1" t="s">
        <v>17606</v>
      </c>
      <c r="AF845" s="1" t="s">
        <v>17607</v>
      </c>
      <c r="AG845" s="6" t="s">
        <v>17608</v>
      </c>
      <c r="AH845" s="1" t="s">
        <v>17609</v>
      </c>
      <c r="AI845" s="6" t="s">
        <v>132</v>
      </c>
      <c r="AJ845" s="6" t="s">
        <v>17610</v>
      </c>
      <c r="AK845" s="1" t="s">
        <v>17611</v>
      </c>
      <c r="AL845" s="6" t="s">
        <v>17612</v>
      </c>
    </row>
    <row r="846" ht="15.75" hidden="1" customHeight="1">
      <c r="A846" s="1" t="s">
        <v>38</v>
      </c>
      <c r="B846" s="1" t="s">
        <v>17613</v>
      </c>
      <c r="C846" s="1" t="s">
        <v>17614</v>
      </c>
      <c r="D846" s="7" t="str">
        <f>IFERROR(__xludf.DUMMYFUNCTION("GOOGLETRANSLATE(C846, ""en"", ""ar"")"),"الدنمارك")</f>
        <v>الدنمارك</v>
      </c>
      <c r="E846" s="7" t="str">
        <f>IFERROR(__xludf.DUMMYFUNCTION("GOOGLETRANSLATE(C846, ""en"", ""bg"")"),"Дания")</f>
        <v>Дания</v>
      </c>
      <c r="F846" s="6" t="s">
        <v>132</v>
      </c>
      <c r="G846" s="7" t="str">
        <f>IFERROR(__xludf.DUMMYFUNCTION("GOOGLETRANSLATE(C846, ""en"", ""cs"")"),"Dánsko")</f>
        <v>Dánsko</v>
      </c>
      <c r="H846" s="7" t="str">
        <f>IFERROR(__xludf.DUMMYFUNCTION("GOOGLETRANSLATE(C846, ""en"", ""da"")"),"Danmark")</f>
        <v>Danmark</v>
      </c>
      <c r="I846" s="1" t="s">
        <v>17615</v>
      </c>
      <c r="J846" s="6" t="s">
        <v>132</v>
      </c>
      <c r="K846" s="1" t="s">
        <v>17616</v>
      </c>
      <c r="L846" s="7" t="str">
        <f>IFERROR(__xludf.DUMMYFUNCTION("GOOGLETRANSLATE(C846, ""en"", ""fi"")"),"Tanska")</f>
        <v>Tanska</v>
      </c>
      <c r="M846" s="1" t="s">
        <v>17617</v>
      </c>
      <c r="N846" s="6" t="s">
        <v>132</v>
      </c>
      <c r="O846" s="6" t="s">
        <v>132</v>
      </c>
      <c r="P846" s="1" t="s">
        <v>17614</v>
      </c>
      <c r="Q846" s="7" t="str">
        <f>IFERROR(__xludf.DUMMYFUNCTION("GOOGLETRANSLATE(C846, ""en"", ""in"")"),"Denmark")</f>
        <v>Denmark</v>
      </c>
      <c r="R846" s="7" t="str">
        <f>IFERROR(__xludf.DUMMYFUNCTION("GOOGLETRANSLATE(C846, ""en"", ""it"")"),"Danimarca")</f>
        <v>Danimarca</v>
      </c>
      <c r="S846" s="6" t="s">
        <v>132</v>
      </c>
      <c r="T846" s="7" t="str">
        <f>IFERROR(__xludf.DUMMYFUNCTION("GOOGLETRANSLATE(C846, ""en"", ""ja"")"),"デンマーク")</f>
        <v>デンマーク</v>
      </c>
      <c r="U846" s="7" t="str">
        <f>IFERROR(__xludf.DUMMYFUNCTION("GOOGLETRANSLATE(C846, ""en"", ""ko"")"),"덴마크")</f>
        <v>덴마크</v>
      </c>
      <c r="V846" s="7" t="str">
        <f>IFERROR(__xludf.DUMMYFUNCTION("GOOGLETRANSLATE(C846, ""en"", ""ms"")"),"Denmark.")</f>
        <v>Denmark.</v>
      </c>
      <c r="W846" s="7" t="str">
        <f>IFERROR(__xludf.DUMMYFUNCTION("GOOGLETRANSLATE(C846, ""en"", ""nl"")"),"Denemarken")</f>
        <v>Denemarken</v>
      </c>
      <c r="X846" s="7" t="str">
        <f>IFERROR(__xludf.DUMMYFUNCTION("GOOGLETRANSLATE(C846, ""en"", ""no"")"),"Danmark.")</f>
        <v>Danmark.</v>
      </c>
      <c r="Y846" s="7" t="str">
        <f>IFERROR(__xludf.DUMMYFUNCTION("GOOGLETRANSLATE(C846, ""en"", ""pl"")"),"Dania")</f>
        <v>Dania</v>
      </c>
      <c r="Z846" s="7" t="str">
        <f>IFERROR(__xludf.DUMMYFUNCTION("GOOGLETRANSLATE(C846, ""en"", ""pt"")"),"Dinamarca")</f>
        <v>Dinamarca</v>
      </c>
      <c r="AA846" s="7" t="str">
        <f>IFERROR(__xludf.DUMMYFUNCTION("GOOGLETRANSLATE(C846, ""en"", ""ro"")"),"Danemarca")</f>
        <v>Danemarca</v>
      </c>
      <c r="AB846" s="1" t="s">
        <v>17618</v>
      </c>
      <c r="AC846" s="7" t="str">
        <f>IFERROR(__xludf.DUMMYFUNCTION("GOOGLETRANSLATE(C846, ""en"", ""sk"")"),"Dánsko")</f>
        <v>Dánsko</v>
      </c>
      <c r="AD846" s="6" t="s">
        <v>132</v>
      </c>
      <c r="AE846" s="1" t="s">
        <v>17619</v>
      </c>
      <c r="AF846" s="7" t="str">
        <f>IFERROR(__xludf.DUMMYFUNCTION("GOOGLETRANSLATE(C846, ""en"", ""sv"")"),"Danmark")</f>
        <v>Danmark</v>
      </c>
      <c r="AG846" s="6" t="s">
        <v>132</v>
      </c>
      <c r="AH846" s="7" t="str">
        <f>IFERROR(__xludf.DUMMYFUNCTION("GOOGLETRANSLATE(C846, ""en"", ""tr"")"),"Danimarka")</f>
        <v>Danimarka</v>
      </c>
      <c r="AI846" s="6" t="s">
        <v>132</v>
      </c>
      <c r="AJ846" s="6" t="s">
        <v>132</v>
      </c>
      <c r="AK846" s="7" t="str">
        <f>IFERROR(__xludf.DUMMYFUNCTION("GOOGLETRANSLATE(C846, ""en"", ""zh"")"),"丹麦")</f>
        <v>丹麦</v>
      </c>
      <c r="AL846" s="6" t="s">
        <v>132</v>
      </c>
    </row>
    <row r="847" ht="15.75" hidden="1" customHeight="1">
      <c r="A847" s="1" t="s">
        <v>38</v>
      </c>
      <c r="B847" s="1" t="s">
        <v>17620</v>
      </c>
      <c r="C847" s="1" t="s">
        <v>17621</v>
      </c>
      <c r="D847" s="8" t="s">
        <v>17622</v>
      </c>
      <c r="E847" s="1" t="s">
        <v>17623</v>
      </c>
      <c r="F847" s="6" t="s">
        <v>17624</v>
      </c>
      <c r="G847" s="7" t="str">
        <f>IFERROR(__xludf.DUMMYFUNCTION("GOOGLETRANSLATE(C847, ""en"", ""cs"")"),"Pokročilý")</f>
        <v>Pokročilý</v>
      </c>
      <c r="H847" s="7" t="str">
        <f>IFERROR(__xludf.DUMMYFUNCTION("GOOGLETRANSLATE(C847, ""en"", ""da"")"),"Fremskreden")</f>
        <v>Fremskreden</v>
      </c>
      <c r="I847" s="1" t="s">
        <v>17625</v>
      </c>
      <c r="J847" s="6" t="s">
        <v>132</v>
      </c>
      <c r="K847" s="1" t="s">
        <v>17626</v>
      </c>
      <c r="L847" s="7" t="str">
        <f>IFERROR(__xludf.DUMMYFUNCTION("GOOGLETRANSLATE(C847, ""en"", ""fi"")"),"Pitkälle kehittynyt")</f>
        <v>Pitkälle kehittynyt</v>
      </c>
      <c r="M847" s="1" t="s">
        <v>17627</v>
      </c>
      <c r="N847" s="6" t="s">
        <v>17626</v>
      </c>
      <c r="O847" s="6" t="s">
        <v>132</v>
      </c>
      <c r="P847" s="1" t="s">
        <v>17628</v>
      </c>
      <c r="Q847" s="9" t="s">
        <v>17629</v>
      </c>
      <c r="R847" s="1" t="s">
        <v>17630</v>
      </c>
      <c r="S847" s="6" t="s">
        <v>132</v>
      </c>
      <c r="T847" s="1" t="s">
        <v>17631</v>
      </c>
      <c r="U847" s="1" t="s">
        <v>17632</v>
      </c>
      <c r="V847" s="7" t="str">
        <f>IFERROR(__xludf.DUMMYFUNCTION("GOOGLETRANSLATE(C847, ""en"", ""ms"")"),"Maju")</f>
        <v>Maju</v>
      </c>
      <c r="W847" s="1" t="s">
        <v>17633</v>
      </c>
      <c r="X847" s="7" t="str">
        <f>IFERROR(__xludf.DUMMYFUNCTION("GOOGLETRANSLATE(C847, ""en"", ""no"")"),"Avansert")</f>
        <v>Avansert</v>
      </c>
      <c r="Y847" s="1" t="s">
        <v>17634</v>
      </c>
      <c r="Z847" s="1" t="s">
        <v>17635</v>
      </c>
      <c r="AA847" s="7" t="str">
        <f>IFERROR(__xludf.DUMMYFUNCTION("GOOGLETRANSLATE(C847, ""en"", ""ro"")"),"Avansat")</f>
        <v>Avansat</v>
      </c>
      <c r="AB847" s="1" t="s">
        <v>17636</v>
      </c>
      <c r="AC847" s="7" t="str">
        <f>IFERROR(__xludf.DUMMYFUNCTION("GOOGLETRANSLATE(C847, ""en"", ""sk"")"),"Pokročilé")</f>
        <v>Pokročilé</v>
      </c>
      <c r="AD847" s="6" t="s">
        <v>132</v>
      </c>
      <c r="AE847" s="1" t="s">
        <v>17637</v>
      </c>
      <c r="AF847" s="1" t="s">
        <v>17638</v>
      </c>
      <c r="AG847" s="6" t="s">
        <v>132</v>
      </c>
      <c r="AH847" s="7" t="str">
        <f>IFERROR(__xludf.DUMMYFUNCTION("GOOGLETRANSLATE(C847, ""en"", ""tr"")"),"ileri")</f>
        <v>ileri</v>
      </c>
      <c r="AI847" s="6" t="s">
        <v>17639</v>
      </c>
      <c r="AJ847" s="6" t="s">
        <v>17640</v>
      </c>
      <c r="AK847" s="7" t="str">
        <f>IFERROR(__xludf.DUMMYFUNCTION("GOOGLETRANSLATE(C847, ""en"", ""zh"")"),"先进的")</f>
        <v>先进的</v>
      </c>
      <c r="AL847" s="6" t="s">
        <v>17641</v>
      </c>
    </row>
    <row r="848" ht="15.75" customHeight="1">
      <c r="A848" s="1" t="s">
        <v>127</v>
      </c>
      <c r="B848" s="1" t="s">
        <v>17642</v>
      </c>
      <c r="C848" s="1" t="s">
        <v>17643</v>
      </c>
      <c r="D848" s="8" t="s">
        <v>17644</v>
      </c>
      <c r="E848" s="1" t="s">
        <v>17645</v>
      </c>
      <c r="F848" s="6" t="s">
        <v>132</v>
      </c>
      <c r="G848" s="1" t="s">
        <v>17646</v>
      </c>
      <c r="H848" s="1" t="s">
        <v>17647</v>
      </c>
      <c r="I848" s="1" t="s">
        <v>17648</v>
      </c>
      <c r="J848" s="6" t="s">
        <v>17649</v>
      </c>
      <c r="K848" s="1" t="s">
        <v>17650</v>
      </c>
      <c r="L848" s="1" t="s">
        <v>17651</v>
      </c>
      <c r="M848" s="1" t="s">
        <v>17652</v>
      </c>
      <c r="N848" s="6" t="s">
        <v>132</v>
      </c>
      <c r="O848" s="6" t="s">
        <v>17653</v>
      </c>
      <c r="P848" s="1" t="s">
        <v>17654</v>
      </c>
      <c r="Q848" s="1" t="s">
        <v>17655</v>
      </c>
      <c r="R848" s="1" t="s">
        <v>17656</v>
      </c>
      <c r="S848" s="10" t="s">
        <v>17657</v>
      </c>
      <c r="T848" s="1" t="s">
        <v>17658</v>
      </c>
      <c r="U848" s="1" t="s">
        <v>17659</v>
      </c>
      <c r="V848" s="1" t="s">
        <v>17660</v>
      </c>
      <c r="W848" s="1" t="s">
        <v>17661</v>
      </c>
      <c r="X848" s="1" t="s">
        <v>17662</v>
      </c>
      <c r="Y848" s="1" t="s">
        <v>17663</v>
      </c>
      <c r="Z848" s="1" t="s">
        <v>17664</v>
      </c>
      <c r="AA848" s="1" t="s">
        <v>17665</v>
      </c>
      <c r="AB848" s="1" t="s">
        <v>17666</v>
      </c>
      <c r="AC848" s="1" t="s">
        <v>17667</v>
      </c>
      <c r="AD848" s="6" t="s">
        <v>17668</v>
      </c>
      <c r="AE848" s="1" t="s">
        <v>17669</v>
      </c>
      <c r="AF848" s="1" t="s">
        <v>17670</v>
      </c>
      <c r="AG848" s="6" t="s">
        <v>17671</v>
      </c>
      <c r="AH848" s="1" t="s">
        <v>17672</v>
      </c>
      <c r="AI848" s="6" t="s">
        <v>132</v>
      </c>
      <c r="AJ848" s="6" t="s">
        <v>17673</v>
      </c>
      <c r="AK848" s="1" t="s">
        <v>17674</v>
      </c>
      <c r="AL848" s="6" t="s">
        <v>132</v>
      </c>
    </row>
    <row r="849" ht="15.75" customHeight="1">
      <c r="A849" s="1" t="s">
        <v>127</v>
      </c>
      <c r="B849" s="1" t="s">
        <v>17675</v>
      </c>
      <c r="C849" s="1" t="s">
        <v>17676</v>
      </c>
      <c r="D849" s="8" t="s">
        <v>17677</v>
      </c>
      <c r="E849" s="1" t="s">
        <v>17678</v>
      </c>
      <c r="F849" s="6" t="s">
        <v>132</v>
      </c>
      <c r="G849" s="1" t="s">
        <v>17679</v>
      </c>
      <c r="H849" s="1" t="s">
        <v>17680</v>
      </c>
      <c r="I849" s="1" t="s">
        <v>17676</v>
      </c>
      <c r="J849" s="6" t="s">
        <v>17681</v>
      </c>
      <c r="K849" s="1" t="s">
        <v>17676</v>
      </c>
      <c r="L849" s="1" t="s">
        <v>17682</v>
      </c>
      <c r="M849" s="1" t="s">
        <v>17676</v>
      </c>
      <c r="N849" s="6" t="s">
        <v>132</v>
      </c>
      <c r="O849" s="6" t="s">
        <v>17683</v>
      </c>
      <c r="P849" s="1" t="s">
        <v>17676</v>
      </c>
      <c r="Q849" s="1" t="s">
        <v>17676</v>
      </c>
      <c r="R849" s="1" t="s">
        <v>17676</v>
      </c>
      <c r="S849" s="10" t="s">
        <v>17684</v>
      </c>
      <c r="T849" s="1" t="s">
        <v>17676</v>
      </c>
      <c r="U849" s="1" t="s">
        <v>17685</v>
      </c>
      <c r="V849" s="1" t="s">
        <v>17686</v>
      </c>
      <c r="W849" s="1" t="s">
        <v>17676</v>
      </c>
      <c r="X849" s="1" t="s">
        <v>17687</v>
      </c>
      <c r="Y849" s="1" t="s">
        <v>17676</v>
      </c>
      <c r="Z849" s="1" t="s">
        <v>17676</v>
      </c>
      <c r="AA849" s="1" t="s">
        <v>17688</v>
      </c>
      <c r="AB849" s="1" t="s">
        <v>17676</v>
      </c>
      <c r="AC849" s="1" t="s">
        <v>17679</v>
      </c>
      <c r="AD849" s="6" t="s">
        <v>17689</v>
      </c>
      <c r="AE849" s="1" t="s">
        <v>17676</v>
      </c>
      <c r="AF849" s="1" t="s">
        <v>17690</v>
      </c>
      <c r="AG849" s="6" t="s">
        <v>17691</v>
      </c>
      <c r="AH849" s="1" t="s">
        <v>17676</v>
      </c>
      <c r="AI849" s="6" t="s">
        <v>132</v>
      </c>
      <c r="AJ849" s="6" t="s">
        <v>17692</v>
      </c>
      <c r="AK849" s="1" t="s">
        <v>17676</v>
      </c>
      <c r="AL849" s="6" t="s">
        <v>132</v>
      </c>
    </row>
    <row r="850" ht="15.75" customHeight="1">
      <c r="A850" s="1" t="s">
        <v>127</v>
      </c>
      <c r="B850" s="1" t="s">
        <v>17693</v>
      </c>
      <c r="C850" s="1" t="s">
        <v>17694</v>
      </c>
      <c r="D850" s="8" t="s">
        <v>17695</v>
      </c>
      <c r="E850" s="1" t="s">
        <v>17696</v>
      </c>
      <c r="F850" s="6" t="s">
        <v>132</v>
      </c>
      <c r="G850" s="1" t="s">
        <v>17697</v>
      </c>
      <c r="H850" s="1" t="s">
        <v>17698</v>
      </c>
      <c r="I850" s="1" t="s">
        <v>17699</v>
      </c>
      <c r="J850" s="6" t="s">
        <v>17700</v>
      </c>
      <c r="K850" s="1" t="s">
        <v>17701</v>
      </c>
      <c r="L850" s="1" t="s">
        <v>17702</v>
      </c>
      <c r="M850" s="1" t="s">
        <v>17703</v>
      </c>
      <c r="N850" s="6" t="s">
        <v>132</v>
      </c>
      <c r="O850" s="6" t="s">
        <v>17704</v>
      </c>
      <c r="P850" s="1" t="s">
        <v>17705</v>
      </c>
      <c r="Q850" s="1" t="s">
        <v>17706</v>
      </c>
      <c r="R850" s="1" t="s">
        <v>17707</v>
      </c>
      <c r="S850" s="10" t="s">
        <v>17708</v>
      </c>
      <c r="T850" s="1" t="s">
        <v>17709</v>
      </c>
      <c r="U850" s="1" t="s">
        <v>17710</v>
      </c>
      <c r="V850" s="1" t="s">
        <v>17706</v>
      </c>
      <c r="W850" s="1" t="s">
        <v>17711</v>
      </c>
      <c r="X850" s="1" t="s">
        <v>17698</v>
      </c>
      <c r="Y850" s="1" t="s">
        <v>17712</v>
      </c>
      <c r="Z850" s="1" t="s">
        <v>17713</v>
      </c>
      <c r="AA850" s="1" t="s">
        <v>17714</v>
      </c>
      <c r="AB850" s="1" t="s">
        <v>17715</v>
      </c>
      <c r="AC850" s="1" t="s">
        <v>17716</v>
      </c>
      <c r="AD850" s="6" t="s">
        <v>17717</v>
      </c>
      <c r="AE850" s="1" t="s">
        <v>17718</v>
      </c>
      <c r="AF850" s="1" t="s">
        <v>17719</v>
      </c>
      <c r="AG850" s="6" t="s">
        <v>17720</v>
      </c>
      <c r="AH850" s="1" t="s">
        <v>17721</v>
      </c>
      <c r="AI850" s="6" t="s">
        <v>132</v>
      </c>
      <c r="AJ850" s="6" t="s">
        <v>17722</v>
      </c>
      <c r="AK850" s="1" t="s">
        <v>17723</v>
      </c>
      <c r="AL850" s="6" t="s">
        <v>132</v>
      </c>
    </row>
    <row r="851" ht="15.75" customHeight="1">
      <c r="A851" s="1" t="s">
        <v>127</v>
      </c>
      <c r="B851" s="1" t="s">
        <v>17724</v>
      </c>
      <c r="C851" s="1" t="s">
        <v>17725</v>
      </c>
      <c r="D851" s="8" t="s">
        <v>8780</v>
      </c>
      <c r="E851" s="1" t="s">
        <v>17726</v>
      </c>
      <c r="F851" s="6" t="s">
        <v>132</v>
      </c>
      <c r="G851" s="1" t="s">
        <v>8782</v>
      </c>
      <c r="H851" s="1" t="s">
        <v>17727</v>
      </c>
      <c r="I851" s="1" t="s">
        <v>17728</v>
      </c>
      <c r="J851" s="6" t="s">
        <v>8785</v>
      </c>
      <c r="K851" s="1" t="s">
        <v>10375</v>
      </c>
      <c r="L851" s="1" t="s">
        <v>8787</v>
      </c>
      <c r="M851" s="1" t="s">
        <v>113</v>
      </c>
      <c r="N851" s="6" t="s">
        <v>132</v>
      </c>
      <c r="O851" s="6" t="s">
        <v>17729</v>
      </c>
      <c r="P851" s="1" t="s">
        <v>8790</v>
      </c>
      <c r="Q851" s="1" t="s">
        <v>10641</v>
      </c>
      <c r="R851" s="1" t="s">
        <v>8792</v>
      </c>
      <c r="S851" s="10" t="s">
        <v>8793</v>
      </c>
      <c r="T851" s="1" t="s">
        <v>17730</v>
      </c>
      <c r="U851" s="1" t="s">
        <v>8795</v>
      </c>
      <c r="V851" s="1" t="s">
        <v>10641</v>
      </c>
      <c r="W851" s="1" t="s">
        <v>17725</v>
      </c>
      <c r="X851" s="1" t="s">
        <v>8796</v>
      </c>
      <c r="Y851" s="1" t="s">
        <v>8797</v>
      </c>
      <c r="Z851" s="1" t="s">
        <v>17731</v>
      </c>
      <c r="AA851" s="1" t="s">
        <v>17732</v>
      </c>
      <c r="AB851" s="1" t="s">
        <v>17733</v>
      </c>
      <c r="AC851" s="1" t="s">
        <v>8801</v>
      </c>
      <c r="AD851" s="6" t="s">
        <v>10389</v>
      </c>
      <c r="AE851" s="1" t="s">
        <v>17734</v>
      </c>
      <c r="AF851" s="1" t="s">
        <v>8804</v>
      </c>
      <c r="AG851" s="6" t="s">
        <v>8805</v>
      </c>
      <c r="AH851" s="1" t="s">
        <v>17735</v>
      </c>
      <c r="AI851" s="6" t="s">
        <v>132</v>
      </c>
      <c r="AJ851" s="6" t="s">
        <v>8807</v>
      </c>
      <c r="AK851" s="1" t="s">
        <v>17736</v>
      </c>
      <c r="AL851" s="6" t="s">
        <v>132</v>
      </c>
    </row>
    <row r="852" ht="15.75" hidden="1" customHeight="1">
      <c r="A852" s="1" t="s">
        <v>38</v>
      </c>
      <c r="B852" s="1" t="s">
        <v>17737</v>
      </c>
      <c r="C852" s="1" t="s">
        <v>17738</v>
      </c>
      <c r="D852" s="8" t="s">
        <v>17739</v>
      </c>
      <c r="E852" s="1" t="s">
        <v>17740</v>
      </c>
      <c r="F852" s="6" t="s">
        <v>17741</v>
      </c>
      <c r="G852" s="7" t="str">
        <f>IFERROR(__xludf.DUMMYFUNCTION("GOOGLETRANSLATE(C852, ""en"", ""cs"")"),"Detaily účtu")</f>
        <v>Detaily účtu</v>
      </c>
      <c r="H852" s="7" t="str">
        <f>IFERROR(__xludf.DUMMYFUNCTION("GOOGLETRANSLATE(C852, ""en"", ""da"")"),"Konto detaljer")</f>
        <v>Konto detaljer</v>
      </c>
      <c r="I852" s="1" t="s">
        <v>17742</v>
      </c>
      <c r="J852" s="6" t="s">
        <v>132</v>
      </c>
      <c r="K852" s="1" t="s">
        <v>17743</v>
      </c>
      <c r="L852" s="7" t="str">
        <f>IFERROR(__xludf.DUMMYFUNCTION("GOOGLETRANSLATE(C852, ""en"", ""fi"")"),"Tilin tiedot")</f>
        <v>Tilin tiedot</v>
      </c>
      <c r="M852" s="1" t="s">
        <v>17744</v>
      </c>
      <c r="N852" s="6" t="s">
        <v>17745</v>
      </c>
      <c r="O852" s="6" t="s">
        <v>132</v>
      </c>
      <c r="P852" s="1" t="s">
        <v>17746</v>
      </c>
      <c r="Q852" s="9" t="s">
        <v>17747</v>
      </c>
      <c r="R852" s="1" t="s">
        <v>17748</v>
      </c>
      <c r="S852" s="6" t="s">
        <v>132</v>
      </c>
      <c r="T852" s="1" t="s">
        <v>17749</v>
      </c>
      <c r="U852" s="1" t="s">
        <v>17750</v>
      </c>
      <c r="V852" s="7" t="str">
        <f>IFERROR(__xludf.DUMMYFUNCTION("GOOGLETRANSLATE(C852, ""en"", ""ms"")"),"Butiran akaun.")</f>
        <v>Butiran akaun.</v>
      </c>
      <c r="W852" s="1" t="s">
        <v>17751</v>
      </c>
      <c r="X852" s="7" t="str">
        <f>IFERROR(__xludf.DUMMYFUNCTION("GOOGLETRANSLATE(C852, ""en"", ""no"")"),"Kontodetaljer")</f>
        <v>Kontodetaljer</v>
      </c>
      <c r="Y852" s="1" t="s">
        <v>17752</v>
      </c>
      <c r="Z852" s="1" t="s">
        <v>17753</v>
      </c>
      <c r="AA852" s="7" t="str">
        <f>IFERROR(__xludf.DUMMYFUNCTION("GOOGLETRANSLATE(C852, ""en"", ""ro"")"),"Detalii cont")</f>
        <v>Detalii cont</v>
      </c>
      <c r="AB852" s="1" t="s">
        <v>17754</v>
      </c>
      <c r="AC852" s="1" t="s">
        <v>17755</v>
      </c>
      <c r="AD852" s="6" t="s">
        <v>132</v>
      </c>
      <c r="AE852" s="1" t="s">
        <v>17756</v>
      </c>
      <c r="AF852" s="1" t="s">
        <v>17757</v>
      </c>
      <c r="AG852" s="6" t="s">
        <v>132</v>
      </c>
      <c r="AH852" s="7" t="str">
        <f>IFERROR(__xludf.DUMMYFUNCTION("GOOGLETRANSLATE(C852, ""en"", ""tr"")"),"Hesap detayları")</f>
        <v>Hesap detayları</v>
      </c>
      <c r="AI852" s="6" t="s">
        <v>17758</v>
      </c>
      <c r="AJ852" s="6" t="s">
        <v>17759</v>
      </c>
      <c r="AK852" s="7" t="str">
        <f>IFERROR(__xludf.DUMMYFUNCTION("GOOGLETRANSLATE(C852, ""en"", ""zh"")"),"帐户详细资料")</f>
        <v>帐户详细资料</v>
      </c>
      <c r="AL852" s="6" t="s">
        <v>17760</v>
      </c>
    </row>
    <row r="853" ht="15.75" customHeight="1">
      <c r="A853" s="1" t="s">
        <v>127</v>
      </c>
      <c r="B853" s="1" t="s">
        <v>17761</v>
      </c>
      <c r="C853" s="1" t="s">
        <v>17762</v>
      </c>
      <c r="D853" s="8" t="s">
        <v>17763</v>
      </c>
      <c r="E853" s="1" t="s">
        <v>17764</v>
      </c>
      <c r="F853" s="6" t="s">
        <v>132</v>
      </c>
      <c r="G853" s="1" t="s">
        <v>17765</v>
      </c>
      <c r="H853" s="1" t="s">
        <v>17766</v>
      </c>
      <c r="I853" s="1" t="s">
        <v>17762</v>
      </c>
      <c r="J853" s="6" t="s">
        <v>17767</v>
      </c>
      <c r="K853" s="1" t="s">
        <v>17768</v>
      </c>
      <c r="L853" s="1" t="s">
        <v>17769</v>
      </c>
      <c r="M853" s="1" t="s">
        <v>17770</v>
      </c>
      <c r="N853" s="6" t="s">
        <v>132</v>
      </c>
      <c r="O853" s="6" t="s">
        <v>17771</v>
      </c>
      <c r="P853" s="1" t="s">
        <v>17772</v>
      </c>
      <c r="Q853" s="1" t="s">
        <v>17773</v>
      </c>
      <c r="R853" s="1" t="s">
        <v>17774</v>
      </c>
      <c r="S853" s="10" t="s">
        <v>17775</v>
      </c>
      <c r="T853" s="1" t="s">
        <v>17776</v>
      </c>
      <c r="U853" s="1" t="s">
        <v>17777</v>
      </c>
      <c r="V853" s="1" t="s">
        <v>17773</v>
      </c>
      <c r="W853" s="1" t="s">
        <v>17778</v>
      </c>
      <c r="X853" s="1" t="s">
        <v>17779</v>
      </c>
      <c r="Y853" s="1" t="s">
        <v>17780</v>
      </c>
      <c r="Z853" s="1" t="s">
        <v>17781</v>
      </c>
      <c r="AA853" s="1" t="s">
        <v>17782</v>
      </c>
      <c r="AB853" s="1" t="s">
        <v>17783</v>
      </c>
      <c r="AC853" s="1" t="s">
        <v>17784</v>
      </c>
      <c r="AD853" s="6" t="s">
        <v>17762</v>
      </c>
      <c r="AE853" s="1" t="s">
        <v>17785</v>
      </c>
      <c r="AF853" s="1" t="s">
        <v>17786</v>
      </c>
      <c r="AG853" s="6" t="s">
        <v>17787</v>
      </c>
      <c r="AH853" s="1" t="s">
        <v>17788</v>
      </c>
      <c r="AI853" s="6" t="s">
        <v>132</v>
      </c>
      <c r="AJ853" s="6" t="s">
        <v>17789</v>
      </c>
      <c r="AK853" s="1" t="s">
        <v>17790</v>
      </c>
      <c r="AL853" s="6" t="s">
        <v>132</v>
      </c>
    </row>
    <row r="854" ht="15.75" customHeight="1">
      <c r="A854" s="1" t="s">
        <v>127</v>
      </c>
      <c r="B854" s="1" t="s">
        <v>17791</v>
      </c>
      <c r="C854" s="1" t="s">
        <v>17792</v>
      </c>
      <c r="D854" s="8" t="s">
        <v>17793</v>
      </c>
      <c r="E854" s="1" t="s">
        <v>17794</v>
      </c>
      <c r="F854" s="6" t="s">
        <v>132</v>
      </c>
      <c r="G854" s="1" t="s">
        <v>17795</v>
      </c>
      <c r="H854" s="1" t="s">
        <v>17796</v>
      </c>
      <c r="I854" s="1" t="s">
        <v>17797</v>
      </c>
      <c r="J854" s="6" t="s">
        <v>17798</v>
      </c>
      <c r="K854" s="1" t="s">
        <v>17799</v>
      </c>
      <c r="L854" s="1" t="s">
        <v>17800</v>
      </c>
      <c r="M854" s="1" t="s">
        <v>17801</v>
      </c>
      <c r="N854" s="6" t="s">
        <v>132</v>
      </c>
      <c r="O854" s="6" t="s">
        <v>17802</v>
      </c>
      <c r="P854" s="1" t="s">
        <v>17803</v>
      </c>
      <c r="Q854" s="1" t="s">
        <v>17804</v>
      </c>
      <c r="R854" s="1" t="s">
        <v>17805</v>
      </c>
      <c r="S854" s="10" t="s">
        <v>17806</v>
      </c>
      <c r="T854" s="1" t="s">
        <v>17807</v>
      </c>
      <c r="U854" s="1" t="s">
        <v>17808</v>
      </c>
      <c r="V854" s="1" t="s">
        <v>17809</v>
      </c>
      <c r="W854" s="1" t="s">
        <v>17810</v>
      </c>
      <c r="X854" s="1" t="s">
        <v>17811</v>
      </c>
      <c r="Y854" s="1" t="s">
        <v>17812</v>
      </c>
      <c r="Z854" s="1" t="s">
        <v>17799</v>
      </c>
      <c r="AA854" s="1" t="s">
        <v>17813</v>
      </c>
      <c r="AB854" s="1" t="s">
        <v>17814</v>
      </c>
      <c r="AC854" s="1" t="s">
        <v>17815</v>
      </c>
      <c r="AD854" s="6" t="s">
        <v>17816</v>
      </c>
      <c r="AE854" s="1" t="s">
        <v>17812</v>
      </c>
      <c r="AF854" s="1" t="s">
        <v>17817</v>
      </c>
      <c r="AG854" s="6" t="s">
        <v>17818</v>
      </c>
      <c r="AH854" s="1" t="s">
        <v>17819</v>
      </c>
      <c r="AI854" s="6" t="s">
        <v>132</v>
      </c>
      <c r="AJ854" s="6" t="s">
        <v>17820</v>
      </c>
      <c r="AK854" s="1" t="s">
        <v>17821</v>
      </c>
      <c r="AL854" s="6" t="s">
        <v>132</v>
      </c>
    </row>
    <row r="855" ht="15.75" customHeight="1">
      <c r="A855" s="1" t="s">
        <v>127</v>
      </c>
      <c r="B855" s="1" t="s">
        <v>17822</v>
      </c>
      <c r="C855" s="1" t="s">
        <v>17823</v>
      </c>
      <c r="D855" s="8" t="s">
        <v>17824</v>
      </c>
      <c r="E855" s="1" t="s">
        <v>17825</v>
      </c>
      <c r="F855" s="6" t="s">
        <v>132</v>
      </c>
      <c r="G855" s="1" t="s">
        <v>17826</v>
      </c>
      <c r="H855" s="1" t="s">
        <v>17827</v>
      </c>
      <c r="I855" s="1" t="s">
        <v>17828</v>
      </c>
      <c r="J855" s="6" t="s">
        <v>17829</v>
      </c>
      <c r="K855" s="1" t="s">
        <v>17830</v>
      </c>
      <c r="L855" s="1" t="s">
        <v>17831</v>
      </c>
      <c r="M855" s="1" t="s">
        <v>17832</v>
      </c>
      <c r="N855" s="6" t="s">
        <v>132</v>
      </c>
      <c r="O855" s="6" t="s">
        <v>17833</v>
      </c>
      <c r="P855" s="1" t="s">
        <v>17834</v>
      </c>
      <c r="Q855" s="1" t="s">
        <v>17835</v>
      </c>
      <c r="R855" s="1" t="s">
        <v>17836</v>
      </c>
      <c r="S855" s="10" t="s">
        <v>17837</v>
      </c>
      <c r="T855" s="1" t="s">
        <v>17838</v>
      </c>
      <c r="U855" s="1" t="s">
        <v>17839</v>
      </c>
      <c r="V855" s="1" t="s">
        <v>17840</v>
      </c>
      <c r="W855" s="1" t="s">
        <v>17841</v>
      </c>
      <c r="X855" s="1" t="s">
        <v>17842</v>
      </c>
      <c r="Y855" s="1" t="s">
        <v>17843</v>
      </c>
      <c r="Z855" s="1" t="s">
        <v>17844</v>
      </c>
      <c r="AA855" s="1" t="s">
        <v>17845</v>
      </c>
      <c r="AB855" s="1" t="s">
        <v>17846</v>
      </c>
      <c r="AC855" s="1" t="s">
        <v>17847</v>
      </c>
      <c r="AD855" s="6" t="s">
        <v>17848</v>
      </c>
      <c r="AE855" s="1" t="s">
        <v>17849</v>
      </c>
      <c r="AF855" s="1" t="s">
        <v>17850</v>
      </c>
      <c r="AG855" s="6" t="s">
        <v>17851</v>
      </c>
      <c r="AH855" s="1" t="s">
        <v>17852</v>
      </c>
      <c r="AI855" s="6" t="s">
        <v>132</v>
      </c>
      <c r="AJ855" s="6" t="s">
        <v>17853</v>
      </c>
      <c r="AK855" s="1" t="s">
        <v>17854</v>
      </c>
      <c r="AL855" s="6" t="s">
        <v>132</v>
      </c>
    </row>
    <row r="856" ht="15.75" customHeight="1">
      <c r="A856" s="1" t="s">
        <v>127</v>
      </c>
      <c r="B856" s="1" t="s">
        <v>17855</v>
      </c>
      <c r="C856" s="1" t="s">
        <v>17856</v>
      </c>
      <c r="D856" s="8" t="s">
        <v>17857</v>
      </c>
      <c r="E856" s="1" t="s">
        <v>17858</v>
      </c>
      <c r="F856" s="6" t="s">
        <v>132</v>
      </c>
      <c r="G856" s="1" t="s">
        <v>17859</v>
      </c>
      <c r="H856" s="1" t="s">
        <v>17860</v>
      </c>
      <c r="I856" s="1" t="s">
        <v>17861</v>
      </c>
      <c r="J856" s="6" t="s">
        <v>17862</v>
      </c>
      <c r="K856" s="1" t="s">
        <v>17863</v>
      </c>
      <c r="L856" s="1" t="s">
        <v>17864</v>
      </c>
      <c r="M856" s="1" t="s">
        <v>17865</v>
      </c>
      <c r="N856" s="6" t="s">
        <v>132</v>
      </c>
      <c r="O856" s="6" t="s">
        <v>17866</v>
      </c>
      <c r="P856" s="1" t="s">
        <v>17867</v>
      </c>
      <c r="Q856" s="1" t="s">
        <v>17868</v>
      </c>
      <c r="R856" s="1" t="s">
        <v>17869</v>
      </c>
      <c r="S856" s="10" t="s">
        <v>17870</v>
      </c>
      <c r="T856" s="1" t="s">
        <v>17871</v>
      </c>
      <c r="U856" s="1" t="s">
        <v>17872</v>
      </c>
      <c r="V856" s="1" t="s">
        <v>17873</v>
      </c>
      <c r="W856" s="1" t="s">
        <v>17874</v>
      </c>
      <c r="X856" s="1" t="s">
        <v>17875</v>
      </c>
      <c r="Y856" s="1" t="s">
        <v>17876</v>
      </c>
      <c r="Z856" s="1" t="s">
        <v>17877</v>
      </c>
      <c r="AA856" s="1" t="s">
        <v>17878</v>
      </c>
      <c r="AB856" s="1" t="s">
        <v>17879</v>
      </c>
      <c r="AC856" s="1" t="s">
        <v>17880</v>
      </c>
      <c r="AD856" s="6" t="s">
        <v>17881</v>
      </c>
      <c r="AE856" s="1" t="s">
        <v>17882</v>
      </c>
      <c r="AF856" s="1" t="s">
        <v>17883</v>
      </c>
      <c r="AG856" s="6" t="s">
        <v>17884</v>
      </c>
      <c r="AH856" s="1" t="s">
        <v>17885</v>
      </c>
      <c r="AI856" s="6" t="s">
        <v>132</v>
      </c>
      <c r="AJ856" s="6" t="s">
        <v>17886</v>
      </c>
      <c r="AK856" s="1" t="s">
        <v>17887</v>
      </c>
      <c r="AL856" s="6" t="s">
        <v>132</v>
      </c>
    </row>
    <row r="857" ht="15.75" hidden="1" customHeight="1">
      <c r="A857" s="1" t="s">
        <v>38</v>
      </c>
      <c r="B857" s="1" t="s">
        <v>17888</v>
      </c>
      <c r="C857" s="1" t="s">
        <v>17889</v>
      </c>
      <c r="D857" s="8" t="s">
        <v>17890</v>
      </c>
      <c r="E857" s="1" t="s">
        <v>17891</v>
      </c>
      <c r="F857" s="6" t="s">
        <v>17892</v>
      </c>
      <c r="G857" s="7" t="str">
        <f>IFERROR(__xludf.DUMMYFUNCTION("GOOGLETRANSLATE(C857, ""en"", ""cs"")"),"Nedůvěřujte systému cas")</f>
        <v>Nedůvěřujte systému cas</v>
      </c>
      <c r="H857" s="13" t="s">
        <v>17893</v>
      </c>
      <c r="I857" s="1" t="s">
        <v>17894</v>
      </c>
      <c r="J857" s="6" t="s">
        <v>132</v>
      </c>
      <c r="K857" s="1" t="s">
        <v>17895</v>
      </c>
      <c r="L857" s="7" t="str">
        <f>IFERROR(__xludf.DUMMYFUNCTION("GOOGLETRANSLATE(C857, ""en"", ""fi"")"),"Älä luota järjestelmään CAS")</f>
        <v>Älä luota järjestelmään CAS</v>
      </c>
      <c r="M857" s="1" t="s">
        <v>17896</v>
      </c>
      <c r="N857" s="6" t="s">
        <v>17897</v>
      </c>
      <c r="O857" s="6" t="s">
        <v>132</v>
      </c>
      <c r="P857" s="1" t="s">
        <v>17898</v>
      </c>
      <c r="Q857" s="9" t="s">
        <v>17899</v>
      </c>
      <c r="R857" s="1" t="s">
        <v>17900</v>
      </c>
      <c r="S857" s="6" t="s">
        <v>132</v>
      </c>
      <c r="T857" s="1" t="s">
        <v>17901</v>
      </c>
      <c r="U857" s="1" t="s">
        <v>17902</v>
      </c>
      <c r="V857" s="7" t="str">
        <f>IFERROR(__xludf.DUMMYFUNCTION("GOOGLETRANSLATE(C857, ""en"", ""ms"")"),"Jangan percaya sistem CAS")</f>
        <v>Jangan percaya sistem CAS</v>
      </c>
      <c r="W857" s="1" t="s">
        <v>17903</v>
      </c>
      <c r="X857" s="7" t="str">
        <f>IFERROR(__xludf.DUMMYFUNCTION("GOOGLETRANSLATE(C857, ""en"", ""no"")"),"Ikke stol på systemet cas")</f>
        <v>Ikke stol på systemet cas</v>
      </c>
      <c r="Y857" s="1" t="s">
        <v>17904</v>
      </c>
      <c r="Z857" s="1" t="s">
        <v>17905</v>
      </c>
      <c r="AA857" s="7" t="str">
        <f>IFERROR(__xludf.DUMMYFUNCTION("GOOGLETRANSLATE(C857, ""en"", ""ro"")"),"Nu aveți încredere în CAS sistem")</f>
        <v>Nu aveți încredere în CAS sistem</v>
      </c>
      <c r="AB857" s="1" t="s">
        <v>17906</v>
      </c>
      <c r="AC857" s="1" t="s">
        <v>17907</v>
      </c>
      <c r="AD857" s="6" t="s">
        <v>132</v>
      </c>
      <c r="AE857" s="1" t="s">
        <v>17908</v>
      </c>
      <c r="AF857" s="1" t="s">
        <v>17909</v>
      </c>
      <c r="AG857" s="6" t="s">
        <v>132</v>
      </c>
      <c r="AH857" s="13" t="s">
        <v>17910</v>
      </c>
      <c r="AI857" s="6" t="s">
        <v>17911</v>
      </c>
      <c r="AJ857" s="6" t="s">
        <v>17912</v>
      </c>
      <c r="AK857" s="7" t="str">
        <f>IFERROR(__xludf.DUMMYFUNCTION("GOOGLETRANSLATE(C857, ""en"", ""zh"")"),"不要信任系统cas")</f>
        <v>不要信任系统cas</v>
      </c>
      <c r="AL857" s="6" t="s">
        <v>17913</v>
      </c>
    </row>
    <row r="858" ht="15.75" hidden="1" customHeight="1">
      <c r="A858" s="1" t="s">
        <v>38</v>
      </c>
      <c r="B858" s="1" t="s">
        <v>17914</v>
      </c>
      <c r="C858" s="1" t="s">
        <v>17915</v>
      </c>
      <c r="D858" s="7" t="str">
        <f>IFERROR(__xludf.DUMMYFUNCTION("GOOGLETRANSLATE(C858, ""en"", ""ar"")"),"هل أنت متأكد من أنك تريد إزالة التحقق لهذا الجهاز؟ \ Nthis الجهاز والرسائل القادمة من هذا الجهاز سيتم وضع علامة على أنها غير موثوق بها.")</f>
        <v>هل أنت متأكد من أنك تريد إزالة التحقق لهذا الجهاز؟ \ Nthis الجهاز والرسائل القادمة من هذا الجهاز سيتم وضع علامة على أنها غير موثوق بها.</v>
      </c>
      <c r="E858" s="1" t="s">
        <v>17916</v>
      </c>
      <c r="F858" s="6" t="s">
        <v>17917</v>
      </c>
      <c r="G858" s="7" t="str">
        <f>IFERROR(__xludf.DUMMYFUNCTION("GOOGLETRANSLATE(C858, ""en"", ""cs"")"),"Opravdu chcete odstranit ověření tohoto zařízení?")</f>
        <v>Opravdu chcete odstranit ověření tohoto zařízení?</v>
      </c>
      <c r="H858" s="7" t="str">
        <f>IFERROR(__xludf.DUMMYFUNCTION("GOOGLETRANSLATE(C858, ""en"", ""da"")"),"Er du sikker på, at du vil fjerne verifikationen for denne enhed? \ NThis enhed og meddelelser, der kommer fra den enhed, vil blive markeret som usikret.")</f>
        <v>Er du sikker på, at du vil fjerne verifikationen for denne enhed? \ NThis enhed og meddelelser, der kommer fra den enhed, vil blive markeret som usikret.</v>
      </c>
      <c r="I858" s="1" t="s">
        <v>17918</v>
      </c>
      <c r="J858" s="6" t="s">
        <v>132</v>
      </c>
      <c r="K858" s="1" t="s">
        <v>17919</v>
      </c>
      <c r="L858" s="7" t="str">
        <f>IFERROR(__xludf.DUMMYFUNCTION("GOOGLETRANSLATE(C858, ""en"", ""fi"")"),"Haluatko varmasti poistaa tämän laitteen tarkistuksen?")</f>
        <v>Haluatko varmasti poistaa tämän laitteen tarkistuksen?</v>
      </c>
      <c r="M858" s="1" t="s">
        <v>17920</v>
      </c>
      <c r="N858" s="6" t="s">
        <v>17921</v>
      </c>
      <c r="O858" s="6" t="s">
        <v>132</v>
      </c>
      <c r="P858" s="1" t="s">
        <v>17922</v>
      </c>
      <c r="Q858" s="7" t="str">
        <f>IFERROR(__xludf.DUMMYFUNCTION("GOOGLETRANSLATE(C858, ""en"", ""in"")"),"Apakah Anda yakin ingin menghapus verifikasi untuk perangkat ini? \ NTHIS perangkat dan pesan yang berasal dari perangkat itu akan ditandai sebagai tidak dipercaya.")</f>
        <v>Apakah Anda yakin ingin menghapus verifikasi untuk perangkat ini? \ NTHIS perangkat dan pesan yang berasal dari perangkat itu akan ditandai sebagai tidak dipercaya.</v>
      </c>
      <c r="R858" s="1" t="s">
        <v>17923</v>
      </c>
      <c r="S858" s="6" t="s">
        <v>132</v>
      </c>
      <c r="T858" s="1" t="s">
        <v>17924</v>
      </c>
      <c r="U858" s="1" t="s">
        <v>17925</v>
      </c>
      <c r="V858" s="7" t="str">
        <f>IFERROR(__xludf.DUMMYFUNCTION("GOOGLETRANSLATE(C858, ""en"", ""ms"")"),"Adakah anda pasti mahu mengeluarkan pengesahan untuk peranti ini? \ NThis Device dan mesej yang datang dari peranti itu akan ditandakan sebagai tidak dipercayai.")</f>
        <v>Adakah anda pasti mahu mengeluarkan pengesahan untuk peranti ini? \ NThis Device dan mesej yang datang dari peranti itu akan ditandakan sebagai tidak dipercayai.</v>
      </c>
      <c r="W858" s="1" t="s">
        <v>17926</v>
      </c>
      <c r="X858" s="7" t="str">
        <f>IFERROR(__xludf.DUMMYFUNCTION("GOOGLETRANSLATE(C858, ""en"", ""no"")"),"Er du sikker på at du vil fjerne verifiseringen for denne enheten? \ N Denne enheten og meldinger som kommer fra den enheten, vil bli merket som usikre.")</f>
        <v>Er du sikker på at du vil fjerne verifiseringen for denne enheten? \ N Denne enheten og meldinger som kommer fra den enheten, vil bli merket som usikre.</v>
      </c>
      <c r="Y858" s="1" t="s">
        <v>17927</v>
      </c>
      <c r="Z858" s="7" t="str">
        <f>IFERROR(__xludf.DUMMYFUNCTION("GOOGLETRANSLATE(C858, ""en"", ""pt"")"),"Tem certeza de que deseja remover a verificação para este dispositivo? \ Nhis dispositivo e mensagens provenientes desse dispositivo serão marcados como não confiáveis.")</f>
        <v>Tem certeza de que deseja remover a verificação para este dispositivo? \ Nhis dispositivo e mensagens provenientes desse dispositivo serão marcados como não confiáveis.</v>
      </c>
      <c r="AA858" s="7" t="str">
        <f>IFERROR(__xludf.DUMMYFUNCTION("GOOGLETRANSLATE(C858, ""en"", ""ro"")"),"Sunteți sigur că doriți să eliminați verificarea acestui dispozitiv? \ NATHS Dispozitivul și mesajele provenite de la acel dispozitiv vor fi marcate ca fiind nesupravegheate.")</f>
        <v>Sunteți sigur că doriți să eliminați verificarea acestui dispozitiv? \ NATHS Dispozitivul și mesajele provenite de la acel dispozitiv vor fi marcate ca fiind nesupravegheate.</v>
      </c>
      <c r="AB858" s="1" t="s">
        <v>17928</v>
      </c>
      <c r="AC858" s="7" t="str">
        <f>IFERROR(__xludf.DUMMYFUNCTION("GOOGLETRANSLATE(C858, ""en"", ""sk"")"),"Ste si istý, že chcete odstrániť overenie tohto zariadenia? \ T")</f>
        <v>Ste si istý, že chcete odstrániť overenie tohto zariadenia? \ T</v>
      </c>
      <c r="AD858" s="6" t="s">
        <v>132</v>
      </c>
      <c r="AE858" s="1" t="s">
        <v>17929</v>
      </c>
      <c r="AF858" s="1" t="s">
        <v>17930</v>
      </c>
      <c r="AG858" s="6" t="s">
        <v>132</v>
      </c>
      <c r="AH858" s="7" t="str">
        <f>IFERROR(__xludf.DUMMYFUNCTION("GOOGLETRANSLATE(C858, ""en"", ""tr"")"),"Bu cihazın doğrulamasını kaldırmak istediğinizden emin misiniz? \ Nthis cihazı ve bu cihazdan gelen mesajlar güvenilmeyen olarak işaretlenecektir.")</f>
        <v>Bu cihazın doğrulamasını kaldırmak istediğinizden emin misiniz? \ Nthis cihazı ve bu cihazdan gelen mesajlar güvenilmeyen olarak işaretlenecektir.</v>
      </c>
      <c r="AI858" s="6" t="s">
        <v>17931</v>
      </c>
      <c r="AJ858" s="6" t="s">
        <v>132</v>
      </c>
      <c r="AK858" s="7" t="str">
        <f>IFERROR(__xludf.DUMMYFUNCTION("GOOGLETRANSLATE(C858, ""en"", ""zh"")"),"您确定要删除此设备的验证吗？\ n本设备和来自该设备的消息将被标记为不可信。")</f>
        <v>您确定要删除此设备的验证吗？\ n本设备和来自该设备的消息将被标记为不可信。</v>
      </c>
      <c r="AL858" s="6" t="s">
        <v>17932</v>
      </c>
    </row>
    <row r="859" ht="15.75" customHeight="1">
      <c r="A859" s="1" t="s">
        <v>127</v>
      </c>
      <c r="B859" s="1" t="s">
        <v>17933</v>
      </c>
      <c r="C859" s="1" t="s">
        <v>17934</v>
      </c>
      <c r="D859" s="8" t="s">
        <v>17935</v>
      </c>
      <c r="E859" s="1" t="s">
        <v>17936</v>
      </c>
      <c r="F859" s="6" t="s">
        <v>132</v>
      </c>
      <c r="G859" s="1" t="s">
        <v>17937</v>
      </c>
      <c r="H859" s="1" t="s">
        <v>17938</v>
      </c>
      <c r="I859" s="1" t="s">
        <v>17939</v>
      </c>
      <c r="J859" s="6" t="s">
        <v>17940</v>
      </c>
      <c r="K859" s="1" t="s">
        <v>17941</v>
      </c>
      <c r="L859" s="1" t="s">
        <v>17942</v>
      </c>
      <c r="M859" s="1" t="s">
        <v>17943</v>
      </c>
      <c r="N859" s="6" t="s">
        <v>132</v>
      </c>
      <c r="O859" s="6" t="s">
        <v>17944</v>
      </c>
      <c r="P859" s="1" t="s">
        <v>17945</v>
      </c>
      <c r="Q859" s="1" t="s">
        <v>17946</v>
      </c>
      <c r="R859" s="1" t="s">
        <v>17947</v>
      </c>
      <c r="S859" s="10" t="s">
        <v>17948</v>
      </c>
      <c r="T859" s="1" t="s">
        <v>17949</v>
      </c>
      <c r="U859" s="1" t="s">
        <v>17950</v>
      </c>
      <c r="V859" s="1" t="s">
        <v>17946</v>
      </c>
      <c r="W859" s="1" t="s">
        <v>17951</v>
      </c>
      <c r="X859" s="1" t="s">
        <v>17938</v>
      </c>
      <c r="Y859" s="1" t="s">
        <v>17952</v>
      </c>
      <c r="Z859" s="1" t="s">
        <v>17953</v>
      </c>
      <c r="AA859" s="1" t="s">
        <v>17954</v>
      </c>
      <c r="AB859" s="1" t="s">
        <v>17955</v>
      </c>
      <c r="AC859" s="1" t="s">
        <v>17956</v>
      </c>
      <c r="AD859" s="6" t="s">
        <v>17957</v>
      </c>
      <c r="AE859" s="1" t="s">
        <v>17958</v>
      </c>
      <c r="AF859" s="1" t="s">
        <v>17959</v>
      </c>
      <c r="AG859" s="6" t="s">
        <v>17960</v>
      </c>
      <c r="AH859" s="1" t="s">
        <v>17961</v>
      </c>
      <c r="AI859" s="6" t="s">
        <v>132</v>
      </c>
      <c r="AJ859" s="6" t="s">
        <v>17962</v>
      </c>
      <c r="AK859" s="1" t="s">
        <v>17963</v>
      </c>
      <c r="AL859" s="6" t="s">
        <v>17964</v>
      </c>
    </row>
    <row r="860" ht="15.75" hidden="1" customHeight="1">
      <c r="A860" s="1" t="s">
        <v>38</v>
      </c>
      <c r="B860" s="1" t="s">
        <v>17965</v>
      </c>
      <c r="C860" s="1" t="s">
        <v>17966</v>
      </c>
      <c r="D860" s="7" t="str">
        <f>IFERROR(__xludf.DUMMYFUNCTION("GOOGLETRANSLATE(C860, ""en"", ""ar"")"),"الميزة غير منفذة")</f>
        <v>الميزة غير منفذة</v>
      </c>
      <c r="E860" s="1" t="s">
        <v>17967</v>
      </c>
      <c r="F860" s="6" t="s">
        <v>132</v>
      </c>
      <c r="G860" s="7" t="str">
        <f>IFERROR(__xludf.DUMMYFUNCTION("GOOGLETRANSLATE(C860, ""en"", ""cs"")"),"Funkce není implementována")</f>
        <v>Funkce není implementována</v>
      </c>
      <c r="H860" s="7" t="str">
        <f>IFERROR(__xludf.DUMMYFUNCTION("GOOGLETRANSLATE(C860, ""en"", ""da"")"),"Funktion ikke implementeret")</f>
        <v>Funktion ikke implementeret</v>
      </c>
      <c r="I860" s="1" t="s">
        <v>17968</v>
      </c>
      <c r="J860" s="6" t="s">
        <v>132</v>
      </c>
      <c r="K860" s="1" t="s">
        <v>17969</v>
      </c>
      <c r="L860" s="7" t="str">
        <f>IFERROR(__xludf.DUMMYFUNCTION("GOOGLETRANSLATE(C860, ""en"", ""fi"")"),"Ominaisuus ei toteutettu")</f>
        <v>Ominaisuus ei toteutettu</v>
      </c>
      <c r="M860" s="1" t="s">
        <v>17970</v>
      </c>
      <c r="N860" s="6" t="s">
        <v>17971</v>
      </c>
      <c r="O860" s="6" t="s">
        <v>132</v>
      </c>
      <c r="P860" s="1" t="s">
        <v>17972</v>
      </c>
      <c r="Q860" s="7" t="str">
        <f>IFERROR(__xludf.DUMMYFUNCTION("GOOGLETRANSLATE(C860, ""en"", ""in"")"),"Fitur tidak diterapkan")</f>
        <v>Fitur tidak diterapkan</v>
      </c>
      <c r="R860" s="1" t="s">
        <v>17973</v>
      </c>
      <c r="S860" s="6" t="s">
        <v>132</v>
      </c>
      <c r="T860" s="7" t="str">
        <f>IFERROR(__xludf.DUMMYFUNCTION("GOOGLETRANSLATE(C860, ""en"", ""ja"")"),"機能は実装されていません")</f>
        <v>機能は実装されていません</v>
      </c>
      <c r="U860" s="7" t="str">
        <f>IFERROR(__xludf.DUMMYFUNCTION("GOOGLETRANSLATE(C860, ""en"", ""ko"")"),"기능이 구현되지 않았습니다")</f>
        <v>기능이 구현되지 않았습니다</v>
      </c>
      <c r="V860" s="7" t="str">
        <f>IFERROR(__xludf.DUMMYFUNCTION("GOOGLETRANSLATE(C860, ""en"", ""ms"")"),"Ciri tidak dilaksanakan")</f>
        <v>Ciri tidak dilaksanakan</v>
      </c>
      <c r="W860" s="1" t="s">
        <v>17974</v>
      </c>
      <c r="X860" s="7" t="str">
        <f>IFERROR(__xludf.DUMMYFUNCTION("GOOGLETRANSLATE(C860, ""en"", ""no"")"),"Funksjonen ikke implementert")</f>
        <v>Funksjonen ikke implementert</v>
      </c>
      <c r="Y860" s="1" t="s">
        <v>17975</v>
      </c>
      <c r="Z860" s="7" t="str">
        <f>IFERROR(__xludf.DUMMYFUNCTION("GOOGLETRANSLATE(C860, ""en"", ""pt"")"),"Recurso não implementado")</f>
        <v>Recurso não implementado</v>
      </c>
      <c r="AA860" s="7" t="str">
        <f>IFERROR(__xludf.DUMMYFUNCTION("GOOGLETRANSLATE(C860, ""en"", ""ro"")"),"Caracteristica nu este implementată")</f>
        <v>Caracteristica nu este implementată</v>
      </c>
      <c r="AB860" s="7" t="str">
        <f>IFERROR(__xludf.DUMMYFUNCTION("GOOGLETRANSLATE(C860, ""en"", ""ru"")"),"Функция не реализована")</f>
        <v>Функция не реализована</v>
      </c>
      <c r="AC860" s="7" t="str">
        <f>IFERROR(__xludf.DUMMYFUNCTION("GOOGLETRANSLATE(C860, ""en"", ""sk"")"),"Nie je implementovaná")</f>
        <v>Nie je implementovaná</v>
      </c>
      <c r="AD860" s="6" t="s">
        <v>132</v>
      </c>
      <c r="AE860" s="7" t="str">
        <f>IFERROR(__xludf.DUMMYFUNCTION("GOOGLETRANSLATE(C860, ""en"", ""sr"")"),"Функција није спроведена")</f>
        <v>Функција није спроведена</v>
      </c>
      <c r="AF860" s="7" t="str">
        <f>IFERROR(__xludf.DUMMYFUNCTION("GOOGLETRANSLATE(C860, ""en"", ""sv"")"),"Funktion som inte implementeras")</f>
        <v>Funktion som inte implementeras</v>
      </c>
      <c r="AG860" s="6" t="s">
        <v>132</v>
      </c>
      <c r="AH860" s="7" t="str">
        <f>IFERROR(__xludf.DUMMYFUNCTION("GOOGLETRANSLATE(C860, ""en"", ""tr"")"),"Özellik uygulanmadı")</f>
        <v>Özellik uygulanmadı</v>
      </c>
      <c r="AI860" s="6" t="s">
        <v>132</v>
      </c>
      <c r="AJ860" s="6" t="s">
        <v>132</v>
      </c>
      <c r="AK860" s="7" t="str">
        <f>IFERROR(__xludf.DUMMYFUNCTION("GOOGLETRANSLATE(C860, ""en"", ""zh"")"),"功能未实施")</f>
        <v>功能未实施</v>
      </c>
      <c r="AL860" s="6" t="s">
        <v>132</v>
      </c>
    </row>
    <row r="861" ht="15.75" customHeight="1">
      <c r="A861" s="1" t="s">
        <v>127</v>
      </c>
      <c r="B861" s="1" t="s">
        <v>17976</v>
      </c>
      <c r="C861" s="1" t="s">
        <v>17977</v>
      </c>
      <c r="D861" s="8" t="s">
        <v>17978</v>
      </c>
      <c r="E861" s="1" t="s">
        <v>17979</v>
      </c>
      <c r="F861" s="6" t="s">
        <v>132</v>
      </c>
      <c r="G861" s="1" t="s">
        <v>17980</v>
      </c>
      <c r="H861" s="1" t="s">
        <v>17981</v>
      </c>
      <c r="I861" s="1" t="s">
        <v>17982</v>
      </c>
      <c r="J861" s="6" t="s">
        <v>17983</v>
      </c>
      <c r="K861" s="1" t="s">
        <v>17984</v>
      </c>
      <c r="L861" s="1" t="s">
        <v>17985</v>
      </c>
      <c r="M861" s="1" t="s">
        <v>17986</v>
      </c>
      <c r="N861" s="6" t="s">
        <v>132</v>
      </c>
      <c r="O861" s="6" t="s">
        <v>17987</v>
      </c>
      <c r="P861" s="1" t="s">
        <v>17988</v>
      </c>
      <c r="Q861" s="1" t="s">
        <v>17989</v>
      </c>
      <c r="R861" s="1" t="s">
        <v>17990</v>
      </c>
      <c r="S861" s="10" t="s">
        <v>17991</v>
      </c>
      <c r="T861" s="1" t="s">
        <v>17992</v>
      </c>
      <c r="U861" s="1" t="s">
        <v>17993</v>
      </c>
      <c r="V861" s="1" t="s">
        <v>17994</v>
      </c>
      <c r="W861" s="1" t="s">
        <v>17995</v>
      </c>
      <c r="X861" s="1" t="s">
        <v>17996</v>
      </c>
      <c r="Y861" s="1" t="s">
        <v>17997</v>
      </c>
      <c r="Z861" s="1" t="s">
        <v>17998</v>
      </c>
      <c r="AA861" s="1" t="s">
        <v>17999</v>
      </c>
      <c r="AB861" s="1" t="s">
        <v>18000</v>
      </c>
      <c r="AC861" s="1" t="s">
        <v>18001</v>
      </c>
      <c r="AD861" s="6" t="s">
        <v>18002</v>
      </c>
      <c r="AE861" s="1" t="s">
        <v>18003</v>
      </c>
      <c r="AF861" s="1" t="s">
        <v>18004</v>
      </c>
      <c r="AG861" s="6" t="s">
        <v>18005</v>
      </c>
      <c r="AH861" s="1" t="s">
        <v>18006</v>
      </c>
      <c r="AI861" s="6" t="s">
        <v>132</v>
      </c>
      <c r="AJ861" s="6" t="s">
        <v>18007</v>
      </c>
      <c r="AK861" s="1" t="s">
        <v>18008</v>
      </c>
      <c r="AL861" s="6" t="s">
        <v>18009</v>
      </c>
    </row>
    <row r="862" ht="15.75" hidden="1" customHeight="1">
      <c r="A862" s="1" t="s">
        <v>38</v>
      </c>
      <c r="B862" s="1" t="s">
        <v>18010</v>
      </c>
      <c r="C862" s="1" t="s">
        <v>18011</v>
      </c>
      <c r="D862" s="8" t="s">
        <v>18012</v>
      </c>
      <c r="E862" s="1" t="s">
        <v>18013</v>
      </c>
      <c r="F862" s="6" t="s">
        <v>18014</v>
      </c>
      <c r="G862" s="13" t="s">
        <v>18015</v>
      </c>
      <c r="H862" s="13" t="s">
        <v>18016</v>
      </c>
      <c r="I862" s="1" t="s">
        <v>18017</v>
      </c>
      <c r="J862" s="6" t="s">
        <v>132</v>
      </c>
      <c r="K862" s="1" t="s">
        <v>18018</v>
      </c>
      <c r="L862" s="13" t="s">
        <v>18019</v>
      </c>
      <c r="M862" s="1" t="s">
        <v>18020</v>
      </c>
      <c r="N862" s="6" t="s">
        <v>18021</v>
      </c>
      <c r="O862" s="6" t="s">
        <v>132</v>
      </c>
      <c r="P862" s="1" t="s">
        <v>18022</v>
      </c>
      <c r="Q862" s="7" t="str">
        <f>IFERROR(__xludf.DUMMYFUNCTION("GOOGLETRANSLATE(C862, ""en"", ""in"")"),"% 1 $ D dari% 2 $ D Akun yang terhubung")</f>
        <v>% 1 $ D dari% 2 $ D Akun yang terhubung</v>
      </c>
      <c r="R862" s="1" t="s">
        <v>18023</v>
      </c>
      <c r="S862" s="6" t="s">
        <v>132</v>
      </c>
      <c r="T862" s="1" t="s">
        <v>18024</v>
      </c>
      <c r="U862" s="1" t="s">
        <v>18025</v>
      </c>
      <c r="V862" s="7" t="str">
        <f>IFERROR(__xludf.DUMMYFUNCTION("GOOGLETRANSLATE(C862, ""en"", ""ms"")"),"% 1 $ d daripada% 2 $ D yang disambungkan")</f>
        <v>% 1 $ d daripada% 2 $ D yang disambungkan</v>
      </c>
      <c r="W862" s="1" t="s">
        <v>18026</v>
      </c>
      <c r="X862" s="13" t="s">
        <v>18027</v>
      </c>
      <c r="Y862" s="1" t="s">
        <v>18028</v>
      </c>
      <c r="Z862" s="1" t="s">
        <v>18021</v>
      </c>
      <c r="AA862" s="7" t="str">
        <f>IFERROR(__xludf.DUMMYFUNCTION("GOOGLETRANSLATE(C862, ""en"", ""ro"")"),"% 1 $ D de conturi% 2 $ D conectate")</f>
        <v>% 1 $ D de conturi% 2 $ D conectate</v>
      </c>
      <c r="AB862" s="1" t="s">
        <v>18029</v>
      </c>
      <c r="AC862" s="7" t="str">
        <f>IFERROR(__xludf.DUMMYFUNCTION("GOOGLETRANSLATE(C862, ""en"", ""sk"")"),"% 1 $ D z% 2 $ D účtov")</f>
        <v>% 1 $ D z% 2 $ D účtov</v>
      </c>
      <c r="AD862" s="6" t="s">
        <v>132</v>
      </c>
      <c r="AE862" s="1" t="s">
        <v>18030</v>
      </c>
      <c r="AF862" s="1" t="s">
        <v>18031</v>
      </c>
      <c r="AG862" s="6" t="s">
        <v>132</v>
      </c>
      <c r="AH862" s="7" t="str">
        <f>IFERROR(__xludf.DUMMYFUNCTION("GOOGLETRANSLATE(C862, ""en"", ""tr"")"),"% 1 $ D% D $ d İlgili hesaplar")</f>
        <v>% 1 $ D% D $ d İlgili hesaplar</v>
      </c>
      <c r="AI862" s="6" t="s">
        <v>18032</v>
      </c>
      <c r="AJ862" s="6" t="s">
        <v>18033</v>
      </c>
      <c r="AK862" s="7" t="str">
        <f>IFERROR(__xludf.DUMMYFUNCTION("GOOGLETRANSLATE(C862, ""en"", ""zh"")"),"％1 $ d％2 $ d帐户")</f>
        <v>％1 $ d％2 $ d帐户</v>
      </c>
      <c r="AL862" s="6" t="s">
        <v>18034</v>
      </c>
    </row>
    <row r="863" ht="15.75" hidden="1" customHeight="1">
      <c r="A863" s="1" t="s">
        <v>38</v>
      </c>
      <c r="B863" s="1" t="s">
        <v>18035</v>
      </c>
      <c r="C863" s="1" t="s">
        <v>18036</v>
      </c>
      <c r="D863" s="7" t="str">
        <f>IFERROR(__xludf.DUMMYFUNCTION("GOOGLETRANSLATE(C863, ""en"", ""ar"")"),"الرجاء إدخال رمز التسجيل.")</f>
        <v>الرجاء إدخال رمز التسجيل.</v>
      </c>
      <c r="E863" s="7" t="str">
        <f>IFERROR(__xludf.DUMMYFUNCTION("GOOGLETRANSLATE(C863, ""en"", ""bg"")"),"Моля, въведете регистрационен код.")</f>
        <v>Моля, въведете регистрационен код.</v>
      </c>
      <c r="F863" s="6" t="s">
        <v>132</v>
      </c>
      <c r="G863" s="7" t="str">
        <f>IFERROR(__xludf.DUMMYFUNCTION("GOOGLETRANSLATE(C863, ""en"", ""cs"")"),"Zadejte registrační kód.")</f>
        <v>Zadejte registrační kód.</v>
      </c>
      <c r="H863" s="7" t="str">
        <f>IFERROR(__xludf.DUMMYFUNCTION("GOOGLETRANSLATE(C863, ""en"", ""da"")"),"Indtast venligst registreringskode.")</f>
        <v>Indtast venligst registreringskode.</v>
      </c>
      <c r="I863" s="1" t="s">
        <v>18037</v>
      </c>
      <c r="J863" s="6" t="s">
        <v>132</v>
      </c>
      <c r="K863" s="1" t="s">
        <v>18038</v>
      </c>
      <c r="L863" s="7" t="str">
        <f>IFERROR(__xludf.DUMMYFUNCTION("GOOGLETRANSLATE(C863, ""en"", ""fi"")"),"Anna rekisteröintikoodi.")</f>
        <v>Anna rekisteröintikoodi.</v>
      </c>
      <c r="M863" s="1" t="s">
        <v>18039</v>
      </c>
      <c r="N863" s="6" t="s">
        <v>132</v>
      </c>
      <c r="O863" s="6" t="s">
        <v>132</v>
      </c>
      <c r="P863" s="1" t="s">
        <v>18040</v>
      </c>
      <c r="Q863" s="7" t="str">
        <f>IFERROR(__xludf.DUMMYFUNCTION("GOOGLETRANSLATE(C863, ""en"", ""in"")"),"Silakan masukkan kode registrasi.")</f>
        <v>Silakan masukkan kode registrasi.</v>
      </c>
      <c r="R863" s="7" t="str">
        <f>IFERROR(__xludf.DUMMYFUNCTION("GOOGLETRANSLATE(C863, ""en"", ""it"")"),"Si prega di inserire il codice di registrazione.")</f>
        <v>Si prega di inserire il codice di registrazione.</v>
      </c>
      <c r="S863" s="6" t="s">
        <v>132</v>
      </c>
      <c r="T863" s="7" t="str">
        <f>IFERROR(__xludf.DUMMYFUNCTION("GOOGLETRANSLATE(C863, ""en"", ""ja"")"),"登録コードを入力してください。")</f>
        <v>登録コードを入力してください。</v>
      </c>
      <c r="U863" s="7" t="str">
        <f>IFERROR(__xludf.DUMMYFUNCTION("GOOGLETRANSLATE(C863, ""en"", ""ko"")"),"등록 코드를 입력하십시오.")</f>
        <v>등록 코드를 입력하십시오.</v>
      </c>
      <c r="V863" s="7" t="str">
        <f>IFERROR(__xludf.DUMMYFUNCTION("GOOGLETRANSLATE(C863, ""en"", ""ms"")"),"Sila masukkan kod pendaftaran.")</f>
        <v>Sila masukkan kod pendaftaran.</v>
      </c>
      <c r="W863" s="7" t="str">
        <f>IFERROR(__xludf.DUMMYFUNCTION("GOOGLETRANSLATE(C863, ""en"", ""nl"")"),"Voer de registratiecode in.")</f>
        <v>Voer de registratiecode in.</v>
      </c>
      <c r="X863" s="7" t="str">
        <f>IFERROR(__xludf.DUMMYFUNCTION("GOOGLETRANSLATE(C863, ""en"", ""no"")"),"Vennligst skriv inn registreringskode.")</f>
        <v>Vennligst skriv inn registreringskode.</v>
      </c>
      <c r="Y863" s="7" t="str">
        <f>IFERROR(__xludf.DUMMYFUNCTION("GOOGLETRANSLATE(C863, ""en"", ""pl"")"),"Wprowadź kod rejestracyjny.")</f>
        <v>Wprowadź kod rejestracyjny.</v>
      </c>
      <c r="Z863" s="7" t="str">
        <f>IFERROR(__xludf.DUMMYFUNCTION("GOOGLETRANSLATE(C863, ""en"", ""pt"")"),"Por favor, insira o código de registro.")</f>
        <v>Por favor, insira o código de registro.</v>
      </c>
      <c r="AA863" s="7" t="str">
        <f>IFERROR(__xludf.DUMMYFUNCTION("GOOGLETRANSLATE(C863, ""en"", ""ro"")"),"Introduceți codul de înregistrare.")</f>
        <v>Introduceți codul de înregistrare.</v>
      </c>
      <c r="AB863" s="1" t="s">
        <v>18041</v>
      </c>
      <c r="AC863" s="7" t="str">
        <f>IFERROR(__xludf.DUMMYFUNCTION("GOOGLETRANSLATE(C863, ""en"", ""sk"")"),"Zadajte registračný kód.")</f>
        <v>Zadajte registračný kód.</v>
      </c>
      <c r="AD863" s="6" t="s">
        <v>132</v>
      </c>
      <c r="AE863" s="1" t="s">
        <v>18042</v>
      </c>
      <c r="AF863" s="7" t="str">
        <f>IFERROR(__xludf.DUMMYFUNCTION("GOOGLETRANSLATE(C863, ""en"", ""sv"")"),"Vänligen ange registreringskod.")</f>
        <v>Vänligen ange registreringskod.</v>
      </c>
      <c r="AG863" s="6" t="s">
        <v>132</v>
      </c>
      <c r="AH863" s="7" t="str">
        <f>IFERROR(__xludf.DUMMYFUNCTION("GOOGLETRANSLATE(C863, ""en"", ""tr"")"),"Lütfen kayıt kodunu girin.")</f>
        <v>Lütfen kayıt kodunu girin.</v>
      </c>
      <c r="AI863" s="6" t="s">
        <v>132</v>
      </c>
      <c r="AJ863" s="6" t="s">
        <v>132</v>
      </c>
      <c r="AK863" s="7" t="str">
        <f>IFERROR(__xludf.DUMMYFUNCTION("GOOGLETRANSLATE(C863, ""en"", ""zh"")"),"请输入注册码。")</f>
        <v>请输入注册码。</v>
      </c>
      <c r="AL863" s="6" t="s">
        <v>132</v>
      </c>
    </row>
    <row r="864" ht="15.75" customHeight="1">
      <c r="A864" s="1" t="s">
        <v>127</v>
      </c>
      <c r="B864" s="1" t="s">
        <v>18043</v>
      </c>
      <c r="C864" s="1" t="s">
        <v>18044</v>
      </c>
      <c r="D864" s="8" t="s">
        <v>18045</v>
      </c>
      <c r="E864" s="1" t="s">
        <v>18046</v>
      </c>
      <c r="F864" s="6" t="s">
        <v>132</v>
      </c>
      <c r="G864" s="1" t="s">
        <v>18047</v>
      </c>
      <c r="H864" s="1" t="s">
        <v>18048</v>
      </c>
      <c r="I864" s="1" t="s">
        <v>18049</v>
      </c>
      <c r="J864" s="6" t="s">
        <v>18050</v>
      </c>
      <c r="K864" s="1" t="s">
        <v>18051</v>
      </c>
      <c r="L864" s="1" t="s">
        <v>18052</v>
      </c>
      <c r="M864" s="1" t="s">
        <v>18053</v>
      </c>
      <c r="N864" s="6" t="s">
        <v>132</v>
      </c>
      <c r="O864" s="6" t="s">
        <v>18054</v>
      </c>
      <c r="P864" s="1" t="s">
        <v>18055</v>
      </c>
      <c r="Q864" s="1" t="s">
        <v>18056</v>
      </c>
      <c r="R864" s="1" t="s">
        <v>18057</v>
      </c>
      <c r="S864" s="10" t="s">
        <v>18058</v>
      </c>
      <c r="T864" s="1" t="s">
        <v>18059</v>
      </c>
      <c r="U864" s="1" t="s">
        <v>18060</v>
      </c>
      <c r="V864" s="1" t="s">
        <v>18061</v>
      </c>
      <c r="W864" s="1" t="s">
        <v>18062</v>
      </c>
      <c r="X864" s="1" t="s">
        <v>8796</v>
      </c>
      <c r="Y864" s="1" t="s">
        <v>18063</v>
      </c>
      <c r="Z864" s="1" t="s">
        <v>18064</v>
      </c>
      <c r="AA864" s="1" t="s">
        <v>18065</v>
      </c>
      <c r="AB864" s="1" t="s">
        <v>18066</v>
      </c>
      <c r="AC864" s="1" t="s">
        <v>18067</v>
      </c>
      <c r="AD864" s="6" t="s">
        <v>18068</v>
      </c>
      <c r="AE864" s="1" t="s">
        <v>18069</v>
      </c>
      <c r="AF864" s="1" t="s">
        <v>18070</v>
      </c>
      <c r="AG864" s="6" t="s">
        <v>18071</v>
      </c>
      <c r="AH864" s="1" t="s">
        <v>18072</v>
      </c>
      <c r="AI864" s="6" t="s">
        <v>132</v>
      </c>
      <c r="AJ864" s="6" t="s">
        <v>18073</v>
      </c>
      <c r="AK864" s="1" t="s">
        <v>18074</v>
      </c>
      <c r="AL864" s="6" t="s">
        <v>132</v>
      </c>
    </row>
    <row r="865" ht="15.75" customHeight="1">
      <c r="A865" s="1" t="s">
        <v>127</v>
      </c>
      <c r="B865" s="1" t="s">
        <v>18075</v>
      </c>
      <c r="C865" s="1" t="s">
        <v>11487</v>
      </c>
      <c r="D865" s="8" t="s">
        <v>18076</v>
      </c>
      <c r="E865" s="1" t="s">
        <v>11489</v>
      </c>
      <c r="F865" s="6" t="s">
        <v>132</v>
      </c>
      <c r="G865" s="1" t="s">
        <v>11490</v>
      </c>
      <c r="H865" s="1" t="s">
        <v>11491</v>
      </c>
      <c r="I865" s="1" t="s">
        <v>11492</v>
      </c>
      <c r="J865" s="6" t="s">
        <v>11493</v>
      </c>
      <c r="K865" s="1" t="s">
        <v>5107</v>
      </c>
      <c r="L865" s="1" t="s">
        <v>11494</v>
      </c>
      <c r="M865" s="1" t="s">
        <v>11495</v>
      </c>
      <c r="N865" s="6" t="s">
        <v>132</v>
      </c>
      <c r="O865" s="6" t="s">
        <v>11496</v>
      </c>
      <c r="P865" s="1" t="s">
        <v>18077</v>
      </c>
      <c r="Q865" s="1" t="s">
        <v>18078</v>
      </c>
      <c r="R865" s="1" t="s">
        <v>18079</v>
      </c>
      <c r="S865" s="10" t="s">
        <v>11499</v>
      </c>
      <c r="T865" s="1" t="s">
        <v>18080</v>
      </c>
      <c r="U865" s="1" t="s">
        <v>18081</v>
      </c>
      <c r="V865" s="1" t="s">
        <v>18082</v>
      </c>
      <c r="W865" s="1" t="s">
        <v>18083</v>
      </c>
      <c r="X865" s="1" t="s">
        <v>11503</v>
      </c>
      <c r="Y865" s="1" t="s">
        <v>5119</v>
      </c>
      <c r="Z865" s="1" t="s">
        <v>11504</v>
      </c>
      <c r="AA865" s="1" t="s">
        <v>11505</v>
      </c>
      <c r="AB865" s="1" t="s">
        <v>11506</v>
      </c>
      <c r="AC865" s="1" t="s">
        <v>11507</v>
      </c>
      <c r="AD865" s="6" t="s">
        <v>11508</v>
      </c>
      <c r="AE865" s="1" t="s">
        <v>5125</v>
      </c>
      <c r="AF865" s="1" t="s">
        <v>11509</v>
      </c>
      <c r="AG865" s="6" t="s">
        <v>11510</v>
      </c>
      <c r="AH865" s="1" t="s">
        <v>11511</v>
      </c>
      <c r="AI865" s="6" t="s">
        <v>132</v>
      </c>
      <c r="AJ865" s="6" t="s">
        <v>11512</v>
      </c>
      <c r="AK865" s="1" t="s">
        <v>18084</v>
      </c>
      <c r="AL865" s="6" t="s">
        <v>18085</v>
      </c>
    </row>
    <row r="866" ht="15.75" customHeight="1">
      <c r="A866" s="1" t="s">
        <v>4051</v>
      </c>
      <c r="B866" s="1" t="s">
        <v>18086</v>
      </c>
      <c r="C866" s="1" t="s">
        <v>18087</v>
      </c>
      <c r="D866" s="8" t="s">
        <v>18088</v>
      </c>
      <c r="E866" s="1" t="s">
        <v>18089</v>
      </c>
      <c r="F866" s="6" t="s">
        <v>132</v>
      </c>
      <c r="G866" s="1" t="s">
        <v>18090</v>
      </c>
      <c r="H866" s="1" t="s">
        <v>18091</v>
      </c>
      <c r="I866" s="7" t="str">
        <f>IFERROR(__xludf.DUMMYFUNCTION("GOOGLETRANSLATE(C866, ""en"", ""de"")"),"Telefon nicht geändert. Bitte versuche es erneut.")</f>
        <v>Telefon nicht geändert. Bitte versuche es erneut.</v>
      </c>
      <c r="J866" s="6" t="s">
        <v>18092</v>
      </c>
      <c r="K866" s="1" t="s">
        <v>18093</v>
      </c>
      <c r="L866" s="1" t="s">
        <v>18094</v>
      </c>
      <c r="M866" s="1" t="s">
        <v>18095</v>
      </c>
      <c r="N866" s="6" t="s">
        <v>132</v>
      </c>
      <c r="O866" s="6" t="s">
        <v>18096</v>
      </c>
      <c r="P866" s="1" t="s">
        <v>18097</v>
      </c>
      <c r="Q866" s="1" t="s">
        <v>18098</v>
      </c>
      <c r="R866" s="1" t="s">
        <v>18099</v>
      </c>
      <c r="S866" s="10" t="s">
        <v>18100</v>
      </c>
      <c r="T866" s="1" t="s">
        <v>18101</v>
      </c>
      <c r="U866" s="1" t="s">
        <v>18102</v>
      </c>
      <c r="V866" s="1" t="s">
        <v>18103</v>
      </c>
      <c r="W866" s="1" t="s">
        <v>18104</v>
      </c>
      <c r="X866" s="1" t="s">
        <v>18105</v>
      </c>
      <c r="Y866" s="11" t="s">
        <v>18106</v>
      </c>
      <c r="Z866" s="1" t="s">
        <v>18107</v>
      </c>
      <c r="AA866" s="1" t="s">
        <v>18108</v>
      </c>
      <c r="AB866" s="7" t="str">
        <f>IFERROR(__xludf.DUMMYFUNCTION("GOOGLETRANSLATE(C866, ""en"", ""ru"")"),"Телефон не изменился. Пожалуйста, попробуйте еще раз.")</f>
        <v>Телефон не изменился. Пожалуйста, попробуйте еще раз.</v>
      </c>
      <c r="AC866" s="1" t="s">
        <v>18109</v>
      </c>
      <c r="AD866" s="6" t="s">
        <v>18110</v>
      </c>
      <c r="AE866" s="7" t="str">
        <f>IFERROR(__xludf.DUMMYFUNCTION("GOOGLETRANSLATE(C866, ""en"", ""sr"")"),"Телефон се није променио. Молим вас, покушајте поново.")</f>
        <v>Телефон се није променио. Молим вас, покушајте поново.</v>
      </c>
      <c r="AF866" s="1" t="s">
        <v>18111</v>
      </c>
      <c r="AG866" s="6" t="s">
        <v>18112</v>
      </c>
      <c r="AH866" s="1" t="s">
        <v>18113</v>
      </c>
      <c r="AI866" s="6" t="s">
        <v>132</v>
      </c>
      <c r="AJ866" s="6" t="s">
        <v>18114</v>
      </c>
      <c r="AK866" s="14" t="s">
        <v>18115</v>
      </c>
      <c r="AL866" s="6" t="s">
        <v>132</v>
      </c>
    </row>
    <row r="867" ht="15.75" customHeight="1">
      <c r="A867" s="1" t="s">
        <v>127</v>
      </c>
      <c r="B867" s="1" t="s">
        <v>18116</v>
      </c>
      <c r="C867" s="1" t="s">
        <v>18117</v>
      </c>
      <c r="D867" s="8" t="s">
        <v>18118</v>
      </c>
      <c r="E867" s="1" t="s">
        <v>18119</v>
      </c>
      <c r="F867" s="6" t="s">
        <v>132</v>
      </c>
      <c r="G867" s="1" t="s">
        <v>18120</v>
      </c>
      <c r="H867" s="1" t="s">
        <v>18121</v>
      </c>
      <c r="I867" s="1" t="s">
        <v>18122</v>
      </c>
      <c r="J867" s="6" t="s">
        <v>18123</v>
      </c>
      <c r="K867" s="1" t="s">
        <v>18124</v>
      </c>
      <c r="L867" s="1" t="s">
        <v>18125</v>
      </c>
      <c r="M867" s="1" t="s">
        <v>18126</v>
      </c>
      <c r="N867" s="6" t="s">
        <v>132</v>
      </c>
      <c r="O867" s="6" t="s">
        <v>18127</v>
      </c>
      <c r="P867" s="1" t="s">
        <v>18128</v>
      </c>
      <c r="Q867" s="1" t="s">
        <v>18129</v>
      </c>
      <c r="R867" s="1" t="s">
        <v>18130</v>
      </c>
      <c r="S867" s="10" t="s">
        <v>18131</v>
      </c>
      <c r="T867" s="1" t="s">
        <v>18132</v>
      </c>
      <c r="U867" s="1" t="s">
        <v>18133</v>
      </c>
      <c r="V867" s="1" t="s">
        <v>18129</v>
      </c>
      <c r="W867" s="1" t="s">
        <v>18117</v>
      </c>
      <c r="X867" s="1" t="s">
        <v>18134</v>
      </c>
      <c r="Y867" s="1" t="s">
        <v>18135</v>
      </c>
      <c r="Z867" s="1" t="s">
        <v>18136</v>
      </c>
      <c r="AA867" s="1" t="s">
        <v>18135</v>
      </c>
      <c r="AB867" s="1" t="s">
        <v>18137</v>
      </c>
      <c r="AC867" s="1" t="s">
        <v>18135</v>
      </c>
      <c r="AD867" s="6" t="s">
        <v>18138</v>
      </c>
      <c r="AE867" s="1" t="s">
        <v>18117</v>
      </c>
      <c r="AF867" s="1" t="s">
        <v>18122</v>
      </c>
      <c r="AG867" s="6" t="s">
        <v>18139</v>
      </c>
      <c r="AH867" s="1" t="s">
        <v>18140</v>
      </c>
      <c r="AI867" s="6" t="s">
        <v>132</v>
      </c>
      <c r="AJ867" s="6" t="s">
        <v>18141</v>
      </c>
      <c r="AK867" s="1" t="s">
        <v>18142</v>
      </c>
      <c r="AL867" s="6" t="s">
        <v>132</v>
      </c>
    </row>
    <row r="868" ht="15.75" customHeight="1">
      <c r="A868" s="1" t="s">
        <v>127</v>
      </c>
      <c r="B868" s="1" t="s">
        <v>18143</v>
      </c>
      <c r="C868" s="1" t="s">
        <v>18144</v>
      </c>
      <c r="D868" s="8" t="s">
        <v>18145</v>
      </c>
      <c r="E868" s="1" t="s">
        <v>18146</v>
      </c>
      <c r="F868" s="6" t="s">
        <v>132</v>
      </c>
      <c r="G868" s="1" t="s">
        <v>18147</v>
      </c>
      <c r="H868" s="1" t="s">
        <v>18148</v>
      </c>
      <c r="I868" s="1" t="s">
        <v>18144</v>
      </c>
      <c r="J868" s="6" t="s">
        <v>18144</v>
      </c>
      <c r="K868" s="1" t="s">
        <v>18144</v>
      </c>
      <c r="L868" s="1" t="s">
        <v>18149</v>
      </c>
      <c r="M868" s="1" t="s">
        <v>18150</v>
      </c>
      <c r="N868" s="6" t="s">
        <v>132</v>
      </c>
      <c r="O868" s="6" t="s">
        <v>18151</v>
      </c>
      <c r="P868" s="1" t="s">
        <v>18152</v>
      </c>
      <c r="Q868" s="1" t="s">
        <v>18153</v>
      </c>
      <c r="R868" s="1" t="s">
        <v>18144</v>
      </c>
      <c r="S868" s="10" t="s">
        <v>18154</v>
      </c>
      <c r="T868" s="1" t="s">
        <v>18155</v>
      </c>
      <c r="U868" s="1" t="s">
        <v>18156</v>
      </c>
      <c r="V868" s="1" t="s">
        <v>18157</v>
      </c>
      <c r="W868" s="1" t="s">
        <v>18158</v>
      </c>
      <c r="X868" s="1" t="s">
        <v>18159</v>
      </c>
      <c r="Y868" s="1" t="s">
        <v>18160</v>
      </c>
      <c r="Z868" s="1" t="s">
        <v>18144</v>
      </c>
      <c r="AA868" s="1" t="s">
        <v>18161</v>
      </c>
      <c r="AB868" s="1" t="s">
        <v>18162</v>
      </c>
      <c r="AC868" s="1" t="s">
        <v>18163</v>
      </c>
      <c r="AD868" s="6" t="s">
        <v>18144</v>
      </c>
      <c r="AE868" s="1" t="s">
        <v>18164</v>
      </c>
      <c r="AF868" s="1" t="s">
        <v>18144</v>
      </c>
      <c r="AG868" s="6" t="s">
        <v>18165</v>
      </c>
      <c r="AH868" s="1" t="s">
        <v>18166</v>
      </c>
      <c r="AI868" s="6" t="s">
        <v>132</v>
      </c>
      <c r="AJ868" s="6" t="s">
        <v>18167</v>
      </c>
      <c r="AK868" s="1" t="s">
        <v>18168</v>
      </c>
      <c r="AL868" s="6" t="s">
        <v>18169</v>
      </c>
    </row>
    <row r="869" ht="15.75" hidden="1" customHeight="1">
      <c r="A869" s="1" t="s">
        <v>38</v>
      </c>
      <c r="B869" s="1" t="s">
        <v>18170</v>
      </c>
      <c r="C869" s="1" t="s">
        <v>18171</v>
      </c>
      <c r="D869" s="7" t="str">
        <f>IFERROR(__xludf.DUMMYFUNCTION("GOOGLETRANSLATE(C869, ""en"", ""ar"")"),"حجم الخط")</f>
        <v>حجم الخط</v>
      </c>
      <c r="E869" s="1" t="s">
        <v>18172</v>
      </c>
      <c r="F869" s="6" t="s">
        <v>18173</v>
      </c>
      <c r="G869" s="7" t="str">
        <f>IFERROR(__xludf.DUMMYFUNCTION("GOOGLETRANSLATE(C869, ""en"", ""cs"")"),"Velikost písma")</f>
        <v>Velikost písma</v>
      </c>
      <c r="H869" s="7" t="str">
        <f>IFERROR(__xludf.DUMMYFUNCTION("GOOGLETRANSLATE(C869, ""en"", ""da"")"),"Skriftstørrelse")</f>
        <v>Skriftstørrelse</v>
      </c>
      <c r="I869" s="1" t="s">
        <v>18174</v>
      </c>
      <c r="J869" s="6" t="s">
        <v>132</v>
      </c>
      <c r="K869" s="1" t="s">
        <v>18175</v>
      </c>
      <c r="L869" s="7" t="str">
        <f>IFERROR(__xludf.DUMMYFUNCTION("GOOGLETRANSLATE(C869, ""en"", ""fi"")"),"Fonttikoko")</f>
        <v>Fonttikoko</v>
      </c>
      <c r="M869" s="1" t="s">
        <v>18176</v>
      </c>
      <c r="N869" s="6" t="s">
        <v>18177</v>
      </c>
      <c r="O869" s="6" t="s">
        <v>132</v>
      </c>
      <c r="P869" s="1" t="s">
        <v>18178</v>
      </c>
      <c r="Q869" s="7" t="str">
        <f>IFERROR(__xludf.DUMMYFUNCTION("GOOGLETRANSLATE(C869, ""en"", ""in"")"),"Ukuran huruf")</f>
        <v>Ukuran huruf</v>
      </c>
      <c r="R869" s="1" t="s">
        <v>18179</v>
      </c>
      <c r="S869" s="6" t="s">
        <v>132</v>
      </c>
      <c r="T869" s="1" t="s">
        <v>18180</v>
      </c>
      <c r="U869" s="7" t="str">
        <f>IFERROR(__xludf.DUMMYFUNCTION("GOOGLETRANSLATE(C869, ""en"", ""ko"")"),"글꼴 크기")</f>
        <v>글꼴 크기</v>
      </c>
      <c r="V869" s="7" t="str">
        <f>IFERROR(__xludf.DUMMYFUNCTION("GOOGLETRANSLATE(C869, ""en"", ""ms"")"),"Saiz huruf")</f>
        <v>Saiz huruf</v>
      </c>
      <c r="W869" s="1" t="s">
        <v>18181</v>
      </c>
      <c r="X869" s="7" t="str">
        <f>IFERROR(__xludf.DUMMYFUNCTION("GOOGLETRANSLATE(C869, ""en"", ""no"")"),"Skriftstørrelse")</f>
        <v>Skriftstørrelse</v>
      </c>
      <c r="Y869" s="1" t="s">
        <v>18182</v>
      </c>
      <c r="Z869" s="7" t="str">
        <f>IFERROR(__xludf.DUMMYFUNCTION("GOOGLETRANSLATE(C869, ""en"", ""pt"")"),"Tamanho da fonte")</f>
        <v>Tamanho da fonte</v>
      </c>
      <c r="AA869" s="7" t="str">
        <f>IFERROR(__xludf.DUMMYFUNCTION("GOOGLETRANSLATE(C869, ""en"", ""ro"")"),"Marimea fontului")</f>
        <v>Marimea fontului</v>
      </c>
      <c r="AB869" s="1" t="s">
        <v>18183</v>
      </c>
      <c r="AC869" s="7" t="str">
        <f>IFERROR(__xludf.DUMMYFUNCTION("GOOGLETRANSLATE(C869, ""en"", ""sk"")"),"Veľkosť písma")</f>
        <v>Veľkosť písma</v>
      </c>
      <c r="AD869" s="6" t="s">
        <v>132</v>
      </c>
      <c r="AE869" s="1" t="s">
        <v>18184</v>
      </c>
      <c r="AF869" s="7" t="str">
        <f>IFERROR(__xludf.DUMMYFUNCTION("GOOGLETRANSLATE(C869, ""en"", ""sv"")"),"Textstorlek")</f>
        <v>Textstorlek</v>
      </c>
      <c r="AG869" s="6" t="s">
        <v>132</v>
      </c>
      <c r="AH869" s="7" t="str">
        <f>IFERROR(__xludf.DUMMYFUNCTION("GOOGLETRANSLATE(C869, ""en"", ""tr"")"),"Yazı Boyutu")</f>
        <v>Yazı Boyutu</v>
      </c>
      <c r="AI869" s="6" t="s">
        <v>132</v>
      </c>
      <c r="AJ869" s="6" t="s">
        <v>132</v>
      </c>
      <c r="AK869" s="7" t="str">
        <f>IFERROR(__xludf.DUMMYFUNCTION("GOOGLETRANSLATE(C869, ""en"", ""zh"")"),"字体大小")</f>
        <v>字体大小</v>
      </c>
      <c r="AL869" s="6" t="s">
        <v>18185</v>
      </c>
    </row>
    <row r="870" ht="15.75" hidden="1" customHeight="1">
      <c r="A870" s="1" t="s">
        <v>38</v>
      </c>
      <c r="B870" s="1" t="s">
        <v>18186</v>
      </c>
      <c r="C870" s="1" t="s">
        <v>18187</v>
      </c>
      <c r="D870" s="8" t="s">
        <v>18188</v>
      </c>
      <c r="E870" s="1" t="s">
        <v>18189</v>
      </c>
      <c r="F870" s="6" t="s">
        <v>18190</v>
      </c>
      <c r="G870" s="7" t="str">
        <f>IFERROR(__xludf.DUMMYFUNCTION("GOOGLETRANSLATE(C870, ""en"", ""cs"")"),"ID OPENPGP ID")</f>
        <v>ID OPENPGP ID</v>
      </c>
      <c r="H870" s="7" t="str">
        <f>IFERROR(__xludf.DUMMYFUNCTION("GOOGLETRANSLATE(C870, ""en"", ""da"")"),"OpenPGP-nøgle ID.")</f>
        <v>OpenPGP-nøgle ID.</v>
      </c>
      <c r="I870" s="1" t="s">
        <v>18191</v>
      </c>
      <c r="J870" s="6" t="s">
        <v>132</v>
      </c>
      <c r="K870" s="1" t="s">
        <v>18187</v>
      </c>
      <c r="L870" s="7" t="str">
        <f>IFERROR(__xludf.DUMMYFUNCTION("GOOGLETRANSLATE(C870, ""en"", ""fi"")"),"OPENPGP-avaimen tunnus")</f>
        <v>OPENPGP-avaimen tunnus</v>
      </c>
      <c r="M870" s="1" t="s">
        <v>18192</v>
      </c>
      <c r="N870" s="6" t="s">
        <v>18193</v>
      </c>
      <c r="O870" s="6" t="s">
        <v>132</v>
      </c>
      <c r="P870" s="1" t="s">
        <v>18194</v>
      </c>
      <c r="Q870" s="7" t="str">
        <f>IFERROR(__xludf.DUMMYFUNCTION("GOOGLETRANSLATE(C870, ""en"", ""in"")"),"ID Kunci OpenPGP.")</f>
        <v>ID Kunci OpenPGP.</v>
      </c>
      <c r="R870" s="1" t="s">
        <v>18195</v>
      </c>
      <c r="S870" s="6" t="s">
        <v>132</v>
      </c>
      <c r="T870" s="1" t="s">
        <v>18196</v>
      </c>
      <c r="U870" s="1" t="s">
        <v>18197</v>
      </c>
      <c r="V870" s="7" t="str">
        <f>IFERROR(__xludf.DUMMYFUNCTION("GOOGLETRANSLATE(C870, ""en"", ""ms"")"),"ID Key OpenPGP.")</f>
        <v>ID Key OpenPGP.</v>
      </c>
      <c r="W870" s="1" t="s">
        <v>18198</v>
      </c>
      <c r="X870" s="7" t="str">
        <f>IFERROR(__xludf.DUMMYFUNCTION("GOOGLETRANSLATE(C870, ""en"", ""no"")"),"OpenPGP Key ID.")</f>
        <v>OpenPGP Key ID.</v>
      </c>
      <c r="Y870" s="1" t="s">
        <v>18199</v>
      </c>
      <c r="Z870" s="1" t="s">
        <v>18193</v>
      </c>
      <c r="AA870" s="7" t="str">
        <f>IFERROR(__xludf.DUMMYFUNCTION("GOOGLETRANSLATE(C870, ""en"", ""ro"")"),"OPENPGP KEY ID.")</f>
        <v>OPENPGP KEY ID.</v>
      </c>
      <c r="AB870" s="1" t="s">
        <v>18200</v>
      </c>
      <c r="AC870" s="7" t="str">
        <f>IFERROR(__xludf.DUMMYFUNCTION("GOOGLETRANSLATE(C870, ""en"", ""sk"")"),"OpenPGP Key ID")</f>
        <v>OpenPGP Key ID</v>
      </c>
      <c r="AD870" s="6" t="s">
        <v>132</v>
      </c>
      <c r="AE870" s="1" t="s">
        <v>18201</v>
      </c>
      <c r="AF870" s="1" t="s">
        <v>18202</v>
      </c>
      <c r="AG870" s="6" t="s">
        <v>132</v>
      </c>
      <c r="AH870" s="7" t="str">
        <f>IFERROR(__xludf.DUMMYFUNCTION("GOOGLETRANSLATE(C870, ""en"", ""tr"")"),"OpenPGP anahtar kimliği")</f>
        <v>OpenPGP anahtar kimliği</v>
      </c>
      <c r="AI870" s="6" t="s">
        <v>18203</v>
      </c>
      <c r="AJ870" s="6" t="s">
        <v>18204</v>
      </c>
      <c r="AK870" s="7" t="str">
        <f>IFERROR(__xludf.DUMMYFUNCTION("GOOGLETRANSLATE(C870, ""en"", ""zh"")"),"OpenPGP密钥ID")</f>
        <v>OpenPGP密钥ID</v>
      </c>
      <c r="AL870" s="6" t="s">
        <v>18205</v>
      </c>
    </row>
    <row r="871" ht="15.75" customHeight="1">
      <c r="A871" s="1" t="s">
        <v>127</v>
      </c>
      <c r="B871" s="1" t="s">
        <v>18206</v>
      </c>
      <c r="C871" s="1" t="s">
        <v>18207</v>
      </c>
      <c r="D871" s="8" t="s">
        <v>18208</v>
      </c>
      <c r="E871" s="1" t="s">
        <v>18209</v>
      </c>
      <c r="F871" s="6" t="s">
        <v>132</v>
      </c>
      <c r="G871" s="1" t="s">
        <v>18210</v>
      </c>
      <c r="H871" s="1" t="s">
        <v>18211</v>
      </c>
      <c r="I871" s="1" t="s">
        <v>18212</v>
      </c>
      <c r="J871" s="6" t="s">
        <v>18213</v>
      </c>
      <c r="K871" s="1" t="s">
        <v>18214</v>
      </c>
      <c r="L871" s="1" t="s">
        <v>18215</v>
      </c>
      <c r="M871" s="1" t="s">
        <v>18216</v>
      </c>
      <c r="N871" s="6" t="s">
        <v>132</v>
      </c>
      <c r="O871" s="6" t="s">
        <v>18217</v>
      </c>
      <c r="P871" s="1" t="s">
        <v>18218</v>
      </c>
      <c r="Q871" s="1" t="s">
        <v>18219</v>
      </c>
      <c r="R871" s="1" t="s">
        <v>18220</v>
      </c>
      <c r="S871" s="10" t="s">
        <v>18221</v>
      </c>
      <c r="T871" s="1" t="s">
        <v>18222</v>
      </c>
      <c r="U871" s="1" t="s">
        <v>18223</v>
      </c>
      <c r="V871" s="1" t="s">
        <v>18219</v>
      </c>
      <c r="W871" s="1" t="s">
        <v>18224</v>
      </c>
      <c r="X871" s="1" t="s">
        <v>18225</v>
      </c>
      <c r="Y871" s="1" t="s">
        <v>18226</v>
      </c>
      <c r="Z871" s="1" t="s">
        <v>18227</v>
      </c>
      <c r="AA871" s="1" t="s">
        <v>18228</v>
      </c>
      <c r="AB871" s="1" t="s">
        <v>18229</v>
      </c>
      <c r="AC871" s="1" t="s">
        <v>18230</v>
      </c>
      <c r="AD871" s="6" t="s">
        <v>18231</v>
      </c>
      <c r="AE871" s="1" t="s">
        <v>18232</v>
      </c>
      <c r="AF871" s="1" t="s">
        <v>18233</v>
      </c>
      <c r="AG871" s="6" t="s">
        <v>18234</v>
      </c>
      <c r="AH871" s="1" t="s">
        <v>18235</v>
      </c>
      <c r="AI871" s="6" t="s">
        <v>132</v>
      </c>
      <c r="AJ871" s="6" t="s">
        <v>18236</v>
      </c>
      <c r="AK871" s="1" t="s">
        <v>18237</v>
      </c>
      <c r="AL871" s="6" t="s">
        <v>132</v>
      </c>
    </row>
    <row r="872" ht="15.75" customHeight="1">
      <c r="A872" s="1" t="s">
        <v>127</v>
      </c>
      <c r="B872" s="1" t="s">
        <v>18238</v>
      </c>
      <c r="C872" s="1" t="s">
        <v>18239</v>
      </c>
      <c r="D872" s="7" t="str">
        <f>IFERROR(__xludf.DUMMYFUNCTION("GOOGLETRANSLATE(C872, ""en"", ""ar"")"),"يشارك")</f>
        <v>يشارك</v>
      </c>
      <c r="E872" s="1" t="s">
        <v>18240</v>
      </c>
      <c r="F872" s="6" t="s">
        <v>18241</v>
      </c>
      <c r="G872" s="7" t="str">
        <f>IFERROR(__xludf.DUMMYFUNCTION("GOOGLETRANSLATE(C872, ""en"", ""cs"")"),"Podíl")</f>
        <v>Podíl</v>
      </c>
      <c r="H872" s="1" t="s">
        <v>18242</v>
      </c>
      <c r="I872" s="1" t="s">
        <v>18243</v>
      </c>
      <c r="J872" s="6" t="s">
        <v>132</v>
      </c>
      <c r="K872" s="1" t="s">
        <v>18241</v>
      </c>
      <c r="L872" s="1" t="s">
        <v>18244</v>
      </c>
      <c r="M872" s="1" t="s">
        <v>18245</v>
      </c>
      <c r="N872" s="6" t="s">
        <v>18241</v>
      </c>
      <c r="O872" s="6" t="s">
        <v>132</v>
      </c>
      <c r="P872" s="1" t="s">
        <v>18246</v>
      </c>
      <c r="Q872" s="1" t="s">
        <v>18247</v>
      </c>
      <c r="R872" s="1" t="s">
        <v>18248</v>
      </c>
      <c r="S872" s="6" t="s">
        <v>132</v>
      </c>
      <c r="T872" s="1" t="s">
        <v>18249</v>
      </c>
      <c r="U872" s="1" t="s">
        <v>5435</v>
      </c>
      <c r="V872" s="1" t="s">
        <v>18250</v>
      </c>
      <c r="W872" s="1" t="s">
        <v>18251</v>
      </c>
      <c r="X872" s="1" t="s">
        <v>18242</v>
      </c>
      <c r="Y872" s="1" t="s">
        <v>18252</v>
      </c>
      <c r="Z872" s="1" t="s">
        <v>18253</v>
      </c>
      <c r="AA872" s="7" t="str">
        <f>IFERROR(__xludf.DUMMYFUNCTION("GOOGLETRANSLATE(C872, ""en"", ""ro"")"),"Acțiune")</f>
        <v>Acțiune</v>
      </c>
      <c r="AB872" s="1" t="s">
        <v>18254</v>
      </c>
      <c r="AC872" s="7" t="str">
        <f>IFERROR(__xludf.DUMMYFUNCTION("GOOGLETRANSLATE(C872, ""en"", ""sk"")"),"zdieľam")</f>
        <v>zdieľam</v>
      </c>
      <c r="AD872" s="6" t="s">
        <v>132</v>
      </c>
      <c r="AE872" s="1" t="s">
        <v>18255</v>
      </c>
      <c r="AF872" s="1" t="s">
        <v>18256</v>
      </c>
      <c r="AG872" s="6" t="s">
        <v>132</v>
      </c>
      <c r="AH872" s="1" t="s">
        <v>18257</v>
      </c>
      <c r="AI872" s="6" t="s">
        <v>132</v>
      </c>
      <c r="AJ872" s="6" t="s">
        <v>132</v>
      </c>
      <c r="AK872" s="1" t="s">
        <v>18258</v>
      </c>
      <c r="AL872" s="6" t="s">
        <v>132</v>
      </c>
    </row>
    <row r="873" ht="15.75" hidden="1" customHeight="1">
      <c r="A873" s="1" t="s">
        <v>38</v>
      </c>
      <c r="B873" s="1" t="s">
        <v>18259</v>
      </c>
      <c r="C873" s="1" t="s">
        <v>18260</v>
      </c>
      <c r="D873" s="8" t="s">
        <v>18261</v>
      </c>
      <c r="E873" s="1" t="s">
        <v>18262</v>
      </c>
      <c r="F873" s="6" t="s">
        <v>18263</v>
      </c>
      <c r="G873" s="7" t="str">
        <f>IFERROR(__xludf.DUMMYFUNCTION("GOOGLETRANSLATE(C873, ""en"", ""cs"")"),"Připojit")</f>
        <v>Připojit</v>
      </c>
      <c r="H873" s="7" t="str">
        <f>IFERROR(__xludf.DUMMYFUNCTION("GOOGLETRANSLATE(C873, ""en"", ""da"")"),"Opret forbindelse")</f>
        <v>Opret forbindelse</v>
      </c>
      <c r="I873" s="1" t="s">
        <v>18264</v>
      </c>
      <c r="J873" s="6" t="s">
        <v>132</v>
      </c>
      <c r="K873" s="1" t="s">
        <v>18265</v>
      </c>
      <c r="L873" s="7" t="str">
        <f>IFERROR(__xludf.DUMMYFUNCTION("GOOGLETRANSLATE(C873, ""en"", ""fi"")"),"Kytkeä")</f>
        <v>Kytkeä</v>
      </c>
      <c r="M873" s="1" t="s">
        <v>10640</v>
      </c>
      <c r="N873" s="6" t="s">
        <v>18265</v>
      </c>
      <c r="O873" s="6" t="s">
        <v>132</v>
      </c>
      <c r="P873" s="1" t="s">
        <v>18266</v>
      </c>
      <c r="Q873" s="9" t="s">
        <v>18267</v>
      </c>
      <c r="R873" s="1" t="s">
        <v>18268</v>
      </c>
      <c r="S873" s="6" t="s">
        <v>132</v>
      </c>
      <c r="T873" s="1" t="s">
        <v>117</v>
      </c>
      <c r="U873" s="1" t="s">
        <v>18269</v>
      </c>
      <c r="V873" s="7" t="str">
        <f>IFERROR(__xludf.DUMMYFUNCTION("GOOGLETRANSLATE(C873, ""en"", ""ms"")"),"Sambungkan")</f>
        <v>Sambungkan</v>
      </c>
      <c r="W873" s="1" t="s">
        <v>18270</v>
      </c>
      <c r="X873" s="7" t="str">
        <f>IFERROR(__xludf.DUMMYFUNCTION("GOOGLETRANSLATE(C873, ""en"", ""no"")"),"Koble")</f>
        <v>Koble</v>
      </c>
      <c r="Y873" s="1" t="s">
        <v>18271</v>
      </c>
      <c r="Z873" s="1" t="s">
        <v>18265</v>
      </c>
      <c r="AA873" s="7" t="str">
        <f>IFERROR(__xludf.DUMMYFUNCTION("GOOGLETRANSLATE(C873, ""en"", ""ro"")"),"Conectați")</f>
        <v>Conectați</v>
      </c>
      <c r="AB873" s="1" t="s">
        <v>18272</v>
      </c>
      <c r="AC873" s="1" t="s">
        <v>18273</v>
      </c>
      <c r="AD873" s="6" t="s">
        <v>132</v>
      </c>
      <c r="AE873" s="1" t="s">
        <v>18274</v>
      </c>
      <c r="AF873" s="1" t="s">
        <v>18275</v>
      </c>
      <c r="AG873" s="6" t="s">
        <v>132</v>
      </c>
      <c r="AH873" s="7" t="str">
        <f>IFERROR(__xludf.DUMMYFUNCTION("GOOGLETRANSLATE(C873, ""en"", ""tr"")"),"Bağlamak")</f>
        <v>Bağlamak</v>
      </c>
      <c r="AI873" s="6" t="s">
        <v>18276</v>
      </c>
      <c r="AJ873" s="6" t="s">
        <v>18277</v>
      </c>
      <c r="AK873" s="7" t="str">
        <f>IFERROR(__xludf.DUMMYFUNCTION("GOOGLETRANSLATE(C873, ""en"", ""zh"")"),"连接")</f>
        <v>连接</v>
      </c>
      <c r="AL873" s="6" t="s">
        <v>126</v>
      </c>
    </row>
    <row r="874" ht="15.75" customHeight="1">
      <c r="A874" s="1" t="s">
        <v>127</v>
      </c>
      <c r="B874" s="1" t="s">
        <v>18278</v>
      </c>
      <c r="C874" s="1" t="s">
        <v>18279</v>
      </c>
      <c r="D874" s="8" t="s">
        <v>18280</v>
      </c>
      <c r="E874" s="1" t="s">
        <v>18281</v>
      </c>
      <c r="F874" s="6" t="s">
        <v>132</v>
      </c>
      <c r="G874" s="1" t="s">
        <v>18282</v>
      </c>
      <c r="H874" s="1" t="s">
        <v>18283</v>
      </c>
      <c r="I874" s="1" t="s">
        <v>18284</v>
      </c>
      <c r="J874" s="6" t="s">
        <v>18285</v>
      </c>
      <c r="K874" s="1" t="s">
        <v>18286</v>
      </c>
      <c r="L874" s="1" t="s">
        <v>18287</v>
      </c>
      <c r="M874" s="1" t="s">
        <v>18288</v>
      </c>
      <c r="N874" s="6" t="s">
        <v>132</v>
      </c>
      <c r="O874" s="6" t="s">
        <v>18289</v>
      </c>
      <c r="P874" s="1" t="s">
        <v>18290</v>
      </c>
      <c r="Q874" s="1" t="s">
        <v>18291</v>
      </c>
      <c r="R874" s="1" t="s">
        <v>18292</v>
      </c>
      <c r="S874" s="10" t="s">
        <v>18293</v>
      </c>
      <c r="T874" s="1" t="s">
        <v>18294</v>
      </c>
      <c r="U874" s="1" t="s">
        <v>18295</v>
      </c>
      <c r="V874" s="1" t="s">
        <v>18291</v>
      </c>
      <c r="W874" s="1" t="s">
        <v>18296</v>
      </c>
      <c r="X874" s="1" t="s">
        <v>18297</v>
      </c>
      <c r="Y874" s="1" t="s">
        <v>18298</v>
      </c>
      <c r="Z874" s="1" t="s">
        <v>18299</v>
      </c>
      <c r="AA874" s="1" t="s">
        <v>18300</v>
      </c>
      <c r="AB874" s="1" t="s">
        <v>18301</v>
      </c>
      <c r="AC874" s="1" t="s">
        <v>18302</v>
      </c>
      <c r="AD874" s="6" t="s">
        <v>18303</v>
      </c>
      <c r="AE874" s="1" t="s">
        <v>18304</v>
      </c>
      <c r="AF874" s="1" t="s">
        <v>18283</v>
      </c>
      <c r="AG874" s="6" t="s">
        <v>18305</v>
      </c>
      <c r="AH874" s="1" t="s">
        <v>18306</v>
      </c>
      <c r="AI874" s="6" t="s">
        <v>132</v>
      </c>
      <c r="AJ874" s="6" t="s">
        <v>18307</v>
      </c>
      <c r="AK874" s="1" t="s">
        <v>18308</v>
      </c>
      <c r="AL874" s="6" t="s">
        <v>132</v>
      </c>
    </row>
    <row r="875" ht="15.75" customHeight="1">
      <c r="A875" s="1" t="s">
        <v>127</v>
      </c>
      <c r="B875" s="1" t="s">
        <v>18309</v>
      </c>
      <c r="C875" s="1" t="s">
        <v>18310</v>
      </c>
      <c r="D875" s="8" t="s">
        <v>18311</v>
      </c>
      <c r="E875" s="1" t="s">
        <v>18312</v>
      </c>
      <c r="F875" s="6" t="s">
        <v>132</v>
      </c>
      <c r="G875" s="1" t="s">
        <v>18313</v>
      </c>
      <c r="H875" s="1" t="s">
        <v>18314</v>
      </c>
      <c r="I875" s="1" t="s">
        <v>18315</v>
      </c>
      <c r="J875" s="6" t="s">
        <v>18316</v>
      </c>
      <c r="K875" s="1" t="s">
        <v>18317</v>
      </c>
      <c r="L875" s="1" t="s">
        <v>18318</v>
      </c>
      <c r="M875" s="1" t="s">
        <v>18319</v>
      </c>
      <c r="N875" s="6" t="s">
        <v>132</v>
      </c>
      <c r="O875" s="6" t="s">
        <v>18320</v>
      </c>
      <c r="P875" s="1" t="s">
        <v>18321</v>
      </c>
      <c r="Q875" s="1" t="s">
        <v>18322</v>
      </c>
      <c r="R875" s="1" t="s">
        <v>18323</v>
      </c>
      <c r="S875" s="10" t="s">
        <v>18324</v>
      </c>
      <c r="T875" s="1" t="s">
        <v>18325</v>
      </c>
      <c r="U875" s="1" t="s">
        <v>18326</v>
      </c>
      <c r="V875" s="1" t="s">
        <v>18322</v>
      </c>
      <c r="W875" s="1" t="s">
        <v>18327</v>
      </c>
      <c r="X875" s="1" t="s">
        <v>18328</v>
      </c>
      <c r="Y875" s="1" t="s">
        <v>18329</v>
      </c>
      <c r="Z875" s="1" t="s">
        <v>18330</v>
      </c>
      <c r="AA875" s="1" t="s">
        <v>18331</v>
      </c>
      <c r="AB875" s="1" t="s">
        <v>18332</v>
      </c>
      <c r="AC875" s="1" t="s">
        <v>18333</v>
      </c>
      <c r="AD875" s="6" t="s">
        <v>18334</v>
      </c>
      <c r="AE875" s="1" t="s">
        <v>18335</v>
      </c>
      <c r="AF875" s="1" t="s">
        <v>18336</v>
      </c>
      <c r="AG875" s="6" t="s">
        <v>18337</v>
      </c>
      <c r="AH875" s="1" t="s">
        <v>18338</v>
      </c>
      <c r="AI875" s="6" t="s">
        <v>132</v>
      </c>
      <c r="AJ875" s="6" t="s">
        <v>18339</v>
      </c>
      <c r="AK875" s="1" t="s">
        <v>18340</v>
      </c>
      <c r="AL875" s="6" t="s">
        <v>18341</v>
      </c>
    </row>
    <row r="876" ht="15.75" customHeight="1">
      <c r="A876" s="1" t="s">
        <v>127</v>
      </c>
      <c r="B876" s="1" t="s">
        <v>18342</v>
      </c>
      <c r="C876" s="1" t="s">
        <v>18343</v>
      </c>
      <c r="D876" s="8" t="s">
        <v>18344</v>
      </c>
      <c r="E876" s="1" t="s">
        <v>18345</v>
      </c>
      <c r="F876" s="6" t="s">
        <v>132</v>
      </c>
      <c r="G876" s="1" t="s">
        <v>18346</v>
      </c>
      <c r="H876" s="1" t="s">
        <v>18347</v>
      </c>
      <c r="I876" s="1" t="s">
        <v>18348</v>
      </c>
      <c r="J876" s="6" t="s">
        <v>18349</v>
      </c>
      <c r="K876" s="1" t="s">
        <v>18350</v>
      </c>
      <c r="L876" s="1" t="s">
        <v>18351</v>
      </c>
      <c r="M876" s="1" t="s">
        <v>18352</v>
      </c>
      <c r="N876" s="6" t="s">
        <v>132</v>
      </c>
      <c r="O876" s="6" t="s">
        <v>18353</v>
      </c>
      <c r="P876" s="1" t="s">
        <v>18354</v>
      </c>
      <c r="Q876" s="1" t="s">
        <v>18355</v>
      </c>
      <c r="R876" s="1" t="s">
        <v>18356</v>
      </c>
      <c r="S876" s="10" t="s">
        <v>18357</v>
      </c>
      <c r="T876" s="1" t="s">
        <v>18358</v>
      </c>
      <c r="U876" s="1" t="s">
        <v>18359</v>
      </c>
      <c r="V876" s="1" t="s">
        <v>18355</v>
      </c>
      <c r="W876" s="1" t="s">
        <v>18360</v>
      </c>
      <c r="X876" s="1" t="s">
        <v>18347</v>
      </c>
      <c r="Y876" s="1" t="s">
        <v>18361</v>
      </c>
      <c r="Z876" s="1" t="s">
        <v>18362</v>
      </c>
      <c r="AA876" s="1" t="s">
        <v>18363</v>
      </c>
      <c r="AB876" s="1" t="s">
        <v>18364</v>
      </c>
      <c r="AC876" s="1" t="s">
        <v>18365</v>
      </c>
      <c r="AD876" s="6" t="s">
        <v>18366</v>
      </c>
      <c r="AE876" s="1" t="s">
        <v>18367</v>
      </c>
      <c r="AF876" s="1" t="s">
        <v>18368</v>
      </c>
      <c r="AG876" s="6" t="s">
        <v>18369</v>
      </c>
      <c r="AH876" s="1" t="s">
        <v>18370</v>
      </c>
      <c r="AI876" s="6" t="s">
        <v>132</v>
      </c>
      <c r="AJ876" s="6" t="s">
        <v>18371</v>
      </c>
      <c r="AK876" s="1" t="s">
        <v>18372</v>
      </c>
      <c r="AL876" s="6" t="s">
        <v>18373</v>
      </c>
    </row>
    <row r="877" ht="15.75" customHeight="1">
      <c r="A877" s="13" t="s">
        <v>127</v>
      </c>
      <c r="B877" s="1" t="s">
        <v>18374</v>
      </c>
      <c r="C877" s="1" t="s">
        <v>18375</v>
      </c>
      <c r="D877" s="7" t="str">
        <f>IFERROR(__xludf.DUMMYFUNCTION("GOOGLETRANSLATE(C877, ""en"", ""ar"")"),"يوصي باها الأسهم")</f>
        <v>يوصي باها الأسهم</v>
      </c>
      <c r="E877" s="7" t="str">
        <f>IFERROR(__xludf.DUMMYFUNCTION("GOOGLETRANSLATE(C877, ""en"", ""bg"")"),"Препоръчайте бахарски запаси")</f>
        <v>Препоръчайте бахарски запаси</v>
      </c>
      <c r="F877" s="6" t="s">
        <v>132</v>
      </c>
      <c r="G877" s="7" t="str">
        <f>IFERROR(__xludf.DUMMYFUNCTION("GOOGLETRANSLATE(C877, ""en"", ""cs"")"),"Doporučujeme BAHA zásoby")</f>
        <v>Doporučujeme BAHA zásoby</v>
      </c>
      <c r="H877" s="1" t="s">
        <v>18376</v>
      </c>
      <c r="I877" s="1" t="s">
        <v>18377</v>
      </c>
      <c r="J877" s="6" t="s">
        <v>132</v>
      </c>
      <c r="K877" s="1" t="s">
        <v>18378</v>
      </c>
      <c r="L877" s="1" t="s">
        <v>18379</v>
      </c>
      <c r="M877" s="1" t="s">
        <v>18380</v>
      </c>
      <c r="N877" s="6" t="s">
        <v>132</v>
      </c>
      <c r="O877" s="6" t="s">
        <v>132</v>
      </c>
      <c r="P877" s="1" t="s">
        <v>18381</v>
      </c>
      <c r="Q877" s="1" t="s">
        <v>18382</v>
      </c>
      <c r="R877" s="1" t="s">
        <v>18383</v>
      </c>
      <c r="S877" s="6" t="s">
        <v>132</v>
      </c>
      <c r="T877" s="1" t="s">
        <v>18384</v>
      </c>
      <c r="U877" s="1" t="s">
        <v>18385</v>
      </c>
      <c r="V877" s="1" t="s">
        <v>18386</v>
      </c>
      <c r="W877" s="1" t="s">
        <v>18387</v>
      </c>
      <c r="X877" s="1" t="s">
        <v>18388</v>
      </c>
      <c r="Y877" s="1" t="s">
        <v>18389</v>
      </c>
      <c r="Z877" s="1" t="s">
        <v>18390</v>
      </c>
      <c r="AA877" s="7" t="str">
        <f>IFERROR(__xludf.DUMMYFUNCTION("GOOGLETRANSLATE(C877, ""en"", ""ro"")"),"Recomanda stocurile Baha.")</f>
        <v>Recomanda stocurile Baha.</v>
      </c>
      <c r="AB877" s="1" t="s">
        <v>18391</v>
      </c>
      <c r="AC877" s="7" t="str">
        <f>IFERROR(__xludf.DUMMYFUNCTION("GOOGLETRANSLATE(C877, ""en"", ""sk"")"),"Odporučiť zásoby Bahov")</f>
        <v>Odporučiť zásoby Bahov</v>
      </c>
      <c r="AD877" s="6" t="s">
        <v>132</v>
      </c>
      <c r="AE877" s="7" t="str">
        <f>IFERROR(__xludf.DUMMYFUNCTION("GOOGLETRANSLATE(C877, ""en"", ""sr"")"),"Препоручите бахе залихе")</f>
        <v>Препоручите бахе залихе</v>
      </c>
      <c r="AF877" s="1" t="s">
        <v>18392</v>
      </c>
      <c r="AG877" s="6" t="s">
        <v>132</v>
      </c>
      <c r="AH877" s="1" t="s">
        <v>18393</v>
      </c>
      <c r="AI877" s="6" t="s">
        <v>132</v>
      </c>
      <c r="AJ877" s="6" t="s">
        <v>132</v>
      </c>
      <c r="AK877" s="1" t="s">
        <v>18394</v>
      </c>
      <c r="AL877" s="6" t="s">
        <v>132</v>
      </c>
    </row>
    <row r="878" ht="15.75" hidden="1" customHeight="1">
      <c r="A878" s="1" t="s">
        <v>38</v>
      </c>
      <c r="B878" s="1" t="s">
        <v>18395</v>
      </c>
      <c r="C878" s="1" t="s">
        <v>18396</v>
      </c>
      <c r="D878" s="8" t="s">
        <v>18397</v>
      </c>
      <c r="E878" s="1" t="s">
        <v>18398</v>
      </c>
      <c r="F878" s="6" t="s">
        <v>18399</v>
      </c>
      <c r="G878" s="7" t="str">
        <f>IFERROR(__xludf.DUMMYFUNCTION("GOOGLETRANSLATE(C878, ""en"", ""cs"")"),"Vaše zařízení nepodporuje výběr klientských certifikátů!")</f>
        <v>Vaše zařízení nepodporuje výběr klientských certifikátů!</v>
      </c>
      <c r="H878" s="7" t="str">
        <f>IFERROR(__xludf.DUMMYFUNCTION("GOOGLETRANSLATE(C878, ""en"", ""da"")"),"Din enhed understøtter ikke valget af klientcertifikater!")</f>
        <v>Din enhed understøtter ikke valget af klientcertifikater!</v>
      </c>
      <c r="I878" s="1" t="s">
        <v>18400</v>
      </c>
      <c r="J878" s="6" t="s">
        <v>132</v>
      </c>
      <c r="K878" s="1" t="s">
        <v>18401</v>
      </c>
      <c r="L878" s="7" t="str">
        <f>IFERROR(__xludf.DUMMYFUNCTION("GOOGLETRANSLATE(C878, ""en"", ""fi"")"),"Laite ei tue asiakastodistusten valintaa!")</f>
        <v>Laite ei tue asiakastodistusten valintaa!</v>
      </c>
      <c r="M878" s="1" t="s">
        <v>18402</v>
      </c>
      <c r="N878" s="6" t="s">
        <v>18403</v>
      </c>
      <c r="O878" s="6" t="s">
        <v>132</v>
      </c>
      <c r="P878" s="1" t="s">
        <v>18404</v>
      </c>
      <c r="Q878" s="7" t="str">
        <f>IFERROR(__xludf.DUMMYFUNCTION("GOOGLETRANSLATE(C878, ""en"", ""in"")"),"Perangkat Anda tidak mendukung pemilihan sertifikat klien!")</f>
        <v>Perangkat Anda tidak mendukung pemilihan sertifikat klien!</v>
      </c>
      <c r="R878" s="1" t="s">
        <v>18405</v>
      </c>
      <c r="S878" s="6" t="s">
        <v>132</v>
      </c>
      <c r="T878" s="1" t="s">
        <v>18406</v>
      </c>
      <c r="U878" s="1" t="s">
        <v>18407</v>
      </c>
      <c r="V878" s="7" t="str">
        <f>IFERROR(__xludf.DUMMYFUNCTION("GOOGLETRANSLATE(C878, ""en"", ""ms"")"),"Peranti anda tidak menyokong pemilihan sijil klien!")</f>
        <v>Peranti anda tidak menyokong pemilihan sijil klien!</v>
      </c>
      <c r="W878" s="1" t="s">
        <v>18408</v>
      </c>
      <c r="X878" s="7" t="str">
        <f>IFERROR(__xludf.DUMMYFUNCTION("GOOGLETRANSLATE(C878, ""en"", ""no"")"),"Enheten din støtter ikke valget av klientsertifikater!")</f>
        <v>Enheten din støtter ikke valget av klientsertifikater!</v>
      </c>
      <c r="Y878" s="1" t="s">
        <v>18409</v>
      </c>
      <c r="Z878" s="1" t="s">
        <v>18410</v>
      </c>
      <c r="AA878" s="7" t="str">
        <f>IFERROR(__xludf.DUMMYFUNCTION("GOOGLETRANSLATE(C878, ""en"", ""ro"")"),"Dispozitivul dvs. nu acceptă selecția certificatelor client!")</f>
        <v>Dispozitivul dvs. nu acceptă selecția certificatelor client!</v>
      </c>
      <c r="AB878" s="1" t="s">
        <v>18411</v>
      </c>
      <c r="AC878" s="7" t="str">
        <f>IFERROR(__xludf.DUMMYFUNCTION("GOOGLETRANSLATE(C878, ""en"", ""sk"")"),"Vaše zariadenie nepodporuje výber klientskych certifikátov!")</f>
        <v>Vaše zariadenie nepodporuje výber klientskych certifikátov!</v>
      </c>
      <c r="AD878" s="6" t="s">
        <v>132</v>
      </c>
      <c r="AE878" s="1" t="s">
        <v>18412</v>
      </c>
      <c r="AF878" s="1" t="s">
        <v>18413</v>
      </c>
      <c r="AG878" s="6" t="s">
        <v>132</v>
      </c>
      <c r="AH878" s="7" t="str">
        <f>IFERROR(__xludf.DUMMYFUNCTION("GOOGLETRANSLATE(C878, ""en"", ""tr"")"),"Cihazınız istemci sertifikaları seçimini desteklemiyor!")</f>
        <v>Cihazınız istemci sertifikaları seçimini desteklemiyor!</v>
      </c>
      <c r="AI878" s="6" t="s">
        <v>18414</v>
      </c>
      <c r="AJ878" s="6" t="s">
        <v>18415</v>
      </c>
      <c r="AK878" s="7" t="str">
        <f>IFERROR(__xludf.DUMMYFUNCTION("GOOGLETRANSLATE(C878, ""en"", ""zh"")"),"您的设备不支持客户服务器的选择！")</f>
        <v>您的设备不支持客户服务器的选择！</v>
      </c>
      <c r="AL878" s="6" t="s">
        <v>18416</v>
      </c>
    </row>
    <row r="879" ht="15.75" hidden="1" customHeight="1">
      <c r="A879" s="1" t="s">
        <v>38</v>
      </c>
      <c r="B879" s="1" t="s">
        <v>18417</v>
      </c>
      <c r="C879" s="1" t="s">
        <v>18418</v>
      </c>
      <c r="D879" s="8" t="s">
        <v>18419</v>
      </c>
      <c r="E879" s="1" t="s">
        <v>18420</v>
      </c>
      <c r="F879" s="6" t="s">
        <v>18421</v>
      </c>
      <c r="G879" s="7" t="str">
        <f>IFERROR(__xludf.DUMMYFUNCTION("GOOGLETRANSLATE(C879, ""en"", ""cs"")"),"Poslat nezašifrovanou zprávu")</f>
        <v>Poslat nezašifrovanou zprávu</v>
      </c>
      <c r="H879" s="7" t="str">
        <f>IFERROR(__xludf.DUMMYFUNCTION("GOOGLETRANSLATE(C879, ""en"", ""da"")"),"Send ukrypteret besked")</f>
        <v>Send ukrypteret besked</v>
      </c>
      <c r="I879" s="1" t="s">
        <v>18422</v>
      </c>
      <c r="J879" s="6" t="s">
        <v>132</v>
      </c>
      <c r="K879" s="1" t="s">
        <v>18423</v>
      </c>
      <c r="L879" s="7" t="str">
        <f>IFERROR(__xludf.DUMMYFUNCTION("GOOGLETRANSLATE(C879, ""en"", ""fi"")"),"Lähetä salaamaton viesti")</f>
        <v>Lähetä salaamaton viesti</v>
      </c>
      <c r="M879" s="1" t="s">
        <v>18424</v>
      </c>
      <c r="N879" s="6" t="s">
        <v>18425</v>
      </c>
      <c r="O879" s="6" t="s">
        <v>132</v>
      </c>
      <c r="P879" s="1" t="s">
        <v>18426</v>
      </c>
      <c r="Q879" s="9" t="s">
        <v>18427</v>
      </c>
      <c r="R879" s="1" t="s">
        <v>18428</v>
      </c>
      <c r="S879" s="6" t="s">
        <v>132</v>
      </c>
      <c r="T879" s="1" t="s">
        <v>18429</v>
      </c>
      <c r="U879" s="1" t="s">
        <v>18430</v>
      </c>
      <c r="V879" s="7" t="str">
        <f>IFERROR(__xludf.DUMMYFUNCTION("GOOGLETRANSLATE(C879, ""en"", ""ms"")"),"Hantar mesej yang tidak disulitkan")</f>
        <v>Hantar mesej yang tidak disulitkan</v>
      </c>
      <c r="W879" s="1" t="s">
        <v>18431</v>
      </c>
      <c r="X879" s="7" t="str">
        <f>IFERROR(__xludf.DUMMYFUNCTION("GOOGLETRANSLATE(C879, ""en"", ""no"")"),"Send ukryptert melding")</f>
        <v>Send ukryptert melding</v>
      </c>
      <c r="Y879" s="1" t="s">
        <v>18432</v>
      </c>
      <c r="Z879" s="1" t="s">
        <v>18433</v>
      </c>
      <c r="AA879" s="7" t="str">
        <f>IFERROR(__xludf.DUMMYFUNCTION("GOOGLETRANSLATE(C879, ""en"", ""ro"")"),"Trimiteți un mesaj necriptat")</f>
        <v>Trimiteți un mesaj necriptat</v>
      </c>
      <c r="AB879" s="1" t="s">
        <v>18434</v>
      </c>
      <c r="AC879" s="1" t="s">
        <v>18435</v>
      </c>
      <c r="AD879" s="6" t="s">
        <v>132</v>
      </c>
      <c r="AE879" s="1" t="s">
        <v>18436</v>
      </c>
      <c r="AF879" s="1" t="s">
        <v>18437</v>
      </c>
      <c r="AG879" s="6" t="s">
        <v>132</v>
      </c>
      <c r="AH879" s="7" t="str">
        <f>IFERROR(__xludf.DUMMYFUNCTION("GOOGLETRANSLATE(C879, ""en"", ""tr"")"),"Şifrelenmemiş mesaj gönder")</f>
        <v>Şifrelenmemiş mesaj gönder</v>
      </c>
      <c r="AI879" s="6" t="s">
        <v>18438</v>
      </c>
      <c r="AJ879" s="6" t="s">
        <v>18439</v>
      </c>
      <c r="AK879" s="7" t="str">
        <f>IFERROR(__xludf.DUMMYFUNCTION("GOOGLETRANSLATE(C879, ""en"", ""zh"")"),"发送未加密的消息")</f>
        <v>发送未加密的消息</v>
      </c>
      <c r="AL879" s="6" t="s">
        <v>18440</v>
      </c>
    </row>
    <row r="880" ht="15.75" customHeight="1">
      <c r="A880" s="1" t="s">
        <v>127</v>
      </c>
      <c r="B880" s="1" t="s">
        <v>18441</v>
      </c>
      <c r="C880" s="1" t="s">
        <v>18442</v>
      </c>
      <c r="D880" s="8" t="s">
        <v>18443</v>
      </c>
      <c r="E880" s="1" t="s">
        <v>18444</v>
      </c>
      <c r="F880" s="6" t="s">
        <v>132</v>
      </c>
      <c r="G880" s="1" t="s">
        <v>18445</v>
      </c>
      <c r="H880" s="1" t="s">
        <v>18446</v>
      </c>
      <c r="I880" s="1" t="s">
        <v>18447</v>
      </c>
      <c r="J880" s="6" t="s">
        <v>18448</v>
      </c>
      <c r="K880" s="1" t="s">
        <v>18449</v>
      </c>
      <c r="L880" s="1" t="s">
        <v>18450</v>
      </c>
      <c r="M880" s="1" t="s">
        <v>18451</v>
      </c>
      <c r="N880" s="6" t="s">
        <v>132</v>
      </c>
      <c r="O880" s="6" t="s">
        <v>18452</v>
      </c>
      <c r="P880" s="1" t="s">
        <v>18453</v>
      </c>
      <c r="Q880" s="1" t="s">
        <v>18454</v>
      </c>
      <c r="R880" s="1" t="s">
        <v>18455</v>
      </c>
      <c r="S880" s="10" t="s">
        <v>18456</v>
      </c>
      <c r="T880" s="1" t="s">
        <v>18457</v>
      </c>
      <c r="U880" s="1" t="s">
        <v>18458</v>
      </c>
      <c r="V880" s="1" t="s">
        <v>18459</v>
      </c>
      <c r="W880" s="1" t="s">
        <v>18460</v>
      </c>
      <c r="X880" s="1" t="s">
        <v>18461</v>
      </c>
      <c r="Y880" s="1" t="s">
        <v>18462</v>
      </c>
      <c r="Z880" s="1" t="s">
        <v>18463</v>
      </c>
      <c r="AA880" s="1" t="s">
        <v>18464</v>
      </c>
      <c r="AB880" s="1" t="s">
        <v>18465</v>
      </c>
      <c r="AC880" s="1" t="s">
        <v>18466</v>
      </c>
      <c r="AD880" s="6" t="s">
        <v>18467</v>
      </c>
      <c r="AE880" s="1" t="s">
        <v>18468</v>
      </c>
      <c r="AF880" s="1" t="s">
        <v>18469</v>
      </c>
      <c r="AG880" s="6" t="s">
        <v>18470</v>
      </c>
      <c r="AH880" s="1" t="s">
        <v>18471</v>
      </c>
      <c r="AI880" s="6" t="s">
        <v>132</v>
      </c>
      <c r="AJ880" s="6" t="s">
        <v>18472</v>
      </c>
      <c r="AK880" s="1" t="s">
        <v>18473</v>
      </c>
      <c r="AL880" s="6" t="s">
        <v>18474</v>
      </c>
    </row>
    <row r="881" ht="15.75" customHeight="1">
      <c r="A881" s="1" t="s">
        <v>127</v>
      </c>
      <c r="B881" s="1" t="s">
        <v>18475</v>
      </c>
      <c r="C881" s="1" t="s">
        <v>18476</v>
      </c>
      <c r="D881" s="8" t="s">
        <v>18477</v>
      </c>
      <c r="E881" s="1" t="s">
        <v>18478</v>
      </c>
      <c r="F881" s="6" t="s">
        <v>132</v>
      </c>
      <c r="G881" s="1" t="s">
        <v>18479</v>
      </c>
      <c r="H881" s="1" t="s">
        <v>18480</v>
      </c>
      <c r="I881" s="1" t="s">
        <v>18481</v>
      </c>
      <c r="J881" s="6" t="s">
        <v>18482</v>
      </c>
      <c r="K881" s="1" t="s">
        <v>18483</v>
      </c>
      <c r="L881" s="1" t="s">
        <v>18484</v>
      </c>
      <c r="M881" s="1" t="s">
        <v>18485</v>
      </c>
      <c r="N881" s="6" t="s">
        <v>132</v>
      </c>
      <c r="O881" s="6" t="s">
        <v>18486</v>
      </c>
      <c r="P881" s="1" t="s">
        <v>18487</v>
      </c>
      <c r="Q881" s="1" t="s">
        <v>18488</v>
      </c>
      <c r="R881" s="1" t="s">
        <v>18489</v>
      </c>
      <c r="S881" s="10" t="s">
        <v>18490</v>
      </c>
      <c r="T881" s="1" t="s">
        <v>18491</v>
      </c>
      <c r="U881" s="1" t="s">
        <v>18492</v>
      </c>
      <c r="V881" s="1" t="s">
        <v>18488</v>
      </c>
      <c r="W881" s="1" t="s">
        <v>18480</v>
      </c>
      <c r="X881" s="1" t="s">
        <v>18493</v>
      </c>
      <c r="Y881" s="1" t="s">
        <v>18494</v>
      </c>
      <c r="Z881" s="1" t="s">
        <v>18495</v>
      </c>
      <c r="AA881" s="1" t="s">
        <v>18496</v>
      </c>
      <c r="AB881" s="1" t="s">
        <v>18497</v>
      </c>
      <c r="AC881" s="1" t="s">
        <v>18498</v>
      </c>
      <c r="AD881" s="6" t="s">
        <v>18499</v>
      </c>
      <c r="AE881" s="1" t="s">
        <v>18500</v>
      </c>
      <c r="AF881" s="1" t="s">
        <v>18493</v>
      </c>
      <c r="AG881" s="6" t="s">
        <v>18501</v>
      </c>
      <c r="AH881" s="1" t="s">
        <v>18502</v>
      </c>
      <c r="AI881" s="6" t="s">
        <v>132</v>
      </c>
      <c r="AJ881" s="6" t="s">
        <v>18503</v>
      </c>
      <c r="AK881" s="1" t="s">
        <v>18504</v>
      </c>
      <c r="AL881" s="6" t="s">
        <v>132</v>
      </c>
    </row>
    <row r="882" ht="15.75" customHeight="1">
      <c r="A882" s="1" t="s">
        <v>127</v>
      </c>
      <c r="B882" s="1" t="s">
        <v>18505</v>
      </c>
      <c r="C882" s="1" t="s">
        <v>18506</v>
      </c>
      <c r="D882" s="8" t="s">
        <v>18507</v>
      </c>
      <c r="E882" s="1" t="s">
        <v>18508</v>
      </c>
      <c r="F882" s="6" t="s">
        <v>132</v>
      </c>
      <c r="G882" s="1" t="s">
        <v>18509</v>
      </c>
      <c r="H882" s="1" t="s">
        <v>18510</v>
      </c>
      <c r="I882" s="1" t="s">
        <v>18511</v>
      </c>
      <c r="J882" s="6" t="s">
        <v>18512</v>
      </c>
      <c r="K882" s="1" t="s">
        <v>18513</v>
      </c>
      <c r="L882" s="1" t="s">
        <v>18514</v>
      </c>
      <c r="M882" s="1" t="s">
        <v>18515</v>
      </c>
      <c r="N882" s="6" t="s">
        <v>132</v>
      </c>
      <c r="O882" s="6" t="s">
        <v>18516</v>
      </c>
      <c r="P882" s="1" t="s">
        <v>18517</v>
      </c>
      <c r="Q882" s="1" t="s">
        <v>18518</v>
      </c>
      <c r="R882" s="1" t="s">
        <v>18519</v>
      </c>
      <c r="S882" s="10" t="s">
        <v>18520</v>
      </c>
      <c r="T882" s="1" t="s">
        <v>18521</v>
      </c>
      <c r="U882" s="1" t="s">
        <v>18522</v>
      </c>
      <c r="V882" s="1" t="s">
        <v>18523</v>
      </c>
      <c r="W882" s="1" t="s">
        <v>18524</v>
      </c>
      <c r="X882" s="1" t="s">
        <v>18525</v>
      </c>
      <c r="Y882" s="1" t="s">
        <v>18526</v>
      </c>
      <c r="Z882" s="1" t="s">
        <v>18527</v>
      </c>
      <c r="AA882" s="1" t="s">
        <v>18528</v>
      </c>
      <c r="AB882" s="1" t="s">
        <v>18529</v>
      </c>
      <c r="AC882" s="1" t="s">
        <v>18530</v>
      </c>
      <c r="AD882" s="6" t="s">
        <v>18531</v>
      </c>
      <c r="AE882" s="1" t="s">
        <v>18532</v>
      </c>
      <c r="AF882" s="1" t="s">
        <v>18533</v>
      </c>
      <c r="AG882" s="6" t="s">
        <v>18534</v>
      </c>
      <c r="AH882" s="1" t="s">
        <v>18535</v>
      </c>
      <c r="AI882" s="6" t="s">
        <v>132</v>
      </c>
      <c r="AJ882" s="6" t="s">
        <v>18536</v>
      </c>
      <c r="AK882" s="1" t="s">
        <v>18537</v>
      </c>
      <c r="AL882" s="6" t="s">
        <v>18538</v>
      </c>
    </row>
    <row r="883" ht="15.75" customHeight="1">
      <c r="A883" s="1" t="s">
        <v>127</v>
      </c>
      <c r="B883" s="1" t="s">
        <v>18539</v>
      </c>
      <c r="C883" s="1" t="s">
        <v>18540</v>
      </c>
      <c r="D883" s="8" t="s">
        <v>18541</v>
      </c>
      <c r="E883" s="1" t="s">
        <v>18542</v>
      </c>
      <c r="F883" s="6" t="s">
        <v>132</v>
      </c>
      <c r="G883" s="1" t="s">
        <v>18543</v>
      </c>
      <c r="H883" s="1" t="s">
        <v>18544</v>
      </c>
      <c r="I883" s="1" t="s">
        <v>18545</v>
      </c>
      <c r="J883" s="6" t="s">
        <v>18546</v>
      </c>
      <c r="K883" s="1" t="s">
        <v>18547</v>
      </c>
      <c r="L883" s="1" t="s">
        <v>18548</v>
      </c>
      <c r="M883" s="1" t="s">
        <v>18549</v>
      </c>
      <c r="N883" s="6" t="s">
        <v>132</v>
      </c>
      <c r="O883" s="6" t="s">
        <v>18550</v>
      </c>
      <c r="P883" s="1" t="s">
        <v>18551</v>
      </c>
      <c r="Q883" s="1" t="s">
        <v>18552</v>
      </c>
      <c r="R883" s="1" t="s">
        <v>18553</v>
      </c>
      <c r="S883" s="10" t="s">
        <v>18554</v>
      </c>
      <c r="T883" s="1" t="s">
        <v>18555</v>
      </c>
      <c r="U883" s="1" t="s">
        <v>18556</v>
      </c>
      <c r="V883" s="1" t="s">
        <v>18557</v>
      </c>
      <c r="W883" s="1" t="s">
        <v>18558</v>
      </c>
      <c r="X883" s="1" t="s">
        <v>18559</v>
      </c>
      <c r="Y883" s="1" t="s">
        <v>18560</v>
      </c>
      <c r="Z883" s="1" t="s">
        <v>18561</v>
      </c>
      <c r="AA883" s="1" t="s">
        <v>18562</v>
      </c>
      <c r="AB883" s="1" t="s">
        <v>18563</v>
      </c>
      <c r="AC883" s="1" t="s">
        <v>18564</v>
      </c>
      <c r="AD883" s="6" t="s">
        <v>18565</v>
      </c>
      <c r="AE883" s="1" t="s">
        <v>18566</v>
      </c>
      <c r="AF883" s="1" t="s">
        <v>18567</v>
      </c>
      <c r="AG883" s="6" t="s">
        <v>18568</v>
      </c>
      <c r="AH883" s="1" t="s">
        <v>18569</v>
      </c>
      <c r="AI883" s="6" t="s">
        <v>132</v>
      </c>
      <c r="AJ883" s="6" t="s">
        <v>18570</v>
      </c>
      <c r="AK883" s="1" t="s">
        <v>18571</v>
      </c>
      <c r="AL883" s="6" t="s">
        <v>132</v>
      </c>
    </row>
    <row r="884" ht="15.75" customHeight="1">
      <c r="A884" s="1" t="s">
        <v>127</v>
      </c>
      <c r="B884" s="1" t="s">
        <v>18572</v>
      </c>
      <c r="C884" s="1" t="s">
        <v>18573</v>
      </c>
      <c r="D884" s="8" t="s">
        <v>18574</v>
      </c>
      <c r="E884" s="1" t="s">
        <v>18575</v>
      </c>
      <c r="F884" s="6" t="s">
        <v>132</v>
      </c>
      <c r="G884" s="1" t="s">
        <v>18576</v>
      </c>
      <c r="H884" s="1" t="s">
        <v>18577</v>
      </c>
      <c r="I884" s="1" t="s">
        <v>18573</v>
      </c>
      <c r="J884" s="6" t="s">
        <v>18578</v>
      </c>
      <c r="K884" s="1" t="s">
        <v>18573</v>
      </c>
      <c r="L884" s="1" t="s">
        <v>18573</v>
      </c>
      <c r="M884" s="1" t="s">
        <v>18579</v>
      </c>
      <c r="N884" s="6" t="s">
        <v>132</v>
      </c>
      <c r="O884" s="6" t="s">
        <v>18580</v>
      </c>
      <c r="P884" s="1" t="s">
        <v>18573</v>
      </c>
      <c r="Q884" s="1" t="s">
        <v>18581</v>
      </c>
      <c r="R884" s="1" t="s">
        <v>18573</v>
      </c>
      <c r="S884" s="10" t="s">
        <v>18582</v>
      </c>
      <c r="T884" s="1" t="s">
        <v>18583</v>
      </c>
      <c r="U884" s="1" t="s">
        <v>18584</v>
      </c>
      <c r="V884" s="1" t="s">
        <v>18581</v>
      </c>
      <c r="W884" s="1" t="s">
        <v>18573</v>
      </c>
      <c r="X884" s="1" t="s">
        <v>18573</v>
      </c>
      <c r="Y884" s="1" t="s">
        <v>18573</v>
      </c>
      <c r="Z884" s="1" t="s">
        <v>18573</v>
      </c>
      <c r="AA884" s="1" t="s">
        <v>18585</v>
      </c>
      <c r="AB884" s="1" t="s">
        <v>18586</v>
      </c>
      <c r="AC884" s="1" t="s">
        <v>18587</v>
      </c>
      <c r="AD884" s="6" t="s">
        <v>18588</v>
      </c>
      <c r="AE884" s="1" t="s">
        <v>18573</v>
      </c>
      <c r="AF884" s="1" t="s">
        <v>18589</v>
      </c>
      <c r="AG884" s="6" t="s">
        <v>18590</v>
      </c>
      <c r="AH884" s="1" t="s">
        <v>18591</v>
      </c>
      <c r="AI884" s="6" t="s">
        <v>132</v>
      </c>
      <c r="AJ884" s="6" t="s">
        <v>18592</v>
      </c>
      <c r="AK884" s="1" t="s">
        <v>18593</v>
      </c>
      <c r="AL884" s="6" t="s">
        <v>18594</v>
      </c>
    </row>
    <row r="885" ht="15.75" customHeight="1">
      <c r="A885" s="1" t="s">
        <v>127</v>
      </c>
      <c r="B885" s="1" t="s">
        <v>18595</v>
      </c>
      <c r="C885" s="1" t="s">
        <v>18596</v>
      </c>
      <c r="D885" s="8" t="s">
        <v>18597</v>
      </c>
      <c r="E885" s="1" t="s">
        <v>18598</v>
      </c>
      <c r="F885" s="6" t="s">
        <v>132</v>
      </c>
      <c r="G885" s="1" t="s">
        <v>18599</v>
      </c>
      <c r="H885" s="1" t="s">
        <v>18600</v>
      </c>
      <c r="I885" s="1" t="s">
        <v>18601</v>
      </c>
      <c r="J885" s="6" t="s">
        <v>18602</v>
      </c>
      <c r="K885" s="1" t="s">
        <v>18603</v>
      </c>
      <c r="L885" s="1" t="s">
        <v>18604</v>
      </c>
      <c r="M885" s="1" t="s">
        <v>18605</v>
      </c>
      <c r="N885" s="6" t="s">
        <v>132</v>
      </c>
      <c r="O885" s="6" t="s">
        <v>18606</v>
      </c>
      <c r="P885" s="1" t="s">
        <v>18607</v>
      </c>
      <c r="Q885" s="1" t="s">
        <v>18608</v>
      </c>
      <c r="R885" s="1" t="s">
        <v>18609</v>
      </c>
      <c r="S885" s="10" t="s">
        <v>18610</v>
      </c>
      <c r="T885" s="1" t="s">
        <v>18611</v>
      </c>
      <c r="U885" s="1" t="s">
        <v>18612</v>
      </c>
      <c r="V885" s="1" t="s">
        <v>18613</v>
      </c>
      <c r="W885" s="1" t="s">
        <v>18614</v>
      </c>
      <c r="X885" s="1" t="s">
        <v>18615</v>
      </c>
      <c r="Y885" s="1" t="s">
        <v>18616</v>
      </c>
      <c r="Z885" s="1" t="s">
        <v>18617</v>
      </c>
      <c r="AA885" s="1" t="s">
        <v>18618</v>
      </c>
      <c r="AB885" s="1" t="s">
        <v>18619</v>
      </c>
      <c r="AC885" s="1" t="s">
        <v>18620</v>
      </c>
      <c r="AD885" s="6" t="s">
        <v>18621</v>
      </c>
      <c r="AE885" s="1" t="s">
        <v>18622</v>
      </c>
      <c r="AF885" s="1" t="s">
        <v>18623</v>
      </c>
      <c r="AG885" s="6" t="s">
        <v>18624</v>
      </c>
      <c r="AH885" s="1" t="s">
        <v>18625</v>
      </c>
      <c r="AI885" s="6" t="s">
        <v>132</v>
      </c>
      <c r="AJ885" s="6" t="s">
        <v>18626</v>
      </c>
      <c r="AK885" s="1" t="s">
        <v>18627</v>
      </c>
      <c r="AL885" s="6" t="s">
        <v>18628</v>
      </c>
    </row>
    <row r="886" ht="15.75" customHeight="1">
      <c r="A886" s="1" t="s">
        <v>127</v>
      </c>
      <c r="B886" s="1" t="s">
        <v>18629</v>
      </c>
      <c r="C886" s="1" t="s">
        <v>18630</v>
      </c>
      <c r="D886" s="8" t="s">
        <v>234</v>
      </c>
      <c r="E886" s="1" t="s">
        <v>18631</v>
      </c>
      <c r="F886" s="6" t="s">
        <v>132</v>
      </c>
      <c r="G886" s="1" t="s">
        <v>18632</v>
      </c>
      <c r="H886" s="1" t="s">
        <v>18633</v>
      </c>
      <c r="I886" s="1" t="s">
        <v>18633</v>
      </c>
      <c r="J886" s="6" t="s">
        <v>18634</v>
      </c>
      <c r="K886" s="1" t="s">
        <v>18635</v>
      </c>
      <c r="L886" s="1" t="s">
        <v>18636</v>
      </c>
      <c r="M886" s="1" t="s">
        <v>237</v>
      </c>
      <c r="N886" s="6" t="s">
        <v>132</v>
      </c>
      <c r="O886" s="6" t="s">
        <v>18637</v>
      </c>
      <c r="P886" s="1" t="s">
        <v>18638</v>
      </c>
      <c r="Q886" s="1" t="s">
        <v>18639</v>
      </c>
      <c r="R886" s="1" t="s">
        <v>18640</v>
      </c>
      <c r="S886" s="10" t="s">
        <v>238</v>
      </c>
      <c r="T886" s="1" t="s">
        <v>18641</v>
      </c>
      <c r="U886" s="1" t="s">
        <v>18642</v>
      </c>
      <c r="V886" s="1" t="s">
        <v>18639</v>
      </c>
      <c r="W886" s="1" t="s">
        <v>18630</v>
      </c>
      <c r="X886" s="1" t="s">
        <v>18633</v>
      </c>
      <c r="Y886" s="1" t="s">
        <v>18633</v>
      </c>
      <c r="Z886" s="1" t="s">
        <v>18635</v>
      </c>
      <c r="AA886" s="1" t="s">
        <v>18630</v>
      </c>
      <c r="AB886" s="1" t="s">
        <v>18643</v>
      </c>
      <c r="AC886" s="1" t="s">
        <v>18644</v>
      </c>
      <c r="AD886" s="6" t="s">
        <v>18645</v>
      </c>
      <c r="AE886" s="1" t="s">
        <v>18646</v>
      </c>
      <c r="AF886" s="1" t="s">
        <v>18647</v>
      </c>
      <c r="AG886" s="6" t="s">
        <v>18648</v>
      </c>
      <c r="AH886" s="1" t="s">
        <v>18649</v>
      </c>
      <c r="AI886" s="6" t="s">
        <v>132</v>
      </c>
      <c r="AJ886" s="6" t="s">
        <v>3773</v>
      </c>
      <c r="AK886" s="1" t="s">
        <v>18650</v>
      </c>
      <c r="AL886" s="6" t="s">
        <v>132</v>
      </c>
    </row>
    <row r="887" ht="15.75" customHeight="1">
      <c r="A887" s="1" t="s">
        <v>127</v>
      </c>
      <c r="B887" s="1" t="s">
        <v>18651</v>
      </c>
      <c r="C887" s="1" t="s">
        <v>18652</v>
      </c>
      <c r="D887" s="8" t="s">
        <v>18653</v>
      </c>
      <c r="E887" s="1" t="s">
        <v>18654</v>
      </c>
      <c r="F887" s="6" t="s">
        <v>132</v>
      </c>
      <c r="G887" s="1" t="s">
        <v>18655</v>
      </c>
      <c r="H887" s="1" t="s">
        <v>18656</v>
      </c>
      <c r="I887" s="1" t="s">
        <v>18657</v>
      </c>
      <c r="J887" s="6" t="s">
        <v>18658</v>
      </c>
      <c r="K887" s="1" t="s">
        <v>18659</v>
      </c>
      <c r="L887" s="1" t="s">
        <v>18660</v>
      </c>
      <c r="M887" s="1" t="s">
        <v>18661</v>
      </c>
      <c r="N887" s="6" t="s">
        <v>132</v>
      </c>
      <c r="O887" s="6" t="s">
        <v>18662</v>
      </c>
      <c r="P887" s="1" t="s">
        <v>18652</v>
      </c>
      <c r="Q887" s="1" t="s">
        <v>18663</v>
      </c>
      <c r="R887" s="1" t="s">
        <v>18664</v>
      </c>
      <c r="S887" s="10" t="s">
        <v>18665</v>
      </c>
      <c r="T887" s="1" t="s">
        <v>18666</v>
      </c>
      <c r="U887" s="1" t="s">
        <v>18667</v>
      </c>
      <c r="V887" s="1" t="s">
        <v>18663</v>
      </c>
      <c r="W887" s="1" t="s">
        <v>18668</v>
      </c>
      <c r="X887" s="1" t="s">
        <v>18656</v>
      </c>
      <c r="Y887" s="1" t="s">
        <v>18669</v>
      </c>
      <c r="Z887" s="1" t="s">
        <v>18670</v>
      </c>
      <c r="AA887" s="1" t="s">
        <v>18671</v>
      </c>
      <c r="AB887" s="1" t="s">
        <v>18672</v>
      </c>
      <c r="AC887" s="1" t="s">
        <v>18673</v>
      </c>
      <c r="AD887" s="6" t="s">
        <v>18674</v>
      </c>
      <c r="AE887" s="1" t="s">
        <v>18675</v>
      </c>
      <c r="AF887" s="1" t="s">
        <v>18676</v>
      </c>
      <c r="AG887" s="6" t="s">
        <v>18677</v>
      </c>
      <c r="AH887" s="1" t="s">
        <v>18678</v>
      </c>
      <c r="AI887" s="6" t="s">
        <v>132</v>
      </c>
      <c r="AJ887" s="6" t="s">
        <v>18679</v>
      </c>
      <c r="AK887" s="1" t="s">
        <v>18680</v>
      </c>
      <c r="AL887" s="6" t="s">
        <v>132</v>
      </c>
    </row>
    <row r="888" ht="15.75" customHeight="1">
      <c r="A888" s="1" t="s">
        <v>127</v>
      </c>
      <c r="B888" s="1" t="s">
        <v>18681</v>
      </c>
      <c r="C888" s="1" t="s">
        <v>13164</v>
      </c>
      <c r="D888" s="8" t="s">
        <v>13165</v>
      </c>
      <c r="E888" s="1" t="s">
        <v>13166</v>
      </c>
      <c r="F888" s="6" t="s">
        <v>132</v>
      </c>
      <c r="G888" s="1" t="s">
        <v>13167</v>
      </c>
      <c r="H888" s="1" t="s">
        <v>13168</v>
      </c>
      <c r="I888" s="1" t="s">
        <v>13164</v>
      </c>
      <c r="J888" s="6" t="s">
        <v>13169</v>
      </c>
      <c r="K888" s="1" t="s">
        <v>13164</v>
      </c>
      <c r="L888" s="1" t="s">
        <v>13164</v>
      </c>
      <c r="M888" s="1" t="s">
        <v>13164</v>
      </c>
      <c r="N888" s="6" t="s">
        <v>132</v>
      </c>
      <c r="O888" s="6" t="s">
        <v>13170</v>
      </c>
      <c r="P888" s="1" t="s">
        <v>13164</v>
      </c>
      <c r="Q888" s="1" t="s">
        <v>18682</v>
      </c>
      <c r="R888" s="1" t="s">
        <v>13164</v>
      </c>
      <c r="S888" s="10" t="s">
        <v>18683</v>
      </c>
      <c r="T888" s="1" t="s">
        <v>13172</v>
      </c>
      <c r="U888" s="1" t="s">
        <v>13173</v>
      </c>
      <c r="V888" s="1" t="s">
        <v>13174</v>
      </c>
      <c r="W888" s="1" t="s">
        <v>13164</v>
      </c>
      <c r="X888" s="1" t="s">
        <v>13176</v>
      </c>
      <c r="Y888" s="1" t="s">
        <v>13164</v>
      </c>
      <c r="Z888" s="1" t="s">
        <v>18684</v>
      </c>
      <c r="AA888" s="1" t="s">
        <v>13179</v>
      </c>
      <c r="AB888" s="1" t="s">
        <v>18685</v>
      </c>
      <c r="AC888" s="1" t="s">
        <v>13181</v>
      </c>
      <c r="AD888" s="6" t="s">
        <v>13182</v>
      </c>
      <c r="AE888" s="1" t="s">
        <v>13164</v>
      </c>
      <c r="AF888" s="1" t="s">
        <v>13183</v>
      </c>
      <c r="AG888" s="6" t="s">
        <v>13184</v>
      </c>
      <c r="AH888" s="1" t="s">
        <v>18686</v>
      </c>
      <c r="AI888" s="6" t="s">
        <v>132</v>
      </c>
      <c r="AJ888" s="6" t="s">
        <v>13186</v>
      </c>
      <c r="AK888" s="1" t="s">
        <v>18687</v>
      </c>
      <c r="AL888" s="6" t="s">
        <v>18688</v>
      </c>
    </row>
    <row r="889" ht="15.75" customHeight="1">
      <c r="A889" s="1" t="s">
        <v>127</v>
      </c>
      <c r="B889" s="1" t="s">
        <v>18689</v>
      </c>
      <c r="C889" s="1" t="s">
        <v>18690</v>
      </c>
      <c r="D889" s="8" t="s">
        <v>18691</v>
      </c>
      <c r="E889" s="1" t="s">
        <v>18692</v>
      </c>
      <c r="F889" s="6" t="s">
        <v>132</v>
      </c>
      <c r="G889" s="1" t="s">
        <v>18693</v>
      </c>
      <c r="H889" s="1" t="s">
        <v>18694</v>
      </c>
      <c r="I889" s="1" t="s">
        <v>18695</v>
      </c>
      <c r="J889" s="6" t="s">
        <v>18696</v>
      </c>
      <c r="K889" s="1" t="s">
        <v>18690</v>
      </c>
      <c r="L889" s="1" t="s">
        <v>18697</v>
      </c>
      <c r="M889" s="1" t="s">
        <v>18698</v>
      </c>
      <c r="N889" s="6" t="s">
        <v>132</v>
      </c>
      <c r="O889" s="6" t="s">
        <v>18699</v>
      </c>
      <c r="P889" s="1" t="s">
        <v>18700</v>
      </c>
      <c r="Q889" s="1" t="s">
        <v>18701</v>
      </c>
      <c r="R889" s="1" t="s">
        <v>18702</v>
      </c>
      <c r="S889" s="10" t="s">
        <v>18703</v>
      </c>
      <c r="T889" s="1" t="s">
        <v>18704</v>
      </c>
      <c r="U889" s="1" t="s">
        <v>18705</v>
      </c>
      <c r="V889" s="1" t="s">
        <v>18706</v>
      </c>
      <c r="W889" s="1" t="s">
        <v>18707</v>
      </c>
      <c r="X889" s="1" t="s">
        <v>18708</v>
      </c>
      <c r="Y889" s="1" t="s">
        <v>18709</v>
      </c>
      <c r="Z889" s="1" t="s">
        <v>18710</v>
      </c>
      <c r="AA889" s="1" t="s">
        <v>18711</v>
      </c>
      <c r="AB889" s="1" t="s">
        <v>18712</v>
      </c>
      <c r="AC889" s="1" t="s">
        <v>18713</v>
      </c>
      <c r="AD889" s="6" t="s">
        <v>18714</v>
      </c>
      <c r="AE889" s="1" t="s">
        <v>18715</v>
      </c>
      <c r="AF889" s="1" t="s">
        <v>18716</v>
      </c>
      <c r="AG889" s="6" t="s">
        <v>18717</v>
      </c>
      <c r="AH889" s="1" t="s">
        <v>18718</v>
      </c>
      <c r="AI889" s="6" t="s">
        <v>132</v>
      </c>
      <c r="AJ889" s="6" t="s">
        <v>18719</v>
      </c>
      <c r="AK889" s="1" t="s">
        <v>18720</v>
      </c>
      <c r="AL889" s="6" t="s">
        <v>132</v>
      </c>
    </row>
    <row r="890" ht="15.75" hidden="1" customHeight="1">
      <c r="A890" s="1" t="s">
        <v>38</v>
      </c>
      <c r="B890" s="1" t="s">
        <v>18721</v>
      </c>
      <c r="C890" s="1" t="s">
        <v>18722</v>
      </c>
      <c r="D890" s="7" t="str">
        <f>IFERROR(__xludf.DUMMYFUNCTION("GOOGLETRANSLATE(C890, ""en"", ""ar"")"),"إرسال بالدردشة")</f>
        <v>إرسال بالدردشة</v>
      </c>
      <c r="E890" s="7" t="str">
        <f>IFERROR(__xludf.DUMMYFUNCTION("GOOGLETRANSLATE(C890, ""en"", ""bg"")"),"Изпрати по чат")</f>
        <v>Изпрати по чат</v>
      </c>
      <c r="F890" s="6" t="s">
        <v>132</v>
      </c>
      <c r="G890" s="7" t="str">
        <f>IFERROR(__xludf.DUMMYFUNCTION("GOOGLETRANSLATE(C890, ""en"", ""cs"")"),"Odeslat Chatem")</f>
        <v>Odeslat Chatem</v>
      </c>
      <c r="H890" s="7" t="str">
        <f>IFERROR(__xludf.DUMMYFUNCTION("GOOGLETRANSLATE(C890, ""en"", ""da"")"),"Send efter chat.")</f>
        <v>Send efter chat.</v>
      </c>
      <c r="I890" s="1" t="s">
        <v>18723</v>
      </c>
      <c r="J890" s="6" t="s">
        <v>132</v>
      </c>
      <c r="K890" s="1" t="s">
        <v>18724</v>
      </c>
      <c r="L890" s="7" t="str">
        <f>IFERROR(__xludf.DUMMYFUNCTION("GOOGLETRANSLATE(C890, ""en"", ""fi"")"),"Lähetä chat")</f>
        <v>Lähetä chat</v>
      </c>
      <c r="M890" s="1" t="s">
        <v>18725</v>
      </c>
      <c r="N890" s="6" t="s">
        <v>132</v>
      </c>
      <c r="O890" s="6" t="s">
        <v>132</v>
      </c>
      <c r="P890" s="1" t="s">
        <v>18726</v>
      </c>
      <c r="Q890" s="7" t="str">
        <f>IFERROR(__xludf.DUMMYFUNCTION("GOOGLETRANSLATE(C890, ""en"", ""in"")"),"Kirim melalui obrolan")</f>
        <v>Kirim melalui obrolan</v>
      </c>
      <c r="R890" s="7" t="str">
        <f>IFERROR(__xludf.DUMMYFUNCTION("GOOGLETRANSLATE(C890, ""en"", ""it"")"),"Invia per chat")</f>
        <v>Invia per chat</v>
      </c>
      <c r="S890" s="6" t="s">
        <v>132</v>
      </c>
      <c r="T890" s="7" t="str">
        <f>IFERROR(__xludf.DUMMYFUNCTION("GOOGLETRANSLATE(C890, ""en"", ""ja"")"),"チャットで送る")</f>
        <v>チャットで送る</v>
      </c>
      <c r="U890" s="7" t="str">
        <f>IFERROR(__xludf.DUMMYFUNCTION("GOOGLETRANSLATE(C890, ""en"", ""ko"")"),"채팅으로 보내십시오")</f>
        <v>채팅으로 보내십시오</v>
      </c>
      <c r="V890" s="7" t="str">
        <f>IFERROR(__xludf.DUMMYFUNCTION("GOOGLETRANSLATE(C890, ""en"", ""ms"")"),"Hantar dengan sembang")</f>
        <v>Hantar dengan sembang</v>
      </c>
      <c r="W890" s="7" t="str">
        <f>IFERROR(__xludf.DUMMYFUNCTION("GOOGLETRANSLATE(C890, ""en"", ""nl"")"),"Verzenden door chat")</f>
        <v>Verzenden door chat</v>
      </c>
      <c r="X890" s="7" t="str">
        <f>IFERROR(__xludf.DUMMYFUNCTION("GOOGLETRANSLATE(C890, ""en"", ""no"")"),"Send med chat")</f>
        <v>Send med chat</v>
      </c>
      <c r="Y890" s="7" t="str">
        <f>IFERROR(__xludf.DUMMYFUNCTION("GOOGLETRANSLATE(C890, ""en"", ""pl"")"),"Wyślij przez czat")</f>
        <v>Wyślij przez czat</v>
      </c>
      <c r="Z890" s="7" t="str">
        <f>IFERROR(__xludf.DUMMYFUNCTION("GOOGLETRANSLATE(C890, ""en"", ""pt"")"),"Envie por bate-papo")</f>
        <v>Envie por bate-papo</v>
      </c>
      <c r="AA890" s="7" t="str">
        <f>IFERROR(__xludf.DUMMYFUNCTION("GOOGLETRANSLATE(C890, ""en"", ""ro"")"),"Trimiteți prin chat.")</f>
        <v>Trimiteți prin chat.</v>
      </c>
      <c r="AB890" s="1" t="s">
        <v>18727</v>
      </c>
      <c r="AC890" s="7" t="str">
        <f>IFERROR(__xludf.DUMMYFUNCTION("GOOGLETRANSLATE(C890, ""en"", ""sk"")"),"Odoslať chat")</f>
        <v>Odoslať chat</v>
      </c>
      <c r="AD890" s="6" t="s">
        <v>132</v>
      </c>
      <c r="AE890" s="1" t="s">
        <v>18728</v>
      </c>
      <c r="AF890" s="7" t="str">
        <f>IFERROR(__xludf.DUMMYFUNCTION("GOOGLETRANSLATE(C890, ""en"", ""sv"")"),"Skicka med chatt")</f>
        <v>Skicka med chatt</v>
      </c>
      <c r="AG890" s="6" t="s">
        <v>132</v>
      </c>
      <c r="AH890" s="7" t="str">
        <f>IFERROR(__xludf.DUMMYFUNCTION("GOOGLETRANSLATE(C890, ""en"", ""tr"")"),"Sohbetle gönder")</f>
        <v>Sohbetle gönder</v>
      </c>
      <c r="AI890" s="6" t="s">
        <v>132</v>
      </c>
      <c r="AJ890" s="6" t="s">
        <v>132</v>
      </c>
      <c r="AK890" s="7" t="str">
        <f>IFERROR(__xludf.DUMMYFUNCTION("GOOGLETRANSLATE(C890, ""en"", ""zh"")"),"通过聊天发送")</f>
        <v>通过聊天发送</v>
      </c>
      <c r="AL890" s="6" t="s">
        <v>132</v>
      </c>
    </row>
    <row r="891" ht="15.75" hidden="1" customHeight="1">
      <c r="A891" s="1" t="s">
        <v>38</v>
      </c>
      <c r="B891" s="1" t="s">
        <v>18729</v>
      </c>
      <c r="C891" s="1" t="s">
        <v>18730</v>
      </c>
      <c r="D891" s="7" t="str">
        <f>IFERROR(__xludf.DUMMYFUNCTION("GOOGLETRANSLATE(C891, ""en"", ""ar"")"),"الاتحاد الروسي")</f>
        <v>الاتحاد الروسي</v>
      </c>
      <c r="E891" s="7" t="str">
        <f>IFERROR(__xludf.DUMMYFUNCTION("GOOGLETRANSLATE(C891, ""en"", ""bg"")"),"Руска федерация")</f>
        <v>Руска федерация</v>
      </c>
      <c r="F891" s="6" t="s">
        <v>132</v>
      </c>
      <c r="G891" s="7" t="str">
        <f>IFERROR(__xludf.DUMMYFUNCTION("GOOGLETRANSLATE(C891, ""en"", ""cs"")"),"Ruská Federace")</f>
        <v>Ruská Federace</v>
      </c>
      <c r="H891" s="7" t="str">
        <f>IFERROR(__xludf.DUMMYFUNCTION("GOOGLETRANSLATE(C891, ""en"", ""da"")"),"Den Russiske Føderation")</f>
        <v>Den Russiske Føderation</v>
      </c>
      <c r="I891" s="1" t="s">
        <v>18731</v>
      </c>
      <c r="J891" s="6" t="s">
        <v>132</v>
      </c>
      <c r="K891" s="1" t="s">
        <v>18732</v>
      </c>
      <c r="L891" s="7" t="str">
        <f>IFERROR(__xludf.DUMMYFUNCTION("GOOGLETRANSLATE(C891, ""en"", ""fi"")"),"Venäjän federaatio")</f>
        <v>Venäjän federaatio</v>
      </c>
      <c r="M891" s="1" t="s">
        <v>18733</v>
      </c>
      <c r="N891" s="6" t="s">
        <v>132</v>
      </c>
      <c r="O891" s="6" t="s">
        <v>132</v>
      </c>
      <c r="P891" s="1" t="s">
        <v>18730</v>
      </c>
      <c r="Q891" s="7" t="str">
        <f>IFERROR(__xludf.DUMMYFUNCTION("GOOGLETRANSLATE(C891, ""en"", ""in"")"),"Federasi Rusia")</f>
        <v>Federasi Rusia</v>
      </c>
      <c r="R891" s="7" t="str">
        <f>IFERROR(__xludf.DUMMYFUNCTION("GOOGLETRANSLATE(C891, ""en"", ""it"")"),"Federazione Russa")</f>
        <v>Federazione Russa</v>
      </c>
      <c r="S891" s="6" t="s">
        <v>132</v>
      </c>
      <c r="T891" s="7" t="str">
        <f>IFERROR(__xludf.DUMMYFUNCTION("GOOGLETRANSLATE(C891, ""en"", ""ja"")"),"ロシア連邦")</f>
        <v>ロシア連邦</v>
      </c>
      <c r="U891" s="7" t="str">
        <f>IFERROR(__xludf.DUMMYFUNCTION("GOOGLETRANSLATE(C891, ""en"", ""ko"")"),"러시아 연방")</f>
        <v>러시아 연방</v>
      </c>
      <c r="V891" s="7" t="str">
        <f>IFERROR(__xludf.DUMMYFUNCTION("GOOGLETRANSLATE(C891, ""en"", ""ms"")"),"Persekutuan Russia")</f>
        <v>Persekutuan Russia</v>
      </c>
      <c r="W891" s="7" t="str">
        <f>IFERROR(__xludf.DUMMYFUNCTION("GOOGLETRANSLATE(C891, ""en"", ""nl"")"),"Russische Federatie")</f>
        <v>Russische Federatie</v>
      </c>
      <c r="X891" s="7" t="str">
        <f>IFERROR(__xludf.DUMMYFUNCTION("GOOGLETRANSLATE(C891, ""en"", ""no"")"),"Russland")</f>
        <v>Russland</v>
      </c>
      <c r="Y891" s="7" t="str">
        <f>IFERROR(__xludf.DUMMYFUNCTION("GOOGLETRANSLATE(C891, ""en"", ""pl"")"),"Federacja Rosyjska")</f>
        <v>Federacja Rosyjska</v>
      </c>
      <c r="Z891" s="7" t="str">
        <f>IFERROR(__xludf.DUMMYFUNCTION("GOOGLETRANSLATE(C891, ""en"", ""pt"")"),"Federação Russa")</f>
        <v>Federação Russa</v>
      </c>
      <c r="AA891" s="7" t="str">
        <f>IFERROR(__xludf.DUMMYFUNCTION("GOOGLETRANSLATE(C891, ""en"", ""ro"")"),"Federația Rusă")</f>
        <v>Federația Rusă</v>
      </c>
      <c r="AB891" s="1" t="s">
        <v>18734</v>
      </c>
      <c r="AC891" s="7" t="str">
        <f>IFERROR(__xludf.DUMMYFUNCTION("GOOGLETRANSLATE(C891, ""en"", ""sk"")"),"Ruská federácia")</f>
        <v>Ruská federácia</v>
      </c>
      <c r="AD891" s="6" t="s">
        <v>132</v>
      </c>
      <c r="AE891" s="1" t="s">
        <v>18735</v>
      </c>
      <c r="AF891" s="7" t="str">
        <f>IFERROR(__xludf.DUMMYFUNCTION("GOOGLETRANSLATE(C891, ""en"", ""sv"")"),"Ryska Federationen")</f>
        <v>Ryska Federationen</v>
      </c>
      <c r="AG891" s="6" t="s">
        <v>132</v>
      </c>
      <c r="AH891" s="7" t="str">
        <f>IFERROR(__xludf.DUMMYFUNCTION("GOOGLETRANSLATE(C891, ""en"", ""tr"")"),"Rusya Federasyonu")</f>
        <v>Rusya Federasyonu</v>
      </c>
      <c r="AI891" s="6" t="s">
        <v>132</v>
      </c>
      <c r="AJ891" s="6" t="s">
        <v>132</v>
      </c>
      <c r="AK891" s="7" t="str">
        <f>IFERROR(__xludf.DUMMYFUNCTION("GOOGLETRANSLATE(C891, ""en"", ""zh"")"),"俄罗斯联邦")</f>
        <v>俄罗斯联邦</v>
      </c>
      <c r="AL891" s="6" t="s">
        <v>132</v>
      </c>
    </row>
    <row r="892" ht="15.75" customHeight="1">
      <c r="A892" s="1" t="s">
        <v>127</v>
      </c>
      <c r="B892" s="1" t="s">
        <v>18736</v>
      </c>
      <c r="C892" s="1" t="s">
        <v>18737</v>
      </c>
      <c r="D892" s="8" t="s">
        <v>18738</v>
      </c>
      <c r="E892" s="1" t="s">
        <v>404</v>
      </c>
      <c r="F892" s="6" t="s">
        <v>132</v>
      </c>
      <c r="G892" s="1" t="s">
        <v>18739</v>
      </c>
      <c r="H892" s="1" t="s">
        <v>18740</v>
      </c>
      <c r="I892" s="1" t="s">
        <v>407</v>
      </c>
      <c r="J892" s="6" t="s">
        <v>18741</v>
      </c>
      <c r="K892" s="1" t="s">
        <v>409</v>
      </c>
      <c r="L892" s="1" t="s">
        <v>18742</v>
      </c>
      <c r="M892" s="1" t="s">
        <v>18743</v>
      </c>
      <c r="N892" s="6" t="s">
        <v>132</v>
      </c>
      <c r="O892" s="6" t="s">
        <v>412</v>
      </c>
      <c r="P892" s="1" t="s">
        <v>413</v>
      </c>
      <c r="Q892" s="1" t="s">
        <v>414</v>
      </c>
      <c r="R892" s="1" t="s">
        <v>18744</v>
      </c>
      <c r="S892" s="10" t="s">
        <v>18745</v>
      </c>
      <c r="T892" s="1" t="s">
        <v>417</v>
      </c>
      <c r="U892" s="1" t="s">
        <v>418</v>
      </c>
      <c r="V892" s="1" t="s">
        <v>419</v>
      </c>
      <c r="W892" s="1" t="s">
        <v>420</v>
      </c>
      <c r="X892" s="1" t="s">
        <v>18746</v>
      </c>
      <c r="Y892" s="1" t="s">
        <v>421</v>
      </c>
      <c r="Z892" s="1" t="s">
        <v>18747</v>
      </c>
      <c r="AA892" s="1" t="s">
        <v>18748</v>
      </c>
      <c r="AB892" s="1" t="s">
        <v>424</v>
      </c>
      <c r="AC892" s="1" t="s">
        <v>18749</v>
      </c>
      <c r="AD892" s="6" t="s">
        <v>18750</v>
      </c>
      <c r="AE892" s="1" t="s">
        <v>427</v>
      </c>
      <c r="AF892" s="1" t="s">
        <v>428</v>
      </c>
      <c r="AG892" s="6" t="s">
        <v>18751</v>
      </c>
      <c r="AH892" s="1" t="s">
        <v>18752</v>
      </c>
      <c r="AI892" s="6" t="s">
        <v>132</v>
      </c>
      <c r="AJ892" s="6" t="s">
        <v>431</v>
      </c>
      <c r="AK892" s="1" t="s">
        <v>432</v>
      </c>
      <c r="AL892" s="6" t="s">
        <v>433</v>
      </c>
    </row>
    <row r="893" ht="15.75" hidden="1" customHeight="1">
      <c r="A893" s="1" t="s">
        <v>38</v>
      </c>
      <c r="B893" s="1" t="s">
        <v>18753</v>
      </c>
      <c r="C893" s="1" t="s">
        <v>18754</v>
      </c>
      <c r="D893" s="7" t="str">
        <f>IFERROR(__xludf.DUMMYFUNCTION("GOOGLETRANSLATE(C893, ""en"", ""ar"")"),"لدينا بعض المحادثات السريعة")</f>
        <v>لدينا بعض المحادثات السريعة</v>
      </c>
      <c r="E893" s="7" t="str">
        <f>IFERROR(__xludf.DUMMYFUNCTION("GOOGLETRANSLATE(C893, ""en"", ""bg"")"),"Имам някои бързи разговори")</f>
        <v>Имам някои бързи разговори</v>
      </c>
      <c r="F893" s="6" t="s">
        <v>132</v>
      </c>
      <c r="G893" s="7" t="str">
        <f>IFERROR(__xludf.DUMMYFUNCTION("GOOGLETRANSLATE(C893, ""en"", ""cs"")"),"Mít nějaké rychlé konverzace")</f>
        <v>Mít nějaké rychlé konverzace</v>
      </c>
      <c r="H893" s="7" t="str">
        <f>IFERROR(__xludf.DUMMYFUNCTION("GOOGLETRANSLATE(C893, ""en"", ""da"")"),"Har nogle hurtige samtaler")</f>
        <v>Har nogle hurtige samtaler</v>
      </c>
      <c r="I893" s="7" t="str">
        <f>IFERROR(__xludf.DUMMYFUNCTION("GOOGLETRANSLATE(C893, ""en"", ""de"")"),"Habe einige schnelle Gespräche")</f>
        <v>Habe einige schnelle Gespräche</v>
      </c>
      <c r="J893" s="6" t="s">
        <v>132</v>
      </c>
      <c r="K893" s="7" t="str">
        <f>IFERROR(__xludf.DUMMYFUNCTION("GOOGLETRANSLATE(C893, ""en"", ""es"")"),"Tener algunas conversaciones rápidas")</f>
        <v>Tener algunas conversaciones rápidas</v>
      </c>
      <c r="L893" s="7" t="str">
        <f>IFERROR(__xludf.DUMMYFUNCTION("GOOGLETRANSLATE(C893, ""en"", ""fi"")"),"On joitakin nopeita keskusteluja")</f>
        <v>On joitakin nopeita keskusteluja</v>
      </c>
      <c r="M893" s="7" t="str">
        <f>IFERROR(__xludf.DUMMYFUNCTION("GOOGLETRANSLATE(C893, ""en"", ""fr"")"),"Avoir des conversations rapides")</f>
        <v>Avoir des conversations rapides</v>
      </c>
      <c r="N893" s="6" t="s">
        <v>132</v>
      </c>
      <c r="O893" s="6" t="s">
        <v>132</v>
      </c>
      <c r="P893" s="7" t="str">
        <f>IFERROR(__xludf.DUMMYFUNCTION("GOOGLETRANSLATE(C893, ""en"", ""hu"")"),"Van néhány gyors beszélgetés")</f>
        <v>Van néhány gyors beszélgetés</v>
      </c>
      <c r="Q893" s="7" t="str">
        <f>IFERROR(__xludf.DUMMYFUNCTION("GOOGLETRANSLATE(C893, ""en"", ""in"")"),"Memiliki beberapa percakapan cepat")</f>
        <v>Memiliki beberapa percakapan cepat</v>
      </c>
      <c r="R893" s="7" t="str">
        <f>IFERROR(__xludf.DUMMYFUNCTION("GOOGLETRANSLATE(C893, ""en"", ""it"")"),"Avere alcune conversazioni rapide")</f>
        <v>Avere alcune conversazioni rapide</v>
      </c>
      <c r="S893" s="6" t="s">
        <v>132</v>
      </c>
      <c r="T893" s="7" t="str">
        <f>IFERROR(__xludf.DUMMYFUNCTION("GOOGLETRANSLATE(C893, ""en"", ""ja"")"),"いくつかの素早い会話をしてください")</f>
        <v>いくつかの素早い会話をしてください</v>
      </c>
      <c r="U893" s="7" t="str">
        <f>IFERROR(__xludf.DUMMYFUNCTION("GOOGLETRANSLATE(C893, ""en"", ""ko"")"),"빠른 대화를 나누십시오")</f>
        <v>빠른 대화를 나누십시오</v>
      </c>
      <c r="V893" s="7" t="str">
        <f>IFERROR(__xludf.DUMMYFUNCTION("GOOGLETRANSLATE(C893, ""en"", ""ms"")"),"Mempunyai beberapa perbualan yang cepat")</f>
        <v>Mempunyai beberapa perbualan yang cepat</v>
      </c>
      <c r="W893" s="7" t="str">
        <f>IFERROR(__xludf.DUMMYFUNCTION("GOOGLETRANSLATE(C893, ""en"", ""nl"")"),"Heb een aantal snelle gesprekken")</f>
        <v>Heb een aantal snelle gesprekken</v>
      </c>
      <c r="X893" s="7" t="str">
        <f>IFERROR(__xludf.DUMMYFUNCTION("GOOGLETRANSLATE(C893, ""en"", ""no"")"),"Ha noen raske samtaler")</f>
        <v>Ha noen raske samtaler</v>
      </c>
      <c r="Y893" s="7" t="str">
        <f>IFERROR(__xludf.DUMMYFUNCTION("GOOGLETRANSLATE(C893, ""en"", ""pl"")"),"Mieć kilka szybkich rozmów")</f>
        <v>Mieć kilka szybkich rozmów</v>
      </c>
      <c r="Z893" s="7" t="str">
        <f>IFERROR(__xludf.DUMMYFUNCTION("GOOGLETRANSLATE(C893, ""en"", ""pt"")"),"Tem algumas conversas rápidas")</f>
        <v>Tem algumas conversas rápidas</v>
      </c>
      <c r="AA893" s="7" t="str">
        <f>IFERROR(__xludf.DUMMYFUNCTION("GOOGLETRANSLATE(C893, ""en"", ""ro"")"),"Au câteva conversații rapide")</f>
        <v>Au câteva conversații rapide</v>
      </c>
      <c r="AB893" s="7" t="str">
        <f>IFERROR(__xludf.DUMMYFUNCTION("GOOGLETRANSLATE(C893, ""en"", ""ru"")"),"Есть некоторые быстрые разговоры")</f>
        <v>Есть некоторые быстрые разговоры</v>
      </c>
      <c r="AC893" s="7" t="str">
        <f>IFERROR(__xludf.DUMMYFUNCTION("GOOGLETRANSLATE(C893, ""en"", ""sk"")"),"Majú nejaké rýchle konverzácie")</f>
        <v>Majú nejaké rýchle konverzácie</v>
      </c>
      <c r="AD893" s="6" t="s">
        <v>132</v>
      </c>
      <c r="AE893" s="7" t="str">
        <f>IFERROR(__xludf.DUMMYFUNCTION("GOOGLETRANSLATE(C893, ""en"", ""sr"")"),"Имају неке брзе разговоре")</f>
        <v>Имају неке брзе разговоре</v>
      </c>
      <c r="AF893" s="7" t="str">
        <f>IFERROR(__xludf.DUMMYFUNCTION("GOOGLETRANSLATE(C893, ""en"", ""sv"")"),"Har några snabba samtal")</f>
        <v>Har några snabba samtal</v>
      </c>
      <c r="AG893" s="6" t="s">
        <v>132</v>
      </c>
      <c r="AH893" s="7" t="str">
        <f>IFERROR(__xludf.DUMMYFUNCTION("GOOGLETRANSLATE(C893, ""en"", ""tr"")"),"Hızlı konuşmalar yapmak")</f>
        <v>Hızlı konuşmalar yapmak</v>
      </c>
      <c r="AI893" s="6" t="s">
        <v>132</v>
      </c>
      <c r="AJ893" s="6" t="s">
        <v>132</v>
      </c>
      <c r="AK893" s="7" t="str">
        <f>IFERROR(__xludf.DUMMYFUNCTION("GOOGLETRANSLATE(C893, ""en"", ""zh"")"),"有一些快速的对话")</f>
        <v>有一些快速的对话</v>
      </c>
      <c r="AL893" s="6" t="s">
        <v>132</v>
      </c>
    </row>
    <row r="894" ht="15.75" hidden="1" customHeight="1">
      <c r="A894" s="1" t="s">
        <v>38</v>
      </c>
      <c r="B894" s="1" t="s">
        <v>18755</v>
      </c>
      <c r="C894" s="1" t="s">
        <v>18756</v>
      </c>
      <c r="D894" s="7" t="str">
        <f>IFERROR(__xludf.DUMMYFUNCTION("GOOGLETRANSLATE(C894, ""en"", ""ar"")"),"بربادوس")</f>
        <v>بربادوس</v>
      </c>
      <c r="E894" s="7" t="str">
        <f>IFERROR(__xludf.DUMMYFUNCTION("GOOGLETRANSLATE(C894, ""en"", ""bg"")"),"Барбадос")</f>
        <v>Барбадос</v>
      </c>
      <c r="F894" s="6" t="s">
        <v>132</v>
      </c>
      <c r="G894" s="7" t="str">
        <f>IFERROR(__xludf.DUMMYFUNCTION("GOOGLETRANSLATE(C894, ""en"", ""cs"")"),"Barbados")</f>
        <v>Barbados</v>
      </c>
      <c r="H894" s="7" t="str">
        <f>IFERROR(__xludf.DUMMYFUNCTION("GOOGLETRANSLATE(C894, ""en"", ""da"")"),"Barbados.")</f>
        <v>Barbados.</v>
      </c>
      <c r="I894" s="1" t="s">
        <v>18756</v>
      </c>
      <c r="J894" s="6" t="s">
        <v>132</v>
      </c>
      <c r="K894" s="1" t="s">
        <v>18756</v>
      </c>
      <c r="L894" s="7" t="str">
        <f>IFERROR(__xludf.DUMMYFUNCTION("GOOGLETRANSLATE(C894, ""en"", ""fi"")"),"Barbados")</f>
        <v>Barbados</v>
      </c>
      <c r="M894" s="1" t="s">
        <v>18757</v>
      </c>
      <c r="N894" s="6" t="s">
        <v>132</v>
      </c>
      <c r="O894" s="6" t="s">
        <v>132</v>
      </c>
      <c r="P894" s="1" t="s">
        <v>18756</v>
      </c>
      <c r="Q894" s="7" t="str">
        <f>IFERROR(__xludf.DUMMYFUNCTION("GOOGLETRANSLATE(C894, ""en"", ""in"")"),"Barbados")</f>
        <v>Barbados</v>
      </c>
      <c r="R894" s="7" t="str">
        <f>IFERROR(__xludf.DUMMYFUNCTION("GOOGLETRANSLATE(C894, ""en"", ""it"")"),"Barbados.")</f>
        <v>Barbados.</v>
      </c>
      <c r="S894" s="6" t="s">
        <v>132</v>
      </c>
      <c r="T894" s="7" t="str">
        <f>IFERROR(__xludf.DUMMYFUNCTION("GOOGLETRANSLATE(C894, ""en"", ""ja"")"),"バルバドス")</f>
        <v>バルバドス</v>
      </c>
      <c r="U894" s="7" t="str">
        <f>IFERROR(__xludf.DUMMYFUNCTION("GOOGLETRANSLATE(C894, ""en"", ""ko"")"),"바베이도스")</f>
        <v>바베이도스</v>
      </c>
      <c r="V894" s="7" t="str">
        <f>IFERROR(__xludf.DUMMYFUNCTION("GOOGLETRANSLATE(C894, ""en"", ""ms"")"),"Barbados.")</f>
        <v>Barbados.</v>
      </c>
      <c r="W894" s="7" t="str">
        <f>IFERROR(__xludf.DUMMYFUNCTION("GOOGLETRANSLATE(C894, ""en"", ""nl"")"),"Barbados")</f>
        <v>Barbados</v>
      </c>
      <c r="X894" s="7" t="str">
        <f>IFERROR(__xludf.DUMMYFUNCTION("GOOGLETRANSLATE(C894, ""en"", ""no"")"),"Barbados")</f>
        <v>Barbados</v>
      </c>
      <c r="Y894" s="7" t="str">
        <f>IFERROR(__xludf.DUMMYFUNCTION("GOOGLETRANSLATE(C894, ""en"", ""pl"")"),"Barbados")</f>
        <v>Barbados</v>
      </c>
      <c r="Z894" s="7" t="str">
        <f>IFERROR(__xludf.DUMMYFUNCTION("GOOGLETRANSLATE(C894, ""en"", ""pt"")"),"Barbados.")</f>
        <v>Barbados.</v>
      </c>
      <c r="AA894" s="7" t="str">
        <f>IFERROR(__xludf.DUMMYFUNCTION("GOOGLETRANSLATE(C894, ""en"", ""ro"")"),"Barbados.")</f>
        <v>Barbados.</v>
      </c>
      <c r="AB894" s="1" t="s">
        <v>18758</v>
      </c>
      <c r="AC894" s="7" t="str">
        <f>IFERROR(__xludf.DUMMYFUNCTION("GOOGLETRANSLATE(C894, ""en"", ""sk"")"),"Barbados")</f>
        <v>Barbados</v>
      </c>
      <c r="AD894" s="6" t="s">
        <v>132</v>
      </c>
      <c r="AE894" s="1" t="s">
        <v>18756</v>
      </c>
      <c r="AF894" s="7" t="str">
        <f>IFERROR(__xludf.DUMMYFUNCTION("GOOGLETRANSLATE(C894, ""en"", ""sv"")"),"Barbados")</f>
        <v>Barbados</v>
      </c>
      <c r="AG894" s="6" t="s">
        <v>132</v>
      </c>
      <c r="AH894" s="7" t="str">
        <f>IFERROR(__xludf.DUMMYFUNCTION("GOOGLETRANSLATE(C894, ""en"", ""tr"")"),"Barbados")</f>
        <v>Barbados</v>
      </c>
      <c r="AI894" s="6" t="s">
        <v>132</v>
      </c>
      <c r="AJ894" s="6" t="s">
        <v>132</v>
      </c>
      <c r="AK894" s="7" t="str">
        <f>IFERROR(__xludf.DUMMYFUNCTION("GOOGLETRANSLATE(C894, ""en"", ""zh"")"),"巴巴多斯")</f>
        <v>巴巴多斯</v>
      </c>
      <c r="AL894" s="6" t="s">
        <v>132</v>
      </c>
    </row>
    <row r="895" ht="15.75" customHeight="1">
      <c r="A895" s="1" t="s">
        <v>127</v>
      </c>
      <c r="B895" s="1" t="s">
        <v>18759</v>
      </c>
      <c r="C895" s="1" t="s">
        <v>18760</v>
      </c>
      <c r="D895" s="8" t="s">
        <v>18761</v>
      </c>
      <c r="E895" s="1" t="s">
        <v>18762</v>
      </c>
      <c r="F895" s="6" t="s">
        <v>132</v>
      </c>
      <c r="G895" s="1" t="s">
        <v>18763</v>
      </c>
      <c r="H895" s="1" t="s">
        <v>18764</v>
      </c>
      <c r="I895" s="1" t="s">
        <v>18765</v>
      </c>
      <c r="J895" s="6" t="s">
        <v>18766</v>
      </c>
      <c r="K895" s="1" t="s">
        <v>18767</v>
      </c>
      <c r="L895" s="1" t="s">
        <v>18768</v>
      </c>
      <c r="M895" s="1" t="s">
        <v>18769</v>
      </c>
      <c r="N895" s="6" t="s">
        <v>132</v>
      </c>
      <c r="O895" s="6" t="s">
        <v>18770</v>
      </c>
      <c r="P895" s="1" t="s">
        <v>18771</v>
      </c>
      <c r="Q895" s="1" t="s">
        <v>18772</v>
      </c>
      <c r="R895" s="1" t="s">
        <v>18773</v>
      </c>
      <c r="S895" s="10" t="s">
        <v>18774</v>
      </c>
      <c r="T895" s="1" t="s">
        <v>18775</v>
      </c>
      <c r="U895" s="1" t="s">
        <v>18776</v>
      </c>
      <c r="V895" s="1" t="s">
        <v>18772</v>
      </c>
      <c r="W895" s="1" t="s">
        <v>18777</v>
      </c>
      <c r="X895" s="1" t="s">
        <v>18778</v>
      </c>
      <c r="Y895" s="1" t="s">
        <v>18779</v>
      </c>
      <c r="Z895" s="1" t="s">
        <v>18780</v>
      </c>
      <c r="AA895" s="1" t="s">
        <v>18781</v>
      </c>
      <c r="AB895" s="1" t="s">
        <v>18782</v>
      </c>
      <c r="AC895" s="1" t="s">
        <v>18783</v>
      </c>
      <c r="AD895" s="6" t="s">
        <v>18784</v>
      </c>
      <c r="AE895" s="1" t="s">
        <v>18785</v>
      </c>
      <c r="AF895" s="1" t="s">
        <v>18786</v>
      </c>
      <c r="AG895" s="6" t="s">
        <v>18787</v>
      </c>
      <c r="AH895" s="1" t="s">
        <v>18788</v>
      </c>
      <c r="AI895" s="6" t="s">
        <v>132</v>
      </c>
      <c r="AJ895" s="6" t="s">
        <v>18789</v>
      </c>
      <c r="AK895" s="1" t="s">
        <v>18790</v>
      </c>
      <c r="AL895" s="6" t="s">
        <v>18791</v>
      </c>
    </row>
    <row r="896" ht="15.75" customHeight="1">
      <c r="A896" s="1" t="s">
        <v>127</v>
      </c>
      <c r="B896" s="1" t="s">
        <v>18792</v>
      </c>
      <c r="C896" s="1" t="s">
        <v>18793</v>
      </c>
      <c r="D896" s="8" t="s">
        <v>18794</v>
      </c>
      <c r="E896" s="1" t="s">
        <v>18795</v>
      </c>
      <c r="F896" s="6" t="s">
        <v>132</v>
      </c>
      <c r="G896" s="1" t="s">
        <v>18796</v>
      </c>
      <c r="H896" s="1" t="s">
        <v>18793</v>
      </c>
      <c r="I896" s="1" t="s">
        <v>18797</v>
      </c>
      <c r="J896" s="6" t="s">
        <v>18798</v>
      </c>
      <c r="K896" s="1" t="s">
        <v>18799</v>
      </c>
      <c r="L896" s="1" t="s">
        <v>18800</v>
      </c>
      <c r="M896" s="1" t="s">
        <v>18801</v>
      </c>
      <c r="N896" s="6" t="s">
        <v>132</v>
      </c>
      <c r="O896" s="6" t="s">
        <v>18802</v>
      </c>
      <c r="P896" s="1" t="s">
        <v>18803</v>
      </c>
      <c r="Q896" s="1" t="s">
        <v>18804</v>
      </c>
      <c r="R896" s="1" t="s">
        <v>18805</v>
      </c>
      <c r="S896" s="10" t="s">
        <v>18806</v>
      </c>
      <c r="T896" s="1" t="s">
        <v>18807</v>
      </c>
      <c r="U896" s="1" t="s">
        <v>18808</v>
      </c>
      <c r="V896" s="1" t="s">
        <v>18809</v>
      </c>
      <c r="W896" s="1" t="s">
        <v>18810</v>
      </c>
      <c r="X896" s="1" t="s">
        <v>18793</v>
      </c>
      <c r="Y896" s="1" t="s">
        <v>18811</v>
      </c>
      <c r="Z896" s="1" t="s">
        <v>18799</v>
      </c>
      <c r="AA896" s="1" t="s">
        <v>18812</v>
      </c>
      <c r="AB896" s="1" t="s">
        <v>18813</v>
      </c>
      <c r="AC896" s="1" t="s">
        <v>18814</v>
      </c>
      <c r="AD896" s="6" t="s">
        <v>18815</v>
      </c>
      <c r="AE896" s="1" t="s">
        <v>18816</v>
      </c>
      <c r="AF896" s="1" t="s">
        <v>18817</v>
      </c>
      <c r="AG896" s="6" t="s">
        <v>18818</v>
      </c>
      <c r="AH896" s="1" t="s">
        <v>18819</v>
      </c>
      <c r="AI896" s="6" t="s">
        <v>132</v>
      </c>
      <c r="AJ896" s="6" t="s">
        <v>18820</v>
      </c>
      <c r="AK896" s="1" t="s">
        <v>18821</v>
      </c>
      <c r="AL896" s="6" t="s">
        <v>132</v>
      </c>
    </row>
    <row r="897" ht="15.75" hidden="1" customHeight="1">
      <c r="A897" s="1" t="s">
        <v>38</v>
      </c>
      <c r="B897" s="1" t="s">
        <v>18822</v>
      </c>
      <c r="C897" s="1" t="s">
        <v>18823</v>
      </c>
      <c r="D897" s="8" t="s">
        <v>18824</v>
      </c>
      <c r="E897" s="1" t="s">
        <v>18825</v>
      </c>
      <c r="F897" s="6" t="s">
        <v>18826</v>
      </c>
      <c r="G897" s="7" t="str">
        <f>IFERROR(__xludf.DUMMYFUNCTION("GOOGLETRANSLATE(C897, ""en"", ""cs"")"),"Deaktivovat nyní")</f>
        <v>Deaktivovat nyní</v>
      </c>
      <c r="H897" s="7" t="str">
        <f>IFERROR(__xludf.DUMMYFUNCTION("GOOGLETRANSLATE(C897, ""en"", ""da"")"),"Deaktiver nu")</f>
        <v>Deaktiver nu</v>
      </c>
      <c r="I897" s="1" t="s">
        <v>18827</v>
      </c>
      <c r="J897" s="6" t="s">
        <v>132</v>
      </c>
      <c r="K897" s="1" t="s">
        <v>18828</v>
      </c>
      <c r="L897" s="7" t="str">
        <f>IFERROR(__xludf.DUMMYFUNCTION("GOOGLETRANSLATE(C897, ""en"", ""fi"")"),"Poista käytöstä nyt")</f>
        <v>Poista käytöstä nyt</v>
      </c>
      <c r="M897" s="1" t="s">
        <v>18829</v>
      </c>
      <c r="N897" s="6" t="s">
        <v>18830</v>
      </c>
      <c r="O897" s="6" t="s">
        <v>132</v>
      </c>
      <c r="P897" s="1" t="s">
        <v>18831</v>
      </c>
      <c r="Q897" s="7" t="str">
        <f>IFERROR(__xludf.DUMMYFUNCTION("GOOGLETRANSLATE(C897, ""en"", ""in"")"),"Nonaktifkan sekarang")</f>
        <v>Nonaktifkan sekarang</v>
      </c>
      <c r="R897" s="1" t="s">
        <v>18832</v>
      </c>
      <c r="S897" s="6" t="s">
        <v>132</v>
      </c>
      <c r="T897" s="7" t="str">
        <f>IFERROR(__xludf.DUMMYFUNCTION("GOOGLETRANSLATE(C897, ""en"", ""ja"")"),"今すぐ無効にします")</f>
        <v>今すぐ無効にします</v>
      </c>
      <c r="U897" s="7" t="str">
        <f>IFERROR(__xludf.DUMMYFUNCTION("GOOGLETRANSLATE(C897, ""en"", ""ko"")"),"지금 비활성화")</f>
        <v>지금 비활성화</v>
      </c>
      <c r="V897" s="7" t="str">
        <f>IFERROR(__xludf.DUMMYFUNCTION("GOOGLETRANSLATE(C897, ""en"", ""ms"")"),"Lumpuhkan sekarang")</f>
        <v>Lumpuhkan sekarang</v>
      </c>
      <c r="W897" s="1" t="s">
        <v>18833</v>
      </c>
      <c r="X897" s="7" t="str">
        <f>IFERROR(__xludf.DUMMYFUNCTION("GOOGLETRANSLATE(C897, ""en"", ""no"")"),"Deaktiver nå")</f>
        <v>Deaktiver nå</v>
      </c>
      <c r="Y897" s="1" t="s">
        <v>18834</v>
      </c>
      <c r="Z897" s="7" t="str">
        <f>IFERROR(__xludf.DUMMYFUNCTION("GOOGLETRANSLATE(C897, ""en"", ""pt"")"),"Desativar agora")</f>
        <v>Desativar agora</v>
      </c>
      <c r="AA897" s="7" t="str">
        <f>IFERROR(__xludf.DUMMYFUNCTION("GOOGLETRANSLATE(C897, ""en"", ""ro"")"),"Dezactivați acum")</f>
        <v>Dezactivați acum</v>
      </c>
      <c r="AB897" s="1" t="s">
        <v>18835</v>
      </c>
      <c r="AC897" s="7" t="str">
        <f>IFERROR(__xludf.DUMMYFUNCTION("GOOGLETRANSLATE(C897, ""en"", ""sk"")"),"Teraz")</f>
        <v>Teraz</v>
      </c>
      <c r="AD897" s="6" t="s">
        <v>132</v>
      </c>
      <c r="AE897" s="7" t="str">
        <f>IFERROR(__xludf.DUMMYFUNCTION("GOOGLETRANSLATE(C897, ""en"", ""sr"")"),"Онемогућите сада")</f>
        <v>Онемогућите сада</v>
      </c>
      <c r="AF897" s="7" t="str">
        <f>IFERROR(__xludf.DUMMYFUNCTION("GOOGLETRANSLATE(C897, ""en"", ""sv"")"),"Inaktivera nu")</f>
        <v>Inaktivera nu</v>
      </c>
      <c r="AG897" s="6" t="s">
        <v>132</v>
      </c>
      <c r="AH897" s="7" t="str">
        <f>IFERROR(__xludf.DUMMYFUNCTION("GOOGLETRANSLATE(C897, ""en"", ""tr"")"),"Şimdi devre dışı bırak")</f>
        <v>Şimdi devre dışı bırak</v>
      </c>
      <c r="AI897" s="6" t="s">
        <v>132</v>
      </c>
      <c r="AJ897" s="6" t="s">
        <v>132</v>
      </c>
      <c r="AK897" s="7" t="str">
        <f>IFERROR(__xludf.DUMMYFUNCTION("GOOGLETRANSLATE(C897, ""en"", ""zh"")"),"现在禁用")</f>
        <v>现在禁用</v>
      </c>
      <c r="AL897" s="6" t="s">
        <v>132</v>
      </c>
    </row>
    <row r="898" ht="15.75" hidden="1" customHeight="1">
      <c r="A898" s="1" t="s">
        <v>38</v>
      </c>
      <c r="B898" s="1" t="s">
        <v>18836</v>
      </c>
      <c r="C898" s="1" t="s">
        <v>18837</v>
      </c>
      <c r="D898" s="8" t="s">
        <v>18838</v>
      </c>
      <c r="E898" s="1" t="s">
        <v>18839</v>
      </c>
      <c r="F898" s="6" t="s">
        <v>18840</v>
      </c>
      <c r="G898" s="7" t="str">
        <f>IFERROR(__xludf.DUMMYFUNCTION("GOOGLETRANSLATE(C898, ""en"", ""cs"")"),"Adresa skupinového chatu")</f>
        <v>Adresa skupinového chatu</v>
      </c>
      <c r="H898" s="7" t="str">
        <f>IFERROR(__xludf.DUMMYFUNCTION("GOOGLETRANSLATE(C898, ""en"", ""da"")"),"Group chat-adresse")</f>
        <v>Group chat-adresse</v>
      </c>
      <c r="I898" s="1" t="s">
        <v>18841</v>
      </c>
      <c r="J898" s="6" t="s">
        <v>132</v>
      </c>
      <c r="K898" s="1" t="s">
        <v>18842</v>
      </c>
      <c r="L898" s="7" t="str">
        <f>IFERROR(__xludf.DUMMYFUNCTION("GOOGLETRANSLATE(C898, ""en"", ""fi"")"),"Ryhmäkeskustelu")</f>
        <v>Ryhmäkeskustelu</v>
      </c>
      <c r="M898" s="1" t="s">
        <v>18843</v>
      </c>
      <c r="N898" s="6" t="s">
        <v>18844</v>
      </c>
      <c r="O898" s="6" t="s">
        <v>132</v>
      </c>
      <c r="P898" s="1" t="s">
        <v>18845</v>
      </c>
      <c r="Q898" s="7" t="str">
        <f>IFERROR(__xludf.DUMMYFUNCTION("GOOGLETRANSLATE(C898, ""en"", ""in"")"),"Alamat obrolan grup")</f>
        <v>Alamat obrolan grup</v>
      </c>
      <c r="R898" s="1" t="s">
        <v>18846</v>
      </c>
      <c r="S898" s="6" t="s">
        <v>132</v>
      </c>
      <c r="T898" s="1" t="s">
        <v>18847</v>
      </c>
      <c r="U898" s="7" t="str">
        <f>IFERROR(__xludf.DUMMYFUNCTION("GOOGLETRANSLATE(C898, ""en"", ""ko"")"),"그룹 채팅 주소")</f>
        <v>그룹 채팅 주소</v>
      </c>
      <c r="V898" s="7" t="str">
        <f>IFERROR(__xludf.DUMMYFUNCTION("GOOGLETRANSLATE(C898, ""en"", ""ms"")"),"Alamat sembang kumpulan")</f>
        <v>Alamat sembang kumpulan</v>
      </c>
      <c r="W898" s="1" t="s">
        <v>18848</v>
      </c>
      <c r="X898" s="7" t="str">
        <f>IFERROR(__xludf.DUMMYFUNCTION("GOOGLETRANSLATE(C898, ""en"", ""no"")"),"Gruppe Chat-adresse")</f>
        <v>Gruppe Chat-adresse</v>
      </c>
      <c r="Y898" s="1" t="s">
        <v>18849</v>
      </c>
      <c r="Z898" s="1" t="s">
        <v>18850</v>
      </c>
      <c r="AA898" s="7" t="str">
        <f>IFERROR(__xludf.DUMMYFUNCTION("GOOGLETRANSLATE(C898, ""en"", ""ro"")"),"Adresa de chat de grup")</f>
        <v>Adresa de chat de grup</v>
      </c>
      <c r="AB898" s="1" t="s">
        <v>18851</v>
      </c>
      <c r="AC898" s="7" t="str">
        <f>IFERROR(__xludf.DUMMYFUNCTION("GOOGLETRANSLATE(C898, ""en"", ""sk"")"),"Adresa skupiny Chat")</f>
        <v>Adresa skupiny Chat</v>
      </c>
      <c r="AD898" s="6" t="s">
        <v>132</v>
      </c>
      <c r="AE898" s="1" t="s">
        <v>18852</v>
      </c>
      <c r="AF898" s="7" t="str">
        <f>IFERROR(__xludf.DUMMYFUNCTION("GOOGLETRANSLATE(C898, ""en"", ""sv"")"),"Gruppchattadress")</f>
        <v>Gruppchattadress</v>
      </c>
      <c r="AG898" s="6" t="s">
        <v>132</v>
      </c>
      <c r="AH898" s="7" t="str">
        <f>IFERROR(__xludf.DUMMYFUNCTION("GOOGLETRANSLATE(C898, ""en"", ""tr"")"),"Grup Sohbet Adresi")</f>
        <v>Grup Sohbet Adresi</v>
      </c>
      <c r="AI898" s="6" t="s">
        <v>132</v>
      </c>
      <c r="AJ898" s="6" t="s">
        <v>132</v>
      </c>
      <c r="AK898" s="7" t="str">
        <f>IFERROR(__xludf.DUMMYFUNCTION("GOOGLETRANSLATE(C898, ""en"", ""zh"")"),"小组聊天地址")</f>
        <v>小组聊天地址</v>
      </c>
      <c r="AL898" s="6" t="s">
        <v>132</v>
      </c>
    </row>
    <row r="899" ht="15.75" customHeight="1">
      <c r="A899" s="1" t="s">
        <v>127</v>
      </c>
      <c r="B899" s="1" t="s">
        <v>18853</v>
      </c>
      <c r="C899" s="1" t="s">
        <v>18854</v>
      </c>
      <c r="D899" s="8" t="s">
        <v>18855</v>
      </c>
      <c r="E899" s="1" t="s">
        <v>18856</v>
      </c>
      <c r="F899" s="6" t="s">
        <v>132</v>
      </c>
      <c r="G899" s="1" t="s">
        <v>18857</v>
      </c>
      <c r="H899" s="1" t="s">
        <v>18858</v>
      </c>
      <c r="I899" s="1" t="s">
        <v>18859</v>
      </c>
      <c r="J899" s="6" t="s">
        <v>18860</v>
      </c>
      <c r="K899" s="1" t="s">
        <v>18861</v>
      </c>
      <c r="L899" s="1" t="s">
        <v>18862</v>
      </c>
      <c r="M899" s="1" t="s">
        <v>18863</v>
      </c>
      <c r="N899" s="6" t="s">
        <v>132</v>
      </c>
      <c r="O899" s="6" t="s">
        <v>18864</v>
      </c>
      <c r="P899" s="1" t="s">
        <v>18865</v>
      </c>
      <c r="Q899" s="1" t="s">
        <v>18866</v>
      </c>
      <c r="R899" s="1" t="s">
        <v>18867</v>
      </c>
      <c r="S899" s="10" t="s">
        <v>18868</v>
      </c>
      <c r="T899" s="1" t="s">
        <v>18869</v>
      </c>
      <c r="U899" s="1" t="s">
        <v>18870</v>
      </c>
      <c r="V899" s="1" t="s">
        <v>18871</v>
      </c>
      <c r="W899" s="1" t="s">
        <v>18872</v>
      </c>
      <c r="X899" s="1" t="s">
        <v>18873</v>
      </c>
      <c r="Y899" s="1" t="s">
        <v>18874</v>
      </c>
      <c r="Z899" s="1" t="s">
        <v>18875</v>
      </c>
      <c r="AA899" s="1" t="s">
        <v>18876</v>
      </c>
      <c r="AB899" s="1" t="s">
        <v>18877</v>
      </c>
      <c r="AC899" s="1" t="s">
        <v>18878</v>
      </c>
      <c r="AD899" s="6" t="s">
        <v>18879</v>
      </c>
      <c r="AE899" s="1" t="s">
        <v>18880</v>
      </c>
      <c r="AF899" s="1" t="s">
        <v>18881</v>
      </c>
      <c r="AG899" s="6" t="s">
        <v>18882</v>
      </c>
      <c r="AH899" s="1" t="s">
        <v>18883</v>
      </c>
      <c r="AI899" s="6" t="s">
        <v>132</v>
      </c>
      <c r="AJ899" s="6" t="s">
        <v>18884</v>
      </c>
      <c r="AK899" s="1" t="s">
        <v>18885</v>
      </c>
      <c r="AL899" s="6" t="s">
        <v>18886</v>
      </c>
    </row>
    <row r="900" ht="15.75" hidden="1" customHeight="1">
      <c r="A900" s="1" t="s">
        <v>38</v>
      </c>
      <c r="B900" s="1" t="s">
        <v>18887</v>
      </c>
      <c r="C900" s="1" t="s">
        <v>18888</v>
      </c>
      <c r="D900" s="7" t="str">
        <f>IFERROR(__xludf.DUMMYFUNCTION("GOOGLETRANSLATE(C900, ""en"", ""ar"")"),"جمهورية الدومينيكان")</f>
        <v>جمهورية الدومينيكان</v>
      </c>
      <c r="E900" s="7" t="str">
        <f>IFERROR(__xludf.DUMMYFUNCTION("GOOGLETRANSLATE(C900, ""en"", ""bg"")"),"Доминиканска република")</f>
        <v>Доминиканска република</v>
      </c>
      <c r="F900" s="6" t="s">
        <v>132</v>
      </c>
      <c r="G900" s="7" t="str">
        <f>IFERROR(__xludf.DUMMYFUNCTION("GOOGLETRANSLATE(C900, ""en"", ""cs"")"),"Dominikánská republika")</f>
        <v>Dominikánská republika</v>
      </c>
      <c r="H900" s="7" t="str">
        <f>IFERROR(__xludf.DUMMYFUNCTION("GOOGLETRANSLATE(C900, ""en"", ""da"")"),"Dominikanske republik")</f>
        <v>Dominikanske republik</v>
      </c>
      <c r="I900" s="1" t="s">
        <v>18889</v>
      </c>
      <c r="J900" s="6" t="s">
        <v>132</v>
      </c>
      <c r="K900" s="1" t="s">
        <v>18890</v>
      </c>
      <c r="L900" s="7" t="str">
        <f>IFERROR(__xludf.DUMMYFUNCTION("GOOGLETRANSLATE(C900, ""en"", ""fi"")"),"Dominikaaninen tasavalta")</f>
        <v>Dominikaaninen tasavalta</v>
      </c>
      <c r="M900" s="1" t="s">
        <v>18891</v>
      </c>
      <c r="N900" s="6" t="s">
        <v>132</v>
      </c>
      <c r="O900" s="6" t="s">
        <v>132</v>
      </c>
      <c r="P900" s="1" t="s">
        <v>18888</v>
      </c>
      <c r="Q900" s="7" t="str">
        <f>IFERROR(__xludf.DUMMYFUNCTION("GOOGLETRANSLATE(C900, ""en"", ""in"")"),"Republik Dominika")</f>
        <v>Republik Dominika</v>
      </c>
      <c r="R900" s="7" t="str">
        <f>IFERROR(__xludf.DUMMYFUNCTION("GOOGLETRANSLATE(C900, ""en"", ""it"")"),"Repubblica Dominicana")</f>
        <v>Repubblica Dominicana</v>
      </c>
      <c r="S900" s="6" t="s">
        <v>132</v>
      </c>
      <c r="T900" s="7" t="str">
        <f>IFERROR(__xludf.DUMMYFUNCTION("GOOGLETRANSLATE(C900, ""en"", ""ja"")"),"ドミニカ共和国")</f>
        <v>ドミニカ共和国</v>
      </c>
      <c r="U900" s="7" t="str">
        <f>IFERROR(__xludf.DUMMYFUNCTION("GOOGLETRANSLATE(C900, ""en"", ""ko"")"),"도미니카 공화국")</f>
        <v>도미니카 공화국</v>
      </c>
      <c r="V900" s="7" t="str">
        <f>IFERROR(__xludf.DUMMYFUNCTION("GOOGLETRANSLATE(C900, ""en"", ""ms"")"),"Republik Dominika.")</f>
        <v>Republik Dominika.</v>
      </c>
      <c r="W900" s="7" t="str">
        <f>IFERROR(__xludf.DUMMYFUNCTION("GOOGLETRANSLATE(C900, ""en"", ""nl"")"),"Dominicaanse Republiek")</f>
        <v>Dominicaanse Republiek</v>
      </c>
      <c r="X900" s="7" t="str">
        <f>IFERROR(__xludf.DUMMYFUNCTION("GOOGLETRANSLATE(C900, ""en"", ""no"")"),"den dominikanske republikk")</f>
        <v>den dominikanske republikk</v>
      </c>
      <c r="Y900" s="7" t="str">
        <f>IFERROR(__xludf.DUMMYFUNCTION("GOOGLETRANSLATE(C900, ""en"", ""pl"")"),"Republika Dominikany")</f>
        <v>Republika Dominikany</v>
      </c>
      <c r="Z900" s="7" t="str">
        <f>IFERROR(__xludf.DUMMYFUNCTION("GOOGLETRANSLATE(C900, ""en"", ""pt"")"),"República Dominicana")</f>
        <v>República Dominicana</v>
      </c>
      <c r="AA900" s="7" t="str">
        <f>IFERROR(__xludf.DUMMYFUNCTION("GOOGLETRANSLATE(C900, ""en"", ""ro"")"),"Republica Dominicană")</f>
        <v>Republica Dominicană</v>
      </c>
      <c r="AB900" s="1" t="s">
        <v>18892</v>
      </c>
      <c r="AC900" s="7" t="str">
        <f>IFERROR(__xludf.DUMMYFUNCTION("GOOGLETRANSLATE(C900, ""en"", ""sk"")"),"Dominikánska republika")</f>
        <v>Dominikánska republika</v>
      </c>
      <c r="AD900" s="6" t="s">
        <v>132</v>
      </c>
      <c r="AE900" s="1" t="s">
        <v>18893</v>
      </c>
      <c r="AF900" s="7" t="str">
        <f>IFERROR(__xludf.DUMMYFUNCTION("GOOGLETRANSLATE(C900, ""en"", ""sv"")"),"Dominikanska republiken")</f>
        <v>Dominikanska republiken</v>
      </c>
      <c r="AG900" s="6" t="s">
        <v>132</v>
      </c>
      <c r="AH900" s="7" t="str">
        <f>IFERROR(__xludf.DUMMYFUNCTION("GOOGLETRANSLATE(C900, ""en"", ""tr"")"),"Dominik Cumhuriyeti")</f>
        <v>Dominik Cumhuriyeti</v>
      </c>
      <c r="AI900" s="6" t="s">
        <v>132</v>
      </c>
      <c r="AJ900" s="6" t="s">
        <v>132</v>
      </c>
      <c r="AK900" s="7" t="str">
        <f>IFERROR(__xludf.DUMMYFUNCTION("GOOGLETRANSLATE(C900, ""en"", ""zh"")"),"多明尼加共和国")</f>
        <v>多明尼加共和国</v>
      </c>
      <c r="AL900" s="6" t="s">
        <v>132</v>
      </c>
    </row>
    <row r="901" ht="15.75" customHeight="1">
      <c r="A901" s="1" t="s">
        <v>127</v>
      </c>
      <c r="B901" s="1" t="s">
        <v>18894</v>
      </c>
      <c r="C901" s="1" t="s">
        <v>8813</v>
      </c>
      <c r="D901" s="8" t="s">
        <v>8814</v>
      </c>
      <c r="E901" s="1" t="s">
        <v>8815</v>
      </c>
      <c r="F901" s="6" t="s">
        <v>132</v>
      </c>
      <c r="G901" s="1" t="s">
        <v>8816</v>
      </c>
      <c r="H901" s="1" t="s">
        <v>8817</v>
      </c>
      <c r="I901" s="1" t="s">
        <v>18895</v>
      </c>
      <c r="J901" s="6" t="s">
        <v>8819</v>
      </c>
      <c r="K901" s="1" t="s">
        <v>8820</v>
      </c>
      <c r="L901" s="1" t="s">
        <v>8821</v>
      </c>
      <c r="M901" s="1" t="s">
        <v>8813</v>
      </c>
      <c r="N901" s="6" t="s">
        <v>132</v>
      </c>
      <c r="O901" s="6" t="s">
        <v>8822</v>
      </c>
      <c r="P901" s="1" t="s">
        <v>18896</v>
      </c>
      <c r="Q901" s="1" t="s">
        <v>8824</v>
      </c>
      <c r="R901" s="1" t="s">
        <v>8825</v>
      </c>
      <c r="S901" s="10" t="s">
        <v>8826</v>
      </c>
      <c r="T901" s="1" t="s">
        <v>18897</v>
      </c>
      <c r="U901" s="1" t="s">
        <v>8828</v>
      </c>
      <c r="V901" s="1" t="s">
        <v>8829</v>
      </c>
      <c r="W901" s="1" t="s">
        <v>8813</v>
      </c>
      <c r="X901" s="1" t="s">
        <v>8830</v>
      </c>
      <c r="Y901" s="1" t="s">
        <v>18898</v>
      </c>
      <c r="Z901" s="1" t="s">
        <v>18899</v>
      </c>
      <c r="AA901" s="1" t="s">
        <v>8833</v>
      </c>
      <c r="AB901" s="1" t="s">
        <v>18900</v>
      </c>
      <c r="AC901" s="1" t="s">
        <v>8835</v>
      </c>
      <c r="AD901" s="6" t="s">
        <v>8836</v>
      </c>
      <c r="AE901" s="1" t="s">
        <v>8837</v>
      </c>
      <c r="AF901" s="1" t="s">
        <v>8838</v>
      </c>
      <c r="AG901" s="6" t="s">
        <v>8839</v>
      </c>
      <c r="AH901" s="1" t="s">
        <v>8840</v>
      </c>
      <c r="AI901" s="6" t="s">
        <v>132</v>
      </c>
      <c r="AJ901" s="6" t="s">
        <v>8841</v>
      </c>
      <c r="AK901" s="1" t="s">
        <v>8842</v>
      </c>
      <c r="AL901" s="6" t="s">
        <v>18901</v>
      </c>
    </row>
    <row r="902" ht="15.75" hidden="1" customHeight="1">
      <c r="A902" s="1" t="s">
        <v>38</v>
      </c>
      <c r="B902" s="1" t="s">
        <v>18902</v>
      </c>
      <c r="C902" s="1" t="s">
        <v>18903</v>
      </c>
      <c r="D902" s="8" t="s">
        <v>18904</v>
      </c>
      <c r="E902" s="1" t="s">
        <v>18905</v>
      </c>
      <c r="F902" s="6" t="s">
        <v>18906</v>
      </c>
      <c r="G902" s="7" t="str">
        <f>IFERROR(__xludf.DUMMYFUNCTION("GOOGLETRANSLATE(C902, ""en"", ""cs"")"),"Automatické odstranění zpráv")</f>
        <v>Automatické odstranění zpráv</v>
      </c>
      <c r="H902" s="7" t="str">
        <f>IFERROR(__xludf.DUMMYFUNCTION("GOOGLETRANSLATE(C902, ""en"", ""da"")"),"Automatisk besked sletning")</f>
        <v>Automatisk besked sletning</v>
      </c>
      <c r="I902" s="1" t="s">
        <v>18907</v>
      </c>
      <c r="J902" s="6" t="s">
        <v>132</v>
      </c>
      <c r="K902" s="1" t="s">
        <v>18908</v>
      </c>
      <c r="L902" s="7" t="str">
        <f>IFERROR(__xludf.DUMMYFUNCTION("GOOGLETRANSLATE(C902, ""en"", ""fi"")"),"Automaattinen viestin poisto")</f>
        <v>Automaattinen viestin poisto</v>
      </c>
      <c r="M902" s="1" t="s">
        <v>18909</v>
      </c>
      <c r="N902" s="6" t="s">
        <v>18910</v>
      </c>
      <c r="O902" s="6" t="s">
        <v>132</v>
      </c>
      <c r="P902" s="1" t="s">
        <v>18911</v>
      </c>
      <c r="Q902" s="7" t="str">
        <f>IFERROR(__xludf.DUMMYFUNCTION("GOOGLETRANSLATE(C902, ""en"", ""in"")"),"Penghapusan Pesan Otomatis")</f>
        <v>Penghapusan Pesan Otomatis</v>
      </c>
      <c r="R902" s="1" t="s">
        <v>18912</v>
      </c>
      <c r="S902" s="6" t="s">
        <v>132</v>
      </c>
      <c r="T902" s="1" t="s">
        <v>18913</v>
      </c>
      <c r="U902" s="7" t="str">
        <f>IFERROR(__xludf.DUMMYFUNCTION("GOOGLETRANSLATE(C902, ""en"", ""ko"")"),"자동 메시지 삭제")</f>
        <v>자동 메시지 삭제</v>
      </c>
      <c r="V902" s="7" t="str">
        <f>IFERROR(__xludf.DUMMYFUNCTION("GOOGLETRANSLATE(C902, ""en"", ""ms"")"),"Pemadaman Mesej Automatik.")</f>
        <v>Pemadaman Mesej Automatik.</v>
      </c>
      <c r="W902" s="1" t="s">
        <v>18914</v>
      </c>
      <c r="X902" s="7" t="str">
        <f>IFERROR(__xludf.DUMMYFUNCTION("GOOGLETRANSLATE(C902, ""en"", ""no"")"),"Automatisk melding Sletting")</f>
        <v>Automatisk melding Sletting</v>
      </c>
      <c r="Y902" s="1" t="s">
        <v>18915</v>
      </c>
      <c r="Z902" s="7" t="str">
        <f>IFERROR(__xludf.DUMMYFUNCTION("GOOGLETRANSLATE(C902, ""en"", ""pt"")"),"Exclusão automática de mensagens")</f>
        <v>Exclusão automática de mensagens</v>
      </c>
      <c r="AA902" s="7" t="str">
        <f>IFERROR(__xludf.DUMMYFUNCTION("GOOGLETRANSLATE(C902, ""en"", ""ro"")"),"Ștergerea automată a mesajelor")</f>
        <v>Ștergerea automată a mesajelor</v>
      </c>
      <c r="AB902" s="1" t="s">
        <v>18916</v>
      </c>
      <c r="AC902" s="7" t="str">
        <f>IFERROR(__xludf.DUMMYFUNCTION("GOOGLETRANSLATE(C902, ""en"", ""sk"")"),"Automatické vymazanie správ")</f>
        <v>Automatické vymazanie správ</v>
      </c>
      <c r="AD902" s="6" t="s">
        <v>132</v>
      </c>
      <c r="AE902" s="1" t="s">
        <v>18917</v>
      </c>
      <c r="AF902" s="1" t="s">
        <v>18918</v>
      </c>
      <c r="AG902" s="6" t="s">
        <v>132</v>
      </c>
      <c r="AH902" s="7" t="str">
        <f>IFERROR(__xludf.DUMMYFUNCTION("GOOGLETRANSLATE(C902, ""en"", ""tr"")"),"Otomatik mesaj silme")</f>
        <v>Otomatik mesaj silme</v>
      </c>
      <c r="AI902" s="6" t="s">
        <v>18919</v>
      </c>
      <c r="AJ902" s="6" t="s">
        <v>132</v>
      </c>
      <c r="AK902" s="7" t="str">
        <f>IFERROR(__xludf.DUMMYFUNCTION("GOOGLETRANSLATE(C902, ""en"", ""zh"")"),"自动留言删除")</f>
        <v>自动留言删除</v>
      </c>
      <c r="AL902" s="6" t="s">
        <v>18920</v>
      </c>
    </row>
    <row r="903" ht="15.75" customHeight="1">
      <c r="A903" s="1" t="s">
        <v>127</v>
      </c>
      <c r="B903" s="1" t="s">
        <v>18921</v>
      </c>
      <c r="C903" s="1" t="s">
        <v>18922</v>
      </c>
      <c r="D903" s="8" t="s">
        <v>18923</v>
      </c>
      <c r="E903" s="1" t="s">
        <v>18924</v>
      </c>
      <c r="F903" s="6" t="s">
        <v>132</v>
      </c>
      <c r="G903" s="1" t="s">
        <v>18925</v>
      </c>
      <c r="H903" s="1" t="s">
        <v>18926</v>
      </c>
      <c r="I903" s="1" t="s">
        <v>18927</v>
      </c>
      <c r="J903" s="6" t="s">
        <v>18928</v>
      </c>
      <c r="K903" s="1" t="s">
        <v>18929</v>
      </c>
      <c r="L903" s="1" t="s">
        <v>18930</v>
      </c>
      <c r="M903" s="1" t="s">
        <v>18931</v>
      </c>
      <c r="N903" s="6" t="s">
        <v>132</v>
      </c>
      <c r="O903" s="6" t="s">
        <v>18932</v>
      </c>
      <c r="P903" s="1" t="s">
        <v>7899</v>
      </c>
      <c r="Q903" s="1" t="s">
        <v>18933</v>
      </c>
      <c r="R903" s="1" t="s">
        <v>18934</v>
      </c>
      <c r="S903" s="10" t="s">
        <v>18935</v>
      </c>
      <c r="T903" s="1" t="s">
        <v>18936</v>
      </c>
      <c r="U903" s="1" t="s">
        <v>18937</v>
      </c>
      <c r="V903" s="1" t="s">
        <v>18933</v>
      </c>
      <c r="W903" s="1" t="s">
        <v>18927</v>
      </c>
      <c r="X903" s="1" t="s">
        <v>18938</v>
      </c>
      <c r="Y903" s="1" t="s">
        <v>18939</v>
      </c>
      <c r="Z903" s="1" t="s">
        <v>18940</v>
      </c>
      <c r="AA903" s="1" t="s">
        <v>18941</v>
      </c>
      <c r="AB903" s="1" t="s">
        <v>18942</v>
      </c>
      <c r="AC903" s="1" t="s">
        <v>18925</v>
      </c>
      <c r="AD903" s="6" t="s">
        <v>18943</v>
      </c>
      <c r="AE903" s="1" t="s">
        <v>18944</v>
      </c>
      <c r="AF903" s="1" t="s">
        <v>18945</v>
      </c>
      <c r="AG903" s="6" t="s">
        <v>18946</v>
      </c>
      <c r="AH903" s="1" t="s">
        <v>18947</v>
      </c>
      <c r="AI903" s="6" t="s">
        <v>132</v>
      </c>
      <c r="AJ903" s="6" t="s">
        <v>18948</v>
      </c>
      <c r="AK903" s="1" t="s">
        <v>18936</v>
      </c>
      <c r="AL903" s="6" t="s">
        <v>18949</v>
      </c>
    </row>
    <row r="904" ht="15.75" customHeight="1">
      <c r="A904" s="1" t="s">
        <v>127</v>
      </c>
      <c r="B904" s="1" t="s">
        <v>18950</v>
      </c>
      <c r="C904" s="1" t="s">
        <v>18951</v>
      </c>
      <c r="D904" s="8" t="s">
        <v>18952</v>
      </c>
      <c r="E904" s="1" t="s">
        <v>18953</v>
      </c>
      <c r="F904" s="6" t="s">
        <v>132</v>
      </c>
      <c r="G904" s="1" t="s">
        <v>18954</v>
      </c>
      <c r="H904" s="1" t="s">
        <v>18955</v>
      </c>
      <c r="I904" s="1" t="s">
        <v>18956</v>
      </c>
      <c r="J904" s="6" t="s">
        <v>18957</v>
      </c>
      <c r="K904" s="1" t="s">
        <v>18958</v>
      </c>
      <c r="L904" s="1" t="s">
        <v>18959</v>
      </c>
      <c r="M904" s="1" t="s">
        <v>18960</v>
      </c>
      <c r="N904" s="6" t="s">
        <v>132</v>
      </c>
      <c r="O904" s="6" t="s">
        <v>18961</v>
      </c>
      <c r="P904" s="1" t="s">
        <v>18962</v>
      </c>
      <c r="Q904" s="1" t="s">
        <v>18963</v>
      </c>
      <c r="R904" s="1" t="s">
        <v>18964</v>
      </c>
      <c r="S904" s="10" t="s">
        <v>18965</v>
      </c>
      <c r="T904" s="1" t="s">
        <v>18966</v>
      </c>
      <c r="U904" s="1" t="s">
        <v>18967</v>
      </c>
      <c r="V904" s="1" t="s">
        <v>18968</v>
      </c>
      <c r="W904" s="1" t="s">
        <v>18969</v>
      </c>
      <c r="X904" s="1" t="s">
        <v>18970</v>
      </c>
      <c r="Y904" s="1" t="s">
        <v>18971</v>
      </c>
      <c r="Z904" s="1" t="s">
        <v>18972</v>
      </c>
      <c r="AA904" s="1" t="s">
        <v>18973</v>
      </c>
      <c r="AB904" s="1" t="s">
        <v>18974</v>
      </c>
      <c r="AC904" s="1" t="s">
        <v>18975</v>
      </c>
      <c r="AD904" s="6" t="s">
        <v>18976</v>
      </c>
      <c r="AE904" s="1" t="s">
        <v>18977</v>
      </c>
      <c r="AF904" s="1" t="s">
        <v>18978</v>
      </c>
      <c r="AG904" s="6" t="s">
        <v>18979</v>
      </c>
      <c r="AH904" s="1" t="s">
        <v>18980</v>
      </c>
      <c r="AI904" s="6" t="s">
        <v>132</v>
      </c>
      <c r="AJ904" s="6" t="s">
        <v>18981</v>
      </c>
      <c r="AK904" s="1" t="s">
        <v>18982</v>
      </c>
      <c r="AL904" s="6" t="s">
        <v>132</v>
      </c>
    </row>
    <row r="905" ht="15.75" customHeight="1">
      <c r="A905" s="1" t="s">
        <v>127</v>
      </c>
      <c r="B905" s="1" t="s">
        <v>18983</v>
      </c>
      <c r="C905" s="1" t="s">
        <v>18984</v>
      </c>
      <c r="D905" s="8" t="s">
        <v>7763</v>
      </c>
      <c r="E905" s="1" t="s">
        <v>18985</v>
      </c>
      <c r="F905" s="6" t="s">
        <v>132</v>
      </c>
      <c r="G905" s="1" t="s">
        <v>18986</v>
      </c>
      <c r="H905" s="1" t="s">
        <v>18987</v>
      </c>
      <c r="I905" s="1" t="s">
        <v>18988</v>
      </c>
      <c r="J905" s="6" t="s">
        <v>18989</v>
      </c>
      <c r="K905" s="1" t="s">
        <v>6250</v>
      </c>
      <c r="L905" s="1" t="s">
        <v>18990</v>
      </c>
      <c r="M905" s="1" t="s">
        <v>18991</v>
      </c>
      <c r="N905" s="6" t="s">
        <v>132</v>
      </c>
      <c r="O905" s="6" t="s">
        <v>18992</v>
      </c>
      <c r="P905" s="1" t="s">
        <v>18993</v>
      </c>
      <c r="Q905" s="1" t="s">
        <v>18994</v>
      </c>
      <c r="R905" s="1" t="s">
        <v>18995</v>
      </c>
      <c r="S905" s="10" t="s">
        <v>18996</v>
      </c>
      <c r="T905" s="1" t="s">
        <v>18997</v>
      </c>
      <c r="U905" s="1" t="s">
        <v>18998</v>
      </c>
      <c r="V905" s="1" t="s">
        <v>18994</v>
      </c>
      <c r="W905" s="1" t="s">
        <v>18999</v>
      </c>
      <c r="X905" s="1" t="s">
        <v>19000</v>
      </c>
      <c r="Y905" s="1" t="s">
        <v>19001</v>
      </c>
      <c r="Z905" s="1" t="s">
        <v>6250</v>
      </c>
      <c r="AA905" s="1" t="s">
        <v>19002</v>
      </c>
      <c r="AB905" s="1" t="s">
        <v>19003</v>
      </c>
      <c r="AC905" s="1" t="s">
        <v>19004</v>
      </c>
      <c r="AD905" s="6" t="s">
        <v>19005</v>
      </c>
      <c r="AE905" s="1" t="s">
        <v>19006</v>
      </c>
      <c r="AF905" s="1" t="s">
        <v>19007</v>
      </c>
      <c r="AG905" s="6" t="s">
        <v>7788</v>
      </c>
      <c r="AH905" s="1" t="s">
        <v>19008</v>
      </c>
      <c r="AI905" s="6" t="s">
        <v>132</v>
      </c>
      <c r="AJ905" s="6" t="s">
        <v>19009</v>
      </c>
      <c r="AK905" s="1" t="s">
        <v>19010</v>
      </c>
      <c r="AL905" s="6" t="s">
        <v>132</v>
      </c>
    </row>
    <row r="906" ht="15.75" hidden="1" customHeight="1">
      <c r="A906" s="1" t="s">
        <v>38</v>
      </c>
      <c r="B906" s="1" t="s">
        <v>19011</v>
      </c>
      <c r="C906" s="1" t="s">
        <v>19012</v>
      </c>
      <c r="D906" s="8" t="s">
        <v>19013</v>
      </c>
      <c r="E906" s="1" t="s">
        <v>19014</v>
      </c>
      <c r="F906" s="6" t="s">
        <v>19015</v>
      </c>
      <c r="G906" s="7" t="str">
        <f>IFERROR(__xludf.DUMMYFUNCTION("GOOGLETRANSLATE(C906, ""en"", ""cs"")"),"Komprese video")</f>
        <v>Komprese video</v>
      </c>
      <c r="H906" s="7" t="str">
        <f>IFERROR(__xludf.DUMMYFUNCTION("GOOGLETRANSLATE(C906, ""en"", ""da"")"),"Komprimering af video.")</f>
        <v>Komprimering af video.</v>
      </c>
      <c r="I906" s="1" t="s">
        <v>19016</v>
      </c>
      <c r="J906" s="6" t="s">
        <v>132</v>
      </c>
      <c r="K906" s="1" t="s">
        <v>19017</v>
      </c>
      <c r="L906" s="7" t="str">
        <f>IFERROR(__xludf.DUMMYFUNCTION("GOOGLETRANSLATE(C906, ""en"", ""fi"")"),"Videon pakkaaminen")</f>
        <v>Videon pakkaaminen</v>
      </c>
      <c r="M906" s="1" t="s">
        <v>19018</v>
      </c>
      <c r="N906" s="6" t="s">
        <v>19019</v>
      </c>
      <c r="O906" s="6" t="s">
        <v>132</v>
      </c>
      <c r="P906" s="1" t="s">
        <v>19020</v>
      </c>
      <c r="Q906" s="7" t="str">
        <f>IFERROR(__xludf.DUMMYFUNCTION("GOOGLETRANSLATE(C906, ""en"", ""in"")"),"Mengompresi Video")</f>
        <v>Mengompresi Video</v>
      </c>
      <c r="R906" s="1" t="s">
        <v>19021</v>
      </c>
      <c r="S906" s="6" t="s">
        <v>132</v>
      </c>
      <c r="T906" s="1" t="s">
        <v>19022</v>
      </c>
      <c r="U906" s="7" t="str">
        <f>IFERROR(__xludf.DUMMYFUNCTION("GOOGLETRANSLATE(C906, ""en"", ""ko"")"),"비디오 압축")</f>
        <v>비디오 압축</v>
      </c>
      <c r="V906" s="7" t="str">
        <f>IFERROR(__xludf.DUMMYFUNCTION("GOOGLETRANSLATE(C906, ""en"", ""ms"")"),"Memampatkan video")</f>
        <v>Memampatkan video</v>
      </c>
      <c r="W906" s="1" t="s">
        <v>19023</v>
      </c>
      <c r="X906" s="7" t="str">
        <f>IFERROR(__xludf.DUMMYFUNCTION("GOOGLETRANSLATE(C906, ""en"", ""no"")"),"Komprimering av video")</f>
        <v>Komprimering av video</v>
      </c>
      <c r="Y906" s="1" t="s">
        <v>19024</v>
      </c>
      <c r="Z906" s="7" t="str">
        <f>IFERROR(__xludf.DUMMYFUNCTION("GOOGLETRANSLATE(C906, ""en"", ""pt"")"),"Vídeo de compressão")</f>
        <v>Vídeo de compressão</v>
      </c>
      <c r="AA906" s="7" t="str">
        <f>IFERROR(__xludf.DUMMYFUNCTION("GOOGLETRANSLATE(C906, ""en"", ""ro"")"),"Comprimarea video")</f>
        <v>Comprimarea video</v>
      </c>
      <c r="AB906" s="1" t="s">
        <v>19025</v>
      </c>
      <c r="AC906" s="7" t="str">
        <f>IFERROR(__xludf.DUMMYFUNCTION("GOOGLETRANSLATE(C906, ""en"", ""sk"")"),"Stlačovanie videa")</f>
        <v>Stlačovanie videa</v>
      </c>
      <c r="AD906" s="6" t="s">
        <v>132</v>
      </c>
      <c r="AE906" s="1" t="s">
        <v>19026</v>
      </c>
      <c r="AF906" s="7" t="str">
        <f>IFERROR(__xludf.DUMMYFUNCTION("GOOGLETRANSLATE(C906, ""en"", ""sv"")"),"Komprimera video")</f>
        <v>Komprimera video</v>
      </c>
      <c r="AG906" s="6" t="s">
        <v>132</v>
      </c>
      <c r="AH906" s="7" t="str">
        <f>IFERROR(__xludf.DUMMYFUNCTION("GOOGLETRANSLATE(C906, ""en"", ""tr"")"),"Video sıkıştırma")</f>
        <v>Video sıkıştırma</v>
      </c>
      <c r="AI906" s="6" t="s">
        <v>132</v>
      </c>
      <c r="AJ906" s="6" t="s">
        <v>132</v>
      </c>
      <c r="AK906" s="7" t="str">
        <f>IFERROR(__xludf.DUMMYFUNCTION("GOOGLETRANSLATE(C906, ""en"", ""zh"")"),"压缩视频")</f>
        <v>压缩视频</v>
      </c>
      <c r="AL906" s="6" t="s">
        <v>132</v>
      </c>
    </row>
    <row r="907" ht="15.75" customHeight="1">
      <c r="A907" s="1" t="s">
        <v>127</v>
      </c>
      <c r="B907" s="1" t="s">
        <v>19027</v>
      </c>
      <c r="C907" s="1" t="s">
        <v>19028</v>
      </c>
      <c r="D907" s="7" t="str">
        <f>IFERROR(__xludf.DUMMYFUNCTION("GOOGLETRANSLATE(C907, ""en"", ""ar"")"),"ربما في وقت لاحق")</f>
        <v>ربما في وقت لاحق</v>
      </c>
      <c r="E907" s="7" t="str">
        <f>IFERROR(__xludf.DUMMYFUNCTION("GOOGLETRANSLATE(C907, ""en"", ""bg"")"),"Може би по-късно")</f>
        <v>Може би по-късно</v>
      </c>
      <c r="F907" s="6" t="s">
        <v>132</v>
      </c>
      <c r="G907" s="7" t="str">
        <f>IFERROR(__xludf.DUMMYFUNCTION("GOOGLETRANSLATE(C907, ""en"", ""cs"")"),"Možná později")</f>
        <v>Možná později</v>
      </c>
      <c r="H907" s="1" t="s">
        <v>19029</v>
      </c>
      <c r="I907" s="1" t="s">
        <v>19030</v>
      </c>
      <c r="J907" s="6" t="s">
        <v>132</v>
      </c>
      <c r="K907" s="1" t="s">
        <v>19031</v>
      </c>
      <c r="L907" s="1" t="s">
        <v>19032</v>
      </c>
      <c r="M907" s="1" t="s">
        <v>19033</v>
      </c>
      <c r="N907" s="6" t="s">
        <v>132</v>
      </c>
      <c r="O907" s="6" t="s">
        <v>132</v>
      </c>
      <c r="P907" s="1" t="s">
        <v>19034</v>
      </c>
      <c r="Q907" s="1" t="s">
        <v>19035</v>
      </c>
      <c r="R907" s="1" t="s">
        <v>19036</v>
      </c>
      <c r="S907" s="6" t="s">
        <v>132</v>
      </c>
      <c r="T907" s="1" t="s">
        <v>1220</v>
      </c>
      <c r="U907" s="1" t="s">
        <v>19037</v>
      </c>
      <c r="V907" s="1" t="s">
        <v>19038</v>
      </c>
      <c r="W907" s="1" t="s">
        <v>19039</v>
      </c>
      <c r="X907" s="1" t="s">
        <v>19040</v>
      </c>
      <c r="Y907" s="1" t="s">
        <v>19041</v>
      </c>
      <c r="Z907" s="1" t="s">
        <v>19042</v>
      </c>
      <c r="AA907" s="7" t="str">
        <f>IFERROR(__xludf.DUMMYFUNCTION("GOOGLETRANSLATE(C907, ""en"", ""ro"")"),"Poate mai târziu")</f>
        <v>Poate mai târziu</v>
      </c>
      <c r="AB907" s="1" t="s">
        <v>19043</v>
      </c>
      <c r="AC907" s="7" t="str">
        <f>IFERROR(__xludf.DUMMYFUNCTION("GOOGLETRANSLATE(C907, ""en"", ""sk"")"),"Možno neskôr")</f>
        <v>Možno neskôr</v>
      </c>
      <c r="AD907" s="6" t="s">
        <v>132</v>
      </c>
      <c r="AE907" s="1" t="s">
        <v>19044</v>
      </c>
      <c r="AF907" s="1" t="s">
        <v>19045</v>
      </c>
      <c r="AG907" s="6" t="s">
        <v>132</v>
      </c>
      <c r="AH907" s="1" t="s">
        <v>19046</v>
      </c>
      <c r="AI907" s="6" t="s">
        <v>132</v>
      </c>
      <c r="AJ907" s="6" t="s">
        <v>132</v>
      </c>
      <c r="AK907" s="1" t="s">
        <v>19047</v>
      </c>
      <c r="AL907" s="6" t="s">
        <v>132</v>
      </c>
    </row>
    <row r="908" ht="15.75" customHeight="1">
      <c r="A908" s="1" t="s">
        <v>127</v>
      </c>
      <c r="B908" s="1" t="s">
        <v>19048</v>
      </c>
      <c r="C908" s="1" t="s">
        <v>19049</v>
      </c>
      <c r="D908" s="8" t="s">
        <v>19050</v>
      </c>
      <c r="E908" s="1" t="s">
        <v>19051</v>
      </c>
      <c r="F908" s="6" t="s">
        <v>132</v>
      </c>
      <c r="G908" s="1" t="s">
        <v>19052</v>
      </c>
      <c r="H908" s="1" t="s">
        <v>19053</v>
      </c>
      <c r="I908" s="1" t="s">
        <v>19054</v>
      </c>
      <c r="J908" s="6" t="s">
        <v>19055</v>
      </c>
      <c r="K908" s="1" t="s">
        <v>19056</v>
      </c>
      <c r="L908" s="1" t="s">
        <v>19057</v>
      </c>
      <c r="M908" s="1" t="s">
        <v>19058</v>
      </c>
      <c r="N908" s="6" t="s">
        <v>132</v>
      </c>
      <c r="O908" s="6" t="s">
        <v>19059</v>
      </c>
      <c r="P908" s="1" t="s">
        <v>19060</v>
      </c>
      <c r="Q908" s="1" t="s">
        <v>19061</v>
      </c>
      <c r="R908" s="1" t="s">
        <v>19062</v>
      </c>
      <c r="S908" s="10" t="s">
        <v>19063</v>
      </c>
      <c r="T908" s="1" t="s">
        <v>19064</v>
      </c>
      <c r="U908" s="1" t="s">
        <v>19065</v>
      </c>
      <c r="V908" s="1" t="s">
        <v>19066</v>
      </c>
      <c r="W908" s="1" t="s">
        <v>19067</v>
      </c>
      <c r="X908" s="1" t="s">
        <v>19068</v>
      </c>
      <c r="Y908" s="1" t="s">
        <v>19069</v>
      </c>
      <c r="Z908" s="1" t="s">
        <v>19070</v>
      </c>
      <c r="AA908" s="1" t="s">
        <v>19071</v>
      </c>
      <c r="AB908" s="1" t="s">
        <v>19072</v>
      </c>
      <c r="AC908" s="1" t="s">
        <v>19073</v>
      </c>
      <c r="AD908" s="6" t="s">
        <v>19074</v>
      </c>
      <c r="AE908" s="1" t="s">
        <v>19075</v>
      </c>
      <c r="AF908" s="1" t="s">
        <v>19076</v>
      </c>
      <c r="AG908" s="6" t="s">
        <v>19077</v>
      </c>
      <c r="AH908" s="1" t="s">
        <v>19078</v>
      </c>
      <c r="AI908" s="6" t="s">
        <v>132</v>
      </c>
      <c r="AJ908" s="6" t="s">
        <v>19079</v>
      </c>
      <c r="AK908" s="1" t="s">
        <v>19080</v>
      </c>
      <c r="AL908" s="6" t="s">
        <v>19081</v>
      </c>
    </row>
    <row r="909" ht="15.75" customHeight="1">
      <c r="A909" s="1" t="s">
        <v>127</v>
      </c>
      <c r="B909" s="1" t="s">
        <v>19082</v>
      </c>
      <c r="C909" s="1" t="s">
        <v>19083</v>
      </c>
      <c r="D909" s="8" t="s">
        <v>19084</v>
      </c>
      <c r="E909" s="1" t="s">
        <v>19085</v>
      </c>
      <c r="F909" s="6" t="s">
        <v>132</v>
      </c>
      <c r="G909" s="1" t="s">
        <v>19086</v>
      </c>
      <c r="H909" s="1" t="s">
        <v>19087</v>
      </c>
      <c r="I909" s="1" t="s">
        <v>9392</v>
      </c>
      <c r="J909" s="6" t="s">
        <v>19088</v>
      </c>
      <c r="K909" s="1" t="s">
        <v>19089</v>
      </c>
      <c r="L909" s="1" t="s">
        <v>19090</v>
      </c>
      <c r="M909" s="1" t="s">
        <v>19091</v>
      </c>
      <c r="N909" s="6" t="s">
        <v>132</v>
      </c>
      <c r="O909" s="6" t="s">
        <v>19092</v>
      </c>
      <c r="P909" s="1" t="s">
        <v>19083</v>
      </c>
      <c r="Q909" s="1" t="s">
        <v>19093</v>
      </c>
      <c r="R909" s="1" t="s">
        <v>19094</v>
      </c>
      <c r="S909" s="10" t="s">
        <v>19095</v>
      </c>
      <c r="T909" s="1" t="s">
        <v>19096</v>
      </c>
      <c r="U909" s="1" t="s">
        <v>19097</v>
      </c>
      <c r="V909" s="1" t="s">
        <v>19098</v>
      </c>
      <c r="W909" s="1" t="s">
        <v>19083</v>
      </c>
      <c r="X909" s="1" t="s">
        <v>19087</v>
      </c>
      <c r="Y909" s="1" t="s">
        <v>19099</v>
      </c>
      <c r="Z909" s="1" t="s">
        <v>19100</v>
      </c>
      <c r="AA909" s="1" t="s">
        <v>19101</v>
      </c>
      <c r="AB909" s="1" t="s">
        <v>19102</v>
      </c>
      <c r="AC909" s="1" t="s">
        <v>19103</v>
      </c>
      <c r="AD909" s="6" t="s">
        <v>19104</v>
      </c>
      <c r="AE909" s="1" t="s">
        <v>19105</v>
      </c>
      <c r="AF909" s="1" t="s">
        <v>19106</v>
      </c>
      <c r="AG909" s="6" t="s">
        <v>19107</v>
      </c>
      <c r="AH909" s="1" t="s">
        <v>19108</v>
      </c>
      <c r="AI909" s="6" t="s">
        <v>132</v>
      </c>
      <c r="AJ909" s="6" t="s">
        <v>19109</v>
      </c>
      <c r="AK909" s="1" t="s">
        <v>19110</v>
      </c>
      <c r="AL909" s="6" t="s">
        <v>132</v>
      </c>
    </row>
    <row r="910" ht="15.75" customHeight="1">
      <c r="A910" s="1" t="s">
        <v>127</v>
      </c>
      <c r="B910" s="1" t="s">
        <v>19111</v>
      </c>
      <c r="C910" s="1" t="s">
        <v>19112</v>
      </c>
      <c r="D910" s="8" t="s">
        <v>19113</v>
      </c>
      <c r="E910" s="1" t="s">
        <v>19114</v>
      </c>
      <c r="F910" s="6" t="s">
        <v>132</v>
      </c>
      <c r="G910" s="1" t="s">
        <v>19115</v>
      </c>
      <c r="H910" s="1" t="s">
        <v>19116</v>
      </c>
      <c r="I910" s="1" t="s">
        <v>19117</v>
      </c>
      <c r="J910" s="6" t="s">
        <v>19118</v>
      </c>
      <c r="K910" s="1" t="s">
        <v>19119</v>
      </c>
      <c r="L910" s="1" t="s">
        <v>19120</v>
      </c>
      <c r="M910" s="1" t="s">
        <v>19121</v>
      </c>
      <c r="N910" s="6" t="s">
        <v>132</v>
      </c>
      <c r="O910" s="6" t="s">
        <v>19122</v>
      </c>
      <c r="P910" s="1" t="s">
        <v>19112</v>
      </c>
      <c r="Q910" s="1" t="s">
        <v>19123</v>
      </c>
      <c r="R910" s="1" t="s">
        <v>19124</v>
      </c>
      <c r="S910" s="10" t="s">
        <v>19125</v>
      </c>
      <c r="T910" s="1" t="s">
        <v>19126</v>
      </c>
      <c r="U910" s="1" t="s">
        <v>19127</v>
      </c>
      <c r="V910" s="1" t="s">
        <v>19123</v>
      </c>
      <c r="W910" s="1" t="s">
        <v>19112</v>
      </c>
      <c r="X910" s="1" t="s">
        <v>19128</v>
      </c>
      <c r="Y910" s="1" t="s">
        <v>19129</v>
      </c>
      <c r="Z910" s="1" t="s">
        <v>19130</v>
      </c>
      <c r="AA910" s="1" t="s">
        <v>19131</v>
      </c>
      <c r="AB910" s="1" t="s">
        <v>19132</v>
      </c>
      <c r="AC910" s="1" t="s">
        <v>19133</v>
      </c>
      <c r="AD910" s="6" t="s">
        <v>19134</v>
      </c>
      <c r="AE910" s="1" t="s">
        <v>19135</v>
      </c>
      <c r="AF910" s="1" t="s">
        <v>19136</v>
      </c>
      <c r="AG910" s="6" t="s">
        <v>19137</v>
      </c>
      <c r="AH910" s="1" t="s">
        <v>19138</v>
      </c>
      <c r="AI910" s="6" t="s">
        <v>132</v>
      </c>
      <c r="AJ910" s="6" t="s">
        <v>19139</v>
      </c>
      <c r="AK910" s="1" t="s">
        <v>19140</v>
      </c>
      <c r="AL910" s="6" t="s">
        <v>132</v>
      </c>
    </row>
    <row r="911" ht="15.75" customHeight="1">
      <c r="A911" s="1" t="s">
        <v>127</v>
      </c>
      <c r="B911" s="1" t="s">
        <v>19141</v>
      </c>
      <c r="C911" s="1" t="s">
        <v>15925</v>
      </c>
      <c r="D911" s="8" t="s">
        <v>15926</v>
      </c>
      <c r="E911" s="1" t="s">
        <v>15927</v>
      </c>
      <c r="F911" s="6" t="s">
        <v>132</v>
      </c>
      <c r="G911" s="1" t="s">
        <v>15925</v>
      </c>
      <c r="H911" s="1" t="s">
        <v>15925</v>
      </c>
      <c r="I911" s="1" t="s">
        <v>15925</v>
      </c>
      <c r="J911" s="6" t="s">
        <v>15925</v>
      </c>
      <c r="K911" s="1" t="s">
        <v>15925</v>
      </c>
      <c r="L911" s="1" t="s">
        <v>15928</v>
      </c>
      <c r="M911" s="1" t="s">
        <v>15925</v>
      </c>
      <c r="N911" s="6" t="s">
        <v>132</v>
      </c>
      <c r="O911" s="6" t="s">
        <v>15929</v>
      </c>
      <c r="P911" s="1" t="s">
        <v>15925</v>
      </c>
      <c r="Q911" s="1" t="s">
        <v>15930</v>
      </c>
      <c r="R911" s="1" t="s">
        <v>19142</v>
      </c>
      <c r="S911" s="10" t="s">
        <v>19143</v>
      </c>
      <c r="T911" s="1" t="s">
        <v>19144</v>
      </c>
      <c r="U911" s="1" t="s">
        <v>15933</v>
      </c>
      <c r="V911" s="1" t="s">
        <v>15934</v>
      </c>
      <c r="W911" s="1" t="s">
        <v>15925</v>
      </c>
      <c r="X911" s="1" t="s">
        <v>15925</v>
      </c>
      <c r="Y911" s="1" t="s">
        <v>15925</v>
      </c>
      <c r="Z911" s="1" t="s">
        <v>15925</v>
      </c>
      <c r="AA911" s="1" t="s">
        <v>15935</v>
      </c>
      <c r="AB911" s="1" t="s">
        <v>15927</v>
      </c>
      <c r="AC911" s="1" t="s">
        <v>15925</v>
      </c>
      <c r="AD911" s="6" t="s">
        <v>15925</v>
      </c>
      <c r="AE911" s="1" t="s">
        <v>15925</v>
      </c>
      <c r="AF911" s="1" t="s">
        <v>15925</v>
      </c>
      <c r="AG911" s="6" t="s">
        <v>15925</v>
      </c>
      <c r="AH911" s="1" t="s">
        <v>15937</v>
      </c>
      <c r="AI911" s="6" t="s">
        <v>132</v>
      </c>
      <c r="AJ911" s="6" t="s">
        <v>15925</v>
      </c>
      <c r="AK911" s="1" t="s">
        <v>19145</v>
      </c>
      <c r="AL911" s="6" t="s">
        <v>19146</v>
      </c>
    </row>
    <row r="912" ht="15.75" customHeight="1">
      <c r="A912" s="1" t="s">
        <v>127</v>
      </c>
      <c r="B912" s="1" t="s">
        <v>19147</v>
      </c>
      <c r="C912" s="1" t="s">
        <v>19148</v>
      </c>
      <c r="D912" s="8" t="s">
        <v>19149</v>
      </c>
      <c r="E912" s="1" t="s">
        <v>19150</v>
      </c>
      <c r="F912" s="6" t="s">
        <v>132</v>
      </c>
      <c r="G912" s="1" t="s">
        <v>19151</v>
      </c>
      <c r="H912" s="1" t="s">
        <v>19152</v>
      </c>
      <c r="I912" s="1" t="s">
        <v>19153</v>
      </c>
      <c r="J912" s="6" t="s">
        <v>19154</v>
      </c>
      <c r="K912" s="1" t="s">
        <v>19155</v>
      </c>
      <c r="L912" s="1" t="s">
        <v>19156</v>
      </c>
      <c r="M912" s="1" t="s">
        <v>19157</v>
      </c>
      <c r="N912" s="6" t="s">
        <v>132</v>
      </c>
      <c r="O912" s="6" t="s">
        <v>19158</v>
      </c>
      <c r="P912" s="1" t="s">
        <v>19159</v>
      </c>
      <c r="Q912" s="1" t="s">
        <v>19160</v>
      </c>
      <c r="R912" s="1" t="s">
        <v>19161</v>
      </c>
      <c r="S912" s="10" t="s">
        <v>19162</v>
      </c>
      <c r="T912" s="1" t="s">
        <v>19163</v>
      </c>
      <c r="U912" s="1" t="s">
        <v>19164</v>
      </c>
      <c r="V912" s="1" t="s">
        <v>19160</v>
      </c>
      <c r="W912" s="1" t="s">
        <v>19165</v>
      </c>
      <c r="X912" s="1" t="s">
        <v>19166</v>
      </c>
      <c r="Y912" s="1" t="s">
        <v>19167</v>
      </c>
      <c r="Z912" s="1" t="s">
        <v>19168</v>
      </c>
      <c r="AA912" s="1" t="s">
        <v>19169</v>
      </c>
      <c r="AB912" s="1" t="s">
        <v>19170</v>
      </c>
      <c r="AC912" s="1" t="s">
        <v>19171</v>
      </c>
      <c r="AD912" s="6" t="s">
        <v>19172</v>
      </c>
      <c r="AE912" s="1" t="s">
        <v>19173</v>
      </c>
      <c r="AF912" s="1" t="s">
        <v>19152</v>
      </c>
      <c r="AG912" s="6" t="s">
        <v>19174</v>
      </c>
      <c r="AH912" s="1" t="s">
        <v>19175</v>
      </c>
      <c r="AI912" s="6" t="s">
        <v>132</v>
      </c>
      <c r="AJ912" s="6" t="s">
        <v>19176</v>
      </c>
      <c r="AK912" s="1" t="s">
        <v>19177</v>
      </c>
      <c r="AL912" s="6" t="s">
        <v>132</v>
      </c>
    </row>
    <row r="913" ht="15.75" hidden="1" customHeight="1">
      <c r="A913" s="1" t="s">
        <v>38</v>
      </c>
      <c r="B913" s="1" t="s">
        <v>19178</v>
      </c>
      <c r="C913" s="1" t="s">
        <v>19179</v>
      </c>
      <c r="D913" s="7" t="str">
        <f>IFERROR(__xludf.DUMMYFUNCTION("GOOGLETRANSLATE(C913, ""en"", ""ar"")"),"هنغاريا")</f>
        <v>هنغاريا</v>
      </c>
      <c r="E913" s="7" t="str">
        <f>IFERROR(__xludf.DUMMYFUNCTION("GOOGLETRANSLATE(C913, ""en"", ""bg"")"),"Унгария")</f>
        <v>Унгария</v>
      </c>
      <c r="F913" s="6" t="s">
        <v>132</v>
      </c>
      <c r="G913" s="7" t="str">
        <f>IFERROR(__xludf.DUMMYFUNCTION("GOOGLETRANSLATE(C913, ""en"", ""cs"")"),"Maďarsko")</f>
        <v>Maďarsko</v>
      </c>
      <c r="H913" s="7" t="str">
        <f>IFERROR(__xludf.DUMMYFUNCTION("GOOGLETRANSLATE(C913, ""en"", ""da"")"),"Ungarn.")</f>
        <v>Ungarn.</v>
      </c>
      <c r="I913" s="1" t="s">
        <v>19180</v>
      </c>
      <c r="J913" s="6" t="s">
        <v>132</v>
      </c>
      <c r="K913" s="1" t="s">
        <v>19181</v>
      </c>
      <c r="L913" s="7" t="str">
        <f>IFERROR(__xludf.DUMMYFUNCTION("GOOGLETRANSLATE(C913, ""en"", ""fi"")"),"Unkari")</f>
        <v>Unkari</v>
      </c>
      <c r="M913" s="1" t="s">
        <v>19182</v>
      </c>
      <c r="N913" s="6" t="s">
        <v>132</v>
      </c>
      <c r="O913" s="6" t="s">
        <v>132</v>
      </c>
      <c r="P913" s="1" t="s">
        <v>19183</v>
      </c>
      <c r="Q913" s="7" t="str">
        <f>IFERROR(__xludf.DUMMYFUNCTION("GOOGLETRANSLATE(C913, ""en"", ""in"")"),"Hungaria")</f>
        <v>Hungaria</v>
      </c>
      <c r="R913" s="7" t="str">
        <f>IFERROR(__xludf.DUMMYFUNCTION("GOOGLETRANSLATE(C913, ""en"", ""it"")"),"Ungheria")</f>
        <v>Ungheria</v>
      </c>
      <c r="S913" s="6" t="s">
        <v>132</v>
      </c>
      <c r="T913" s="7" t="str">
        <f>IFERROR(__xludf.DUMMYFUNCTION("GOOGLETRANSLATE(C913, ""en"", ""ja"")"),"ハンガリー")</f>
        <v>ハンガリー</v>
      </c>
      <c r="U913" s="7" t="str">
        <f>IFERROR(__xludf.DUMMYFUNCTION("GOOGLETRANSLATE(C913, ""en"", ""ko"")"),"헝가리")</f>
        <v>헝가리</v>
      </c>
      <c r="V913" s="7" t="str">
        <f>IFERROR(__xludf.DUMMYFUNCTION("GOOGLETRANSLATE(C913, ""en"", ""ms"")"),"Hungary.")</f>
        <v>Hungary.</v>
      </c>
      <c r="W913" s="7" t="str">
        <f>IFERROR(__xludf.DUMMYFUNCTION("GOOGLETRANSLATE(C913, ""en"", ""nl"")"),"Hongarije")</f>
        <v>Hongarije</v>
      </c>
      <c r="X913" s="7" t="str">
        <f>IFERROR(__xludf.DUMMYFUNCTION("GOOGLETRANSLATE(C913, ""en"", ""no"")"),"Ungarn")</f>
        <v>Ungarn</v>
      </c>
      <c r="Y913" s="7" t="str">
        <f>IFERROR(__xludf.DUMMYFUNCTION("GOOGLETRANSLATE(C913, ""en"", ""pl"")"),"Węgry")</f>
        <v>Węgry</v>
      </c>
      <c r="Z913" s="7" t="str">
        <f>IFERROR(__xludf.DUMMYFUNCTION("GOOGLETRANSLATE(C913, ""en"", ""pt"")"),"Hungria")</f>
        <v>Hungria</v>
      </c>
      <c r="AA913" s="7" t="str">
        <f>IFERROR(__xludf.DUMMYFUNCTION("GOOGLETRANSLATE(C913, ""en"", ""ro"")"),"Ungaria")</f>
        <v>Ungaria</v>
      </c>
      <c r="AB913" s="1" t="s">
        <v>19184</v>
      </c>
      <c r="AC913" s="7" t="str">
        <f>IFERROR(__xludf.DUMMYFUNCTION("GOOGLETRANSLATE(C913, ""en"", ""sk"")"),"Maďarsko")</f>
        <v>Maďarsko</v>
      </c>
      <c r="AD913" s="6" t="s">
        <v>132</v>
      </c>
      <c r="AE913" s="1" t="s">
        <v>19185</v>
      </c>
      <c r="AF913" s="7" t="str">
        <f>IFERROR(__xludf.DUMMYFUNCTION("GOOGLETRANSLATE(C913, ""en"", ""sv"")"),"Ungern")</f>
        <v>Ungern</v>
      </c>
      <c r="AG913" s="6" t="s">
        <v>132</v>
      </c>
      <c r="AH913" s="7" t="str">
        <f>IFERROR(__xludf.DUMMYFUNCTION("GOOGLETRANSLATE(C913, ""en"", ""tr"")"),"Macaristan")</f>
        <v>Macaristan</v>
      </c>
      <c r="AI913" s="6" t="s">
        <v>132</v>
      </c>
      <c r="AJ913" s="6" t="s">
        <v>132</v>
      </c>
      <c r="AK913" s="7" t="str">
        <f>IFERROR(__xludf.DUMMYFUNCTION("GOOGLETRANSLATE(C913, ""en"", ""zh"")"),"匈牙利")</f>
        <v>匈牙利</v>
      </c>
      <c r="AL913" s="6" t="s">
        <v>132</v>
      </c>
    </row>
    <row r="914" ht="15.75" customHeight="1">
      <c r="A914" s="1" t="s">
        <v>127</v>
      </c>
      <c r="B914" s="1" t="s">
        <v>19186</v>
      </c>
      <c r="C914" s="1" t="s">
        <v>19187</v>
      </c>
      <c r="D914" s="8" t="s">
        <v>19188</v>
      </c>
      <c r="E914" s="1" t="s">
        <v>19189</v>
      </c>
      <c r="F914" s="6" t="s">
        <v>132</v>
      </c>
      <c r="G914" s="1" t="s">
        <v>19190</v>
      </c>
      <c r="H914" s="1" t="s">
        <v>4014</v>
      </c>
      <c r="I914" s="1" t="s">
        <v>19191</v>
      </c>
      <c r="J914" s="6" t="s">
        <v>19192</v>
      </c>
      <c r="K914" s="1" t="s">
        <v>19193</v>
      </c>
      <c r="L914" s="1" t="s">
        <v>19194</v>
      </c>
      <c r="M914" s="1" t="s">
        <v>19195</v>
      </c>
      <c r="N914" s="6" t="s">
        <v>132</v>
      </c>
      <c r="O914" s="6" t="s">
        <v>4019</v>
      </c>
      <c r="P914" s="1" t="s">
        <v>19196</v>
      </c>
      <c r="Q914" s="1" t="s">
        <v>4014</v>
      </c>
      <c r="R914" s="1" t="s">
        <v>19197</v>
      </c>
      <c r="S914" s="10" t="s">
        <v>19198</v>
      </c>
      <c r="T914" s="1" t="s">
        <v>4021</v>
      </c>
      <c r="U914" s="1" t="s">
        <v>4022</v>
      </c>
      <c r="V914" s="1" t="s">
        <v>4014</v>
      </c>
      <c r="W914" s="1" t="s">
        <v>19187</v>
      </c>
      <c r="X914" s="1" t="s">
        <v>19199</v>
      </c>
      <c r="Y914" s="1" t="s">
        <v>19200</v>
      </c>
      <c r="Z914" s="1" t="s">
        <v>19193</v>
      </c>
      <c r="AA914" s="1" t="s">
        <v>19197</v>
      </c>
      <c r="AB914" s="1" t="s">
        <v>19201</v>
      </c>
      <c r="AC914" s="1" t="s">
        <v>19190</v>
      </c>
      <c r="AD914" s="6" t="s">
        <v>4017</v>
      </c>
      <c r="AE914" s="1" t="s">
        <v>4017</v>
      </c>
      <c r="AF914" s="1" t="s">
        <v>4011</v>
      </c>
      <c r="AG914" s="6" t="s">
        <v>4024</v>
      </c>
      <c r="AH914" s="1" t="s">
        <v>19202</v>
      </c>
      <c r="AI914" s="6" t="s">
        <v>132</v>
      </c>
      <c r="AJ914" s="6" t="s">
        <v>4026</v>
      </c>
      <c r="AK914" s="1" t="s">
        <v>4027</v>
      </c>
      <c r="AL914" s="6" t="s">
        <v>132</v>
      </c>
    </row>
    <row r="915" ht="15.75" customHeight="1">
      <c r="A915" s="1" t="s">
        <v>127</v>
      </c>
      <c r="B915" s="1" t="s">
        <v>19203</v>
      </c>
      <c r="C915" s="1" t="s">
        <v>18171</v>
      </c>
      <c r="D915" s="8" t="s">
        <v>19204</v>
      </c>
      <c r="E915" s="1" t="s">
        <v>18172</v>
      </c>
      <c r="F915" s="6" t="s">
        <v>132</v>
      </c>
      <c r="G915" s="1" t="s">
        <v>19205</v>
      </c>
      <c r="H915" s="1" t="s">
        <v>19206</v>
      </c>
      <c r="I915" s="1" t="s">
        <v>18174</v>
      </c>
      <c r="J915" s="6" t="s">
        <v>19207</v>
      </c>
      <c r="K915" s="1" t="s">
        <v>18175</v>
      </c>
      <c r="L915" s="1" t="s">
        <v>19208</v>
      </c>
      <c r="M915" s="1" t="s">
        <v>19209</v>
      </c>
      <c r="N915" s="6" t="s">
        <v>132</v>
      </c>
      <c r="O915" s="6" t="s">
        <v>19210</v>
      </c>
      <c r="P915" s="1" t="s">
        <v>18178</v>
      </c>
      <c r="Q915" s="1" t="s">
        <v>19211</v>
      </c>
      <c r="R915" s="1" t="s">
        <v>19212</v>
      </c>
      <c r="S915" s="10" t="s">
        <v>19213</v>
      </c>
      <c r="T915" s="1" t="s">
        <v>19214</v>
      </c>
      <c r="U915" s="1" t="s">
        <v>19215</v>
      </c>
      <c r="V915" s="1" t="s">
        <v>19216</v>
      </c>
      <c r="W915" s="1" t="s">
        <v>19217</v>
      </c>
      <c r="X915" s="1" t="s">
        <v>19206</v>
      </c>
      <c r="Y915" s="1" t="s">
        <v>19218</v>
      </c>
      <c r="Z915" s="1" t="s">
        <v>19219</v>
      </c>
      <c r="AA915" s="1" t="s">
        <v>19220</v>
      </c>
      <c r="AB915" s="1" t="s">
        <v>18183</v>
      </c>
      <c r="AC915" s="1" t="s">
        <v>19221</v>
      </c>
      <c r="AD915" s="6" t="s">
        <v>19222</v>
      </c>
      <c r="AE915" s="1" t="s">
        <v>19223</v>
      </c>
      <c r="AF915" s="1" t="s">
        <v>19224</v>
      </c>
      <c r="AG915" s="6" t="s">
        <v>19225</v>
      </c>
      <c r="AH915" s="1" t="s">
        <v>19226</v>
      </c>
      <c r="AI915" s="6" t="s">
        <v>132</v>
      </c>
      <c r="AJ915" s="6" t="s">
        <v>19227</v>
      </c>
      <c r="AK915" s="1" t="s">
        <v>19228</v>
      </c>
      <c r="AL915" s="6" t="s">
        <v>132</v>
      </c>
    </row>
    <row r="916" ht="15.75" customHeight="1">
      <c r="A916" s="1" t="s">
        <v>127</v>
      </c>
      <c r="B916" s="1" t="s">
        <v>19229</v>
      </c>
      <c r="C916" s="1" t="s">
        <v>19230</v>
      </c>
      <c r="D916" s="8" t="s">
        <v>19231</v>
      </c>
      <c r="E916" s="1" t="s">
        <v>19232</v>
      </c>
      <c r="F916" s="6" t="s">
        <v>132</v>
      </c>
      <c r="G916" s="1" t="s">
        <v>19233</v>
      </c>
      <c r="H916" s="1" t="s">
        <v>19234</v>
      </c>
      <c r="I916" s="1" t="s">
        <v>19235</v>
      </c>
      <c r="J916" s="6" t="s">
        <v>19236</v>
      </c>
      <c r="K916" s="1" t="s">
        <v>19237</v>
      </c>
      <c r="L916" s="1" t="s">
        <v>19238</v>
      </c>
      <c r="M916" s="1" t="s">
        <v>19239</v>
      </c>
      <c r="N916" s="6" t="s">
        <v>132</v>
      </c>
      <c r="O916" s="6" t="s">
        <v>19240</v>
      </c>
      <c r="P916" s="1" t="s">
        <v>19241</v>
      </c>
      <c r="Q916" s="1" t="s">
        <v>19242</v>
      </c>
      <c r="R916" s="1" t="s">
        <v>19243</v>
      </c>
      <c r="S916" s="10" t="s">
        <v>19244</v>
      </c>
      <c r="T916" s="1" t="s">
        <v>19245</v>
      </c>
      <c r="U916" s="1" t="s">
        <v>19246</v>
      </c>
      <c r="V916" s="1" t="s">
        <v>19247</v>
      </c>
      <c r="W916" s="1" t="s">
        <v>19248</v>
      </c>
      <c r="X916" s="1" t="s">
        <v>19249</v>
      </c>
      <c r="Y916" s="1" t="s">
        <v>19250</v>
      </c>
      <c r="Z916" s="1" t="s">
        <v>19251</v>
      </c>
      <c r="AA916" s="1" t="s">
        <v>19252</v>
      </c>
      <c r="AB916" s="1" t="s">
        <v>19253</v>
      </c>
      <c r="AC916" s="1" t="s">
        <v>19254</v>
      </c>
      <c r="AD916" s="6" t="s">
        <v>19255</v>
      </c>
      <c r="AE916" s="1" t="s">
        <v>19256</v>
      </c>
      <c r="AF916" s="1" t="s">
        <v>19257</v>
      </c>
      <c r="AG916" s="6" t="s">
        <v>19258</v>
      </c>
      <c r="AH916" s="1" t="s">
        <v>19259</v>
      </c>
      <c r="AI916" s="6" t="s">
        <v>132</v>
      </c>
      <c r="AJ916" s="6" t="s">
        <v>19260</v>
      </c>
      <c r="AK916" s="1" t="s">
        <v>19261</v>
      </c>
      <c r="AL916" s="6" t="s">
        <v>19262</v>
      </c>
    </row>
    <row r="917" ht="15.75" hidden="1" customHeight="1">
      <c r="A917" s="1" t="s">
        <v>38</v>
      </c>
      <c r="B917" s="1" t="s">
        <v>19263</v>
      </c>
      <c r="C917" s="1" t="s">
        <v>19264</v>
      </c>
      <c r="D917" s="8" t="s">
        <v>19265</v>
      </c>
      <c r="E917" s="1" t="s">
        <v>19266</v>
      </c>
      <c r="F917" s="6" t="s">
        <v>19267</v>
      </c>
      <c r="G917" s="7" t="str">
        <f>IFERROR(__xludf.DUMMYFUNCTION("GOOGLETRANSLATE(C917, ""en"", ""cs"")"),"Skupinový chat byl vypnut")</f>
        <v>Skupinový chat byl vypnut</v>
      </c>
      <c r="H917" s="7" t="str">
        <f>IFERROR(__xludf.DUMMYFUNCTION("GOOGLETRANSLATE(C917, ""en"", ""da"")"),"Gruppens chat blev lukket ned")</f>
        <v>Gruppens chat blev lukket ned</v>
      </c>
      <c r="I917" s="1" t="s">
        <v>19268</v>
      </c>
      <c r="J917" s="6" t="s">
        <v>132</v>
      </c>
      <c r="K917" s="1" t="s">
        <v>19269</v>
      </c>
      <c r="L917" s="7" t="str">
        <f>IFERROR(__xludf.DUMMYFUNCTION("GOOGLETRANSLATE(C917, ""en"", ""fi"")"),"Ryhmäkeskustelu suljettiin")</f>
        <v>Ryhmäkeskustelu suljettiin</v>
      </c>
      <c r="M917" s="1" t="s">
        <v>19270</v>
      </c>
      <c r="N917" s="6" t="s">
        <v>19271</v>
      </c>
      <c r="O917" s="6" t="s">
        <v>132</v>
      </c>
      <c r="P917" s="1" t="s">
        <v>19272</v>
      </c>
      <c r="Q917" s="7" t="str">
        <f>IFERROR(__xludf.DUMMYFUNCTION("GOOGLETRANSLATE(C917, ""en"", ""in"")"),"Obrolan grup ditutup")</f>
        <v>Obrolan grup ditutup</v>
      </c>
      <c r="R917" s="1" t="s">
        <v>19273</v>
      </c>
      <c r="S917" s="6" t="s">
        <v>132</v>
      </c>
      <c r="T917" s="1" t="s">
        <v>19274</v>
      </c>
      <c r="U917" s="7" t="str">
        <f>IFERROR(__xludf.DUMMYFUNCTION("GOOGLETRANSLATE(C917, ""en"", ""ko"")"),"그룹 채팅이 종료되었습니다")</f>
        <v>그룹 채팅이 종료되었습니다</v>
      </c>
      <c r="V917" s="7" t="str">
        <f>IFERROR(__xludf.DUMMYFUNCTION("GOOGLETRANSLATE(C917, ""en"", ""ms"")"),"Sembang kumpulan ditutup")</f>
        <v>Sembang kumpulan ditutup</v>
      </c>
      <c r="W917" s="1" t="s">
        <v>19275</v>
      </c>
      <c r="X917" s="7" t="str">
        <f>IFERROR(__xludf.DUMMYFUNCTION("GOOGLETRANSLATE(C917, ""en"", ""no"")"),"Gruppekabelen ble stengt")</f>
        <v>Gruppekabelen ble stengt</v>
      </c>
      <c r="Y917" s="1" t="s">
        <v>19276</v>
      </c>
      <c r="Z917" s="7" t="str">
        <f>IFERROR(__xludf.DUMMYFUNCTION("GOOGLETRANSLATE(C917, ""en"", ""pt"")"),"O bate-papo do grupo foi desligado")</f>
        <v>O bate-papo do grupo foi desligado</v>
      </c>
      <c r="AA917" s="7" t="str">
        <f>IFERROR(__xludf.DUMMYFUNCTION("GOOGLETRANSLATE(C917, ""en"", ""ro"")"),"Chat-ul de grup a fost închis")</f>
        <v>Chat-ul de grup a fost închis</v>
      </c>
      <c r="AB917" s="1" t="s">
        <v>19277</v>
      </c>
      <c r="AC917" s="7" t="str">
        <f>IFERROR(__xludf.DUMMYFUNCTION("GOOGLETRANSLATE(C917, ""en"", ""sk"")"),"Chat skupiny bol vypnutý")</f>
        <v>Chat skupiny bol vypnutý</v>
      </c>
      <c r="AD917" s="6" t="s">
        <v>132</v>
      </c>
      <c r="AE917" s="1" t="s">
        <v>19278</v>
      </c>
      <c r="AF917" s="7" t="str">
        <f>IFERROR(__xludf.DUMMYFUNCTION("GOOGLETRANSLATE(C917, ""en"", ""sv"")"),"Gruppchatten stängdes av")</f>
        <v>Gruppchatten stängdes av</v>
      </c>
      <c r="AG917" s="6" t="s">
        <v>132</v>
      </c>
      <c r="AH917" s="7" t="str">
        <f>IFERROR(__xludf.DUMMYFUNCTION("GOOGLETRANSLATE(C917, ""en"", ""tr"")"),"Grup sohbeti kapatıldı")</f>
        <v>Grup sohbeti kapatıldı</v>
      </c>
      <c r="AI917" s="6" t="s">
        <v>132</v>
      </c>
      <c r="AJ917" s="6" t="s">
        <v>132</v>
      </c>
      <c r="AK917" s="7" t="str">
        <f>IFERROR(__xludf.DUMMYFUNCTION("GOOGLETRANSLATE(C917, ""en"", ""zh"")"),"小组聊天被关闭了")</f>
        <v>小组聊天被关闭了</v>
      </c>
      <c r="AL917" s="6" t="s">
        <v>132</v>
      </c>
    </row>
    <row r="918" ht="15.75" customHeight="1">
      <c r="A918" s="1" t="s">
        <v>127</v>
      </c>
      <c r="B918" s="1" t="s">
        <v>19279</v>
      </c>
      <c r="C918" s="1" t="s">
        <v>19280</v>
      </c>
      <c r="D918" s="8" t="s">
        <v>19281</v>
      </c>
      <c r="E918" s="1" t="s">
        <v>19282</v>
      </c>
      <c r="F918" s="6" t="s">
        <v>132</v>
      </c>
      <c r="G918" s="1" t="s">
        <v>19283</v>
      </c>
      <c r="H918" s="1" t="s">
        <v>19284</v>
      </c>
      <c r="I918" s="1" t="s">
        <v>19285</v>
      </c>
      <c r="J918" s="6" t="s">
        <v>19286</v>
      </c>
      <c r="K918" s="1" t="s">
        <v>19280</v>
      </c>
      <c r="L918" s="1" t="s">
        <v>19287</v>
      </c>
      <c r="M918" s="1" t="s">
        <v>19280</v>
      </c>
      <c r="N918" s="6" t="s">
        <v>132</v>
      </c>
      <c r="O918" s="6" t="s">
        <v>19288</v>
      </c>
      <c r="P918" s="1" t="s">
        <v>19280</v>
      </c>
      <c r="Q918" s="1" t="s">
        <v>19289</v>
      </c>
      <c r="R918" s="1" t="s">
        <v>19290</v>
      </c>
      <c r="S918" s="10" t="s">
        <v>19291</v>
      </c>
      <c r="T918" s="1" t="s">
        <v>19292</v>
      </c>
      <c r="U918" s="1" t="s">
        <v>19293</v>
      </c>
      <c r="V918" s="1" t="s">
        <v>19294</v>
      </c>
      <c r="W918" s="1" t="s">
        <v>19295</v>
      </c>
      <c r="X918" s="1" t="s">
        <v>19296</v>
      </c>
      <c r="Y918" s="1" t="s">
        <v>19297</v>
      </c>
      <c r="Z918" s="1" t="s">
        <v>19280</v>
      </c>
      <c r="AA918" s="1" t="s">
        <v>19298</v>
      </c>
      <c r="AB918" s="1" t="s">
        <v>19299</v>
      </c>
      <c r="AC918" s="1" t="s">
        <v>19300</v>
      </c>
      <c r="AD918" s="6" t="s">
        <v>19301</v>
      </c>
      <c r="AE918" s="1" t="s">
        <v>19280</v>
      </c>
      <c r="AF918" s="1" t="s">
        <v>19302</v>
      </c>
      <c r="AG918" s="6" t="s">
        <v>19303</v>
      </c>
      <c r="AH918" s="1" t="s">
        <v>19304</v>
      </c>
      <c r="AI918" s="6" t="s">
        <v>132</v>
      </c>
      <c r="AJ918" s="6" t="s">
        <v>19305</v>
      </c>
      <c r="AK918" s="1" t="s">
        <v>19306</v>
      </c>
      <c r="AL918" s="6" t="s">
        <v>19307</v>
      </c>
    </row>
    <row r="919" ht="15.75" hidden="1" customHeight="1">
      <c r="A919" s="1" t="s">
        <v>38</v>
      </c>
      <c r="B919" s="1" t="s">
        <v>19308</v>
      </c>
      <c r="C919" s="1" t="s">
        <v>19309</v>
      </c>
      <c r="D919" s="7" t="str">
        <f>IFERROR(__xludf.DUMMYFUNCTION("GOOGLETRANSLATE(C919, ""en"", ""ar"")"),"جزر سليمان")</f>
        <v>جزر سليمان</v>
      </c>
      <c r="E919" s="7" t="str">
        <f>IFERROR(__xludf.DUMMYFUNCTION("GOOGLETRANSLATE(C919, ""en"", ""bg"")"),"Соломон острови")</f>
        <v>Соломон острови</v>
      </c>
      <c r="F919" s="6" t="s">
        <v>132</v>
      </c>
      <c r="G919" s="7" t="str">
        <f>IFERROR(__xludf.DUMMYFUNCTION("GOOGLETRANSLATE(C919, ""en"", ""cs"")"),"Solomonovy ostrovy")</f>
        <v>Solomonovy ostrovy</v>
      </c>
      <c r="H919" s="7" t="str">
        <f>IFERROR(__xludf.DUMMYFUNCTION("GOOGLETRANSLATE(C919, ""en"", ""da"")"),"Salomonøerne")</f>
        <v>Salomonøerne</v>
      </c>
      <c r="I919" s="1" t="s">
        <v>19310</v>
      </c>
      <c r="J919" s="6" t="s">
        <v>132</v>
      </c>
      <c r="K919" s="1" t="s">
        <v>19311</v>
      </c>
      <c r="L919" s="7" t="str">
        <f>IFERROR(__xludf.DUMMYFUNCTION("GOOGLETRANSLATE(C919, ""en"", ""fi"")"),"Solomonsaaret")</f>
        <v>Solomonsaaret</v>
      </c>
      <c r="M919" s="1" t="s">
        <v>19312</v>
      </c>
      <c r="N919" s="6" t="s">
        <v>132</v>
      </c>
      <c r="O919" s="6" t="s">
        <v>132</v>
      </c>
      <c r="P919" s="1" t="s">
        <v>19309</v>
      </c>
      <c r="Q919" s="7" t="str">
        <f>IFERROR(__xludf.DUMMYFUNCTION("GOOGLETRANSLATE(C919, ""en"", ""in"")"),"Pulau Solomon")</f>
        <v>Pulau Solomon</v>
      </c>
      <c r="R919" s="7" t="str">
        <f>IFERROR(__xludf.DUMMYFUNCTION("GOOGLETRANSLATE(C919, ""en"", ""it"")"),"Isole Salomone")</f>
        <v>Isole Salomone</v>
      </c>
      <c r="S919" s="6" t="s">
        <v>132</v>
      </c>
      <c r="T919" s="7" t="str">
        <f>IFERROR(__xludf.DUMMYFUNCTION("GOOGLETRANSLATE(C919, ""en"", ""ja"")"),"ソロモン諸島")</f>
        <v>ソロモン諸島</v>
      </c>
      <c r="U919" s="7" t="str">
        <f>IFERROR(__xludf.DUMMYFUNCTION("GOOGLETRANSLATE(C919, ""en"", ""ko"")"),"솔로몬 제도")</f>
        <v>솔로몬 제도</v>
      </c>
      <c r="V919" s="7" t="str">
        <f>IFERROR(__xludf.DUMMYFUNCTION("GOOGLETRANSLATE(C919, ""en"", ""ms"")"),"Kepulauan Solomon.")</f>
        <v>Kepulauan Solomon.</v>
      </c>
      <c r="W919" s="7" t="str">
        <f>IFERROR(__xludf.DUMMYFUNCTION("GOOGLETRANSLATE(C919, ""en"", ""nl"")"),"Solomon eilanden")</f>
        <v>Solomon eilanden</v>
      </c>
      <c r="X919" s="7" t="str">
        <f>IFERROR(__xludf.DUMMYFUNCTION("GOOGLETRANSLATE(C919, ""en"", ""no"")"),"Solomon øyene")</f>
        <v>Solomon øyene</v>
      </c>
      <c r="Y919" s="7" t="str">
        <f>IFERROR(__xludf.DUMMYFUNCTION("GOOGLETRANSLATE(C919, ""en"", ""pl"")"),"Wyspy Salomona")</f>
        <v>Wyspy Salomona</v>
      </c>
      <c r="Z919" s="7" t="str">
        <f>IFERROR(__xludf.DUMMYFUNCTION("GOOGLETRANSLATE(C919, ""en"", ""pt"")"),"Ilhas Salomão")</f>
        <v>Ilhas Salomão</v>
      </c>
      <c r="AA919" s="7" t="str">
        <f>IFERROR(__xludf.DUMMYFUNCTION("GOOGLETRANSLATE(C919, ""en"", ""ro"")"),"Insulele Solomon")</f>
        <v>Insulele Solomon</v>
      </c>
      <c r="AB919" s="1" t="s">
        <v>19313</v>
      </c>
      <c r="AC919" s="7" t="str">
        <f>IFERROR(__xludf.DUMMYFUNCTION("GOOGLETRANSLATE(C919, ""en"", ""sk"")"),"Solomon Islands")</f>
        <v>Solomon Islands</v>
      </c>
      <c r="AD919" s="6" t="s">
        <v>132</v>
      </c>
      <c r="AE919" s="1" t="s">
        <v>19314</v>
      </c>
      <c r="AF919" s="7" t="str">
        <f>IFERROR(__xludf.DUMMYFUNCTION("GOOGLETRANSLATE(C919, ""en"", ""sv"")"),"Salomonöarna")</f>
        <v>Salomonöarna</v>
      </c>
      <c r="AG919" s="6" t="s">
        <v>132</v>
      </c>
      <c r="AH919" s="7" t="str">
        <f>IFERROR(__xludf.DUMMYFUNCTION("GOOGLETRANSLATE(C919, ""en"", ""tr"")"),"Solomon Adaları")</f>
        <v>Solomon Adaları</v>
      </c>
      <c r="AI919" s="6" t="s">
        <v>132</v>
      </c>
      <c r="AJ919" s="6" t="s">
        <v>132</v>
      </c>
      <c r="AK919" s="7" t="str">
        <f>IFERROR(__xludf.DUMMYFUNCTION("GOOGLETRANSLATE(C919, ""en"", ""zh"")"),"所罗门群岛")</f>
        <v>所罗门群岛</v>
      </c>
      <c r="AL919" s="6" t="s">
        <v>132</v>
      </c>
    </row>
    <row r="920" ht="15.75" customHeight="1">
      <c r="A920" s="1" t="s">
        <v>127</v>
      </c>
      <c r="B920" s="1" t="s">
        <v>19315</v>
      </c>
      <c r="C920" s="1" t="s">
        <v>19316</v>
      </c>
      <c r="D920" s="8" t="s">
        <v>19317</v>
      </c>
      <c r="E920" s="1" t="s">
        <v>19318</v>
      </c>
      <c r="F920" s="6" t="s">
        <v>132</v>
      </c>
      <c r="G920" s="1" t="s">
        <v>19319</v>
      </c>
      <c r="H920" s="1" t="s">
        <v>19320</v>
      </c>
      <c r="I920" s="1" t="s">
        <v>19321</v>
      </c>
      <c r="J920" s="6" t="s">
        <v>19322</v>
      </c>
      <c r="K920" s="1" t="s">
        <v>19323</v>
      </c>
      <c r="L920" s="1" t="s">
        <v>19324</v>
      </c>
      <c r="M920" s="1" t="s">
        <v>19325</v>
      </c>
      <c r="N920" s="6" t="s">
        <v>132</v>
      </c>
      <c r="O920" s="6" t="s">
        <v>19326</v>
      </c>
      <c r="P920" s="1" t="s">
        <v>19327</v>
      </c>
      <c r="Q920" s="1" t="s">
        <v>19328</v>
      </c>
      <c r="R920" s="1" t="s">
        <v>19329</v>
      </c>
      <c r="S920" s="10" t="s">
        <v>19330</v>
      </c>
      <c r="T920" s="1" t="s">
        <v>19331</v>
      </c>
      <c r="U920" s="1" t="s">
        <v>19332</v>
      </c>
      <c r="V920" s="1" t="s">
        <v>19328</v>
      </c>
      <c r="W920" s="1" t="s">
        <v>19333</v>
      </c>
      <c r="X920" s="1" t="s">
        <v>19334</v>
      </c>
      <c r="Y920" s="1" t="s">
        <v>19335</v>
      </c>
      <c r="Z920" s="1" t="s">
        <v>19336</v>
      </c>
      <c r="AA920" s="1" t="s">
        <v>19337</v>
      </c>
      <c r="AB920" s="1" t="s">
        <v>19338</v>
      </c>
      <c r="AC920" s="1" t="s">
        <v>19339</v>
      </c>
      <c r="AD920" s="6" t="s">
        <v>19340</v>
      </c>
      <c r="AE920" s="1" t="s">
        <v>19341</v>
      </c>
      <c r="AF920" s="1" t="s">
        <v>19342</v>
      </c>
      <c r="AG920" s="6" t="s">
        <v>19343</v>
      </c>
      <c r="AH920" s="1" t="s">
        <v>19344</v>
      </c>
      <c r="AI920" s="6" t="s">
        <v>132</v>
      </c>
      <c r="AJ920" s="6" t="s">
        <v>19345</v>
      </c>
      <c r="AK920" s="1" t="s">
        <v>19346</v>
      </c>
      <c r="AL920" s="6" t="s">
        <v>19347</v>
      </c>
    </row>
    <row r="921" ht="15.75" customHeight="1">
      <c r="A921" s="1" t="s">
        <v>127</v>
      </c>
      <c r="B921" s="1" t="s">
        <v>19348</v>
      </c>
      <c r="C921" s="1" t="s">
        <v>19349</v>
      </c>
      <c r="D921" s="8" t="s">
        <v>19350</v>
      </c>
      <c r="E921" s="1" t="s">
        <v>19351</v>
      </c>
      <c r="F921" s="6" t="s">
        <v>132</v>
      </c>
      <c r="G921" s="1" t="s">
        <v>19352</v>
      </c>
      <c r="H921" s="1" t="s">
        <v>19353</v>
      </c>
      <c r="I921" s="1" t="s">
        <v>19354</v>
      </c>
      <c r="J921" s="6" t="s">
        <v>19355</v>
      </c>
      <c r="K921" s="1" t="s">
        <v>19356</v>
      </c>
      <c r="L921" s="1" t="s">
        <v>19357</v>
      </c>
      <c r="M921" s="1" t="s">
        <v>19358</v>
      </c>
      <c r="N921" s="6" t="s">
        <v>132</v>
      </c>
      <c r="O921" s="6" t="s">
        <v>19359</v>
      </c>
      <c r="P921" s="1" t="s">
        <v>19360</v>
      </c>
      <c r="Q921" s="1" t="s">
        <v>19361</v>
      </c>
      <c r="R921" s="1" t="s">
        <v>19349</v>
      </c>
      <c r="S921" s="10" t="s">
        <v>19362</v>
      </c>
      <c r="T921" s="1" t="s">
        <v>19363</v>
      </c>
      <c r="U921" s="1" t="s">
        <v>19364</v>
      </c>
      <c r="V921" s="1" t="s">
        <v>19361</v>
      </c>
      <c r="W921" s="1" t="s">
        <v>19365</v>
      </c>
      <c r="X921" s="1" t="s">
        <v>19366</v>
      </c>
      <c r="Y921" s="1" t="s">
        <v>19349</v>
      </c>
      <c r="Z921" s="1" t="s">
        <v>19367</v>
      </c>
      <c r="AA921" s="1" t="s">
        <v>19368</v>
      </c>
      <c r="AB921" s="1" t="s">
        <v>19369</v>
      </c>
      <c r="AC921" s="1" t="s">
        <v>19370</v>
      </c>
      <c r="AD921" s="6" t="s">
        <v>19371</v>
      </c>
      <c r="AE921" s="1" t="s">
        <v>19349</v>
      </c>
      <c r="AF921" s="1" t="s">
        <v>19372</v>
      </c>
      <c r="AG921" s="6" t="s">
        <v>19373</v>
      </c>
      <c r="AH921" s="1" t="s">
        <v>19374</v>
      </c>
      <c r="AI921" s="6" t="s">
        <v>132</v>
      </c>
      <c r="AJ921" s="6" t="s">
        <v>19375</v>
      </c>
      <c r="AK921" s="1" t="s">
        <v>19376</v>
      </c>
      <c r="AL921" s="6" t="s">
        <v>19377</v>
      </c>
    </row>
    <row r="922" ht="15.75" hidden="1" customHeight="1">
      <c r="A922" s="1" t="s">
        <v>38</v>
      </c>
      <c r="B922" s="1" t="s">
        <v>19378</v>
      </c>
      <c r="C922" s="1" t="s">
        <v>19379</v>
      </c>
      <c r="D922" s="8" t="s">
        <v>19380</v>
      </c>
      <c r="E922" s="1" t="s">
        <v>19381</v>
      </c>
      <c r="F922" s="6" t="s">
        <v>19382</v>
      </c>
      <c r="G922" s="7" t="str">
        <f>IFERROR(__xludf.DUMMYFUNCTION("GOOGLETRANSLATE(C922, ""en"", ""cs"")"),"Zahrajte si zvuk, když přijde nová zpráva")</f>
        <v>Zahrajte si zvuk, když přijde nová zpráva</v>
      </c>
      <c r="H922" s="7" t="str">
        <f>IFERROR(__xludf.DUMMYFUNCTION("GOOGLETRANSLATE(C922, ""en"", ""da"")"),"Spil lyd, når en ny besked ankommer")</f>
        <v>Spil lyd, når en ny besked ankommer</v>
      </c>
      <c r="I922" s="1" t="s">
        <v>19383</v>
      </c>
      <c r="J922" s="6" t="s">
        <v>132</v>
      </c>
      <c r="K922" s="1" t="s">
        <v>19384</v>
      </c>
      <c r="L922" s="7" t="str">
        <f>IFERROR(__xludf.DUMMYFUNCTION("GOOGLETRANSLATE(C922, ""en"", ""fi"")"),"Toista ääni, kun uusi viesti saapuu")</f>
        <v>Toista ääni, kun uusi viesti saapuu</v>
      </c>
      <c r="M922" s="1" t="s">
        <v>19385</v>
      </c>
      <c r="N922" s="6" t="s">
        <v>19386</v>
      </c>
      <c r="O922" s="6" t="s">
        <v>132</v>
      </c>
      <c r="P922" s="1" t="s">
        <v>19387</v>
      </c>
      <c r="Q922" s="9" t="s">
        <v>19388</v>
      </c>
      <c r="R922" s="1" t="s">
        <v>19389</v>
      </c>
      <c r="S922" s="6" t="s">
        <v>132</v>
      </c>
      <c r="T922" s="1" t="s">
        <v>19390</v>
      </c>
      <c r="U922" s="1" t="s">
        <v>19391</v>
      </c>
      <c r="V922" s="7" t="str">
        <f>IFERROR(__xludf.DUMMYFUNCTION("GOOGLETRANSLATE(C922, ""en"", ""ms"")"),"Main bunyi apabila mesej baru tiba")</f>
        <v>Main bunyi apabila mesej baru tiba</v>
      </c>
      <c r="W922" s="1" t="s">
        <v>19392</v>
      </c>
      <c r="X922" s="7" t="str">
        <f>IFERROR(__xludf.DUMMYFUNCTION("GOOGLETRANSLATE(C922, ""en"", ""no"")"),"Spill lyd når en ny melding kommer")</f>
        <v>Spill lyd når en ny melding kommer</v>
      </c>
      <c r="Y922" s="1" t="s">
        <v>19393</v>
      </c>
      <c r="Z922" s="1" t="s">
        <v>19394</v>
      </c>
      <c r="AA922" s="7" t="str">
        <f>IFERROR(__xludf.DUMMYFUNCTION("GOOGLETRANSLATE(C922, ""en"", ""ro"")"),"Redați sunetul când sosește un mesaj nou")</f>
        <v>Redați sunetul când sosește un mesaj nou</v>
      </c>
      <c r="AB922" s="1" t="s">
        <v>19395</v>
      </c>
      <c r="AC922" s="7" t="str">
        <f>IFERROR(__xludf.DUMMYFUNCTION("GOOGLETRANSLATE(C922, ""en"", ""sk"")"),"Zahrať zvuk, keď príde nová správa")</f>
        <v>Zahrať zvuk, keď príde nová správa</v>
      </c>
      <c r="AD922" s="6" t="s">
        <v>132</v>
      </c>
      <c r="AE922" s="1" t="s">
        <v>19396</v>
      </c>
      <c r="AF922" s="1" t="s">
        <v>19397</v>
      </c>
      <c r="AG922" s="6" t="s">
        <v>132</v>
      </c>
      <c r="AH922" s="7" t="str">
        <f>IFERROR(__xludf.DUMMYFUNCTION("GOOGLETRANSLATE(C922, ""en"", ""tr"")"),"Yeni bir mesaj geldiğinde ses çal")</f>
        <v>Yeni bir mesaj geldiğinde ses çal</v>
      </c>
      <c r="AI922" s="6" t="s">
        <v>19398</v>
      </c>
      <c r="AJ922" s="6" t="s">
        <v>19399</v>
      </c>
      <c r="AK922" s="7" t="str">
        <f>IFERROR(__xludf.DUMMYFUNCTION("GOOGLETRANSLATE(C922, ""en"", ""zh"")"),"新消息到达时播放声音")</f>
        <v>新消息到达时播放声音</v>
      </c>
      <c r="AL922" s="6" t="s">
        <v>19400</v>
      </c>
    </row>
    <row r="923" ht="15.75" customHeight="1">
      <c r="A923" s="1" t="s">
        <v>127</v>
      </c>
      <c r="B923" s="1" t="s">
        <v>19401</v>
      </c>
      <c r="C923" s="1" t="s">
        <v>19402</v>
      </c>
      <c r="D923" s="8" t="s">
        <v>19403</v>
      </c>
      <c r="E923" s="1" t="s">
        <v>19404</v>
      </c>
      <c r="F923" s="6" t="s">
        <v>132</v>
      </c>
      <c r="G923" s="1" t="s">
        <v>19405</v>
      </c>
      <c r="H923" s="1" t="s">
        <v>19406</v>
      </c>
      <c r="I923" s="1" t="s">
        <v>19407</v>
      </c>
      <c r="J923" s="6" t="s">
        <v>19408</v>
      </c>
      <c r="K923" s="1" t="s">
        <v>19409</v>
      </c>
      <c r="L923" s="1" t="s">
        <v>19410</v>
      </c>
      <c r="M923" s="1" t="s">
        <v>19411</v>
      </c>
      <c r="N923" s="6" t="s">
        <v>132</v>
      </c>
      <c r="O923" s="6" t="s">
        <v>19412</v>
      </c>
      <c r="P923" s="1" t="s">
        <v>19413</v>
      </c>
      <c r="Q923" s="1" t="s">
        <v>19414</v>
      </c>
      <c r="R923" s="1" t="s">
        <v>19415</v>
      </c>
      <c r="S923" s="10" t="s">
        <v>19416</v>
      </c>
      <c r="T923" s="1" t="s">
        <v>19417</v>
      </c>
      <c r="U923" s="1" t="s">
        <v>19418</v>
      </c>
      <c r="V923" s="1" t="s">
        <v>19414</v>
      </c>
      <c r="W923" s="1" t="s">
        <v>19419</v>
      </c>
      <c r="X923" s="1" t="s">
        <v>19420</v>
      </c>
      <c r="Y923" s="1" t="s">
        <v>19421</v>
      </c>
      <c r="Z923" s="1" t="s">
        <v>19422</v>
      </c>
      <c r="AA923" s="1" t="s">
        <v>19423</v>
      </c>
      <c r="AB923" s="1" t="s">
        <v>19424</v>
      </c>
      <c r="AC923" s="1" t="s">
        <v>19425</v>
      </c>
      <c r="AD923" s="6" t="s">
        <v>19426</v>
      </c>
      <c r="AE923" s="1" t="s">
        <v>19427</v>
      </c>
      <c r="AF923" s="1" t="s">
        <v>19428</v>
      </c>
      <c r="AG923" s="6" t="s">
        <v>19429</v>
      </c>
      <c r="AH923" s="1" t="s">
        <v>19430</v>
      </c>
      <c r="AI923" s="6" t="s">
        <v>132</v>
      </c>
      <c r="AJ923" s="6" t="s">
        <v>19431</v>
      </c>
      <c r="AK923" s="1" t="s">
        <v>19432</v>
      </c>
      <c r="AL923" s="6" t="s">
        <v>19433</v>
      </c>
    </row>
    <row r="924" ht="15.75" hidden="1" customHeight="1">
      <c r="A924" s="1" t="s">
        <v>38</v>
      </c>
      <c r="B924" s="1" t="s">
        <v>19434</v>
      </c>
      <c r="C924" s="1" t="s">
        <v>19435</v>
      </c>
      <c r="D924" s="7" t="str">
        <f>IFERROR(__xludf.DUMMYFUNCTION("GOOGLETRANSLATE(C924, ""en"", ""ar"")"),"البحث في البلدان")</f>
        <v>البحث في البلدان</v>
      </c>
      <c r="E924" s="1" t="s">
        <v>19436</v>
      </c>
      <c r="F924" s="6" t="s">
        <v>132</v>
      </c>
      <c r="G924" s="7" t="str">
        <f>IFERROR(__xludf.DUMMYFUNCTION("GOOGLETRANSLATE(C924, ""en"", ""cs"")"),"Vyhledávací země")</f>
        <v>Vyhledávací země</v>
      </c>
      <c r="H924" s="7" t="str">
        <f>IFERROR(__xludf.DUMMYFUNCTION("GOOGLETRANSLATE(C924, ""en"", ""da"")"),"Søg lande")</f>
        <v>Søg lande</v>
      </c>
      <c r="I924" s="1" t="s">
        <v>19437</v>
      </c>
      <c r="J924" s="6" t="s">
        <v>132</v>
      </c>
      <c r="K924" s="1" t="s">
        <v>19438</v>
      </c>
      <c r="L924" s="7" t="str">
        <f>IFERROR(__xludf.DUMMYFUNCTION("GOOGLETRANSLATE(C924, ""en"", ""fi"")"),"Hakumaat")</f>
        <v>Hakumaat</v>
      </c>
      <c r="M924" s="1" t="s">
        <v>19439</v>
      </c>
      <c r="N924" s="6" t="s">
        <v>19438</v>
      </c>
      <c r="O924" s="6" t="s">
        <v>132</v>
      </c>
      <c r="P924" s="1" t="s">
        <v>19440</v>
      </c>
      <c r="Q924" s="7" t="str">
        <f>IFERROR(__xludf.DUMMYFUNCTION("GOOGLETRANSLATE(C924, ""en"", ""in"")"),"Cari negara")</f>
        <v>Cari negara</v>
      </c>
      <c r="R924" s="1" t="s">
        <v>19441</v>
      </c>
      <c r="S924" s="6" t="s">
        <v>132</v>
      </c>
      <c r="T924" s="7" t="str">
        <f>IFERROR(__xludf.DUMMYFUNCTION("GOOGLETRANSLATE(C924, ""en"", ""ja"")"),"検索国")</f>
        <v>検索国</v>
      </c>
      <c r="U924" s="7" t="str">
        <f>IFERROR(__xludf.DUMMYFUNCTION("GOOGLETRANSLATE(C924, ""en"", ""ko"")"),"검색 국가")</f>
        <v>검색 국가</v>
      </c>
      <c r="V924" s="7" t="str">
        <f>IFERROR(__xludf.DUMMYFUNCTION("GOOGLETRANSLATE(C924, ""en"", ""ms"")"),"Cari negara")</f>
        <v>Cari negara</v>
      </c>
      <c r="W924" s="1" t="s">
        <v>19442</v>
      </c>
      <c r="X924" s="7" t="str">
        <f>IFERROR(__xludf.DUMMYFUNCTION("GOOGLETRANSLATE(C924, ""en"", ""no"")"),"Søk land")</f>
        <v>Søk land</v>
      </c>
      <c r="Y924" s="1" t="s">
        <v>19443</v>
      </c>
      <c r="Z924" s="7" t="str">
        <f>IFERROR(__xludf.DUMMYFUNCTION("GOOGLETRANSLATE(C924, ""en"", ""pt"")"),"Pesquisar países")</f>
        <v>Pesquisar países</v>
      </c>
      <c r="AA924" s="7" t="str">
        <f>IFERROR(__xludf.DUMMYFUNCTION("GOOGLETRANSLATE(C924, ""en"", ""ro"")"),"Căutați țări")</f>
        <v>Căutați țări</v>
      </c>
      <c r="AB924" s="7" t="str">
        <f>IFERROR(__xludf.DUMMYFUNCTION("GOOGLETRANSLATE(C924, ""en"", ""ru"")"),"Поиск стран")</f>
        <v>Поиск стран</v>
      </c>
      <c r="AC924" s="7" t="str">
        <f>IFERROR(__xludf.DUMMYFUNCTION("GOOGLETRANSLATE(C924, ""en"", ""sk"")"),"Hľadať krajiny")</f>
        <v>Hľadať krajiny</v>
      </c>
      <c r="AD924" s="6" t="s">
        <v>132</v>
      </c>
      <c r="AE924" s="7" t="str">
        <f>IFERROR(__xludf.DUMMYFUNCTION("GOOGLETRANSLATE(C924, ""en"", ""sr"")"),"Сеарцх Земље")</f>
        <v>Сеарцх Земље</v>
      </c>
      <c r="AF924" s="7" t="str">
        <f>IFERROR(__xludf.DUMMYFUNCTION("GOOGLETRANSLATE(C924, ""en"", ""sv"")"),"Sökländer")</f>
        <v>Sökländer</v>
      </c>
      <c r="AG924" s="6" t="s">
        <v>132</v>
      </c>
      <c r="AH924" s="7" t="str">
        <f>IFERROR(__xludf.DUMMYFUNCTION("GOOGLETRANSLATE(C924, ""en"", ""tr"")"),"Arama Ülkeleri")</f>
        <v>Arama Ülkeleri</v>
      </c>
      <c r="AI924" s="6" t="s">
        <v>132</v>
      </c>
      <c r="AJ924" s="6" t="s">
        <v>132</v>
      </c>
      <c r="AK924" s="7" t="str">
        <f>IFERROR(__xludf.DUMMYFUNCTION("GOOGLETRANSLATE(C924, ""en"", ""zh"")"),"搜索国家")</f>
        <v>搜索国家</v>
      </c>
      <c r="AL924" s="6" t="s">
        <v>132</v>
      </c>
    </row>
    <row r="925" ht="15.75" customHeight="1">
      <c r="A925" s="1" t="s">
        <v>127</v>
      </c>
      <c r="B925" s="1" t="s">
        <v>19444</v>
      </c>
      <c r="C925" s="1" t="s">
        <v>19445</v>
      </c>
      <c r="D925" s="8" t="s">
        <v>5371</v>
      </c>
      <c r="E925" s="1" t="s">
        <v>19446</v>
      </c>
      <c r="F925" s="6" t="s">
        <v>132</v>
      </c>
      <c r="G925" s="1" t="s">
        <v>19447</v>
      </c>
      <c r="H925" s="1" t="s">
        <v>19445</v>
      </c>
      <c r="I925" s="1" t="s">
        <v>12179</v>
      </c>
      <c r="J925" s="6" t="s">
        <v>19448</v>
      </c>
      <c r="K925" s="1" t="s">
        <v>19449</v>
      </c>
      <c r="L925" s="1" t="s">
        <v>19450</v>
      </c>
      <c r="M925" s="1" t="s">
        <v>19449</v>
      </c>
      <c r="N925" s="6" t="s">
        <v>132</v>
      </c>
      <c r="O925" s="6" t="s">
        <v>19451</v>
      </c>
      <c r="P925" s="1" t="s">
        <v>19452</v>
      </c>
      <c r="Q925" s="1" t="s">
        <v>12178</v>
      </c>
      <c r="R925" s="1" t="s">
        <v>19445</v>
      </c>
      <c r="S925" s="10" t="s">
        <v>5384</v>
      </c>
      <c r="T925" s="1" t="s">
        <v>19445</v>
      </c>
      <c r="U925" s="1" t="s">
        <v>5386</v>
      </c>
      <c r="V925" s="1" t="s">
        <v>12178</v>
      </c>
      <c r="W925" s="1" t="s">
        <v>19445</v>
      </c>
      <c r="X925" s="1" t="s">
        <v>19453</v>
      </c>
      <c r="Y925" s="1" t="s">
        <v>19447</v>
      </c>
      <c r="Z925" s="1" t="s">
        <v>5388</v>
      </c>
      <c r="AA925" s="1" t="s">
        <v>19449</v>
      </c>
      <c r="AB925" s="1" t="s">
        <v>19454</v>
      </c>
      <c r="AC925" s="1" t="s">
        <v>19445</v>
      </c>
      <c r="AD925" s="6" t="s">
        <v>19445</v>
      </c>
      <c r="AE925" s="1" t="s">
        <v>19455</v>
      </c>
      <c r="AF925" s="1" t="s">
        <v>19453</v>
      </c>
      <c r="AG925" s="6" t="s">
        <v>5393</v>
      </c>
      <c r="AH925" s="1" t="s">
        <v>15310</v>
      </c>
      <c r="AI925" s="6" t="s">
        <v>132</v>
      </c>
      <c r="AJ925" s="6" t="s">
        <v>12181</v>
      </c>
      <c r="AK925" s="1" t="s">
        <v>5396</v>
      </c>
      <c r="AL925" s="6" t="s">
        <v>5397</v>
      </c>
    </row>
    <row r="926" ht="15.75" hidden="1" customHeight="1">
      <c r="A926" s="1" t="s">
        <v>38</v>
      </c>
      <c r="B926" s="1" t="s">
        <v>19456</v>
      </c>
      <c r="C926" s="1" t="s">
        <v>19457</v>
      </c>
      <c r="D926" s="8" t="s">
        <v>19458</v>
      </c>
      <c r="E926" s="1" t="s">
        <v>19459</v>
      </c>
      <c r="F926" s="6" t="s">
        <v>19460</v>
      </c>
      <c r="G926" s="7" t="str">
        <f>IFERROR(__xludf.DUMMYFUNCTION("GOOGLETRANSLATE(C926, ""en"", ""cs"")"),"Zkopírovat do schránky")</f>
        <v>Zkopírovat do schránky</v>
      </c>
      <c r="H926" s="7" t="str">
        <f>IFERROR(__xludf.DUMMYFUNCTION("GOOGLETRANSLATE(C926, ""en"", ""da"")"),"Kopier til udklipsholder")</f>
        <v>Kopier til udklipsholder</v>
      </c>
      <c r="I926" s="1" t="s">
        <v>19461</v>
      </c>
      <c r="J926" s="6" t="s">
        <v>132</v>
      </c>
      <c r="K926" s="1" t="s">
        <v>19462</v>
      </c>
      <c r="L926" s="7" t="str">
        <f>IFERROR(__xludf.DUMMYFUNCTION("GOOGLETRANSLATE(C926, ""en"", ""fi"")"),"Kopioi leikepöydälle")</f>
        <v>Kopioi leikepöydälle</v>
      </c>
      <c r="M926" s="1" t="s">
        <v>19463</v>
      </c>
      <c r="N926" s="6" t="s">
        <v>19464</v>
      </c>
      <c r="O926" s="6" t="s">
        <v>132</v>
      </c>
      <c r="P926" s="1" t="s">
        <v>19465</v>
      </c>
      <c r="Q926" s="7" t="str">
        <f>IFERROR(__xludf.DUMMYFUNCTION("GOOGLETRANSLATE(C926, ""en"", ""in"")"),"Menyalin ke clipboard")</f>
        <v>Menyalin ke clipboard</v>
      </c>
      <c r="R926" s="1" t="s">
        <v>19466</v>
      </c>
      <c r="S926" s="6" t="s">
        <v>132</v>
      </c>
      <c r="T926" s="1" t="s">
        <v>19467</v>
      </c>
      <c r="U926" s="7" t="str">
        <f>IFERROR(__xludf.DUMMYFUNCTION("GOOGLETRANSLATE(C926, ""en"", ""ko"")"),"클립 보드에 복사")</f>
        <v>클립 보드에 복사</v>
      </c>
      <c r="V926" s="7" t="str">
        <f>IFERROR(__xludf.DUMMYFUNCTION("GOOGLETRANSLATE(C926, ""en"", ""ms"")"),"Salin ke Clipboard.")</f>
        <v>Salin ke Clipboard.</v>
      </c>
      <c r="W926" s="1" t="s">
        <v>19468</v>
      </c>
      <c r="X926" s="7" t="str">
        <f>IFERROR(__xludf.DUMMYFUNCTION("GOOGLETRANSLATE(C926, ""en"", ""no"")"),"Kopiere til utklippstavle")</f>
        <v>Kopiere til utklippstavle</v>
      </c>
      <c r="Y926" s="1" t="s">
        <v>19469</v>
      </c>
      <c r="Z926" s="7" t="str">
        <f>IFERROR(__xludf.DUMMYFUNCTION("GOOGLETRANSLATE(C926, ""en"", ""pt"")"),"Copiar para área de transferência")</f>
        <v>Copiar para área de transferência</v>
      </c>
      <c r="AA926" s="7" t="str">
        <f>IFERROR(__xludf.DUMMYFUNCTION("GOOGLETRANSLATE(C926, ""en"", ""ro"")"),"Copiați în clipboard")</f>
        <v>Copiați în clipboard</v>
      </c>
      <c r="AB926" s="1" t="s">
        <v>19470</v>
      </c>
      <c r="AC926" s="7" t="str">
        <f>IFERROR(__xludf.DUMMYFUNCTION("GOOGLETRANSLATE(C926, ""en"", ""sk"")"),"Skopírovať do schránky")</f>
        <v>Skopírovať do schránky</v>
      </c>
      <c r="AD926" s="6" t="s">
        <v>132</v>
      </c>
      <c r="AE926" s="1" t="s">
        <v>19471</v>
      </c>
      <c r="AF926" s="7" t="str">
        <f>IFERROR(__xludf.DUMMYFUNCTION("GOOGLETRANSLATE(C926, ""en"", ""sv"")"),"Kopiera till urklipp")</f>
        <v>Kopiera till urklipp</v>
      </c>
      <c r="AG926" s="6" t="s">
        <v>132</v>
      </c>
      <c r="AH926" s="7" t="str">
        <f>IFERROR(__xludf.DUMMYFUNCTION("GOOGLETRANSLATE(C926, ""en"", ""tr"")"),"Panoya kopyala")</f>
        <v>Panoya kopyala</v>
      </c>
      <c r="AI926" s="6" t="s">
        <v>132</v>
      </c>
      <c r="AJ926" s="6" t="s">
        <v>132</v>
      </c>
      <c r="AK926" s="7" t="str">
        <f>IFERROR(__xludf.DUMMYFUNCTION("GOOGLETRANSLATE(C926, ""en"", ""zh"")"),"复制到剪贴板")</f>
        <v>复制到剪贴板</v>
      </c>
      <c r="AL926" s="6" t="s">
        <v>132</v>
      </c>
    </row>
    <row r="927" ht="15.75" hidden="1" customHeight="1">
      <c r="A927" s="1" t="s">
        <v>38</v>
      </c>
      <c r="B927" s="1" t="s">
        <v>19472</v>
      </c>
      <c r="C927" s="1" t="s">
        <v>19473</v>
      </c>
      <c r="D927" s="8" t="s">
        <v>19474</v>
      </c>
      <c r="E927" s="1" t="s">
        <v>19475</v>
      </c>
      <c r="F927" s="6" t="s">
        <v>19476</v>
      </c>
      <c r="G927" s="7" t="str">
        <f>IFERROR(__xludf.DUMMYFUNCTION("GOOGLETRANSLATE(C927, ""en"", ""cs"")"),"Vzdálený server nebyl nalezen")</f>
        <v>Vzdálený server nebyl nalezen</v>
      </c>
      <c r="H927" s="7" t="str">
        <f>IFERROR(__xludf.DUMMYFUNCTION("GOOGLETRANSLATE(C927, ""en"", ""da"")"),"Fjernserver ikke fundet")</f>
        <v>Fjernserver ikke fundet</v>
      </c>
      <c r="I927" s="1" t="s">
        <v>19477</v>
      </c>
      <c r="J927" s="6" t="s">
        <v>132</v>
      </c>
      <c r="K927" s="1" t="s">
        <v>17217</v>
      </c>
      <c r="L927" s="7" t="str">
        <f>IFERROR(__xludf.DUMMYFUNCTION("GOOGLETRANSLATE(C927, ""en"", ""fi"")"),"Etäpalvelinta ei löydy")</f>
        <v>Etäpalvelinta ei löydy</v>
      </c>
      <c r="M927" s="1" t="s">
        <v>19478</v>
      </c>
      <c r="N927" s="6" t="s">
        <v>19479</v>
      </c>
      <c r="O927" s="6" t="s">
        <v>132</v>
      </c>
      <c r="P927" s="1" t="s">
        <v>19480</v>
      </c>
      <c r="Q927" s="7" t="str">
        <f>IFERROR(__xludf.DUMMYFUNCTION("GOOGLETRANSLATE(C927, ""en"", ""in"")"),"Server jarak jauh tidak ditemukan")</f>
        <v>Server jarak jauh tidak ditemukan</v>
      </c>
      <c r="R927" s="1" t="s">
        <v>19481</v>
      </c>
      <c r="S927" s="6" t="s">
        <v>132</v>
      </c>
      <c r="T927" s="1" t="s">
        <v>19482</v>
      </c>
      <c r="U927" s="1" t="s">
        <v>19483</v>
      </c>
      <c r="V927" s="7" t="str">
        <f>IFERROR(__xludf.DUMMYFUNCTION("GOOGLETRANSLATE(C927, ""en"", ""ms"")"),"Pelayan jauh tidak dijumpai")</f>
        <v>Pelayan jauh tidak dijumpai</v>
      </c>
      <c r="W927" s="1" t="s">
        <v>19484</v>
      </c>
      <c r="X927" s="7" t="str">
        <f>IFERROR(__xludf.DUMMYFUNCTION("GOOGLETRANSLATE(C927, ""en"", ""no"")"),"Ekstern server ikke funnet")</f>
        <v>Ekstern server ikke funnet</v>
      </c>
      <c r="Y927" s="1" t="s">
        <v>19485</v>
      </c>
      <c r="Z927" s="1" t="s">
        <v>19486</v>
      </c>
      <c r="AA927" s="7" t="str">
        <f>IFERROR(__xludf.DUMMYFUNCTION("GOOGLETRANSLATE(C927, ""en"", ""ro"")"),"Serverul la distanță nu a fost găsit")</f>
        <v>Serverul la distanță nu a fost găsit</v>
      </c>
      <c r="AB927" s="1" t="s">
        <v>19487</v>
      </c>
      <c r="AC927" s="7" t="str">
        <f>IFERROR(__xludf.DUMMYFUNCTION("GOOGLETRANSLATE(C927, ""en"", ""sk"")"),"Vzdialený server sa nenašiel")</f>
        <v>Vzdialený server sa nenašiel</v>
      </c>
      <c r="AD927" s="6" t="s">
        <v>132</v>
      </c>
      <c r="AE927" s="1" t="s">
        <v>19488</v>
      </c>
      <c r="AF927" s="1" t="s">
        <v>19489</v>
      </c>
      <c r="AG927" s="6" t="s">
        <v>132</v>
      </c>
      <c r="AH927" s="7" t="str">
        <f>IFERROR(__xludf.DUMMYFUNCTION("GOOGLETRANSLATE(C927, ""en"", ""tr"")"),"Uzak sunucu bulunamadı")</f>
        <v>Uzak sunucu bulunamadı</v>
      </c>
      <c r="AI927" s="6" t="s">
        <v>19490</v>
      </c>
      <c r="AJ927" s="6" t="s">
        <v>132</v>
      </c>
      <c r="AK927" s="7" t="str">
        <f>IFERROR(__xludf.DUMMYFUNCTION("GOOGLETRANSLATE(C927, ""en"", ""zh"")"),"找不到远程服务器")</f>
        <v>找不到远程服务器</v>
      </c>
      <c r="AL927" s="6" t="s">
        <v>19491</v>
      </c>
    </row>
    <row r="928" ht="15.75" hidden="1" customHeight="1">
      <c r="A928" s="1" t="s">
        <v>38</v>
      </c>
      <c r="B928" s="1" t="s">
        <v>19492</v>
      </c>
      <c r="C928" s="1" t="s">
        <v>19493</v>
      </c>
      <c r="D928" s="7" t="str">
        <f>IFERROR(__xludf.DUMMYFUNCTION("GOOGLETRANSLATE(C928, ""en"", ""ar"")"),"\ u0020hours غير متصل")</f>
        <v>\ u0020hours غير متصل</v>
      </c>
      <c r="E928" s="7" t="str">
        <f>IFERROR(__xludf.DUMMYFUNCTION("GOOGLETRANSLATE(C928, ""en"", ""bg"")"),"u0020hours офлайн. \ T")</f>
        <v>u0020hours офлайн. \ T</v>
      </c>
      <c r="F928" s="6" t="s">
        <v>132</v>
      </c>
      <c r="G928" s="7" t="str">
        <f>IFERROR(__xludf.DUMMYFUNCTION("GOOGLETRANSLATE(C928, ""en"", ""cs"")"),"U0020Hours Offline.")</f>
        <v>U0020Hours Offline.</v>
      </c>
      <c r="H928" s="7" t="str">
        <f>IFERROR(__xludf.DUMMYFUNCTION("GOOGLETRANSLATE(C928, ""en"", ""da"")"),"\ u0020hours offline.")</f>
        <v>\ u0020hours offline.</v>
      </c>
      <c r="I928" s="1" t="s">
        <v>19494</v>
      </c>
      <c r="J928" s="6" t="s">
        <v>132</v>
      </c>
      <c r="K928" s="1" t="s">
        <v>19495</v>
      </c>
      <c r="L928" s="7" t="str">
        <f>IFERROR(__xludf.DUMMYFUNCTION("GOOGLETRANSLATE(C928, ""en"", ""fi"")"),"\ u0020Hurs offline-tilassa")</f>
        <v>\ u0020Hurs offline-tilassa</v>
      </c>
      <c r="M928" s="1" t="s">
        <v>19496</v>
      </c>
      <c r="N928" s="6" t="s">
        <v>132</v>
      </c>
      <c r="O928" s="6" t="s">
        <v>132</v>
      </c>
      <c r="P928" s="1" t="s">
        <v>19497</v>
      </c>
      <c r="Q928" s="7" t="str">
        <f>IFERROR(__xludf.DUMMYFUNCTION("GOOGLETRANSLATE(C928, ""en"", ""in"")"),"\ u0020hours offline.")</f>
        <v>\ u0020hours offline.</v>
      </c>
      <c r="R928" s="7" t="str">
        <f>IFERROR(__xludf.DUMMYFUNCTION("GOOGLETRANSLATE(C928, ""en"", ""it"")"),"\ u0020Hours offline.")</f>
        <v>\ u0020Hours offline.</v>
      </c>
      <c r="S928" s="6" t="s">
        <v>132</v>
      </c>
      <c r="T928" s="7" t="str">
        <f>IFERROR(__xludf.DUMMYFUNCTION("GOOGLETRANSLATE(C928, ""en"", ""ja"")"),"\ u0020オフライン")</f>
        <v>\ u0020オフライン</v>
      </c>
      <c r="U928" s="7" t="str">
        <f>IFERROR(__xludf.DUMMYFUNCTION("GOOGLETRANSLATE(C928, ""en"", ""ko"")"),"\ U0020Hours 오프라인")</f>
        <v>\ U0020Hours 오프라인</v>
      </c>
      <c r="V928" s="7" t="str">
        <f>IFERROR(__xludf.DUMMYFUNCTION("GOOGLETRANSLATE(C928, ""en"", ""ms"")"),"\ u0020hours offline.")</f>
        <v>\ u0020hours offline.</v>
      </c>
      <c r="W928" s="7" t="str">
        <f>IFERROR(__xludf.DUMMYFUNCTION("GOOGLETRANSLATE(C928, ""en"", ""nl"")"),"\ u0020hours offline")</f>
        <v>\ u0020hours offline</v>
      </c>
      <c r="X928" s="7" t="str">
        <f>IFERROR(__xludf.DUMMYFUNCTION("GOOGLETRANSLATE(C928, ""en"", ""no"")"),"\ u0020hours offline.")</f>
        <v>\ u0020hours offline.</v>
      </c>
      <c r="Y928" s="7" t="str">
        <f>IFERROR(__xludf.DUMMYFUNCTION("GOOGLETRANSLATE(C928, ""en"", ""pl"")"),"U0020Hours offline.")</f>
        <v>U0020Hours offline.</v>
      </c>
      <c r="Z928" s="7" t="str">
        <f>IFERROR(__xludf.DUMMYFUNCTION("GOOGLETRANSLATE(C928, ""en"", ""pt"")"),"\ u0020hours offline.")</f>
        <v>\ u0020hours offline.</v>
      </c>
      <c r="AA928" s="7" t="str">
        <f>IFERROR(__xludf.DUMMYFUNCTION("GOOGLETRANSLATE(C928, ""en"", ""ro"")"),"\ u0020hours offline")</f>
        <v>\ u0020hours offline</v>
      </c>
      <c r="AB928" s="1" t="s">
        <v>19498</v>
      </c>
      <c r="AC928" s="7" t="str">
        <f>IFERROR(__xludf.DUMMYFUNCTION("GOOGLETRANSLATE(C928, ""en"", ""sk"")"),"u0020hours offline")</f>
        <v>u0020hours offline</v>
      </c>
      <c r="AD928" s="6" t="s">
        <v>132</v>
      </c>
      <c r="AE928" s="1" t="s">
        <v>19499</v>
      </c>
      <c r="AF928" s="7" t="str">
        <f>IFERROR(__xludf.DUMMYFUNCTION("GOOGLETRANSLATE(C928, ""en"", ""sv"")"),"\ u0020hours offline")</f>
        <v>\ u0020hours offline</v>
      </c>
      <c r="AG928" s="6" t="s">
        <v>132</v>
      </c>
      <c r="AH928" s="7" t="str">
        <f>IFERROR(__xludf.DUMMYFUNCTION("GOOGLETRANSLATE(C928, ""en"", ""tr"")"),"\ u0020hours çevrimdışı")</f>
        <v>\ u0020hours çevrimdışı</v>
      </c>
      <c r="AI928" s="6" t="s">
        <v>132</v>
      </c>
      <c r="AJ928" s="6" t="s">
        <v>132</v>
      </c>
      <c r="AK928" s="7" t="str">
        <f>IFERROR(__xludf.DUMMYFUNCTION("GOOGLETRANSLATE(C928, ""en"", ""zh"")"),"\ u0020hours离线")</f>
        <v>\ u0020hours离线</v>
      </c>
      <c r="AL928" s="6" t="s">
        <v>132</v>
      </c>
    </row>
    <row r="929" ht="15.75" hidden="1" customHeight="1">
      <c r="A929" s="1" t="s">
        <v>38</v>
      </c>
      <c r="B929" s="1" t="s">
        <v>19500</v>
      </c>
      <c r="C929" s="1" t="s">
        <v>19501</v>
      </c>
      <c r="D929" s="8" t="s">
        <v>19502</v>
      </c>
      <c r="E929" s="1" t="s">
        <v>19503</v>
      </c>
      <c r="F929" s="6" t="s">
        <v>19504</v>
      </c>
      <c r="G929" s="7" t="str">
        <f>IFERROR(__xludf.DUMMYFUNCTION("GOOGLETRANSLATE(C929, ""en"", ""cs"")"),"Pryč, když je obrazovka vypnuto")</f>
        <v>Pryč, když je obrazovka vypnuto</v>
      </c>
      <c r="H929" s="7" t="str">
        <f>IFERROR(__xludf.DUMMYFUNCTION("GOOGLETRANSLATE(C929, ""en"", ""da"")"),"Væk, når skærmen er slukket")</f>
        <v>Væk, når skærmen er slukket</v>
      </c>
      <c r="I929" s="1" t="s">
        <v>19505</v>
      </c>
      <c r="J929" s="6" t="s">
        <v>132</v>
      </c>
      <c r="K929" s="1" t="s">
        <v>19506</v>
      </c>
      <c r="L929" s="7" t="str">
        <f>IFERROR(__xludf.DUMMYFUNCTION("GOOGLETRANSLATE(C929, ""en"", ""fi"")"),"Kun näyttö on pois päältä")</f>
        <v>Kun näyttö on pois päältä</v>
      </c>
      <c r="M929" s="1" t="s">
        <v>19507</v>
      </c>
      <c r="N929" s="6" t="s">
        <v>19508</v>
      </c>
      <c r="O929" s="6" t="s">
        <v>132</v>
      </c>
      <c r="P929" s="1" t="s">
        <v>19509</v>
      </c>
      <c r="Q929" s="7" t="str">
        <f>IFERROR(__xludf.DUMMYFUNCTION("GOOGLETRANSLATE(C929, ""en"", ""in"")"),"Pergi ketika layar mati")</f>
        <v>Pergi ketika layar mati</v>
      </c>
      <c r="R929" s="1" t="s">
        <v>19510</v>
      </c>
      <c r="S929" s="6" t="s">
        <v>132</v>
      </c>
      <c r="T929" s="1" t="s">
        <v>19511</v>
      </c>
      <c r="U929" s="1" t="s">
        <v>19512</v>
      </c>
      <c r="V929" s="7" t="str">
        <f>IFERROR(__xludf.DUMMYFUNCTION("GOOGLETRANSLATE(C929, ""en"", ""ms"")"),"Jauh apabila skrin dimatikan")</f>
        <v>Jauh apabila skrin dimatikan</v>
      </c>
      <c r="W929" s="1" t="s">
        <v>19513</v>
      </c>
      <c r="X929" s="7" t="str">
        <f>IFERROR(__xludf.DUMMYFUNCTION("GOOGLETRANSLATE(C929, ""en"", ""no"")"),"Vekk når skjermen er slått av")</f>
        <v>Vekk når skjermen er slått av</v>
      </c>
      <c r="Y929" s="1" t="s">
        <v>19514</v>
      </c>
      <c r="Z929" s="1" t="s">
        <v>19515</v>
      </c>
      <c r="AA929" s="7" t="str">
        <f>IFERROR(__xludf.DUMMYFUNCTION("GOOGLETRANSLATE(C929, ""en"", ""ro"")"),"Departe când ecranul este oprit")</f>
        <v>Departe când ecranul este oprit</v>
      </c>
      <c r="AB929" s="1" t="s">
        <v>19516</v>
      </c>
      <c r="AC929" s="7" t="str">
        <f>IFERROR(__xludf.DUMMYFUNCTION("GOOGLETRANSLATE(C929, ""en"", ""sk"")"),"Ak je obrazovka vypnutá")</f>
        <v>Ak je obrazovka vypnutá</v>
      </c>
      <c r="AD929" s="6" t="s">
        <v>132</v>
      </c>
      <c r="AE929" s="1" t="s">
        <v>19517</v>
      </c>
      <c r="AF929" s="1" t="s">
        <v>19518</v>
      </c>
      <c r="AG929" s="6" t="s">
        <v>132</v>
      </c>
      <c r="AH929" s="7" t="str">
        <f>IFERROR(__xludf.DUMMYFUNCTION("GOOGLETRANSLATE(C929, ""en"", ""tr"")"),"Ekran kapalıyken")</f>
        <v>Ekran kapalıyken</v>
      </c>
      <c r="AI929" s="6" t="s">
        <v>19519</v>
      </c>
      <c r="AJ929" s="6" t="s">
        <v>19520</v>
      </c>
      <c r="AK929" s="7" t="str">
        <f>IFERROR(__xludf.DUMMYFUNCTION("GOOGLETRANSLATE(C929, ""en"", ""zh"")"),"屏幕关闭时离开")</f>
        <v>屏幕关闭时离开</v>
      </c>
      <c r="AL929" s="6" t="s">
        <v>19521</v>
      </c>
    </row>
    <row r="930" ht="15.75" customHeight="1">
      <c r="A930" s="1" t="s">
        <v>127</v>
      </c>
      <c r="B930" s="1" t="s">
        <v>19522</v>
      </c>
      <c r="C930" s="1" t="s">
        <v>19523</v>
      </c>
      <c r="D930" s="8" t="s">
        <v>19524</v>
      </c>
      <c r="E930" s="1" t="s">
        <v>19525</v>
      </c>
      <c r="F930" s="6" t="s">
        <v>132</v>
      </c>
      <c r="G930" s="1" t="s">
        <v>19526</v>
      </c>
      <c r="H930" s="1" t="s">
        <v>19527</v>
      </c>
      <c r="I930" s="1" t="s">
        <v>19528</v>
      </c>
      <c r="J930" s="6" t="s">
        <v>19529</v>
      </c>
      <c r="K930" s="1" t="s">
        <v>19530</v>
      </c>
      <c r="L930" s="1" t="s">
        <v>19531</v>
      </c>
      <c r="M930" s="1" t="s">
        <v>19532</v>
      </c>
      <c r="N930" s="6" t="s">
        <v>132</v>
      </c>
      <c r="O930" s="6" t="s">
        <v>19533</v>
      </c>
      <c r="P930" s="1" t="s">
        <v>19534</v>
      </c>
      <c r="Q930" s="1" t="s">
        <v>19535</v>
      </c>
      <c r="R930" s="1" t="s">
        <v>19536</v>
      </c>
      <c r="S930" s="10" t="s">
        <v>19537</v>
      </c>
      <c r="T930" s="1" t="s">
        <v>19538</v>
      </c>
      <c r="U930" s="1" t="s">
        <v>19539</v>
      </c>
      <c r="V930" s="1" t="s">
        <v>19540</v>
      </c>
      <c r="W930" s="1" t="s">
        <v>19541</v>
      </c>
      <c r="X930" s="1" t="s">
        <v>19542</v>
      </c>
      <c r="Y930" s="1" t="s">
        <v>19543</v>
      </c>
      <c r="Z930" s="1" t="s">
        <v>19544</v>
      </c>
      <c r="AA930" s="1" t="s">
        <v>19545</v>
      </c>
      <c r="AB930" s="1" t="s">
        <v>19546</v>
      </c>
      <c r="AC930" s="1" t="s">
        <v>19547</v>
      </c>
      <c r="AD930" s="6" t="s">
        <v>19548</v>
      </c>
      <c r="AE930" s="1" t="s">
        <v>19549</v>
      </c>
      <c r="AF930" s="1" t="s">
        <v>19550</v>
      </c>
      <c r="AG930" s="6" t="s">
        <v>19551</v>
      </c>
      <c r="AH930" s="1" t="s">
        <v>19552</v>
      </c>
      <c r="AI930" s="6" t="s">
        <v>132</v>
      </c>
      <c r="AJ930" s="6" t="s">
        <v>19553</v>
      </c>
      <c r="AK930" s="1" t="s">
        <v>19554</v>
      </c>
      <c r="AL930" s="6" t="s">
        <v>132</v>
      </c>
    </row>
    <row r="931" ht="15.75" customHeight="1">
      <c r="A931" s="1" t="s">
        <v>127</v>
      </c>
      <c r="B931" s="1" t="s">
        <v>19555</v>
      </c>
      <c r="C931" s="1" t="s">
        <v>14559</v>
      </c>
      <c r="D931" s="8" t="s">
        <v>19556</v>
      </c>
      <c r="E931" s="1" t="s">
        <v>14561</v>
      </c>
      <c r="F931" s="6" t="s">
        <v>132</v>
      </c>
      <c r="G931" s="1" t="s">
        <v>14562</v>
      </c>
      <c r="H931" s="1" t="s">
        <v>14563</v>
      </c>
      <c r="I931" s="1" t="s">
        <v>19557</v>
      </c>
      <c r="J931" s="6" t="s">
        <v>14565</v>
      </c>
      <c r="K931" s="1" t="s">
        <v>14566</v>
      </c>
      <c r="L931" s="1" t="s">
        <v>14567</v>
      </c>
      <c r="M931" s="1" t="s">
        <v>19558</v>
      </c>
      <c r="N931" s="6" t="s">
        <v>132</v>
      </c>
      <c r="O931" s="6" t="s">
        <v>14569</v>
      </c>
      <c r="P931" s="1" t="s">
        <v>19559</v>
      </c>
      <c r="Q931" s="1" t="s">
        <v>19560</v>
      </c>
      <c r="R931" s="1" t="s">
        <v>19561</v>
      </c>
      <c r="S931" s="10" t="s">
        <v>14573</v>
      </c>
      <c r="T931" s="1" t="s">
        <v>19562</v>
      </c>
      <c r="U931" s="1" t="s">
        <v>19563</v>
      </c>
      <c r="V931" s="1" t="s">
        <v>19564</v>
      </c>
      <c r="W931" s="1" t="s">
        <v>19565</v>
      </c>
      <c r="X931" s="1" t="s">
        <v>14577</v>
      </c>
      <c r="Y931" s="1" t="s">
        <v>19566</v>
      </c>
      <c r="Z931" s="1" t="s">
        <v>14566</v>
      </c>
      <c r="AA931" s="1" t="s">
        <v>14580</v>
      </c>
      <c r="AB931" s="1" t="s">
        <v>19567</v>
      </c>
      <c r="AC931" s="1" t="s">
        <v>14582</v>
      </c>
      <c r="AD931" s="6" t="s">
        <v>14583</v>
      </c>
      <c r="AE931" s="1" t="s">
        <v>14584</v>
      </c>
      <c r="AF931" s="1" t="s">
        <v>14585</v>
      </c>
      <c r="AG931" s="6" t="s">
        <v>14586</v>
      </c>
      <c r="AH931" s="1" t="s">
        <v>14587</v>
      </c>
      <c r="AI931" s="6" t="s">
        <v>132</v>
      </c>
      <c r="AJ931" s="6" t="s">
        <v>14588</v>
      </c>
      <c r="AK931" s="1" t="s">
        <v>19568</v>
      </c>
      <c r="AL931" s="6" t="s">
        <v>19569</v>
      </c>
    </row>
    <row r="932" ht="15.75" customHeight="1">
      <c r="A932" s="1" t="s">
        <v>127</v>
      </c>
      <c r="B932" s="1" t="s">
        <v>19570</v>
      </c>
      <c r="C932" s="1" t="s">
        <v>19571</v>
      </c>
      <c r="D932" s="8" t="s">
        <v>19572</v>
      </c>
      <c r="E932" s="13" t="s">
        <v>19573</v>
      </c>
      <c r="F932" s="6" t="s">
        <v>132</v>
      </c>
      <c r="G932" s="1" t="s">
        <v>19574</v>
      </c>
      <c r="H932" s="1" t="s">
        <v>19575</v>
      </c>
      <c r="I932" s="1" t="s">
        <v>19571</v>
      </c>
      <c r="J932" s="6" t="s">
        <v>19576</v>
      </c>
      <c r="K932" s="1" t="s">
        <v>19571</v>
      </c>
      <c r="L932" s="1" t="s">
        <v>19571</v>
      </c>
      <c r="M932" s="1" t="s">
        <v>19577</v>
      </c>
      <c r="N932" s="6" t="s">
        <v>132</v>
      </c>
      <c r="O932" s="6" t="s">
        <v>19578</v>
      </c>
      <c r="P932" s="1" t="s">
        <v>19571</v>
      </c>
      <c r="Q932" s="1" t="s">
        <v>19571</v>
      </c>
      <c r="R932" s="1" t="s">
        <v>19571</v>
      </c>
      <c r="S932" s="10" t="s">
        <v>19579</v>
      </c>
      <c r="T932" s="1" t="s">
        <v>19580</v>
      </c>
      <c r="U932" s="1" t="s">
        <v>19581</v>
      </c>
      <c r="V932" s="1" t="s">
        <v>19571</v>
      </c>
      <c r="W932" s="1" t="s">
        <v>19571</v>
      </c>
      <c r="X932" s="1" t="s">
        <v>19582</v>
      </c>
      <c r="Y932" s="1" t="s">
        <v>19571</v>
      </c>
      <c r="Z932" s="1" t="s">
        <v>19571</v>
      </c>
      <c r="AA932" s="1" t="s">
        <v>19583</v>
      </c>
      <c r="AB932" s="1" t="s">
        <v>19584</v>
      </c>
      <c r="AC932" s="1" t="s">
        <v>19571</v>
      </c>
      <c r="AD932" s="6" t="s">
        <v>19571</v>
      </c>
      <c r="AE932" s="1" t="s">
        <v>19571</v>
      </c>
      <c r="AF932" s="1" t="s">
        <v>19571</v>
      </c>
      <c r="AG932" s="6" t="s">
        <v>19585</v>
      </c>
      <c r="AH932" s="1" t="s">
        <v>19577</v>
      </c>
      <c r="AI932" s="6" t="s">
        <v>132</v>
      </c>
      <c r="AJ932" s="6" t="s">
        <v>19577</v>
      </c>
      <c r="AK932" s="1" t="s">
        <v>19586</v>
      </c>
      <c r="AL932" s="6" t="s">
        <v>19587</v>
      </c>
    </row>
    <row r="933" ht="15.75" hidden="1" customHeight="1">
      <c r="A933" s="1" t="s">
        <v>38</v>
      </c>
      <c r="B933" s="1" t="s">
        <v>19588</v>
      </c>
      <c r="C933" s="1" t="s">
        <v>19589</v>
      </c>
      <c r="D933" s="7" t="str">
        <f>IFERROR(__xludf.DUMMYFUNCTION("GOOGLETRANSLATE(C933, ""en"", ""ar"")"),"هولندا")</f>
        <v>هولندا</v>
      </c>
      <c r="E933" s="7" t="str">
        <f>IFERROR(__xludf.DUMMYFUNCTION("GOOGLETRANSLATE(C933, ""en"", ""bg"")"),"Нидерландия")</f>
        <v>Нидерландия</v>
      </c>
      <c r="F933" s="6" t="s">
        <v>132</v>
      </c>
      <c r="G933" s="7" t="str">
        <f>IFERROR(__xludf.DUMMYFUNCTION("GOOGLETRANSLATE(C933, ""en"", ""cs"")"),"Holandsko")</f>
        <v>Holandsko</v>
      </c>
      <c r="H933" s="7" t="str">
        <f>IFERROR(__xludf.DUMMYFUNCTION("GOOGLETRANSLATE(C933, ""en"", ""da"")"),"Holland.")</f>
        <v>Holland.</v>
      </c>
      <c r="I933" s="1" t="s">
        <v>19590</v>
      </c>
      <c r="J933" s="6" t="s">
        <v>132</v>
      </c>
      <c r="K933" s="1" t="s">
        <v>19591</v>
      </c>
      <c r="L933" s="7" t="str">
        <f>IFERROR(__xludf.DUMMYFUNCTION("GOOGLETRANSLATE(C933, ""en"", ""fi"")"),"Alankomaat")</f>
        <v>Alankomaat</v>
      </c>
      <c r="M933" s="1" t="s">
        <v>19592</v>
      </c>
      <c r="N933" s="6" t="s">
        <v>132</v>
      </c>
      <c r="O933" s="6" t="s">
        <v>132</v>
      </c>
      <c r="P933" s="1" t="s">
        <v>19589</v>
      </c>
      <c r="Q933" s="7" t="str">
        <f>IFERROR(__xludf.DUMMYFUNCTION("GOOGLETRANSLATE(C933, ""en"", ""in"")"),"Belanda")</f>
        <v>Belanda</v>
      </c>
      <c r="R933" s="7" t="str">
        <f>IFERROR(__xludf.DUMMYFUNCTION("GOOGLETRANSLATE(C933, ""en"", ""it"")"),"Olanda")</f>
        <v>Olanda</v>
      </c>
      <c r="S933" s="6" t="s">
        <v>132</v>
      </c>
      <c r="T933" s="7" t="str">
        <f>IFERROR(__xludf.DUMMYFUNCTION("GOOGLETRANSLATE(C933, ""en"", ""ja"")"),"オランダ")</f>
        <v>オランダ</v>
      </c>
      <c r="U933" s="7" t="str">
        <f>IFERROR(__xludf.DUMMYFUNCTION("GOOGLETRANSLATE(C933, ""en"", ""ko"")"),"네덜란드")</f>
        <v>네덜란드</v>
      </c>
      <c r="V933" s="7" t="str">
        <f>IFERROR(__xludf.DUMMYFUNCTION("GOOGLETRANSLATE(C933, ""en"", ""ms"")"),"Belanda.")</f>
        <v>Belanda.</v>
      </c>
      <c r="W933" s="7" t="str">
        <f>IFERROR(__xludf.DUMMYFUNCTION("GOOGLETRANSLATE(C933, ""en"", ""nl"")"),"Nederland")</f>
        <v>Nederland</v>
      </c>
      <c r="X933" s="7" t="str">
        <f>IFERROR(__xludf.DUMMYFUNCTION("GOOGLETRANSLATE(C933, ""en"", ""no"")"),"Nederland")</f>
        <v>Nederland</v>
      </c>
      <c r="Y933" s="7" t="str">
        <f>IFERROR(__xludf.DUMMYFUNCTION("GOOGLETRANSLATE(C933, ""en"", ""pl"")"),"Holandia")</f>
        <v>Holandia</v>
      </c>
      <c r="Z933" s="7" t="str">
        <f>IFERROR(__xludf.DUMMYFUNCTION("GOOGLETRANSLATE(C933, ""en"", ""pt"")"),"Países Baixos")</f>
        <v>Países Baixos</v>
      </c>
      <c r="AA933" s="7" t="str">
        <f>IFERROR(__xludf.DUMMYFUNCTION("GOOGLETRANSLATE(C933, ""en"", ""ro"")"),"Olanda")</f>
        <v>Olanda</v>
      </c>
      <c r="AB933" s="1" t="s">
        <v>19593</v>
      </c>
      <c r="AC933" s="7" t="str">
        <f>IFERROR(__xludf.DUMMYFUNCTION("GOOGLETRANSLATE(C933, ""en"", ""sk"")"),"Holandsko")</f>
        <v>Holandsko</v>
      </c>
      <c r="AD933" s="6" t="s">
        <v>132</v>
      </c>
      <c r="AE933" s="1" t="s">
        <v>19594</v>
      </c>
      <c r="AF933" s="7" t="str">
        <f>IFERROR(__xludf.DUMMYFUNCTION("GOOGLETRANSLATE(C933, ""en"", ""sv"")"),"Nederländerna")</f>
        <v>Nederländerna</v>
      </c>
      <c r="AG933" s="6" t="s">
        <v>132</v>
      </c>
      <c r="AH933" s="7" t="str">
        <f>IFERROR(__xludf.DUMMYFUNCTION("GOOGLETRANSLATE(C933, ""en"", ""tr"")"),"Hollanda")</f>
        <v>Hollanda</v>
      </c>
      <c r="AI933" s="6" t="s">
        <v>132</v>
      </c>
      <c r="AJ933" s="6" t="s">
        <v>132</v>
      </c>
      <c r="AK933" s="7" t="str">
        <f>IFERROR(__xludf.DUMMYFUNCTION("GOOGLETRANSLATE(C933, ""en"", ""zh"")"),"荷兰")</f>
        <v>荷兰</v>
      </c>
      <c r="AL933" s="6" t="s">
        <v>132</v>
      </c>
    </row>
    <row r="934" ht="15.75" hidden="1" customHeight="1">
      <c r="A934" s="1" t="s">
        <v>38</v>
      </c>
      <c r="B934" s="1" t="s">
        <v>19595</v>
      </c>
      <c r="C934" s="1" t="s">
        <v>19596</v>
      </c>
      <c r="D934" s="7" t="str">
        <f>IFERROR(__xludf.DUMMYFUNCTION("GOOGLETRANSLATE(C934, ""en"", ""ar"")"),"بوتسوانا")</f>
        <v>بوتسوانا</v>
      </c>
      <c r="E934" s="7" t="str">
        <f>IFERROR(__xludf.DUMMYFUNCTION("GOOGLETRANSLATE(C934, ""en"", ""bg"")"),"Ботсвана")</f>
        <v>Ботсвана</v>
      </c>
      <c r="F934" s="6" t="s">
        <v>132</v>
      </c>
      <c r="G934" s="7" t="str">
        <f>IFERROR(__xludf.DUMMYFUNCTION("GOOGLETRANSLATE(C934, ""en"", ""cs"")"),"Botswana")</f>
        <v>Botswana</v>
      </c>
      <c r="H934" s="7" t="str">
        <f>IFERROR(__xludf.DUMMYFUNCTION("GOOGLETRANSLATE(C934, ""en"", ""da"")"),"Botswana.")</f>
        <v>Botswana.</v>
      </c>
      <c r="I934" s="1" t="s">
        <v>19596</v>
      </c>
      <c r="J934" s="6" t="s">
        <v>132</v>
      </c>
      <c r="K934" s="1" t="s">
        <v>19597</v>
      </c>
      <c r="L934" s="7" t="str">
        <f>IFERROR(__xludf.DUMMYFUNCTION("GOOGLETRANSLATE(C934, ""en"", ""fi"")"),"Botswana")</f>
        <v>Botswana</v>
      </c>
      <c r="M934" s="1" t="s">
        <v>19596</v>
      </c>
      <c r="N934" s="6" t="s">
        <v>132</v>
      </c>
      <c r="O934" s="6" t="s">
        <v>132</v>
      </c>
      <c r="P934" s="1" t="s">
        <v>19596</v>
      </c>
      <c r="Q934" s="7" t="str">
        <f>IFERROR(__xludf.DUMMYFUNCTION("GOOGLETRANSLATE(C934, ""en"", ""in"")"),"Botswana.")</f>
        <v>Botswana.</v>
      </c>
      <c r="R934" s="7" t="str">
        <f>IFERROR(__xludf.DUMMYFUNCTION("GOOGLETRANSLATE(C934, ""en"", ""it"")"),"Botswana")</f>
        <v>Botswana</v>
      </c>
      <c r="S934" s="6" t="s">
        <v>132</v>
      </c>
      <c r="T934" s="7" t="str">
        <f>IFERROR(__xludf.DUMMYFUNCTION("GOOGLETRANSLATE(C934, ""en"", ""ja"")"),"ボツワナ")</f>
        <v>ボツワナ</v>
      </c>
      <c r="U934" s="7" t="str">
        <f>IFERROR(__xludf.DUMMYFUNCTION("GOOGLETRANSLATE(C934, ""en"", ""ko"")"),"보츠와나")</f>
        <v>보츠와나</v>
      </c>
      <c r="V934" s="7" t="str">
        <f>IFERROR(__xludf.DUMMYFUNCTION("GOOGLETRANSLATE(C934, ""en"", ""ms"")"),"Botswana.")</f>
        <v>Botswana.</v>
      </c>
      <c r="W934" s="7" t="str">
        <f>IFERROR(__xludf.DUMMYFUNCTION("GOOGLETRANSLATE(C934, ""en"", ""nl"")"),"Botswana")</f>
        <v>Botswana</v>
      </c>
      <c r="X934" s="7" t="str">
        <f>IFERROR(__xludf.DUMMYFUNCTION("GOOGLETRANSLATE(C934, ""en"", ""no"")"),"Botswana.")</f>
        <v>Botswana.</v>
      </c>
      <c r="Y934" s="7" t="str">
        <f>IFERROR(__xludf.DUMMYFUNCTION("GOOGLETRANSLATE(C934, ""en"", ""pl"")"),"Botswana.")</f>
        <v>Botswana.</v>
      </c>
      <c r="Z934" s="7" t="str">
        <f>IFERROR(__xludf.DUMMYFUNCTION("GOOGLETRANSLATE(C934, ""en"", ""pt"")"),"Botsuana.")</f>
        <v>Botsuana.</v>
      </c>
      <c r="AA934" s="7" t="str">
        <f>IFERROR(__xludf.DUMMYFUNCTION("GOOGLETRANSLATE(C934, ""en"", ""ro"")"),"Botswana.")</f>
        <v>Botswana.</v>
      </c>
      <c r="AB934" s="1" t="s">
        <v>19598</v>
      </c>
      <c r="AC934" s="7" t="str">
        <f>IFERROR(__xludf.DUMMYFUNCTION("GOOGLETRANSLATE(C934, ""en"", ""sk"")"),"Botswana")</f>
        <v>Botswana</v>
      </c>
      <c r="AD934" s="6" t="s">
        <v>132</v>
      </c>
      <c r="AE934" s="1" t="s">
        <v>19599</v>
      </c>
      <c r="AF934" s="7" t="str">
        <f>IFERROR(__xludf.DUMMYFUNCTION("GOOGLETRANSLATE(C934, ""en"", ""sv"")"),"Botswana")</f>
        <v>Botswana</v>
      </c>
      <c r="AG934" s="6" t="s">
        <v>132</v>
      </c>
      <c r="AH934" s="7" t="str">
        <f>IFERROR(__xludf.DUMMYFUNCTION("GOOGLETRANSLATE(C934, ""en"", ""tr"")"),"Botsvana")</f>
        <v>Botsvana</v>
      </c>
      <c r="AI934" s="6" t="s">
        <v>132</v>
      </c>
      <c r="AJ934" s="6" t="s">
        <v>132</v>
      </c>
      <c r="AK934" s="7" t="str">
        <f>IFERROR(__xludf.DUMMYFUNCTION("GOOGLETRANSLATE(C934, ""en"", ""zh"")"),"博茨瓦纳")</f>
        <v>博茨瓦纳</v>
      </c>
      <c r="AL934" s="6" t="s">
        <v>132</v>
      </c>
    </row>
    <row r="935" ht="15.75" customHeight="1">
      <c r="A935" s="1" t="s">
        <v>127</v>
      </c>
      <c r="B935" s="1" t="s">
        <v>19600</v>
      </c>
      <c r="C935" s="1" t="s">
        <v>19601</v>
      </c>
      <c r="D935" s="8" t="s">
        <v>19602</v>
      </c>
      <c r="E935" s="1" t="s">
        <v>19603</v>
      </c>
      <c r="F935" s="6" t="s">
        <v>132</v>
      </c>
      <c r="G935" s="1" t="s">
        <v>19604</v>
      </c>
      <c r="H935" s="1" t="s">
        <v>19605</v>
      </c>
      <c r="I935" s="1" t="s">
        <v>19606</v>
      </c>
      <c r="J935" s="6" t="s">
        <v>19607</v>
      </c>
      <c r="K935" s="1" t="s">
        <v>19608</v>
      </c>
      <c r="L935" s="1" t="s">
        <v>19609</v>
      </c>
      <c r="M935" s="1" t="s">
        <v>19601</v>
      </c>
      <c r="N935" s="6" t="s">
        <v>132</v>
      </c>
      <c r="O935" s="6" t="s">
        <v>19610</v>
      </c>
      <c r="P935" s="1" t="s">
        <v>19601</v>
      </c>
      <c r="Q935" s="1" t="s">
        <v>19611</v>
      </c>
      <c r="R935" s="1" t="s">
        <v>19612</v>
      </c>
      <c r="S935" s="10" t="s">
        <v>19613</v>
      </c>
      <c r="T935" s="1" t="s">
        <v>19614</v>
      </c>
      <c r="U935" s="1" t="s">
        <v>19615</v>
      </c>
      <c r="V935" s="1" t="s">
        <v>19611</v>
      </c>
      <c r="W935" s="1" t="s">
        <v>19616</v>
      </c>
      <c r="X935" s="1" t="s">
        <v>19617</v>
      </c>
      <c r="Y935" s="1" t="s">
        <v>19618</v>
      </c>
      <c r="Z935" s="1" t="s">
        <v>19619</v>
      </c>
      <c r="AA935" s="1" t="s">
        <v>19620</v>
      </c>
      <c r="AB935" s="1" t="s">
        <v>19621</v>
      </c>
      <c r="AC935" s="1" t="s">
        <v>19622</v>
      </c>
      <c r="AD935" s="6" t="s">
        <v>19623</v>
      </c>
      <c r="AE935" s="1" t="s">
        <v>19624</v>
      </c>
      <c r="AF935" s="1" t="s">
        <v>19625</v>
      </c>
      <c r="AG935" s="6" t="s">
        <v>19626</v>
      </c>
      <c r="AH935" s="1" t="s">
        <v>19627</v>
      </c>
      <c r="AI935" s="6" t="s">
        <v>132</v>
      </c>
      <c r="AJ935" s="6" t="s">
        <v>19628</v>
      </c>
      <c r="AK935" s="1" t="s">
        <v>19629</v>
      </c>
      <c r="AL935" s="6" t="s">
        <v>132</v>
      </c>
    </row>
    <row r="936" ht="15.75" hidden="1" customHeight="1">
      <c r="A936" s="1" t="s">
        <v>38</v>
      </c>
      <c r="B936" s="1" t="s">
        <v>19630</v>
      </c>
      <c r="C936" s="1" t="s">
        <v>19631</v>
      </c>
      <c r="D936" s="7" t="str">
        <f>IFERROR(__xludf.DUMMYFUNCTION("GOOGLETRANSLATE(C936, ""en"", ""ar"")"),"استخدم البرنامج المساعد لموقع Share بدلا من Build Law")</f>
        <v>استخدم البرنامج المساعد لموقع Share بدلا من Build Law</v>
      </c>
      <c r="E936" s="1" t="s">
        <v>19632</v>
      </c>
      <c r="F936" s="6" t="s">
        <v>19633</v>
      </c>
      <c r="G936" s="7" t="str">
        <f>IFERROR(__xludf.DUMMYFUNCTION("GOOGLETRANSLATE(C936, ""en"", ""cs"")"),"Použijte plugin umístění sdílení místo sestavení v mapě")</f>
        <v>Použijte plugin umístění sdílení místo sestavení v mapě</v>
      </c>
      <c r="H936" s="7" t="str">
        <f>IFERROR(__xludf.DUMMYFUNCTION("GOOGLETRANSLATE(C936, ""en"", ""da"")"),"Brug SHARE placering plugin i stedet for bygningen i kort")</f>
        <v>Brug SHARE placering plugin i stedet for bygningen i kort</v>
      </c>
      <c r="I936" s="1" t="s">
        <v>19634</v>
      </c>
      <c r="J936" s="6" t="s">
        <v>132</v>
      </c>
      <c r="K936" s="1" t="s">
        <v>19635</v>
      </c>
      <c r="L936" s="7" t="str">
        <f>IFERROR(__xludf.DUMMYFUNCTION("GOOGLETRANSLATE(C936, ""en"", ""fi"")"),"Käytä Share Sijainti laajennusta kartan rakentamisen sijasta")</f>
        <v>Käytä Share Sijainti laajennusta kartan rakentamisen sijasta</v>
      </c>
      <c r="M936" s="1" t="s">
        <v>19636</v>
      </c>
      <c r="N936" s="6" t="s">
        <v>19637</v>
      </c>
      <c r="O936" s="6" t="s">
        <v>132</v>
      </c>
      <c r="P936" s="1" t="s">
        <v>19638</v>
      </c>
      <c r="Q936" s="7" t="str">
        <f>IFERROR(__xludf.DUMMYFUNCTION("GOOGLETRANSLATE(C936, ""en"", ""in"")"),"Gunakan Plugin Lokasi Bagikan alih-alih Build in Map")</f>
        <v>Gunakan Plugin Lokasi Bagikan alih-alih Build in Map</v>
      </c>
      <c r="R936" s="1" t="s">
        <v>19639</v>
      </c>
      <c r="S936" s="6" t="s">
        <v>132</v>
      </c>
      <c r="T936" s="7" t="str">
        <f>IFERROR(__xludf.DUMMYFUNCTION("GOOGLETRANSLATE(C936, ""en"", ""ja"")"),"マップ内のビルドの代わりに共有場所プラグインを使用してください。")</f>
        <v>マップ内のビルドの代わりに共有場所プラグインを使用してください。</v>
      </c>
      <c r="U936" s="7" t="str">
        <f>IFERROR(__xludf.DUMMYFUNCTION("GOOGLETRANSLATE(C936, ""en"", ""ko"")"),"지도에서 빌드 대신 공유 위치 플러그인 사용")</f>
        <v>지도에서 빌드 대신 공유 위치 플러그인 사용</v>
      </c>
      <c r="V936" s="7" t="str">
        <f>IFERROR(__xludf.DUMMYFUNCTION("GOOGLETRANSLATE(C936, ""en"", ""ms"")"),"Gunakan plugin lokasi saham bukannya membina di peta")</f>
        <v>Gunakan plugin lokasi saham bukannya membina di peta</v>
      </c>
      <c r="W936" s="1" t="s">
        <v>19640</v>
      </c>
      <c r="X936" s="7" t="str">
        <f>IFERROR(__xludf.DUMMYFUNCTION("GOOGLETRANSLATE(C936, ""en"", ""no"")"),"Bruk akselplasseringspluggen i stedet for bygningen i kart")</f>
        <v>Bruk akselplasseringspluggen i stedet for bygningen i kart</v>
      </c>
      <c r="Y936" s="1" t="s">
        <v>19641</v>
      </c>
      <c r="Z936" s="7" t="str">
        <f>IFERROR(__xludf.DUMMYFUNCTION("GOOGLETRANSLATE(C936, ""en"", ""pt"")"),"Use o plugin de localização de compartilhamento em vez da compilação no mapa")</f>
        <v>Use o plugin de localização de compartilhamento em vez da compilação no mapa</v>
      </c>
      <c r="AA936" s="7" t="str">
        <f>IFERROR(__xludf.DUMMYFUNCTION("GOOGLETRANSLATE(C936, ""en"", ""ro"")"),"Utilizați pluginul de locație de acțiuni în loc de construirea în hartă")</f>
        <v>Utilizați pluginul de locație de acțiuni în loc de construirea în hartă</v>
      </c>
      <c r="AB936" s="7" t="str">
        <f>IFERROR(__xludf.DUMMYFUNCTION("GOOGLETRANSLATE(C936, ""en"", ""ru"")"),"Используйте плагин расположения долей вместо сборки в карте")</f>
        <v>Используйте плагин расположения долей вместо сборки в карте</v>
      </c>
      <c r="AC936" s="7" t="str">
        <f>IFERROR(__xludf.DUMMYFUNCTION("GOOGLETRANSLATE(C936, ""en"", ""sk"")"),"Namiesto vybudovania v mape si použite plugin zdieľania")</f>
        <v>Namiesto vybudovania v mape si použite plugin zdieľania</v>
      </c>
      <c r="AD936" s="6" t="s">
        <v>132</v>
      </c>
      <c r="AE936" s="7" t="str">
        <f>IFERROR(__xludf.DUMMYFUNCTION("GOOGLETRANSLATE(C936, ""en"", ""sr"")"),"Користите додатак за локацију у акцији уместо уградње")</f>
        <v>Користите додатак за локацију у акцији уместо уградње</v>
      </c>
      <c r="AF936" s="7" t="str">
        <f>IFERROR(__xludf.DUMMYFUNCTION("GOOGLETRANSLATE(C936, ""en"", ""sv"")"),"Använd pluggen i Share istället för byggnaden i kartan")</f>
        <v>Använd pluggen i Share istället för byggnaden i kartan</v>
      </c>
      <c r="AG936" s="6" t="s">
        <v>132</v>
      </c>
      <c r="AH936" s="7" t="str">
        <f>IFERROR(__xludf.DUMMYFUNCTION("GOOGLETRANSLATE(C936, ""en"", ""tr"")"),"Haritadaki yapı yerine paylaşım konum eklentisini kullanın.")</f>
        <v>Haritadaki yapı yerine paylaşım konum eklentisini kullanın.</v>
      </c>
      <c r="AI936" s="6" t="s">
        <v>132</v>
      </c>
      <c r="AJ936" s="6" t="s">
        <v>132</v>
      </c>
      <c r="AK936" s="7" t="str">
        <f>IFERROR(__xludf.DUMMYFUNCTION("GOOGLETRANSLATE(C936, ""en"", ""zh"")"),"使用共享位置插件而不是在地图中构建")</f>
        <v>使用共享位置插件而不是在地图中构建</v>
      </c>
      <c r="AL936" s="6" t="s">
        <v>132</v>
      </c>
    </row>
    <row r="937" ht="15.75" customHeight="1">
      <c r="A937" s="1" t="s">
        <v>127</v>
      </c>
      <c r="B937" s="1" t="s">
        <v>19642</v>
      </c>
      <c r="C937" s="1" t="s">
        <v>19643</v>
      </c>
      <c r="D937" s="8" t="s">
        <v>19644</v>
      </c>
      <c r="E937" s="1" t="s">
        <v>19645</v>
      </c>
      <c r="F937" s="6" t="s">
        <v>132</v>
      </c>
      <c r="G937" s="1" t="s">
        <v>19646</v>
      </c>
      <c r="H937" s="1" t="s">
        <v>19647</v>
      </c>
      <c r="I937" s="1" t="s">
        <v>19648</v>
      </c>
      <c r="J937" s="6" t="s">
        <v>19649</v>
      </c>
      <c r="K937" s="1" t="s">
        <v>19650</v>
      </c>
      <c r="L937" s="1" t="s">
        <v>19651</v>
      </c>
      <c r="M937" s="1" t="s">
        <v>19652</v>
      </c>
      <c r="N937" s="6" t="s">
        <v>132</v>
      </c>
      <c r="O937" s="6" t="s">
        <v>19653</v>
      </c>
      <c r="P937" s="1" t="s">
        <v>19654</v>
      </c>
      <c r="Q937" s="1" t="s">
        <v>19655</v>
      </c>
      <c r="R937" s="1" t="s">
        <v>19656</v>
      </c>
      <c r="S937" s="10" t="s">
        <v>19657</v>
      </c>
      <c r="T937" s="1" t="s">
        <v>19658</v>
      </c>
      <c r="U937" s="1" t="s">
        <v>19659</v>
      </c>
      <c r="V937" s="1" t="s">
        <v>19660</v>
      </c>
      <c r="W937" s="1" t="s">
        <v>19661</v>
      </c>
      <c r="X937" s="1" t="s">
        <v>19662</v>
      </c>
      <c r="Y937" s="1" t="s">
        <v>19663</v>
      </c>
      <c r="Z937" s="1" t="s">
        <v>19664</v>
      </c>
      <c r="AA937" s="1" t="s">
        <v>19665</v>
      </c>
      <c r="AB937" s="1" t="s">
        <v>19666</v>
      </c>
      <c r="AC937" s="1" t="s">
        <v>19667</v>
      </c>
      <c r="AD937" s="6" t="s">
        <v>19668</v>
      </c>
      <c r="AE937" s="1" t="s">
        <v>19669</v>
      </c>
      <c r="AF937" s="1" t="s">
        <v>19670</v>
      </c>
      <c r="AG937" s="6" t="s">
        <v>19671</v>
      </c>
      <c r="AH937" s="1" t="s">
        <v>19672</v>
      </c>
      <c r="AI937" s="6" t="s">
        <v>132</v>
      </c>
      <c r="AJ937" s="6" t="s">
        <v>19673</v>
      </c>
      <c r="AK937" s="1" t="s">
        <v>19674</v>
      </c>
      <c r="AL937" s="6" t="s">
        <v>19675</v>
      </c>
    </row>
    <row r="938" ht="15.75" customHeight="1">
      <c r="A938" s="1" t="s">
        <v>127</v>
      </c>
      <c r="B938" s="1" t="s">
        <v>19676</v>
      </c>
      <c r="C938" s="1" t="s">
        <v>19677</v>
      </c>
      <c r="D938" s="8" t="s">
        <v>19678</v>
      </c>
      <c r="E938" s="1" t="s">
        <v>19679</v>
      </c>
      <c r="F938" s="6" t="s">
        <v>132</v>
      </c>
      <c r="G938" s="1" t="s">
        <v>19680</v>
      </c>
      <c r="H938" s="1" t="s">
        <v>19681</v>
      </c>
      <c r="I938" s="1" t="s">
        <v>19682</v>
      </c>
      <c r="J938" s="6" t="s">
        <v>19683</v>
      </c>
      <c r="K938" s="1" t="s">
        <v>19684</v>
      </c>
      <c r="L938" s="1" t="s">
        <v>19685</v>
      </c>
      <c r="M938" s="1" t="s">
        <v>19686</v>
      </c>
      <c r="N938" s="6" t="s">
        <v>132</v>
      </c>
      <c r="O938" s="6" t="s">
        <v>19687</v>
      </c>
      <c r="P938" s="1" t="s">
        <v>19688</v>
      </c>
      <c r="Q938" s="1" t="s">
        <v>19689</v>
      </c>
      <c r="R938" s="1" t="s">
        <v>19690</v>
      </c>
      <c r="S938" s="10" t="s">
        <v>19691</v>
      </c>
      <c r="T938" s="1" t="s">
        <v>19692</v>
      </c>
      <c r="U938" s="1" t="s">
        <v>19693</v>
      </c>
      <c r="V938" s="1" t="s">
        <v>19694</v>
      </c>
      <c r="W938" s="1" t="s">
        <v>19695</v>
      </c>
      <c r="X938" s="1" t="s">
        <v>19696</v>
      </c>
      <c r="Y938" s="1" t="s">
        <v>19697</v>
      </c>
      <c r="Z938" s="1" t="s">
        <v>19698</v>
      </c>
      <c r="AA938" s="1" t="s">
        <v>19699</v>
      </c>
      <c r="AB938" s="1" t="s">
        <v>19700</v>
      </c>
      <c r="AC938" s="1" t="s">
        <v>19701</v>
      </c>
      <c r="AD938" s="6" t="s">
        <v>19702</v>
      </c>
      <c r="AE938" s="1" t="s">
        <v>19703</v>
      </c>
      <c r="AF938" s="1" t="s">
        <v>19704</v>
      </c>
      <c r="AG938" s="6" t="s">
        <v>19705</v>
      </c>
      <c r="AH938" s="1" t="s">
        <v>19706</v>
      </c>
      <c r="AI938" s="6" t="s">
        <v>132</v>
      </c>
      <c r="AJ938" s="6" t="s">
        <v>19707</v>
      </c>
      <c r="AK938" s="1" t="s">
        <v>19708</v>
      </c>
      <c r="AL938" s="6" t="s">
        <v>19709</v>
      </c>
    </row>
    <row r="939" ht="15.75" hidden="1" customHeight="1">
      <c r="A939" s="1" t="s">
        <v>38</v>
      </c>
      <c r="B939" s="1" t="s">
        <v>19710</v>
      </c>
      <c r="C939" s="1" t="s">
        <v>19711</v>
      </c>
      <c r="D939" s="8" t="s">
        <v>19712</v>
      </c>
      <c r="E939" s="1" t="s">
        <v>19713</v>
      </c>
      <c r="F939" s="6" t="s">
        <v>19714</v>
      </c>
      <c r="G939" s="7" t="str">
        <f>IFERROR(__xludf.DUMMYFUNCTION("GOOGLETRANSLATE(C939, ""en"", ""cs"")"),"Zaregistrujte nový účet na serveru")</f>
        <v>Zaregistrujte nový účet na serveru</v>
      </c>
      <c r="H939" s="7" t="str">
        <f>IFERROR(__xludf.DUMMYFUNCTION("GOOGLETRANSLATE(C939, ""en"", ""da"")"),"Registrer ny konto på serveren")</f>
        <v>Registrer ny konto på serveren</v>
      </c>
      <c r="I939" s="1" t="s">
        <v>19715</v>
      </c>
      <c r="J939" s="6" t="s">
        <v>132</v>
      </c>
      <c r="K939" s="1" t="s">
        <v>19716</v>
      </c>
      <c r="L939" s="7" t="str">
        <f>IFERROR(__xludf.DUMMYFUNCTION("GOOGLETRANSLATE(C939, ""en"", ""fi"")"),"Rekisteröi uusi tili palvelimelle")</f>
        <v>Rekisteröi uusi tili palvelimelle</v>
      </c>
      <c r="M939" s="1" t="s">
        <v>19717</v>
      </c>
      <c r="N939" s="6" t="s">
        <v>19718</v>
      </c>
      <c r="O939" s="6" t="s">
        <v>132</v>
      </c>
      <c r="P939" s="1" t="s">
        <v>19719</v>
      </c>
      <c r="Q939" s="9" t="s">
        <v>19720</v>
      </c>
      <c r="R939" s="1" t="s">
        <v>19721</v>
      </c>
      <c r="S939" s="6" t="s">
        <v>132</v>
      </c>
      <c r="T939" s="1" t="s">
        <v>19722</v>
      </c>
      <c r="U939" s="1" t="s">
        <v>19723</v>
      </c>
      <c r="V939" s="7" t="str">
        <f>IFERROR(__xludf.DUMMYFUNCTION("GOOGLETRANSLATE(C939, ""en"", ""ms"")"),"Daftar akaun baru di pelayan")</f>
        <v>Daftar akaun baru di pelayan</v>
      </c>
      <c r="W939" s="1" t="s">
        <v>19724</v>
      </c>
      <c r="X939" s="7" t="str">
        <f>IFERROR(__xludf.DUMMYFUNCTION("GOOGLETRANSLATE(C939, ""en"", ""no"")"),"Registrer ny konto på serveren")</f>
        <v>Registrer ny konto på serveren</v>
      </c>
      <c r="Y939" s="1" t="s">
        <v>19725</v>
      </c>
      <c r="Z939" s="1" t="s">
        <v>19726</v>
      </c>
      <c r="AA939" s="7" t="str">
        <f>IFERROR(__xludf.DUMMYFUNCTION("GOOGLETRANSLATE(C939, ""en"", ""ro"")"),"Înregistrați un cont nou pe server")</f>
        <v>Înregistrați un cont nou pe server</v>
      </c>
      <c r="AB939" s="1" t="s">
        <v>19727</v>
      </c>
      <c r="AC939" s="1" t="s">
        <v>19728</v>
      </c>
      <c r="AD939" s="6" t="s">
        <v>132</v>
      </c>
      <c r="AE939" s="1" t="s">
        <v>19729</v>
      </c>
      <c r="AF939" s="1" t="s">
        <v>19730</v>
      </c>
      <c r="AG939" s="6" t="s">
        <v>132</v>
      </c>
      <c r="AH939" s="7" t="str">
        <f>IFERROR(__xludf.DUMMYFUNCTION("GOOGLETRANSLATE(C939, ""en"", ""tr"")"),"Sunucuya yeni hesap kaydedin")</f>
        <v>Sunucuya yeni hesap kaydedin</v>
      </c>
      <c r="AI939" s="6" t="s">
        <v>19731</v>
      </c>
      <c r="AJ939" s="6" t="s">
        <v>19732</v>
      </c>
      <c r="AK939" s="7" t="str">
        <f>IFERROR(__xludf.DUMMYFUNCTION("GOOGLETRANSLATE(C939, ""en"", ""zh"")"),"在服务器上注册新帐户")</f>
        <v>在服务器上注册新帐户</v>
      </c>
      <c r="AL939" s="6" t="s">
        <v>19733</v>
      </c>
    </row>
    <row r="940" ht="15.75" hidden="1" customHeight="1">
      <c r="A940" s="1" t="s">
        <v>38</v>
      </c>
      <c r="B940" s="1" t="s">
        <v>19734</v>
      </c>
      <c r="C940" s="1" t="s">
        <v>19735</v>
      </c>
      <c r="D940" s="8" t="s">
        <v>19736</v>
      </c>
      <c r="E940" s="1" t="s">
        <v>19737</v>
      </c>
      <c r="F940" s="6" t="s">
        <v>19738</v>
      </c>
      <c r="G940" s="7" t="str">
        <f>IFERROR(__xludf.DUMMYFUNCTION("GOOGLETRANSLATE(C940, ""en"", ""cs"")"),"Heslo změněno!")</f>
        <v>Heslo změněno!</v>
      </c>
      <c r="H940" s="7" t="str">
        <f>IFERROR(__xludf.DUMMYFUNCTION("GOOGLETRANSLATE(C940, ""en"", ""da"")"),"Adgangskode ændret!")</f>
        <v>Adgangskode ændret!</v>
      </c>
      <c r="I940" s="1" t="s">
        <v>19739</v>
      </c>
      <c r="J940" s="6" t="s">
        <v>132</v>
      </c>
      <c r="K940" s="1" t="s">
        <v>19740</v>
      </c>
      <c r="L940" s="7" t="str">
        <f>IFERROR(__xludf.DUMMYFUNCTION("GOOGLETRANSLATE(C940, ""en"", ""fi"")"),"Salasana vaihdettu!")</f>
        <v>Salasana vaihdettu!</v>
      </c>
      <c r="M940" s="1" t="s">
        <v>19741</v>
      </c>
      <c r="N940" s="6" t="s">
        <v>19742</v>
      </c>
      <c r="O940" s="6" t="s">
        <v>132</v>
      </c>
      <c r="P940" s="1" t="s">
        <v>19743</v>
      </c>
      <c r="Q940" s="9" t="s">
        <v>19744</v>
      </c>
      <c r="R940" s="1" t="s">
        <v>19745</v>
      </c>
      <c r="S940" s="6" t="s">
        <v>132</v>
      </c>
      <c r="T940" s="1" t="s">
        <v>19746</v>
      </c>
      <c r="U940" s="1" t="s">
        <v>19747</v>
      </c>
      <c r="V940" s="7" t="str">
        <f>IFERROR(__xludf.DUMMYFUNCTION("GOOGLETRANSLATE(C940, ""en"", ""ms"")"),"Kata laluan berubah!")</f>
        <v>Kata laluan berubah!</v>
      </c>
      <c r="W940" s="1" t="s">
        <v>19748</v>
      </c>
      <c r="X940" s="7" t="str">
        <f>IFERROR(__xludf.DUMMYFUNCTION("GOOGLETRANSLATE(C940, ""en"", ""no"")"),"Passord endret!")</f>
        <v>Passord endret!</v>
      </c>
      <c r="Y940" s="1" t="s">
        <v>19749</v>
      </c>
      <c r="Z940" s="1" t="s">
        <v>19750</v>
      </c>
      <c r="AA940" s="7" t="str">
        <f>IFERROR(__xludf.DUMMYFUNCTION("GOOGLETRANSLATE(C940, ""en"", ""ro"")"),"Parolă schimbată!")</f>
        <v>Parolă schimbată!</v>
      </c>
      <c r="AB940" s="1" t="s">
        <v>19751</v>
      </c>
      <c r="AC940" s="1" t="s">
        <v>19752</v>
      </c>
      <c r="AD940" s="6" t="s">
        <v>132</v>
      </c>
      <c r="AE940" s="1" t="s">
        <v>19753</v>
      </c>
      <c r="AF940" s="1" t="s">
        <v>19754</v>
      </c>
      <c r="AG940" s="6" t="s">
        <v>132</v>
      </c>
      <c r="AH940" s="7" t="str">
        <f>IFERROR(__xludf.DUMMYFUNCTION("GOOGLETRANSLATE(C940, ""en"", ""tr"")"),"Şifre değişti!")</f>
        <v>Şifre değişti!</v>
      </c>
      <c r="AI940" s="6" t="s">
        <v>19755</v>
      </c>
      <c r="AJ940" s="6" t="s">
        <v>19756</v>
      </c>
      <c r="AK940" s="7" t="str">
        <f>IFERROR(__xludf.DUMMYFUNCTION("GOOGLETRANSLATE(C940, ""en"", ""zh"")"),"密码已更改！")</f>
        <v>密码已更改！</v>
      </c>
      <c r="AL940" s="6" t="s">
        <v>19757</v>
      </c>
    </row>
    <row r="941" ht="15.75" customHeight="1">
      <c r="A941" s="1" t="s">
        <v>127</v>
      </c>
      <c r="B941" s="1" t="s">
        <v>19758</v>
      </c>
      <c r="C941" s="1" t="s">
        <v>19759</v>
      </c>
      <c r="D941" s="8" t="s">
        <v>19760</v>
      </c>
      <c r="E941" s="1" t="s">
        <v>19761</v>
      </c>
      <c r="F941" s="6" t="s">
        <v>132</v>
      </c>
      <c r="G941" s="1" t="s">
        <v>19759</v>
      </c>
      <c r="H941" s="1" t="s">
        <v>19759</v>
      </c>
      <c r="I941" s="1" t="s">
        <v>19762</v>
      </c>
      <c r="J941" s="6" t="s">
        <v>19759</v>
      </c>
      <c r="K941" s="1" t="s">
        <v>19763</v>
      </c>
      <c r="L941" s="1" t="s">
        <v>19764</v>
      </c>
      <c r="M941" s="1" t="s">
        <v>19765</v>
      </c>
      <c r="N941" s="6" t="s">
        <v>132</v>
      </c>
      <c r="O941" s="6" t="s">
        <v>19766</v>
      </c>
      <c r="P941" s="1" t="s">
        <v>19767</v>
      </c>
      <c r="Q941" s="1" t="s">
        <v>19759</v>
      </c>
      <c r="R941" s="1" t="s">
        <v>19759</v>
      </c>
      <c r="S941" s="6" t="s">
        <v>19759</v>
      </c>
      <c r="T941" s="1" t="s">
        <v>17512</v>
      </c>
      <c r="U941" s="1" t="s">
        <v>19759</v>
      </c>
      <c r="V941" s="1" t="s">
        <v>19759</v>
      </c>
      <c r="W941" s="1" t="s">
        <v>19768</v>
      </c>
      <c r="X941" s="1" t="s">
        <v>19769</v>
      </c>
      <c r="Y941" s="1" t="s">
        <v>19770</v>
      </c>
      <c r="Z941" s="1" t="s">
        <v>19771</v>
      </c>
      <c r="AA941" s="1" t="s">
        <v>19772</v>
      </c>
      <c r="AB941" s="1" t="s">
        <v>19773</v>
      </c>
      <c r="AC941" s="1" t="s">
        <v>19774</v>
      </c>
      <c r="AD941" s="6" t="s">
        <v>19759</v>
      </c>
      <c r="AE941" s="1" t="s">
        <v>19768</v>
      </c>
      <c r="AF941" s="1" t="s">
        <v>19759</v>
      </c>
      <c r="AG941" s="6" t="s">
        <v>19775</v>
      </c>
      <c r="AH941" s="1" t="s">
        <v>19776</v>
      </c>
      <c r="AI941" s="6" t="s">
        <v>132</v>
      </c>
      <c r="AJ941" s="6" t="s">
        <v>19777</v>
      </c>
      <c r="AK941" s="1" t="s">
        <v>19778</v>
      </c>
      <c r="AL941" s="6" t="s">
        <v>19779</v>
      </c>
    </row>
    <row r="942" ht="15.75" hidden="1" customHeight="1">
      <c r="A942" s="1" t="s">
        <v>38</v>
      </c>
      <c r="B942" s="1" t="s">
        <v>19780</v>
      </c>
      <c r="C942" s="1" t="s">
        <v>19781</v>
      </c>
      <c r="D942" s="7" t="str">
        <f>IFERROR(__xludf.DUMMYFUNCTION("GOOGLETRANSLATE(C942, ""en"", ""ar"")"),"غير قادر على تحليل الشهادة")</f>
        <v>غير قادر على تحليل الشهادة</v>
      </c>
      <c r="E942" s="1" t="s">
        <v>19782</v>
      </c>
      <c r="F942" s="6" t="s">
        <v>19783</v>
      </c>
      <c r="G942" s="7" t="str">
        <f>IFERROR(__xludf.DUMMYFUNCTION("GOOGLETRANSLATE(C942, ""en"", ""cs"")"),"Nelze analyzovat certifikát")</f>
        <v>Nelze analyzovat certifikát</v>
      </c>
      <c r="H942" s="7" t="str">
        <f>IFERROR(__xludf.DUMMYFUNCTION("GOOGLETRANSLATE(C942, ""en"", ""da"")"),"Kan ikke analysere certifikat")</f>
        <v>Kan ikke analysere certifikat</v>
      </c>
      <c r="I942" s="1" t="s">
        <v>19784</v>
      </c>
      <c r="J942" s="6" t="s">
        <v>132</v>
      </c>
      <c r="K942" s="1" t="s">
        <v>19785</v>
      </c>
      <c r="L942" s="7" t="str">
        <f>IFERROR(__xludf.DUMMYFUNCTION("GOOGLETRANSLATE(C942, ""en"", ""fi"")"),"Sertifikaatti ei onnistu")</f>
        <v>Sertifikaatti ei onnistu</v>
      </c>
      <c r="M942" s="1" t="s">
        <v>19786</v>
      </c>
      <c r="N942" s="6" t="s">
        <v>19787</v>
      </c>
      <c r="O942" s="6" t="s">
        <v>132</v>
      </c>
      <c r="P942" s="1" t="s">
        <v>19788</v>
      </c>
      <c r="Q942" s="7" t="str">
        <f>IFERROR(__xludf.DUMMYFUNCTION("GOOGLETRANSLATE(C942, ""en"", ""in"")"),"Tidak dapat menguraikan sertifikat")</f>
        <v>Tidak dapat menguraikan sertifikat</v>
      </c>
      <c r="R942" s="1" t="s">
        <v>19789</v>
      </c>
      <c r="S942" s="6" t="s">
        <v>132</v>
      </c>
      <c r="T942" s="1" t="s">
        <v>19790</v>
      </c>
      <c r="U942" s="1" t="s">
        <v>19791</v>
      </c>
      <c r="V942" s="7" t="str">
        <f>IFERROR(__xludf.DUMMYFUNCTION("GOOGLETRANSLATE(C942, ""en"", ""ms"")"),"Tidak dapat menghuraikan sijil")</f>
        <v>Tidak dapat menghuraikan sijil</v>
      </c>
      <c r="W942" s="1" t="s">
        <v>19792</v>
      </c>
      <c r="X942" s="7" t="str">
        <f>IFERROR(__xludf.DUMMYFUNCTION("GOOGLETRANSLATE(C942, ""en"", ""no"")"),"Kan ikke analysere sertifikat")</f>
        <v>Kan ikke analysere sertifikat</v>
      </c>
      <c r="Y942" s="1" t="s">
        <v>19793</v>
      </c>
      <c r="Z942" s="1" t="s">
        <v>19794</v>
      </c>
      <c r="AA942" s="7" t="str">
        <f>IFERROR(__xludf.DUMMYFUNCTION("GOOGLETRANSLATE(C942, ""en"", ""ro"")"),"Imposibil de a parsa certificatul")</f>
        <v>Imposibil de a parsa certificatul</v>
      </c>
      <c r="AB942" s="1" t="s">
        <v>19795</v>
      </c>
      <c r="AC942" s="1" t="s">
        <v>19796</v>
      </c>
      <c r="AD942" s="6" t="s">
        <v>132</v>
      </c>
      <c r="AE942" s="1" t="s">
        <v>19797</v>
      </c>
      <c r="AF942" s="1" t="s">
        <v>19798</v>
      </c>
      <c r="AG942" s="6" t="s">
        <v>132</v>
      </c>
      <c r="AH942" s="7" t="str">
        <f>IFERROR(__xludf.DUMMYFUNCTION("GOOGLETRANSLATE(C942, ""en"", ""tr"")"),"Sertifika ayrıştırılamıyor")</f>
        <v>Sertifika ayrıştırılamıyor</v>
      </c>
      <c r="AI942" s="6" t="s">
        <v>19799</v>
      </c>
      <c r="AJ942" s="6" t="s">
        <v>19800</v>
      </c>
      <c r="AK942" s="7" t="str">
        <f>IFERROR(__xludf.DUMMYFUNCTION("GOOGLETRANSLATE(C942, ""en"", ""zh"")"),"无法解析证书")</f>
        <v>无法解析证书</v>
      </c>
      <c r="AL942" s="6" t="s">
        <v>19801</v>
      </c>
    </row>
    <row r="943" ht="15.75" customHeight="1">
      <c r="A943" s="1" t="s">
        <v>127</v>
      </c>
      <c r="B943" s="1" t="s">
        <v>19802</v>
      </c>
      <c r="C943" s="1" t="s">
        <v>19803</v>
      </c>
      <c r="D943" s="8" t="s">
        <v>19804</v>
      </c>
      <c r="E943" s="1" t="s">
        <v>19805</v>
      </c>
      <c r="F943" s="6" t="s">
        <v>132</v>
      </c>
      <c r="G943" s="1" t="s">
        <v>19806</v>
      </c>
      <c r="H943" s="1" t="s">
        <v>19803</v>
      </c>
      <c r="I943" s="1" t="s">
        <v>19806</v>
      </c>
      <c r="J943" s="6" t="s">
        <v>19807</v>
      </c>
      <c r="K943" s="1" t="s">
        <v>19808</v>
      </c>
      <c r="L943" s="1" t="s">
        <v>19809</v>
      </c>
      <c r="M943" s="1" t="s">
        <v>19803</v>
      </c>
      <c r="N943" s="6" t="s">
        <v>132</v>
      </c>
      <c r="O943" s="6" t="s">
        <v>19810</v>
      </c>
      <c r="P943" s="1" t="s">
        <v>19811</v>
      </c>
      <c r="Q943" s="1" t="s">
        <v>19812</v>
      </c>
      <c r="R943" s="1" t="s">
        <v>19808</v>
      </c>
      <c r="S943" s="10" t="s">
        <v>19813</v>
      </c>
      <c r="T943" s="1" t="s">
        <v>19814</v>
      </c>
      <c r="U943" s="1" t="s">
        <v>19815</v>
      </c>
      <c r="V943" s="1" t="s">
        <v>19812</v>
      </c>
      <c r="W943" s="1" t="s">
        <v>19803</v>
      </c>
      <c r="X943" s="1" t="s">
        <v>19803</v>
      </c>
      <c r="Y943" s="1" t="s">
        <v>19806</v>
      </c>
      <c r="Z943" s="1" t="s">
        <v>19808</v>
      </c>
      <c r="AA943" s="1" t="s">
        <v>19816</v>
      </c>
      <c r="AB943" s="1" t="s">
        <v>19805</v>
      </c>
      <c r="AC943" s="1" t="s">
        <v>19806</v>
      </c>
      <c r="AD943" s="6" t="s">
        <v>19817</v>
      </c>
      <c r="AE943" s="1" t="s">
        <v>19816</v>
      </c>
      <c r="AF943" s="1" t="s">
        <v>19806</v>
      </c>
      <c r="AG943" s="6" t="s">
        <v>19818</v>
      </c>
      <c r="AH943" s="1" t="s">
        <v>19819</v>
      </c>
      <c r="AI943" s="6" t="s">
        <v>132</v>
      </c>
      <c r="AJ943" s="6" t="s">
        <v>19820</v>
      </c>
      <c r="AK943" s="1" t="s">
        <v>19821</v>
      </c>
      <c r="AL943" s="6" t="s">
        <v>132</v>
      </c>
    </row>
    <row r="944" ht="15.75" hidden="1" customHeight="1">
      <c r="A944" s="1" t="s">
        <v>38</v>
      </c>
      <c r="B944" s="1" t="s">
        <v>19822</v>
      </c>
      <c r="C944" s="1" t="s">
        <v>19823</v>
      </c>
      <c r="D944" s="1" t="s">
        <v>19824</v>
      </c>
      <c r="E944" s="1" t="s">
        <v>19824</v>
      </c>
      <c r="F944" s="6" t="s">
        <v>19824</v>
      </c>
      <c r="G944" s="7" t="str">
        <f>IFERROR(__xludf.DUMMYFUNCTION("GOOGLETRANSLATE(C944, ""en"", ""cs"")"),"username@baha.com.")</f>
        <v>username@baha.com.</v>
      </c>
      <c r="H944" s="7" t="str">
        <f>IFERROR(__xludf.DUMMYFUNCTION("GOOGLETRANSLATE(C944, ""en"", ""da"")"),"username@baha.com.")</f>
        <v>username@baha.com.</v>
      </c>
      <c r="I944" s="1" t="s">
        <v>19825</v>
      </c>
      <c r="J944" s="6" t="s">
        <v>132</v>
      </c>
      <c r="K944" s="1" t="s">
        <v>19826</v>
      </c>
      <c r="L944" s="7" t="str">
        <f>IFERROR(__xludf.DUMMYFUNCTION("GOOGLETRANSLATE(C944, ""en"", ""fi"")"),"username@baha.com")</f>
        <v>username@baha.com</v>
      </c>
      <c r="M944" s="1" t="s">
        <v>19827</v>
      </c>
      <c r="N944" s="6" t="s">
        <v>19828</v>
      </c>
      <c r="O944" s="6" t="s">
        <v>132</v>
      </c>
      <c r="P944" s="1" t="s">
        <v>19829</v>
      </c>
      <c r="Q944" s="9" t="s">
        <v>19824</v>
      </c>
      <c r="R944" s="1" t="s">
        <v>19830</v>
      </c>
      <c r="S944" s="6" t="s">
        <v>132</v>
      </c>
      <c r="T944" s="1" t="s">
        <v>19824</v>
      </c>
      <c r="U944" s="1" t="s">
        <v>19824</v>
      </c>
      <c r="V944" s="7" t="str">
        <f>IFERROR(__xludf.DUMMYFUNCTION("GOOGLETRANSLATE(C944, ""en"", ""ms"")"),"username@baha.com.")</f>
        <v>username@baha.com.</v>
      </c>
      <c r="W944" s="1" t="s">
        <v>19831</v>
      </c>
      <c r="X944" s="7" t="str">
        <f>IFERROR(__xludf.DUMMYFUNCTION("GOOGLETRANSLATE(C944, ""en"", ""no"")"),"brukernavn@baha.com.")</f>
        <v>brukernavn@baha.com.</v>
      </c>
      <c r="Y944" s="1" t="s">
        <v>19824</v>
      </c>
      <c r="Z944" s="1" t="s">
        <v>19832</v>
      </c>
      <c r="AA944" s="7" t="str">
        <f>IFERROR(__xludf.DUMMYFUNCTION("GOOGLETRANSLATE(C944, ""en"", ""ro"")"),"username@baha.com.")</f>
        <v>username@baha.com.</v>
      </c>
      <c r="AB944" s="1" t="s">
        <v>19824</v>
      </c>
      <c r="AC944" s="1" t="s">
        <v>19833</v>
      </c>
      <c r="AD944" s="6" t="s">
        <v>132</v>
      </c>
      <c r="AE944" s="1" t="s">
        <v>19834</v>
      </c>
      <c r="AF944" s="1" t="s">
        <v>19835</v>
      </c>
      <c r="AG944" s="6" t="s">
        <v>132</v>
      </c>
      <c r="AH944" s="7" t="str">
        <f>IFERROR(__xludf.DUMMYFUNCTION("GOOGLETRANSLATE(C944, ""en"", ""tr"")"),"username@baha.com")</f>
        <v>username@baha.com</v>
      </c>
      <c r="AI944" s="6" t="s">
        <v>19824</v>
      </c>
      <c r="AJ944" s="6" t="s">
        <v>19824</v>
      </c>
      <c r="AK944" s="7" t="str">
        <f>IFERROR(__xludf.DUMMYFUNCTION("GOOGLETRANSLATE(C944, ""en"", ""zh"")"),"username@baha.com.")</f>
        <v>username@baha.com.</v>
      </c>
      <c r="AL944" s="6" t="s">
        <v>19824</v>
      </c>
    </row>
    <row r="945" ht="15.75" customHeight="1">
      <c r="A945" s="1" t="s">
        <v>127</v>
      </c>
      <c r="B945" s="1" t="s">
        <v>19836</v>
      </c>
      <c r="C945" s="1" t="s">
        <v>19837</v>
      </c>
      <c r="D945" s="8" t="s">
        <v>19838</v>
      </c>
      <c r="E945" s="1" t="s">
        <v>19839</v>
      </c>
      <c r="F945" s="6" t="s">
        <v>132</v>
      </c>
      <c r="G945" s="1" t="s">
        <v>19840</v>
      </c>
      <c r="H945" s="1" t="s">
        <v>19841</v>
      </c>
      <c r="I945" s="1" t="s">
        <v>19842</v>
      </c>
      <c r="J945" s="6" t="s">
        <v>19843</v>
      </c>
      <c r="K945" s="1" t="s">
        <v>19844</v>
      </c>
      <c r="L945" s="1" t="s">
        <v>19845</v>
      </c>
      <c r="M945" s="1" t="s">
        <v>19842</v>
      </c>
      <c r="N945" s="6" t="s">
        <v>132</v>
      </c>
      <c r="O945" s="6" t="s">
        <v>19846</v>
      </c>
      <c r="P945" s="1" t="s">
        <v>19847</v>
      </c>
      <c r="Q945" s="1" t="s">
        <v>19841</v>
      </c>
      <c r="R945" s="1" t="s">
        <v>19848</v>
      </c>
      <c r="S945" s="10" t="s">
        <v>19849</v>
      </c>
      <c r="T945" s="1" t="s">
        <v>19850</v>
      </c>
      <c r="U945" s="1" t="s">
        <v>19851</v>
      </c>
      <c r="V945" s="1" t="s">
        <v>19841</v>
      </c>
      <c r="W945" s="1" t="s">
        <v>19842</v>
      </c>
      <c r="X945" s="1" t="s">
        <v>19841</v>
      </c>
      <c r="Y945" s="1" t="s">
        <v>19852</v>
      </c>
      <c r="Z945" s="1" t="s">
        <v>19853</v>
      </c>
      <c r="AA945" s="1" t="s">
        <v>19842</v>
      </c>
      <c r="AB945" s="1" t="s">
        <v>19854</v>
      </c>
      <c r="AC945" s="1" t="s">
        <v>19855</v>
      </c>
      <c r="AD945" s="6" t="s">
        <v>19856</v>
      </c>
      <c r="AE945" s="1" t="s">
        <v>19856</v>
      </c>
      <c r="AF945" s="1" t="s">
        <v>19841</v>
      </c>
      <c r="AG945" s="6" t="s">
        <v>19857</v>
      </c>
      <c r="AH945" s="1" t="s">
        <v>19858</v>
      </c>
      <c r="AI945" s="6" t="s">
        <v>132</v>
      </c>
      <c r="AJ945" s="6" t="s">
        <v>19859</v>
      </c>
      <c r="AK945" s="1" t="s">
        <v>19860</v>
      </c>
      <c r="AL945" s="6" t="s">
        <v>19861</v>
      </c>
    </row>
    <row r="946" ht="15.75" hidden="1" customHeight="1">
      <c r="A946" s="1" t="s">
        <v>38</v>
      </c>
      <c r="B946" s="1" t="s">
        <v>19862</v>
      </c>
      <c r="C946" s="1" t="s">
        <v>19863</v>
      </c>
      <c r="D946" s="1" t="s">
        <v>19864</v>
      </c>
      <c r="E946" s="1" t="s">
        <v>19864</v>
      </c>
      <c r="F946" s="6" t="s">
        <v>19864</v>
      </c>
      <c r="G946" s="7" t="str">
        <f>IFERROR(__xludf.DUMMYFUNCTION("GOOGLETRANSLATE(C946, ""en"", ""cs"")"),"Chat.ttweb.net.")</f>
        <v>Chat.ttweb.net.</v>
      </c>
      <c r="H946" s="7" t="str">
        <f>IFERROR(__xludf.DUMMYFUNCTION("GOOGLETRANSLATE(C946, ""en"", ""da"")"),"chat.ttweb.net.")</f>
        <v>chat.ttweb.net.</v>
      </c>
      <c r="I946" s="1" t="s">
        <v>19865</v>
      </c>
      <c r="J946" s="6" t="s">
        <v>132</v>
      </c>
      <c r="K946" s="1" t="s">
        <v>19866</v>
      </c>
      <c r="L946" s="18" t="str">
        <f>IFERROR(__xludf.DUMMYFUNCTION("GOOGLETRANSLATE(C946, ""en"", ""fi"")"),"chat.ttweb.net")</f>
        <v>chat.ttweb.net</v>
      </c>
      <c r="M946" s="1" t="s">
        <v>19864</v>
      </c>
      <c r="N946" s="6" t="s">
        <v>19867</v>
      </c>
      <c r="O946" s="6" t="s">
        <v>132</v>
      </c>
      <c r="P946" s="1" t="s">
        <v>19864</v>
      </c>
      <c r="Q946" s="9" t="s">
        <v>19864</v>
      </c>
      <c r="R946" s="1" t="s">
        <v>19868</v>
      </c>
      <c r="S946" s="6" t="s">
        <v>132</v>
      </c>
      <c r="T946" s="1" t="s">
        <v>19864</v>
      </c>
      <c r="U946" s="1" t="s">
        <v>19864</v>
      </c>
      <c r="V946" s="7" t="str">
        <f>IFERROR(__xludf.DUMMYFUNCTION("GOOGLETRANSLATE(C946, ""en"", ""ms"")"),"chat.ttweb.net.")</f>
        <v>chat.ttweb.net.</v>
      </c>
      <c r="W946" s="1" t="s">
        <v>19869</v>
      </c>
      <c r="X946" s="7" t="str">
        <f>IFERROR(__xludf.DUMMYFUNCTION("GOOGLETRANSLATE(C946, ""en"", ""no"")"),"chat.ttweb.net.")</f>
        <v>chat.ttweb.net.</v>
      </c>
      <c r="Y946" s="1" t="s">
        <v>19864</v>
      </c>
      <c r="Z946" s="1" t="s">
        <v>19867</v>
      </c>
      <c r="AA946" s="7" t="str">
        <f>IFERROR(__xludf.DUMMYFUNCTION("GOOGLETRANSLATE(C946, ""en"", ""ro"")"),"chat.ttweb.net.")</f>
        <v>chat.ttweb.net.</v>
      </c>
      <c r="AB946" s="1" t="s">
        <v>19864</v>
      </c>
      <c r="AC946" s="18" t="str">
        <f>IFERROR(__xludf.DUMMYFUNCTION("GOOGLETRANSLATE(C946, ""en"", ""sk"")"),"chat.ttweb.net")</f>
        <v>chat.ttweb.net</v>
      </c>
      <c r="AD946" s="6" t="s">
        <v>132</v>
      </c>
      <c r="AE946" s="1" t="s">
        <v>19870</v>
      </c>
      <c r="AF946" s="1" t="s">
        <v>19864</v>
      </c>
      <c r="AG946" s="6" t="s">
        <v>132</v>
      </c>
      <c r="AH946" s="18" t="str">
        <f>IFERROR(__xludf.DUMMYFUNCTION("GOOGLETRANSLATE(C946, ""en"", ""tr"")"),"chat.tttweb.net")</f>
        <v>chat.tttweb.net</v>
      </c>
      <c r="AI946" s="6" t="s">
        <v>19864</v>
      </c>
      <c r="AJ946" s="6" t="s">
        <v>132</v>
      </c>
      <c r="AK946" s="7" t="str">
        <f>IFERROR(__xludf.DUMMYFUNCTION("GOOGLETRANSLATE(C946, ""en"", ""zh"")"),"chat.ttweb.net.")</f>
        <v>chat.ttweb.net.</v>
      </c>
      <c r="AL946" s="6" t="s">
        <v>19864</v>
      </c>
    </row>
    <row r="947" ht="15.75" customHeight="1">
      <c r="A947" s="1" t="s">
        <v>127</v>
      </c>
      <c r="B947" s="1" t="s">
        <v>19871</v>
      </c>
      <c r="C947" s="1" t="s">
        <v>19872</v>
      </c>
      <c r="D947" s="8" t="s">
        <v>19873</v>
      </c>
      <c r="E947" s="1" t="s">
        <v>19874</v>
      </c>
      <c r="F947" s="6" t="s">
        <v>132</v>
      </c>
      <c r="G947" s="1" t="s">
        <v>19875</v>
      </c>
      <c r="H947" s="1" t="s">
        <v>19876</v>
      </c>
      <c r="I947" s="1" t="s">
        <v>19877</v>
      </c>
      <c r="J947" s="6" t="s">
        <v>19878</v>
      </c>
      <c r="K947" s="1" t="s">
        <v>19879</v>
      </c>
      <c r="L947" s="1" t="s">
        <v>19880</v>
      </c>
      <c r="M947" s="1" t="s">
        <v>19881</v>
      </c>
      <c r="N947" s="6" t="s">
        <v>132</v>
      </c>
      <c r="O947" s="6" t="s">
        <v>19882</v>
      </c>
      <c r="P947" s="1" t="s">
        <v>19883</v>
      </c>
      <c r="Q947" s="1" t="s">
        <v>19884</v>
      </c>
      <c r="R947" s="1" t="s">
        <v>19885</v>
      </c>
      <c r="S947" s="10" t="s">
        <v>19886</v>
      </c>
      <c r="T947" s="1" t="s">
        <v>19887</v>
      </c>
      <c r="U947" s="1" t="s">
        <v>19888</v>
      </c>
      <c r="V947" s="1" t="s">
        <v>19889</v>
      </c>
      <c r="W947" s="1" t="s">
        <v>19890</v>
      </c>
      <c r="X947" s="1" t="s">
        <v>19891</v>
      </c>
      <c r="Y947" s="1" t="s">
        <v>19892</v>
      </c>
      <c r="Z947" s="1" t="s">
        <v>19893</v>
      </c>
      <c r="AA947" s="1" t="s">
        <v>19894</v>
      </c>
      <c r="AB947" s="1" t="s">
        <v>19895</v>
      </c>
      <c r="AC947" s="1" t="s">
        <v>19896</v>
      </c>
      <c r="AD947" s="6" t="s">
        <v>19897</v>
      </c>
      <c r="AE947" s="1" t="s">
        <v>19898</v>
      </c>
      <c r="AF947" s="1" t="s">
        <v>19899</v>
      </c>
      <c r="AG947" s="6" t="s">
        <v>19900</v>
      </c>
      <c r="AH947" s="1" t="s">
        <v>19901</v>
      </c>
      <c r="AI947" s="6" t="s">
        <v>132</v>
      </c>
      <c r="AJ947" s="6" t="s">
        <v>19902</v>
      </c>
      <c r="AK947" s="1" t="s">
        <v>19903</v>
      </c>
      <c r="AL947" s="6" t="s">
        <v>19904</v>
      </c>
    </row>
    <row r="948" ht="15.75" customHeight="1">
      <c r="A948" s="1" t="s">
        <v>127</v>
      </c>
      <c r="B948" s="1" t="s">
        <v>19905</v>
      </c>
      <c r="C948" s="1" t="s">
        <v>19906</v>
      </c>
      <c r="D948" s="8" t="s">
        <v>19907</v>
      </c>
      <c r="E948" s="1" t="s">
        <v>19908</v>
      </c>
      <c r="F948" s="6" t="s">
        <v>132</v>
      </c>
      <c r="G948" s="1" t="s">
        <v>19909</v>
      </c>
      <c r="H948" s="1" t="s">
        <v>19910</v>
      </c>
      <c r="I948" s="1" t="s">
        <v>19911</v>
      </c>
      <c r="J948" s="6" t="s">
        <v>19906</v>
      </c>
      <c r="K948" s="1" t="s">
        <v>19912</v>
      </c>
      <c r="L948" s="1" t="s">
        <v>19913</v>
      </c>
      <c r="M948" s="1" t="s">
        <v>19914</v>
      </c>
      <c r="N948" s="6" t="s">
        <v>132</v>
      </c>
      <c r="O948" s="6" t="s">
        <v>19915</v>
      </c>
      <c r="P948" s="1" t="s">
        <v>19906</v>
      </c>
      <c r="Q948" s="1" t="s">
        <v>19916</v>
      </c>
      <c r="R948" s="1" t="s">
        <v>19917</v>
      </c>
      <c r="S948" s="10" t="s">
        <v>19918</v>
      </c>
      <c r="T948" s="1" t="s">
        <v>19919</v>
      </c>
      <c r="U948" s="1" t="s">
        <v>19920</v>
      </c>
      <c r="V948" s="1" t="s">
        <v>19916</v>
      </c>
      <c r="W948" s="1" t="s">
        <v>19906</v>
      </c>
      <c r="X948" s="1" t="s">
        <v>19921</v>
      </c>
      <c r="Y948" s="1" t="s">
        <v>19922</v>
      </c>
      <c r="Z948" s="1" t="s">
        <v>19923</v>
      </c>
      <c r="AA948" s="1" t="s">
        <v>19924</v>
      </c>
      <c r="AB948" s="1" t="s">
        <v>19925</v>
      </c>
      <c r="AC948" s="1" t="s">
        <v>19909</v>
      </c>
      <c r="AD948" s="6" t="s">
        <v>19926</v>
      </c>
      <c r="AE948" s="1" t="s">
        <v>19927</v>
      </c>
      <c r="AF948" s="1" t="s">
        <v>19928</v>
      </c>
      <c r="AG948" s="6" t="s">
        <v>19929</v>
      </c>
      <c r="AH948" s="1" t="s">
        <v>19930</v>
      </c>
      <c r="AI948" s="6" t="s">
        <v>132</v>
      </c>
      <c r="AJ948" s="6" t="s">
        <v>19931</v>
      </c>
      <c r="AK948" s="1" t="s">
        <v>19932</v>
      </c>
      <c r="AL948" s="6" t="s">
        <v>132</v>
      </c>
    </row>
    <row r="949" ht="15.75" hidden="1" customHeight="1">
      <c r="A949" s="1" t="s">
        <v>38</v>
      </c>
      <c r="B949" s="1" t="s">
        <v>19933</v>
      </c>
      <c r="C949" s="1" t="s">
        <v>7190</v>
      </c>
      <c r="D949" s="8" t="s">
        <v>19934</v>
      </c>
      <c r="E949" s="1" t="s">
        <v>19935</v>
      </c>
      <c r="F949" s="6" t="s">
        <v>19936</v>
      </c>
      <c r="G949" s="7" t="str">
        <f>IFERROR(__xludf.DUMMYFUNCTION("GOOGLETRANSLATE(C949, ""en"", ""cs"")"),"Kontakty")</f>
        <v>Kontakty</v>
      </c>
      <c r="H949" s="7" t="str">
        <f>IFERROR(__xludf.DUMMYFUNCTION("GOOGLETRANSLATE(C949, ""en"", ""da"")"),"Kontakter.")</f>
        <v>Kontakter.</v>
      </c>
      <c r="I949" s="1" t="s">
        <v>19937</v>
      </c>
      <c r="J949" s="6" t="s">
        <v>132</v>
      </c>
      <c r="K949" s="1" t="s">
        <v>19938</v>
      </c>
      <c r="L949" s="7" t="str">
        <f>IFERROR(__xludf.DUMMYFUNCTION("GOOGLETRANSLATE(C949, ""en"", ""fi"")"),"Yhteystiedot")</f>
        <v>Yhteystiedot</v>
      </c>
      <c r="M949" s="1" t="s">
        <v>19939</v>
      </c>
      <c r="N949" s="6" t="s">
        <v>19940</v>
      </c>
      <c r="O949" s="6" t="s">
        <v>132</v>
      </c>
      <c r="P949" s="1" t="s">
        <v>19941</v>
      </c>
      <c r="Q949" s="9" t="s">
        <v>19942</v>
      </c>
      <c r="R949" s="1" t="s">
        <v>19943</v>
      </c>
      <c r="S949" s="6" t="s">
        <v>132</v>
      </c>
      <c r="T949" s="1" t="s">
        <v>19944</v>
      </c>
      <c r="U949" s="1" t="s">
        <v>19945</v>
      </c>
      <c r="V949" s="7" t="str">
        <f>IFERROR(__xludf.DUMMYFUNCTION("GOOGLETRANSLATE(C949, ""en"", ""ms"")"),"Kenalan")</f>
        <v>Kenalan</v>
      </c>
      <c r="W949" s="1" t="s">
        <v>19946</v>
      </c>
      <c r="X949" s="7" t="str">
        <f>IFERROR(__xludf.DUMMYFUNCTION("GOOGLETRANSLATE(C949, ""en"", ""no"")"),"Kontakter")</f>
        <v>Kontakter</v>
      </c>
      <c r="Y949" s="1" t="s">
        <v>19947</v>
      </c>
      <c r="Z949" s="1" t="s">
        <v>19940</v>
      </c>
      <c r="AA949" s="7" t="str">
        <f>IFERROR(__xludf.DUMMYFUNCTION("GOOGLETRANSLATE(C949, ""en"", ""ro"")"),"Contacte")</f>
        <v>Contacte</v>
      </c>
      <c r="AB949" s="1" t="s">
        <v>19948</v>
      </c>
      <c r="AC949" s="1" t="s">
        <v>19949</v>
      </c>
      <c r="AD949" s="6" t="s">
        <v>132</v>
      </c>
      <c r="AE949" s="1" t="s">
        <v>19950</v>
      </c>
      <c r="AF949" s="1" t="s">
        <v>19951</v>
      </c>
      <c r="AG949" s="6" t="s">
        <v>132</v>
      </c>
      <c r="AH949" s="7" t="str">
        <f>IFERROR(__xludf.DUMMYFUNCTION("GOOGLETRANSLATE(C949, ""en"", ""tr"")"),"İletişim")</f>
        <v>İletişim</v>
      </c>
      <c r="AI949" s="6" t="s">
        <v>19952</v>
      </c>
      <c r="AJ949" s="6" t="s">
        <v>19953</v>
      </c>
      <c r="AK949" s="7" t="str">
        <f>IFERROR(__xludf.DUMMYFUNCTION("GOOGLETRANSLATE(C949, ""en"", ""zh"")"),"联系人")</f>
        <v>联系人</v>
      </c>
      <c r="AL949" s="6" t="s">
        <v>19954</v>
      </c>
    </row>
    <row r="950" ht="15.75" customHeight="1">
      <c r="A950" s="1" t="s">
        <v>127</v>
      </c>
      <c r="B950" s="1" t="s">
        <v>19955</v>
      </c>
      <c r="C950" s="1" t="s">
        <v>19956</v>
      </c>
      <c r="D950" s="8" t="s">
        <v>19957</v>
      </c>
      <c r="E950" s="1" t="s">
        <v>19956</v>
      </c>
      <c r="F950" s="6" t="s">
        <v>132</v>
      </c>
      <c r="G950" s="1" t="s">
        <v>19956</v>
      </c>
      <c r="H950" s="1" t="s">
        <v>19956</v>
      </c>
      <c r="I950" s="1" t="s">
        <v>19958</v>
      </c>
      <c r="J950" s="6" t="s">
        <v>19956</v>
      </c>
      <c r="K950" s="1" t="s">
        <v>19959</v>
      </c>
      <c r="L950" s="1" t="s">
        <v>19956</v>
      </c>
      <c r="M950" s="1" t="s">
        <v>19956</v>
      </c>
      <c r="N950" s="6" t="s">
        <v>132</v>
      </c>
      <c r="O950" s="6" t="s">
        <v>19960</v>
      </c>
      <c r="P950" s="1" t="s">
        <v>19956</v>
      </c>
      <c r="Q950" s="1" t="s">
        <v>19956</v>
      </c>
      <c r="R950" s="1" t="s">
        <v>19956</v>
      </c>
      <c r="S950" s="10" t="s">
        <v>19961</v>
      </c>
      <c r="T950" s="1" t="s">
        <v>19956</v>
      </c>
      <c r="U950" s="1" t="s">
        <v>19962</v>
      </c>
      <c r="V950" s="1" t="s">
        <v>19956</v>
      </c>
      <c r="W950" s="1" t="s">
        <v>19956</v>
      </c>
      <c r="X950" s="1" t="s">
        <v>19956</v>
      </c>
      <c r="Y950" s="1" t="s">
        <v>19963</v>
      </c>
      <c r="Z950" s="1" t="s">
        <v>19964</v>
      </c>
      <c r="AA950" s="1" t="s">
        <v>19956</v>
      </c>
      <c r="AB950" s="1" t="s">
        <v>19965</v>
      </c>
      <c r="AC950" s="1" t="s">
        <v>19956</v>
      </c>
      <c r="AD950" s="6" t="s">
        <v>19956</v>
      </c>
      <c r="AE950" s="1" t="s">
        <v>19966</v>
      </c>
      <c r="AF950" s="1" t="s">
        <v>19956</v>
      </c>
      <c r="AG950" s="6" t="s">
        <v>19967</v>
      </c>
      <c r="AH950" s="1" t="s">
        <v>19968</v>
      </c>
      <c r="AI950" s="6" t="s">
        <v>132</v>
      </c>
      <c r="AJ950" s="6" t="s">
        <v>19969</v>
      </c>
      <c r="AK950" s="1" t="s">
        <v>19970</v>
      </c>
      <c r="AL950" s="6" t="s">
        <v>132</v>
      </c>
    </row>
    <row r="951" ht="15.75" hidden="1" customHeight="1">
      <c r="A951" s="1" t="s">
        <v>38</v>
      </c>
      <c r="B951" s="1" t="s">
        <v>19971</v>
      </c>
      <c r="C951" s="1" t="s">
        <v>19972</v>
      </c>
      <c r="D951" s="8" t="s">
        <v>19973</v>
      </c>
      <c r="E951" s="1" t="s">
        <v>19974</v>
      </c>
      <c r="F951" s="6" t="s">
        <v>19975</v>
      </c>
      <c r="G951" s="7" t="str">
        <f>IFERROR(__xludf.DUMMYFUNCTION("GOOGLETRANSLATE(C951, ""en"", ""cs"")"),"Blokovat všechny kontakty od% s?")</f>
        <v>Blokovat všechny kontakty od% s?</v>
      </c>
      <c r="H951" s="7" t="str">
        <f>IFERROR(__xludf.DUMMYFUNCTION("GOOGLETRANSLATE(C951, ""en"", ""da"")"),"Bloker alle kontakter fra% s?")</f>
        <v>Bloker alle kontakter fra% s?</v>
      </c>
      <c r="I951" s="1" t="s">
        <v>19976</v>
      </c>
      <c r="J951" s="6" t="s">
        <v>132</v>
      </c>
      <c r="K951" s="1" t="s">
        <v>19977</v>
      </c>
      <c r="L951" s="7" t="str">
        <f>IFERROR(__xludf.DUMMYFUNCTION("GOOGLETRANSLATE(C951, ""en"", ""fi"")"),"Estä kaikki yhteystiedot% s: stä?")</f>
        <v>Estä kaikki yhteystiedot% s: stä?</v>
      </c>
      <c r="M951" s="1" t="s">
        <v>19978</v>
      </c>
      <c r="N951" s="6" t="s">
        <v>19979</v>
      </c>
      <c r="O951" s="6" t="s">
        <v>132</v>
      </c>
      <c r="P951" s="1" t="s">
        <v>19980</v>
      </c>
      <c r="Q951" s="9" t="s">
        <v>19981</v>
      </c>
      <c r="R951" s="1" t="s">
        <v>19982</v>
      </c>
      <c r="S951" s="6" t="s">
        <v>132</v>
      </c>
      <c r="T951" s="1" t="s">
        <v>19983</v>
      </c>
      <c r="U951" s="1" t="s">
        <v>19984</v>
      </c>
      <c r="V951" s="7" t="str">
        <f>IFERROR(__xludf.DUMMYFUNCTION("GOOGLETRANSLATE(C951, ""en"", ""ms"")"),"Sekat semua kenalan dari% s?")</f>
        <v>Sekat semua kenalan dari% s?</v>
      </c>
      <c r="W951" s="1" t="s">
        <v>19985</v>
      </c>
      <c r="X951" s="7" t="str">
        <f>IFERROR(__xludf.DUMMYFUNCTION("GOOGLETRANSLATE(C951, ""en"", ""no"")"),"Blokker alle kontakter fra% s?")</f>
        <v>Blokker alle kontakter fra% s?</v>
      </c>
      <c r="Y951" s="1" t="s">
        <v>19986</v>
      </c>
      <c r="Z951" s="1" t="s">
        <v>19987</v>
      </c>
      <c r="AA951" s="7" t="str">
        <f>IFERROR(__xludf.DUMMYFUNCTION("GOOGLETRANSLATE(C951, ""en"", ""ro"")"),"Blocați toate contactele de la% s?")</f>
        <v>Blocați toate contactele de la% s?</v>
      </c>
      <c r="AB951" s="1" t="s">
        <v>19988</v>
      </c>
      <c r="AC951" s="1" t="s">
        <v>19989</v>
      </c>
      <c r="AD951" s="6" t="s">
        <v>132</v>
      </c>
      <c r="AE951" s="1" t="s">
        <v>19990</v>
      </c>
      <c r="AF951" s="1" t="s">
        <v>19991</v>
      </c>
      <c r="AG951" s="6" t="s">
        <v>132</v>
      </c>
      <c r="AH951" s="13" t="s">
        <v>19992</v>
      </c>
      <c r="AI951" s="6" t="s">
        <v>19993</v>
      </c>
      <c r="AJ951" s="6" t="s">
        <v>19994</v>
      </c>
      <c r="AK951" s="7" t="str">
        <f>IFERROR(__xludf.DUMMYFUNCTION("GOOGLETRANSLATE(C951, ""en"", ""zh"")"),"阻止所有联系人来自％s？")</f>
        <v>阻止所有联系人来自％s？</v>
      </c>
      <c r="AL951" s="6" t="s">
        <v>19995</v>
      </c>
    </row>
    <row r="952" ht="15.75" customHeight="1">
      <c r="A952" s="1" t="s">
        <v>127</v>
      </c>
      <c r="B952" s="1" t="s">
        <v>19996</v>
      </c>
      <c r="C952" s="1" t="s">
        <v>19997</v>
      </c>
      <c r="D952" s="8" t="s">
        <v>19998</v>
      </c>
      <c r="E952" s="1" t="s">
        <v>19999</v>
      </c>
      <c r="F952" s="6" t="s">
        <v>132</v>
      </c>
      <c r="G952" s="1" t="s">
        <v>20000</v>
      </c>
      <c r="H952" s="1" t="s">
        <v>20001</v>
      </c>
      <c r="I952" s="1" t="s">
        <v>20002</v>
      </c>
      <c r="J952" s="6" t="s">
        <v>20003</v>
      </c>
      <c r="K952" s="1" t="s">
        <v>20004</v>
      </c>
      <c r="L952" s="1" t="s">
        <v>20005</v>
      </c>
      <c r="M952" s="1" t="s">
        <v>19997</v>
      </c>
      <c r="N952" s="6" t="s">
        <v>132</v>
      </c>
      <c r="O952" s="6" t="s">
        <v>20006</v>
      </c>
      <c r="P952" s="1" t="s">
        <v>20007</v>
      </c>
      <c r="Q952" s="1" t="s">
        <v>20008</v>
      </c>
      <c r="R952" s="1" t="s">
        <v>20009</v>
      </c>
      <c r="S952" s="10" t="s">
        <v>20010</v>
      </c>
      <c r="T952" s="1" t="s">
        <v>20011</v>
      </c>
      <c r="U952" s="1" t="s">
        <v>20012</v>
      </c>
      <c r="V952" s="1" t="s">
        <v>20013</v>
      </c>
      <c r="W952" s="1" t="s">
        <v>20014</v>
      </c>
      <c r="X952" s="1" t="s">
        <v>20015</v>
      </c>
      <c r="Y952" s="1" t="s">
        <v>20016</v>
      </c>
      <c r="Z952" s="1" t="s">
        <v>20017</v>
      </c>
      <c r="AA952" s="1" t="s">
        <v>20018</v>
      </c>
      <c r="AB952" s="1" t="s">
        <v>20019</v>
      </c>
      <c r="AC952" s="1" t="s">
        <v>20020</v>
      </c>
      <c r="AD952" s="6" t="s">
        <v>20021</v>
      </c>
      <c r="AE952" s="1" t="s">
        <v>19997</v>
      </c>
      <c r="AF952" s="1" t="s">
        <v>20022</v>
      </c>
      <c r="AG952" s="6" t="s">
        <v>20023</v>
      </c>
      <c r="AH952" s="1" t="s">
        <v>20024</v>
      </c>
      <c r="AI952" s="6" t="s">
        <v>132</v>
      </c>
      <c r="AJ952" s="6" t="s">
        <v>20025</v>
      </c>
      <c r="AK952" s="1" t="s">
        <v>20026</v>
      </c>
      <c r="AL952" s="6" t="s">
        <v>132</v>
      </c>
    </row>
    <row r="953" ht="15.75" hidden="1" customHeight="1">
      <c r="A953" s="1" t="s">
        <v>38</v>
      </c>
      <c r="B953" s="1" t="s">
        <v>20027</v>
      </c>
      <c r="C953" s="1" t="s">
        <v>20028</v>
      </c>
      <c r="D953" s="8" t="s">
        <v>20029</v>
      </c>
      <c r="E953" s="1" t="s">
        <v>20030</v>
      </c>
      <c r="F953" s="6" t="s">
        <v>20031</v>
      </c>
      <c r="G953" s="7" t="str">
        <f>IFERROR(__xludf.DUMMYFUNCTION("GOOGLETRANSLATE(C953, ""en"", ""cs"")"),"Bezpečnostní")</f>
        <v>Bezpečnostní</v>
      </c>
      <c r="H953" s="7" t="str">
        <f>IFERROR(__xludf.DUMMYFUNCTION("GOOGLETRANSLATE(C953, ""en"", ""da"")"),"Sikkerhed")</f>
        <v>Sikkerhed</v>
      </c>
      <c r="I953" s="1" t="s">
        <v>20032</v>
      </c>
      <c r="J953" s="6" t="s">
        <v>132</v>
      </c>
      <c r="K953" s="1" t="s">
        <v>20033</v>
      </c>
      <c r="L953" s="7" t="str">
        <f>IFERROR(__xludf.DUMMYFUNCTION("GOOGLETRANSLATE(C953, ""en"", ""fi"")"),"Turvallisuus")</f>
        <v>Turvallisuus</v>
      </c>
      <c r="M953" s="1" t="s">
        <v>20034</v>
      </c>
      <c r="N953" s="6" t="s">
        <v>20035</v>
      </c>
      <c r="O953" s="6" t="s">
        <v>132</v>
      </c>
      <c r="P953" s="1" t="s">
        <v>20036</v>
      </c>
      <c r="Q953" s="7" t="str">
        <f>IFERROR(__xludf.DUMMYFUNCTION("GOOGLETRANSLATE(C953, ""en"", ""in"")"),"Keamanan")</f>
        <v>Keamanan</v>
      </c>
      <c r="R953" s="1" t="s">
        <v>20037</v>
      </c>
      <c r="S953" s="6" t="s">
        <v>132</v>
      </c>
      <c r="T953" s="1" t="s">
        <v>20038</v>
      </c>
      <c r="U953" s="1" t="s">
        <v>20039</v>
      </c>
      <c r="V953" s="7" t="str">
        <f>IFERROR(__xludf.DUMMYFUNCTION("GOOGLETRANSLATE(C953, ""en"", ""ms"")"),"Keselamatan")</f>
        <v>Keselamatan</v>
      </c>
      <c r="W953" s="1" t="s">
        <v>20040</v>
      </c>
      <c r="X953" s="7" t="str">
        <f>IFERROR(__xludf.DUMMYFUNCTION("GOOGLETRANSLATE(C953, ""en"", ""no"")"),"Sikkerhet")</f>
        <v>Sikkerhet</v>
      </c>
      <c r="Y953" s="1" t="s">
        <v>20041</v>
      </c>
      <c r="Z953" s="1" t="s">
        <v>20042</v>
      </c>
      <c r="AA953" s="7" t="str">
        <f>IFERROR(__xludf.DUMMYFUNCTION("GOOGLETRANSLATE(C953, ""en"", ""ro"")"),"Securitate")</f>
        <v>Securitate</v>
      </c>
      <c r="AB953" s="1" t="s">
        <v>20043</v>
      </c>
      <c r="AC953" s="7" t="str">
        <f>IFERROR(__xludf.DUMMYFUNCTION("GOOGLETRANSLATE(C953, ""en"", ""sk"")"),"Bezpečnosť")</f>
        <v>Bezpečnosť</v>
      </c>
      <c r="AD953" s="6" t="s">
        <v>132</v>
      </c>
      <c r="AE953" s="1" t="s">
        <v>20044</v>
      </c>
      <c r="AF953" s="1" t="s">
        <v>20045</v>
      </c>
      <c r="AG953" s="6" t="s">
        <v>132</v>
      </c>
      <c r="AH953" s="7" t="str">
        <f>IFERROR(__xludf.DUMMYFUNCTION("GOOGLETRANSLATE(C953, ""en"", ""tr"")"),"Güvenlik")</f>
        <v>Güvenlik</v>
      </c>
      <c r="AI953" s="6" t="s">
        <v>20046</v>
      </c>
      <c r="AJ953" s="6" t="s">
        <v>132</v>
      </c>
      <c r="AK953" s="7" t="str">
        <f>IFERROR(__xludf.DUMMYFUNCTION("GOOGLETRANSLATE(C953, ""en"", ""zh"")"),"安全")</f>
        <v>安全</v>
      </c>
      <c r="AL953" s="6" t="s">
        <v>20047</v>
      </c>
    </row>
    <row r="954" ht="15.75" hidden="1" customHeight="1">
      <c r="A954" s="1" t="s">
        <v>38</v>
      </c>
      <c r="B954" s="1" t="s">
        <v>20048</v>
      </c>
      <c r="C954" s="1" t="s">
        <v>20049</v>
      </c>
      <c r="D954" s="7" t="str">
        <f>IFERROR(__xludf.DUMMYFUNCTION("GOOGLETRANSLATE(C954, ""en"", ""ar"")"),"غرينادا")</f>
        <v>غرينادا</v>
      </c>
      <c r="E954" s="7" t="str">
        <f>IFERROR(__xludf.DUMMYFUNCTION("GOOGLETRANSLATE(C954, ""en"", ""bg"")"),"Гренада")</f>
        <v>Гренада</v>
      </c>
      <c r="F954" s="6" t="s">
        <v>132</v>
      </c>
      <c r="G954" s="7" t="str">
        <f>IFERROR(__xludf.DUMMYFUNCTION("GOOGLETRANSLATE(C954, ""en"", ""cs"")"),"Grenada")</f>
        <v>Grenada</v>
      </c>
      <c r="H954" s="7" t="str">
        <f>IFERROR(__xludf.DUMMYFUNCTION("GOOGLETRANSLATE(C954, ""en"", ""da"")"),"Grenada")</f>
        <v>Grenada</v>
      </c>
      <c r="I954" s="1" t="s">
        <v>20049</v>
      </c>
      <c r="J954" s="6" t="s">
        <v>132</v>
      </c>
      <c r="K954" s="1" t="s">
        <v>20049</v>
      </c>
      <c r="L954" s="7" t="str">
        <f>IFERROR(__xludf.DUMMYFUNCTION("GOOGLETRANSLATE(C954, ""en"", ""fi"")"),"Grenada")</f>
        <v>Grenada</v>
      </c>
      <c r="M954" s="1" t="s">
        <v>20050</v>
      </c>
      <c r="N954" s="6" t="s">
        <v>132</v>
      </c>
      <c r="O954" s="6" t="s">
        <v>132</v>
      </c>
      <c r="P954" s="1" t="s">
        <v>20049</v>
      </c>
      <c r="Q954" s="7" t="str">
        <f>IFERROR(__xludf.DUMMYFUNCTION("GOOGLETRANSLATE(C954, ""en"", ""in"")"),"Grenada")</f>
        <v>Grenada</v>
      </c>
      <c r="R954" s="7" t="str">
        <f>IFERROR(__xludf.DUMMYFUNCTION("GOOGLETRANSLATE(C954, ""en"", ""it"")"),"Grenada.")</f>
        <v>Grenada.</v>
      </c>
      <c r="S954" s="6" t="s">
        <v>132</v>
      </c>
      <c r="T954" s="7" t="str">
        <f>IFERROR(__xludf.DUMMYFUNCTION("GOOGLETRANSLATE(C954, ""en"", ""ja"")"),"グレナダ")</f>
        <v>グレナダ</v>
      </c>
      <c r="U954" s="7" t="str">
        <f>IFERROR(__xludf.DUMMYFUNCTION("GOOGLETRANSLATE(C954, ""en"", ""ko"")"),"그레나다")</f>
        <v>그레나다</v>
      </c>
      <c r="V954" s="7" t="str">
        <f>IFERROR(__xludf.DUMMYFUNCTION("GOOGLETRANSLATE(C954, ""en"", ""ms"")"),"Grenada")</f>
        <v>Grenada</v>
      </c>
      <c r="W954" s="7" t="str">
        <f>IFERROR(__xludf.DUMMYFUNCTION("GOOGLETRANSLATE(C954, ""en"", ""nl"")"),"Grenada")</f>
        <v>Grenada</v>
      </c>
      <c r="X954" s="7" t="str">
        <f>IFERROR(__xludf.DUMMYFUNCTION("GOOGLETRANSLATE(C954, ""en"", ""no"")"),"Grenada.")</f>
        <v>Grenada.</v>
      </c>
      <c r="Y954" s="7" t="str">
        <f>IFERROR(__xludf.DUMMYFUNCTION("GOOGLETRANSLATE(C954, ""en"", ""pl"")"),"Grenada")</f>
        <v>Grenada</v>
      </c>
      <c r="Z954" s="7" t="str">
        <f>IFERROR(__xludf.DUMMYFUNCTION("GOOGLETRANSLATE(C954, ""en"", ""pt"")"),"Granada")</f>
        <v>Granada</v>
      </c>
      <c r="AA954" s="7" t="str">
        <f>IFERROR(__xludf.DUMMYFUNCTION("GOOGLETRANSLATE(C954, ""en"", ""ro"")"),"Grenada.")</f>
        <v>Grenada.</v>
      </c>
      <c r="AB954" s="1" t="s">
        <v>20051</v>
      </c>
      <c r="AC954" s="7" t="str">
        <f>IFERROR(__xludf.DUMMYFUNCTION("GOOGLETRANSLATE(C954, ""en"", ""sk"")"),"Grenada")</f>
        <v>Grenada</v>
      </c>
      <c r="AD954" s="6" t="s">
        <v>132</v>
      </c>
      <c r="AE954" s="1" t="s">
        <v>20049</v>
      </c>
      <c r="AF954" s="7" t="str">
        <f>IFERROR(__xludf.DUMMYFUNCTION("GOOGLETRANSLATE(C954, ""en"", ""sv"")"),"Grenada")</f>
        <v>Grenada</v>
      </c>
      <c r="AG954" s="6" t="s">
        <v>132</v>
      </c>
      <c r="AH954" s="7" t="str">
        <f>IFERROR(__xludf.DUMMYFUNCTION("GOOGLETRANSLATE(C954, ""en"", ""tr"")"),"Grenada")</f>
        <v>Grenada</v>
      </c>
      <c r="AI954" s="6" t="s">
        <v>132</v>
      </c>
      <c r="AJ954" s="6" t="s">
        <v>132</v>
      </c>
      <c r="AK954" s="7" t="str">
        <f>IFERROR(__xludf.DUMMYFUNCTION("GOOGLETRANSLATE(C954, ""en"", ""zh"")"),"格林纳达")</f>
        <v>格林纳达</v>
      </c>
      <c r="AL954" s="6" t="s">
        <v>132</v>
      </c>
    </row>
    <row r="955" ht="15.75" customHeight="1">
      <c r="A955" s="1" t="s">
        <v>127</v>
      </c>
      <c r="B955" s="1" t="s">
        <v>20052</v>
      </c>
      <c r="C955" s="1" t="s">
        <v>20053</v>
      </c>
      <c r="D955" s="8" t="s">
        <v>20054</v>
      </c>
      <c r="E955" s="1" t="s">
        <v>20055</v>
      </c>
      <c r="F955" s="6" t="s">
        <v>132</v>
      </c>
      <c r="G955" s="1" t="s">
        <v>20056</v>
      </c>
      <c r="H955" s="1" t="s">
        <v>20057</v>
      </c>
      <c r="I955" s="1" t="s">
        <v>20053</v>
      </c>
      <c r="J955" s="6" t="s">
        <v>20053</v>
      </c>
      <c r="K955" s="1" t="s">
        <v>20053</v>
      </c>
      <c r="L955" s="1" t="s">
        <v>20058</v>
      </c>
      <c r="M955" s="1" t="s">
        <v>20053</v>
      </c>
      <c r="N955" s="6" t="s">
        <v>132</v>
      </c>
      <c r="O955" s="6" t="s">
        <v>20059</v>
      </c>
      <c r="P955" s="1" t="s">
        <v>20060</v>
      </c>
      <c r="Q955" s="1" t="s">
        <v>20061</v>
      </c>
      <c r="R955" s="1" t="s">
        <v>20062</v>
      </c>
      <c r="S955" s="10" t="s">
        <v>20063</v>
      </c>
      <c r="T955" s="1" t="s">
        <v>20064</v>
      </c>
      <c r="U955" s="1" t="s">
        <v>20065</v>
      </c>
      <c r="V955" s="1" t="s">
        <v>20061</v>
      </c>
      <c r="W955" s="1" t="s">
        <v>20066</v>
      </c>
      <c r="X955" s="1" t="s">
        <v>20067</v>
      </c>
      <c r="Y955" s="1" t="s">
        <v>20068</v>
      </c>
      <c r="Z955" s="1" t="s">
        <v>20069</v>
      </c>
      <c r="AA955" s="1" t="s">
        <v>20070</v>
      </c>
      <c r="AB955" s="1" t="s">
        <v>20071</v>
      </c>
      <c r="AC955" s="1" t="s">
        <v>20072</v>
      </c>
      <c r="AD955" s="6" t="s">
        <v>20073</v>
      </c>
      <c r="AE955" s="1" t="s">
        <v>20053</v>
      </c>
      <c r="AF955" s="1" t="s">
        <v>20074</v>
      </c>
      <c r="AG955" s="6" t="s">
        <v>20075</v>
      </c>
      <c r="AH955" s="1" t="s">
        <v>20076</v>
      </c>
      <c r="AI955" s="6" t="s">
        <v>132</v>
      </c>
      <c r="AJ955" s="6" t="s">
        <v>20077</v>
      </c>
      <c r="AK955" s="1" t="s">
        <v>20078</v>
      </c>
      <c r="AL955" s="6" t="s">
        <v>20079</v>
      </c>
    </row>
    <row r="956" ht="15.75" hidden="1" customHeight="1">
      <c r="A956" s="1" t="s">
        <v>38</v>
      </c>
      <c r="B956" s="1" t="s">
        <v>20080</v>
      </c>
      <c r="C956" s="1" t="s">
        <v>20081</v>
      </c>
      <c r="D956" s="7" t="str">
        <f>IFERROR(__xludf.DUMMYFUNCTION("GOOGLETRANSLATE(C956, ""en"", ""ar"")"),"ناميبيا")</f>
        <v>ناميبيا</v>
      </c>
      <c r="E956" s="7" t="str">
        <f>IFERROR(__xludf.DUMMYFUNCTION("GOOGLETRANSLATE(C956, ""en"", ""bg"")"),"Намибия")</f>
        <v>Намибия</v>
      </c>
      <c r="F956" s="6" t="s">
        <v>132</v>
      </c>
      <c r="G956" s="7" t="str">
        <f>IFERROR(__xludf.DUMMYFUNCTION("GOOGLETRANSLATE(C956, ""en"", ""cs"")"),"Namibie")</f>
        <v>Namibie</v>
      </c>
      <c r="H956" s="7" t="str">
        <f>IFERROR(__xludf.DUMMYFUNCTION("GOOGLETRANSLATE(C956, ""en"", ""da"")"),"Namibia.")</f>
        <v>Namibia.</v>
      </c>
      <c r="I956" s="1" t="s">
        <v>20081</v>
      </c>
      <c r="J956" s="6" t="s">
        <v>132</v>
      </c>
      <c r="K956" s="1" t="s">
        <v>20081</v>
      </c>
      <c r="L956" s="7" t="str">
        <f>IFERROR(__xludf.DUMMYFUNCTION("GOOGLETRANSLATE(C956, ""en"", ""fi"")"),"Namibia")</f>
        <v>Namibia</v>
      </c>
      <c r="M956" s="1" t="s">
        <v>20082</v>
      </c>
      <c r="N956" s="6" t="s">
        <v>132</v>
      </c>
      <c r="O956" s="6" t="s">
        <v>132</v>
      </c>
      <c r="P956" s="1" t="s">
        <v>20081</v>
      </c>
      <c r="Q956" s="7" t="str">
        <f>IFERROR(__xludf.DUMMYFUNCTION("GOOGLETRANSLATE(C956, ""en"", ""in"")"),"Namibia.")</f>
        <v>Namibia.</v>
      </c>
      <c r="R956" s="7" t="str">
        <f>IFERROR(__xludf.DUMMYFUNCTION("GOOGLETRANSLATE(C956, ""en"", ""it"")"),"Namibia")</f>
        <v>Namibia</v>
      </c>
      <c r="S956" s="6" t="s">
        <v>132</v>
      </c>
      <c r="T956" s="7" t="str">
        <f>IFERROR(__xludf.DUMMYFUNCTION("GOOGLETRANSLATE(C956, ""en"", ""ja"")"),"ナミビア")</f>
        <v>ナミビア</v>
      </c>
      <c r="U956" s="7" t="str">
        <f>IFERROR(__xludf.DUMMYFUNCTION("GOOGLETRANSLATE(C956, ""en"", ""ko"")"),"나미비아의")</f>
        <v>나미비아의</v>
      </c>
      <c r="V956" s="7" t="str">
        <f>IFERROR(__xludf.DUMMYFUNCTION("GOOGLETRANSLATE(C956, ""en"", ""ms"")"),"Namibia")</f>
        <v>Namibia</v>
      </c>
      <c r="W956" s="7" t="str">
        <f>IFERROR(__xludf.DUMMYFUNCTION("GOOGLETRANSLATE(C956, ""en"", ""nl"")"),"Namibië")</f>
        <v>Namibië</v>
      </c>
      <c r="X956" s="7" t="str">
        <f>IFERROR(__xludf.DUMMYFUNCTION("GOOGLETRANSLATE(C956, ""en"", ""no"")"),"Namibia.")</f>
        <v>Namibia.</v>
      </c>
      <c r="Y956" s="7" t="str">
        <f>IFERROR(__xludf.DUMMYFUNCTION("GOOGLETRANSLATE(C956, ""en"", ""pl"")"),"Namibia")</f>
        <v>Namibia</v>
      </c>
      <c r="Z956" s="7" t="str">
        <f>IFERROR(__xludf.DUMMYFUNCTION("GOOGLETRANSLATE(C956, ""en"", ""pt"")"),"Namíbia.")</f>
        <v>Namíbia.</v>
      </c>
      <c r="AA956" s="7" t="str">
        <f>IFERROR(__xludf.DUMMYFUNCTION("GOOGLETRANSLATE(C956, ""en"", ""ro"")"),"Namibia.")</f>
        <v>Namibia.</v>
      </c>
      <c r="AB956" s="1" t="s">
        <v>20083</v>
      </c>
      <c r="AC956" s="7" t="str">
        <f>IFERROR(__xludf.DUMMYFUNCTION("GOOGLETRANSLATE(C956, ""en"", ""sk"")"),"Namíbia")</f>
        <v>Namíbia</v>
      </c>
      <c r="AD956" s="6" t="s">
        <v>132</v>
      </c>
      <c r="AE956" s="1" t="s">
        <v>20084</v>
      </c>
      <c r="AF956" s="7" t="str">
        <f>IFERROR(__xludf.DUMMYFUNCTION("GOOGLETRANSLATE(C956, ""en"", ""sv"")"),"Namibia")</f>
        <v>Namibia</v>
      </c>
      <c r="AG956" s="6" t="s">
        <v>132</v>
      </c>
      <c r="AH956" s="7" t="str">
        <f>IFERROR(__xludf.DUMMYFUNCTION("GOOGLETRANSLATE(C956, ""en"", ""tr"")"),"Namibya")</f>
        <v>Namibya</v>
      </c>
      <c r="AI956" s="6" t="s">
        <v>132</v>
      </c>
      <c r="AJ956" s="6" t="s">
        <v>132</v>
      </c>
      <c r="AK956" s="7" t="str">
        <f>IFERROR(__xludf.DUMMYFUNCTION("GOOGLETRANSLATE(C956, ""en"", ""zh"")"),"纳米比亚")</f>
        <v>纳米比亚</v>
      </c>
      <c r="AL956" s="6" t="s">
        <v>132</v>
      </c>
    </row>
    <row r="957" ht="15.75" customHeight="1">
      <c r="A957" s="1" t="s">
        <v>127</v>
      </c>
      <c r="B957" s="1" t="s">
        <v>20085</v>
      </c>
      <c r="C957" s="1" t="s">
        <v>20086</v>
      </c>
      <c r="D957" s="7" t="str">
        <f>IFERROR(__xludf.DUMMYFUNCTION("GOOGLETRANSLATE(C957, ""en"", ""ar"")"),"المحتوى المعزز")</f>
        <v>المحتوى المعزز</v>
      </c>
      <c r="E957" s="7" t="str">
        <f>IFERROR(__xludf.DUMMYFUNCTION("GOOGLETRANSLATE(C957, ""en"", ""bg"")"),"Насърчавано съдържание")</f>
        <v>Насърчавано съдържание</v>
      </c>
      <c r="F957" s="6" t="s">
        <v>132</v>
      </c>
      <c r="G957" s="7" t="str">
        <f>IFERROR(__xludf.DUMMYFUNCTION("GOOGLETRANSLATE(C957, ""en"", ""cs"")"),"Propagovaný obsah")</f>
        <v>Propagovaný obsah</v>
      </c>
      <c r="H957" s="1" t="s">
        <v>20087</v>
      </c>
      <c r="I957" s="7" t="str">
        <f>IFERROR(__xludf.DUMMYFUNCTION("GOOGLETRANSLATE(C957, ""en"", ""de"")"),"Geförderter Inhalte")</f>
        <v>Geförderter Inhalte</v>
      </c>
      <c r="J957" s="6" t="s">
        <v>132</v>
      </c>
      <c r="K957" s="1" t="s">
        <v>20088</v>
      </c>
      <c r="L957" s="1" t="s">
        <v>20089</v>
      </c>
      <c r="M957" s="1" t="s">
        <v>20090</v>
      </c>
      <c r="N957" s="6" t="s">
        <v>132</v>
      </c>
      <c r="O957" s="6" t="s">
        <v>132</v>
      </c>
      <c r="P957" s="1" t="s">
        <v>20091</v>
      </c>
      <c r="Q957" s="1" t="s">
        <v>20092</v>
      </c>
      <c r="R957" s="1" t="s">
        <v>20093</v>
      </c>
      <c r="S957" s="6" t="s">
        <v>132</v>
      </c>
      <c r="T957" s="1" t="s">
        <v>20094</v>
      </c>
      <c r="U957" s="7" t="str">
        <f>IFERROR(__xludf.DUMMYFUNCTION("GOOGLETRANSLATE(C957, ""en"", ""ko"")"),"홍드 콘텐츠")</f>
        <v>홍드 콘텐츠</v>
      </c>
      <c r="V957" s="1" t="s">
        <v>20095</v>
      </c>
      <c r="W957" s="1" t="s">
        <v>20096</v>
      </c>
      <c r="X957" s="1" t="s">
        <v>20097</v>
      </c>
      <c r="Y957" s="11" t="s">
        <v>20098</v>
      </c>
      <c r="Z957" s="1" t="s">
        <v>20099</v>
      </c>
      <c r="AA957" s="7" t="str">
        <f>IFERROR(__xludf.DUMMYFUNCTION("GOOGLETRANSLATE(C957, ""en"", ""ro"")"),"A promovat conținutul")</f>
        <v>A promovat conținutul</v>
      </c>
      <c r="AB957" s="7" t="str">
        <f>IFERROR(__xludf.DUMMYFUNCTION("GOOGLETRANSLATE(C957, ""en"", ""ru"")"),"Продвигать содержание")</f>
        <v>Продвигать содержание</v>
      </c>
      <c r="AC957" s="7" t="str">
        <f>IFERROR(__xludf.DUMMYFUNCTION("GOOGLETRANSLATE(C957, ""en"", ""sk"")"),"Povýšený obsah")</f>
        <v>Povýšený obsah</v>
      </c>
      <c r="AD957" s="6" t="s">
        <v>132</v>
      </c>
      <c r="AE957" s="7" t="str">
        <f>IFERROR(__xludf.DUMMYFUNCTION("GOOGLETRANSLATE(C957, ""en"", ""sr"")"),"Промовисан садржај")</f>
        <v>Промовисан садржај</v>
      </c>
      <c r="AF957" s="11" t="s">
        <v>20100</v>
      </c>
      <c r="AG957" s="6" t="s">
        <v>132</v>
      </c>
      <c r="AH957" s="1" t="s">
        <v>20101</v>
      </c>
      <c r="AI957" s="6" t="s">
        <v>132</v>
      </c>
      <c r="AJ957" s="6" t="s">
        <v>132</v>
      </c>
      <c r="AK957" s="14" t="s">
        <v>20102</v>
      </c>
      <c r="AL957" s="6" t="s">
        <v>132</v>
      </c>
    </row>
    <row r="958" ht="15.75" customHeight="1">
      <c r="A958" s="1" t="s">
        <v>127</v>
      </c>
      <c r="B958" s="1" t="s">
        <v>20103</v>
      </c>
      <c r="C958" s="1" t="s">
        <v>20104</v>
      </c>
      <c r="D958" s="8" t="s">
        <v>20105</v>
      </c>
      <c r="E958" s="1" t="s">
        <v>20106</v>
      </c>
      <c r="F958" s="6" t="s">
        <v>132</v>
      </c>
      <c r="G958" s="1" t="s">
        <v>20107</v>
      </c>
      <c r="H958" s="1" t="s">
        <v>20108</v>
      </c>
      <c r="I958" s="1" t="s">
        <v>20109</v>
      </c>
      <c r="J958" s="6" t="s">
        <v>20110</v>
      </c>
      <c r="K958" s="1" t="s">
        <v>20111</v>
      </c>
      <c r="L958" s="1" t="s">
        <v>20112</v>
      </c>
      <c r="M958" s="1" t="s">
        <v>20113</v>
      </c>
      <c r="N958" s="6" t="s">
        <v>132</v>
      </c>
      <c r="O958" s="6" t="s">
        <v>20114</v>
      </c>
      <c r="P958" s="1" t="s">
        <v>20115</v>
      </c>
      <c r="Q958" s="1" t="s">
        <v>20116</v>
      </c>
      <c r="R958" s="1" t="s">
        <v>20117</v>
      </c>
      <c r="S958" s="10" t="s">
        <v>20118</v>
      </c>
      <c r="T958" s="1" t="s">
        <v>20119</v>
      </c>
      <c r="U958" s="1" t="s">
        <v>20120</v>
      </c>
      <c r="V958" s="1" t="s">
        <v>20116</v>
      </c>
      <c r="W958" s="1" t="s">
        <v>20121</v>
      </c>
      <c r="X958" s="1" t="s">
        <v>20122</v>
      </c>
      <c r="Y958" s="1" t="s">
        <v>20123</v>
      </c>
      <c r="Z958" s="1" t="s">
        <v>20124</v>
      </c>
      <c r="AA958" s="1" t="s">
        <v>20125</v>
      </c>
      <c r="AB958" s="1" t="s">
        <v>20126</v>
      </c>
      <c r="AC958" s="1" t="s">
        <v>20127</v>
      </c>
      <c r="AD958" s="6" t="s">
        <v>20128</v>
      </c>
      <c r="AE958" s="1" t="s">
        <v>20129</v>
      </c>
      <c r="AF958" s="1" t="s">
        <v>20130</v>
      </c>
      <c r="AG958" s="6" t="s">
        <v>20131</v>
      </c>
      <c r="AH958" s="1" t="s">
        <v>20132</v>
      </c>
      <c r="AI958" s="6" t="s">
        <v>132</v>
      </c>
      <c r="AJ958" s="6" t="s">
        <v>20133</v>
      </c>
      <c r="AK958" s="1" t="s">
        <v>20134</v>
      </c>
      <c r="AL958" s="6" t="s">
        <v>132</v>
      </c>
    </row>
    <row r="959" ht="15.75" hidden="1" customHeight="1">
      <c r="A959" s="1" t="s">
        <v>38</v>
      </c>
      <c r="B959" s="1" t="s">
        <v>20135</v>
      </c>
      <c r="C959" s="1" t="s">
        <v>20136</v>
      </c>
      <c r="D959" s="8" t="s">
        <v>20137</v>
      </c>
      <c r="E959" s="1" t="s">
        <v>20138</v>
      </c>
      <c r="F959" s="6" t="s">
        <v>20139</v>
      </c>
      <c r="G959" s="7" t="str">
        <f>IFERROR(__xludf.DUMMYFUNCTION("GOOGLETRANSLATE(C959, ""en"", ""cs"")"),"Konverzace využívá aplikace třetí strany")</f>
        <v>Konverzace využívá aplikace třetí strany</v>
      </c>
      <c r="H959" s="7" t="str">
        <f>IFERROR(__xludf.DUMMYFUNCTION("GOOGLETRANSLATE(C959, ""en"", ""da"")"),"Samtaler anvender en tredjepartsapp kaldet")</f>
        <v>Samtaler anvender en tredjepartsapp kaldet</v>
      </c>
      <c r="I959" s="1" t="s">
        <v>20140</v>
      </c>
      <c r="J959" s="6" t="s">
        <v>132</v>
      </c>
      <c r="K959" s="1" t="s">
        <v>20141</v>
      </c>
      <c r="L959" s="7" t="str">
        <f>IFERROR(__xludf.DUMMYFUNCTION("GOOGLETRANSLATE(C959, ""en"", ""fi"")"),"Keskustelut hyödyntävät kolmannen osapuolen sovellusta")</f>
        <v>Keskustelut hyödyntävät kolmannen osapuolen sovellusta</v>
      </c>
      <c r="M959" s="1" t="s">
        <v>20142</v>
      </c>
      <c r="N959" s="6" t="s">
        <v>20143</v>
      </c>
      <c r="O959" s="6" t="s">
        <v>132</v>
      </c>
      <c r="P959" s="1" t="s">
        <v>20144</v>
      </c>
      <c r="Q959" s="9" t="s">
        <v>20145</v>
      </c>
      <c r="R959" s="1" t="s">
        <v>20146</v>
      </c>
      <c r="S959" s="6" t="s">
        <v>132</v>
      </c>
      <c r="T959" s="1" t="s">
        <v>20147</v>
      </c>
      <c r="U959" s="1" t="s">
        <v>20148</v>
      </c>
      <c r="V959" s="7" t="str">
        <f>IFERROR(__xludf.DUMMYFUNCTION("GOOGLETRANSLATE(C959, ""en"", ""ms"")"),"Perbualan menggunakan aplikasi pihak ketiga yang dipanggil")</f>
        <v>Perbualan menggunakan aplikasi pihak ketiga yang dipanggil</v>
      </c>
      <c r="W959" s="1" t="s">
        <v>20149</v>
      </c>
      <c r="X959" s="7" t="str">
        <f>IFERROR(__xludf.DUMMYFUNCTION("GOOGLETRANSLATE(C959, ""en"", ""no"")"),"Samtaler benytter en tredjeparts app kalt")</f>
        <v>Samtaler benytter en tredjeparts app kalt</v>
      </c>
      <c r="Y959" s="1" t="s">
        <v>20150</v>
      </c>
      <c r="Z959" s="1" t="s">
        <v>20151</v>
      </c>
      <c r="AA959" s="7" t="str">
        <f>IFERROR(__xludf.DUMMYFUNCTION("GOOGLETRANSLATE(C959, ""en"", ""ro"")"),"Conversațiile utilizează o aplicație terță parte numită")</f>
        <v>Conversațiile utilizează o aplicație terță parte numită</v>
      </c>
      <c r="AB959" s="1" t="s">
        <v>20152</v>
      </c>
      <c r="AC959" s="1" t="s">
        <v>20153</v>
      </c>
      <c r="AD959" s="6" t="s">
        <v>132</v>
      </c>
      <c r="AE959" s="1" t="s">
        <v>20154</v>
      </c>
      <c r="AF959" s="1" t="s">
        <v>20155</v>
      </c>
      <c r="AG959" s="6" t="s">
        <v>132</v>
      </c>
      <c r="AH959" s="7" t="str">
        <f>IFERROR(__xludf.DUMMYFUNCTION("GOOGLETRANSLATE(C959, ""en"", ""tr"")"),"Konuşmalar denilen üçüncü taraf bir uygulamayı kullanıyor")</f>
        <v>Konuşmalar denilen üçüncü taraf bir uygulamayı kullanıyor</v>
      </c>
      <c r="AI959" s="6" t="s">
        <v>20156</v>
      </c>
      <c r="AJ959" s="6" t="s">
        <v>20157</v>
      </c>
      <c r="AK959" s="7" t="str">
        <f>IFERROR(__xludf.DUMMYFUNCTION("GOOGLETRANSLATE(C959, ""en"", ""zh"")"),"对话使用称为第三方应用程序")</f>
        <v>对话使用称为第三方应用程序</v>
      </c>
      <c r="AL959" s="6" t="s">
        <v>20158</v>
      </c>
    </row>
    <row r="960" ht="15.75" customHeight="1">
      <c r="A960" s="1" t="s">
        <v>127</v>
      </c>
      <c r="B960" s="1" t="s">
        <v>20159</v>
      </c>
      <c r="C960" s="1" t="s">
        <v>20160</v>
      </c>
      <c r="D960" s="8" t="s">
        <v>3429</v>
      </c>
      <c r="E960" s="1" t="s">
        <v>3430</v>
      </c>
      <c r="F960" s="6" t="s">
        <v>132</v>
      </c>
      <c r="G960" s="1" t="s">
        <v>20161</v>
      </c>
      <c r="H960" s="1" t="s">
        <v>20160</v>
      </c>
      <c r="I960" s="1" t="s">
        <v>20162</v>
      </c>
      <c r="J960" s="6" t="s">
        <v>20163</v>
      </c>
      <c r="K960" s="1" t="s">
        <v>20164</v>
      </c>
      <c r="L960" s="1" t="s">
        <v>20165</v>
      </c>
      <c r="M960" s="1" t="s">
        <v>20164</v>
      </c>
      <c r="N960" s="6" t="s">
        <v>132</v>
      </c>
      <c r="O960" s="6" t="s">
        <v>20166</v>
      </c>
      <c r="P960" s="1" t="s">
        <v>20167</v>
      </c>
      <c r="Q960" s="1" t="s">
        <v>20168</v>
      </c>
      <c r="R960" s="1" t="s">
        <v>20160</v>
      </c>
      <c r="S960" s="10" t="s">
        <v>3442</v>
      </c>
      <c r="T960" s="1" t="s">
        <v>20160</v>
      </c>
      <c r="U960" s="1" t="s">
        <v>3444</v>
      </c>
      <c r="V960" s="1" t="s">
        <v>20168</v>
      </c>
      <c r="W960" s="1" t="s">
        <v>20160</v>
      </c>
      <c r="X960" s="1" t="s">
        <v>20169</v>
      </c>
      <c r="Y960" s="1" t="s">
        <v>20170</v>
      </c>
      <c r="Z960" s="1" t="s">
        <v>3448</v>
      </c>
      <c r="AA960" s="1" t="s">
        <v>20164</v>
      </c>
      <c r="AB960" s="1" t="s">
        <v>20171</v>
      </c>
      <c r="AC960" s="1" t="s">
        <v>20160</v>
      </c>
      <c r="AD960" s="6" t="s">
        <v>20160</v>
      </c>
      <c r="AE960" s="1" t="s">
        <v>20172</v>
      </c>
      <c r="AF960" s="1" t="s">
        <v>20169</v>
      </c>
      <c r="AG960" s="6" t="s">
        <v>3453</v>
      </c>
      <c r="AH960" s="1" t="s">
        <v>14805</v>
      </c>
      <c r="AI960" s="6" t="s">
        <v>132</v>
      </c>
      <c r="AJ960" s="6" t="s">
        <v>20173</v>
      </c>
      <c r="AK960" s="1" t="s">
        <v>3456</v>
      </c>
      <c r="AL960" s="6" t="s">
        <v>3457</v>
      </c>
    </row>
    <row r="961" ht="15.75" hidden="1" customHeight="1">
      <c r="A961" s="1" t="s">
        <v>38</v>
      </c>
      <c r="B961" s="1" t="s">
        <v>20174</v>
      </c>
      <c r="C961" s="1" t="s">
        <v>20175</v>
      </c>
      <c r="D961" s="7" t="str">
        <f>IFERROR(__xludf.DUMMYFUNCTION("GOOGLETRANSLATE(C961, ""en"", ""ar"")"),"لاستخدام هذه الميزة، يجب عليك تسجيل الدخول للدردشة.")</f>
        <v>لاستخدام هذه الميزة، يجب عليك تسجيل الدخول للدردشة.</v>
      </c>
      <c r="E961" s="7" t="str">
        <f>IFERROR(__xludf.DUMMYFUNCTION("GOOGLETRANSLATE(C961, ""en"", ""bg"")"),"За да използвате тази функция, трябва да влезете в чата.")</f>
        <v>За да използвате тази функция, трябва да влезете в чата.</v>
      </c>
      <c r="F961" s="6" t="s">
        <v>132</v>
      </c>
      <c r="G961" s="7" t="str">
        <f>IFERROR(__xludf.DUMMYFUNCTION("GOOGLETRANSLATE(C961, ""en"", ""cs"")"),"Chcete-li použít tuto funkci, musíte se přihlásit k Chatu.")</f>
        <v>Chcete-li použít tuto funkci, musíte se přihlásit k Chatu.</v>
      </c>
      <c r="H961" s="7" t="str">
        <f>IFERROR(__xludf.DUMMYFUNCTION("GOOGLETRANSLATE(C961, ""en"", ""da"")"),"For at bruge denne funktion skal du logge ind på chat.")</f>
        <v>For at bruge denne funktion skal du logge ind på chat.</v>
      </c>
      <c r="I961" s="1" t="s">
        <v>20176</v>
      </c>
      <c r="J961" s="6" t="s">
        <v>132</v>
      </c>
      <c r="K961" s="1" t="s">
        <v>20177</v>
      </c>
      <c r="L961" s="7" t="str">
        <f>IFERROR(__xludf.DUMMYFUNCTION("GOOGLETRANSLATE(C961, ""en"", ""fi"")"),"Tämän ominaisuuden käyttäminen Sinun täytyy kirjautua keskusteluun.")</f>
        <v>Tämän ominaisuuden käyttäminen Sinun täytyy kirjautua keskusteluun.</v>
      </c>
      <c r="M961" s="1" t="s">
        <v>20178</v>
      </c>
      <c r="N961" s="6" t="s">
        <v>132</v>
      </c>
      <c r="O961" s="6" t="s">
        <v>132</v>
      </c>
      <c r="P961" s="1" t="s">
        <v>20179</v>
      </c>
      <c r="Q961" s="7" t="str">
        <f>IFERROR(__xludf.DUMMYFUNCTION("GOOGLETRANSLATE(C961, ""en"", ""in"")"),"Untuk menggunakan fitur ini, Anda harus masuk untuk mengobrol.")</f>
        <v>Untuk menggunakan fitur ini, Anda harus masuk untuk mengobrol.</v>
      </c>
      <c r="R961" s="7" t="str">
        <f>IFERROR(__xludf.DUMMYFUNCTION("GOOGLETRANSLATE(C961, ""en"", ""it"")"),"Per utilizzare questa funzione devi effettuare il login per chattare.")</f>
        <v>Per utilizzare questa funzione devi effettuare il login per chattare.</v>
      </c>
      <c r="S961" s="6" t="s">
        <v>132</v>
      </c>
      <c r="T961" s="7" t="str">
        <f>IFERROR(__xludf.DUMMYFUNCTION("GOOGLETRANSLATE(C961, ""en"", ""ja"")"),"この機能を使用するには、チャットにログインする必要があります。")</f>
        <v>この機能を使用するには、チャットにログインする必要があります。</v>
      </c>
      <c r="U961" s="7" t="str">
        <f>IFERROR(__xludf.DUMMYFUNCTION("GOOGLETRANSLATE(C961, ""en"", ""ko"")"),"이 기능을 사용하려면 채팅에 로그인해야합니다.")</f>
        <v>이 기능을 사용하려면 채팅에 로그인해야합니다.</v>
      </c>
      <c r="V961" s="7" t="str">
        <f>IFERROR(__xludf.DUMMYFUNCTION("GOOGLETRANSLATE(C961, ""en"", ""ms"")"),"Untuk menggunakan ciri ini, anda perlu log masuk untuk berbual.")</f>
        <v>Untuk menggunakan ciri ini, anda perlu log masuk untuk berbual.</v>
      </c>
      <c r="W961" s="7" t="str">
        <f>IFERROR(__xludf.DUMMYFUNCTION("GOOGLETRANSLATE(C961, ""en"", ""nl"")"),"Om deze functie te gebruiken, moet u inloggen om te chatten.")</f>
        <v>Om deze functie te gebruiken, moet u inloggen om te chatten.</v>
      </c>
      <c r="X961" s="7" t="str">
        <f>IFERROR(__xludf.DUMMYFUNCTION("GOOGLETRANSLATE(C961, ""en"", ""no"")"),"For å bruke denne funksjonen må du logge inn for å chatte.")</f>
        <v>For å bruke denne funksjonen må du logge inn for å chatte.</v>
      </c>
      <c r="Y961" s="7" t="str">
        <f>IFERROR(__xludf.DUMMYFUNCTION("GOOGLETRANSLATE(C961, ""en"", ""pl"")"),"Aby korzystać z tej funkcji, musisz się zalogować do czatu.")</f>
        <v>Aby korzystać z tej funkcji, musisz się zalogować do czatu.</v>
      </c>
      <c r="Z961" s="7" t="str">
        <f>IFERROR(__xludf.DUMMYFUNCTION("GOOGLETRANSLATE(C961, ""en"", ""pt"")"),"Para usar esse recurso, você precisa fazer o login para conversar.")</f>
        <v>Para usar esse recurso, você precisa fazer o login para conversar.</v>
      </c>
      <c r="AA961" s="7" t="str">
        <f>IFERROR(__xludf.DUMMYFUNCTION("GOOGLETRANSLATE(C961, ""en"", ""ro"")"),"Pentru a utiliza această caracteristică trebuie să vă conectați la chat.")</f>
        <v>Pentru a utiliza această caracteristică trebuie să vă conectați la chat.</v>
      </c>
      <c r="AB961" s="1" t="s">
        <v>20180</v>
      </c>
      <c r="AC961" s="7" t="str">
        <f>IFERROR(__xludf.DUMMYFUNCTION("GOOGLETRANSLATE(C961, ""en"", ""sk"")"),"Ak chcete použiť túto funkciu, musíte sa prihlásiť na chat.")</f>
        <v>Ak chcete použiť túto funkciu, musíte sa prihlásiť na chat.</v>
      </c>
      <c r="AD961" s="6" t="s">
        <v>132</v>
      </c>
      <c r="AE961" s="1" t="s">
        <v>20181</v>
      </c>
      <c r="AF961" s="7" t="str">
        <f>IFERROR(__xludf.DUMMYFUNCTION("GOOGLETRANSLATE(C961, ""en"", ""sv"")"),"För att använda den här funktionen måste du logga in för att chatta.")</f>
        <v>För att använda den här funktionen måste du logga in för att chatta.</v>
      </c>
      <c r="AG961" s="6" t="s">
        <v>132</v>
      </c>
      <c r="AH961" s="7" t="str">
        <f>IFERROR(__xludf.DUMMYFUNCTION("GOOGLETRANSLATE(C961, ""en"", ""tr"")"),"Bu özelliği kullanmak için sohbet etmek için giriş yapmanız gerekir.")</f>
        <v>Bu özelliği kullanmak için sohbet etmek için giriş yapmanız gerekir.</v>
      </c>
      <c r="AI961" s="6" t="s">
        <v>132</v>
      </c>
      <c r="AJ961" s="6" t="s">
        <v>132</v>
      </c>
      <c r="AK961" s="7" t="str">
        <f>IFERROR(__xludf.DUMMYFUNCTION("GOOGLETRANSLATE(C961, ""en"", ""zh"")"),"要使用此功能，您必须登录聊天。")</f>
        <v>要使用此功能，您必须登录聊天。</v>
      </c>
      <c r="AL961" s="6" t="s">
        <v>132</v>
      </c>
    </row>
    <row r="962" ht="15.75" hidden="1" customHeight="1">
      <c r="A962" s="1" t="s">
        <v>38</v>
      </c>
      <c r="B962" s="1" t="s">
        <v>20182</v>
      </c>
      <c r="C962" s="1" t="s">
        <v>20183</v>
      </c>
      <c r="D962" s="8" t="s">
        <v>20184</v>
      </c>
      <c r="E962" s="1" t="s">
        <v>20185</v>
      </c>
      <c r="F962" s="6" t="s">
        <v>20186</v>
      </c>
      <c r="G962" s="7" t="str">
        <f>IFERROR(__xludf.DUMMYFUNCTION("GOOGLETRANSLATE(C962, ""en"", ""cs"")"),"Vydavatelství ...")</f>
        <v>Vydavatelství ...</v>
      </c>
      <c r="H962" s="7" t="str">
        <f>IFERROR(__xludf.DUMMYFUNCTION("GOOGLETRANSLATE(C962, ""en"", ""da"")"),"Forlagsvirksomhed…")</f>
        <v>Forlagsvirksomhed…</v>
      </c>
      <c r="I962" s="1" t="s">
        <v>20187</v>
      </c>
      <c r="J962" s="6" t="s">
        <v>132</v>
      </c>
      <c r="K962" s="1" t="s">
        <v>20188</v>
      </c>
      <c r="L962" s="7" t="str">
        <f>IFERROR(__xludf.DUMMYFUNCTION("GOOGLETRANSLATE(C962, ""en"", ""fi"")"),"Julkaisu ...")</f>
        <v>Julkaisu ...</v>
      </c>
      <c r="M962" s="1" t="s">
        <v>20189</v>
      </c>
      <c r="N962" s="6" t="s">
        <v>20190</v>
      </c>
      <c r="O962" s="6" t="s">
        <v>132</v>
      </c>
      <c r="P962" s="1" t="s">
        <v>20191</v>
      </c>
      <c r="Q962" s="9" t="s">
        <v>20192</v>
      </c>
      <c r="R962" s="1" t="s">
        <v>20193</v>
      </c>
      <c r="S962" s="6" t="s">
        <v>132</v>
      </c>
      <c r="T962" s="1" t="s">
        <v>20194</v>
      </c>
      <c r="U962" s="1" t="s">
        <v>20195</v>
      </c>
      <c r="V962" s="7" t="str">
        <f>IFERROR(__xludf.DUMMYFUNCTION("GOOGLETRANSLATE(C962, ""en"", ""ms"")"),"Penerbitan ...")</f>
        <v>Penerbitan ...</v>
      </c>
      <c r="W962" s="1" t="s">
        <v>20196</v>
      </c>
      <c r="X962" s="7" t="str">
        <f>IFERROR(__xludf.DUMMYFUNCTION("GOOGLETRANSLATE(C962, ""en"", ""no"")"),"Publisering ...")</f>
        <v>Publisering ...</v>
      </c>
      <c r="Y962" s="1" t="s">
        <v>20197</v>
      </c>
      <c r="Z962" s="1" t="s">
        <v>20190</v>
      </c>
      <c r="AA962" s="7" t="str">
        <f>IFERROR(__xludf.DUMMYFUNCTION("GOOGLETRANSLATE(C962, ""en"", ""ro"")"),"Publicarea ...")</f>
        <v>Publicarea ...</v>
      </c>
      <c r="AB962" s="1" t="s">
        <v>20198</v>
      </c>
      <c r="AC962" s="1" t="s">
        <v>20199</v>
      </c>
      <c r="AD962" s="6" t="s">
        <v>132</v>
      </c>
      <c r="AE962" s="1" t="s">
        <v>20200</v>
      </c>
      <c r="AF962" s="1" t="s">
        <v>20201</v>
      </c>
      <c r="AG962" s="6" t="s">
        <v>132</v>
      </c>
      <c r="AH962" s="7" t="str">
        <f>IFERROR(__xludf.DUMMYFUNCTION("GOOGLETRANSLATE(C962, ""en"", ""tr"")"),"Yayıncılık ...")</f>
        <v>Yayıncılık ...</v>
      </c>
      <c r="AI962" s="6" t="s">
        <v>20202</v>
      </c>
      <c r="AJ962" s="6" t="s">
        <v>20203</v>
      </c>
      <c r="AK962" s="7" t="str">
        <f>IFERROR(__xludf.DUMMYFUNCTION("GOOGLETRANSLATE(C962, ""en"", ""zh"")"),"出版…")</f>
        <v>出版…</v>
      </c>
      <c r="AL962" s="6" t="s">
        <v>20204</v>
      </c>
    </row>
    <row r="963" ht="15.75" customHeight="1">
      <c r="A963" s="1" t="s">
        <v>127</v>
      </c>
      <c r="B963" s="1" t="s">
        <v>20205</v>
      </c>
      <c r="C963" s="1" t="s">
        <v>20206</v>
      </c>
      <c r="D963" s="8" t="s">
        <v>20207</v>
      </c>
      <c r="E963" s="1" t="s">
        <v>20208</v>
      </c>
      <c r="F963" s="6" t="s">
        <v>132</v>
      </c>
      <c r="G963" s="1" t="s">
        <v>20209</v>
      </c>
      <c r="H963" s="1" t="s">
        <v>20210</v>
      </c>
      <c r="I963" s="1" t="s">
        <v>972</v>
      </c>
      <c r="J963" s="6" t="s">
        <v>20211</v>
      </c>
      <c r="K963" s="1" t="s">
        <v>20212</v>
      </c>
      <c r="L963" s="1" t="s">
        <v>20213</v>
      </c>
      <c r="M963" s="1" t="s">
        <v>20214</v>
      </c>
      <c r="N963" s="6" t="s">
        <v>132</v>
      </c>
      <c r="O963" s="6" t="s">
        <v>20215</v>
      </c>
      <c r="P963" s="1" t="s">
        <v>20216</v>
      </c>
      <c r="Q963" s="1" t="s">
        <v>20217</v>
      </c>
      <c r="R963" s="1" t="s">
        <v>20218</v>
      </c>
      <c r="S963" s="10" t="s">
        <v>20219</v>
      </c>
      <c r="T963" s="1" t="s">
        <v>20220</v>
      </c>
      <c r="U963" s="1" t="s">
        <v>20221</v>
      </c>
      <c r="V963" s="1" t="s">
        <v>20222</v>
      </c>
      <c r="W963" s="1" t="s">
        <v>20223</v>
      </c>
      <c r="X963" s="1" t="s">
        <v>20224</v>
      </c>
      <c r="Y963" s="1" t="s">
        <v>20225</v>
      </c>
      <c r="Z963" s="1" t="s">
        <v>20226</v>
      </c>
      <c r="AA963" s="1" t="s">
        <v>20227</v>
      </c>
      <c r="AB963" s="1" t="s">
        <v>20228</v>
      </c>
      <c r="AC963" s="1" t="s">
        <v>20229</v>
      </c>
      <c r="AD963" s="6" t="s">
        <v>20230</v>
      </c>
      <c r="AE963" s="1" t="s">
        <v>20231</v>
      </c>
      <c r="AF963" s="1" t="s">
        <v>20232</v>
      </c>
      <c r="AG963" s="6" t="s">
        <v>20233</v>
      </c>
      <c r="AH963" s="1" t="s">
        <v>20234</v>
      </c>
      <c r="AI963" s="6" t="s">
        <v>132</v>
      </c>
      <c r="AJ963" s="6" t="s">
        <v>20235</v>
      </c>
      <c r="AK963" s="1" t="s">
        <v>20236</v>
      </c>
      <c r="AL963" s="6" t="s">
        <v>132</v>
      </c>
    </row>
    <row r="964" ht="15.75" customHeight="1">
      <c r="A964" s="1" t="s">
        <v>127</v>
      </c>
      <c r="B964" s="1" t="s">
        <v>20237</v>
      </c>
      <c r="C964" s="1" t="s">
        <v>20238</v>
      </c>
      <c r="D964" s="8" t="s">
        <v>20239</v>
      </c>
      <c r="E964" s="1" t="s">
        <v>20240</v>
      </c>
      <c r="F964" s="6" t="s">
        <v>132</v>
      </c>
      <c r="G964" s="1" t="s">
        <v>20241</v>
      </c>
      <c r="H964" s="1" t="s">
        <v>20238</v>
      </c>
      <c r="I964" s="1" t="s">
        <v>20242</v>
      </c>
      <c r="J964" s="6" t="s">
        <v>20243</v>
      </c>
      <c r="K964" s="1" t="s">
        <v>20244</v>
      </c>
      <c r="L964" s="1" t="s">
        <v>20245</v>
      </c>
      <c r="M964" s="1" t="s">
        <v>20238</v>
      </c>
      <c r="N964" s="6" t="s">
        <v>132</v>
      </c>
      <c r="O964" s="6" t="s">
        <v>20246</v>
      </c>
      <c r="P964" s="1" t="s">
        <v>20247</v>
      </c>
      <c r="Q964" s="1" t="s">
        <v>20248</v>
      </c>
      <c r="R964" s="1" t="s">
        <v>20249</v>
      </c>
      <c r="S964" s="6" t="s">
        <v>20238</v>
      </c>
      <c r="T964" s="1" t="s">
        <v>20250</v>
      </c>
      <c r="U964" s="1" t="s">
        <v>20251</v>
      </c>
      <c r="V964" s="1" t="s">
        <v>20248</v>
      </c>
      <c r="W964" s="1" t="s">
        <v>4102</v>
      </c>
      <c r="X964" s="1" t="s">
        <v>20252</v>
      </c>
      <c r="Y964" s="1" t="s">
        <v>20253</v>
      </c>
      <c r="Z964" s="1" t="s">
        <v>20254</v>
      </c>
      <c r="AA964" s="1" t="s">
        <v>20255</v>
      </c>
      <c r="AB964" s="1" t="s">
        <v>20256</v>
      </c>
      <c r="AC964" s="1" t="s">
        <v>20257</v>
      </c>
      <c r="AD964" s="6" t="s">
        <v>20238</v>
      </c>
      <c r="AE964" s="1" t="s">
        <v>20258</v>
      </c>
      <c r="AF964" s="1" t="s">
        <v>20238</v>
      </c>
      <c r="AG964" s="6" t="s">
        <v>20259</v>
      </c>
      <c r="AH964" s="1" t="s">
        <v>20260</v>
      </c>
      <c r="AI964" s="6" t="s">
        <v>132</v>
      </c>
      <c r="AJ964" s="6" t="s">
        <v>20261</v>
      </c>
      <c r="AK964" s="1" t="s">
        <v>20262</v>
      </c>
      <c r="AL964" s="6" t="s">
        <v>20263</v>
      </c>
    </row>
    <row r="965" ht="15.75" customHeight="1">
      <c r="A965" s="1" t="s">
        <v>127</v>
      </c>
      <c r="B965" s="1" t="s">
        <v>20264</v>
      </c>
      <c r="C965" s="1" t="s">
        <v>20265</v>
      </c>
      <c r="D965" s="8" t="s">
        <v>13640</v>
      </c>
      <c r="E965" s="1" t="s">
        <v>20266</v>
      </c>
      <c r="F965" s="6" t="s">
        <v>132</v>
      </c>
      <c r="G965" s="1" t="s">
        <v>20267</v>
      </c>
      <c r="H965" s="1" t="s">
        <v>20265</v>
      </c>
      <c r="I965" s="1" t="s">
        <v>20265</v>
      </c>
      <c r="J965" s="6" t="s">
        <v>20265</v>
      </c>
      <c r="K965" s="1" t="s">
        <v>20265</v>
      </c>
      <c r="L965" s="1" t="s">
        <v>20265</v>
      </c>
      <c r="M965" s="1" t="s">
        <v>20268</v>
      </c>
      <c r="N965" s="6" t="s">
        <v>132</v>
      </c>
      <c r="O965" s="6" t="s">
        <v>13649</v>
      </c>
      <c r="P965" s="1" t="s">
        <v>20265</v>
      </c>
      <c r="Q965" s="1" t="s">
        <v>20269</v>
      </c>
      <c r="R965" s="1" t="s">
        <v>20265</v>
      </c>
      <c r="S965" s="10" t="s">
        <v>20270</v>
      </c>
      <c r="T965" s="1" t="s">
        <v>20271</v>
      </c>
      <c r="U965" s="1" t="s">
        <v>20272</v>
      </c>
      <c r="V965" s="1" t="s">
        <v>20273</v>
      </c>
      <c r="W965" s="1" t="s">
        <v>20265</v>
      </c>
      <c r="X965" s="1" t="s">
        <v>20274</v>
      </c>
      <c r="Y965" s="1" t="s">
        <v>20275</v>
      </c>
      <c r="Z965" s="1" t="s">
        <v>20265</v>
      </c>
      <c r="AA965" s="1" t="s">
        <v>20276</v>
      </c>
      <c r="AB965" s="1" t="s">
        <v>20277</v>
      </c>
      <c r="AC965" s="1" t="s">
        <v>20278</v>
      </c>
      <c r="AD965" s="6" t="s">
        <v>20279</v>
      </c>
      <c r="AE965" s="1" t="s">
        <v>20265</v>
      </c>
      <c r="AF965" s="1" t="s">
        <v>20265</v>
      </c>
      <c r="AG965" s="6" t="s">
        <v>20265</v>
      </c>
      <c r="AH965" s="1" t="s">
        <v>20280</v>
      </c>
      <c r="AI965" s="6" t="s">
        <v>132</v>
      </c>
      <c r="AJ965" s="6" t="s">
        <v>3091</v>
      </c>
      <c r="AK965" s="1" t="s">
        <v>20281</v>
      </c>
      <c r="AL965" s="6" t="s">
        <v>20282</v>
      </c>
    </row>
    <row r="966" ht="15.75" customHeight="1">
      <c r="A966" s="1" t="s">
        <v>127</v>
      </c>
      <c r="B966" s="1" t="s">
        <v>20283</v>
      </c>
      <c r="C966" s="1" t="s">
        <v>20284</v>
      </c>
      <c r="D966" s="8" t="s">
        <v>20285</v>
      </c>
      <c r="E966" s="1" t="s">
        <v>20286</v>
      </c>
      <c r="F966" s="6" t="s">
        <v>132</v>
      </c>
      <c r="G966" s="1" t="s">
        <v>20287</v>
      </c>
      <c r="H966" s="1" t="s">
        <v>20288</v>
      </c>
      <c r="I966" s="1" t="s">
        <v>20289</v>
      </c>
      <c r="J966" s="6" t="s">
        <v>20290</v>
      </c>
      <c r="K966" s="1" t="s">
        <v>20291</v>
      </c>
      <c r="L966" s="1" t="s">
        <v>20292</v>
      </c>
      <c r="M966" s="1" t="s">
        <v>20293</v>
      </c>
      <c r="N966" s="6" t="s">
        <v>132</v>
      </c>
      <c r="O966" s="6" t="s">
        <v>20294</v>
      </c>
      <c r="P966" s="1" t="s">
        <v>20295</v>
      </c>
      <c r="Q966" s="1" t="s">
        <v>20296</v>
      </c>
      <c r="R966" s="1" t="s">
        <v>20297</v>
      </c>
      <c r="S966" s="10" t="s">
        <v>20298</v>
      </c>
      <c r="T966" s="1" t="s">
        <v>7335</v>
      </c>
      <c r="U966" s="1" t="s">
        <v>20299</v>
      </c>
      <c r="V966" s="1" t="s">
        <v>20300</v>
      </c>
      <c r="W966" s="1" t="s">
        <v>20301</v>
      </c>
      <c r="X966" s="1" t="s">
        <v>20288</v>
      </c>
      <c r="Y966" s="1" t="s">
        <v>20302</v>
      </c>
      <c r="Z966" s="1" t="s">
        <v>20303</v>
      </c>
      <c r="AA966" s="1" t="s">
        <v>20304</v>
      </c>
      <c r="AB966" s="1" t="s">
        <v>20305</v>
      </c>
      <c r="AC966" s="1" t="s">
        <v>20306</v>
      </c>
      <c r="AD966" s="6" t="s">
        <v>20307</v>
      </c>
      <c r="AE966" s="1" t="s">
        <v>20308</v>
      </c>
      <c r="AF966" s="1" t="s">
        <v>20309</v>
      </c>
      <c r="AG966" s="6" t="s">
        <v>20310</v>
      </c>
      <c r="AH966" s="1" t="s">
        <v>20311</v>
      </c>
      <c r="AI966" s="6" t="s">
        <v>132</v>
      </c>
      <c r="AJ966" s="6" t="s">
        <v>20312</v>
      </c>
      <c r="AK966" s="1" t="s">
        <v>20313</v>
      </c>
      <c r="AL966" s="6" t="s">
        <v>132</v>
      </c>
    </row>
    <row r="967" ht="15.75" hidden="1" customHeight="1">
      <c r="A967" s="1" t="s">
        <v>38</v>
      </c>
      <c r="B967" s="1" t="s">
        <v>20314</v>
      </c>
      <c r="C967" s="1" t="s">
        <v>20315</v>
      </c>
      <c r="D967" s="7" t="str">
        <f>IFERROR(__xludf.DUMMYFUNCTION("GOOGLETRANSLATE(C967, ""en"", ""ar"")"),"اتصال")</f>
        <v>اتصال</v>
      </c>
      <c r="E967" s="1" t="s">
        <v>20316</v>
      </c>
      <c r="F967" s="6" t="s">
        <v>20317</v>
      </c>
      <c r="G967" s="7" t="str">
        <f>IFERROR(__xludf.DUMMYFUNCTION("GOOGLETRANSLATE(C967, ""en"", ""cs"")"),"Kontakt")</f>
        <v>Kontakt</v>
      </c>
      <c r="H967" s="7" t="str">
        <f>IFERROR(__xludf.DUMMYFUNCTION("GOOGLETRANSLATE(C967, ""en"", ""da"")"),"Kontakt")</f>
        <v>Kontakt</v>
      </c>
      <c r="I967" s="1" t="s">
        <v>20318</v>
      </c>
      <c r="J967" s="6" t="s">
        <v>132</v>
      </c>
      <c r="K967" s="1" t="s">
        <v>20319</v>
      </c>
      <c r="L967" s="7" t="str">
        <f>IFERROR(__xludf.DUMMYFUNCTION("GOOGLETRANSLATE(C967, ""en"", ""fi"")"),"Ottaa yhteyttä")</f>
        <v>Ottaa yhteyttä</v>
      </c>
      <c r="M967" s="1" t="s">
        <v>20315</v>
      </c>
      <c r="N967" s="6" t="s">
        <v>20319</v>
      </c>
      <c r="O967" s="6" t="s">
        <v>132</v>
      </c>
      <c r="P967" s="1" t="s">
        <v>114</v>
      </c>
      <c r="Q967" s="7" t="str">
        <f>IFERROR(__xludf.DUMMYFUNCTION("GOOGLETRANSLATE(C967, ""en"", ""in"")"),"Kontak")</f>
        <v>Kontak</v>
      </c>
      <c r="R967" s="1" t="s">
        <v>20320</v>
      </c>
      <c r="S967" s="6" t="s">
        <v>132</v>
      </c>
      <c r="T967" s="1" t="s">
        <v>7199</v>
      </c>
      <c r="U967" s="7" t="str">
        <f>IFERROR(__xludf.DUMMYFUNCTION("GOOGLETRANSLATE(C967, ""en"", ""ko"")"),"접촉")</f>
        <v>접촉</v>
      </c>
      <c r="V967" s="7" t="str">
        <f>IFERROR(__xludf.DUMMYFUNCTION("GOOGLETRANSLATE(C967, ""en"", ""ms"")"),"Hubungi")</f>
        <v>Hubungi</v>
      </c>
      <c r="W967" s="1" t="s">
        <v>20315</v>
      </c>
      <c r="X967" s="7" t="str">
        <f>IFERROR(__xludf.DUMMYFUNCTION("GOOGLETRANSLATE(C967, ""en"", ""no"")"),"Ta kontakt med")</f>
        <v>Ta kontakt med</v>
      </c>
      <c r="Y967" s="1" t="s">
        <v>20318</v>
      </c>
      <c r="Z967" s="1" t="s">
        <v>20319</v>
      </c>
      <c r="AA967" s="7" t="str">
        <f>IFERROR(__xludf.DUMMYFUNCTION("GOOGLETRANSLATE(C967, ""en"", ""ro"")"),"a lua legatura")</f>
        <v>a lua legatura</v>
      </c>
      <c r="AB967" s="1" t="s">
        <v>20316</v>
      </c>
      <c r="AC967" s="7" t="str">
        <f>IFERROR(__xludf.DUMMYFUNCTION("GOOGLETRANSLATE(C967, ""en"", ""sk"")"),"Kontakt")</f>
        <v>Kontakt</v>
      </c>
      <c r="AD967" s="6" t="s">
        <v>132</v>
      </c>
      <c r="AE967" s="1" t="s">
        <v>20316</v>
      </c>
      <c r="AF967" s="7" t="str">
        <f>IFERROR(__xludf.DUMMYFUNCTION("GOOGLETRANSLATE(C967, ""en"", ""sv"")"),"Kontakt")</f>
        <v>Kontakt</v>
      </c>
      <c r="AG967" s="6" t="s">
        <v>132</v>
      </c>
      <c r="AH967" s="7" t="str">
        <f>IFERROR(__xludf.DUMMYFUNCTION("GOOGLETRANSLATE(C967, ""en"", ""tr"")"),"İletişim")</f>
        <v>İletişim</v>
      </c>
      <c r="AI967" s="6" t="s">
        <v>132</v>
      </c>
      <c r="AJ967" s="6" t="s">
        <v>132</v>
      </c>
      <c r="AK967" s="7" t="str">
        <f>IFERROR(__xludf.DUMMYFUNCTION("GOOGLETRANSLATE(C967, ""en"", ""zh"")"),"接触")</f>
        <v>接触</v>
      </c>
      <c r="AL967" s="6" t="s">
        <v>132</v>
      </c>
    </row>
    <row r="968" ht="15.75" hidden="1" customHeight="1">
      <c r="A968" s="1" t="s">
        <v>38</v>
      </c>
      <c r="B968" s="1" t="s">
        <v>20321</v>
      </c>
      <c r="C968" s="1" t="s">
        <v>20322</v>
      </c>
      <c r="D968" s="8" t="s">
        <v>20323</v>
      </c>
      <c r="E968" s="1" t="s">
        <v>20324</v>
      </c>
      <c r="F968" s="6" t="s">
        <v>20325</v>
      </c>
      <c r="G968" s="7" t="str">
        <f>IFERROR(__xludf.DUMMYFUNCTION("GOOGLETRANSLATE(C968, ""en"", ""cs"")"),"Vytváření skupinového chatu ...")</f>
        <v>Vytváření skupinového chatu ...</v>
      </c>
      <c r="H968" s="7" t="str">
        <f>IFERROR(__xludf.DUMMYFUNCTION("GOOGLETRANSLATE(C968, ""en"", ""da"")"),"Oprettelse af gruppe chat ...")</f>
        <v>Oprettelse af gruppe chat ...</v>
      </c>
      <c r="I968" s="1" t="s">
        <v>20326</v>
      </c>
      <c r="J968" s="6" t="s">
        <v>132</v>
      </c>
      <c r="K968" s="1" t="s">
        <v>20327</v>
      </c>
      <c r="L968" s="7" t="str">
        <f>IFERROR(__xludf.DUMMYFUNCTION("GOOGLETRANSLATE(C968, ""en"", ""fi"")"),"Ryhmäkeskustelun luominen ...")</f>
        <v>Ryhmäkeskustelun luominen ...</v>
      </c>
      <c r="M968" s="1" t="s">
        <v>20328</v>
      </c>
      <c r="N968" s="6" t="s">
        <v>20329</v>
      </c>
      <c r="O968" s="6" t="s">
        <v>132</v>
      </c>
      <c r="P968" s="1" t="s">
        <v>20330</v>
      </c>
      <c r="Q968" s="7" t="str">
        <f>IFERROR(__xludf.DUMMYFUNCTION("GOOGLETRANSLATE(C968, ""en"", ""in"")"),"Membuat Obrolan Kelompok ...")</f>
        <v>Membuat Obrolan Kelompok ...</v>
      </c>
      <c r="R968" s="1" t="s">
        <v>20331</v>
      </c>
      <c r="S968" s="6" t="s">
        <v>132</v>
      </c>
      <c r="T968" s="1" t="s">
        <v>20332</v>
      </c>
      <c r="U968" s="7" t="str">
        <f>IFERROR(__xludf.DUMMYFUNCTION("GOOGLETRANSLATE(C968, ""en"", ""ko"")"),"그룹 채팅 만들기 ...")</f>
        <v>그룹 채팅 만들기 ...</v>
      </c>
      <c r="V968" s="7" t="str">
        <f>IFERROR(__xludf.DUMMYFUNCTION("GOOGLETRANSLATE(C968, ""en"", ""ms"")"),"Mewujudkan sembang kumpulan ...")</f>
        <v>Mewujudkan sembang kumpulan ...</v>
      </c>
      <c r="W968" s="1" t="s">
        <v>20333</v>
      </c>
      <c r="X968" s="7" t="str">
        <f>IFERROR(__xludf.DUMMYFUNCTION("GOOGLETRANSLATE(C968, ""en"", ""no"")"),"Opprette gruppe chat ...")</f>
        <v>Opprette gruppe chat ...</v>
      </c>
      <c r="Y968" s="1" t="s">
        <v>20334</v>
      </c>
      <c r="Z968" s="1" t="s">
        <v>20335</v>
      </c>
      <c r="AA968" s="7" t="str">
        <f>IFERROR(__xludf.DUMMYFUNCTION("GOOGLETRANSLATE(C968, ""en"", ""ro"")"),"Crearea de chat de grup ...")</f>
        <v>Crearea de chat de grup ...</v>
      </c>
      <c r="AB968" s="1" t="s">
        <v>20336</v>
      </c>
      <c r="AC968" s="7" t="str">
        <f>IFERROR(__xludf.DUMMYFUNCTION("GOOGLETRANSLATE(C968, ""en"", ""sk"")"),"Vytvorenie skupiny Chat ...")</f>
        <v>Vytvorenie skupiny Chat ...</v>
      </c>
      <c r="AD968" s="6" t="s">
        <v>132</v>
      </c>
      <c r="AE968" s="1" t="s">
        <v>20337</v>
      </c>
      <c r="AF968" s="7" t="str">
        <f>IFERROR(__xludf.DUMMYFUNCTION("GOOGLETRANSLATE(C968, ""en"", ""sv"")"),"Skapa gruppchatt ...")</f>
        <v>Skapa gruppchatt ...</v>
      </c>
      <c r="AG968" s="6" t="s">
        <v>132</v>
      </c>
      <c r="AH968" s="7" t="str">
        <f>IFERROR(__xludf.DUMMYFUNCTION("GOOGLETRANSLATE(C968, ""en"", ""tr"")"),"Grup Sohbeti Oluşturma ...")</f>
        <v>Grup Sohbeti Oluşturma ...</v>
      </c>
      <c r="AI968" s="6" t="s">
        <v>132</v>
      </c>
      <c r="AJ968" s="6" t="s">
        <v>132</v>
      </c>
      <c r="AK968" s="7" t="str">
        <f>IFERROR(__xludf.DUMMYFUNCTION("GOOGLETRANSLATE(C968, ""en"", ""zh"")"),"创建组聊天...")</f>
        <v>创建组聊天...</v>
      </c>
      <c r="AL968" s="6" t="s">
        <v>132</v>
      </c>
    </row>
    <row r="969" ht="15.75" customHeight="1">
      <c r="A969" s="1" t="s">
        <v>127</v>
      </c>
      <c r="B969" s="1" t="s">
        <v>20338</v>
      </c>
      <c r="C969" s="1" t="s">
        <v>20339</v>
      </c>
      <c r="D969" s="8" t="s">
        <v>20340</v>
      </c>
      <c r="E969" s="1" t="s">
        <v>20341</v>
      </c>
      <c r="F969" s="6" t="s">
        <v>132</v>
      </c>
      <c r="G969" s="1" t="s">
        <v>20342</v>
      </c>
      <c r="H969" s="1" t="s">
        <v>20343</v>
      </c>
      <c r="I969" s="1" t="s">
        <v>20344</v>
      </c>
      <c r="J969" s="6" t="s">
        <v>20345</v>
      </c>
      <c r="K969" s="1" t="s">
        <v>20346</v>
      </c>
      <c r="L969" s="1" t="s">
        <v>20347</v>
      </c>
      <c r="M969" s="1" t="s">
        <v>20348</v>
      </c>
      <c r="N969" s="6" t="s">
        <v>132</v>
      </c>
      <c r="O969" s="6" t="s">
        <v>20349</v>
      </c>
      <c r="P969" s="1" t="s">
        <v>20350</v>
      </c>
      <c r="Q969" s="1" t="s">
        <v>20351</v>
      </c>
      <c r="R969" s="1" t="s">
        <v>20352</v>
      </c>
      <c r="S969" s="10" t="s">
        <v>20353</v>
      </c>
      <c r="T969" s="1" t="s">
        <v>17631</v>
      </c>
      <c r="U969" s="1" t="s">
        <v>20354</v>
      </c>
      <c r="V969" s="1" t="s">
        <v>20351</v>
      </c>
      <c r="W969" s="1" t="s">
        <v>20355</v>
      </c>
      <c r="X969" s="1" t="s">
        <v>20356</v>
      </c>
      <c r="Y969" s="1" t="s">
        <v>20357</v>
      </c>
      <c r="Z969" s="1" t="s">
        <v>20358</v>
      </c>
      <c r="AA969" s="1" t="s">
        <v>20359</v>
      </c>
      <c r="AB969" s="1" t="s">
        <v>20360</v>
      </c>
      <c r="AC969" s="1" t="s">
        <v>20361</v>
      </c>
      <c r="AD969" s="6" t="s">
        <v>20362</v>
      </c>
      <c r="AE969" s="1" t="s">
        <v>20363</v>
      </c>
      <c r="AF969" s="1" t="s">
        <v>20356</v>
      </c>
      <c r="AG969" s="6" t="s">
        <v>20364</v>
      </c>
      <c r="AH969" s="1" t="s">
        <v>20365</v>
      </c>
      <c r="AI969" s="6" t="s">
        <v>132</v>
      </c>
      <c r="AJ969" s="6" t="s">
        <v>20366</v>
      </c>
      <c r="AK969" s="1" t="s">
        <v>20367</v>
      </c>
      <c r="AL969" s="6" t="s">
        <v>20368</v>
      </c>
    </row>
    <row r="970" ht="15.75" hidden="1" customHeight="1">
      <c r="A970" s="1" t="s">
        <v>38</v>
      </c>
      <c r="B970" s="1" t="s">
        <v>20369</v>
      </c>
      <c r="C970" s="1" t="s">
        <v>20370</v>
      </c>
      <c r="D970" s="8" t="s">
        <v>20371</v>
      </c>
      <c r="E970" s="1" t="s">
        <v>20372</v>
      </c>
      <c r="F970" s="6" t="s">
        <v>20373</v>
      </c>
      <c r="G970" s="7" t="str">
        <f>IFERROR(__xludf.DUMMYFUNCTION("GOOGLETRANSLATE(C970, ""en"", ""cs"")"),"Dočasně vypnout")</f>
        <v>Dočasně vypnout</v>
      </c>
      <c r="H970" s="7" t="str">
        <f>IFERROR(__xludf.DUMMYFUNCTION("GOOGLETRANSLATE(C970, ""en"", ""da"")"),"Midlertidigt deaktivere")</f>
        <v>Midlertidigt deaktivere</v>
      </c>
      <c r="I970" s="1" t="s">
        <v>20374</v>
      </c>
      <c r="J970" s="6" t="s">
        <v>132</v>
      </c>
      <c r="K970" s="1" t="s">
        <v>20375</v>
      </c>
      <c r="L970" s="7" t="str">
        <f>IFERROR(__xludf.DUMMYFUNCTION("GOOGLETRANSLATE(C970, ""en"", ""fi"")"),"Poista väliaikaisesti käytöstä")</f>
        <v>Poista väliaikaisesti käytöstä</v>
      </c>
      <c r="M970" s="1" t="s">
        <v>20376</v>
      </c>
      <c r="N970" s="6" t="s">
        <v>20377</v>
      </c>
      <c r="O970" s="6" t="s">
        <v>132</v>
      </c>
      <c r="P970" s="1" t="s">
        <v>20378</v>
      </c>
      <c r="Q970" s="9" t="s">
        <v>1467</v>
      </c>
      <c r="R970" s="1" t="s">
        <v>20379</v>
      </c>
      <c r="S970" s="6" t="s">
        <v>132</v>
      </c>
      <c r="T970" s="1" t="s">
        <v>20380</v>
      </c>
      <c r="U970" s="1" t="s">
        <v>1470</v>
      </c>
      <c r="V970" s="7" t="str">
        <f>IFERROR(__xludf.DUMMYFUNCTION("GOOGLETRANSLATE(C970, ""en"", ""ms"")"),"Melumpuhkan sementara")</f>
        <v>Melumpuhkan sementara</v>
      </c>
      <c r="W970" s="1" t="s">
        <v>20381</v>
      </c>
      <c r="X970" s="7" t="str">
        <f>IFERROR(__xludf.DUMMYFUNCTION("GOOGLETRANSLATE(C970, ""en"", ""no"")"),"Deaktiver midlertidig")</f>
        <v>Deaktiver midlertidig</v>
      </c>
      <c r="Y970" s="1" t="s">
        <v>20382</v>
      </c>
      <c r="Z970" s="1" t="s">
        <v>20383</v>
      </c>
      <c r="AA970" s="7" t="str">
        <f>IFERROR(__xludf.DUMMYFUNCTION("GOOGLETRANSLATE(C970, ""en"", ""ro"")"),"Dezactivați temporar.")</f>
        <v>Dezactivați temporar.</v>
      </c>
      <c r="AB970" s="1" t="s">
        <v>20384</v>
      </c>
      <c r="AC970" s="1" t="s">
        <v>20385</v>
      </c>
      <c r="AD970" s="6" t="s">
        <v>132</v>
      </c>
      <c r="AE970" s="1" t="s">
        <v>20386</v>
      </c>
      <c r="AF970" s="1" t="s">
        <v>20387</v>
      </c>
      <c r="AG970" s="6" t="s">
        <v>132</v>
      </c>
      <c r="AH970" s="7" t="str">
        <f>IFERROR(__xludf.DUMMYFUNCTION("GOOGLETRANSLATE(C970, ""en"", ""tr"")"),"Geçici olarak devre dışı bırak")</f>
        <v>Geçici olarak devre dışı bırak</v>
      </c>
      <c r="AI970" s="6" t="s">
        <v>20388</v>
      </c>
      <c r="AJ970" s="6" t="s">
        <v>1479</v>
      </c>
      <c r="AK970" s="7" t="str">
        <f>IFERROR(__xludf.DUMMYFUNCTION("GOOGLETRANSLATE(C970, ""en"", ""zh"")"),"暂时禁用")</f>
        <v>暂时禁用</v>
      </c>
      <c r="AL970" s="6" t="s">
        <v>1480</v>
      </c>
    </row>
    <row r="971" ht="15.75" hidden="1" customHeight="1">
      <c r="A971" s="1" t="s">
        <v>38</v>
      </c>
      <c r="B971" s="1" t="s">
        <v>20389</v>
      </c>
      <c r="C971" s="1" t="s">
        <v>20390</v>
      </c>
      <c r="D971" s="8" t="s">
        <v>20391</v>
      </c>
      <c r="E971" s="1" t="s">
        <v>20392</v>
      </c>
      <c r="F971" s="6" t="s">
        <v>20393</v>
      </c>
      <c r="G971" s="7" t="str">
        <f>IFERROR(__xludf.DUMMYFUNCTION("GOOGLETRANSLATE(C971, ""en"", ""cs"")"),"OpenPGP šifrovaná zpráva")</f>
        <v>OpenPGP šifrovaná zpráva</v>
      </c>
      <c r="H971" s="7" t="str">
        <f>IFERROR(__xludf.DUMMYFUNCTION("GOOGLETRANSLATE(C971, ""en"", ""da"")"),"OpenPGP krypteret besked")</f>
        <v>OpenPGP krypteret besked</v>
      </c>
      <c r="I971" s="1" t="s">
        <v>20394</v>
      </c>
      <c r="J971" s="6" t="s">
        <v>132</v>
      </c>
      <c r="K971" s="1" t="s">
        <v>20395</v>
      </c>
      <c r="L971" s="7" t="str">
        <f>IFERROR(__xludf.DUMMYFUNCTION("GOOGLETRANSLATE(C971, ""en"", ""fi"")"),"OpenPGP-salattu viesti")</f>
        <v>OpenPGP-salattu viesti</v>
      </c>
      <c r="M971" s="1" t="s">
        <v>20396</v>
      </c>
      <c r="N971" s="6" t="s">
        <v>20397</v>
      </c>
      <c r="O971" s="6" t="s">
        <v>132</v>
      </c>
      <c r="P971" s="1" t="s">
        <v>20398</v>
      </c>
      <c r="Q971" s="9" t="s">
        <v>20399</v>
      </c>
      <c r="R971" s="1" t="s">
        <v>20400</v>
      </c>
      <c r="S971" s="6" t="s">
        <v>132</v>
      </c>
      <c r="T971" s="1" t="s">
        <v>20401</v>
      </c>
      <c r="U971" s="1" t="s">
        <v>20402</v>
      </c>
      <c r="V971" s="7" t="str">
        <f>IFERROR(__xludf.DUMMYFUNCTION("GOOGLETRANSLATE(C971, ""en"", ""ms"")"),"OpenPGP mesej yang disulitkan")</f>
        <v>OpenPGP mesej yang disulitkan</v>
      </c>
      <c r="W971" s="1" t="s">
        <v>20403</v>
      </c>
      <c r="X971" s="7" t="str">
        <f>IFERROR(__xludf.DUMMYFUNCTION("GOOGLETRANSLATE(C971, ""en"", ""no"")"),"OpenPGP kryptert melding")</f>
        <v>OpenPGP kryptert melding</v>
      </c>
      <c r="Y971" s="1" t="s">
        <v>20404</v>
      </c>
      <c r="Z971" s="1" t="s">
        <v>20405</v>
      </c>
      <c r="AA971" s="7" t="str">
        <f>IFERROR(__xludf.DUMMYFUNCTION("GOOGLETRANSLATE(C971, ""en"", ""ro"")"),"OpenPGP Mesaj criptat")</f>
        <v>OpenPGP Mesaj criptat</v>
      </c>
      <c r="AB971" s="1" t="s">
        <v>11426</v>
      </c>
      <c r="AC971" s="7" t="str">
        <f>IFERROR(__xludf.DUMMYFUNCTION("GOOGLETRANSLATE(C971, ""en"", ""sk"")"),"OpenPGP šifrovaná správa")</f>
        <v>OpenPGP šifrovaná správa</v>
      </c>
      <c r="AD971" s="6" t="s">
        <v>132</v>
      </c>
      <c r="AE971" s="1" t="s">
        <v>20406</v>
      </c>
      <c r="AF971" s="1" t="s">
        <v>20407</v>
      </c>
      <c r="AG971" s="6" t="s">
        <v>132</v>
      </c>
      <c r="AH971" s="7" t="str">
        <f>IFERROR(__xludf.DUMMYFUNCTION("GOOGLETRANSLATE(C971, ""en"", ""tr"")"),"OpenPGP şifreli mesaj")</f>
        <v>OpenPGP şifreli mesaj</v>
      </c>
      <c r="AI971" s="6" t="s">
        <v>20408</v>
      </c>
      <c r="AJ971" s="6" t="s">
        <v>20409</v>
      </c>
      <c r="AK971" s="7" t="str">
        <f>IFERROR(__xludf.DUMMYFUNCTION("GOOGLETRANSLATE(C971, ""en"", ""zh"")"),"OpenPGP加密消息")</f>
        <v>OpenPGP加密消息</v>
      </c>
      <c r="AL971" s="6" t="s">
        <v>20410</v>
      </c>
    </row>
    <row r="972" ht="15.75" hidden="1" customHeight="1">
      <c r="A972" s="1" t="s">
        <v>38</v>
      </c>
      <c r="B972" s="1" t="s">
        <v>20411</v>
      </c>
      <c r="C972" s="1" t="s">
        <v>20412</v>
      </c>
      <c r="D972" s="8" t="s">
        <v>20413</v>
      </c>
      <c r="E972" s="1" t="s">
        <v>20414</v>
      </c>
      <c r="F972" s="6" t="s">
        <v>20415</v>
      </c>
      <c r="G972" s="7" t="str">
        <f>IFERROR(__xludf.DUMMYFUNCTION("GOOGLETRANSLATE(C972, ""en"", ""cs"")"),"Levá skupina Chat")</f>
        <v>Levá skupina Chat</v>
      </c>
      <c r="H972" s="7" t="str">
        <f>IFERROR(__xludf.DUMMYFUNCTION("GOOGLETRANSLATE(C972, ""en"", ""da"")"),"Venstre gruppe chat")</f>
        <v>Venstre gruppe chat</v>
      </c>
      <c r="I972" s="1" t="s">
        <v>20416</v>
      </c>
      <c r="J972" s="6" t="s">
        <v>132</v>
      </c>
      <c r="K972" s="1" t="s">
        <v>20417</v>
      </c>
      <c r="L972" s="7" t="str">
        <f>IFERROR(__xludf.DUMMYFUNCTION("GOOGLETRANSLATE(C972, ""en"", ""fi"")"),"Vasen ryhmäkeskustelu")</f>
        <v>Vasen ryhmäkeskustelu</v>
      </c>
      <c r="M972" s="1" t="s">
        <v>20418</v>
      </c>
      <c r="N972" s="6" t="s">
        <v>20419</v>
      </c>
      <c r="O972" s="6" t="s">
        <v>132</v>
      </c>
      <c r="P972" s="1" t="s">
        <v>20420</v>
      </c>
      <c r="Q972" s="7" t="str">
        <f>IFERROR(__xludf.DUMMYFUNCTION("GOOGLETRANSLATE(C972, ""en"", ""in"")"),"Obrolan Grup Kiri")</f>
        <v>Obrolan Grup Kiri</v>
      </c>
      <c r="R972" s="1" t="s">
        <v>20421</v>
      </c>
      <c r="S972" s="6" t="s">
        <v>132</v>
      </c>
      <c r="T972" s="1" t="s">
        <v>20422</v>
      </c>
      <c r="U972" s="7" t="str">
        <f>IFERROR(__xludf.DUMMYFUNCTION("GOOGLETRANSLATE(C972, ""en"", ""ko"")"),"왼쪽 그룹 채팅")</f>
        <v>왼쪽 그룹 채팅</v>
      </c>
      <c r="V972" s="7" t="str">
        <f>IFERROR(__xludf.DUMMYFUNCTION("GOOGLETRANSLATE(C972, ""en"", ""ms"")"),"Sembang kumpulan kiri")</f>
        <v>Sembang kumpulan kiri</v>
      </c>
      <c r="W972" s="1" t="s">
        <v>20423</v>
      </c>
      <c r="X972" s="7" t="str">
        <f>IFERROR(__xludf.DUMMYFUNCTION("GOOGLETRANSLATE(C972, ""en"", ""no"")"),"Venstre gruppe chat")</f>
        <v>Venstre gruppe chat</v>
      </c>
      <c r="Y972" s="1" t="s">
        <v>20424</v>
      </c>
      <c r="Z972" s="1" t="s">
        <v>20425</v>
      </c>
      <c r="AA972" s="7" t="str">
        <f>IFERROR(__xludf.DUMMYFUNCTION("GOOGLETRANSLATE(C972, ""en"", ""ro"")"),"Grupul din stânga Chat.")</f>
        <v>Grupul din stânga Chat.</v>
      </c>
      <c r="AB972" s="1" t="s">
        <v>20426</v>
      </c>
      <c r="AC972" s="7" t="str">
        <f>IFERROR(__xludf.DUMMYFUNCTION("GOOGLETRANSLATE(C972, ""en"", ""sk"")"),"REAST CHAT CHAT")</f>
        <v>REAST CHAT CHAT</v>
      </c>
      <c r="AD972" s="6" t="s">
        <v>132</v>
      </c>
      <c r="AE972" s="1" t="s">
        <v>20427</v>
      </c>
      <c r="AF972" s="7" t="str">
        <f>IFERROR(__xludf.DUMMYFUNCTION("GOOGLETRANSLATE(C972, ""en"", ""sv"")"),"Vänster gruppchatt")</f>
        <v>Vänster gruppchatt</v>
      </c>
      <c r="AG972" s="6" t="s">
        <v>132</v>
      </c>
      <c r="AH972" s="7" t="str">
        <f>IFERROR(__xludf.DUMMYFUNCTION("GOOGLETRANSLATE(C972, ""en"", ""tr"")"),"Sol grup sohbeti")</f>
        <v>Sol grup sohbeti</v>
      </c>
      <c r="AI972" s="6" t="s">
        <v>132</v>
      </c>
      <c r="AJ972" s="6" t="s">
        <v>132</v>
      </c>
      <c r="AK972" s="7" t="str">
        <f>IFERROR(__xludf.DUMMYFUNCTION("GOOGLETRANSLATE(C972, ""en"", ""zh"")"),"左组聊天")</f>
        <v>左组聊天</v>
      </c>
      <c r="AL972" s="6" t="s">
        <v>132</v>
      </c>
    </row>
    <row r="973" ht="15.75" customHeight="1">
      <c r="A973" s="1" t="s">
        <v>127</v>
      </c>
      <c r="B973" s="1" t="s">
        <v>20428</v>
      </c>
      <c r="C973" s="1" t="s">
        <v>20429</v>
      </c>
      <c r="D973" s="8" t="s">
        <v>20430</v>
      </c>
      <c r="E973" s="1" t="s">
        <v>20431</v>
      </c>
      <c r="F973" s="6" t="s">
        <v>132</v>
      </c>
      <c r="G973" s="1" t="s">
        <v>20432</v>
      </c>
      <c r="H973" s="1" t="s">
        <v>20433</v>
      </c>
      <c r="I973" s="1" t="s">
        <v>20434</v>
      </c>
      <c r="J973" s="6" t="s">
        <v>20435</v>
      </c>
      <c r="K973" s="1" t="s">
        <v>20436</v>
      </c>
      <c r="L973" s="1" t="s">
        <v>20437</v>
      </c>
      <c r="M973" s="1" t="s">
        <v>20438</v>
      </c>
      <c r="N973" s="6" t="s">
        <v>132</v>
      </c>
      <c r="O973" s="6" t="s">
        <v>20439</v>
      </c>
      <c r="P973" s="1" t="s">
        <v>20440</v>
      </c>
      <c r="Q973" s="1" t="s">
        <v>20441</v>
      </c>
      <c r="R973" s="1" t="s">
        <v>20442</v>
      </c>
      <c r="S973" s="10" t="s">
        <v>20443</v>
      </c>
      <c r="T973" s="1" t="s">
        <v>20444</v>
      </c>
      <c r="U973" s="1" t="s">
        <v>20445</v>
      </c>
      <c r="V973" s="1" t="s">
        <v>20441</v>
      </c>
      <c r="W973" s="1" t="s">
        <v>20446</v>
      </c>
      <c r="X973" s="1" t="s">
        <v>20447</v>
      </c>
      <c r="Y973" s="1" t="s">
        <v>20448</v>
      </c>
      <c r="Z973" s="1" t="s">
        <v>20449</v>
      </c>
      <c r="AA973" s="1" t="s">
        <v>20450</v>
      </c>
      <c r="AB973" s="1" t="s">
        <v>20451</v>
      </c>
      <c r="AC973" s="1" t="s">
        <v>20452</v>
      </c>
      <c r="AD973" s="6" t="s">
        <v>20453</v>
      </c>
      <c r="AE973" s="1" t="s">
        <v>20454</v>
      </c>
      <c r="AF973" s="1" t="s">
        <v>20455</v>
      </c>
      <c r="AG973" s="6" t="s">
        <v>20456</v>
      </c>
      <c r="AH973" s="1" t="s">
        <v>20457</v>
      </c>
      <c r="AI973" s="6" t="s">
        <v>132</v>
      </c>
      <c r="AJ973" s="6" t="s">
        <v>20458</v>
      </c>
      <c r="AK973" s="1" t="s">
        <v>20459</v>
      </c>
      <c r="AL973" s="6" t="s">
        <v>20460</v>
      </c>
    </row>
    <row r="974" ht="15.75" customHeight="1">
      <c r="A974" s="1" t="s">
        <v>127</v>
      </c>
      <c r="B974" s="1" t="s">
        <v>20461</v>
      </c>
      <c r="C974" s="1" t="s">
        <v>20462</v>
      </c>
      <c r="D974" s="8" t="s">
        <v>20463</v>
      </c>
      <c r="E974" s="1" t="s">
        <v>20464</v>
      </c>
      <c r="F974" s="6" t="s">
        <v>132</v>
      </c>
      <c r="G974" s="1" t="s">
        <v>20465</v>
      </c>
      <c r="H974" s="1" t="s">
        <v>20466</v>
      </c>
      <c r="I974" s="1" t="s">
        <v>20467</v>
      </c>
      <c r="J974" s="6" t="s">
        <v>20468</v>
      </c>
      <c r="K974" s="1" t="s">
        <v>20469</v>
      </c>
      <c r="L974" s="1" t="s">
        <v>20470</v>
      </c>
      <c r="M974" s="1" t="s">
        <v>20471</v>
      </c>
      <c r="N974" s="6" t="s">
        <v>132</v>
      </c>
      <c r="O974" s="6" t="s">
        <v>20472</v>
      </c>
      <c r="P974" s="1" t="s">
        <v>20473</v>
      </c>
      <c r="Q974" s="1" t="s">
        <v>20474</v>
      </c>
      <c r="R974" s="1" t="s">
        <v>20475</v>
      </c>
      <c r="S974" s="10" t="s">
        <v>20476</v>
      </c>
      <c r="T974" s="1" t="s">
        <v>20477</v>
      </c>
      <c r="U974" s="1" t="s">
        <v>20478</v>
      </c>
      <c r="V974" s="1" t="s">
        <v>20479</v>
      </c>
      <c r="W974" s="1" t="s">
        <v>20480</v>
      </c>
      <c r="X974" s="1" t="s">
        <v>20481</v>
      </c>
      <c r="Y974" s="1" t="s">
        <v>20482</v>
      </c>
      <c r="Z974" s="1" t="s">
        <v>20483</v>
      </c>
      <c r="AA974" s="1" t="s">
        <v>20484</v>
      </c>
      <c r="AB974" s="1" t="s">
        <v>20485</v>
      </c>
      <c r="AC974" s="1" t="s">
        <v>20486</v>
      </c>
      <c r="AD974" s="6" t="s">
        <v>20465</v>
      </c>
      <c r="AE974" s="1" t="s">
        <v>20487</v>
      </c>
      <c r="AF974" s="1" t="s">
        <v>20488</v>
      </c>
      <c r="AG974" s="6" t="s">
        <v>20489</v>
      </c>
      <c r="AH974" s="1" t="s">
        <v>20490</v>
      </c>
      <c r="AI974" s="6" t="s">
        <v>132</v>
      </c>
      <c r="AJ974" s="6" t="s">
        <v>20491</v>
      </c>
      <c r="AK974" s="1" t="s">
        <v>20492</v>
      </c>
      <c r="AL974" s="6" t="s">
        <v>20493</v>
      </c>
    </row>
    <row r="975" ht="15.75" customHeight="1">
      <c r="A975" s="1" t="s">
        <v>127</v>
      </c>
      <c r="B975" s="1" t="s">
        <v>20494</v>
      </c>
      <c r="C975" s="1" t="s">
        <v>20495</v>
      </c>
      <c r="D975" s="8" t="s">
        <v>20496</v>
      </c>
      <c r="E975" s="1" t="s">
        <v>20497</v>
      </c>
      <c r="F975" s="6" t="s">
        <v>132</v>
      </c>
      <c r="G975" s="1" t="s">
        <v>20498</v>
      </c>
      <c r="H975" s="1" t="s">
        <v>20499</v>
      </c>
      <c r="I975" s="1" t="s">
        <v>20500</v>
      </c>
      <c r="J975" s="6" t="s">
        <v>20501</v>
      </c>
      <c r="K975" s="1" t="s">
        <v>20502</v>
      </c>
      <c r="L975" s="1" t="s">
        <v>20503</v>
      </c>
      <c r="M975" s="1" t="s">
        <v>20504</v>
      </c>
      <c r="N975" s="6" t="s">
        <v>132</v>
      </c>
      <c r="O975" s="6" t="s">
        <v>20505</v>
      </c>
      <c r="P975" s="1" t="s">
        <v>20506</v>
      </c>
      <c r="Q975" s="1" t="s">
        <v>20507</v>
      </c>
      <c r="R975" s="1" t="s">
        <v>20508</v>
      </c>
      <c r="S975" s="10" t="s">
        <v>20509</v>
      </c>
      <c r="T975" s="1" t="s">
        <v>20510</v>
      </c>
      <c r="U975" s="1" t="s">
        <v>20511</v>
      </c>
      <c r="V975" s="1" t="s">
        <v>20512</v>
      </c>
      <c r="W975" s="1" t="s">
        <v>20513</v>
      </c>
      <c r="X975" s="1" t="s">
        <v>20499</v>
      </c>
      <c r="Y975" s="1" t="s">
        <v>20514</v>
      </c>
      <c r="Z975" s="1" t="s">
        <v>20515</v>
      </c>
      <c r="AA975" s="1" t="s">
        <v>20516</v>
      </c>
      <c r="AB975" s="1" t="s">
        <v>20517</v>
      </c>
      <c r="AC975" s="1" t="s">
        <v>20518</v>
      </c>
      <c r="AD975" s="6" t="s">
        <v>20519</v>
      </c>
      <c r="AE975" s="1" t="s">
        <v>20520</v>
      </c>
      <c r="AF975" s="1" t="s">
        <v>20499</v>
      </c>
      <c r="AG975" s="6" t="s">
        <v>20521</v>
      </c>
      <c r="AH975" s="1" t="s">
        <v>20522</v>
      </c>
      <c r="AI975" s="6" t="s">
        <v>132</v>
      </c>
      <c r="AJ975" s="6" t="s">
        <v>20523</v>
      </c>
      <c r="AK975" s="1" t="s">
        <v>20524</v>
      </c>
      <c r="AL975" s="6" t="s">
        <v>20525</v>
      </c>
    </row>
    <row r="976" ht="15.75" customHeight="1">
      <c r="A976" s="1" t="s">
        <v>127</v>
      </c>
      <c r="B976" s="1" t="s">
        <v>20526</v>
      </c>
      <c r="C976" s="1" t="s">
        <v>20527</v>
      </c>
      <c r="D976" s="8" t="s">
        <v>20528</v>
      </c>
      <c r="E976" s="1" t="s">
        <v>20529</v>
      </c>
      <c r="F976" s="6" t="s">
        <v>132</v>
      </c>
      <c r="G976" s="1" t="s">
        <v>20530</v>
      </c>
      <c r="H976" s="1" t="s">
        <v>20531</v>
      </c>
      <c r="I976" s="1" t="s">
        <v>20532</v>
      </c>
      <c r="J976" s="6" t="s">
        <v>20533</v>
      </c>
      <c r="K976" s="1" t="s">
        <v>20534</v>
      </c>
      <c r="L976" s="1" t="s">
        <v>20535</v>
      </c>
      <c r="M976" s="1" t="s">
        <v>20536</v>
      </c>
      <c r="N976" s="6" t="s">
        <v>132</v>
      </c>
      <c r="O976" s="6" t="s">
        <v>20537</v>
      </c>
      <c r="P976" s="1" t="s">
        <v>20538</v>
      </c>
      <c r="Q976" s="1" t="s">
        <v>20539</v>
      </c>
      <c r="R976" s="1" t="s">
        <v>20540</v>
      </c>
      <c r="S976" s="10" t="s">
        <v>20541</v>
      </c>
      <c r="T976" s="1" t="s">
        <v>20542</v>
      </c>
      <c r="U976" s="1" t="s">
        <v>20543</v>
      </c>
      <c r="V976" s="1" t="s">
        <v>20544</v>
      </c>
      <c r="W976" s="1" t="s">
        <v>20545</v>
      </c>
      <c r="X976" s="1" t="s">
        <v>20531</v>
      </c>
      <c r="Y976" s="1" t="s">
        <v>20546</v>
      </c>
      <c r="Z976" s="1" t="s">
        <v>20547</v>
      </c>
      <c r="AA976" s="1" t="s">
        <v>20548</v>
      </c>
      <c r="AB976" s="1" t="s">
        <v>20549</v>
      </c>
      <c r="AC976" s="1" t="s">
        <v>20550</v>
      </c>
      <c r="AD976" s="6" t="s">
        <v>10081</v>
      </c>
      <c r="AE976" s="1" t="s">
        <v>4396</v>
      </c>
      <c r="AF976" s="1" t="s">
        <v>20551</v>
      </c>
      <c r="AG976" s="6" t="s">
        <v>20552</v>
      </c>
      <c r="AH976" s="1" t="s">
        <v>20553</v>
      </c>
      <c r="AI976" s="6" t="s">
        <v>132</v>
      </c>
      <c r="AJ976" s="6" t="s">
        <v>20554</v>
      </c>
      <c r="AK976" s="1" t="s">
        <v>20555</v>
      </c>
      <c r="AL976" s="6" t="s">
        <v>20556</v>
      </c>
    </row>
    <row r="977" ht="15.75" hidden="1" customHeight="1">
      <c r="A977" s="1" t="s">
        <v>38</v>
      </c>
      <c r="B977" s="1" t="s">
        <v>20557</v>
      </c>
      <c r="C977" s="1" t="s">
        <v>20558</v>
      </c>
      <c r="D977" s="7" t="str">
        <f>IFERROR(__xludf.DUMMYFUNCTION("GOOGLETRANSLATE(C977, ""en"", ""ar"")"),"مشاكل الاتصال")</f>
        <v>مشاكل الاتصال</v>
      </c>
      <c r="E977" s="1" t="s">
        <v>20559</v>
      </c>
      <c r="F977" s="6" t="s">
        <v>132</v>
      </c>
      <c r="G977" s="7" t="str">
        <f>IFERROR(__xludf.DUMMYFUNCTION("GOOGLETRANSLATE(C977, ""en"", ""cs"")"),"Problémy s připojením")</f>
        <v>Problémy s připojením</v>
      </c>
      <c r="H977" s="7" t="str">
        <f>IFERROR(__xludf.DUMMYFUNCTION("GOOGLETRANSLATE(C977, ""en"", ""da"")"),"Forbindelsesproblemer")</f>
        <v>Forbindelsesproblemer</v>
      </c>
      <c r="I977" s="1" t="s">
        <v>20560</v>
      </c>
      <c r="J977" s="6" t="s">
        <v>132</v>
      </c>
      <c r="K977" s="1" t="s">
        <v>20561</v>
      </c>
      <c r="L977" s="7" t="str">
        <f>IFERROR(__xludf.DUMMYFUNCTION("GOOGLETRANSLATE(C977, ""en"", ""fi"")"),"Liitäntäongelmat")</f>
        <v>Liitäntäongelmat</v>
      </c>
      <c r="M977" s="1" t="s">
        <v>20562</v>
      </c>
      <c r="N977" s="6" t="s">
        <v>20563</v>
      </c>
      <c r="O977" s="6" t="s">
        <v>132</v>
      </c>
      <c r="P977" s="1" t="s">
        <v>20564</v>
      </c>
      <c r="Q977" s="7" t="str">
        <f>IFERROR(__xludf.DUMMYFUNCTION("GOOGLETRANSLATE(C977, ""en"", ""in"")"),"Masalah konektivitas")</f>
        <v>Masalah konektivitas</v>
      </c>
      <c r="R977" s="1" t="s">
        <v>20565</v>
      </c>
      <c r="S977" s="6" t="s">
        <v>132</v>
      </c>
      <c r="T977" s="7" t="str">
        <f>IFERROR(__xludf.DUMMYFUNCTION("GOOGLETRANSLATE(C977, ""en"", ""ja"")"),"接続性の問題")</f>
        <v>接続性の問題</v>
      </c>
      <c r="U977" s="7" t="str">
        <f>IFERROR(__xludf.DUMMYFUNCTION("GOOGLETRANSLATE(C977, ""en"", ""ko"")"),"연결 문제")</f>
        <v>연결 문제</v>
      </c>
      <c r="V977" s="7" t="str">
        <f>IFERROR(__xludf.DUMMYFUNCTION("GOOGLETRANSLATE(C977, ""en"", ""ms"")"),"Masalah penyambungan.")</f>
        <v>Masalah penyambungan.</v>
      </c>
      <c r="W977" s="1" t="s">
        <v>20566</v>
      </c>
      <c r="X977" s="7" t="str">
        <f>IFERROR(__xludf.DUMMYFUNCTION("GOOGLETRANSLATE(C977, ""en"", ""no"")"),"Tilkoblingsproblemer")</f>
        <v>Tilkoblingsproblemer</v>
      </c>
      <c r="Y977" s="1" t="s">
        <v>20567</v>
      </c>
      <c r="Z977" s="7" t="str">
        <f>IFERROR(__xludf.DUMMYFUNCTION("GOOGLETRANSLATE(C977, ""en"", ""pt"")"),"Problemas de conectividade")</f>
        <v>Problemas de conectividade</v>
      </c>
      <c r="AA977" s="7" t="str">
        <f>IFERROR(__xludf.DUMMYFUNCTION("GOOGLETRANSLATE(C977, ""en"", ""ro"")"),"Probleme de conectivitate")</f>
        <v>Probleme de conectivitate</v>
      </c>
      <c r="AB977" s="7" t="str">
        <f>IFERROR(__xludf.DUMMYFUNCTION("GOOGLETRANSLATE(C977, ""en"", ""ru"")"),"Проблемы со связью")</f>
        <v>Проблемы со связью</v>
      </c>
      <c r="AC977" s="7" t="str">
        <f>IFERROR(__xludf.DUMMYFUNCTION("GOOGLETRANSLATE(C977, ""en"", ""sk"")"),"Problémy s pripojením")</f>
        <v>Problémy s pripojením</v>
      </c>
      <c r="AD977" s="6" t="s">
        <v>132</v>
      </c>
      <c r="AE977" s="7" t="str">
        <f>IFERROR(__xludf.DUMMYFUNCTION("GOOGLETRANSLATE(C977, ""en"", ""sr"")"),"Проблеми са повезивањем")</f>
        <v>Проблеми са повезивањем</v>
      </c>
      <c r="AF977" s="7" t="str">
        <f>IFERROR(__xludf.DUMMYFUNCTION("GOOGLETRANSLATE(C977, ""en"", ""sv"")"),"Anslutningsproblem")</f>
        <v>Anslutningsproblem</v>
      </c>
      <c r="AG977" s="6" t="s">
        <v>132</v>
      </c>
      <c r="AH977" s="7" t="str">
        <f>IFERROR(__xludf.DUMMYFUNCTION("GOOGLETRANSLATE(C977, ""en"", ""tr"")"),"Bağlantı Sorunları")</f>
        <v>Bağlantı Sorunları</v>
      </c>
      <c r="AI977" s="6" t="s">
        <v>132</v>
      </c>
      <c r="AJ977" s="6" t="s">
        <v>132</v>
      </c>
      <c r="AK977" s="7" t="str">
        <f>IFERROR(__xludf.DUMMYFUNCTION("GOOGLETRANSLATE(C977, ""en"", ""zh"")"),"连接问题")</f>
        <v>连接问题</v>
      </c>
      <c r="AL977" s="6" t="s">
        <v>132</v>
      </c>
    </row>
    <row r="978" ht="15.75" hidden="1" customHeight="1">
      <c r="A978" s="1" t="s">
        <v>38</v>
      </c>
      <c r="B978" s="1" t="s">
        <v>20568</v>
      </c>
      <c r="C978" s="1" t="s">
        <v>20569</v>
      </c>
      <c r="D978" s="7" t="str">
        <f>IFERROR(__xludf.DUMMYFUNCTION("GOOGLETRANSLATE(C978, ""en"", ""ar"")"),"عرض المحادثة")</f>
        <v>عرض المحادثة</v>
      </c>
      <c r="E978" s="1" t="s">
        <v>20570</v>
      </c>
      <c r="F978" s="6" t="s">
        <v>20571</v>
      </c>
      <c r="G978" s="7" t="str">
        <f>IFERROR(__xludf.DUMMYFUNCTION("GOOGLETRANSLATE(C978, ""en"", ""cs"")"),"Zobrazení konverzace")</f>
        <v>Zobrazení konverzace</v>
      </c>
      <c r="H978" s="7" t="str">
        <f>IFERROR(__xludf.DUMMYFUNCTION("GOOGLETRANSLATE(C978, ""en"", ""da"")"),"Se samtale")</f>
        <v>Se samtale</v>
      </c>
      <c r="I978" s="1" t="s">
        <v>20572</v>
      </c>
      <c r="J978" s="6" t="s">
        <v>132</v>
      </c>
      <c r="K978" s="1" t="s">
        <v>20573</v>
      </c>
      <c r="L978" s="7" t="str">
        <f>IFERROR(__xludf.DUMMYFUNCTION("GOOGLETRANSLATE(C978, ""en"", ""fi"")"),"Katso keskustelu")</f>
        <v>Katso keskustelu</v>
      </c>
      <c r="M978" s="1" t="s">
        <v>20574</v>
      </c>
      <c r="N978" s="6" t="s">
        <v>20575</v>
      </c>
      <c r="O978" s="6" t="s">
        <v>132</v>
      </c>
      <c r="P978" s="1" t="s">
        <v>20576</v>
      </c>
      <c r="Q978" s="7" t="str">
        <f>IFERROR(__xludf.DUMMYFUNCTION("GOOGLETRANSLATE(C978, ""en"", ""in"")"),"Lihat percakapan")</f>
        <v>Lihat percakapan</v>
      </c>
      <c r="R978" s="1" t="s">
        <v>20577</v>
      </c>
      <c r="S978" s="6" t="s">
        <v>132</v>
      </c>
      <c r="T978" s="7" t="str">
        <f>IFERROR(__xludf.DUMMYFUNCTION("GOOGLETRANSLATE(C978, ""en"", ""ja"")"),"会話を見る")</f>
        <v>会話を見る</v>
      </c>
      <c r="U978" s="7" t="str">
        <f>IFERROR(__xludf.DUMMYFUNCTION("GOOGLETRANSLATE(C978, ""en"", ""ko"")"),"대화보기")</f>
        <v>대화보기</v>
      </c>
      <c r="V978" s="7" t="str">
        <f>IFERROR(__xludf.DUMMYFUNCTION("GOOGLETRANSLATE(C978, ""en"", ""ms"")"),"Lihat perbualan")</f>
        <v>Lihat perbualan</v>
      </c>
      <c r="W978" s="1" t="s">
        <v>20578</v>
      </c>
      <c r="X978" s="7" t="str">
        <f>IFERROR(__xludf.DUMMYFUNCTION("GOOGLETRANSLATE(C978, ""en"", ""no"")"),"Vis samtale")</f>
        <v>Vis samtale</v>
      </c>
      <c r="Y978" s="1" t="s">
        <v>20579</v>
      </c>
      <c r="Z978" s="7" t="str">
        <f>IFERROR(__xludf.DUMMYFUNCTION("GOOGLETRANSLATE(C978, ""en"", ""pt"")"),"Ver conversa")</f>
        <v>Ver conversa</v>
      </c>
      <c r="AA978" s="7" t="str">
        <f>IFERROR(__xludf.DUMMYFUNCTION("GOOGLETRANSLATE(C978, ""en"", ""ro"")"),"Vezi conversatia")</f>
        <v>Vezi conversatia</v>
      </c>
      <c r="AB978" s="7" t="str">
        <f>IFERROR(__xludf.DUMMYFUNCTION("GOOGLETRANSLATE(C978, ""en"", ""ru"")"),"Посмотреть беседу")</f>
        <v>Посмотреть беседу</v>
      </c>
      <c r="AC978" s="7" t="str">
        <f>IFERROR(__xludf.DUMMYFUNCTION("GOOGLETRANSLATE(C978, ""en"", ""sk"")"),"Zobraziť konverzáciu")</f>
        <v>Zobraziť konverzáciu</v>
      </c>
      <c r="AD978" s="6" t="s">
        <v>132</v>
      </c>
      <c r="AE978" s="1" t="s">
        <v>20580</v>
      </c>
      <c r="AF978" s="7" t="str">
        <f>IFERROR(__xludf.DUMMYFUNCTION("GOOGLETRANSLATE(C978, ""en"", ""sv"")"),"Visa konversation")</f>
        <v>Visa konversation</v>
      </c>
      <c r="AG978" s="6" t="s">
        <v>132</v>
      </c>
      <c r="AH978" s="7" t="str">
        <f>IFERROR(__xludf.DUMMYFUNCTION("GOOGLETRANSLATE(C978, ""en"", ""tr"")"),"Konuşmayı göster")</f>
        <v>Konuşmayı göster</v>
      </c>
      <c r="AI978" s="6" t="s">
        <v>132</v>
      </c>
      <c r="AJ978" s="6" t="s">
        <v>132</v>
      </c>
      <c r="AK978" s="7" t="str">
        <f>IFERROR(__xludf.DUMMYFUNCTION("GOOGLETRANSLATE(C978, ""en"", ""zh"")"),"查看对话")</f>
        <v>查看对话</v>
      </c>
      <c r="AL978" s="6" t="s">
        <v>132</v>
      </c>
    </row>
    <row r="979" ht="15.75" hidden="1" customHeight="1">
      <c r="A979" s="1" t="s">
        <v>38</v>
      </c>
      <c r="B979" s="1" t="s">
        <v>20581</v>
      </c>
      <c r="C979" s="1" t="s">
        <v>20582</v>
      </c>
      <c r="D979" s="7" t="str">
        <f>IFERROR(__xludf.DUMMYFUNCTION("GOOGLETRANSLATE(C979, ""en"", ""ar"")"),"سيتم تمييز الرسائل المستلمة بقطع أخضر إذا تم دعمها")</f>
        <v>سيتم تمييز الرسائل المستلمة بقطع أخضر إذا تم دعمها</v>
      </c>
      <c r="E979" s="1" t="s">
        <v>20583</v>
      </c>
      <c r="F979" s="6" t="s">
        <v>20584</v>
      </c>
      <c r="G979" s="7" t="str">
        <f>IFERROR(__xludf.DUMMYFUNCTION("GOOGLETRANSLATE(C979, ""en"", ""cs"")"),"Přijaté zprávy budou označeny zeleným zaškrtnutím, pokud je podporován")</f>
        <v>Přijaté zprávy budou označeny zeleným zaškrtnutím, pokud je podporován</v>
      </c>
      <c r="H979" s="7" t="str">
        <f>IFERROR(__xludf.DUMMYFUNCTION("GOOGLETRANSLATE(C979, ""en"", ""da"")"),"Modtagne meddelelser vil blive markeret med et grønt kryds, hvis det understøttes")</f>
        <v>Modtagne meddelelser vil blive markeret med et grønt kryds, hvis det understøttes</v>
      </c>
      <c r="I979" s="1" t="s">
        <v>20585</v>
      </c>
      <c r="J979" s="6" t="s">
        <v>132</v>
      </c>
      <c r="K979" s="1" t="s">
        <v>20586</v>
      </c>
      <c r="L979" s="7" t="str">
        <f>IFERROR(__xludf.DUMMYFUNCTION("GOOGLETRANSLATE(C979, ""en"", ""fi"")"),"Vastaanotetut viestit merkitään vihreällä rastilla, jos sitä tuetaan")</f>
        <v>Vastaanotetut viestit merkitään vihreällä rastilla, jos sitä tuetaan</v>
      </c>
      <c r="M979" s="1" t="s">
        <v>20587</v>
      </c>
      <c r="N979" s="6" t="s">
        <v>20588</v>
      </c>
      <c r="O979" s="6" t="s">
        <v>132</v>
      </c>
      <c r="P979" s="1" t="s">
        <v>20589</v>
      </c>
      <c r="Q979" s="9" t="s">
        <v>20590</v>
      </c>
      <c r="R979" s="1" t="s">
        <v>20591</v>
      </c>
      <c r="S979" s="6" t="s">
        <v>132</v>
      </c>
      <c r="T979" s="1" t="s">
        <v>20592</v>
      </c>
      <c r="U979" s="1" t="s">
        <v>20593</v>
      </c>
      <c r="V979" s="7" t="str">
        <f>IFERROR(__xludf.DUMMYFUNCTION("GOOGLETRANSLATE(C979, ""en"", ""ms"")"),"Mesej yang diterima akan ditandakan dengan tanda hijau jika disokong")</f>
        <v>Mesej yang diterima akan ditandakan dengan tanda hijau jika disokong</v>
      </c>
      <c r="W979" s="1" t="s">
        <v>20594</v>
      </c>
      <c r="X979" s="7" t="str">
        <f>IFERROR(__xludf.DUMMYFUNCTION("GOOGLETRANSLATE(C979, ""en"", ""no"")"),"Mottatte meldinger vil bli merket med et grønt kryss hvis det støttes")</f>
        <v>Mottatte meldinger vil bli merket med et grønt kryss hvis det støttes</v>
      </c>
      <c r="Y979" s="1" t="s">
        <v>20595</v>
      </c>
      <c r="Z979" s="1" t="s">
        <v>20596</v>
      </c>
      <c r="AA979" s="7" t="str">
        <f>IFERROR(__xludf.DUMMYFUNCTION("GOOGLETRANSLATE(C979, ""en"", ""ro"")"),"Mesajele primite vor fi marcate cu o bifă verde dacă este acceptată")</f>
        <v>Mesajele primite vor fi marcate cu o bifă verde dacă este acceptată</v>
      </c>
      <c r="AB979" s="1" t="s">
        <v>20597</v>
      </c>
      <c r="AC979" s="1" t="s">
        <v>20598</v>
      </c>
      <c r="AD979" s="6" t="s">
        <v>132</v>
      </c>
      <c r="AE979" s="1" t="s">
        <v>20599</v>
      </c>
      <c r="AF979" s="1" t="s">
        <v>20600</v>
      </c>
      <c r="AG979" s="6" t="s">
        <v>132</v>
      </c>
      <c r="AH979" s="7" t="str">
        <f>IFERROR(__xludf.DUMMYFUNCTION("GOOGLETRANSLATE(C979, ""en"", ""tr"")"),"Alınan mesajlar, desteklenirse yeşil bir kene ile işaretlenecektir.")</f>
        <v>Alınan mesajlar, desteklenirse yeşil bir kene ile işaretlenecektir.</v>
      </c>
      <c r="AI979" s="6" t="s">
        <v>20601</v>
      </c>
      <c r="AJ979" s="6" t="s">
        <v>20602</v>
      </c>
      <c r="AK979" s="7" t="str">
        <f>IFERROR(__xludf.DUMMYFUNCTION("GOOGLETRANSLATE(C979, ""en"", ""zh"")"),"如果支持，则收到的消息将标记为绿色刻度")</f>
        <v>如果支持，则收到的消息将标记为绿色刻度</v>
      </c>
      <c r="AL979" s="6" t="s">
        <v>20603</v>
      </c>
    </row>
    <row r="980" ht="15.75" customHeight="1">
      <c r="A980" s="1" t="s">
        <v>127</v>
      </c>
      <c r="B980" s="1" t="s">
        <v>20604</v>
      </c>
      <c r="C980" s="1" t="s">
        <v>20605</v>
      </c>
      <c r="D980" s="8" t="s">
        <v>20606</v>
      </c>
      <c r="E980" s="1" t="s">
        <v>20607</v>
      </c>
      <c r="F980" s="6" t="s">
        <v>132</v>
      </c>
      <c r="G980" s="1" t="s">
        <v>20608</v>
      </c>
      <c r="H980" s="1" t="s">
        <v>20609</v>
      </c>
      <c r="I980" s="1" t="s">
        <v>20610</v>
      </c>
      <c r="J980" s="6" t="s">
        <v>20611</v>
      </c>
      <c r="K980" s="1" t="s">
        <v>20612</v>
      </c>
      <c r="L980" s="1" t="s">
        <v>20613</v>
      </c>
      <c r="M980" s="1" t="s">
        <v>20614</v>
      </c>
      <c r="N980" s="6" t="s">
        <v>132</v>
      </c>
      <c r="O980" s="6" t="s">
        <v>20615</v>
      </c>
      <c r="P980" s="1" t="s">
        <v>20616</v>
      </c>
      <c r="Q980" s="1" t="s">
        <v>20617</v>
      </c>
      <c r="R980" s="1" t="s">
        <v>20618</v>
      </c>
      <c r="S980" s="10" t="s">
        <v>20619</v>
      </c>
      <c r="T980" s="1" t="s">
        <v>20620</v>
      </c>
      <c r="U980" s="1" t="s">
        <v>20621</v>
      </c>
      <c r="V980" s="1" t="s">
        <v>20622</v>
      </c>
      <c r="W980" s="1" t="s">
        <v>20605</v>
      </c>
      <c r="X980" s="1" t="s">
        <v>20623</v>
      </c>
      <c r="Y980" s="1" t="s">
        <v>20605</v>
      </c>
      <c r="Z980" s="1" t="s">
        <v>20624</v>
      </c>
      <c r="AA980" s="1" t="s">
        <v>20625</v>
      </c>
      <c r="AB980" s="1" t="s">
        <v>20626</v>
      </c>
      <c r="AC980" s="1" t="s">
        <v>20627</v>
      </c>
      <c r="AD980" s="6" t="s">
        <v>20628</v>
      </c>
      <c r="AE980" s="1" t="s">
        <v>20629</v>
      </c>
      <c r="AF980" s="1" t="s">
        <v>20630</v>
      </c>
      <c r="AG980" s="6" t="s">
        <v>20631</v>
      </c>
      <c r="AH980" s="1" t="s">
        <v>20632</v>
      </c>
      <c r="AI980" s="6" t="s">
        <v>132</v>
      </c>
      <c r="AJ980" s="6" t="s">
        <v>20633</v>
      </c>
      <c r="AK980" s="1" t="s">
        <v>20634</v>
      </c>
      <c r="AL980" s="6" t="s">
        <v>20635</v>
      </c>
    </row>
    <row r="981" ht="15.75" hidden="1" customHeight="1">
      <c r="A981" s="1" t="s">
        <v>38</v>
      </c>
      <c r="B981" s="1" t="s">
        <v>20636</v>
      </c>
      <c r="C981" s="1" t="s">
        <v>20636</v>
      </c>
      <c r="D981" s="7" t="str">
        <f>IFERROR(__xludf.DUMMYFUNCTION("GOOGLETRANSLATE(C981, ""en"", ""ar"")"),"عبر الانترنت")</f>
        <v>عبر الانترنت</v>
      </c>
      <c r="E981" s="7" t="str">
        <f>IFERROR(__xludf.DUMMYFUNCTION("GOOGLETRANSLATE(C981, ""en"", ""bg"")"),"на линия")</f>
        <v>на линия</v>
      </c>
      <c r="F981" s="6" t="s">
        <v>132</v>
      </c>
      <c r="G981" s="7" t="str">
        <f>IFERROR(__xludf.DUMMYFUNCTION("GOOGLETRANSLATE(C981, ""en"", ""cs"")"),"Online")</f>
        <v>Online</v>
      </c>
      <c r="H981" s="7" t="str">
        <f>IFERROR(__xludf.DUMMYFUNCTION("GOOGLETRANSLATE(C981, ""en"", ""da"")"),"online.")</f>
        <v>online.</v>
      </c>
      <c r="I981" s="1" t="s">
        <v>20636</v>
      </c>
      <c r="J981" s="6" t="s">
        <v>132</v>
      </c>
      <c r="K981" s="1" t="s">
        <v>20636</v>
      </c>
      <c r="L981" s="7" t="str">
        <f>IFERROR(__xludf.DUMMYFUNCTION("GOOGLETRANSLATE(C981, ""en"", ""fi"")"),"verkossa")</f>
        <v>verkossa</v>
      </c>
      <c r="M981" s="1" t="s">
        <v>20637</v>
      </c>
      <c r="N981" s="6" t="s">
        <v>132</v>
      </c>
      <c r="O981" s="6" t="s">
        <v>132</v>
      </c>
      <c r="P981" s="1" t="s">
        <v>20636</v>
      </c>
      <c r="Q981" s="7" t="str">
        <f>IFERROR(__xludf.DUMMYFUNCTION("GOOGLETRANSLATE(C981, ""en"", ""in"")"),"on line")</f>
        <v>on line</v>
      </c>
      <c r="R981" s="7" t="str">
        <f>IFERROR(__xludf.DUMMYFUNCTION("GOOGLETRANSLATE(C981, ""en"", ""it"")"),"in linea")</f>
        <v>in linea</v>
      </c>
      <c r="S981" s="6" t="s">
        <v>132</v>
      </c>
      <c r="T981" s="7" t="str">
        <f>IFERROR(__xludf.DUMMYFUNCTION("GOOGLETRANSLATE(C981, ""en"", ""ja"")"),"オンライン")</f>
        <v>オンライン</v>
      </c>
      <c r="U981" s="7" t="str">
        <f>IFERROR(__xludf.DUMMYFUNCTION("GOOGLETRANSLATE(C981, ""en"", ""ko"")"),"온라인으로")</f>
        <v>온라인으로</v>
      </c>
      <c r="V981" s="7" t="str">
        <f>IFERROR(__xludf.DUMMYFUNCTION("GOOGLETRANSLATE(C981, ""en"", ""ms"")"),"dalam talian")</f>
        <v>dalam talian</v>
      </c>
      <c r="W981" s="7" t="str">
        <f>IFERROR(__xludf.DUMMYFUNCTION("GOOGLETRANSLATE(C981, ""en"", ""nl"")"),"online")</f>
        <v>online</v>
      </c>
      <c r="X981" s="7" t="str">
        <f>IFERROR(__xludf.DUMMYFUNCTION("GOOGLETRANSLATE(C981, ""en"", ""no"")"),"på nett")</f>
        <v>på nett</v>
      </c>
      <c r="Y981" s="7" t="str">
        <f>IFERROR(__xludf.DUMMYFUNCTION("GOOGLETRANSLATE(C981, ""en"", ""pl"")"),"online")</f>
        <v>online</v>
      </c>
      <c r="Z981" s="7" t="str">
        <f>IFERROR(__xludf.DUMMYFUNCTION("GOOGLETRANSLATE(C981, ""en"", ""pt"")"),"conectados")</f>
        <v>conectados</v>
      </c>
      <c r="AA981" s="7" t="str">
        <f>IFERROR(__xludf.DUMMYFUNCTION("GOOGLETRANSLATE(C981, ""en"", ""ro"")"),"pe net")</f>
        <v>pe net</v>
      </c>
      <c r="AB981" s="1" t="s">
        <v>20638</v>
      </c>
      <c r="AC981" s="7" t="str">
        <f>IFERROR(__xludf.DUMMYFUNCTION("GOOGLETRANSLATE(C981, ""en"", ""sk"")"),"on-line")</f>
        <v>on-line</v>
      </c>
      <c r="AD981" s="6" t="s">
        <v>132</v>
      </c>
      <c r="AE981" s="1" t="s">
        <v>20639</v>
      </c>
      <c r="AF981" s="7" t="str">
        <f>IFERROR(__xludf.DUMMYFUNCTION("GOOGLETRANSLATE(C981, ""en"", ""sv"")"),"uppkopplad")</f>
        <v>uppkopplad</v>
      </c>
      <c r="AG981" s="6" t="s">
        <v>132</v>
      </c>
      <c r="AH981" s="7" t="str">
        <f>IFERROR(__xludf.DUMMYFUNCTION("GOOGLETRANSLATE(C981, ""en"", ""tr"")"),"internet üzerinden")</f>
        <v>internet üzerinden</v>
      </c>
      <c r="AI981" s="6" t="s">
        <v>132</v>
      </c>
      <c r="AJ981" s="6" t="s">
        <v>132</v>
      </c>
      <c r="AK981" s="7" t="str">
        <f>IFERROR(__xludf.DUMMYFUNCTION("GOOGLETRANSLATE(C981, ""en"", ""zh"")"),"在线的")</f>
        <v>在线的</v>
      </c>
      <c r="AL981" s="6" t="s">
        <v>132</v>
      </c>
    </row>
    <row r="982" ht="15.75" customHeight="1">
      <c r="A982" s="1" t="s">
        <v>127</v>
      </c>
      <c r="B982" s="1" t="s">
        <v>20640</v>
      </c>
      <c r="C982" s="1" t="s">
        <v>20641</v>
      </c>
      <c r="D982" s="8" t="s">
        <v>20642</v>
      </c>
      <c r="E982" s="1" t="s">
        <v>20643</v>
      </c>
      <c r="F982" s="6" t="s">
        <v>132</v>
      </c>
      <c r="G982" s="1" t="s">
        <v>20644</v>
      </c>
      <c r="H982" s="1" t="s">
        <v>20645</v>
      </c>
      <c r="I982" s="1" t="s">
        <v>20646</v>
      </c>
      <c r="J982" s="6" t="s">
        <v>20647</v>
      </c>
      <c r="K982" s="1" t="s">
        <v>20648</v>
      </c>
      <c r="L982" s="1" t="s">
        <v>20649</v>
      </c>
      <c r="M982" s="1" t="s">
        <v>20650</v>
      </c>
      <c r="N982" s="6" t="s">
        <v>132</v>
      </c>
      <c r="O982" s="6" t="s">
        <v>20651</v>
      </c>
      <c r="P982" s="1" t="s">
        <v>20652</v>
      </c>
      <c r="Q982" s="1" t="s">
        <v>20653</v>
      </c>
      <c r="R982" s="1" t="s">
        <v>20654</v>
      </c>
      <c r="S982" s="10" t="s">
        <v>20655</v>
      </c>
      <c r="T982" s="1" t="s">
        <v>16280</v>
      </c>
      <c r="U982" s="1" t="s">
        <v>20656</v>
      </c>
      <c r="V982" s="1" t="s">
        <v>20657</v>
      </c>
      <c r="W982" s="1" t="s">
        <v>20658</v>
      </c>
      <c r="X982" s="1" t="s">
        <v>20659</v>
      </c>
      <c r="Y982" s="1" t="s">
        <v>20660</v>
      </c>
      <c r="Z982" s="1" t="s">
        <v>20661</v>
      </c>
      <c r="AA982" s="1" t="s">
        <v>20662</v>
      </c>
      <c r="AB982" s="1" t="s">
        <v>20663</v>
      </c>
      <c r="AC982" s="1" t="s">
        <v>20664</v>
      </c>
      <c r="AD982" s="6" t="s">
        <v>20665</v>
      </c>
      <c r="AE982" s="1" t="s">
        <v>20666</v>
      </c>
      <c r="AF982" s="1" t="s">
        <v>20667</v>
      </c>
      <c r="AG982" s="6" t="s">
        <v>20668</v>
      </c>
      <c r="AH982" s="1" t="s">
        <v>20669</v>
      </c>
      <c r="AI982" s="6" t="s">
        <v>132</v>
      </c>
      <c r="AJ982" s="6" t="s">
        <v>20670</v>
      </c>
      <c r="AK982" s="1" t="s">
        <v>20671</v>
      </c>
      <c r="AL982" s="6" t="s">
        <v>20672</v>
      </c>
    </row>
    <row r="983" ht="15.75" hidden="1" customHeight="1">
      <c r="A983" s="1" t="s">
        <v>38</v>
      </c>
      <c r="B983" s="1" t="s">
        <v>20673</v>
      </c>
      <c r="C983" s="1" t="s">
        <v>20674</v>
      </c>
      <c r="D983" s="7" t="str">
        <f>IFERROR(__xludf.DUMMYFUNCTION("GOOGLETRANSLATE(C983, ""en"", ""ar"")"),"البرازيل")</f>
        <v>البرازيل</v>
      </c>
      <c r="E983" s="7" t="str">
        <f>IFERROR(__xludf.DUMMYFUNCTION("GOOGLETRANSLATE(C983, ""en"", ""bg"")"),"Бразилия")</f>
        <v>Бразилия</v>
      </c>
      <c r="F983" s="6" t="s">
        <v>132</v>
      </c>
      <c r="G983" s="7" t="str">
        <f>IFERROR(__xludf.DUMMYFUNCTION("GOOGLETRANSLATE(C983, ""en"", ""cs"")"),"Brazílie")</f>
        <v>Brazílie</v>
      </c>
      <c r="H983" s="7" t="str">
        <f>IFERROR(__xludf.DUMMYFUNCTION("GOOGLETRANSLATE(C983, ""en"", ""da"")"),"Brasilien")</f>
        <v>Brasilien</v>
      </c>
      <c r="I983" s="1" t="s">
        <v>20675</v>
      </c>
      <c r="J983" s="6" t="s">
        <v>132</v>
      </c>
      <c r="K983" s="1" t="s">
        <v>20676</v>
      </c>
      <c r="L983" s="7" t="str">
        <f>IFERROR(__xludf.DUMMYFUNCTION("GOOGLETRANSLATE(C983, ""en"", ""fi"")"),"Brasilia")</f>
        <v>Brasilia</v>
      </c>
      <c r="M983" s="1" t="s">
        <v>20677</v>
      </c>
      <c r="N983" s="6" t="s">
        <v>132</v>
      </c>
      <c r="O983" s="6" t="s">
        <v>132</v>
      </c>
      <c r="P983" s="1" t="s">
        <v>20674</v>
      </c>
      <c r="Q983" s="7" t="str">
        <f>IFERROR(__xludf.DUMMYFUNCTION("GOOGLETRANSLATE(C983, ""en"", ""in"")"),"Brazil")</f>
        <v>Brazil</v>
      </c>
      <c r="R983" s="7" t="str">
        <f>IFERROR(__xludf.DUMMYFUNCTION("GOOGLETRANSLATE(C983, ""en"", ""it"")"),"Brasile")</f>
        <v>Brasile</v>
      </c>
      <c r="S983" s="6" t="s">
        <v>132</v>
      </c>
      <c r="T983" s="7" t="str">
        <f>IFERROR(__xludf.DUMMYFUNCTION("GOOGLETRANSLATE(C983, ""en"", ""ja"")"),"ブラジル")</f>
        <v>ブラジル</v>
      </c>
      <c r="U983" s="7" t="str">
        <f>IFERROR(__xludf.DUMMYFUNCTION("GOOGLETRANSLATE(C983, ""en"", ""ko"")"),"브라질")</f>
        <v>브라질</v>
      </c>
      <c r="V983" s="7" t="str">
        <f>IFERROR(__xludf.DUMMYFUNCTION("GOOGLETRANSLATE(C983, ""en"", ""ms"")"),"Brazil")</f>
        <v>Brazil</v>
      </c>
      <c r="W983" s="7" t="str">
        <f>IFERROR(__xludf.DUMMYFUNCTION("GOOGLETRANSLATE(C983, ""en"", ""nl"")"),"Brazilië")</f>
        <v>Brazilië</v>
      </c>
      <c r="X983" s="7" t="str">
        <f>IFERROR(__xludf.DUMMYFUNCTION("GOOGLETRANSLATE(C983, ""en"", ""no"")"),"Brasil")</f>
        <v>Brasil</v>
      </c>
      <c r="Y983" s="7" t="str">
        <f>IFERROR(__xludf.DUMMYFUNCTION("GOOGLETRANSLATE(C983, ""en"", ""pl"")"),"Brazylia")</f>
        <v>Brazylia</v>
      </c>
      <c r="Z983" s="7" t="str">
        <f>IFERROR(__xludf.DUMMYFUNCTION("GOOGLETRANSLATE(C983, ""en"", ""pt"")"),"Brasil")</f>
        <v>Brasil</v>
      </c>
      <c r="AA983" s="7" t="str">
        <f>IFERROR(__xludf.DUMMYFUNCTION("GOOGLETRANSLATE(C983, ""en"", ""ro"")"),"Brazilia")</f>
        <v>Brazilia</v>
      </c>
      <c r="AB983" s="1" t="s">
        <v>20678</v>
      </c>
      <c r="AC983" s="7" t="str">
        <f>IFERROR(__xludf.DUMMYFUNCTION("GOOGLETRANSLATE(C983, ""en"", ""sk"")"),"Brazília")</f>
        <v>Brazília</v>
      </c>
      <c r="AD983" s="6" t="s">
        <v>132</v>
      </c>
      <c r="AE983" s="1" t="s">
        <v>20674</v>
      </c>
      <c r="AF983" s="7" t="str">
        <f>IFERROR(__xludf.DUMMYFUNCTION("GOOGLETRANSLATE(C983, ""en"", ""sv"")"),"Brasilien")</f>
        <v>Brasilien</v>
      </c>
      <c r="AG983" s="6" t="s">
        <v>132</v>
      </c>
      <c r="AH983" s="7" t="str">
        <f>IFERROR(__xludf.DUMMYFUNCTION("GOOGLETRANSLATE(C983, ""en"", ""tr"")"),"Brezilya")</f>
        <v>Brezilya</v>
      </c>
      <c r="AI983" s="6" t="s">
        <v>132</v>
      </c>
      <c r="AJ983" s="6" t="s">
        <v>132</v>
      </c>
      <c r="AK983" s="7" t="str">
        <f>IFERROR(__xludf.DUMMYFUNCTION("GOOGLETRANSLATE(C983, ""en"", ""zh"")"),"巴西")</f>
        <v>巴西</v>
      </c>
      <c r="AL983" s="6" t="s">
        <v>132</v>
      </c>
    </row>
    <row r="984" ht="15.75" hidden="1" customHeight="1">
      <c r="A984" s="1" t="s">
        <v>38</v>
      </c>
      <c r="B984" s="1" t="s">
        <v>20679</v>
      </c>
      <c r="C984" s="1" t="s">
        <v>20680</v>
      </c>
      <c r="D984" s="8" t="s">
        <v>20681</v>
      </c>
      <c r="E984" s="1" t="s">
        <v>20682</v>
      </c>
      <c r="F984" s="6" t="s">
        <v>20683</v>
      </c>
      <c r="G984" s="7" t="str">
        <f>IFERROR(__xludf.DUMMYFUNCTION("GOOGLETRANSLATE(C984, ""en"", ""cs"")"),"Registrace se nezdařila: Zkuste to znovu později")</f>
        <v>Registrace se nezdařila: Zkuste to znovu později</v>
      </c>
      <c r="H984" s="7" t="str">
        <f>IFERROR(__xludf.DUMMYFUNCTION("GOOGLETRANSLATE(C984, ""en"", ""da"")"),"Registrering mislykkedes: Prøv igen senere")</f>
        <v>Registrering mislykkedes: Prøv igen senere</v>
      </c>
      <c r="I984" s="1" t="s">
        <v>20684</v>
      </c>
      <c r="J984" s="6" t="s">
        <v>132</v>
      </c>
      <c r="K984" s="1" t="s">
        <v>20685</v>
      </c>
      <c r="L984" s="7" t="str">
        <f>IFERROR(__xludf.DUMMYFUNCTION("GOOGLETRANSLATE(C984, ""en"", ""fi"")"),"Rekisteröinti epäonnistui: Yritä myöhemmin uudelleen")</f>
        <v>Rekisteröinti epäonnistui: Yritä myöhemmin uudelleen</v>
      </c>
      <c r="M984" s="1" t="s">
        <v>20686</v>
      </c>
      <c r="N984" s="6" t="s">
        <v>20687</v>
      </c>
      <c r="O984" s="6" t="s">
        <v>132</v>
      </c>
      <c r="P984" s="1" t="s">
        <v>20688</v>
      </c>
      <c r="Q984" s="9" t="s">
        <v>20689</v>
      </c>
      <c r="R984" s="1" t="s">
        <v>20690</v>
      </c>
      <c r="S984" s="6" t="s">
        <v>132</v>
      </c>
      <c r="T984" s="1" t="s">
        <v>20691</v>
      </c>
      <c r="U984" s="1" t="s">
        <v>20692</v>
      </c>
      <c r="V984" s="7" t="str">
        <f>IFERROR(__xludf.DUMMYFUNCTION("GOOGLETRANSLATE(C984, ""en"", ""ms"")"),"Pendaftaran Gagal: Cuba lagi kemudian")</f>
        <v>Pendaftaran Gagal: Cuba lagi kemudian</v>
      </c>
      <c r="W984" s="1" t="s">
        <v>20693</v>
      </c>
      <c r="X984" s="7" t="str">
        <f>IFERROR(__xludf.DUMMYFUNCTION("GOOGLETRANSLATE(C984, ""en"", ""no"")"),"Registrering mislyktes: Prøv igjen senere")</f>
        <v>Registrering mislyktes: Prøv igjen senere</v>
      </c>
      <c r="Y984" s="1" t="s">
        <v>20694</v>
      </c>
      <c r="Z984" s="1" t="s">
        <v>20695</v>
      </c>
      <c r="AA984" s="7" t="str">
        <f>IFERROR(__xludf.DUMMYFUNCTION("GOOGLETRANSLATE(C984, ""en"", ""ro"")"),"Înregistrarea a eșuat: încercați din nou mai târziu")</f>
        <v>Înregistrarea a eșuat: încercați din nou mai târziu</v>
      </c>
      <c r="AB984" s="1" t="s">
        <v>20696</v>
      </c>
      <c r="AC984" s="7" t="str">
        <f>IFERROR(__xludf.DUMMYFUNCTION("GOOGLETRANSLATE(C984, ""en"", ""sk"")"),"Registrácia zlyhala: Skúste to znova neskôr")</f>
        <v>Registrácia zlyhala: Skúste to znova neskôr</v>
      </c>
      <c r="AD984" s="6" t="s">
        <v>132</v>
      </c>
      <c r="AE984" s="1" t="s">
        <v>20697</v>
      </c>
      <c r="AF984" s="1" t="s">
        <v>20698</v>
      </c>
      <c r="AG984" s="6" t="s">
        <v>132</v>
      </c>
      <c r="AH984" s="7" t="str">
        <f>IFERROR(__xludf.DUMMYFUNCTION("GOOGLETRANSLATE(C984, ""en"", ""tr"")"),"Kayıt başarısız oldu: Daha sonra tekrar deneyin")</f>
        <v>Kayıt başarısız oldu: Daha sonra tekrar deneyin</v>
      </c>
      <c r="AI984" s="6" t="s">
        <v>20699</v>
      </c>
      <c r="AJ984" s="6" t="s">
        <v>132</v>
      </c>
      <c r="AK984" s="7" t="str">
        <f>IFERROR(__xludf.DUMMYFUNCTION("GOOGLETRANSLATE(C984, ""en"", ""zh"")"),"注册失败：稍后再试")</f>
        <v>注册失败：稍后再试</v>
      </c>
      <c r="AL984" s="6" t="s">
        <v>20700</v>
      </c>
    </row>
    <row r="985" ht="15.75" hidden="1" customHeight="1">
      <c r="A985" s="1" t="s">
        <v>38</v>
      </c>
      <c r="B985" s="1" t="s">
        <v>20701</v>
      </c>
      <c r="C985" s="1" t="s">
        <v>20701</v>
      </c>
      <c r="D985" s="8" t="s">
        <v>20702</v>
      </c>
      <c r="E985" s="1" t="s">
        <v>20703</v>
      </c>
      <c r="F985" s="6" t="s">
        <v>20701</v>
      </c>
      <c r="G985" s="7" t="str">
        <f>IFERROR(__xludf.DUMMYFUNCTION("GOOGLETRANSLATE(C985, ""en"", ""cs"")"),"Zvuk")</f>
        <v>Zvuk</v>
      </c>
      <c r="H985" s="7" t="str">
        <f>IFERROR(__xludf.DUMMYFUNCTION("GOOGLETRANSLATE(C985, ""en"", ""da"")"),"AUDIO.")</f>
        <v>AUDIO.</v>
      </c>
      <c r="I985" s="1" t="s">
        <v>20704</v>
      </c>
      <c r="J985" s="6" t="s">
        <v>132</v>
      </c>
      <c r="K985" s="1" t="s">
        <v>20701</v>
      </c>
      <c r="L985" s="7" t="str">
        <f>IFERROR(__xludf.DUMMYFUNCTION("GOOGLETRANSLATE(C985, ""en"", ""fi"")"),"audio-")</f>
        <v>audio-</v>
      </c>
      <c r="M985" s="1" t="s">
        <v>20701</v>
      </c>
      <c r="N985" s="6" t="s">
        <v>20705</v>
      </c>
      <c r="O985" s="6" t="s">
        <v>132</v>
      </c>
      <c r="P985" s="1" t="s">
        <v>20706</v>
      </c>
      <c r="Q985" s="9" t="s">
        <v>20701</v>
      </c>
      <c r="R985" s="1" t="s">
        <v>20701</v>
      </c>
      <c r="S985" s="6" t="s">
        <v>132</v>
      </c>
      <c r="T985" s="1" t="s">
        <v>20707</v>
      </c>
      <c r="U985" s="1" t="s">
        <v>20708</v>
      </c>
      <c r="V985" s="7" t="str">
        <f>IFERROR(__xludf.DUMMYFUNCTION("GOOGLETRANSLATE(C985, ""en"", ""ms"")"),"audio")</f>
        <v>audio</v>
      </c>
      <c r="W985" s="1" t="s">
        <v>20701</v>
      </c>
      <c r="X985" s="7" t="str">
        <f>IFERROR(__xludf.DUMMYFUNCTION("GOOGLETRANSLATE(C985, ""en"", ""no"")"),"lyd")</f>
        <v>lyd</v>
      </c>
      <c r="Y985" s="1" t="s">
        <v>20709</v>
      </c>
      <c r="Z985" s="1" t="s">
        <v>20710</v>
      </c>
      <c r="AA985" s="7" t="str">
        <f>IFERROR(__xludf.DUMMYFUNCTION("GOOGLETRANSLATE(C985, ""en"", ""ro"")"),"audio")</f>
        <v>audio</v>
      </c>
      <c r="AB985" s="1" t="s">
        <v>20703</v>
      </c>
      <c r="AC985" s="1" t="s">
        <v>20701</v>
      </c>
      <c r="AD985" s="6" t="s">
        <v>132</v>
      </c>
      <c r="AE985" s="1" t="s">
        <v>20711</v>
      </c>
      <c r="AF985" s="1" t="s">
        <v>20712</v>
      </c>
      <c r="AG985" s="6" t="s">
        <v>132</v>
      </c>
      <c r="AH985" s="7" t="str">
        <f>IFERROR(__xludf.DUMMYFUNCTION("GOOGLETRANSLATE(C985, ""en"", ""tr"")"),"ses")</f>
        <v>ses</v>
      </c>
      <c r="AI985" s="6" t="s">
        <v>20713</v>
      </c>
      <c r="AJ985" s="6" t="s">
        <v>20714</v>
      </c>
      <c r="AK985" s="7" t="str">
        <f>IFERROR(__xludf.DUMMYFUNCTION("GOOGLETRANSLATE(C985, ""en"", ""zh"")"),"声音的")</f>
        <v>声音的</v>
      </c>
      <c r="AL985" s="6" t="s">
        <v>20715</v>
      </c>
    </row>
    <row r="986" ht="15.75" hidden="1" customHeight="1">
      <c r="A986" s="1" t="s">
        <v>38</v>
      </c>
      <c r="B986" s="1" t="s">
        <v>20716</v>
      </c>
      <c r="C986" s="1" t="s">
        <v>20717</v>
      </c>
      <c r="D986" s="8" t="s">
        <v>20718</v>
      </c>
      <c r="E986" s="1" t="s">
        <v>20719</v>
      </c>
      <c r="F986" s="6" t="s">
        <v>20720</v>
      </c>
      <c r="G986" s="7" t="str">
        <f>IFERROR(__xludf.DUMMYFUNCTION("GOOGLETRANSLATE(C986, ""en"", ""cs"")"),"Zkontrolujte velikost%")</f>
        <v>Zkontrolujte velikost%</v>
      </c>
      <c r="H986" s="7" t="str">
        <f>IFERROR(__xludf.DUMMYFUNCTION("GOOGLETRANSLATE(C986, ""en"", ""da"")"),"Kontroller% s størrelse")</f>
        <v>Kontroller% s størrelse</v>
      </c>
      <c r="I986" s="1" t="s">
        <v>20721</v>
      </c>
      <c r="J986" s="6" t="s">
        <v>132</v>
      </c>
      <c r="K986" s="1" t="s">
        <v>20722</v>
      </c>
      <c r="L986" s="7" t="str">
        <f>IFERROR(__xludf.DUMMYFUNCTION("GOOGLETRANSLATE(C986, ""en"", ""fi"")"),"Tarkista% s koko")</f>
        <v>Tarkista% s koko</v>
      </c>
      <c r="M986" s="1" t="s">
        <v>20723</v>
      </c>
      <c r="N986" s="6" t="s">
        <v>20724</v>
      </c>
      <c r="O986" s="6" t="s">
        <v>132</v>
      </c>
      <c r="P986" s="1" t="s">
        <v>20725</v>
      </c>
      <c r="Q986" s="9" t="s">
        <v>20726</v>
      </c>
      <c r="R986" s="1" t="s">
        <v>20727</v>
      </c>
      <c r="S986" s="6" t="s">
        <v>132</v>
      </c>
      <c r="T986" s="1" t="s">
        <v>20728</v>
      </c>
      <c r="U986" s="1" t="s">
        <v>20729</v>
      </c>
      <c r="V986" s="7" t="str">
        <f>IFERROR(__xludf.DUMMYFUNCTION("GOOGLETRANSLATE(C986, ""en"", ""ms"")"),"Semak% saiz")</f>
        <v>Semak% saiz</v>
      </c>
      <c r="W986" s="1" t="s">
        <v>20730</v>
      </c>
      <c r="X986" s="7" t="str">
        <f>IFERROR(__xludf.DUMMYFUNCTION("GOOGLETRANSLATE(C986, ""en"", ""no"")"),"Sjekk% s størrelse")</f>
        <v>Sjekk% s størrelse</v>
      </c>
      <c r="Y986" s="1" t="s">
        <v>20731</v>
      </c>
      <c r="Z986" s="1" t="s">
        <v>20732</v>
      </c>
      <c r="AA986" s="7" t="str">
        <f>IFERROR(__xludf.DUMMYFUNCTION("GOOGLETRANSLATE(C986, ""en"", ""ro"")"),"Verificați dimensiunea% s")</f>
        <v>Verificați dimensiunea% s</v>
      </c>
      <c r="AB986" s="1" t="s">
        <v>20733</v>
      </c>
      <c r="AC986" s="1" t="s">
        <v>20734</v>
      </c>
      <c r="AD986" s="6" t="s">
        <v>132</v>
      </c>
      <c r="AE986" s="1" t="s">
        <v>20735</v>
      </c>
      <c r="AF986" s="1" t="s">
        <v>20736</v>
      </c>
      <c r="AG986" s="6" t="s">
        <v>132</v>
      </c>
      <c r="AH986" s="7" t="str">
        <f>IFERROR(__xludf.DUMMYFUNCTION("GOOGLETRANSLATE(C986, ""en"", ""tr"")"),"% S boyutunu kontrol edin")</f>
        <v>% S boyutunu kontrol edin</v>
      </c>
      <c r="AI986" s="6" t="s">
        <v>20737</v>
      </c>
      <c r="AJ986" s="6" t="s">
        <v>20738</v>
      </c>
      <c r="AK986" s="7" t="str">
        <f>IFERROR(__xludf.DUMMYFUNCTION("GOOGLETRANSLATE(C986, ""en"", ""zh"")"),"检查％s尺寸")</f>
        <v>检查％s尺寸</v>
      </c>
      <c r="AL986" s="6" t="s">
        <v>20739</v>
      </c>
    </row>
    <row r="987" ht="15.75" customHeight="1">
      <c r="A987" s="1" t="s">
        <v>127</v>
      </c>
      <c r="B987" s="1" t="s">
        <v>20740</v>
      </c>
      <c r="C987" s="1" t="s">
        <v>20741</v>
      </c>
      <c r="D987" s="8" t="s">
        <v>20742</v>
      </c>
      <c r="E987" s="1" t="s">
        <v>20743</v>
      </c>
      <c r="F987" s="6" t="s">
        <v>132</v>
      </c>
      <c r="G987" s="1" t="s">
        <v>20744</v>
      </c>
      <c r="H987" s="1" t="s">
        <v>20745</v>
      </c>
      <c r="I987" s="1" t="s">
        <v>20746</v>
      </c>
      <c r="J987" s="6" t="s">
        <v>20747</v>
      </c>
      <c r="K987" s="1" t="s">
        <v>20748</v>
      </c>
      <c r="L987" s="1" t="s">
        <v>20749</v>
      </c>
      <c r="M987" s="1" t="s">
        <v>20750</v>
      </c>
      <c r="N987" s="6" t="s">
        <v>132</v>
      </c>
      <c r="O987" s="6" t="s">
        <v>20751</v>
      </c>
      <c r="P987" s="1" t="s">
        <v>20752</v>
      </c>
      <c r="Q987" s="1" t="s">
        <v>20753</v>
      </c>
      <c r="R987" s="1" t="s">
        <v>20754</v>
      </c>
      <c r="S987" s="10" t="s">
        <v>20755</v>
      </c>
      <c r="T987" s="1" t="s">
        <v>20756</v>
      </c>
      <c r="U987" s="1" t="s">
        <v>20757</v>
      </c>
      <c r="V987" s="1" t="s">
        <v>20758</v>
      </c>
      <c r="W987" s="1" t="s">
        <v>20759</v>
      </c>
      <c r="X987" s="1" t="s">
        <v>20760</v>
      </c>
      <c r="Y987" s="1" t="s">
        <v>20761</v>
      </c>
      <c r="Z987" s="1" t="s">
        <v>20762</v>
      </c>
      <c r="AA987" s="1" t="s">
        <v>20763</v>
      </c>
      <c r="AB987" s="1" t="s">
        <v>20764</v>
      </c>
      <c r="AC987" s="1" t="s">
        <v>20765</v>
      </c>
      <c r="AD987" s="6" t="s">
        <v>20766</v>
      </c>
      <c r="AE987" s="1" t="s">
        <v>20767</v>
      </c>
      <c r="AF987" s="1" t="s">
        <v>20768</v>
      </c>
      <c r="AG987" s="6" t="s">
        <v>20769</v>
      </c>
      <c r="AH987" s="1" t="s">
        <v>20770</v>
      </c>
      <c r="AI987" s="6" t="s">
        <v>132</v>
      </c>
      <c r="AJ987" s="6" t="s">
        <v>20771</v>
      </c>
      <c r="AK987" s="1" t="s">
        <v>20772</v>
      </c>
      <c r="AL987" s="6" t="s">
        <v>20773</v>
      </c>
    </row>
    <row r="988" ht="15.75" customHeight="1">
      <c r="A988" s="1" t="s">
        <v>127</v>
      </c>
      <c r="B988" s="1" t="s">
        <v>20774</v>
      </c>
      <c r="C988" s="1" t="s">
        <v>20775</v>
      </c>
      <c r="D988" s="8" t="s">
        <v>20776</v>
      </c>
      <c r="E988" s="1" t="s">
        <v>20777</v>
      </c>
      <c r="F988" s="6" t="s">
        <v>132</v>
      </c>
      <c r="G988" s="1" t="s">
        <v>20778</v>
      </c>
      <c r="H988" s="1" t="s">
        <v>20779</v>
      </c>
      <c r="I988" s="1" t="s">
        <v>20780</v>
      </c>
      <c r="J988" s="6" t="s">
        <v>20781</v>
      </c>
      <c r="K988" s="1" t="s">
        <v>20782</v>
      </c>
      <c r="L988" s="1" t="s">
        <v>20783</v>
      </c>
      <c r="M988" s="1" t="s">
        <v>20784</v>
      </c>
      <c r="N988" s="6" t="s">
        <v>132</v>
      </c>
      <c r="O988" s="6" t="s">
        <v>20785</v>
      </c>
      <c r="P988" s="1" t="s">
        <v>20786</v>
      </c>
      <c r="Q988" s="1" t="s">
        <v>20787</v>
      </c>
      <c r="R988" s="1" t="s">
        <v>20788</v>
      </c>
      <c r="S988" s="10" t="s">
        <v>20789</v>
      </c>
      <c r="T988" s="1" t="s">
        <v>20790</v>
      </c>
      <c r="U988" s="1" t="s">
        <v>20791</v>
      </c>
      <c r="V988" s="1" t="s">
        <v>20792</v>
      </c>
      <c r="W988" s="1" t="s">
        <v>20793</v>
      </c>
      <c r="X988" s="1" t="s">
        <v>20779</v>
      </c>
      <c r="Y988" s="1" t="s">
        <v>20794</v>
      </c>
      <c r="Z988" s="1" t="s">
        <v>20795</v>
      </c>
      <c r="AA988" s="1" t="s">
        <v>20796</v>
      </c>
      <c r="AB988" s="1" t="s">
        <v>20797</v>
      </c>
      <c r="AC988" s="1" t="s">
        <v>20798</v>
      </c>
      <c r="AD988" s="6" t="s">
        <v>20799</v>
      </c>
      <c r="AE988" s="1" t="s">
        <v>20800</v>
      </c>
      <c r="AF988" s="1" t="s">
        <v>20779</v>
      </c>
      <c r="AG988" s="6" t="s">
        <v>586</v>
      </c>
      <c r="AH988" s="1" t="s">
        <v>20801</v>
      </c>
      <c r="AI988" s="6" t="s">
        <v>132</v>
      </c>
      <c r="AJ988" s="6" t="s">
        <v>20802</v>
      </c>
      <c r="AK988" s="1" t="s">
        <v>589</v>
      </c>
      <c r="AL988" s="6" t="s">
        <v>132</v>
      </c>
    </row>
    <row r="989" ht="15.75" hidden="1" customHeight="1">
      <c r="A989" s="1" t="s">
        <v>38</v>
      </c>
      <c r="B989" s="1" t="s">
        <v>20803</v>
      </c>
      <c r="C989" s="1" t="s">
        <v>20804</v>
      </c>
      <c r="D989" s="8" t="s">
        <v>20805</v>
      </c>
      <c r="E989" s="1" t="s">
        <v>20806</v>
      </c>
      <c r="F989" s="6" t="s">
        <v>20807</v>
      </c>
      <c r="G989" s="7" t="str">
        <f>IFERROR(__xludf.DUMMYFUNCTION("GOOGLETRANSLATE(C989, ""en"", ""cs"")"),"Přidat do adresáře")</f>
        <v>Přidat do adresáře</v>
      </c>
      <c r="H989" s="7" t="str">
        <f>IFERROR(__xludf.DUMMYFUNCTION("GOOGLETRANSLATE(C989, ""en"", ""da"")"),"Tilføj til Adressebog")</f>
        <v>Tilføj til Adressebog</v>
      </c>
      <c r="I989" s="1" t="s">
        <v>20808</v>
      </c>
      <c r="J989" s="6" t="s">
        <v>132</v>
      </c>
      <c r="K989" s="1" t="s">
        <v>20809</v>
      </c>
      <c r="L989" s="7" t="str">
        <f>IFERROR(__xludf.DUMMYFUNCTION("GOOGLETRANSLATE(C989, ""en"", ""fi"")"),"Lisää osoitekirjaan")</f>
        <v>Lisää osoitekirjaan</v>
      </c>
      <c r="M989" s="1" t="s">
        <v>20810</v>
      </c>
      <c r="N989" s="6" t="s">
        <v>20811</v>
      </c>
      <c r="O989" s="6" t="s">
        <v>132</v>
      </c>
      <c r="P989" s="1" t="s">
        <v>20812</v>
      </c>
      <c r="Q989" s="9" t="s">
        <v>20813</v>
      </c>
      <c r="R989" s="1" t="s">
        <v>20814</v>
      </c>
      <c r="S989" s="6" t="s">
        <v>132</v>
      </c>
      <c r="T989" s="1" t="s">
        <v>20815</v>
      </c>
      <c r="U989" s="1" t="s">
        <v>20816</v>
      </c>
      <c r="V989" s="7" t="str">
        <f>IFERROR(__xludf.DUMMYFUNCTION("GOOGLETRANSLATE(C989, ""en"", ""ms"")"),"Tambah ke buku alamat")</f>
        <v>Tambah ke buku alamat</v>
      </c>
      <c r="W989" s="1" t="s">
        <v>20817</v>
      </c>
      <c r="X989" s="7" t="str">
        <f>IFERROR(__xludf.DUMMYFUNCTION("GOOGLETRANSLATE(C989, ""en"", ""no"")"),"Legg til i Adresseboken")</f>
        <v>Legg til i Adresseboken</v>
      </c>
      <c r="Y989" s="1" t="s">
        <v>20818</v>
      </c>
      <c r="Z989" s="1" t="s">
        <v>20819</v>
      </c>
      <c r="AA989" s="7" t="str">
        <f>IFERROR(__xludf.DUMMYFUNCTION("GOOGLETRANSLATE(C989, ""en"", ""ro"")"),"Adauga la agenda cu adrese")</f>
        <v>Adauga la agenda cu adrese</v>
      </c>
      <c r="AB989" s="1" t="s">
        <v>20820</v>
      </c>
      <c r="AC989" s="7" t="str">
        <f>IFERROR(__xludf.DUMMYFUNCTION("GOOGLETRANSLATE(C989, ""en"", ""sk"")"),"Pridať do adresára")</f>
        <v>Pridať do adresára</v>
      </c>
      <c r="AD989" s="6" t="s">
        <v>132</v>
      </c>
      <c r="AE989" s="1" t="s">
        <v>20821</v>
      </c>
      <c r="AF989" s="1" t="s">
        <v>20822</v>
      </c>
      <c r="AG989" s="6" t="s">
        <v>132</v>
      </c>
      <c r="AH989" s="7" t="str">
        <f>IFERROR(__xludf.DUMMYFUNCTION("GOOGLETRANSLATE(C989, ""en"", ""tr"")"),"Adres defterine ekle")</f>
        <v>Adres defterine ekle</v>
      </c>
      <c r="AI989" s="6" t="s">
        <v>20823</v>
      </c>
      <c r="AJ989" s="6" t="s">
        <v>20824</v>
      </c>
      <c r="AK989" s="7" t="str">
        <f>IFERROR(__xludf.DUMMYFUNCTION("GOOGLETRANSLATE(C989, ""en"", ""zh"")"),"加至地址簿")</f>
        <v>加至地址簿</v>
      </c>
      <c r="AL989" s="6" t="s">
        <v>20825</v>
      </c>
    </row>
    <row r="990" ht="15.75" hidden="1" customHeight="1">
      <c r="A990" s="1" t="s">
        <v>38</v>
      </c>
      <c r="B990" s="1" t="s">
        <v>20826</v>
      </c>
      <c r="C990" s="1" t="s">
        <v>3777</v>
      </c>
      <c r="D990" s="8" t="s">
        <v>20827</v>
      </c>
      <c r="E990" s="1" t="s">
        <v>3779</v>
      </c>
      <c r="F990" s="6" t="s">
        <v>3790</v>
      </c>
      <c r="G990" s="7" t="str">
        <f>IFERROR(__xludf.DUMMYFUNCTION("GOOGLETRANSLATE(C990, ""en"", ""cs"")"),"Vždy")</f>
        <v>Vždy</v>
      </c>
      <c r="H990" s="7" t="str">
        <f>IFERROR(__xludf.DUMMYFUNCTION("GOOGLETRANSLATE(C990, ""en"", ""da"")"),"Altid")</f>
        <v>Altid</v>
      </c>
      <c r="I990" s="1" t="s">
        <v>3782</v>
      </c>
      <c r="J990" s="6" t="s">
        <v>132</v>
      </c>
      <c r="K990" s="1" t="s">
        <v>3784</v>
      </c>
      <c r="L990" s="7" t="str">
        <f>IFERROR(__xludf.DUMMYFUNCTION("GOOGLETRANSLATE(C990, ""en"", ""fi"")"),"Aina")</f>
        <v>Aina</v>
      </c>
      <c r="M990" s="1" t="s">
        <v>3786</v>
      </c>
      <c r="N990" s="6" t="s">
        <v>3790</v>
      </c>
      <c r="O990" s="6" t="s">
        <v>132</v>
      </c>
      <c r="P990" s="1" t="s">
        <v>3788</v>
      </c>
      <c r="Q990" s="9" t="s">
        <v>20828</v>
      </c>
      <c r="R990" s="1" t="s">
        <v>3790</v>
      </c>
      <c r="S990" s="6" t="s">
        <v>132</v>
      </c>
      <c r="T990" s="1" t="s">
        <v>20829</v>
      </c>
      <c r="U990" s="1" t="s">
        <v>3793</v>
      </c>
      <c r="V990" s="7" t="str">
        <f>IFERROR(__xludf.DUMMYFUNCTION("GOOGLETRANSLATE(C990, ""en"", ""ms"")"),"Sentiasa")</f>
        <v>Sentiasa</v>
      </c>
      <c r="W990" s="1" t="s">
        <v>3795</v>
      </c>
      <c r="X990" s="7" t="str">
        <f>IFERROR(__xludf.DUMMYFUNCTION("GOOGLETRANSLATE(C990, ""en"", ""no"")"),"Alltid")</f>
        <v>Alltid</v>
      </c>
      <c r="Y990" s="1" t="s">
        <v>3797</v>
      </c>
      <c r="Z990" s="1" t="s">
        <v>3790</v>
      </c>
      <c r="AA990" s="7" t="str">
        <f>IFERROR(__xludf.DUMMYFUNCTION("GOOGLETRANSLATE(C990, ""en"", ""ro"")"),"Mereu")</f>
        <v>Mereu</v>
      </c>
      <c r="AB990" s="1" t="s">
        <v>3799</v>
      </c>
      <c r="AC990" s="7" t="str">
        <f>IFERROR(__xludf.DUMMYFUNCTION("GOOGLETRANSLATE(C990, ""en"", ""sk"")"),"Vždy")</f>
        <v>Vždy</v>
      </c>
      <c r="AD990" s="6" t="s">
        <v>132</v>
      </c>
      <c r="AE990" s="1" t="s">
        <v>20830</v>
      </c>
      <c r="AF990" s="1" t="s">
        <v>3796</v>
      </c>
      <c r="AG990" s="6" t="s">
        <v>132</v>
      </c>
      <c r="AH990" s="7" t="str">
        <f>IFERROR(__xludf.DUMMYFUNCTION("GOOGLETRANSLATE(C990, ""en"", ""tr"")"),"Her zaman")</f>
        <v>Her zaman</v>
      </c>
      <c r="AI990" s="6" t="s">
        <v>20831</v>
      </c>
      <c r="AJ990" s="6" t="s">
        <v>3804</v>
      </c>
      <c r="AK990" s="7" t="str">
        <f>IFERROR(__xludf.DUMMYFUNCTION("GOOGLETRANSLATE(C990, ""en"", ""zh"")"),"总是")</f>
        <v>总是</v>
      </c>
      <c r="AL990" s="6" t="s">
        <v>20832</v>
      </c>
    </row>
    <row r="991" ht="15.75" hidden="1" customHeight="1">
      <c r="A991" s="1" t="s">
        <v>38</v>
      </c>
      <c r="B991" s="1" t="s">
        <v>20833</v>
      </c>
      <c r="C991" s="1" t="s">
        <v>20834</v>
      </c>
      <c r="D991" s="7" t="str">
        <f>IFERROR(__xludf.DUMMYFUNCTION("GOOGLETRANSLATE(C991, ""en"", ""ar"")"),"مهلة الخادم البعيد")</f>
        <v>مهلة الخادم البعيد</v>
      </c>
      <c r="E991" s="1" t="s">
        <v>20835</v>
      </c>
      <c r="F991" s="6" t="s">
        <v>132</v>
      </c>
      <c r="G991" s="7" t="str">
        <f>IFERROR(__xludf.DUMMYFUNCTION("GOOGLETRANSLATE(C991, ""en"", ""cs"")"),"Časový limit vzdáleného serveru")</f>
        <v>Časový limit vzdáleného serveru</v>
      </c>
      <c r="H991" s="7" t="str">
        <f>IFERROR(__xludf.DUMMYFUNCTION("GOOGLETRANSLATE(C991, ""en"", ""da"")"),"Fjernserver Timeout.")</f>
        <v>Fjernserver Timeout.</v>
      </c>
      <c r="I991" s="1" t="s">
        <v>20836</v>
      </c>
      <c r="J991" s="6" t="s">
        <v>132</v>
      </c>
      <c r="K991" s="1" t="s">
        <v>20837</v>
      </c>
      <c r="L991" s="7" t="str">
        <f>IFERROR(__xludf.DUMMYFUNCTION("GOOGLETRANSLATE(C991, ""en"", ""fi"")"),"Etäpalvelimen aikakatkaisu")</f>
        <v>Etäpalvelimen aikakatkaisu</v>
      </c>
      <c r="M991" s="1" t="s">
        <v>20838</v>
      </c>
      <c r="N991" s="6" t="s">
        <v>20839</v>
      </c>
      <c r="O991" s="6" t="s">
        <v>132</v>
      </c>
      <c r="P991" s="1" t="s">
        <v>20840</v>
      </c>
      <c r="Q991" s="7" t="str">
        <f>IFERROR(__xludf.DUMMYFUNCTION("GOOGLETRANSLATE(C991, ""en"", ""in"")"),"Batas waktu server jarak jauh")</f>
        <v>Batas waktu server jarak jauh</v>
      </c>
      <c r="R991" s="1" t="s">
        <v>20841</v>
      </c>
      <c r="S991" s="6" t="s">
        <v>132</v>
      </c>
      <c r="T991" s="7" t="str">
        <f>IFERROR(__xludf.DUMMYFUNCTION("GOOGLETRANSLATE(C991, ""en"", ""ja"")"),"リモートサーバーのタイムアウト")</f>
        <v>リモートサーバーのタイムアウト</v>
      </c>
      <c r="U991" s="7" t="str">
        <f>IFERROR(__xludf.DUMMYFUNCTION("GOOGLETRANSLATE(C991, ""en"", ""ko"")"),"원격 서버 시간 초과")</f>
        <v>원격 서버 시간 초과</v>
      </c>
      <c r="V991" s="7" t="str">
        <f>IFERROR(__xludf.DUMMYFUNCTION("GOOGLETRANSLATE(C991, ""en"", ""ms"")"),"Waktu Pelayan Remote.")</f>
        <v>Waktu Pelayan Remote.</v>
      </c>
      <c r="W991" s="1" t="s">
        <v>20842</v>
      </c>
      <c r="X991" s="7" t="str">
        <f>IFERROR(__xludf.DUMMYFUNCTION("GOOGLETRANSLATE(C991, ""en"", ""no"")"),"Remote Server Timeout")</f>
        <v>Remote Server Timeout</v>
      </c>
      <c r="Y991" s="1" t="s">
        <v>20843</v>
      </c>
      <c r="Z991" s="7" t="str">
        <f>IFERROR(__xludf.DUMMYFUNCTION("GOOGLETRANSLATE(C991, ""en"", ""pt"")"),"Tempo limite do servidor remoto")</f>
        <v>Tempo limite do servidor remoto</v>
      </c>
      <c r="AA991" s="7" t="str">
        <f>IFERROR(__xludf.DUMMYFUNCTION("GOOGLETRANSLATE(C991, ""en"", ""ro"")"),"Timp de expirare a serverului de la distanță")</f>
        <v>Timp de expirare a serverului de la distanță</v>
      </c>
      <c r="AB991" s="7" t="str">
        <f>IFERROR(__xludf.DUMMYFUNCTION("GOOGLETRANSLATE(C991, ""en"", ""ru"")"),"Тайм-аут удаленного сервера")</f>
        <v>Тайм-аут удаленного сервера</v>
      </c>
      <c r="AC991" s="7" t="str">
        <f>IFERROR(__xludf.DUMMYFUNCTION("GOOGLETRANSLATE(C991, ""en"", ""sk"")"),"Časový limit servera")</f>
        <v>Časový limit servera</v>
      </c>
      <c r="AD991" s="6" t="s">
        <v>132</v>
      </c>
      <c r="AE991" s="7" t="str">
        <f>IFERROR(__xludf.DUMMYFUNCTION("GOOGLETRANSLATE(C991, ""en"", ""sr"")"),"Даљински временски знак сервера")</f>
        <v>Даљински временски знак сервера</v>
      </c>
      <c r="AF991" s="7" t="str">
        <f>IFERROR(__xludf.DUMMYFUNCTION("GOOGLETRANSLATE(C991, ""en"", ""sv"")"),"Fjärrserver timeout")</f>
        <v>Fjärrserver timeout</v>
      </c>
      <c r="AG991" s="6" t="s">
        <v>132</v>
      </c>
      <c r="AH991" s="7" t="str">
        <f>IFERROR(__xludf.DUMMYFUNCTION("GOOGLETRANSLATE(C991, ""en"", ""tr"")"),"Uzak Sunucu Zaman Aşımı")</f>
        <v>Uzak Sunucu Zaman Aşımı</v>
      </c>
      <c r="AI991" s="6" t="s">
        <v>132</v>
      </c>
      <c r="AJ991" s="6" t="s">
        <v>132</v>
      </c>
      <c r="AK991" s="7" t="str">
        <f>IFERROR(__xludf.DUMMYFUNCTION("GOOGLETRANSLATE(C991, ""en"", ""zh"")"),"远程服务器超时")</f>
        <v>远程服务器超时</v>
      </c>
      <c r="AL991" s="6" t="s">
        <v>132</v>
      </c>
    </row>
    <row r="992" ht="15.75" customHeight="1">
      <c r="A992" s="1" t="s">
        <v>127</v>
      </c>
      <c r="B992" s="1" t="s">
        <v>20844</v>
      </c>
      <c r="C992" s="1" t="s">
        <v>20845</v>
      </c>
      <c r="D992" s="8" t="s">
        <v>20846</v>
      </c>
      <c r="E992" s="1" t="s">
        <v>20847</v>
      </c>
      <c r="F992" s="6" t="s">
        <v>132</v>
      </c>
      <c r="G992" s="1" t="s">
        <v>20848</v>
      </c>
      <c r="H992" s="1" t="s">
        <v>20849</v>
      </c>
      <c r="I992" s="1" t="s">
        <v>20845</v>
      </c>
      <c r="J992" s="6" t="s">
        <v>20850</v>
      </c>
      <c r="K992" s="1" t="s">
        <v>20845</v>
      </c>
      <c r="L992" s="1" t="s">
        <v>20851</v>
      </c>
      <c r="M992" s="1" t="s">
        <v>20852</v>
      </c>
      <c r="N992" s="6" t="s">
        <v>132</v>
      </c>
      <c r="O992" s="6" t="s">
        <v>20853</v>
      </c>
      <c r="P992" s="1" t="s">
        <v>20845</v>
      </c>
      <c r="Q992" s="1" t="s">
        <v>20854</v>
      </c>
      <c r="R992" s="1" t="s">
        <v>20845</v>
      </c>
      <c r="S992" s="10" t="s">
        <v>20855</v>
      </c>
      <c r="T992" s="1" t="s">
        <v>20856</v>
      </c>
      <c r="U992" s="1" t="s">
        <v>20857</v>
      </c>
      <c r="V992" s="1" t="s">
        <v>20858</v>
      </c>
      <c r="W992" s="1" t="s">
        <v>20845</v>
      </c>
      <c r="X992" s="1" t="s">
        <v>20859</v>
      </c>
      <c r="Y992" s="1" t="s">
        <v>20860</v>
      </c>
      <c r="Z992" s="1" t="s">
        <v>20861</v>
      </c>
      <c r="AA992" s="1" t="s">
        <v>20862</v>
      </c>
      <c r="AB992" s="1" t="s">
        <v>20863</v>
      </c>
      <c r="AC992" s="1" t="s">
        <v>20864</v>
      </c>
      <c r="AD992" s="6" t="s">
        <v>20865</v>
      </c>
      <c r="AE992" s="1" t="s">
        <v>20845</v>
      </c>
      <c r="AF992" s="1" t="s">
        <v>20866</v>
      </c>
      <c r="AG992" s="6" t="s">
        <v>20867</v>
      </c>
      <c r="AH992" s="1" t="s">
        <v>20868</v>
      </c>
      <c r="AI992" s="6" t="s">
        <v>132</v>
      </c>
      <c r="AJ992" s="6" t="s">
        <v>20869</v>
      </c>
      <c r="AK992" s="1" t="s">
        <v>20870</v>
      </c>
      <c r="AL992" s="6" t="s">
        <v>20871</v>
      </c>
    </row>
    <row r="993" ht="15.75" hidden="1" customHeight="1">
      <c r="A993" s="1" t="s">
        <v>38</v>
      </c>
      <c r="B993" s="1" t="s">
        <v>20872</v>
      </c>
      <c r="C993" s="1" t="s">
        <v>3812</v>
      </c>
      <c r="D993" s="8" t="s">
        <v>20873</v>
      </c>
      <c r="E993" s="1" t="s">
        <v>3814</v>
      </c>
      <c r="F993" s="6" t="s">
        <v>20874</v>
      </c>
      <c r="G993" s="7" t="str">
        <f>IFERROR(__xludf.DUMMYFUNCTION("GOOGLETRANSLATE(C993, ""en"", ""cs"")"),"zrušení")</f>
        <v>zrušení</v>
      </c>
      <c r="H993" s="7" t="str">
        <f>IFERROR(__xludf.DUMMYFUNCTION("GOOGLETRANSLATE(C993, ""en"", ""da"")"),"Afbestille")</f>
        <v>Afbestille</v>
      </c>
      <c r="I993" s="1" t="s">
        <v>3817</v>
      </c>
      <c r="J993" s="6" t="s">
        <v>132</v>
      </c>
      <c r="K993" s="1" t="s">
        <v>3819</v>
      </c>
      <c r="L993" s="7" t="str">
        <f>IFERROR(__xludf.DUMMYFUNCTION("GOOGLETRANSLATE(C993, ""en"", ""fi"")"),"Peruuttaa")</f>
        <v>Peruuttaa</v>
      </c>
      <c r="M993" s="1" t="s">
        <v>3821</v>
      </c>
      <c r="N993" s="6" t="s">
        <v>3819</v>
      </c>
      <c r="O993" s="6" t="s">
        <v>132</v>
      </c>
      <c r="P993" s="1" t="s">
        <v>3823</v>
      </c>
      <c r="Q993" s="9" t="s">
        <v>20875</v>
      </c>
      <c r="R993" s="1" t="s">
        <v>3825</v>
      </c>
      <c r="S993" s="6" t="s">
        <v>132</v>
      </c>
      <c r="T993" s="1" t="s">
        <v>3827</v>
      </c>
      <c r="U993" s="1" t="s">
        <v>3828</v>
      </c>
      <c r="V993" s="7" t="str">
        <f>IFERROR(__xludf.DUMMYFUNCTION("GOOGLETRANSLATE(C993, ""en"", ""ms"")"),"Membatalkan")</f>
        <v>Membatalkan</v>
      </c>
      <c r="W993" s="1" t="s">
        <v>20876</v>
      </c>
      <c r="X993" s="7" t="str">
        <f>IFERROR(__xludf.DUMMYFUNCTION("GOOGLETRANSLATE(C993, ""en"", ""no"")"),"Avbryt")</f>
        <v>Avbryt</v>
      </c>
      <c r="Y993" s="1" t="s">
        <v>3831</v>
      </c>
      <c r="Z993" s="1" t="s">
        <v>3819</v>
      </c>
      <c r="AA993" s="7" t="str">
        <f>IFERROR(__xludf.DUMMYFUNCTION("GOOGLETRANSLATE(C993, ""en"", ""ro"")"),"Anulare")</f>
        <v>Anulare</v>
      </c>
      <c r="AB993" s="1" t="s">
        <v>20877</v>
      </c>
      <c r="AC993" s="1" t="s">
        <v>3834</v>
      </c>
      <c r="AD993" s="6" t="s">
        <v>132</v>
      </c>
      <c r="AE993" s="1" t="s">
        <v>20878</v>
      </c>
      <c r="AF993" s="1" t="s">
        <v>3830</v>
      </c>
      <c r="AG993" s="6" t="s">
        <v>132</v>
      </c>
      <c r="AH993" s="7" t="str">
        <f>IFERROR(__xludf.DUMMYFUNCTION("GOOGLETRANSLATE(C993, ""en"", ""tr"")"),"İptal etmek")</f>
        <v>İptal etmek</v>
      </c>
      <c r="AI993" s="6" t="s">
        <v>20879</v>
      </c>
      <c r="AJ993" s="6" t="s">
        <v>20880</v>
      </c>
      <c r="AK993" s="7" t="str">
        <f>IFERROR(__xludf.DUMMYFUNCTION("GOOGLETRANSLATE(C993, ""en"", ""zh"")"),"取消")</f>
        <v>取消</v>
      </c>
      <c r="AL993" s="6" t="s">
        <v>3840</v>
      </c>
    </row>
    <row r="994" ht="15.75" customHeight="1">
      <c r="A994" s="1" t="s">
        <v>127</v>
      </c>
      <c r="B994" s="1" t="s">
        <v>20881</v>
      </c>
      <c r="C994" s="1" t="s">
        <v>20882</v>
      </c>
      <c r="D994" s="8" t="s">
        <v>20883</v>
      </c>
      <c r="E994" s="1" t="s">
        <v>20882</v>
      </c>
      <c r="F994" s="6" t="s">
        <v>132</v>
      </c>
      <c r="G994" s="1" t="s">
        <v>20882</v>
      </c>
      <c r="H994" s="1" t="s">
        <v>20882</v>
      </c>
      <c r="I994" s="1" t="s">
        <v>20882</v>
      </c>
      <c r="J994" s="6" t="s">
        <v>20882</v>
      </c>
      <c r="K994" s="1" t="s">
        <v>20882</v>
      </c>
      <c r="L994" s="1" t="s">
        <v>20882</v>
      </c>
      <c r="M994" s="1" t="s">
        <v>20884</v>
      </c>
      <c r="N994" s="6" t="s">
        <v>132</v>
      </c>
      <c r="O994" s="6" t="s">
        <v>20885</v>
      </c>
      <c r="P994" s="1" t="s">
        <v>20882</v>
      </c>
      <c r="Q994" s="1" t="s">
        <v>20886</v>
      </c>
      <c r="R994" s="1" t="s">
        <v>20887</v>
      </c>
      <c r="S994" s="10" t="s">
        <v>20888</v>
      </c>
      <c r="T994" s="1" t="s">
        <v>20889</v>
      </c>
      <c r="U994" s="1" t="s">
        <v>20890</v>
      </c>
      <c r="V994" s="1" t="s">
        <v>20886</v>
      </c>
      <c r="W994" s="13" t="s">
        <v>20882</v>
      </c>
      <c r="X994" s="1" t="s">
        <v>20882</v>
      </c>
      <c r="Y994" s="1" t="s">
        <v>17000</v>
      </c>
      <c r="Z994" s="1" t="s">
        <v>20891</v>
      </c>
      <c r="AA994" s="1" t="s">
        <v>20882</v>
      </c>
      <c r="AB994" s="1" t="s">
        <v>20892</v>
      </c>
      <c r="AC994" s="1" t="s">
        <v>20882</v>
      </c>
      <c r="AD994" s="6" t="s">
        <v>20893</v>
      </c>
      <c r="AE994" s="1" t="s">
        <v>20882</v>
      </c>
      <c r="AF994" s="1" t="s">
        <v>20882</v>
      </c>
      <c r="AG994" s="6" t="s">
        <v>8946</v>
      </c>
      <c r="AH994" s="1" t="s">
        <v>8561</v>
      </c>
      <c r="AI994" s="6" t="s">
        <v>132</v>
      </c>
      <c r="AJ994" s="6" t="s">
        <v>20894</v>
      </c>
      <c r="AK994" s="1" t="s">
        <v>20895</v>
      </c>
      <c r="AL994" s="6" t="s">
        <v>20896</v>
      </c>
    </row>
    <row r="995" ht="15.75" hidden="1" customHeight="1">
      <c r="A995" s="1" t="s">
        <v>38</v>
      </c>
      <c r="B995" s="1" t="s">
        <v>20897</v>
      </c>
      <c r="C995" s="1" t="s">
        <v>20898</v>
      </c>
      <c r="D995" s="8" t="s">
        <v>20899</v>
      </c>
      <c r="E995" s="1" t="s">
        <v>20900</v>
      </c>
      <c r="F995" s="6" t="s">
        <v>20901</v>
      </c>
      <c r="G995" s="7" t="str">
        <f>IFERROR(__xludf.DUMMYFUNCTION("GOOGLETRANSLATE(C995, ""en"", ""cs"")"),"Chybové hlášení")</f>
        <v>Chybové hlášení</v>
      </c>
      <c r="H995" s="7" t="str">
        <f>IFERROR(__xludf.DUMMYFUNCTION("GOOGLETRANSLATE(C995, ""en"", ""da"")"),"Fejl besked")</f>
        <v>Fejl besked</v>
      </c>
      <c r="I995" s="1" t="s">
        <v>20902</v>
      </c>
      <c r="J995" s="6" t="s">
        <v>132</v>
      </c>
      <c r="K995" s="1" t="s">
        <v>20903</v>
      </c>
      <c r="L995" s="7" t="str">
        <f>IFERROR(__xludf.DUMMYFUNCTION("GOOGLETRANSLATE(C995, ""en"", ""fi"")"),"Virheviesti")</f>
        <v>Virheviesti</v>
      </c>
      <c r="M995" s="1" t="s">
        <v>20904</v>
      </c>
      <c r="N995" s="6" t="s">
        <v>20905</v>
      </c>
      <c r="O995" s="6" t="s">
        <v>132</v>
      </c>
      <c r="P995" s="1" t="s">
        <v>20906</v>
      </c>
      <c r="Q995" s="7" t="str">
        <f>IFERROR(__xludf.DUMMYFUNCTION("GOOGLETRANSLATE(C995, ""en"", ""in"")"),"Pesan eror")</f>
        <v>Pesan eror</v>
      </c>
      <c r="R995" s="1" t="s">
        <v>20907</v>
      </c>
      <c r="S995" s="6" t="s">
        <v>132</v>
      </c>
      <c r="T995" s="1" t="s">
        <v>20908</v>
      </c>
      <c r="U995" s="1" t="s">
        <v>20909</v>
      </c>
      <c r="V995" s="7" t="str">
        <f>IFERROR(__xludf.DUMMYFUNCTION("GOOGLETRANSLATE(C995, ""en"", ""ms"")"),"Mesej Ralat")</f>
        <v>Mesej Ralat</v>
      </c>
      <c r="W995" s="1" t="s">
        <v>20910</v>
      </c>
      <c r="X995" s="7" t="str">
        <f>IFERROR(__xludf.DUMMYFUNCTION("GOOGLETRANSLATE(C995, ""en"", ""no"")"),"Feilmelding")</f>
        <v>Feilmelding</v>
      </c>
      <c r="Y995" s="1" t="s">
        <v>20911</v>
      </c>
      <c r="Z995" s="1" t="s">
        <v>20912</v>
      </c>
      <c r="AA995" s="7" t="str">
        <f>IFERROR(__xludf.DUMMYFUNCTION("GOOGLETRANSLATE(C995, ""en"", ""ro"")"),"Mesaj de eroare.")</f>
        <v>Mesaj de eroare.</v>
      </c>
      <c r="AB995" s="1" t="s">
        <v>6343</v>
      </c>
      <c r="AC995" s="7" t="str">
        <f>IFERROR(__xludf.DUMMYFUNCTION("GOOGLETRANSLATE(C995, ""en"", ""sk"")"),"Chybná správa")</f>
        <v>Chybná správa</v>
      </c>
      <c r="AD995" s="6" t="s">
        <v>132</v>
      </c>
      <c r="AE995" s="1" t="s">
        <v>20913</v>
      </c>
      <c r="AF995" s="1" t="s">
        <v>20914</v>
      </c>
      <c r="AG995" s="6" t="s">
        <v>132</v>
      </c>
      <c r="AH995" s="7" t="str">
        <f>IFERROR(__xludf.DUMMYFUNCTION("GOOGLETRANSLATE(C995, ""en"", ""tr"")"),"Hata mesajı")</f>
        <v>Hata mesajı</v>
      </c>
      <c r="AI995" s="6" t="s">
        <v>20915</v>
      </c>
      <c r="AJ995" s="6" t="s">
        <v>132</v>
      </c>
      <c r="AK995" s="7" t="str">
        <f>IFERROR(__xludf.DUMMYFUNCTION("GOOGLETRANSLATE(C995, ""en"", ""zh"")"),"错误信息")</f>
        <v>错误信息</v>
      </c>
      <c r="AL995" s="6" t="s">
        <v>20916</v>
      </c>
    </row>
    <row r="996" ht="15.75" hidden="1" customHeight="1">
      <c r="A996" s="1" t="s">
        <v>5830</v>
      </c>
      <c r="B996" s="1" t="s">
        <v>20917</v>
      </c>
      <c r="C996" s="1" t="s">
        <v>20918</v>
      </c>
      <c r="D996" s="7" t="str">
        <f>IFERROR(__xludf.DUMMYFUNCTION("GOOGLETRANSLATE(C996, ""en"", ""ar"")"),"تجارة مثل من الداخل")</f>
        <v>تجارة مثل من الداخل</v>
      </c>
      <c r="E996" s="7" t="str">
        <f>IFERROR(__xludf.DUMMYFUNCTION("GOOGLETRANSLATE(C996, ""en"", ""bg"")"),"Търговия като вътрешна страна")</f>
        <v>Търговия като вътрешна страна</v>
      </c>
      <c r="F996" s="6" t="s">
        <v>132</v>
      </c>
      <c r="G996" s="7" t="str">
        <f>IFERROR(__xludf.DUMMYFUNCTION("GOOGLETRANSLATE(C996, ""en"", ""cs"")"),"Obchod jako insider")</f>
        <v>Obchod jako insider</v>
      </c>
      <c r="H996" s="1" t="s">
        <v>20919</v>
      </c>
      <c r="I996" s="1" t="s">
        <v>20920</v>
      </c>
      <c r="J996" s="6" t="s">
        <v>132</v>
      </c>
      <c r="K996" s="1" t="s">
        <v>20921</v>
      </c>
      <c r="L996" s="1" t="s">
        <v>20922</v>
      </c>
      <c r="M996" s="1" t="s">
        <v>20923</v>
      </c>
      <c r="N996" s="6" t="s">
        <v>132</v>
      </c>
      <c r="O996" s="6" t="s">
        <v>132</v>
      </c>
      <c r="P996" s="1" t="s">
        <v>20924</v>
      </c>
      <c r="Q996" s="1" t="s">
        <v>20925</v>
      </c>
      <c r="R996" s="1" t="s">
        <v>20926</v>
      </c>
      <c r="S996" s="6" t="s">
        <v>132</v>
      </c>
      <c r="T996" s="1" t="s">
        <v>20927</v>
      </c>
      <c r="U996" s="1" t="s">
        <v>20928</v>
      </c>
      <c r="V996" s="1" t="s">
        <v>20929</v>
      </c>
      <c r="W996" s="1" t="s">
        <v>20930</v>
      </c>
      <c r="X996" s="1" t="s">
        <v>20919</v>
      </c>
      <c r="Y996" s="1" t="s">
        <v>20931</v>
      </c>
      <c r="Z996" s="1" t="s">
        <v>20932</v>
      </c>
      <c r="AA996" s="7" t="str">
        <f>IFERROR(__xludf.DUMMYFUNCTION("GOOGLETRANSLATE(C996, ""en"", ""ro"")"),"Comerț ca un insider")</f>
        <v>Comerț ca un insider</v>
      </c>
      <c r="AB996" s="1" t="s">
        <v>20933</v>
      </c>
      <c r="AC996" s="7" t="str">
        <f>IFERROR(__xludf.DUMMYFUNCTION("GOOGLETRANSLATE(C996, ""en"", ""sk"")"),"Obchod ako zasvätenec")</f>
        <v>Obchod ako zasvätenec</v>
      </c>
      <c r="AD996" s="6" t="s">
        <v>132</v>
      </c>
      <c r="AE996" s="1" t="s">
        <v>20934</v>
      </c>
      <c r="AF996" s="1" t="s">
        <v>20935</v>
      </c>
      <c r="AG996" s="6" t="s">
        <v>132</v>
      </c>
      <c r="AH996" s="1" t="s">
        <v>20936</v>
      </c>
      <c r="AI996" s="6" t="s">
        <v>132</v>
      </c>
      <c r="AJ996" s="6" t="s">
        <v>132</v>
      </c>
      <c r="AK996" s="1" t="s">
        <v>20937</v>
      </c>
      <c r="AL996" s="6" t="s">
        <v>132</v>
      </c>
    </row>
    <row r="997" ht="15.75" customHeight="1">
      <c r="A997" s="1" t="s">
        <v>127</v>
      </c>
      <c r="B997" s="1" t="s">
        <v>20938</v>
      </c>
      <c r="C997" s="1" t="s">
        <v>20939</v>
      </c>
      <c r="D997" s="8" t="s">
        <v>7321</v>
      </c>
      <c r="E997" s="1" t="s">
        <v>20940</v>
      </c>
      <c r="F997" s="6" t="s">
        <v>132</v>
      </c>
      <c r="G997" s="1" t="s">
        <v>20941</v>
      </c>
      <c r="H997" s="1" t="s">
        <v>20942</v>
      </c>
      <c r="I997" s="1" t="s">
        <v>20943</v>
      </c>
      <c r="J997" s="6" t="s">
        <v>7326</v>
      </c>
      <c r="K997" s="1" t="s">
        <v>20944</v>
      </c>
      <c r="L997" s="1" t="s">
        <v>20945</v>
      </c>
      <c r="M997" s="1" t="s">
        <v>20946</v>
      </c>
      <c r="N997" s="6" t="s">
        <v>132</v>
      </c>
      <c r="O997" s="6" t="s">
        <v>20947</v>
      </c>
      <c r="P997" s="1" t="s">
        <v>20948</v>
      </c>
      <c r="Q997" s="1" t="s">
        <v>20949</v>
      </c>
      <c r="R997" s="1" t="s">
        <v>20950</v>
      </c>
      <c r="S997" s="10" t="s">
        <v>20951</v>
      </c>
      <c r="T997" s="1" t="s">
        <v>20952</v>
      </c>
      <c r="U997" s="1" t="s">
        <v>20953</v>
      </c>
      <c r="V997" s="1" t="s">
        <v>20949</v>
      </c>
      <c r="W997" s="1" t="s">
        <v>20954</v>
      </c>
      <c r="X997" s="1" t="s">
        <v>20942</v>
      </c>
      <c r="Y997" s="1" t="s">
        <v>20955</v>
      </c>
      <c r="Z997" s="1" t="s">
        <v>20944</v>
      </c>
      <c r="AA997" s="1" t="s">
        <v>20956</v>
      </c>
      <c r="AB997" s="1" t="s">
        <v>20957</v>
      </c>
      <c r="AC997" s="1" t="s">
        <v>7342</v>
      </c>
      <c r="AD997" s="6" t="s">
        <v>20958</v>
      </c>
      <c r="AE997" s="1" t="s">
        <v>20959</v>
      </c>
      <c r="AF997" s="1" t="s">
        <v>20960</v>
      </c>
      <c r="AG997" s="6" t="s">
        <v>20961</v>
      </c>
      <c r="AH997" s="1" t="s">
        <v>20962</v>
      </c>
      <c r="AI997" s="6" t="s">
        <v>132</v>
      </c>
      <c r="AJ997" s="6" t="s">
        <v>20963</v>
      </c>
      <c r="AK997" s="1" t="s">
        <v>20964</v>
      </c>
      <c r="AL997" s="6" t="s">
        <v>132</v>
      </c>
    </row>
    <row r="998" ht="15.75" hidden="1" customHeight="1">
      <c r="A998" s="1" t="s">
        <v>38</v>
      </c>
      <c r="B998" s="1" t="s">
        <v>20965</v>
      </c>
      <c r="C998" s="1" t="s">
        <v>20966</v>
      </c>
      <c r="D998" s="7" t="str">
        <f>IFERROR(__xludf.DUMMYFUNCTION("GOOGLETRANSLATE(C998, ""en"", ""ar"")"),"موريتانيا")</f>
        <v>موريتانيا</v>
      </c>
      <c r="E998" s="7" t="str">
        <f>IFERROR(__xludf.DUMMYFUNCTION("GOOGLETRANSLATE(C998, ""en"", ""bg"")"),"Мавритания")</f>
        <v>Мавритания</v>
      </c>
      <c r="F998" s="6" t="s">
        <v>132</v>
      </c>
      <c r="G998" s="7" t="str">
        <f>IFERROR(__xludf.DUMMYFUNCTION("GOOGLETRANSLATE(C998, ""en"", ""cs"")"),"Mauritánie")</f>
        <v>Mauritánie</v>
      </c>
      <c r="H998" s="7" t="str">
        <f>IFERROR(__xludf.DUMMYFUNCTION("GOOGLETRANSLATE(C998, ""en"", ""da"")"),"Mauretania.")</f>
        <v>Mauretania.</v>
      </c>
      <c r="I998" s="1" t="s">
        <v>20967</v>
      </c>
      <c r="J998" s="6" t="s">
        <v>132</v>
      </c>
      <c r="K998" s="1" t="s">
        <v>20966</v>
      </c>
      <c r="L998" s="7" t="str">
        <f>IFERROR(__xludf.DUMMYFUNCTION("GOOGLETRANSLATE(C998, ""en"", ""fi"")"),"Mauritania")</f>
        <v>Mauritania</v>
      </c>
      <c r="M998" s="1" t="s">
        <v>20968</v>
      </c>
      <c r="N998" s="6" t="s">
        <v>132</v>
      </c>
      <c r="O998" s="6" t="s">
        <v>132</v>
      </c>
      <c r="P998" s="1" t="s">
        <v>20966</v>
      </c>
      <c r="Q998" s="7" t="str">
        <f>IFERROR(__xludf.DUMMYFUNCTION("GOOGLETRANSLATE(C998, ""en"", ""in"")"),"Mauritania")</f>
        <v>Mauritania</v>
      </c>
      <c r="R998" s="7" t="str">
        <f>IFERROR(__xludf.DUMMYFUNCTION("GOOGLETRANSLATE(C998, ""en"", ""it"")"),"Mauritania")</f>
        <v>Mauritania</v>
      </c>
      <c r="S998" s="6" t="s">
        <v>132</v>
      </c>
      <c r="T998" s="7" t="str">
        <f>IFERROR(__xludf.DUMMYFUNCTION("GOOGLETRANSLATE(C998, ""en"", ""ja"")"),"モーリタニア")</f>
        <v>モーリタニア</v>
      </c>
      <c r="U998" s="7" t="str">
        <f>IFERROR(__xludf.DUMMYFUNCTION("GOOGLETRANSLATE(C998, ""en"", ""ko"")"),"모리타니")</f>
        <v>모리타니</v>
      </c>
      <c r="V998" s="7" t="str">
        <f>IFERROR(__xludf.DUMMYFUNCTION("GOOGLETRANSLATE(C998, ""en"", ""ms"")"),"Mauritania")</f>
        <v>Mauritania</v>
      </c>
      <c r="W998" s="7" t="str">
        <f>IFERROR(__xludf.DUMMYFUNCTION("GOOGLETRANSLATE(C998, ""en"", ""nl"")"),"Mauritanië")</f>
        <v>Mauritanië</v>
      </c>
      <c r="X998" s="7" t="str">
        <f>IFERROR(__xludf.DUMMYFUNCTION("GOOGLETRANSLATE(C998, ""en"", ""no"")"),"Mauretania")</f>
        <v>Mauretania</v>
      </c>
      <c r="Y998" s="7" t="str">
        <f>IFERROR(__xludf.DUMMYFUNCTION("GOOGLETRANSLATE(C998, ""en"", ""pl"")"),"Mauretania.")</f>
        <v>Mauretania.</v>
      </c>
      <c r="Z998" s="7" t="str">
        <f>IFERROR(__xludf.DUMMYFUNCTION("GOOGLETRANSLATE(C998, ""en"", ""pt"")"),"Mauritânia")</f>
        <v>Mauritânia</v>
      </c>
      <c r="AA998" s="7" t="str">
        <f>IFERROR(__xludf.DUMMYFUNCTION("GOOGLETRANSLATE(C998, ""en"", ""ro"")"),"Mauritania.")</f>
        <v>Mauritania.</v>
      </c>
      <c r="AB998" s="1" t="s">
        <v>20969</v>
      </c>
      <c r="AC998" s="7" t="str">
        <f>IFERROR(__xludf.DUMMYFUNCTION("GOOGLETRANSLATE(C998, ""en"", ""sk"")"),"Mauritánia")</f>
        <v>Mauritánia</v>
      </c>
      <c r="AD998" s="6" t="s">
        <v>132</v>
      </c>
      <c r="AE998" s="1" t="s">
        <v>20970</v>
      </c>
      <c r="AF998" s="7" t="str">
        <f>IFERROR(__xludf.DUMMYFUNCTION("GOOGLETRANSLATE(C998, ""en"", ""sv"")"),"Mauretanien")</f>
        <v>Mauretanien</v>
      </c>
      <c r="AG998" s="6" t="s">
        <v>132</v>
      </c>
      <c r="AH998" s="7" t="str">
        <f>IFERROR(__xludf.DUMMYFUNCTION("GOOGLETRANSLATE(C998, ""en"", ""tr"")"),"Moritanya")</f>
        <v>Moritanya</v>
      </c>
      <c r="AI998" s="6" t="s">
        <v>132</v>
      </c>
      <c r="AJ998" s="6" t="s">
        <v>132</v>
      </c>
      <c r="AK998" s="7" t="str">
        <f>IFERROR(__xludf.DUMMYFUNCTION("GOOGLETRANSLATE(C998, ""en"", ""zh"")"),"毛里塔尼亚")</f>
        <v>毛里塔尼亚</v>
      </c>
      <c r="AL998" s="6" t="s">
        <v>132</v>
      </c>
    </row>
    <row r="999" ht="15.75" customHeight="1">
      <c r="A999" s="1" t="s">
        <v>127</v>
      </c>
      <c r="B999" s="1" t="s">
        <v>20971</v>
      </c>
      <c r="C999" s="1" t="s">
        <v>20972</v>
      </c>
      <c r="D999" s="8" t="s">
        <v>20973</v>
      </c>
      <c r="E999" s="1" t="s">
        <v>20974</v>
      </c>
      <c r="F999" s="6" t="s">
        <v>132</v>
      </c>
      <c r="G999" s="1" t="s">
        <v>20975</v>
      </c>
      <c r="H999" s="1" t="s">
        <v>20976</v>
      </c>
      <c r="I999" s="1" t="s">
        <v>20977</v>
      </c>
      <c r="J999" s="6" t="s">
        <v>20978</v>
      </c>
      <c r="K999" s="1" t="s">
        <v>20979</v>
      </c>
      <c r="L999" s="1" t="s">
        <v>20980</v>
      </c>
      <c r="M999" s="1" t="s">
        <v>20981</v>
      </c>
      <c r="N999" s="6" t="s">
        <v>132</v>
      </c>
      <c r="O999" s="6" t="s">
        <v>20982</v>
      </c>
      <c r="P999" s="1" t="s">
        <v>20983</v>
      </c>
      <c r="Q999" s="1" t="s">
        <v>20984</v>
      </c>
      <c r="R999" s="1" t="s">
        <v>20985</v>
      </c>
      <c r="S999" s="10" t="s">
        <v>20986</v>
      </c>
      <c r="T999" s="1" t="s">
        <v>20987</v>
      </c>
      <c r="U999" s="1" t="s">
        <v>20988</v>
      </c>
      <c r="V999" s="1" t="s">
        <v>20989</v>
      </c>
      <c r="W999" s="1" t="s">
        <v>20990</v>
      </c>
      <c r="X999" s="1" t="s">
        <v>20991</v>
      </c>
      <c r="Y999" s="1" t="s">
        <v>20992</v>
      </c>
      <c r="Z999" s="1" t="s">
        <v>20993</v>
      </c>
      <c r="AA999" s="1" t="s">
        <v>20994</v>
      </c>
      <c r="AB999" s="1" t="s">
        <v>20995</v>
      </c>
      <c r="AC999" s="1" t="s">
        <v>20996</v>
      </c>
      <c r="AD999" s="6" t="s">
        <v>20997</v>
      </c>
      <c r="AE999" s="1" t="s">
        <v>20998</v>
      </c>
      <c r="AF999" s="1" t="s">
        <v>20999</v>
      </c>
      <c r="AG999" s="6" t="s">
        <v>21000</v>
      </c>
      <c r="AH999" s="1" t="s">
        <v>21001</v>
      </c>
      <c r="AI999" s="6" t="s">
        <v>132</v>
      </c>
      <c r="AJ999" s="6" t="s">
        <v>21002</v>
      </c>
      <c r="AK999" s="1" t="s">
        <v>21003</v>
      </c>
      <c r="AL999" s="6" t="s">
        <v>132</v>
      </c>
    </row>
    <row r="1000" ht="15.75" hidden="1" customHeight="1">
      <c r="A1000" s="1" t="s">
        <v>38</v>
      </c>
      <c r="B1000" s="1" t="s">
        <v>21004</v>
      </c>
      <c r="C1000" s="1" t="s">
        <v>21005</v>
      </c>
      <c r="D1000" s="8" t="s">
        <v>21006</v>
      </c>
      <c r="E1000" s="1" t="s">
        <v>21007</v>
      </c>
      <c r="F1000" s="6" t="s">
        <v>21008</v>
      </c>
      <c r="G1000" s="7" t="str">
        <f>IFERROR(__xludf.DUMMYFUNCTION("GOOGLETRANSLATE(C1000, ""en"", ""cs"")"),"Odeslat šifrovanou zprávu Omemo")</f>
        <v>Odeslat šifrovanou zprávu Omemo</v>
      </c>
      <c r="H1000" s="7" t="str">
        <f>IFERROR(__xludf.DUMMYFUNCTION("GOOGLETRANSLATE(C1000, ""en"", ""da"")"),"Send omemo krypteret besked")</f>
        <v>Send omemo krypteret besked</v>
      </c>
      <c r="I1000" s="1" t="s">
        <v>21009</v>
      </c>
      <c r="J1000" s="6" t="s">
        <v>132</v>
      </c>
      <c r="K1000" s="1" t="s">
        <v>21010</v>
      </c>
      <c r="L1000" s="7" t="str">
        <f>IFERROR(__xludf.DUMMYFUNCTION("GOOGLETRANSLATE(C1000, ""en"", ""fi"")"),"Lähetä omemo salattu viesti")</f>
        <v>Lähetä omemo salattu viesti</v>
      </c>
      <c r="M1000" s="1" t="s">
        <v>21011</v>
      </c>
      <c r="N1000" s="6" t="s">
        <v>21012</v>
      </c>
      <c r="O1000" s="6" t="s">
        <v>132</v>
      </c>
      <c r="P1000" s="1" t="s">
        <v>21013</v>
      </c>
      <c r="Q1000" s="7" t="str">
        <f>IFERROR(__xludf.DUMMYFUNCTION("GOOGLETRANSLATE(C1000, ""en"", ""in"")"),"Kirim pesan terenkripsi Omemo")</f>
        <v>Kirim pesan terenkripsi Omemo</v>
      </c>
      <c r="R1000" s="1" t="s">
        <v>21014</v>
      </c>
      <c r="S1000" s="6" t="s">
        <v>132</v>
      </c>
      <c r="T1000" s="1" t="s">
        <v>21015</v>
      </c>
      <c r="U1000" s="1" t="s">
        <v>21016</v>
      </c>
      <c r="V1000" s="7" t="str">
        <f>IFERROR(__xludf.DUMMYFUNCTION("GOOGLETRANSLATE(C1000, ""en"", ""ms"")"),"Hantar mesej yang disulitkan Omemo")</f>
        <v>Hantar mesej yang disulitkan Omemo</v>
      </c>
      <c r="W1000" s="1" t="s">
        <v>21017</v>
      </c>
      <c r="X1000" s="7" t="str">
        <f>IFERROR(__xludf.DUMMYFUNCTION("GOOGLETRANSLATE(C1000, ""en"", ""no"")"),"Send OMEMO-kryptert melding")</f>
        <v>Send OMEMO-kryptert melding</v>
      </c>
      <c r="Y1000" s="1" t="s">
        <v>21018</v>
      </c>
      <c r="Z1000" s="1" t="s">
        <v>21019</v>
      </c>
      <c r="AA1000" s="7" t="str">
        <f>IFERROR(__xludf.DUMMYFUNCTION("GOOGLETRANSLATE(C1000, ""en"", ""ro"")"),"Trimiteți mesajul criptat Omemo")</f>
        <v>Trimiteți mesajul criptat Omemo</v>
      </c>
      <c r="AB1000" s="1" t="s">
        <v>21020</v>
      </c>
      <c r="AC1000" s="1" t="s">
        <v>21021</v>
      </c>
      <c r="AD1000" s="6" t="s">
        <v>132</v>
      </c>
      <c r="AE1000" s="1" t="s">
        <v>21022</v>
      </c>
      <c r="AF1000" s="1" t="s">
        <v>21023</v>
      </c>
      <c r="AG1000" s="6" t="s">
        <v>132</v>
      </c>
      <c r="AH1000" s="7" t="str">
        <f>IFERROR(__xludf.DUMMYFUNCTION("GOOGLETRANSLATE(C1000, ""en"", ""tr"")"),"Omemo şifreli mesaj gönder")</f>
        <v>Omemo şifreli mesaj gönder</v>
      </c>
      <c r="AI1000" s="6" t="s">
        <v>21024</v>
      </c>
      <c r="AJ1000" s="6" t="s">
        <v>21025</v>
      </c>
      <c r="AK1000" s="7" t="str">
        <f>IFERROR(__xludf.DUMMYFUNCTION("GOOGLETRANSLATE(C1000, ""en"", ""zh"")"),"发送omemo加密消息")</f>
        <v>发送omemo加密消息</v>
      </c>
      <c r="AL1000" s="6" t="s">
        <v>21026</v>
      </c>
    </row>
    <row r="1001" ht="15.75" hidden="1" customHeight="1">
      <c r="A1001" s="1" t="s">
        <v>38</v>
      </c>
      <c r="B1001" s="1" t="s">
        <v>21027</v>
      </c>
      <c r="C1001" s="1" t="s">
        <v>21028</v>
      </c>
      <c r="D1001" s="7" t="str">
        <f>IFERROR(__xludf.DUMMYFUNCTION("GOOGLETRANSLATE(C1001, ""en"", ""ar"")"),"فنزويلا (جمهورية البوليفارية)")</f>
        <v>فنزويلا (جمهورية البوليفارية)</v>
      </c>
      <c r="E1001" s="7" t="str">
        <f>IFERROR(__xludf.DUMMYFUNCTION("GOOGLETRANSLATE(C1001, ""en"", ""bg"")"),"Венецуела (Боливарна република)")</f>
        <v>Венецуела (Боливарна република)</v>
      </c>
      <c r="F1001" s="6" t="s">
        <v>132</v>
      </c>
      <c r="G1001" s="7" t="str">
        <f>IFERROR(__xludf.DUMMYFUNCTION("GOOGLETRANSLATE(C1001, ""en"", ""cs"")"),"Venezuela (Bolívarská republika)")</f>
        <v>Venezuela (Bolívarská republika)</v>
      </c>
      <c r="H1001" s="7" t="str">
        <f>IFERROR(__xludf.DUMMYFUNCTION("GOOGLETRANSLATE(C1001, ""en"", ""da"")"),"Venezuela (Bolivian Republic of)")</f>
        <v>Venezuela (Bolivian Republic of)</v>
      </c>
      <c r="I1001" s="1" t="s">
        <v>21029</v>
      </c>
      <c r="J1001" s="6" t="s">
        <v>132</v>
      </c>
      <c r="K1001" s="1" t="s">
        <v>21029</v>
      </c>
      <c r="L1001" s="7" t="str">
        <f>IFERROR(__xludf.DUMMYFUNCTION("GOOGLETRANSLATE(C1001, ""en"", ""fi"")"),"Venezuela (Bolivarian tasavalta)")</f>
        <v>Venezuela (Bolivarian tasavalta)</v>
      </c>
      <c r="M1001" s="1" t="s">
        <v>21030</v>
      </c>
      <c r="N1001" s="6" t="s">
        <v>132</v>
      </c>
      <c r="O1001" s="6" t="s">
        <v>132</v>
      </c>
      <c r="P1001" s="1" t="s">
        <v>21028</v>
      </c>
      <c r="Q1001" s="7" t="str">
        <f>IFERROR(__xludf.DUMMYFUNCTION("GOOGLETRANSLATE(C1001, ""en"", ""in"")"),"Venezuela (Republik Bolivarian)")</f>
        <v>Venezuela (Republik Bolivarian)</v>
      </c>
      <c r="R1001" s="7" t="str">
        <f>IFERROR(__xludf.DUMMYFUNCTION("GOOGLETRANSLATE(C1001, ""en"", ""it"")"),"Venezuela (Repubblica Bolivariana di)")</f>
        <v>Venezuela (Repubblica Bolivariana di)</v>
      </c>
      <c r="S1001" s="6" t="s">
        <v>132</v>
      </c>
      <c r="T1001" s="7" t="str">
        <f>IFERROR(__xludf.DUMMYFUNCTION("GOOGLETRANSLATE(C1001, ""en"", ""ja"")"),"ベネズエラ（Bolivarian共和国）")</f>
        <v>ベネズエラ（Bolivarian共和国）</v>
      </c>
      <c r="U1001" s="7" t="str">
        <f>IFERROR(__xludf.DUMMYFUNCTION("GOOGLETRANSLATE(C1001, ""en"", ""ko"")"),"베네수엘라 (볼리 바리 항공 공화국)")</f>
        <v>베네수엘라 (볼리 바리 항공 공화국)</v>
      </c>
      <c r="V1001" s="7" t="str">
        <f>IFERROR(__xludf.DUMMYFUNCTION("GOOGLETRANSLATE(C1001, ""en"", ""ms"")"),"Venezuela (Bolivarian Republik)")</f>
        <v>Venezuela (Bolivarian Republik)</v>
      </c>
      <c r="W1001" s="7" t="str">
        <f>IFERROR(__xludf.DUMMYFUNCTION("GOOGLETRANSLATE(C1001, ""en"", ""nl"")"),"Venezuela (Bolivariaanse Republiek)")</f>
        <v>Venezuela (Bolivariaanse Republiek)</v>
      </c>
      <c r="X1001" s="7" t="str">
        <f>IFERROR(__xludf.DUMMYFUNCTION("GOOGLETRANSLATE(C1001, ""en"", ""no"")"),"Venezuela (Bolivarian Republic of)")</f>
        <v>Venezuela (Bolivarian Republic of)</v>
      </c>
      <c r="Y1001" s="7" t="str">
        <f>IFERROR(__xludf.DUMMYFUNCTION("GOOGLETRANSLATE(C1001, ""en"", ""pl"")"),"Wenezuela (Republika Bolivarian)")</f>
        <v>Wenezuela (Republika Bolivarian)</v>
      </c>
      <c r="Z1001" s="7" t="str">
        <f>IFERROR(__xludf.DUMMYFUNCTION("GOOGLETRANSLATE(C1001, ""en"", ""pt"")"),"Venezuela (República Bolivariana)")</f>
        <v>Venezuela (República Bolivariana)</v>
      </c>
      <c r="AA1001" s="7" t="str">
        <f>IFERROR(__xludf.DUMMYFUNCTION("GOOGLETRANSLATE(C1001, ""en"", ""ro"")"),"Venezuela (Republica Bolivariană)")</f>
        <v>Venezuela (Republica Bolivariană)</v>
      </c>
      <c r="AB1001" s="1" t="s">
        <v>21031</v>
      </c>
      <c r="AC1001" s="7" t="str">
        <f>IFERROR(__xludf.DUMMYFUNCTION("GOOGLETRANSLATE(C1001, ""en"", ""sk"")"),"Venezuela (Bolívarská republika)")</f>
        <v>Venezuela (Bolívarská republika)</v>
      </c>
      <c r="AD1001" s="6" t="s">
        <v>132</v>
      </c>
      <c r="AE1001" s="1" t="s">
        <v>21032</v>
      </c>
      <c r="AF1001" s="7" t="str">
        <f>IFERROR(__xludf.DUMMYFUNCTION("GOOGLETRANSLATE(C1001, ""en"", ""sv"")"),"Venezuela (Bolivarian Republic of)")</f>
        <v>Venezuela (Bolivarian Republic of)</v>
      </c>
      <c r="AG1001" s="6" t="s">
        <v>132</v>
      </c>
      <c r="AH1001" s="7" t="str">
        <f>IFERROR(__xludf.DUMMYFUNCTION("GOOGLETRANSLATE(C1001, ""en"", ""tr"")"),"Venezuela (Bolivarcı Cumhuriyeti)")</f>
        <v>Venezuela (Bolivarcı Cumhuriyeti)</v>
      </c>
      <c r="AI1001" s="6" t="s">
        <v>132</v>
      </c>
      <c r="AJ1001" s="6" t="s">
        <v>132</v>
      </c>
      <c r="AK1001" s="7" t="str">
        <f>IFERROR(__xludf.DUMMYFUNCTION("GOOGLETRANSLATE(C1001, ""en"", ""zh"")"),"委内瑞拉（玻利瓦尔共和国）")</f>
        <v>委内瑞拉（玻利瓦尔共和国）</v>
      </c>
      <c r="AL1001" s="6" t="s">
        <v>132</v>
      </c>
    </row>
    <row r="1002" ht="15.75" hidden="1" customHeight="1">
      <c r="A1002" s="1" t="s">
        <v>38</v>
      </c>
      <c r="B1002" s="1" t="s">
        <v>21033</v>
      </c>
      <c r="C1002" s="1" t="s">
        <v>21034</v>
      </c>
      <c r="D1002" s="1" t="s">
        <v>21035</v>
      </c>
      <c r="E1002" s="1" t="s">
        <v>21036</v>
      </c>
      <c r="F1002" s="6" t="s">
        <v>21035</v>
      </c>
      <c r="G1002" s="7" t="str">
        <f>IFERROR(__xludf.DUMMYFUNCTION("GOOGLETRANSLATE(C1002, ""en"", ""cs"")"),"pokoj@conference.baha.com/nick.")</f>
        <v>pokoj@conference.baha.com/nick.</v>
      </c>
      <c r="H1002" s="7" t="str">
        <f>IFERROR(__xludf.DUMMYFUNCTION("GOOGLETRANSLATE(C1002, ""en"", ""da"")"),"room@conference.baha.com/nick.")</f>
        <v>room@conference.baha.com/nick.</v>
      </c>
      <c r="I1002" s="1" t="s">
        <v>21037</v>
      </c>
      <c r="J1002" s="6" t="s">
        <v>132</v>
      </c>
      <c r="K1002" s="1" t="s">
        <v>21038</v>
      </c>
      <c r="L1002" s="7" t="str">
        <f>IFERROR(__xludf.DUMMYFUNCTION("GOOGLETRANSLATE(C1002, ""en"", ""fi"")"),"room@conference.baha.com/nick")</f>
        <v>room@conference.baha.com/nick</v>
      </c>
      <c r="M1002" s="1" t="s">
        <v>21039</v>
      </c>
      <c r="N1002" s="6" t="s">
        <v>21040</v>
      </c>
      <c r="O1002" s="6" t="s">
        <v>132</v>
      </c>
      <c r="P1002" s="1" t="s">
        <v>21035</v>
      </c>
      <c r="Q1002" s="7" t="str">
        <f>IFERROR(__xludf.DUMMYFUNCTION("GOOGLETRANSLATE(C1002, ""en"", ""in"")"),"room@conference.baha.com/nick.")</f>
        <v>room@conference.baha.com/nick.</v>
      </c>
      <c r="R1002" s="1" t="s">
        <v>21041</v>
      </c>
      <c r="S1002" s="6" t="s">
        <v>132</v>
      </c>
      <c r="T1002" s="1" t="s">
        <v>21035</v>
      </c>
      <c r="U1002" s="1" t="s">
        <v>21035</v>
      </c>
      <c r="V1002" s="7" t="str">
        <f>IFERROR(__xludf.DUMMYFUNCTION("GOOGLETRANSLATE(C1002, ""en"", ""ms"")"),"room@conference.baha.com/nick.")</f>
        <v>room@conference.baha.com/nick.</v>
      </c>
      <c r="W1002" s="1" t="s">
        <v>21042</v>
      </c>
      <c r="X1002" s="7" t="str">
        <f>IFERROR(__xludf.DUMMYFUNCTION("GOOGLETRANSLATE(C1002, ""en"", ""no"")"),"room@conference.baha.com/nick.")</f>
        <v>room@conference.baha.com/nick.</v>
      </c>
      <c r="Y1002" s="1" t="s">
        <v>21043</v>
      </c>
      <c r="Z1002" s="7" t="str">
        <f>IFERROR(__xludf.DUMMYFUNCTION("GOOGLETRANSLATE(C1002, ""en"", ""pt"")"),"quarto@conference.baha.com/nick.")</f>
        <v>quarto@conference.baha.com/nick.</v>
      </c>
      <c r="AA1002" s="7" t="str">
        <f>IFERROR(__xludf.DUMMYFUNCTION("GOOGLETRANSLATE(C1002, ""en"", ""ro"")"),"room@conference.baha.com/nick.")</f>
        <v>room@conference.baha.com/nick.</v>
      </c>
      <c r="AB1002" s="1" t="s">
        <v>21035</v>
      </c>
      <c r="AC1002" s="7" t="str">
        <f>IFERROR(__xludf.DUMMYFUNCTION("GOOGLETRANSLATE(C1002, ""en"", ""sk"")"),"room@conference.baha.com/nick")</f>
        <v>room@conference.baha.com/nick</v>
      </c>
      <c r="AD1002" s="6" t="s">
        <v>132</v>
      </c>
      <c r="AE1002" s="1" t="s">
        <v>21044</v>
      </c>
      <c r="AF1002" s="1" t="s">
        <v>21035</v>
      </c>
      <c r="AG1002" s="6" t="s">
        <v>132</v>
      </c>
      <c r="AH1002" s="7" t="str">
        <f>IFERROR(__xludf.DUMMYFUNCTION("GOOGLETRANSLATE(C1002, ""en"", ""tr"")"),"room@conference.baha.com/nick")</f>
        <v>room@conference.baha.com/nick</v>
      </c>
      <c r="AI1002" s="6" t="s">
        <v>21035</v>
      </c>
      <c r="AJ1002" s="6" t="s">
        <v>21035</v>
      </c>
      <c r="AK1002" s="7" t="str">
        <f>IFERROR(__xludf.DUMMYFUNCTION("GOOGLETRANSLATE(C1002, ""en"", ""zh"")"),"room@conference.baha.com/nick.")</f>
        <v>room@conference.baha.com/nick.</v>
      </c>
      <c r="AL1002" s="6" t="s">
        <v>21035</v>
      </c>
    </row>
    <row r="1003" ht="15.75" customHeight="1">
      <c r="A1003" s="1" t="s">
        <v>127</v>
      </c>
      <c r="B1003" s="1" t="s">
        <v>21045</v>
      </c>
      <c r="C1003" s="1" t="s">
        <v>21046</v>
      </c>
      <c r="D1003" s="8" t="s">
        <v>21047</v>
      </c>
      <c r="E1003" s="1" t="s">
        <v>21048</v>
      </c>
      <c r="F1003" s="6" t="s">
        <v>132</v>
      </c>
      <c r="G1003" s="1" t="s">
        <v>21049</v>
      </c>
      <c r="H1003" s="1" t="s">
        <v>21050</v>
      </c>
      <c r="I1003" s="1" t="s">
        <v>21051</v>
      </c>
      <c r="J1003" s="6" t="s">
        <v>21052</v>
      </c>
      <c r="K1003" s="1" t="s">
        <v>21053</v>
      </c>
      <c r="L1003" s="1" t="s">
        <v>21054</v>
      </c>
      <c r="M1003" s="1" t="s">
        <v>21055</v>
      </c>
      <c r="N1003" s="6" t="s">
        <v>132</v>
      </c>
      <c r="O1003" s="6" t="s">
        <v>21056</v>
      </c>
      <c r="P1003" s="1" t="s">
        <v>21057</v>
      </c>
      <c r="Q1003" s="1" t="s">
        <v>21058</v>
      </c>
      <c r="R1003" s="1" t="s">
        <v>21059</v>
      </c>
      <c r="S1003" s="10" t="s">
        <v>21060</v>
      </c>
      <c r="T1003" s="1" t="s">
        <v>21061</v>
      </c>
      <c r="U1003" s="1" t="s">
        <v>21062</v>
      </c>
      <c r="V1003" s="1" t="s">
        <v>21063</v>
      </c>
      <c r="W1003" s="1" t="s">
        <v>21064</v>
      </c>
      <c r="X1003" s="1" t="s">
        <v>21050</v>
      </c>
      <c r="Y1003" s="1" t="s">
        <v>21065</v>
      </c>
      <c r="Z1003" s="1" t="s">
        <v>21066</v>
      </c>
      <c r="AA1003" s="1" t="s">
        <v>21067</v>
      </c>
      <c r="AB1003" s="1" t="s">
        <v>21068</v>
      </c>
      <c r="AC1003" s="1" t="s">
        <v>21069</v>
      </c>
      <c r="AD1003" s="6" t="s">
        <v>21070</v>
      </c>
      <c r="AE1003" s="1" t="s">
        <v>21071</v>
      </c>
      <c r="AF1003" s="1" t="s">
        <v>21050</v>
      </c>
      <c r="AG1003" s="6" t="s">
        <v>21072</v>
      </c>
      <c r="AH1003" s="1" t="s">
        <v>21073</v>
      </c>
      <c r="AI1003" s="6" t="s">
        <v>132</v>
      </c>
      <c r="AJ1003" s="6" t="s">
        <v>21074</v>
      </c>
      <c r="AK1003" s="1" t="s">
        <v>21075</v>
      </c>
      <c r="AL1003" s="6" t="s">
        <v>21076</v>
      </c>
    </row>
    <row r="1004" ht="15.75" hidden="1" customHeight="1">
      <c r="A1004" s="1" t="s">
        <v>38</v>
      </c>
      <c r="B1004" s="1" t="s">
        <v>21077</v>
      </c>
      <c r="C1004" s="1" t="s">
        <v>21078</v>
      </c>
      <c r="D1004" s="7" t="str">
        <f>IFERROR(__xludf.DUMMYFUNCTION("GOOGLETRANSLATE(C1004, ""en"", ""ar"")"),"حذف")</f>
        <v>حذف</v>
      </c>
      <c r="E1004" s="7" t="str">
        <f>IFERROR(__xludf.DUMMYFUNCTION("GOOGLETRANSLATE(C1004, ""en"", ""bg"")"),"ИЗТРИЙ")</f>
        <v>ИЗТРИЙ</v>
      </c>
      <c r="F1004" s="6" t="s">
        <v>132</v>
      </c>
      <c r="G1004" s="7" t="str">
        <f>IFERROR(__xludf.DUMMYFUNCTION("GOOGLETRANSLATE(C1004, ""en"", ""cs"")"),"VYMAZAT")</f>
        <v>VYMAZAT</v>
      </c>
      <c r="H1004" s="7" t="str">
        <f>IFERROR(__xludf.DUMMYFUNCTION("GOOGLETRANSLATE(C1004, ""en"", ""da"")"),"DELETE")</f>
        <v>DELETE</v>
      </c>
      <c r="I1004" s="1" t="s">
        <v>21079</v>
      </c>
      <c r="J1004" s="6" t="s">
        <v>132</v>
      </c>
      <c r="K1004" s="1" t="s">
        <v>21080</v>
      </c>
      <c r="L1004" s="7" t="str">
        <f>IFERROR(__xludf.DUMMYFUNCTION("GOOGLETRANSLATE(C1004, ""en"", ""fi"")"),"POISTAA")</f>
        <v>POISTAA</v>
      </c>
      <c r="M1004" s="1" t="s">
        <v>21081</v>
      </c>
      <c r="N1004" s="6" t="s">
        <v>132</v>
      </c>
      <c r="O1004" s="6" t="s">
        <v>132</v>
      </c>
      <c r="P1004" s="1" t="s">
        <v>17409</v>
      </c>
      <c r="Q1004" s="7" t="str">
        <f>IFERROR(__xludf.DUMMYFUNCTION("GOOGLETRANSLATE(C1004, ""en"", ""in"")"),"MENGHAPUS")</f>
        <v>MENGHAPUS</v>
      </c>
      <c r="R1004" s="7" t="str">
        <f>IFERROR(__xludf.DUMMYFUNCTION("GOOGLETRANSLATE(C1004, ""en"", ""it"")"),"ELIMINA")</f>
        <v>ELIMINA</v>
      </c>
      <c r="S1004" s="6" t="s">
        <v>132</v>
      </c>
      <c r="T1004" s="7" t="str">
        <f>IFERROR(__xludf.DUMMYFUNCTION("GOOGLETRANSLATE(C1004, ""en"", ""ja"")"),"削除する")</f>
        <v>削除する</v>
      </c>
      <c r="U1004" s="7" t="str">
        <f>IFERROR(__xludf.DUMMYFUNCTION("GOOGLETRANSLATE(C1004, ""en"", ""ko"")"),"지우다")</f>
        <v>지우다</v>
      </c>
      <c r="V1004" s="7" t="str">
        <f>IFERROR(__xludf.DUMMYFUNCTION("GOOGLETRANSLATE(C1004, ""en"", ""ms"")"),"Memadam")</f>
        <v>Memadam</v>
      </c>
      <c r="W1004" s="7" t="str">
        <f>IFERROR(__xludf.DUMMYFUNCTION("GOOGLETRANSLATE(C1004, ""en"", ""nl"")"),"Verwijderen")</f>
        <v>Verwijderen</v>
      </c>
      <c r="X1004" s="7" t="str">
        <f>IFERROR(__xludf.DUMMYFUNCTION("GOOGLETRANSLATE(C1004, ""en"", ""no"")"),"Slett")</f>
        <v>Slett</v>
      </c>
      <c r="Y1004" s="7" t="str">
        <f>IFERROR(__xludf.DUMMYFUNCTION("GOOGLETRANSLATE(C1004, ""en"", ""pl"")"),"KASOWAĆ")</f>
        <v>KASOWAĆ</v>
      </c>
      <c r="Z1004" s="7" t="str">
        <f>IFERROR(__xludf.DUMMYFUNCTION("GOOGLETRANSLATE(C1004, ""en"", ""pt"")"),"EXCLUIR")</f>
        <v>EXCLUIR</v>
      </c>
      <c r="AA1004" s="7" t="str">
        <f>IFERROR(__xludf.DUMMYFUNCTION("GOOGLETRANSLATE(C1004, ""en"", ""ro"")"),"ȘTERGE")</f>
        <v>ȘTERGE</v>
      </c>
      <c r="AB1004" s="1" t="s">
        <v>21082</v>
      </c>
      <c r="AC1004" s="7" t="str">
        <f>IFERROR(__xludf.DUMMYFUNCTION("GOOGLETRANSLATE(C1004, ""en"", ""sk"")"),"Vymazať")</f>
        <v>Vymazať</v>
      </c>
      <c r="AD1004" s="6" t="s">
        <v>132</v>
      </c>
      <c r="AE1004" s="1" t="s">
        <v>21083</v>
      </c>
      <c r="AF1004" s="7" t="str">
        <f>IFERROR(__xludf.DUMMYFUNCTION("GOOGLETRANSLATE(C1004, ""en"", ""sv"")"),"RADERA")</f>
        <v>RADERA</v>
      </c>
      <c r="AG1004" s="6" t="s">
        <v>132</v>
      </c>
      <c r="AH1004" s="7" t="str">
        <f>IFERROR(__xludf.DUMMYFUNCTION("GOOGLETRANSLATE(C1004, ""en"", ""tr"")"),"Silmek")</f>
        <v>Silmek</v>
      </c>
      <c r="AI1004" s="6" t="s">
        <v>132</v>
      </c>
      <c r="AJ1004" s="6" t="s">
        <v>132</v>
      </c>
      <c r="AK1004" s="7" t="str">
        <f>IFERROR(__xludf.DUMMYFUNCTION("GOOGLETRANSLATE(C1004, ""en"", ""zh"")"),"删除")</f>
        <v>删除</v>
      </c>
      <c r="AL1004" s="6" t="s">
        <v>132</v>
      </c>
    </row>
    <row r="1005" ht="15.75" hidden="1" customHeight="1">
      <c r="A1005" s="1" t="s">
        <v>38</v>
      </c>
      <c r="B1005" s="1" t="s">
        <v>21084</v>
      </c>
      <c r="C1005" s="1" t="s">
        <v>21085</v>
      </c>
      <c r="D1005" s="7" t="str">
        <f>IFERROR(__xludf.DUMMYFUNCTION("GOOGLETRANSLATE(C1005, ""en"", ""ar"")"),"اختر جهات الاتصال")</f>
        <v>اختر جهات الاتصال</v>
      </c>
      <c r="E1005" s="1" t="s">
        <v>21086</v>
      </c>
      <c r="F1005" s="6" t="s">
        <v>21087</v>
      </c>
      <c r="G1005" s="7" t="str">
        <f>IFERROR(__xludf.DUMMYFUNCTION("GOOGLETRANSLATE(C1005, ""en"", ""cs"")"),"Zvolte Kontakty")</f>
        <v>Zvolte Kontakty</v>
      </c>
      <c r="H1005" s="7" t="str">
        <f>IFERROR(__xludf.DUMMYFUNCTION("GOOGLETRANSLATE(C1005, ""en"", ""da"")"),"Vælg Kontakter")</f>
        <v>Vælg Kontakter</v>
      </c>
      <c r="I1005" s="1" t="s">
        <v>21088</v>
      </c>
      <c r="J1005" s="6" t="s">
        <v>132</v>
      </c>
      <c r="K1005" s="1" t="s">
        <v>21089</v>
      </c>
      <c r="L1005" s="7" t="str">
        <f>IFERROR(__xludf.DUMMYFUNCTION("GOOGLETRANSLATE(C1005, ""en"", ""fi"")"),"Valitse yhteystiedot")</f>
        <v>Valitse yhteystiedot</v>
      </c>
      <c r="M1005" s="1" t="s">
        <v>21090</v>
      </c>
      <c r="N1005" s="6" t="s">
        <v>21091</v>
      </c>
      <c r="O1005" s="6" t="s">
        <v>132</v>
      </c>
      <c r="P1005" s="1" t="s">
        <v>21092</v>
      </c>
      <c r="Q1005" s="7" t="str">
        <f>IFERROR(__xludf.DUMMYFUNCTION("GOOGLETRANSLATE(C1005, ""en"", ""in"")"),"Pilih Kontak")</f>
        <v>Pilih Kontak</v>
      </c>
      <c r="R1005" s="1" t="s">
        <v>21093</v>
      </c>
      <c r="S1005" s="6" t="s">
        <v>132</v>
      </c>
      <c r="T1005" s="1" t="s">
        <v>21094</v>
      </c>
      <c r="U1005" s="7" t="str">
        <f>IFERROR(__xludf.DUMMYFUNCTION("GOOGLETRANSLATE(C1005, ""en"", ""ko"")"),"연락처를 선택하십시오")</f>
        <v>연락처를 선택하십시오</v>
      </c>
      <c r="V1005" s="7" t="str">
        <f>IFERROR(__xludf.DUMMYFUNCTION("GOOGLETRANSLATE(C1005, ""en"", ""ms"")"),"Pilih kenalan")</f>
        <v>Pilih kenalan</v>
      </c>
      <c r="W1005" s="1" t="s">
        <v>21095</v>
      </c>
      <c r="X1005" s="7" t="str">
        <f>IFERROR(__xludf.DUMMYFUNCTION("GOOGLETRANSLATE(C1005, ""en"", ""no"")"),"Velg kontakter")</f>
        <v>Velg kontakter</v>
      </c>
      <c r="Y1005" s="1" t="s">
        <v>21096</v>
      </c>
      <c r="Z1005" s="1" t="s">
        <v>21097</v>
      </c>
      <c r="AA1005" s="7" t="str">
        <f>IFERROR(__xludf.DUMMYFUNCTION("GOOGLETRANSLATE(C1005, ""en"", ""ro"")"),"Alegeți Contacte")</f>
        <v>Alegeți Contacte</v>
      </c>
      <c r="AB1005" s="1" t="s">
        <v>21098</v>
      </c>
      <c r="AC1005" s="7" t="str">
        <f>IFERROR(__xludf.DUMMYFUNCTION("GOOGLETRANSLATE(C1005, ""en"", ""sk"")"),"Vyberte kontakty")</f>
        <v>Vyberte kontakty</v>
      </c>
      <c r="AD1005" s="6" t="s">
        <v>132</v>
      </c>
      <c r="AE1005" s="1" t="s">
        <v>21099</v>
      </c>
      <c r="AF1005" s="7" t="str">
        <f>IFERROR(__xludf.DUMMYFUNCTION("GOOGLETRANSLATE(C1005, ""en"", ""sv"")"),"Välj kontakter")</f>
        <v>Välj kontakter</v>
      </c>
      <c r="AG1005" s="6" t="s">
        <v>132</v>
      </c>
      <c r="AH1005" s="7" t="str">
        <f>IFERROR(__xludf.DUMMYFUNCTION("GOOGLETRANSLATE(C1005, ""en"", ""tr"")"),"Kişileri Seçin")</f>
        <v>Kişileri Seçin</v>
      </c>
      <c r="AI1005" s="6" t="s">
        <v>132</v>
      </c>
      <c r="AJ1005" s="6" t="s">
        <v>132</v>
      </c>
      <c r="AK1005" s="7" t="str">
        <f>IFERROR(__xludf.DUMMYFUNCTION("GOOGLETRANSLATE(C1005, ""en"", ""zh"")"),"选择联系人")</f>
        <v>选择联系人</v>
      </c>
      <c r="AL1005" s="6" t="s">
        <v>132</v>
      </c>
    </row>
    <row r="1006" ht="15.75" hidden="1" customHeight="1">
      <c r="A1006" s="1" t="s">
        <v>38</v>
      </c>
      <c r="B1006" s="1" t="s">
        <v>21100</v>
      </c>
      <c r="C1006" s="1" t="s">
        <v>21101</v>
      </c>
      <c r="D1006" s="8" t="s">
        <v>21102</v>
      </c>
      <c r="E1006" s="1" t="s">
        <v>21103</v>
      </c>
      <c r="F1006" s="6" t="s">
        <v>21104</v>
      </c>
      <c r="G1006" s="7" t="str">
        <f>IFERROR(__xludf.DUMMYFUNCTION("GOOGLETRANSLATE(C1006, ""en"", ""cs"")"),"Naposledy viděla před 1 hodinou")</f>
        <v>Naposledy viděla před 1 hodinou</v>
      </c>
      <c r="H1006" s="7" t="str">
        <f>IFERROR(__xludf.DUMMYFUNCTION("GOOGLETRANSLATE(C1006, ""en"", ""da"")"),"sidst set 1 time siden")</f>
        <v>sidst set 1 time siden</v>
      </c>
      <c r="I1006" s="1" t="s">
        <v>21105</v>
      </c>
      <c r="J1006" s="6" t="s">
        <v>132</v>
      </c>
      <c r="K1006" s="1" t="s">
        <v>21106</v>
      </c>
      <c r="L1006" s="7" t="str">
        <f>IFERROR(__xludf.DUMMYFUNCTION("GOOGLETRANSLATE(C1006, ""en"", ""fi"")"),"Viimeksi nähty 1 tunti sitten")</f>
        <v>Viimeksi nähty 1 tunti sitten</v>
      </c>
      <c r="M1006" s="1" t="s">
        <v>21107</v>
      </c>
      <c r="N1006" s="6" t="s">
        <v>21108</v>
      </c>
      <c r="O1006" s="6" t="s">
        <v>132</v>
      </c>
      <c r="P1006" s="1" t="s">
        <v>21109</v>
      </c>
      <c r="Q1006" s="9" t="s">
        <v>21110</v>
      </c>
      <c r="R1006" s="1" t="s">
        <v>21111</v>
      </c>
      <c r="S1006" s="6" t="s">
        <v>132</v>
      </c>
      <c r="T1006" s="1" t="s">
        <v>21112</v>
      </c>
      <c r="U1006" s="1" t="s">
        <v>21113</v>
      </c>
      <c r="V1006" s="7" t="str">
        <f>IFERROR(__xludf.DUMMYFUNCTION("GOOGLETRANSLATE(C1006, ""en"", ""ms"")"),"terakhir dilihat 1 jam yang lalu")</f>
        <v>terakhir dilihat 1 jam yang lalu</v>
      </c>
      <c r="W1006" s="1" t="s">
        <v>21114</v>
      </c>
      <c r="X1006" s="7" t="str">
        <f>IFERROR(__xludf.DUMMYFUNCTION("GOOGLETRANSLATE(C1006, ""en"", ""no"")"),"Sist sett 1 time siden")</f>
        <v>Sist sett 1 time siden</v>
      </c>
      <c r="Y1006" s="1" t="s">
        <v>21115</v>
      </c>
      <c r="Z1006" s="1" t="s">
        <v>21116</v>
      </c>
      <c r="AA1006" s="7" t="str">
        <f>IFERROR(__xludf.DUMMYFUNCTION("GOOGLETRANSLATE(C1006, ""en"", ""ro"")"),"Ultima dată acum 1 oră")</f>
        <v>Ultima dată acum 1 oră</v>
      </c>
      <c r="AB1006" s="1" t="s">
        <v>21117</v>
      </c>
      <c r="AC1006" s="1" t="s">
        <v>21118</v>
      </c>
      <c r="AD1006" s="6" t="s">
        <v>132</v>
      </c>
      <c r="AE1006" s="1" t="s">
        <v>21119</v>
      </c>
      <c r="AF1006" s="1" t="s">
        <v>21120</v>
      </c>
      <c r="AG1006" s="6" t="s">
        <v>132</v>
      </c>
      <c r="AH1006" s="7" t="str">
        <f>IFERROR(__xludf.DUMMYFUNCTION("GOOGLETRANSLATE(C1006, ""en"", ""tr"")"),"Son görülen 1 saat önce")</f>
        <v>Son görülen 1 saat önce</v>
      </c>
      <c r="AI1006" s="6" t="s">
        <v>21121</v>
      </c>
      <c r="AJ1006" s="6" t="s">
        <v>21122</v>
      </c>
      <c r="AK1006" s="7" t="str">
        <f>IFERROR(__xludf.DUMMYFUNCTION("GOOGLETRANSLATE(C1006, ""en"", ""zh"")"),"最后一次见到1小时前")</f>
        <v>最后一次见到1小时前</v>
      </c>
      <c r="AL1006" s="6" t="s">
        <v>21123</v>
      </c>
    </row>
    <row r="1007" ht="15.75" hidden="1" customHeight="1">
      <c r="A1007" s="1" t="s">
        <v>38</v>
      </c>
      <c r="B1007" s="1" t="s">
        <v>21124</v>
      </c>
      <c r="C1007" s="1" t="s">
        <v>21125</v>
      </c>
      <c r="D1007" s="7" t="str">
        <f>IFERROR(__xludf.DUMMYFUNCTION("GOOGLETRANSLATE(C1007, ""en"", ""ar"")"),"مشكلة حفظ الصورة.")</f>
        <v>مشكلة حفظ الصورة.</v>
      </c>
      <c r="E1007" s="7" t="str">
        <f>IFERROR(__xludf.DUMMYFUNCTION("GOOGLETRANSLATE(C1007, ""en"", ""bg"")"),"Изображение на проблема.")</f>
        <v>Изображение на проблема.</v>
      </c>
      <c r="F1007" s="6" t="s">
        <v>132</v>
      </c>
      <c r="G1007" s="7" t="str">
        <f>IFERROR(__xludf.DUMMYFUNCTION("GOOGLETRANSLATE(C1007, ""en"", ""cs"")"),"Problém Saving Image.")</f>
        <v>Problém Saving Image.</v>
      </c>
      <c r="H1007" s="7" t="str">
        <f>IFERROR(__xludf.DUMMYFUNCTION("GOOGLETRANSLATE(C1007, ""en"", ""da"")"),"Problembesparende billede.")</f>
        <v>Problembesparende billede.</v>
      </c>
      <c r="I1007" s="1" t="s">
        <v>21126</v>
      </c>
      <c r="J1007" s="6" t="s">
        <v>132</v>
      </c>
      <c r="K1007" s="1" t="s">
        <v>21127</v>
      </c>
      <c r="L1007" s="7" t="str">
        <f>IFERROR(__xludf.DUMMYFUNCTION("GOOGLETRANSLATE(C1007, ""en"", ""fi"")"),"Ongelma tallentaa kuva.")</f>
        <v>Ongelma tallentaa kuva.</v>
      </c>
      <c r="M1007" s="1" t="s">
        <v>21128</v>
      </c>
      <c r="N1007" s="6" t="s">
        <v>132</v>
      </c>
      <c r="O1007" s="6" t="s">
        <v>132</v>
      </c>
      <c r="P1007" s="1" t="s">
        <v>21129</v>
      </c>
      <c r="Q1007" s="7" t="str">
        <f>IFERROR(__xludf.DUMMYFUNCTION("GOOGLETRANSLATE(C1007, ""en"", ""in"")"),"Gambar hemat masalah.")</f>
        <v>Gambar hemat masalah.</v>
      </c>
      <c r="R1007" s="7" t="str">
        <f>IFERROR(__xludf.DUMMYFUNCTION("GOOGLETRANSLATE(C1007, ""en"", ""it"")"),"Immagine del risparmio di problemi.")</f>
        <v>Immagine del risparmio di problemi.</v>
      </c>
      <c r="S1007" s="6" t="s">
        <v>132</v>
      </c>
      <c r="T1007" s="7" t="str">
        <f>IFERROR(__xludf.DUMMYFUNCTION("GOOGLETRANSLATE(C1007, ""en"", ""ja"")"),"問題保存画像。")</f>
        <v>問題保存画像。</v>
      </c>
      <c r="U1007" s="7" t="str">
        <f>IFERROR(__xludf.DUMMYFUNCTION("GOOGLETRANSLATE(C1007, ""en"", ""ko"")"),"이미지를 저장하는 문제.")</f>
        <v>이미지를 저장하는 문제.</v>
      </c>
      <c r="V1007" s="7" t="str">
        <f>IFERROR(__xludf.DUMMYFUNCTION("GOOGLETRANSLATE(C1007, ""en"", ""ms"")"),"Imej Penjimatan Masalah.")</f>
        <v>Imej Penjimatan Masalah.</v>
      </c>
      <c r="W1007" s="7" t="str">
        <f>IFERROR(__xludf.DUMMYFUNCTION("GOOGLETRANSLATE(C1007, ""en"", ""nl"")"),"Probleembesparend beeld.")</f>
        <v>Probleembesparend beeld.</v>
      </c>
      <c r="X1007" s="7" t="str">
        <f>IFERROR(__xludf.DUMMYFUNCTION("GOOGLETRANSLATE(C1007, ""en"", ""no"")"),"Problembesparende bilde.")</f>
        <v>Problembesparende bilde.</v>
      </c>
      <c r="Y1007" s="7" t="str">
        <f>IFERROR(__xludf.DUMMYFUNCTION("GOOGLETRANSLATE(C1007, ""en"", ""pl"")"),"Problem Zapisywanie obrazu.")</f>
        <v>Problem Zapisywanie obrazu.</v>
      </c>
      <c r="Z1007" s="7" t="str">
        <f>IFERROR(__xludf.DUMMYFUNCTION("GOOGLETRANSLATE(C1007, ""en"", ""pt"")"),"Imagem de salvamento de problemas.")</f>
        <v>Imagem de salvamento de problemas.</v>
      </c>
      <c r="AA1007" s="7" t="str">
        <f>IFERROR(__xludf.DUMMYFUNCTION("GOOGLETRANSLATE(C1007, ""en"", ""ro"")"),"Problema de salvare a imaginii.")</f>
        <v>Problema de salvare a imaginii.</v>
      </c>
      <c r="AB1007" s="1" t="s">
        <v>21130</v>
      </c>
      <c r="AC1007" s="7" t="str">
        <f>IFERROR(__xludf.DUMMYFUNCTION("GOOGLETRANSLATE(C1007, ""en"", ""sk"")"),"Úspora problému.")</f>
        <v>Úspora problému.</v>
      </c>
      <c r="AD1007" s="6" t="s">
        <v>132</v>
      </c>
      <c r="AE1007" s="1" t="s">
        <v>21131</v>
      </c>
      <c r="AF1007" s="7" t="str">
        <f>IFERROR(__xludf.DUMMYFUNCTION("GOOGLETRANSLATE(C1007, ""en"", ""sv"")"),"Problem med att spara bild.")</f>
        <v>Problem med att spara bild.</v>
      </c>
      <c r="AG1007" s="6" t="s">
        <v>132</v>
      </c>
      <c r="AH1007" s="7" t="str">
        <f>IFERROR(__xludf.DUMMYFUNCTION("GOOGLETRANSLATE(C1007, ""en"", ""tr"")"),"Sorun kaydetme imajı.")</f>
        <v>Sorun kaydetme imajı.</v>
      </c>
      <c r="AI1007" s="6" t="s">
        <v>132</v>
      </c>
      <c r="AJ1007" s="6" t="s">
        <v>132</v>
      </c>
      <c r="AK1007" s="7" t="str">
        <f>IFERROR(__xludf.DUMMYFUNCTION("GOOGLETRANSLATE(C1007, ""en"", ""zh"")"),"保存图像问题。")</f>
        <v>保存图像问题。</v>
      </c>
      <c r="AL1007" s="6" t="s">
        <v>132</v>
      </c>
    </row>
    <row r="1008" ht="15.75" customHeight="1">
      <c r="A1008" s="1" t="s">
        <v>127</v>
      </c>
      <c r="B1008" s="1" t="s">
        <v>21132</v>
      </c>
      <c r="C1008" s="1" t="s">
        <v>21133</v>
      </c>
      <c r="D1008" s="8" t="s">
        <v>21134</v>
      </c>
      <c r="E1008" s="1" t="s">
        <v>21135</v>
      </c>
      <c r="F1008" s="6" t="s">
        <v>132</v>
      </c>
      <c r="G1008" s="1" t="s">
        <v>21136</v>
      </c>
      <c r="H1008" s="1" t="s">
        <v>21137</v>
      </c>
      <c r="I1008" s="1" t="s">
        <v>21138</v>
      </c>
      <c r="J1008" s="6" t="s">
        <v>21139</v>
      </c>
      <c r="K1008" s="1" t="s">
        <v>21140</v>
      </c>
      <c r="L1008" s="1" t="s">
        <v>21141</v>
      </c>
      <c r="M1008" s="1" t="s">
        <v>21142</v>
      </c>
      <c r="N1008" s="6" t="s">
        <v>132</v>
      </c>
      <c r="O1008" s="6" t="s">
        <v>21143</v>
      </c>
      <c r="P1008" s="1" t="s">
        <v>21144</v>
      </c>
      <c r="Q1008" s="1" t="s">
        <v>21145</v>
      </c>
      <c r="R1008" s="1" t="s">
        <v>21146</v>
      </c>
      <c r="S1008" s="10" t="s">
        <v>21147</v>
      </c>
      <c r="T1008" s="1" t="s">
        <v>21148</v>
      </c>
      <c r="U1008" s="1" t="s">
        <v>21149</v>
      </c>
      <c r="V1008" s="1" t="s">
        <v>21150</v>
      </c>
      <c r="W1008" s="1" t="s">
        <v>21151</v>
      </c>
      <c r="X1008" s="1" t="s">
        <v>21152</v>
      </c>
      <c r="Y1008" s="1" t="s">
        <v>21153</v>
      </c>
      <c r="Z1008" s="1" t="s">
        <v>21154</v>
      </c>
      <c r="AA1008" s="1" t="s">
        <v>21155</v>
      </c>
      <c r="AB1008" s="1" t="s">
        <v>21156</v>
      </c>
      <c r="AC1008" s="1" t="s">
        <v>21157</v>
      </c>
      <c r="AD1008" s="6" t="s">
        <v>21158</v>
      </c>
      <c r="AE1008" s="1" t="s">
        <v>21159</v>
      </c>
      <c r="AF1008" s="1" t="s">
        <v>21160</v>
      </c>
      <c r="AG1008" s="6" t="s">
        <v>21161</v>
      </c>
      <c r="AH1008" s="1" t="s">
        <v>21162</v>
      </c>
      <c r="AI1008" s="6" t="s">
        <v>132</v>
      </c>
      <c r="AJ1008" s="6" t="s">
        <v>21163</v>
      </c>
      <c r="AK1008" s="1" t="s">
        <v>17040</v>
      </c>
      <c r="AL1008" s="6" t="s">
        <v>132</v>
      </c>
    </row>
    <row r="1009" ht="15.75" hidden="1" customHeight="1">
      <c r="A1009" s="1" t="s">
        <v>38</v>
      </c>
      <c r="B1009" s="1" t="s">
        <v>21164</v>
      </c>
      <c r="C1009" s="1" t="s">
        <v>21165</v>
      </c>
      <c r="D1009" s="8" t="s">
        <v>21166</v>
      </c>
      <c r="E1009" s="1" t="s">
        <v>21167</v>
      </c>
      <c r="F1009" s="6" t="s">
        <v>21168</v>
      </c>
      <c r="G1009" s="7" t="str">
        <f>IFERROR(__xludf.DUMMYFUNCTION("GOOGLETRANSLATE(C1009, ""en"", ""cs"")"),"Android App.")</f>
        <v>Android App.</v>
      </c>
      <c r="H1009" s="7" t="str">
        <f>IFERROR(__xludf.DUMMYFUNCTION("GOOGLETRANSLATE(C1009, ""en"", ""da"")"),"Android App.")</f>
        <v>Android App.</v>
      </c>
      <c r="I1009" s="1" t="s">
        <v>21165</v>
      </c>
      <c r="J1009" s="6" t="s">
        <v>132</v>
      </c>
      <c r="K1009" s="1" t="s">
        <v>21165</v>
      </c>
      <c r="L1009" s="7" t="str">
        <f>IFERROR(__xludf.DUMMYFUNCTION("GOOGLETRANSLATE(C1009, ""en"", ""fi"")"),"Android-sovellus")</f>
        <v>Android-sovellus</v>
      </c>
      <c r="M1009" s="1" t="s">
        <v>21169</v>
      </c>
      <c r="N1009" s="6" t="s">
        <v>21170</v>
      </c>
      <c r="O1009" s="6" t="s">
        <v>132</v>
      </c>
      <c r="P1009" s="1" t="s">
        <v>21171</v>
      </c>
      <c r="Q1009" s="9" t="s">
        <v>21172</v>
      </c>
      <c r="R1009" s="1" t="s">
        <v>21173</v>
      </c>
      <c r="S1009" s="6" t="s">
        <v>132</v>
      </c>
      <c r="T1009" s="1" t="s">
        <v>21174</v>
      </c>
      <c r="U1009" s="1" t="s">
        <v>21175</v>
      </c>
      <c r="V1009" s="7" t="str">
        <f>IFERROR(__xludf.DUMMYFUNCTION("GOOGLETRANSLATE(C1009, ""en"", ""ms"")"),"Apl Android.")</f>
        <v>Apl Android.</v>
      </c>
      <c r="W1009" s="1" t="s">
        <v>21176</v>
      </c>
      <c r="X1009" s="7" t="str">
        <f>IFERROR(__xludf.DUMMYFUNCTION("GOOGLETRANSLATE(C1009, ""en"", ""no"")"),"Android App.")</f>
        <v>Android App.</v>
      </c>
      <c r="Y1009" s="1" t="s">
        <v>21177</v>
      </c>
      <c r="Z1009" s="1" t="s">
        <v>21178</v>
      </c>
      <c r="AA1009" s="7" t="str">
        <f>IFERROR(__xludf.DUMMYFUNCTION("GOOGLETRANSLATE(C1009, ""en"", ""ro"")"),"Android App")</f>
        <v>Android App</v>
      </c>
      <c r="AB1009" s="1" t="s">
        <v>21179</v>
      </c>
      <c r="AC1009" s="1" t="s">
        <v>21165</v>
      </c>
      <c r="AD1009" s="6" t="s">
        <v>132</v>
      </c>
      <c r="AE1009" s="1" t="s">
        <v>21180</v>
      </c>
      <c r="AF1009" s="1" t="s">
        <v>21181</v>
      </c>
      <c r="AG1009" s="6" t="s">
        <v>132</v>
      </c>
      <c r="AH1009" s="7" t="str">
        <f>IFERROR(__xludf.DUMMYFUNCTION("GOOGLETRANSLATE(C1009, ""en"", ""tr"")"),"Android uygulaması")</f>
        <v>Android uygulaması</v>
      </c>
      <c r="AI1009" s="6" t="s">
        <v>21182</v>
      </c>
      <c r="AJ1009" s="6" t="s">
        <v>21183</v>
      </c>
      <c r="AK1009" s="7" t="str">
        <f>IFERROR(__xludf.DUMMYFUNCTION("GOOGLETRANSLATE(C1009, ""en"", ""zh"")"),"Android应用程序")</f>
        <v>Android应用程序</v>
      </c>
      <c r="AL1009" s="6" t="s">
        <v>21165</v>
      </c>
    </row>
    <row r="1010" ht="15.75" hidden="1" customHeight="1">
      <c r="A1010" s="1" t="s">
        <v>38</v>
      </c>
      <c r="B1010" s="1" t="s">
        <v>21184</v>
      </c>
      <c r="C1010" s="1" t="s">
        <v>21185</v>
      </c>
      <c r="D1010" s="8" t="s">
        <v>21186</v>
      </c>
      <c r="E1010" s="1" t="s">
        <v>21187</v>
      </c>
      <c r="F1010" s="6" t="s">
        <v>21188</v>
      </c>
      <c r="G1010" s="7" t="str">
        <f>IFERROR(__xludf.DUMMYFUNCTION("GOOGLETRANSLATE(C1010, ""en"", ""cs"")"),"čekání…")</f>
        <v>čekání…</v>
      </c>
      <c r="H1010" s="7" t="str">
        <f>IFERROR(__xludf.DUMMYFUNCTION("GOOGLETRANSLATE(C1010, ""en"", ""da"")"),"venter…")</f>
        <v>venter…</v>
      </c>
      <c r="I1010" s="1" t="s">
        <v>21189</v>
      </c>
      <c r="J1010" s="6" t="s">
        <v>132</v>
      </c>
      <c r="K1010" s="1" t="s">
        <v>21190</v>
      </c>
      <c r="L1010" s="7" t="str">
        <f>IFERROR(__xludf.DUMMYFUNCTION("GOOGLETRANSLATE(C1010, ""en"", ""fi"")"),"Odottaa ...")</f>
        <v>Odottaa ...</v>
      </c>
      <c r="M1010" s="1" t="s">
        <v>21191</v>
      </c>
      <c r="N1010" s="6" t="s">
        <v>21192</v>
      </c>
      <c r="O1010" s="6" t="s">
        <v>132</v>
      </c>
      <c r="P1010" s="1" t="s">
        <v>21193</v>
      </c>
      <c r="Q1010" s="9" t="s">
        <v>21194</v>
      </c>
      <c r="R1010" s="1" t="s">
        <v>21195</v>
      </c>
      <c r="S1010" s="6" t="s">
        <v>132</v>
      </c>
      <c r="T1010" s="1" t="s">
        <v>21196</v>
      </c>
      <c r="U1010" s="1" t="s">
        <v>21197</v>
      </c>
      <c r="V1010" s="7" t="str">
        <f>IFERROR(__xludf.DUMMYFUNCTION("GOOGLETRANSLATE(C1010, ""en"", ""ms"")"),"Menunggu ...")</f>
        <v>Menunggu ...</v>
      </c>
      <c r="W1010" s="1" t="s">
        <v>21198</v>
      </c>
      <c r="X1010" s="7" t="str">
        <f>IFERROR(__xludf.DUMMYFUNCTION("GOOGLETRANSLATE(C1010, ""en"", ""no"")"),"venter…")</f>
        <v>venter…</v>
      </c>
      <c r="Y1010" s="1" t="s">
        <v>21199</v>
      </c>
      <c r="Z1010" s="1" t="s">
        <v>21200</v>
      </c>
      <c r="AA1010" s="7" t="str">
        <f>IFERROR(__xludf.DUMMYFUNCTION("GOOGLETRANSLATE(C1010, ""en"", ""ro"")"),"aşteptare…")</f>
        <v>aşteptare…</v>
      </c>
      <c r="AB1010" s="1" t="s">
        <v>21201</v>
      </c>
      <c r="AC1010" s="1" t="s">
        <v>21202</v>
      </c>
      <c r="AD1010" s="6" t="s">
        <v>132</v>
      </c>
      <c r="AE1010" s="1" t="s">
        <v>21203</v>
      </c>
      <c r="AF1010" s="1" t="s">
        <v>21204</v>
      </c>
      <c r="AG1010" s="6" t="s">
        <v>132</v>
      </c>
      <c r="AH1010" s="7" t="str">
        <f>IFERROR(__xludf.DUMMYFUNCTION("GOOGLETRANSLATE(C1010, ""en"", ""tr"")"),"Bekliyor ...")</f>
        <v>Bekliyor ...</v>
      </c>
      <c r="AI1010" s="6" t="s">
        <v>21205</v>
      </c>
      <c r="AJ1010" s="6" t="s">
        <v>21206</v>
      </c>
      <c r="AK1010" s="7" t="str">
        <f>IFERROR(__xludf.DUMMYFUNCTION("GOOGLETRANSLATE(C1010, ""en"", ""zh"")"),"等待…")</f>
        <v>等待…</v>
      </c>
      <c r="AL1010" s="6" t="s">
        <v>21207</v>
      </c>
    </row>
    <row r="1011" ht="15.75" hidden="1" customHeight="1">
      <c r="A1011" s="1" t="s">
        <v>38</v>
      </c>
      <c r="B1011" s="1" t="s">
        <v>21208</v>
      </c>
      <c r="C1011" s="1" t="s">
        <v>21209</v>
      </c>
      <c r="D1011" s="8" t="s">
        <v>21210</v>
      </c>
      <c r="E1011" s="1" t="s">
        <v>21211</v>
      </c>
      <c r="F1011" s="6" t="s">
        <v>21212</v>
      </c>
      <c r="G1011" s="7" t="str">
        <f>IFERROR(__xludf.DUMMYFUNCTION("GOOGLETRANSLATE(C1011, ""en"", ""cs"")"),"Krátký")</f>
        <v>Krátký</v>
      </c>
      <c r="H1011" s="7" t="str">
        <f>IFERROR(__xludf.DUMMYFUNCTION("GOOGLETRANSLATE(C1011, ""en"", ""da"")"),"Kort")</f>
        <v>Kort</v>
      </c>
      <c r="I1011" s="1" t="s">
        <v>21213</v>
      </c>
      <c r="J1011" s="6" t="s">
        <v>132</v>
      </c>
      <c r="K1011" s="1" t="s">
        <v>21214</v>
      </c>
      <c r="L1011" s="7" t="str">
        <f>IFERROR(__xludf.DUMMYFUNCTION("GOOGLETRANSLATE(C1011, ""en"", ""fi"")"),"Lyhyt")</f>
        <v>Lyhyt</v>
      </c>
      <c r="M1011" s="1" t="s">
        <v>21215</v>
      </c>
      <c r="N1011" s="6" t="s">
        <v>21214</v>
      </c>
      <c r="O1011" s="6" t="s">
        <v>132</v>
      </c>
      <c r="P1011" s="1" t="s">
        <v>21216</v>
      </c>
      <c r="Q1011" s="9" t="s">
        <v>21217</v>
      </c>
      <c r="R1011" s="1" t="s">
        <v>21218</v>
      </c>
      <c r="S1011" s="6" t="s">
        <v>132</v>
      </c>
      <c r="T1011" s="1" t="s">
        <v>21219</v>
      </c>
      <c r="U1011" s="1" t="s">
        <v>21220</v>
      </c>
      <c r="V1011" s="7" t="str">
        <f>IFERROR(__xludf.DUMMYFUNCTION("GOOGLETRANSLATE(C1011, ""en"", ""ms"")"),"Pendek")</f>
        <v>Pendek</v>
      </c>
      <c r="W1011" s="1" t="s">
        <v>21221</v>
      </c>
      <c r="X1011" s="7" t="str">
        <f>IFERROR(__xludf.DUMMYFUNCTION("GOOGLETRANSLATE(C1011, ""en"", ""no"")"),"Kort")</f>
        <v>Kort</v>
      </c>
      <c r="Y1011" s="1" t="s">
        <v>21222</v>
      </c>
      <c r="Z1011" s="1" t="s">
        <v>21223</v>
      </c>
      <c r="AA1011" s="7" t="str">
        <f>IFERROR(__xludf.DUMMYFUNCTION("GOOGLETRANSLATE(C1011, ""en"", ""ro"")"),"Mic de statura")</f>
        <v>Mic de statura</v>
      </c>
      <c r="AB1011" s="1" t="s">
        <v>21224</v>
      </c>
      <c r="AC1011" s="7" t="str">
        <f>IFERROR(__xludf.DUMMYFUNCTION("GOOGLETRANSLATE(C1011, ""en"", ""sk"")"),"Krátky")</f>
        <v>Krátky</v>
      </c>
      <c r="AD1011" s="6" t="s">
        <v>132</v>
      </c>
      <c r="AE1011" s="1" t="s">
        <v>21225</v>
      </c>
      <c r="AF1011" s="1" t="s">
        <v>21221</v>
      </c>
      <c r="AG1011" s="6" t="s">
        <v>132</v>
      </c>
      <c r="AH1011" s="7" t="str">
        <f>IFERROR(__xludf.DUMMYFUNCTION("GOOGLETRANSLATE(C1011, ""en"", ""tr"")"),"Kısa")</f>
        <v>Kısa</v>
      </c>
      <c r="AI1011" s="6" t="s">
        <v>21224</v>
      </c>
      <c r="AJ1011" s="6" t="s">
        <v>132</v>
      </c>
      <c r="AK1011" s="7" t="str">
        <f>IFERROR(__xludf.DUMMYFUNCTION("GOOGLETRANSLATE(C1011, ""en"", ""zh"")"),"短的")</f>
        <v>短的</v>
      </c>
      <c r="AL1011" s="6" t="s">
        <v>21219</v>
      </c>
    </row>
    <row r="1012" ht="15.75" hidden="1" customHeight="1">
      <c r="A1012" s="1" t="s">
        <v>38</v>
      </c>
      <c r="B1012" s="1" t="s">
        <v>21226</v>
      </c>
      <c r="C1012" s="1" t="s">
        <v>21227</v>
      </c>
      <c r="D1012" s="7" t="str">
        <f>IFERROR(__xludf.DUMMYFUNCTION("GOOGLETRANSLATE(C1012, ""en"", ""ar"")"),"منعت")</f>
        <v>منعت</v>
      </c>
      <c r="E1012" s="1" t="s">
        <v>21228</v>
      </c>
      <c r="F1012" s="6" t="s">
        <v>21229</v>
      </c>
      <c r="G1012" s="7" t="str">
        <f>IFERROR(__xludf.DUMMYFUNCTION("GOOGLETRANSLATE(C1012, ""en"", ""cs"")"),"Blokováno")</f>
        <v>Blokováno</v>
      </c>
      <c r="H1012" s="7" t="str">
        <f>IFERROR(__xludf.DUMMYFUNCTION("GOOGLETRANSLATE(C1012, ""en"", ""da"")"),"Blokeret")</f>
        <v>Blokeret</v>
      </c>
      <c r="I1012" s="1" t="s">
        <v>21230</v>
      </c>
      <c r="J1012" s="6" t="s">
        <v>132</v>
      </c>
      <c r="K1012" s="1" t="s">
        <v>21231</v>
      </c>
      <c r="L1012" s="7" t="str">
        <f>IFERROR(__xludf.DUMMYFUNCTION("GOOGLETRANSLATE(C1012, ""en"", ""fi"")"),"Estetty")</f>
        <v>Estetty</v>
      </c>
      <c r="M1012" s="1" t="s">
        <v>21232</v>
      </c>
      <c r="N1012" s="6" t="s">
        <v>21231</v>
      </c>
      <c r="O1012" s="6" t="s">
        <v>132</v>
      </c>
      <c r="P1012" s="1" t="s">
        <v>21233</v>
      </c>
      <c r="Q1012" s="7" t="str">
        <f>IFERROR(__xludf.DUMMYFUNCTION("GOOGLETRANSLATE(C1012, ""en"", ""in"")"),"Diblokir")</f>
        <v>Diblokir</v>
      </c>
      <c r="R1012" s="1" t="s">
        <v>21234</v>
      </c>
      <c r="S1012" s="6" t="s">
        <v>132</v>
      </c>
      <c r="T1012" s="1" t="s">
        <v>21235</v>
      </c>
      <c r="U1012" s="7" t="str">
        <f>IFERROR(__xludf.DUMMYFUNCTION("GOOGLETRANSLATE(C1012, ""en"", ""ko"")"),"막힌")</f>
        <v>막힌</v>
      </c>
      <c r="V1012" s="7" t="str">
        <f>IFERROR(__xludf.DUMMYFUNCTION("GOOGLETRANSLATE(C1012, ""en"", ""ms"")"),"Disekat")</f>
        <v>Disekat</v>
      </c>
      <c r="W1012" s="1" t="s">
        <v>21236</v>
      </c>
      <c r="X1012" s="7" t="str">
        <f>IFERROR(__xludf.DUMMYFUNCTION("GOOGLETRANSLATE(C1012, ""en"", ""no"")"),"Blokkert")</f>
        <v>Blokkert</v>
      </c>
      <c r="Y1012" s="1" t="s">
        <v>21237</v>
      </c>
      <c r="Z1012" s="1" t="s">
        <v>21231</v>
      </c>
      <c r="AA1012" s="7" t="str">
        <f>IFERROR(__xludf.DUMMYFUNCTION("GOOGLETRANSLATE(C1012, ""en"", ""ro"")"),"Blocat")</f>
        <v>Blocat</v>
      </c>
      <c r="AB1012" s="7" t="str">
        <f>IFERROR(__xludf.DUMMYFUNCTION("GOOGLETRANSLATE(C1012, ""en"", ""ru"")"),"Заблокирован")</f>
        <v>Заблокирован</v>
      </c>
      <c r="AC1012" s="7" t="str">
        <f>IFERROR(__xludf.DUMMYFUNCTION("GOOGLETRANSLATE(C1012, ""en"", ""sk"")"),"Zablokovaný")</f>
        <v>Zablokovaný</v>
      </c>
      <c r="AD1012" s="6" t="s">
        <v>132</v>
      </c>
      <c r="AE1012" s="1" t="s">
        <v>21228</v>
      </c>
      <c r="AF1012" s="7" t="str">
        <f>IFERROR(__xludf.DUMMYFUNCTION("GOOGLETRANSLATE(C1012, ""en"", ""sv"")"),"Blockerad")</f>
        <v>Blockerad</v>
      </c>
      <c r="AG1012" s="6" t="s">
        <v>132</v>
      </c>
      <c r="AH1012" s="7" t="str">
        <f>IFERROR(__xludf.DUMMYFUNCTION("GOOGLETRANSLATE(C1012, ""en"", ""tr"")"),"Engellenmiş")</f>
        <v>Engellenmiş</v>
      </c>
      <c r="AI1012" s="6" t="s">
        <v>132</v>
      </c>
      <c r="AJ1012" s="6" t="s">
        <v>132</v>
      </c>
      <c r="AK1012" s="7" t="str">
        <f>IFERROR(__xludf.DUMMYFUNCTION("GOOGLETRANSLATE(C1012, ""en"", ""zh"")"),"湮没")</f>
        <v>湮没</v>
      </c>
      <c r="AL1012" s="6" t="s">
        <v>132</v>
      </c>
    </row>
    <row r="1013" ht="15.75" customHeight="1">
      <c r="A1013" s="1" t="s">
        <v>127</v>
      </c>
      <c r="B1013" s="1" t="s">
        <v>21238</v>
      </c>
      <c r="C1013" s="1" t="s">
        <v>13551</v>
      </c>
      <c r="D1013" s="8" t="s">
        <v>13552</v>
      </c>
      <c r="E1013" s="1" t="s">
        <v>13567</v>
      </c>
      <c r="F1013" s="6" t="s">
        <v>132</v>
      </c>
      <c r="G1013" s="1" t="s">
        <v>21239</v>
      </c>
      <c r="H1013" s="1" t="s">
        <v>21240</v>
      </c>
      <c r="I1013" s="1" t="s">
        <v>13555</v>
      </c>
      <c r="J1013" s="6" t="s">
        <v>21241</v>
      </c>
      <c r="K1013" s="1" t="s">
        <v>13556</v>
      </c>
      <c r="L1013" s="1" t="s">
        <v>21242</v>
      </c>
      <c r="M1013" s="1" t="s">
        <v>13557</v>
      </c>
      <c r="N1013" s="6" t="s">
        <v>132</v>
      </c>
      <c r="O1013" s="6" t="s">
        <v>21243</v>
      </c>
      <c r="P1013" s="1" t="s">
        <v>21244</v>
      </c>
      <c r="Q1013" s="1" t="s">
        <v>21245</v>
      </c>
      <c r="R1013" s="1" t="s">
        <v>13561</v>
      </c>
      <c r="S1013" s="10" t="s">
        <v>21246</v>
      </c>
      <c r="T1013" s="1" t="s">
        <v>13562</v>
      </c>
      <c r="U1013" s="1" t="s">
        <v>13563</v>
      </c>
      <c r="V1013" s="1" t="s">
        <v>21245</v>
      </c>
      <c r="W1013" s="1" t="s">
        <v>13564</v>
      </c>
      <c r="X1013" s="1" t="s">
        <v>21247</v>
      </c>
      <c r="Y1013" s="1" t="s">
        <v>13565</v>
      </c>
      <c r="Z1013" s="1" t="s">
        <v>13566</v>
      </c>
      <c r="AA1013" s="1" t="s">
        <v>21248</v>
      </c>
      <c r="AB1013" s="1" t="s">
        <v>21249</v>
      </c>
      <c r="AC1013" s="1" t="s">
        <v>13568</v>
      </c>
      <c r="AD1013" s="6" t="s">
        <v>21250</v>
      </c>
      <c r="AE1013" s="1" t="s">
        <v>21251</v>
      </c>
      <c r="AF1013" s="1" t="s">
        <v>13570</v>
      </c>
      <c r="AG1013" s="6" t="s">
        <v>21252</v>
      </c>
      <c r="AH1013" s="1" t="s">
        <v>21253</v>
      </c>
      <c r="AI1013" s="6" t="s">
        <v>132</v>
      </c>
      <c r="AJ1013" s="6" t="s">
        <v>21254</v>
      </c>
      <c r="AK1013" s="1" t="s">
        <v>13573</v>
      </c>
      <c r="AL1013" s="6" t="s">
        <v>21255</v>
      </c>
    </row>
    <row r="1014" ht="15.75" hidden="1" customHeight="1">
      <c r="A1014" s="1" t="s">
        <v>38</v>
      </c>
      <c r="B1014" s="1" t="s">
        <v>21256</v>
      </c>
      <c r="C1014" s="1" t="s">
        <v>21257</v>
      </c>
      <c r="D1014" s="7" t="str">
        <f>IFERROR(__xludf.DUMMYFUNCTION("GOOGLETRANSLATE(C1014, ""en"", ""ar"")"),"كتابة ...")</f>
        <v>كتابة ...</v>
      </c>
      <c r="E1014" s="7" t="str">
        <f>IFERROR(__xludf.DUMMYFUNCTION("GOOGLETRANSLATE(C1014, ""en"", ""bg"")"),"Въвеждане ...")</f>
        <v>Въвеждане ...</v>
      </c>
      <c r="F1014" s="6" t="s">
        <v>132</v>
      </c>
      <c r="G1014" s="7" t="str">
        <f>IFERROR(__xludf.DUMMYFUNCTION("GOOGLETRANSLATE(C1014, ""en"", ""cs"")"),"Psaní na stroji...")</f>
        <v>Psaní na stroji...</v>
      </c>
      <c r="H1014" s="7" t="str">
        <f>IFERROR(__xludf.DUMMYFUNCTION("GOOGLETRANSLATE(C1014, ""en"", ""da"")"),"Typing ...")</f>
        <v>Typing ...</v>
      </c>
      <c r="I1014" s="1" t="s">
        <v>21258</v>
      </c>
      <c r="J1014" s="6" t="s">
        <v>132</v>
      </c>
      <c r="K1014" s="1" t="s">
        <v>21259</v>
      </c>
      <c r="L1014" s="7" t="str">
        <f>IFERROR(__xludf.DUMMYFUNCTION("GOOGLETRANSLATE(C1014, ""en"", ""fi"")"),"Typing ...")</f>
        <v>Typing ...</v>
      </c>
      <c r="M1014" s="1" t="s">
        <v>21260</v>
      </c>
      <c r="N1014" s="6" t="s">
        <v>132</v>
      </c>
      <c r="O1014" s="6" t="s">
        <v>132</v>
      </c>
      <c r="P1014" s="1" t="s">
        <v>21257</v>
      </c>
      <c r="Q1014" s="7" t="str">
        <f>IFERROR(__xludf.DUMMYFUNCTION("GOOGLETRANSLATE(C1014, ""en"", ""in"")"),"Mengetik ...")</f>
        <v>Mengetik ...</v>
      </c>
      <c r="R1014" s="7" t="str">
        <f>IFERROR(__xludf.DUMMYFUNCTION("GOOGLETRANSLATE(C1014, ""en"", ""it"")"),"Digitando...")</f>
        <v>Digitando...</v>
      </c>
      <c r="S1014" s="6" t="s">
        <v>132</v>
      </c>
      <c r="T1014" s="7" t="str">
        <f>IFERROR(__xludf.DUMMYFUNCTION("GOOGLETRANSLATE(C1014, ""en"", ""ja"")"),"タイピング...")</f>
        <v>タイピング...</v>
      </c>
      <c r="U1014" s="7" t="str">
        <f>IFERROR(__xludf.DUMMYFUNCTION("GOOGLETRANSLATE(C1014, ""en"", ""ko"")"),"타자...")</f>
        <v>타자...</v>
      </c>
      <c r="V1014" s="7" t="str">
        <f>IFERROR(__xludf.DUMMYFUNCTION("GOOGLETRANSLATE(C1014, ""en"", ""ms"")"),"Menaip ...")</f>
        <v>Menaip ...</v>
      </c>
      <c r="W1014" s="7" t="str">
        <f>IFERROR(__xludf.DUMMYFUNCTION("GOOGLETRANSLATE(C1014, ""en"", ""nl"")"),"Typen...")</f>
        <v>Typen...</v>
      </c>
      <c r="X1014" s="7" t="str">
        <f>IFERROR(__xludf.DUMMYFUNCTION("GOOGLETRANSLATE(C1014, ""en"", ""no"")"),"Typing ...")</f>
        <v>Typing ...</v>
      </c>
      <c r="Y1014" s="7" t="str">
        <f>IFERROR(__xludf.DUMMYFUNCTION("GOOGLETRANSLATE(C1014, ""en"", ""pl"")"),"Pisanie na maszynie...")</f>
        <v>Pisanie na maszynie...</v>
      </c>
      <c r="Z1014" s="7" t="str">
        <f>IFERROR(__xludf.DUMMYFUNCTION("GOOGLETRANSLATE(C1014, ""en"", ""pt"")"),"Digitando...")</f>
        <v>Digitando...</v>
      </c>
      <c r="AA1014" s="7" t="str">
        <f>IFERROR(__xludf.DUMMYFUNCTION("GOOGLETRANSLATE(C1014, ""en"", ""ro"")"),"Tastare...")</f>
        <v>Tastare...</v>
      </c>
      <c r="AB1014" s="1" t="s">
        <v>21261</v>
      </c>
      <c r="AC1014" s="7" t="str">
        <f>IFERROR(__xludf.DUMMYFUNCTION("GOOGLETRANSLATE(C1014, ""en"", ""sk"")"),"Písanie ...")</f>
        <v>Písanie ...</v>
      </c>
      <c r="AD1014" s="6" t="s">
        <v>132</v>
      </c>
      <c r="AE1014" s="1" t="s">
        <v>21262</v>
      </c>
      <c r="AF1014" s="7" t="str">
        <f>IFERROR(__xludf.DUMMYFUNCTION("GOOGLETRANSLATE(C1014, ""en"", ""sv"")"),"Skriver...")</f>
        <v>Skriver...</v>
      </c>
      <c r="AG1014" s="6" t="s">
        <v>132</v>
      </c>
      <c r="AH1014" s="7" t="str">
        <f>IFERROR(__xludf.DUMMYFUNCTION("GOOGLETRANSLATE(C1014, ""en"", ""tr"")"),"Yazıyor...")</f>
        <v>Yazıyor...</v>
      </c>
      <c r="AI1014" s="6" t="s">
        <v>132</v>
      </c>
      <c r="AJ1014" s="6" t="s">
        <v>132</v>
      </c>
      <c r="AK1014" s="7" t="str">
        <f>IFERROR(__xludf.DUMMYFUNCTION("GOOGLETRANSLATE(C1014, ""en"", ""zh"")"),"打字......")</f>
        <v>打字......</v>
      </c>
      <c r="AL1014" s="6" t="s">
        <v>132</v>
      </c>
    </row>
    <row r="1015" ht="15.75" hidden="1" customHeight="1">
      <c r="A1015" s="1" t="s">
        <v>38</v>
      </c>
      <c r="B1015" s="1" t="s">
        <v>21263</v>
      </c>
      <c r="C1015" s="1" t="s">
        <v>21264</v>
      </c>
      <c r="D1015" s="7" t="str">
        <f>IFERROR(__xludf.DUMMYFUNCTION("GOOGLETRANSLATE(C1015, ""en"", ""ar"")"),"تحميل الصورة")</f>
        <v>تحميل الصورة</v>
      </c>
      <c r="E1015" s="7" t="str">
        <f>IFERROR(__xludf.DUMMYFUNCTION("GOOGLETRANSLATE(C1015, ""en"", ""bg"")"),"Зареждане на изображението")</f>
        <v>Зареждане на изображението</v>
      </c>
      <c r="F1015" s="6" t="s">
        <v>132</v>
      </c>
      <c r="G1015" s="7" t="str">
        <f>IFERROR(__xludf.DUMMYFUNCTION("GOOGLETRANSLATE(C1015, ""en"", ""cs"")"),"Načíst obrázek")</f>
        <v>Načíst obrázek</v>
      </c>
      <c r="H1015" s="7" t="str">
        <f>IFERROR(__xludf.DUMMYFUNCTION("GOOGLETRANSLATE(C1015, ""en"", ""da"")"),"LOAD IMAGE.")</f>
        <v>LOAD IMAGE.</v>
      </c>
      <c r="I1015" s="1" t="s">
        <v>21265</v>
      </c>
      <c r="J1015" s="6" t="s">
        <v>132</v>
      </c>
      <c r="K1015" s="1" t="s">
        <v>21266</v>
      </c>
      <c r="L1015" s="7" t="str">
        <f>IFERROR(__xludf.DUMMYFUNCTION("GOOGLETRANSLATE(C1015, ""en"", ""fi"")"),"Kuormakuva")</f>
        <v>Kuormakuva</v>
      </c>
      <c r="M1015" s="1" t="s">
        <v>21267</v>
      </c>
      <c r="N1015" s="6" t="s">
        <v>132</v>
      </c>
      <c r="O1015" s="6" t="s">
        <v>132</v>
      </c>
      <c r="P1015" s="1" t="s">
        <v>21268</v>
      </c>
      <c r="Q1015" s="7" t="str">
        <f>IFERROR(__xludf.DUMMYFUNCTION("GOOGLETRANSLATE(C1015, ""en"", ""in"")"),"Memuat gambar.")</f>
        <v>Memuat gambar.</v>
      </c>
      <c r="R1015" s="7" t="str">
        <f>IFERROR(__xludf.DUMMYFUNCTION("GOOGLETRANSLATE(C1015, ""en"", ""it"")"),"Carica immagine")</f>
        <v>Carica immagine</v>
      </c>
      <c r="S1015" s="6" t="s">
        <v>132</v>
      </c>
      <c r="T1015" s="7" t="str">
        <f>IFERROR(__xludf.DUMMYFUNCTION("GOOGLETRANSLATE(C1015, ""en"", ""ja"")"),"積み重ねる")</f>
        <v>積み重ねる</v>
      </c>
      <c r="U1015" s="7" t="str">
        <f>IFERROR(__xludf.DUMMYFUNCTION("GOOGLETRANSLATE(C1015, ""en"", ""ko"")"),"이미지를로드하십시오")</f>
        <v>이미지를로드하십시오</v>
      </c>
      <c r="V1015" s="7" t="str">
        <f>IFERROR(__xludf.DUMMYFUNCTION("GOOGLETRANSLATE(C1015, ""en"", ""ms"")"),"Muatkan imej")</f>
        <v>Muatkan imej</v>
      </c>
      <c r="W1015" s="7" t="str">
        <f>IFERROR(__xludf.DUMMYFUNCTION("GOOGLETRANSLATE(C1015, ""en"", ""nl"")"),"Laadbeeld")</f>
        <v>Laadbeeld</v>
      </c>
      <c r="X1015" s="7" t="str">
        <f>IFERROR(__xludf.DUMMYFUNCTION("GOOGLETRANSLATE(C1015, ""en"", ""no"")"),"Last inn bilde")</f>
        <v>Last inn bilde</v>
      </c>
      <c r="Y1015" s="7" t="str">
        <f>IFERROR(__xludf.DUMMYFUNCTION("GOOGLETRANSLATE(C1015, ""en"", ""pl"")"),"Załaduj obraz")</f>
        <v>Załaduj obraz</v>
      </c>
      <c r="Z1015" s="7" t="str">
        <f>IFERROR(__xludf.DUMMYFUNCTION("GOOGLETRANSLATE(C1015, ""en"", ""pt"")"),"Carregar imagem")</f>
        <v>Carregar imagem</v>
      </c>
      <c r="AA1015" s="7" t="str">
        <f>IFERROR(__xludf.DUMMYFUNCTION("GOOGLETRANSLATE(C1015, ""en"", ""ro"")"),"Încărcați imaginea")</f>
        <v>Încărcați imaginea</v>
      </c>
      <c r="AB1015" s="1" t="s">
        <v>21269</v>
      </c>
      <c r="AC1015" s="7" t="str">
        <f>IFERROR(__xludf.DUMMYFUNCTION("GOOGLETRANSLATE(C1015, ""en"", ""sk"")"),"Zásuvka")</f>
        <v>Zásuvka</v>
      </c>
      <c r="AD1015" s="6" t="s">
        <v>132</v>
      </c>
      <c r="AE1015" s="1" t="s">
        <v>21270</v>
      </c>
      <c r="AF1015" s="7" t="str">
        <f>IFERROR(__xludf.DUMMYFUNCTION("GOOGLETRANSLATE(C1015, ""en"", ""sv"")"),"Ladda bild")</f>
        <v>Ladda bild</v>
      </c>
      <c r="AG1015" s="6" t="s">
        <v>132</v>
      </c>
      <c r="AH1015" s="7" t="str">
        <f>IFERROR(__xludf.DUMMYFUNCTION("GOOGLETRANSLATE(C1015, ""en"", ""tr"")"),"Resmi yükle")</f>
        <v>Resmi yükle</v>
      </c>
      <c r="AI1015" s="6" t="s">
        <v>132</v>
      </c>
      <c r="AJ1015" s="6" t="s">
        <v>132</v>
      </c>
      <c r="AK1015" s="7" t="str">
        <f>IFERROR(__xludf.DUMMYFUNCTION("GOOGLETRANSLATE(C1015, ""en"", ""zh"")"),"加载映像")</f>
        <v>加载映像</v>
      </c>
      <c r="AL1015" s="6" t="s">
        <v>132</v>
      </c>
    </row>
    <row r="1016" ht="15.75" customHeight="1">
      <c r="A1016" s="1" t="s">
        <v>127</v>
      </c>
      <c r="B1016" s="1" t="s">
        <v>21271</v>
      </c>
      <c r="C1016" s="1" t="s">
        <v>21272</v>
      </c>
      <c r="D1016" s="8" t="s">
        <v>21273</v>
      </c>
      <c r="E1016" s="1" t="s">
        <v>21274</v>
      </c>
      <c r="F1016" s="6" t="s">
        <v>132</v>
      </c>
      <c r="G1016" s="1" t="s">
        <v>21275</v>
      </c>
      <c r="H1016" s="1" t="s">
        <v>21276</v>
      </c>
      <c r="I1016" s="1" t="s">
        <v>21277</v>
      </c>
      <c r="J1016" s="6" t="s">
        <v>21278</v>
      </c>
      <c r="K1016" s="1" t="s">
        <v>21279</v>
      </c>
      <c r="L1016" s="1" t="s">
        <v>21280</v>
      </c>
      <c r="M1016" s="1" t="s">
        <v>21281</v>
      </c>
      <c r="N1016" s="6" t="s">
        <v>132</v>
      </c>
      <c r="O1016" s="6" t="s">
        <v>21282</v>
      </c>
      <c r="P1016" s="1" t="s">
        <v>21283</v>
      </c>
      <c r="Q1016" s="1" t="s">
        <v>21284</v>
      </c>
      <c r="R1016" s="1" t="s">
        <v>21285</v>
      </c>
      <c r="S1016" s="10" t="s">
        <v>21286</v>
      </c>
      <c r="T1016" s="1" t="s">
        <v>21287</v>
      </c>
      <c r="U1016" s="1" t="s">
        <v>21288</v>
      </c>
      <c r="V1016" s="1" t="s">
        <v>21284</v>
      </c>
      <c r="W1016" s="1" t="s">
        <v>21289</v>
      </c>
      <c r="X1016" s="1" t="s">
        <v>21290</v>
      </c>
      <c r="Y1016" s="1" t="s">
        <v>21291</v>
      </c>
      <c r="Z1016" s="1" t="s">
        <v>21292</v>
      </c>
      <c r="AA1016" s="1" t="s">
        <v>21293</v>
      </c>
      <c r="AB1016" s="1" t="s">
        <v>21294</v>
      </c>
      <c r="AC1016" s="1" t="s">
        <v>21295</v>
      </c>
      <c r="AD1016" s="6" t="s">
        <v>21296</v>
      </c>
      <c r="AE1016" s="1" t="s">
        <v>21297</v>
      </c>
      <c r="AF1016" s="1" t="s">
        <v>21298</v>
      </c>
      <c r="AG1016" s="6" t="s">
        <v>21299</v>
      </c>
      <c r="AH1016" s="1" t="s">
        <v>21300</v>
      </c>
      <c r="AI1016" s="6" t="s">
        <v>132</v>
      </c>
      <c r="AJ1016" s="6" t="s">
        <v>21301</v>
      </c>
      <c r="AK1016" s="1" t="s">
        <v>21302</v>
      </c>
      <c r="AL1016" s="6" t="s">
        <v>21303</v>
      </c>
    </row>
    <row r="1017" ht="15.75" customHeight="1">
      <c r="A1017" s="1" t="s">
        <v>127</v>
      </c>
      <c r="B1017" s="1" t="s">
        <v>21304</v>
      </c>
      <c r="C1017" s="1" t="s">
        <v>21305</v>
      </c>
      <c r="D1017" s="8" t="s">
        <v>21306</v>
      </c>
      <c r="E1017" s="1" t="s">
        <v>21307</v>
      </c>
      <c r="F1017" s="6" t="s">
        <v>132</v>
      </c>
      <c r="G1017" s="1" t="s">
        <v>21308</v>
      </c>
      <c r="H1017" s="1" t="s">
        <v>21309</v>
      </c>
      <c r="I1017" s="1" t="s">
        <v>21310</v>
      </c>
      <c r="J1017" s="6" t="s">
        <v>21311</v>
      </c>
      <c r="K1017" s="1" t="s">
        <v>21312</v>
      </c>
      <c r="L1017" s="1" t="s">
        <v>21313</v>
      </c>
      <c r="M1017" s="1" t="s">
        <v>21314</v>
      </c>
      <c r="N1017" s="6" t="s">
        <v>132</v>
      </c>
      <c r="O1017" s="6" t="s">
        <v>21315</v>
      </c>
      <c r="P1017" s="1" t="s">
        <v>21316</v>
      </c>
      <c r="Q1017" s="1" t="s">
        <v>21317</v>
      </c>
      <c r="R1017" s="1" t="s">
        <v>21318</v>
      </c>
      <c r="S1017" s="10" t="s">
        <v>21319</v>
      </c>
      <c r="T1017" s="1" t="s">
        <v>21320</v>
      </c>
      <c r="U1017" s="1" t="s">
        <v>21321</v>
      </c>
      <c r="V1017" s="1" t="s">
        <v>21322</v>
      </c>
      <c r="W1017" s="1" t="s">
        <v>21323</v>
      </c>
      <c r="X1017" s="1" t="s">
        <v>21324</v>
      </c>
      <c r="Y1017" s="1" t="s">
        <v>21325</v>
      </c>
      <c r="Z1017" s="1" t="s">
        <v>21326</v>
      </c>
      <c r="AA1017" s="1" t="s">
        <v>21327</v>
      </c>
      <c r="AB1017" s="1" t="s">
        <v>21328</v>
      </c>
      <c r="AC1017" s="1" t="s">
        <v>21329</v>
      </c>
      <c r="AD1017" s="6" t="s">
        <v>21330</v>
      </c>
      <c r="AE1017" s="1" t="s">
        <v>21331</v>
      </c>
      <c r="AF1017" s="1" t="s">
        <v>21332</v>
      </c>
      <c r="AG1017" s="6" t="s">
        <v>21333</v>
      </c>
      <c r="AH1017" s="1" t="s">
        <v>21334</v>
      </c>
      <c r="AI1017" s="6" t="s">
        <v>132</v>
      </c>
      <c r="AJ1017" s="6" t="s">
        <v>21335</v>
      </c>
      <c r="AK1017" s="1" t="s">
        <v>21336</v>
      </c>
      <c r="AL1017" s="6" t="s">
        <v>21337</v>
      </c>
    </row>
    <row r="1018" ht="15.75" hidden="1" customHeight="1">
      <c r="A1018" s="1" t="s">
        <v>5830</v>
      </c>
      <c r="B1018" s="1" t="s">
        <v>21338</v>
      </c>
      <c r="C1018" s="1" t="s">
        <v>21339</v>
      </c>
      <c r="D1018" s="7" t="str">
        <f>IFERROR(__xludf.DUMMYFUNCTION("GOOGLETRANSLATE(C1018, ""en"", ""ar"")"),"كن أول من يسمع آخر الأخبار.")</f>
        <v>كن أول من يسمع آخر الأخبار.</v>
      </c>
      <c r="E1018" s="1" t="s">
        <v>21340</v>
      </c>
      <c r="F1018" s="6" t="s">
        <v>21341</v>
      </c>
      <c r="G1018" s="7" t="str">
        <f>IFERROR(__xludf.DUMMYFUNCTION("GOOGLETRANSLATE(C1018, ""en"", ""cs"")"),"Buďte první, kdo uslyšíte nejnovější zprávy.")</f>
        <v>Buďte první, kdo uslyšíte nejnovější zprávy.</v>
      </c>
      <c r="H1018" s="1" t="s">
        <v>21342</v>
      </c>
      <c r="I1018" s="1" t="s">
        <v>21340</v>
      </c>
      <c r="J1018" s="6" t="s">
        <v>132</v>
      </c>
      <c r="K1018" s="1" t="s">
        <v>21341</v>
      </c>
      <c r="L1018" s="1" t="s">
        <v>21343</v>
      </c>
      <c r="M1018" s="1" t="s">
        <v>21344</v>
      </c>
      <c r="N1018" s="6" t="s">
        <v>132</v>
      </c>
      <c r="O1018" s="6" t="s">
        <v>132</v>
      </c>
      <c r="P1018" s="1" t="s">
        <v>21345</v>
      </c>
      <c r="Q1018" s="1" t="s">
        <v>21346</v>
      </c>
      <c r="R1018" s="1" t="s">
        <v>21347</v>
      </c>
      <c r="S1018" s="6" t="s">
        <v>21348</v>
      </c>
      <c r="T1018" s="1" t="s">
        <v>21349</v>
      </c>
      <c r="U1018" s="1" t="s">
        <v>21350</v>
      </c>
      <c r="V1018" s="1" t="s">
        <v>21351</v>
      </c>
      <c r="W1018" s="1" t="s">
        <v>21352</v>
      </c>
      <c r="X1018" s="1" t="s">
        <v>21353</v>
      </c>
      <c r="Y1018" s="1" t="s">
        <v>21354</v>
      </c>
      <c r="Z1018" s="1" t="s">
        <v>21355</v>
      </c>
      <c r="AA1018" s="7" t="str">
        <f>IFERROR(__xludf.DUMMYFUNCTION("GOOGLETRANSLATE(C1018, ""en"", ""ro"")"),"Fii primul care auzi cele mai recente știri.")</f>
        <v>Fii primul care auzi cele mai recente știri.</v>
      </c>
      <c r="AB1018" s="1" t="s">
        <v>21356</v>
      </c>
      <c r="AC1018" s="1" t="s">
        <v>21357</v>
      </c>
      <c r="AD1018" s="6" t="s">
        <v>132</v>
      </c>
      <c r="AE1018" s="1" t="s">
        <v>21358</v>
      </c>
      <c r="AF1018" s="1" t="s">
        <v>21359</v>
      </c>
      <c r="AG1018" s="6" t="s">
        <v>132</v>
      </c>
      <c r="AH1018" s="1" t="s">
        <v>21348</v>
      </c>
      <c r="AI1018" s="6" t="s">
        <v>132</v>
      </c>
      <c r="AJ1018" s="6" t="s">
        <v>132</v>
      </c>
      <c r="AK1018" s="1" t="s">
        <v>21357</v>
      </c>
      <c r="AL1018" s="6" t="s">
        <v>132</v>
      </c>
    </row>
    <row r="1019" ht="18.75" hidden="1" customHeight="1">
      <c r="A1019" s="1" t="s">
        <v>11050</v>
      </c>
      <c r="B1019" s="1" t="s">
        <v>21360</v>
      </c>
      <c r="C1019" s="12" t="s">
        <v>132</v>
      </c>
      <c r="D1019" s="8" t="s">
        <v>21361</v>
      </c>
      <c r="E1019" s="1" t="s">
        <v>21362</v>
      </c>
      <c r="F1019" s="6" t="s">
        <v>132</v>
      </c>
      <c r="G1019" s="1" t="s">
        <v>21363</v>
      </c>
      <c r="H1019" s="1" t="s">
        <v>21364</v>
      </c>
      <c r="I1019" s="7" t="str">
        <f>IFERROR(__xludf.DUMMYFUNCTION("GOOGLETRANSLATE(C1019, ""en"", ""de"")"),"#VALUE!")</f>
        <v>#VALUE!</v>
      </c>
      <c r="J1019" s="6" t="s">
        <v>21365</v>
      </c>
      <c r="K1019" s="7" t="str">
        <f>IFERROR(__xludf.DUMMYFUNCTION("GOOGLETRANSLATE(C1019, ""en"", ""es"")"),"#VALUE!")</f>
        <v>#VALUE!</v>
      </c>
      <c r="L1019" s="1" t="s">
        <v>21366</v>
      </c>
      <c r="M1019" s="7" t="str">
        <f>IFERROR(__xludf.DUMMYFUNCTION("GOOGLETRANSLATE(C1019, ""en"", ""fr"")"),"#VALUE!")</f>
        <v>#VALUE!</v>
      </c>
      <c r="N1019" s="6" t="s">
        <v>132</v>
      </c>
      <c r="O1019" s="6" t="s">
        <v>21367</v>
      </c>
      <c r="P1019" s="7" t="str">
        <f>IFERROR(__xludf.DUMMYFUNCTION("GOOGLETRANSLATE(C1019, ""en"", ""hu"")"),"#VALUE!")</f>
        <v>#VALUE!</v>
      </c>
      <c r="Q1019" s="7" t="str">
        <f>IFERROR(__xludf.DUMMYFUNCTION("GOOGLETRANSLATE(C1019, ""en"", ""in"")"),"#VALUE!")</f>
        <v>#VALUE!</v>
      </c>
      <c r="R1019" s="7" t="str">
        <f>IFERROR(__xludf.DUMMYFUNCTION("GOOGLETRANSLATE(C1019, ""en"", ""it"")"),"#VALUE!")</f>
        <v>#VALUE!</v>
      </c>
      <c r="S1019" s="10" t="s">
        <v>21368</v>
      </c>
      <c r="T1019" s="7" t="str">
        <f>IFERROR(__xludf.DUMMYFUNCTION("GOOGLETRANSLATE(C1019, ""en"", ""ja"")"),"#VALUE!")</f>
        <v>#VALUE!</v>
      </c>
      <c r="U1019" s="1" t="s">
        <v>21369</v>
      </c>
      <c r="V1019" s="7" t="str">
        <f>IFERROR(__xludf.DUMMYFUNCTION("GOOGLETRANSLATE(C1019, ""en"", ""ms"")"),"#VALUE!")</f>
        <v>#VALUE!</v>
      </c>
      <c r="W1019" s="7" t="str">
        <f>IFERROR(__xludf.DUMMYFUNCTION("GOOGLETRANSLATE(C1019, ""en"", ""nl"")"),"#VALUE!")</f>
        <v>#VALUE!</v>
      </c>
      <c r="X1019" s="1" t="s">
        <v>21370</v>
      </c>
      <c r="Y1019" s="7" t="str">
        <f>IFERROR(__xludf.DUMMYFUNCTION("GOOGLETRANSLATE(C1019, ""en"", ""pl"")"),"#VALUE!")</f>
        <v>#VALUE!</v>
      </c>
      <c r="Z1019" s="7" t="str">
        <f>IFERROR(__xludf.DUMMYFUNCTION("GOOGLETRANSLATE(C1019, ""en"", ""pt"")"),"#VALUE!")</f>
        <v>#VALUE!</v>
      </c>
      <c r="AA1019" s="1" t="s">
        <v>21371</v>
      </c>
      <c r="AB1019" s="7" t="str">
        <f>IFERROR(__xludf.DUMMYFUNCTION("GOOGLETRANSLATE(C1019, ""en"", ""ru"")"),"#VALUE!")</f>
        <v>#VALUE!</v>
      </c>
      <c r="AC1019" s="1" t="s">
        <v>21372</v>
      </c>
      <c r="AD1019" s="6" t="s">
        <v>21373</v>
      </c>
      <c r="AE1019" s="7" t="str">
        <f>IFERROR(__xludf.DUMMYFUNCTION("GOOGLETRANSLATE(C1019, ""en"", ""sr"")"),"#VALUE!")</f>
        <v>#VALUE!</v>
      </c>
      <c r="AF1019" s="1" t="s">
        <v>21374</v>
      </c>
      <c r="AG1019" s="6" t="s">
        <v>21375</v>
      </c>
      <c r="AH1019" s="7" t="str">
        <f>IFERROR(__xludf.DUMMYFUNCTION("GOOGLETRANSLATE(C1019, ""en"", ""tr"")"),"#VALUE!")</f>
        <v>#VALUE!</v>
      </c>
      <c r="AI1019" s="6" t="s">
        <v>132</v>
      </c>
      <c r="AJ1019" s="6" t="s">
        <v>21376</v>
      </c>
      <c r="AK1019" s="7" t="str">
        <f>IFERROR(__xludf.DUMMYFUNCTION("GOOGLETRANSLATE(C1019, ""en"", ""zh"")"),"#VALUE!")</f>
        <v>#VALUE!</v>
      </c>
      <c r="AL1019" s="6" t="s">
        <v>132</v>
      </c>
    </row>
    <row r="1020" ht="15.75" customHeight="1">
      <c r="A1020" s="1" t="s">
        <v>127</v>
      </c>
      <c r="B1020" s="1" t="s">
        <v>21377</v>
      </c>
      <c r="C1020" s="1" t="s">
        <v>21378</v>
      </c>
      <c r="D1020" s="8" t="s">
        <v>21379</v>
      </c>
      <c r="E1020" s="1" t="s">
        <v>21380</v>
      </c>
      <c r="F1020" s="6" t="s">
        <v>132</v>
      </c>
      <c r="G1020" s="1" t="s">
        <v>21381</v>
      </c>
      <c r="H1020" s="1" t="s">
        <v>21382</v>
      </c>
      <c r="I1020" s="1" t="s">
        <v>2798</v>
      </c>
      <c r="J1020" s="6" t="s">
        <v>21383</v>
      </c>
      <c r="K1020" s="1" t="s">
        <v>3726</v>
      </c>
      <c r="L1020" s="1" t="s">
        <v>21384</v>
      </c>
      <c r="M1020" s="1" t="s">
        <v>3727</v>
      </c>
      <c r="N1020" s="6" t="s">
        <v>132</v>
      </c>
      <c r="O1020" s="6" t="s">
        <v>21385</v>
      </c>
      <c r="P1020" s="1" t="s">
        <v>21386</v>
      </c>
      <c r="Q1020" s="1" t="s">
        <v>21387</v>
      </c>
      <c r="R1020" s="1" t="s">
        <v>21388</v>
      </c>
      <c r="S1020" s="10" t="s">
        <v>21389</v>
      </c>
      <c r="T1020" s="1" t="s">
        <v>21390</v>
      </c>
      <c r="U1020" s="1" t="s">
        <v>21391</v>
      </c>
      <c r="V1020" s="1" t="s">
        <v>21392</v>
      </c>
      <c r="W1020" s="1" t="s">
        <v>21393</v>
      </c>
      <c r="X1020" s="1" t="s">
        <v>21382</v>
      </c>
      <c r="Y1020" s="1" t="s">
        <v>3735</v>
      </c>
      <c r="Z1020" s="1" t="s">
        <v>21394</v>
      </c>
      <c r="AA1020" s="1" t="s">
        <v>21395</v>
      </c>
      <c r="AB1020" s="1" t="s">
        <v>21396</v>
      </c>
      <c r="AC1020" s="1" t="s">
        <v>21397</v>
      </c>
      <c r="AD1020" s="6" t="s">
        <v>21398</v>
      </c>
      <c r="AE1020" s="1" t="s">
        <v>21399</v>
      </c>
      <c r="AF1020" s="1" t="s">
        <v>21400</v>
      </c>
      <c r="AG1020" s="6" t="s">
        <v>21401</v>
      </c>
      <c r="AH1020" s="1" t="s">
        <v>21402</v>
      </c>
      <c r="AI1020" s="6" t="s">
        <v>132</v>
      </c>
      <c r="AJ1020" s="6" t="s">
        <v>21403</v>
      </c>
      <c r="AK1020" s="1" t="s">
        <v>21404</v>
      </c>
      <c r="AL1020" s="6" t="s">
        <v>21405</v>
      </c>
    </row>
    <row r="1021" ht="15.75" customHeight="1">
      <c r="A1021" s="1" t="s">
        <v>127</v>
      </c>
      <c r="B1021" s="1" t="s">
        <v>21406</v>
      </c>
      <c r="C1021" s="1" t="s">
        <v>21407</v>
      </c>
      <c r="D1021" s="8" t="s">
        <v>21408</v>
      </c>
      <c r="E1021" s="1" t="s">
        <v>21409</v>
      </c>
      <c r="F1021" s="6" t="s">
        <v>132</v>
      </c>
      <c r="G1021" s="1" t="s">
        <v>21410</v>
      </c>
      <c r="H1021" s="1" t="s">
        <v>21411</v>
      </c>
      <c r="I1021" s="1" t="s">
        <v>21412</v>
      </c>
      <c r="J1021" s="6" t="s">
        <v>21413</v>
      </c>
      <c r="K1021" s="1" t="s">
        <v>2950</v>
      </c>
      <c r="L1021" s="1" t="s">
        <v>21414</v>
      </c>
      <c r="M1021" s="1" t="s">
        <v>21415</v>
      </c>
      <c r="N1021" s="6" t="s">
        <v>132</v>
      </c>
      <c r="O1021" s="6" t="s">
        <v>21416</v>
      </c>
      <c r="P1021" s="1" t="s">
        <v>21417</v>
      </c>
      <c r="Q1021" s="1" t="s">
        <v>21418</v>
      </c>
      <c r="R1021" s="1" t="s">
        <v>21419</v>
      </c>
      <c r="S1021" s="10" t="s">
        <v>21420</v>
      </c>
      <c r="T1021" s="1" t="s">
        <v>21421</v>
      </c>
      <c r="U1021" s="1" t="s">
        <v>21422</v>
      </c>
      <c r="V1021" s="1" t="s">
        <v>21423</v>
      </c>
      <c r="W1021" s="1" t="s">
        <v>21424</v>
      </c>
      <c r="X1021" s="1" t="s">
        <v>21411</v>
      </c>
      <c r="Y1021" s="1" t="s">
        <v>21425</v>
      </c>
      <c r="Z1021" s="1" t="s">
        <v>2950</v>
      </c>
      <c r="AA1021" s="1" t="s">
        <v>21426</v>
      </c>
      <c r="AB1021" s="1" t="s">
        <v>21427</v>
      </c>
      <c r="AC1021" s="1" t="s">
        <v>21410</v>
      </c>
      <c r="AD1021" s="6" t="s">
        <v>21410</v>
      </c>
      <c r="AE1021" s="1" t="s">
        <v>15341</v>
      </c>
      <c r="AF1021" s="1" t="s">
        <v>21411</v>
      </c>
      <c r="AG1021" s="6" t="s">
        <v>21428</v>
      </c>
      <c r="AH1021" s="1" t="s">
        <v>21429</v>
      </c>
      <c r="AI1021" s="6" t="s">
        <v>132</v>
      </c>
      <c r="AJ1021" s="6" t="s">
        <v>21430</v>
      </c>
      <c r="AK1021" s="1" t="s">
        <v>21431</v>
      </c>
      <c r="AL1021" s="6" t="s">
        <v>21432</v>
      </c>
    </row>
    <row r="1022" ht="15.75" hidden="1" customHeight="1">
      <c r="A1022" s="1" t="s">
        <v>38</v>
      </c>
      <c r="B1022" s="1" t="s">
        <v>21433</v>
      </c>
      <c r="C1022" s="1" t="s">
        <v>21434</v>
      </c>
      <c r="D1022" s="8" t="s">
        <v>21435</v>
      </c>
      <c r="E1022" s="1" t="s">
        <v>21436</v>
      </c>
      <c r="F1022" s="6" t="s">
        <v>21437</v>
      </c>
      <c r="G1022" s="7" t="str">
        <f>IFERROR(__xludf.DUMMYFUNCTION("GOOGLETRANSLATE(C1022, ""en"", ""cs"")"),"Účet Avatar.")</f>
        <v>Účet Avatar.</v>
      </c>
      <c r="H1022" s="7" t="str">
        <f>IFERROR(__xludf.DUMMYFUNCTION("GOOGLETRANSLATE(C1022, ""en"", ""da"")"),"Konto avatar.")</f>
        <v>Konto avatar.</v>
      </c>
      <c r="I1022" s="1" t="s">
        <v>21438</v>
      </c>
      <c r="J1022" s="6" t="s">
        <v>132</v>
      </c>
      <c r="K1022" s="1" t="s">
        <v>21439</v>
      </c>
      <c r="L1022" s="7" t="str">
        <f>IFERROR(__xludf.DUMMYFUNCTION("GOOGLETRANSLATE(C1022, ""en"", ""fi"")"),"Tilin Avatar")</f>
        <v>Tilin Avatar</v>
      </c>
      <c r="M1022" s="1" t="s">
        <v>21440</v>
      </c>
      <c r="N1022" s="6" t="s">
        <v>21441</v>
      </c>
      <c r="O1022" s="6" t="s">
        <v>132</v>
      </c>
      <c r="P1022" s="1" t="s">
        <v>21442</v>
      </c>
      <c r="Q1022" s="9" t="s">
        <v>21443</v>
      </c>
      <c r="R1022" s="1" t="s">
        <v>21444</v>
      </c>
      <c r="S1022" s="6" t="s">
        <v>132</v>
      </c>
      <c r="T1022" s="1" t="s">
        <v>21445</v>
      </c>
      <c r="U1022" s="1" t="s">
        <v>21446</v>
      </c>
      <c r="V1022" s="7" t="str">
        <f>IFERROR(__xludf.DUMMYFUNCTION("GOOGLETRANSLATE(C1022, ""en"", ""ms"")"),"Avatar akaun.")</f>
        <v>Avatar akaun.</v>
      </c>
      <c r="W1022" s="1" t="s">
        <v>21447</v>
      </c>
      <c r="X1022" s="7" t="str">
        <f>IFERROR(__xludf.DUMMYFUNCTION("GOOGLETRANSLATE(C1022, ""en"", ""no"")"),"Konto Avatar")</f>
        <v>Konto Avatar</v>
      </c>
      <c r="Y1022" s="1" t="s">
        <v>21448</v>
      </c>
      <c r="Z1022" s="1" t="s">
        <v>21441</v>
      </c>
      <c r="AA1022" s="7" t="str">
        <f>IFERROR(__xludf.DUMMYFUNCTION("GOOGLETRANSLATE(C1022, ""en"", ""ro"")"),"Cont Avatar")</f>
        <v>Cont Avatar</v>
      </c>
      <c r="AB1022" s="1" t="s">
        <v>21449</v>
      </c>
      <c r="AC1022" s="1" t="s">
        <v>21450</v>
      </c>
      <c r="AD1022" s="6" t="s">
        <v>132</v>
      </c>
      <c r="AE1022" s="1" t="s">
        <v>21451</v>
      </c>
      <c r="AF1022" s="1" t="s">
        <v>21452</v>
      </c>
      <c r="AG1022" s="6" t="s">
        <v>132</v>
      </c>
      <c r="AH1022" s="7" t="str">
        <f>IFERROR(__xludf.DUMMYFUNCTION("GOOGLETRANSLATE(C1022, ""en"", ""tr"")"),"Hesap avatarı")</f>
        <v>Hesap avatarı</v>
      </c>
      <c r="AI1022" s="6" t="s">
        <v>21453</v>
      </c>
      <c r="AJ1022" s="6" t="s">
        <v>21454</v>
      </c>
      <c r="AK1022" s="7" t="str">
        <f>IFERROR(__xludf.DUMMYFUNCTION("GOOGLETRANSLATE(C1022, ""en"", ""zh"")"),"帐户头像")</f>
        <v>帐户头像</v>
      </c>
      <c r="AL1022" s="6" t="s">
        <v>21455</v>
      </c>
    </row>
    <row r="1023" ht="15.75" customHeight="1">
      <c r="A1023" s="1" t="s">
        <v>127</v>
      </c>
      <c r="B1023" s="1" t="s">
        <v>21456</v>
      </c>
      <c r="C1023" s="1" t="s">
        <v>21457</v>
      </c>
      <c r="D1023" s="8" t="s">
        <v>21458</v>
      </c>
      <c r="E1023" s="1" t="s">
        <v>21459</v>
      </c>
      <c r="F1023" s="6" t="s">
        <v>132</v>
      </c>
      <c r="G1023" s="1" t="s">
        <v>21460</v>
      </c>
      <c r="H1023" s="1" t="s">
        <v>21461</v>
      </c>
      <c r="I1023" s="1" t="s">
        <v>21457</v>
      </c>
      <c r="J1023" s="6" t="s">
        <v>21462</v>
      </c>
      <c r="K1023" s="1" t="s">
        <v>21463</v>
      </c>
      <c r="L1023" s="1" t="s">
        <v>21464</v>
      </c>
      <c r="M1023" s="1" t="s">
        <v>21465</v>
      </c>
      <c r="N1023" s="6" t="s">
        <v>132</v>
      </c>
      <c r="O1023" s="6" t="s">
        <v>21466</v>
      </c>
      <c r="P1023" s="1" t="s">
        <v>21467</v>
      </c>
      <c r="Q1023" s="1" t="s">
        <v>21468</v>
      </c>
      <c r="R1023" s="1" t="s">
        <v>21469</v>
      </c>
      <c r="S1023" s="10" t="s">
        <v>21470</v>
      </c>
      <c r="T1023" s="1" t="s">
        <v>21471</v>
      </c>
      <c r="U1023" s="1" t="s">
        <v>21472</v>
      </c>
      <c r="V1023" s="1" t="s">
        <v>21473</v>
      </c>
      <c r="W1023" s="1" t="s">
        <v>21474</v>
      </c>
      <c r="X1023" s="1" t="s">
        <v>21475</v>
      </c>
      <c r="Y1023" s="1" t="s">
        <v>21476</v>
      </c>
      <c r="Z1023" s="1" t="s">
        <v>21477</v>
      </c>
      <c r="AA1023" s="1" t="s">
        <v>21478</v>
      </c>
      <c r="AB1023" s="1" t="s">
        <v>21479</v>
      </c>
      <c r="AC1023" s="1" t="s">
        <v>21480</v>
      </c>
      <c r="AD1023" s="6" t="s">
        <v>21481</v>
      </c>
      <c r="AE1023" s="1" t="s">
        <v>21482</v>
      </c>
      <c r="AF1023" s="1" t="s">
        <v>21483</v>
      </c>
      <c r="AG1023" s="6" t="s">
        <v>21484</v>
      </c>
      <c r="AH1023" s="1" t="s">
        <v>21485</v>
      </c>
      <c r="AI1023" s="6" t="s">
        <v>132</v>
      </c>
      <c r="AJ1023" s="6" t="s">
        <v>21486</v>
      </c>
      <c r="AK1023" s="1" t="s">
        <v>21487</v>
      </c>
      <c r="AL1023" s="6" t="s">
        <v>21488</v>
      </c>
    </row>
    <row r="1024" ht="15.75" hidden="1" customHeight="1">
      <c r="A1024" s="1" t="s">
        <v>38</v>
      </c>
      <c r="B1024" s="1" t="s">
        <v>21489</v>
      </c>
      <c r="C1024" s="1" t="s">
        <v>21490</v>
      </c>
      <c r="D1024" s="7" t="str">
        <f>IFERROR(__xludf.DUMMYFUNCTION("GOOGLETRANSLATE(C1024, ""en"", ""ar"")"),"تفعيل")</f>
        <v>تفعيل</v>
      </c>
      <c r="E1024" s="7" t="str">
        <f>IFERROR(__xludf.DUMMYFUNCTION("GOOGLETRANSLATE(C1024, ""en"", ""bg"")"),"Активирате")</f>
        <v>Активирате</v>
      </c>
      <c r="F1024" s="6" t="s">
        <v>132</v>
      </c>
      <c r="G1024" s="7" t="str">
        <f>IFERROR(__xludf.DUMMYFUNCTION("GOOGLETRANSLATE(C1024, ""en"", ""cs"")"),"aktivovat")</f>
        <v>aktivovat</v>
      </c>
      <c r="H1024" s="7" t="str">
        <f>IFERROR(__xludf.DUMMYFUNCTION("GOOGLETRANSLATE(C1024, ""en"", ""da"")"),"Aktiver")</f>
        <v>Aktiver</v>
      </c>
      <c r="I1024" s="1" t="s">
        <v>9182</v>
      </c>
      <c r="J1024" s="6" t="s">
        <v>132</v>
      </c>
      <c r="K1024" s="1" t="s">
        <v>21491</v>
      </c>
      <c r="L1024" s="7" t="str">
        <f>IFERROR(__xludf.DUMMYFUNCTION("GOOGLETRANSLATE(C1024, ""en"", ""fi"")"),"Aktivoida")</f>
        <v>Aktivoida</v>
      </c>
      <c r="M1024" s="1" t="s">
        <v>21492</v>
      </c>
      <c r="N1024" s="6" t="s">
        <v>132</v>
      </c>
      <c r="O1024" s="6" t="s">
        <v>132</v>
      </c>
      <c r="P1024" s="1" t="s">
        <v>9188</v>
      </c>
      <c r="Q1024" s="7" t="str">
        <f>IFERROR(__xludf.DUMMYFUNCTION("GOOGLETRANSLATE(C1024, ""en"", ""in"")"),"Mengaktifkan")</f>
        <v>Mengaktifkan</v>
      </c>
      <c r="R1024" s="7" t="str">
        <f>IFERROR(__xludf.DUMMYFUNCTION("GOOGLETRANSLATE(C1024, ""en"", ""it"")"),"Attivare")</f>
        <v>Attivare</v>
      </c>
      <c r="S1024" s="6" t="s">
        <v>132</v>
      </c>
      <c r="T1024" s="7" t="str">
        <f>IFERROR(__xludf.DUMMYFUNCTION("GOOGLETRANSLATE(C1024, ""en"", ""ja"")"),"有効にする")</f>
        <v>有効にする</v>
      </c>
      <c r="U1024" s="7" t="str">
        <f>IFERROR(__xludf.DUMMYFUNCTION("GOOGLETRANSLATE(C1024, ""en"", ""ko"")"),"활성화")</f>
        <v>활성화</v>
      </c>
      <c r="V1024" s="7" t="str">
        <f>IFERROR(__xludf.DUMMYFUNCTION("GOOGLETRANSLATE(C1024, ""en"", ""ms"")"),"Aktifkan")</f>
        <v>Aktifkan</v>
      </c>
      <c r="W1024" s="7" t="str">
        <f>IFERROR(__xludf.DUMMYFUNCTION("GOOGLETRANSLATE(C1024, ""en"", ""nl"")"),"Activeren")</f>
        <v>Activeren</v>
      </c>
      <c r="X1024" s="7" t="str">
        <f>IFERROR(__xludf.DUMMYFUNCTION("GOOGLETRANSLATE(C1024, ""en"", ""no"")"),"Aktiveres")</f>
        <v>Aktiveres</v>
      </c>
      <c r="Y1024" s="7" t="str">
        <f>IFERROR(__xludf.DUMMYFUNCTION("GOOGLETRANSLATE(C1024, ""en"", ""pl"")"),"Aktywuj")</f>
        <v>Aktywuj</v>
      </c>
      <c r="Z1024" s="7" t="str">
        <f>IFERROR(__xludf.DUMMYFUNCTION("GOOGLETRANSLATE(C1024, ""en"", ""pt"")"),"Ativar")</f>
        <v>Ativar</v>
      </c>
      <c r="AA1024" s="7" t="str">
        <f>IFERROR(__xludf.DUMMYFUNCTION("GOOGLETRANSLATE(C1024, ""en"", ""ro"")"),"Activati")</f>
        <v>Activati</v>
      </c>
      <c r="AB1024" s="1" t="s">
        <v>21493</v>
      </c>
      <c r="AC1024" s="7" t="str">
        <f>IFERROR(__xludf.DUMMYFUNCTION("GOOGLETRANSLATE(C1024, ""en"", ""sk"")"),"Aktivovať")</f>
        <v>Aktivovať</v>
      </c>
      <c r="AD1024" s="6" t="s">
        <v>132</v>
      </c>
      <c r="AE1024" s="1" t="s">
        <v>9201</v>
      </c>
      <c r="AF1024" s="7" t="str">
        <f>IFERROR(__xludf.DUMMYFUNCTION("GOOGLETRANSLATE(C1024, ""en"", ""sv"")"),"Aktivera")</f>
        <v>Aktivera</v>
      </c>
      <c r="AG1024" s="6" t="s">
        <v>132</v>
      </c>
      <c r="AH1024" s="7" t="str">
        <f>IFERROR(__xludf.DUMMYFUNCTION("GOOGLETRANSLATE(C1024, ""en"", ""tr"")"),"Aktive etmek")</f>
        <v>Aktive etmek</v>
      </c>
      <c r="AI1024" s="6" t="s">
        <v>132</v>
      </c>
      <c r="AJ1024" s="6" t="s">
        <v>132</v>
      </c>
      <c r="AK1024" s="7" t="str">
        <f>IFERROR(__xludf.DUMMYFUNCTION("GOOGLETRANSLATE(C1024, ""en"", ""zh"")"),"启用")</f>
        <v>启用</v>
      </c>
      <c r="AL1024" s="6" t="s">
        <v>132</v>
      </c>
    </row>
    <row r="1025" ht="15.75" hidden="1" customHeight="1">
      <c r="A1025" s="1" t="s">
        <v>38</v>
      </c>
      <c r="B1025" s="1" t="s">
        <v>21494</v>
      </c>
      <c r="C1025" s="1" t="s">
        <v>21495</v>
      </c>
      <c r="D1025" s="8" t="s">
        <v>21496</v>
      </c>
      <c r="E1025" s="1" t="s">
        <v>21497</v>
      </c>
      <c r="F1025" s="6" t="s">
        <v>21498</v>
      </c>
      <c r="G1025" s="7" t="str">
        <f>IFERROR(__xludf.DUMMYFUNCTION("GOOGLETRANSLATE(C1025, ""en"", ""cs"")"),"Klíčové klíče ...")</f>
        <v>Klíčové klíče ...</v>
      </c>
      <c r="H1025" s="7" t="str">
        <f>IFERROR(__xludf.DUMMYFUNCTION("GOOGLETRANSLATE(C1025, ""en"", ""da"")"),"Henter nøgler ...")</f>
        <v>Henter nøgler ...</v>
      </c>
      <c r="I1025" s="1" t="s">
        <v>21499</v>
      </c>
      <c r="J1025" s="6" t="s">
        <v>132</v>
      </c>
      <c r="K1025" s="1" t="s">
        <v>21500</v>
      </c>
      <c r="L1025" s="7" t="str">
        <f>IFERROR(__xludf.DUMMYFUNCTION("GOOGLETRANSLATE(C1025, ""en"", ""fi"")"),"Hae avaimet ...")</f>
        <v>Hae avaimet ...</v>
      </c>
      <c r="M1025" s="1" t="s">
        <v>21501</v>
      </c>
      <c r="N1025" s="6" t="s">
        <v>21502</v>
      </c>
      <c r="O1025" s="6" t="s">
        <v>132</v>
      </c>
      <c r="P1025" s="1" t="s">
        <v>21503</v>
      </c>
      <c r="Q1025" s="7" t="str">
        <f>IFERROR(__xludf.DUMMYFUNCTION("GOOGLETRANSLATE(C1025, ""en"", ""in"")"),"Mengambil kunci ...")</f>
        <v>Mengambil kunci ...</v>
      </c>
      <c r="R1025" s="1" t="s">
        <v>21504</v>
      </c>
      <c r="S1025" s="6" t="s">
        <v>132</v>
      </c>
      <c r="T1025" s="1" t="s">
        <v>21505</v>
      </c>
      <c r="U1025" s="1" t="s">
        <v>21506</v>
      </c>
      <c r="V1025" s="7" t="str">
        <f>IFERROR(__xludf.DUMMYFUNCTION("GOOGLETRANSLATE(C1025, ""en"", ""ms"")"),"Mempunyai kunci ...")</f>
        <v>Mempunyai kunci ...</v>
      </c>
      <c r="W1025" s="1" t="s">
        <v>21507</v>
      </c>
      <c r="X1025" s="7" t="str">
        <f>IFERROR(__xludf.DUMMYFUNCTION("GOOGLETRANSLATE(C1025, ""en"", ""no"")"),"Hent nøkler ...")</f>
        <v>Hent nøkler ...</v>
      </c>
      <c r="Y1025" s="1" t="s">
        <v>21508</v>
      </c>
      <c r="Z1025" s="1" t="s">
        <v>21509</v>
      </c>
      <c r="AA1025" s="7" t="str">
        <f>IFERROR(__xludf.DUMMYFUNCTION("GOOGLETRANSLATE(C1025, ""en"", ""ro"")"),"Cheile ...")</f>
        <v>Cheile ...</v>
      </c>
      <c r="AB1025" s="1" t="s">
        <v>21510</v>
      </c>
      <c r="AC1025" s="7" t="str">
        <f>IFERROR(__xludf.DUMMYFUNCTION("GOOGLETRANSLATE(C1025, ""en"", ""sk"")"),"Načítanie kľúčov ...")</f>
        <v>Načítanie kľúčov ...</v>
      </c>
      <c r="AD1025" s="6" t="s">
        <v>132</v>
      </c>
      <c r="AE1025" s="1" t="s">
        <v>21511</v>
      </c>
      <c r="AF1025" s="1" t="s">
        <v>21512</v>
      </c>
      <c r="AG1025" s="6" t="s">
        <v>132</v>
      </c>
      <c r="AH1025" s="7" t="str">
        <f>IFERROR(__xludf.DUMMYFUNCTION("GOOGLETRANSLATE(C1025, ""en"", ""tr"")"),"Anahtarları Almak ...")</f>
        <v>Anahtarları Almak ...</v>
      </c>
      <c r="AI1025" s="6" t="s">
        <v>21513</v>
      </c>
      <c r="AJ1025" s="6" t="s">
        <v>21514</v>
      </c>
      <c r="AK1025" s="7" t="str">
        <f>IFERROR(__xludf.DUMMYFUNCTION("GOOGLETRANSLATE(C1025, ""en"", ""zh"")"),"拿钥匙......")</f>
        <v>拿钥匙......</v>
      </c>
      <c r="AL1025" s="6" t="s">
        <v>21515</v>
      </c>
    </row>
    <row r="1026" ht="15.75" hidden="1" customHeight="1">
      <c r="A1026" s="1" t="s">
        <v>38</v>
      </c>
      <c r="B1026" s="1" t="s">
        <v>21516</v>
      </c>
      <c r="C1026" s="1" t="s">
        <v>21517</v>
      </c>
      <c r="D1026" s="8" t="s">
        <v>21518</v>
      </c>
      <c r="E1026" s="1" t="s">
        <v>21519</v>
      </c>
      <c r="F1026" s="6" t="s">
        <v>21520</v>
      </c>
      <c r="G1026" s="7" t="str">
        <f>IFERROR(__xludf.DUMMYFUNCTION("GOOGLETRANSLATE(C1026, ""en"", ""cs"")"),"Povolit oznámení")</f>
        <v>Povolit oznámení</v>
      </c>
      <c r="H1026" s="7" t="str">
        <f>IFERROR(__xludf.DUMMYFUNCTION("GOOGLETRANSLATE(C1026, ""en"", ""da"")"),"Aktivér meddelelser.")</f>
        <v>Aktivér meddelelser.</v>
      </c>
      <c r="I1026" s="1" t="s">
        <v>21521</v>
      </c>
      <c r="J1026" s="6" t="s">
        <v>132</v>
      </c>
      <c r="K1026" s="1" t="s">
        <v>21522</v>
      </c>
      <c r="L1026" s="7" t="str">
        <f>IFERROR(__xludf.DUMMYFUNCTION("GOOGLETRANSLATE(C1026, ""en"", ""fi"")"),"Salli ilmoitukset")</f>
        <v>Salli ilmoitukset</v>
      </c>
      <c r="M1026" s="1" t="s">
        <v>21523</v>
      </c>
      <c r="N1026" s="6" t="s">
        <v>21524</v>
      </c>
      <c r="O1026" s="6" t="s">
        <v>132</v>
      </c>
      <c r="P1026" s="1" t="s">
        <v>21525</v>
      </c>
      <c r="Q1026" s="9" t="s">
        <v>21526</v>
      </c>
      <c r="R1026" s="1" t="s">
        <v>21527</v>
      </c>
      <c r="S1026" s="6" t="s">
        <v>132</v>
      </c>
      <c r="T1026" s="1" t="s">
        <v>21528</v>
      </c>
      <c r="U1026" s="1" t="s">
        <v>21529</v>
      </c>
      <c r="V1026" s="7" t="str">
        <f>IFERROR(__xludf.DUMMYFUNCTION("GOOGLETRANSLATE(C1026, ""en"", ""ms"")"),"Membolehkan pemberitahuan.")</f>
        <v>Membolehkan pemberitahuan.</v>
      </c>
      <c r="W1026" s="1" t="s">
        <v>21530</v>
      </c>
      <c r="X1026" s="7" t="str">
        <f>IFERROR(__xludf.DUMMYFUNCTION("GOOGLETRANSLATE(C1026, ""en"", ""no"")"),"Aktiver varsler")</f>
        <v>Aktiver varsler</v>
      </c>
      <c r="Y1026" s="1" t="s">
        <v>21531</v>
      </c>
      <c r="Z1026" s="1" t="s">
        <v>21532</v>
      </c>
      <c r="AA1026" s="7" t="str">
        <f>IFERROR(__xludf.DUMMYFUNCTION("GOOGLETRANSLATE(C1026, ""en"", ""ro"")"),"Activați notificările")</f>
        <v>Activați notificările</v>
      </c>
      <c r="AB1026" s="1" t="s">
        <v>21533</v>
      </c>
      <c r="AC1026" s="1" t="s">
        <v>21534</v>
      </c>
      <c r="AD1026" s="6" t="s">
        <v>132</v>
      </c>
      <c r="AE1026" s="1" t="s">
        <v>21535</v>
      </c>
      <c r="AF1026" s="1" t="s">
        <v>21536</v>
      </c>
      <c r="AG1026" s="6" t="s">
        <v>132</v>
      </c>
      <c r="AH1026" s="7" t="str">
        <f>IFERROR(__xludf.DUMMYFUNCTION("GOOGLETRANSLATE(C1026, ""en"", ""tr"")"),"Bildirimleri etkinleştir")</f>
        <v>Bildirimleri etkinleştir</v>
      </c>
      <c r="AI1026" s="6" t="s">
        <v>21537</v>
      </c>
      <c r="AJ1026" s="6" t="s">
        <v>21538</v>
      </c>
      <c r="AK1026" s="7" t="str">
        <f>IFERROR(__xludf.DUMMYFUNCTION("GOOGLETRANSLATE(C1026, ""en"", ""zh"")"),"启用通知")</f>
        <v>启用通知</v>
      </c>
      <c r="AL1026" s="6" t="s">
        <v>21539</v>
      </c>
    </row>
    <row r="1027" ht="15.75" hidden="1" customHeight="1">
      <c r="A1027" s="1" t="s">
        <v>38</v>
      </c>
      <c r="B1027" s="1" t="s">
        <v>21540</v>
      </c>
      <c r="C1027" s="1" t="s">
        <v>21541</v>
      </c>
      <c r="D1027" s="7" t="str">
        <f>IFERROR(__xludf.DUMMYFUNCTION("GOOGLETRANSLATE(C1027, ""en"", ""ar"")"),"هونج كونج، SAR")</f>
        <v>هونج كونج، SAR</v>
      </c>
      <c r="E1027" s="7" t="str">
        <f>IFERROR(__xludf.DUMMYFUNCTION("GOOGLETRANSLATE(C1027, ""en"", ""bg"")"),"Хонконг, SAR")</f>
        <v>Хонконг, SAR</v>
      </c>
      <c r="F1027" s="6" t="s">
        <v>132</v>
      </c>
      <c r="G1027" s="7" t="str">
        <f>IFERROR(__xludf.DUMMYFUNCTION("GOOGLETRANSLATE(C1027, ""en"", ""cs"")"),"Hong Kong, SAR")</f>
        <v>Hong Kong, SAR</v>
      </c>
      <c r="H1027" s="7" t="str">
        <f>IFERROR(__xludf.DUMMYFUNCTION("GOOGLETRANSLATE(C1027, ""en"", ""da"")"),"Hong Kong, Sar")</f>
        <v>Hong Kong, Sar</v>
      </c>
      <c r="I1027" s="1" t="s">
        <v>21542</v>
      </c>
      <c r="J1027" s="6" t="s">
        <v>132</v>
      </c>
      <c r="K1027" s="1" t="s">
        <v>21543</v>
      </c>
      <c r="L1027" s="7" t="str">
        <f>IFERROR(__xludf.DUMMYFUNCTION("GOOGLETRANSLATE(C1027, ""en"", ""fi"")"),"Hongkong, SAR")</f>
        <v>Hongkong, SAR</v>
      </c>
      <c r="M1027" s="1" t="s">
        <v>21541</v>
      </c>
      <c r="N1027" s="6" t="s">
        <v>132</v>
      </c>
      <c r="O1027" s="6" t="s">
        <v>132</v>
      </c>
      <c r="P1027" s="1" t="s">
        <v>21541</v>
      </c>
      <c r="Q1027" s="7" t="str">
        <f>IFERROR(__xludf.DUMMYFUNCTION("GOOGLETRANSLATE(C1027, ""en"", ""in"")"),"Hong Kong, SAR")</f>
        <v>Hong Kong, SAR</v>
      </c>
      <c r="R1027" s="7" t="str">
        <f>IFERROR(__xludf.DUMMYFUNCTION("GOOGLETRANSLATE(C1027, ""en"", ""it"")"),"Hong Kong, SAR")</f>
        <v>Hong Kong, SAR</v>
      </c>
      <c r="S1027" s="6" t="s">
        <v>132</v>
      </c>
      <c r="T1027" s="7" t="str">
        <f>IFERROR(__xludf.DUMMYFUNCTION("GOOGLETRANSLATE(C1027, ""en"", ""ja"")"),"香港、サール")</f>
        <v>香港、サール</v>
      </c>
      <c r="U1027" s="7" t="str">
        <f>IFERROR(__xludf.DUMMYFUNCTION("GOOGLETRANSLATE(C1027, ""en"", ""ko"")"),"홍콩, SAR.")</f>
        <v>홍콩, SAR.</v>
      </c>
      <c r="V1027" s="7" t="str">
        <f>IFERROR(__xludf.DUMMYFUNCTION("GOOGLETRANSLATE(C1027, ""en"", ""ms"")"),"Hong Kong, SAR")</f>
        <v>Hong Kong, SAR</v>
      </c>
      <c r="W1027" s="7" t="str">
        <f>IFERROR(__xludf.DUMMYFUNCTION("GOOGLETRANSLATE(C1027, ""en"", ""nl"")"),"Hong Kong, SAR")</f>
        <v>Hong Kong, SAR</v>
      </c>
      <c r="X1027" s="7" t="str">
        <f>IFERROR(__xludf.DUMMYFUNCTION("GOOGLETRANSLATE(C1027, ""en"", ""no"")"),"Hong Kong, SAR")</f>
        <v>Hong Kong, SAR</v>
      </c>
      <c r="Y1027" s="7" t="str">
        <f>IFERROR(__xludf.DUMMYFUNCTION("GOOGLETRANSLATE(C1027, ""en"", ""pl"")"),"Hongkong")</f>
        <v>Hongkong</v>
      </c>
      <c r="Z1027" s="7" t="str">
        <f>IFERROR(__xludf.DUMMYFUNCTION("GOOGLETRANSLATE(C1027, ""en"", ""pt"")"),"Hong Kong, SAR")</f>
        <v>Hong Kong, SAR</v>
      </c>
      <c r="AA1027" s="7" t="str">
        <f>IFERROR(__xludf.DUMMYFUNCTION("GOOGLETRANSLATE(C1027, ""en"", ""ro"")"),"Hong Kong, SAR")</f>
        <v>Hong Kong, SAR</v>
      </c>
      <c r="AB1027" s="1" t="s">
        <v>21544</v>
      </c>
      <c r="AC1027" s="7" t="str">
        <f>IFERROR(__xludf.DUMMYFUNCTION("GOOGLETRANSLATE(C1027, ""en"", ""sk"")"),"Hong Kong, SAR")</f>
        <v>Hong Kong, SAR</v>
      </c>
      <c r="AD1027" s="6" t="s">
        <v>132</v>
      </c>
      <c r="AE1027" s="1" t="s">
        <v>21543</v>
      </c>
      <c r="AF1027" s="7" t="str">
        <f>IFERROR(__xludf.DUMMYFUNCTION("GOOGLETRANSLATE(C1027, ""en"", ""sv"")"),"Hong Kong, SAR")</f>
        <v>Hong Kong, SAR</v>
      </c>
      <c r="AG1027" s="6" t="s">
        <v>132</v>
      </c>
      <c r="AH1027" s="7" t="str">
        <f>IFERROR(__xludf.DUMMYFUNCTION("GOOGLETRANSLATE(C1027, ""en"", ""tr"")"),"Hong Kong, SAR")</f>
        <v>Hong Kong, SAR</v>
      </c>
      <c r="AI1027" s="6" t="s">
        <v>132</v>
      </c>
      <c r="AJ1027" s="6" t="s">
        <v>132</v>
      </c>
      <c r="AK1027" s="7" t="str">
        <f>IFERROR(__xludf.DUMMYFUNCTION("GOOGLETRANSLATE(C1027, ""en"", ""zh"")"),"香港，SAR")</f>
        <v>香港，SAR</v>
      </c>
      <c r="AL1027" s="6" t="s">
        <v>132</v>
      </c>
    </row>
    <row r="1028" ht="15.75" customHeight="1">
      <c r="A1028" s="1" t="s">
        <v>127</v>
      </c>
      <c r="B1028" s="1" t="s">
        <v>21545</v>
      </c>
      <c r="C1028" s="1" t="s">
        <v>21546</v>
      </c>
      <c r="D1028" s="8" t="s">
        <v>21547</v>
      </c>
      <c r="E1028" s="1" t="s">
        <v>21548</v>
      </c>
      <c r="F1028" s="6" t="s">
        <v>132</v>
      </c>
      <c r="G1028" s="1" t="s">
        <v>21549</v>
      </c>
      <c r="H1028" s="1" t="s">
        <v>21550</v>
      </c>
      <c r="I1028" s="1" t="s">
        <v>21551</v>
      </c>
      <c r="J1028" s="6" t="s">
        <v>21552</v>
      </c>
      <c r="K1028" s="1" t="s">
        <v>21553</v>
      </c>
      <c r="L1028" s="1" t="s">
        <v>21554</v>
      </c>
      <c r="M1028" s="1" t="s">
        <v>21555</v>
      </c>
      <c r="N1028" s="6" t="s">
        <v>132</v>
      </c>
      <c r="O1028" s="6" t="s">
        <v>21556</v>
      </c>
      <c r="P1028" s="1" t="s">
        <v>21557</v>
      </c>
      <c r="Q1028" s="1" t="s">
        <v>21558</v>
      </c>
      <c r="R1028" s="1" t="s">
        <v>21559</v>
      </c>
      <c r="S1028" s="10" t="s">
        <v>21560</v>
      </c>
      <c r="T1028" s="1" t="s">
        <v>21561</v>
      </c>
      <c r="U1028" s="1" t="s">
        <v>21562</v>
      </c>
      <c r="V1028" s="1" t="s">
        <v>21563</v>
      </c>
      <c r="W1028" s="1" t="s">
        <v>21546</v>
      </c>
      <c r="X1028" s="1" t="s">
        <v>21564</v>
      </c>
      <c r="Y1028" s="1" t="s">
        <v>21565</v>
      </c>
      <c r="Z1028" s="1" t="s">
        <v>21566</v>
      </c>
      <c r="AA1028" s="1" t="s">
        <v>21567</v>
      </c>
      <c r="AB1028" s="1" t="s">
        <v>21568</v>
      </c>
      <c r="AC1028" s="1" t="s">
        <v>21549</v>
      </c>
      <c r="AD1028" s="6" t="s">
        <v>21569</v>
      </c>
      <c r="AE1028" s="1" t="s">
        <v>21570</v>
      </c>
      <c r="AF1028" s="1" t="s">
        <v>21571</v>
      </c>
      <c r="AG1028" s="6" t="s">
        <v>21572</v>
      </c>
      <c r="AH1028" s="1" t="s">
        <v>21573</v>
      </c>
      <c r="AI1028" s="6" t="s">
        <v>132</v>
      </c>
      <c r="AJ1028" s="6" t="s">
        <v>21574</v>
      </c>
      <c r="AK1028" s="1" t="s">
        <v>21575</v>
      </c>
      <c r="AL1028" s="6" t="s">
        <v>132</v>
      </c>
    </row>
    <row r="1029" ht="15.75" hidden="1" customHeight="1">
      <c r="A1029" s="1" t="s">
        <v>38</v>
      </c>
      <c r="B1029" s="1" t="s">
        <v>21576</v>
      </c>
      <c r="C1029" s="1" t="s">
        <v>21577</v>
      </c>
      <c r="D1029" s="8" t="s">
        <v>21578</v>
      </c>
      <c r="E1029" s="1" t="s">
        <v>21579</v>
      </c>
      <c r="F1029" s="6" t="s">
        <v>21580</v>
      </c>
      <c r="G1029" s="7" t="str">
        <f>IFERROR(__xludf.DUMMYFUNCTION("GOOGLETRANSLATE(C1029, ""en"", ""cs"")"),"Uložit jako záložku")</f>
        <v>Uložit jako záložku</v>
      </c>
      <c r="H1029" s="7" t="str">
        <f>IFERROR(__xludf.DUMMYFUNCTION("GOOGLETRANSLATE(C1029, ""en"", ""da"")"),"Gem som bogmærke.")</f>
        <v>Gem som bogmærke.</v>
      </c>
      <c r="I1029" s="1" t="s">
        <v>21581</v>
      </c>
      <c r="J1029" s="6" t="s">
        <v>132</v>
      </c>
      <c r="K1029" s="1" t="s">
        <v>21582</v>
      </c>
      <c r="L1029" s="7" t="str">
        <f>IFERROR(__xludf.DUMMYFUNCTION("GOOGLETRANSLATE(C1029, ""en"", ""fi"")"),"Tallenna kirjanmerkki")</f>
        <v>Tallenna kirjanmerkki</v>
      </c>
      <c r="M1029" s="1" t="s">
        <v>21583</v>
      </c>
      <c r="N1029" s="6" t="s">
        <v>21584</v>
      </c>
      <c r="O1029" s="6" t="s">
        <v>132</v>
      </c>
      <c r="P1029" s="1" t="s">
        <v>21585</v>
      </c>
      <c r="Q1029" s="9" t="s">
        <v>21586</v>
      </c>
      <c r="R1029" s="1" t="s">
        <v>21587</v>
      </c>
      <c r="S1029" s="6" t="s">
        <v>132</v>
      </c>
      <c r="T1029" s="1" t="s">
        <v>21588</v>
      </c>
      <c r="U1029" s="1" t="s">
        <v>21589</v>
      </c>
      <c r="V1029" s="7" t="str">
        <f>IFERROR(__xludf.DUMMYFUNCTION("GOOGLETRANSLATE(C1029, ""en"", ""ms"")"),"Simpan sebagai penanda buku")</f>
        <v>Simpan sebagai penanda buku</v>
      </c>
      <c r="W1029" s="1" t="s">
        <v>21590</v>
      </c>
      <c r="X1029" s="7" t="str">
        <f>IFERROR(__xludf.DUMMYFUNCTION("GOOGLETRANSLATE(C1029, ""en"", ""no"")"),"Lagre som bokmerke")</f>
        <v>Lagre som bokmerke</v>
      </c>
      <c r="Y1029" s="1" t="s">
        <v>21591</v>
      </c>
      <c r="Z1029" s="1" t="s">
        <v>21592</v>
      </c>
      <c r="AA1029" s="7" t="str">
        <f>IFERROR(__xludf.DUMMYFUNCTION("GOOGLETRANSLATE(C1029, ""en"", ""ro"")"),"Salvați ca marcaj")</f>
        <v>Salvați ca marcaj</v>
      </c>
      <c r="AB1029" s="1" t="s">
        <v>21593</v>
      </c>
      <c r="AC1029" s="1" t="s">
        <v>21594</v>
      </c>
      <c r="AD1029" s="6" t="s">
        <v>132</v>
      </c>
      <c r="AE1029" s="1" t="s">
        <v>21595</v>
      </c>
      <c r="AF1029" s="1" t="s">
        <v>21596</v>
      </c>
      <c r="AG1029" s="6" t="s">
        <v>132</v>
      </c>
      <c r="AH1029" s="7" t="str">
        <f>IFERROR(__xludf.DUMMYFUNCTION("GOOGLETRANSLATE(C1029, ""en"", ""tr"")"),"Yer imi olarak kaydet")</f>
        <v>Yer imi olarak kaydet</v>
      </c>
      <c r="AI1029" s="6" t="s">
        <v>21597</v>
      </c>
      <c r="AJ1029" s="6" t="s">
        <v>21598</v>
      </c>
      <c r="AK1029" s="7" t="str">
        <f>IFERROR(__xludf.DUMMYFUNCTION("GOOGLETRANSLATE(C1029, ""en"", ""zh"")"),"另存为书签")</f>
        <v>另存为书签</v>
      </c>
      <c r="AL1029" s="6" t="s">
        <v>21599</v>
      </c>
    </row>
    <row r="1030" ht="15.75" hidden="1" customHeight="1">
      <c r="A1030" s="1" t="s">
        <v>38</v>
      </c>
      <c r="B1030" s="1" t="s">
        <v>21600</v>
      </c>
      <c r="C1030" s="1" t="s">
        <v>21601</v>
      </c>
      <c r="D1030" s="7" t="str">
        <f>IFERROR(__xludf.DUMMYFUNCTION("GOOGLETRANSLATE(C1030, ""en"", ""ar"")"),"ستجعل هذه الدردشة الجماعية معرف Jabber الخاص بك")</f>
        <v>ستجعل هذه الدردشة الجماعية معرف Jabber الخاص بك</v>
      </c>
      <c r="E1030" s="7" t="str">
        <f>IFERROR(__xludf.DUMMYFUNCTION("GOOGLETRANSLATE(C1030, ""en"", ""bg"")"),"Тази група чат ще направи публиката ви на Jabber ID")</f>
        <v>Тази група чат ще направи публиката ви на Jabber ID</v>
      </c>
      <c r="F1030" s="6" t="s">
        <v>132</v>
      </c>
      <c r="G1030" s="7" t="str">
        <f>IFERROR(__xludf.DUMMYFUNCTION("GOOGLETRANSLATE(C1030, ""en"", ""cs"")"),"Tato skupinová chat bude váš Jabber ID veřejnosti")</f>
        <v>Tato skupinová chat bude váš Jabber ID veřejnosti</v>
      </c>
      <c r="H1030" s="7" t="str">
        <f>IFERROR(__xludf.DUMMYFUNCTION("GOOGLETRANSLATE(C1030, ""en"", ""da"")"),"Denne gruppe chat vil gøre dit jabber ID offentligt offentligt")</f>
        <v>Denne gruppe chat vil gøre dit jabber ID offentligt offentligt</v>
      </c>
      <c r="I1030" s="7" t="str">
        <f>IFERROR(__xludf.DUMMYFUNCTION("GOOGLETRANSLATE(C1030, ""en"", ""de"")"),"Dieser Gruppenchat macht Ihre Jabber-ID öffentlich")</f>
        <v>Dieser Gruppenchat macht Ihre Jabber-ID öffentlich</v>
      </c>
      <c r="J1030" s="6" t="s">
        <v>132</v>
      </c>
      <c r="K1030" s="7" t="str">
        <f>IFERROR(__xludf.DUMMYFUNCTION("GOOGLETRANSLATE(C1030, ""en"", ""es"")"),"Este chat de grupo hará que su ID de Jabber.")</f>
        <v>Este chat de grupo hará que su ID de Jabber.</v>
      </c>
      <c r="L1030" s="7" t="str">
        <f>IFERROR(__xludf.DUMMYFUNCTION("GOOGLETRANSLATE(C1030, ""en"", ""fi"")"),"Tämä ryhmäkeskustelu tekee Jabberin tunnus")</f>
        <v>Tämä ryhmäkeskustelu tekee Jabberin tunnus</v>
      </c>
      <c r="M1030" s="7" t="str">
        <f>IFERROR(__xludf.DUMMYFUNCTION("GOOGLETRANSLATE(C1030, ""en"", ""fr"")"),"Ce chat de groupe fera votre publicité Jabber")</f>
        <v>Ce chat de groupe fera votre publicité Jabber</v>
      </c>
      <c r="N1030" s="6" t="s">
        <v>132</v>
      </c>
      <c r="O1030" s="6" t="s">
        <v>132</v>
      </c>
      <c r="P1030" s="7" t="str">
        <f>IFERROR(__xludf.DUMMYFUNCTION("GOOGLETRANSLATE(C1030, ""en"", ""hu"")"),"Ez a csoportos csevegés teszi a Jabber ID nyilvánosságot")</f>
        <v>Ez a csoportos csevegés teszi a Jabber ID nyilvánosságot</v>
      </c>
      <c r="Q1030" s="7" t="str">
        <f>IFERROR(__xludf.DUMMYFUNCTION("GOOGLETRANSLATE(C1030, ""en"", ""in"")"),"Obrolan grup ini akan membuat ID Jabber Anda menjadi publik")</f>
        <v>Obrolan grup ini akan membuat ID Jabber Anda menjadi publik</v>
      </c>
      <c r="R1030" s="7" t="str">
        <f>IFERROR(__xludf.DUMMYFUNCTION("GOOGLETRANSLATE(C1030, ""en"", ""it"")"),"Questa chat di gruppo renderà il tuo Jabber ID pubblico")</f>
        <v>Questa chat di gruppo renderà il tuo Jabber ID pubblico</v>
      </c>
      <c r="S1030" s="6" t="s">
        <v>132</v>
      </c>
      <c r="T1030" s="7" t="str">
        <f>IFERROR(__xludf.DUMMYFUNCTION("GOOGLETRANSLATE(C1030, ""en"", ""ja"")"),"このグループチャットはあなたのJabber IDを公開します")</f>
        <v>このグループチャットはあなたのJabber IDを公開します</v>
      </c>
      <c r="U1030" s="7" t="str">
        <f>IFERROR(__xludf.DUMMYFUNCTION("GOOGLETRANSLATE(C1030, ""en"", ""ko"")"),"이 그룹 채팅은 Jabber ID를 공개합니다")</f>
        <v>이 그룹 채팅은 Jabber ID를 공개합니다</v>
      </c>
      <c r="V1030" s="7" t="str">
        <f>IFERROR(__xludf.DUMMYFUNCTION("GOOGLETRANSLATE(C1030, ""en"", ""ms"")"),"Sembang kumpulan ini akan menjadikan Awam Jabber ID anda")</f>
        <v>Sembang kumpulan ini akan menjadikan Awam Jabber ID anda</v>
      </c>
      <c r="W1030" s="7" t="str">
        <f>IFERROR(__xludf.DUMMYFUNCTION("GOOGLETRANSLATE(C1030, ""en"", ""nl"")"),"Deze groepschat maakt uw Jabber ID-publiek")</f>
        <v>Deze groepschat maakt uw Jabber ID-publiek</v>
      </c>
      <c r="X1030" s="7" t="str">
        <f>IFERROR(__xludf.DUMMYFUNCTION("GOOGLETRANSLATE(C1030, ""en"", ""no"")"),"Denne gruppen chat vil gjøre din jabber id offentlig")</f>
        <v>Denne gruppen chat vil gjøre din jabber id offentlig</v>
      </c>
      <c r="Y1030" s="7" t="str">
        <f>IFERROR(__xludf.DUMMYFUNCTION("GOOGLETRANSLATE(C1030, ""en"", ""pl"")"),"Ta cza grupowa sprawi, że Twój Jabber ID Public")</f>
        <v>Ta cza grupowa sprawi, że Twój Jabber ID Public</v>
      </c>
      <c r="Z1030" s="7" t="str">
        <f>IFERROR(__xludf.DUMMYFUNCTION("GOOGLETRANSLATE(C1030, ""en"", ""pt"")"),"Este bate-papo do grupo fará seu Jabber ID Public")</f>
        <v>Este bate-papo do grupo fará seu Jabber ID Public</v>
      </c>
      <c r="AA1030" s="7" t="str">
        <f>IFERROR(__xludf.DUMMYFUNCTION("GOOGLETRANSLATE(C1030, ""en"", ""ro"")"),"Acest chat de grup va face publicul dvs. Jabber ID")</f>
        <v>Acest chat de grup va face publicul dvs. Jabber ID</v>
      </c>
      <c r="AB1030" s="7" t="str">
        <f>IFERROR(__xludf.DUMMYFUNCTION("GOOGLETRANSLATE(C1030, ""en"", ""ru"")"),"Этот групповой чат сделает ваш Jabber ID публики")</f>
        <v>Этот групповой чат сделает ваш Jabber ID публики</v>
      </c>
      <c r="AC1030" s="7" t="str">
        <f>IFERROR(__xludf.DUMMYFUNCTION("GOOGLETRANSLATE(C1030, ""en"", ""sk"")"),"Tento skupinový chat urobí vaše Jabber ID verejnosť")</f>
        <v>Tento skupinový chat urobí vaše Jabber ID verejnosť</v>
      </c>
      <c r="AD1030" s="6" t="s">
        <v>132</v>
      </c>
      <c r="AE1030" s="7" t="str">
        <f>IFERROR(__xludf.DUMMYFUNCTION("GOOGLETRANSLATE(C1030, ""en"", ""sr"")"),"Овај групни цхат ће учинити ваш Јаббер ИД јавност")</f>
        <v>Овај групни цхат ће учинити ваш Јаббер ИД јавност</v>
      </c>
      <c r="AF1030" s="7" t="str">
        <f>IFERROR(__xludf.DUMMYFUNCTION("GOOGLETRANSLATE(C1030, ""en"", ""sv"")"),"Denna gruppchatt kommer att göra ditt Jabber ID offentligt")</f>
        <v>Denna gruppchatt kommer att göra ditt Jabber ID offentligt</v>
      </c>
      <c r="AG1030" s="6" t="s">
        <v>132</v>
      </c>
      <c r="AH1030" s="7" t="str">
        <f>IFERROR(__xludf.DUMMYFUNCTION("GOOGLETRANSLATE(C1030, ""en"", ""tr"")"),"Bu grup sohbeti jabber kimliğinizi halka açıktır")</f>
        <v>Bu grup sohbeti jabber kimliğinizi halka açıktır</v>
      </c>
      <c r="AI1030" s="6" t="s">
        <v>132</v>
      </c>
      <c r="AJ1030" s="6" t="s">
        <v>132</v>
      </c>
      <c r="AK1030" s="7" t="str">
        <f>IFERROR(__xludf.DUMMYFUNCTION("GOOGLETRANSLATE(C1030, ""en"", ""zh"")"),"这个群组聊天将使您的jabber身份公开")</f>
        <v>这个群组聊天将使您的jabber身份公开</v>
      </c>
      <c r="AL1030" s="6" t="s">
        <v>132</v>
      </c>
    </row>
    <row r="1031" ht="15.75" customHeight="1">
      <c r="A1031" s="1" t="s">
        <v>127</v>
      </c>
      <c r="B1031" s="1" t="s">
        <v>21602</v>
      </c>
      <c r="C1031" s="1" t="s">
        <v>21603</v>
      </c>
      <c r="D1031" s="8" t="s">
        <v>21604</v>
      </c>
      <c r="E1031" s="1" t="s">
        <v>21605</v>
      </c>
      <c r="F1031" s="6" t="s">
        <v>132</v>
      </c>
      <c r="G1031" s="1" t="s">
        <v>21606</v>
      </c>
      <c r="H1031" s="1" t="s">
        <v>21607</v>
      </c>
      <c r="I1031" s="1" t="s">
        <v>21608</v>
      </c>
      <c r="J1031" s="6" t="s">
        <v>21609</v>
      </c>
      <c r="K1031" s="1" t="s">
        <v>21610</v>
      </c>
      <c r="L1031" s="1" t="s">
        <v>21611</v>
      </c>
      <c r="M1031" s="1" t="s">
        <v>21612</v>
      </c>
      <c r="N1031" s="6" t="s">
        <v>132</v>
      </c>
      <c r="O1031" s="6" t="s">
        <v>21613</v>
      </c>
      <c r="P1031" s="1" t="s">
        <v>21614</v>
      </c>
      <c r="Q1031" s="1" t="s">
        <v>21615</v>
      </c>
      <c r="R1031" s="1" t="s">
        <v>21616</v>
      </c>
      <c r="S1031" s="10" t="s">
        <v>21617</v>
      </c>
      <c r="T1031" s="1" t="s">
        <v>21618</v>
      </c>
      <c r="U1031" s="1" t="s">
        <v>21619</v>
      </c>
      <c r="V1031" s="1" t="s">
        <v>21620</v>
      </c>
      <c r="W1031" s="1" t="s">
        <v>21621</v>
      </c>
      <c r="X1031" s="1" t="s">
        <v>21622</v>
      </c>
      <c r="Y1031" s="1" t="s">
        <v>21623</v>
      </c>
      <c r="Z1031" s="1" t="s">
        <v>21624</v>
      </c>
      <c r="AA1031" s="1" t="s">
        <v>21625</v>
      </c>
      <c r="AB1031" s="1" t="s">
        <v>21626</v>
      </c>
      <c r="AC1031" s="1" t="s">
        <v>21627</v>
      </c>
      <c r="AD1031" s="6" t="s">
        <v>21628</v>
      </c>
      <c r="AE1031" s="1" t="s">
        <v>21629</v>
      </c>
      <c r="AF1031" s="1" t="s">
        <v>21630</v>
      </c>
      <c r="AG1031" s="6" t="s">
        <v>21631</v>
      </c>
      <c r="AH1031" s="1" t="s">
        <v>21632</v>
      </c>
      <c r="AI1031" s="6" t="s">
        <v>132</v>
      </c>
      <c r="AJ1031" s="6" t="s">
        <v>21633</v>
      </c>
      <c r="AK1031" s="1" t="s">
        <v>21634</v>
      </c>
      <c r="AL1031" s="6" t="s">
        <v>21635</v>
      </c>
    </row>
    <row r="1032" ht="15.75" customHeight="1">
      <c r="A1032" s="1" t="s">
        <v>127</v>
      </c>
      <c r="B1032" s="1" t="s">
        <v>21636</v>
      </c>
      <c r="C1032" s="1" t="s">
        <v>21637</v>
      </c>
      <c r="D1032" s="8" t="s">
        <v>21638</v>
      </c>
      <c r="E1032" s="1" t="s">
        <v>21639</v>
      </c>
      <c r="F1032" s="6" t="s">
        <v>132</v>
      </c>
      <c r="G1032" s="1" t="s">
        <v>21637</v>
      </c>
      <c r="H1032" s="1" t="s">
        <v>21637</v>
      </c>
      <c r="I1032" s="1" t="s">
        <v>21637</v>
      </c>
      <c r="J1032" s="6" t="s">
        <v>21640</v>
      </c>
      <c r="K1032" s="1" t="s">
        <v>21637</v>
      </c>
      <c r="L1032" s="1" t="s">
        <v>21641</v>
      </c>
      <c r="M1032" s="1" t="s">
        <v>21637</v>
      </c>
      <c r="N1032" s="6" t="s">
        <v>132</v>
      </c>
      <c r="O1032" s="6" t="s">
        <v>21642</v>
      </c>
      <c r="P1032" s="1" t="s">
        <v>21637</v>
      </c>
      <c r="Q1032" s="1" t="s">
        <v>21643</v>
      </c>
      <c r="R1032" s="1" t="s">
        <v>21637</v>
      </c>
      <c r="S1032" s="10" t="s">
        <v>21644</v>
      </c>
      <c r="T1032" s="1" t="s">
        <v>21645</v>
      </c>
      <c r="U1032" s="1" t="s">
        <v>21646</v>
      </c>
      <c r="V1032" s="1" t="s">
        <v>21647</v>
      </c>
      <c r="W1032" s="1" t="s">
        <v>21637</v>
      </c>
      <c r="X1032" s="1" t="s">
        <v>21648</v>
      </c>
      <c r="Y1032" s="1" t="s">
        <v>21637</v>
      </c>
      <c r="Z1032" s="1" t="s">
        <v>21637</v>
      </c>
      <c r="AA1032" s="1" t="s">
        <v>21637</v>
      </c>
      <c r="AB1032" s="1" t="s">
        <v>21649</v>
      </c>
      <c r="AC1032" s="1" t="s">
        <v>21650</v>
      </c>
      <c r="AD1032" s="6" t="s">
        <v>21651</v>
      </c>
      <c r="AE1032" s="1" t="s">
        <v>21637</v>
      </c>
      <c r="AF1032" s="1" t="s">
        <v>21637</v>
      </c>
      <c r="AG1032" s="6" t="s">
        <v>21652</v>
      </c>
      <c r="AH1032" s="1" t="s">
        <v>21653</v>
      </c>
      <c r="AI1032" s="6" t="s">
        <v>132</v>
      </c>
      <c r="AJ1032" s="6" t="s">
        <v>21654</v>
      </c>
      <c r="AK1032" s="1" t="s">
        <v>21655</v>
      </c>
      <c r="AL1032" s="6" t="s">
        <v>21656</v>
      </c>
    </row>
    <row r="1033" ht="15.75" hidden="1" customHeight="1">
      <c r="A1033" s="1" t="s">
        <v>38</v>
      </c>
      <c r="B1033" s="1" t="s">
        <v>21657</v>
      </c>
      <c r="C1033" s="1" t="s">
        <v>21658</v>
      </c>
      <c r="D1033" s="8" t="s">
        <v>21659</v>
      </c>
      <c r="E1033" s="1" t="s">
        <v>21660</v>
      </c>
      <c r="F1033" s="6" t="s">
        <v>21661</v>
      </c>
      <c r="G1033" s="7" t="str">
        <f>IFERROR(__xludf.DUMMYFUNCTION("GOOGLETRANSLATE(C1033, ""en"", ""cs"")"),"Nalezené šifrované zprávy OpenPGP")</f>
        <v>Nalezené šifrované zprávy OpenPGP</v>
      </c>
      <c r="H1033" s="7" t="str">
        <f>IFERROR(__xludf.DUMMYFUNCTION("GOOGLETRANSLATE(C1033, ""en"", ""da"")"),"OpenPGP krypterede meddelelser fundet")</f>
        <v>OpenPGP krypterede meddelelser fundet</v>
      </c>
      <c r="I1033" s="1" t="s">
        <v>21662</v>
      </c>
      <c r="J1033" s="6" t="s">
        <v>132</v>
      </c>
      <c r="K1033" s="1" t="s">
        <v>21663</v>
      </c>
      <c r="L1033" s="7" t="str">
        <f>IFERROR(__xludf.DUMMYFUNCTION("GOOGLETRANSLATE(C1033, ""en"", ""fi"")"),"OpenPGP-salatut viestit löytyvät")</f>
        <v>OpenPGP-salatut viestit löytyvät</v>
      </c>
      <c r="M1033" s="1" t="s">
        <v>21664</v>
      </c>
      <c r="N1033" s="6" t="s">
        <v>21665</v>
      </c>
      <c r="O1033" s="6" t="s">
        <v>132</v>
      </c>
      <c r="P1033" s="1" t="s">
        <v>21666</v>
      </c>
      <c r="Q1033" s="9" t="s">
        <v>21667</v>
      </c>
      <c r="R1033" s="1" t="s">
        <v>21668</v>
      </c>
      <c r="S1033" s="6" t="s">
        <v>132</v>
      </c>
      <c r="T1033" s="1" t="s">
        <v>21669</v>
      </c>
      <c r="U1033" s="1" t="s">
        <v>21670</v>
      </c>
      <c r="V1033" s="7" t="str">
        <f>IFERROR(__xludf.DUMMYFUNCTION("GOOGLETRANSLATE(C1033, ""en"", ""ms"")"),"Mesej yang disulitkan OpenPGP dijumpai")</f>
        <v>Mesej yang disulitkan OpenPGP dijumpai</v>
      </c>
      <c r="W1033" s="1" t="s">
        <v>21671</v>
      </c>
      <c r="X1033" s="7" t="str">
        <f>IFERROR(__xludf.DUMMYFUNCTION("GOOGLETRANSLATE(C1033, ""en"", ""no"")"),"OpenPGP Krypterte meldinger funnet")</f>
        <v>OpenPGP Krypterte meldinger funnet</v>
      </c>
      <c r="Y1033" s="1" t="s">
        <v>21672</v>
      </c>
      <c r="Z1033" s="1" t="s">
        <v>21673</v>
      </c>
      <c r="AA1033" s="7" t="str">
        <f>IFERROR(__xludf.DUMMYFUNCTION("GOOGLETRANSLATE(C1033, ""en"", ""ro"")"),"OpenPGP mesaje criptate găsite")</f>
        <v>OpenPGP mesaje criptate găsite</v>
      </c>
      <c r="AB1033" s="1" t="s">
        <v>21674</v>
      </c>
      <c r="AC1033" s="1" t="s">
        <v>21675</v>
      </c>
      <c r="AD1033" s="6" t="s">
        <v>132</v>
      </c>
      <c r="AE1033" s="1" t="s">
        <v>21676</v>
      </c>
      <c r="AF1033" s="1" t="s">
        <v>21677</v>
      </c>
      <c r="AG1033" s="6" t="s">
        <v>132</v>
      </c>
      <c r="AH1033" s="7" t="str">
        <f>IFERROR(__xludf.DUMMYFUNCTION("GOOGLETRANSLATE(C1033, ""en"", ""tr"")"),"OpenPGP şifreli mesajlar bulundu")</f>
        <v>OpenPGP şifreli mesajlar bulundu</v>
      </c>
      <c r="AI1033" s="6" t="s">
        <v>21678</v>
      </c>
      <c r="AJ1033" s="6" t="s">
        <v>21679</v>
      </c>
      <c r="AK1033" s="7" t="str">
        <f>IFERROR(__xludf.DUMMYFUNCTION("GOOGLETRANSLATE(C1033, ""en"", ""zh"")"),"找到OpenPGP加密消息")</f>
        <v>找到OpenPGP加密消息</v>
      </c>
      <c r="AL1033" s="6" t="s">
        <v>21680</v>
      </c>
    </row>
    <row r="1034" ht="15.75" customHeight="1">
      <c r="A1034" s="1" t="s">
        <v>127</v>
      </c>
      <c r="B1034" s="1" t="s">
        <v>21681</v>
      </c>
      <c r="C1034" s="1" t="s">
        <v>21682</v>
      </c>
      <c r="D1034" s="8" t="s">
        <v>21683</v>
      </c>
      <c r="E1034" s="1" t="s">
        <v>21684</v>
      </c>
      <c r="F1034" s="6" t="s">
        <v>132</v>
      </c>
      <c r="G1034" s="1" t="s">
        <v>21685</v>
      </c>
      <c r="H1034" s="1" t="s">
        <v>21686</v>
      </c>
      <c r="I1034" s="1" t="s">
        <v>21687</v>
      </c>
      <c r="J1034" s="6" t="s">
        <v>21688</v>
      </c>
      <c r="K1034" s="1" t="s">
        <v>21689</v>
      </c>
      <c r="L1034" s="1" t="s">
        <v>21690</v>
      </c>
      <c r="M1034" s="1" t="s">
        <v>21682</v>
      </c>
      <c r="N1034" s="6" t="s">
        <v>132</v>
      </c>
      <c r="O1034" s="6" t="s">
        <v>21691</v>
      </c>
      <c r="P1034" s="1" t="s">
        <v>21682</v>
      </c>
      <c r="Q1034" s="1" t="s">
        <v>15581</v>
      </c>
      <c r="R1034" s="1" t="s">
        <v>21692</v>
      </c>
      <c r="S1034" s="10" t="s">
        <v>21693</v>
      </c>
      <c r="T1034" s="1" t="s">
        <v>21694</v>
      </c>
      <c r="U1034" s="1" t="s">
        <v>15584</v>
      </c>
      <c r="V1034" s="1" t="s">
        <v>15585</v>
      </c>
      <c r="W1034" s="1" t="s">
        <v>21695</v>
      </c>
      <c r="X1034" s="1" t="s">
        <v>21696</v>
      </c>
      <c r="Y1034" s="1" t="s">
        <v>21697</v>
      </c>
      <c r="Z1034" s="1" t="s">
        <v>21698</v>
      </c>
      <c r="AA1034" s="1" t="s">
        <v>21699</v>
      </c>
      <c r="AB1034" s="1" t="s">
        <v>15591</v>
      </c>
      <c r="AC1034" s="1" t="s">
        <v>21700</v>
      </c>
      <c r="AD1034" s="6" t="s">
        <v>21701</v>
      </c>
      <c r="AE1034" s="1" t="s">
        <v>21702</v>
      </c>
      <c r="AF1034" s="1" t="s">
        <v>15595</v>
      </c>
      <c r="AG1034" s="6" t="s">
        <v>21703</v>
      </c>
      <c r="AH1034" s="1" t="s">
        <v>21704</v>
      </c>
      <c r="AI1034" s="6" t="s">
        <v>132</v>
      </c>
      <c r="AJ1034" s="6" t="s">
        <v>21705</v>
      </c>
      <c r="AK1034" s="1" t="s">
        <v>21706</v>
      </c>
      <c r="AL1034" s="6" t="s">
        <v>132</v>
      </c>
    </row>
    <row r="1035" ht="15.75" hidden="1" customHeight="1">
      <c r="A1035" s="1" t="s">
        <v>38</v>
      </c>
      <c r="B1035" s="1" t="s">
        <v>21707</v>
      </c>
      <c r="C1035" s="1" t="s">
        <v>21708</v>
      </c>
      <c r="D1035" s="7" t="str">
        <f>IFERROR(__xludf.DUMMYFUNCTION("GOOGLETRANSLATE(C1035, ""en"", ""ar"")"),"ساحل العاج")</f>
        <v>ساحل العاج</v>
      </c>
      <c r="E1035" s="7" t="str">
        <f>IFERROR(__xludf.DUMMYFUNCTION("GOOGLETRANSLATE(C1035, ""en"", ""bg"")"),"Бряг на слоновата кост")</f>
        <v>Бряг на слоновата кост</v>
      </c>
      <c r="F1035" s="6" t="s">
        <v>132</v>
      </c>
      <c r="G1035" s="7" t="str">
        <f>IFERROR(__xludf.DUMMYFUNCTION("GOOGLETRANSLATE(C1035, ""en"", ""cs"")"),"Pobřeží slonoviny")</f>
        <v>Pobřeží slonoviny</v>
      </c>
      <c r="H1035" s="7" t="str">
        <f>IFERROR(__xludf.DUMMYFUNCTION("GOOGLETRANSLATE(C1035, ""en"", ""da"")"),"Elfenbenskysten")</f>
        <v>Elfenbenskysten</v>
      </c>
      <c r="I1035" s="1" t="s">
        <v>21709</v>
      </c>
      <c r="J1035" s="6" t="s">
        <v>132</v>
      </c>
      <c r="K1035" s="1" t="s">
        <v>21710</v>
      </c>
      <c r="L1035" s="7" t="str">
        <f>IFERROR(__xludf.DUMMYFUNCTION("GOOGLETRANSLATE(C1035, ""en"", ""fi"")"),"Norsunluurannikko")</f>
        <v>Norsunluurannikko</v>
      </c>
      <c r="M1035" s="1" t="s">
        <v>21711</v>
      </c>
      <c r="N1035" s="6" t="s">
        <v>132</v>
      </c>
      <c r="O1035" s="6" t="s">
        <v>132</v>
      </c>
      <c r="P1035" s="1" t="s">
        <v>21708</v>
      </c>
      <c r="Q1035" s="7" t="str">
        <f>IFERROR(__xludf.DUMMYFUNCTION("GOOGLETRANSLATE(C1035, ""en"", ""in"")"),"pantai Gading")</f>
        <v>pantai Gading</v>
      </c>
      <c r="R1035" s="13" t="s">
        <v>21712</v>
      </c>
      <c r="S1035" s="6" t="s">
        <v>132</v>
      </c>
      <c r="T1035" s="7" t="str">
        <f>IFERROR(__xludf.DUMMYFUNCTION("GOOGLETRANSLATE(C1035, ""en"", ""ja"")"),"コートジボワール")</f>
        <v>コートジボワール</v>
      </c>
      <c r="U1035" s="7" t="str">
        <f>IFERROR(__xludf.DUMMYFUNCTION("GOOGLETRANSLATE(C1035, ""en"", ""ko"")"),"아이보리 해안")</f>
        <v>아이보리 해안</v>
      </c>
      <c r="V1035" s="7" t="str">
        <f>IFERROR(__xludf.DUMMYFUNCTION("GOOGLETRANSLATE(C1035, ""en"", ""ms"")"),"Ivory Coast.")</f>
        <v>Ivory Coast.</v>
      </c>
      <c r="W1035" s="7" t="str">
        <f>IFERROR(__xludf.DUMMYFUNCTION("GOOGLETRANSLATE(C1035, ""en"", ""nl"")"),"Ivoorkust")</f>
        <v>Ivoorkust</v>
      </c>
      <c r="X1035" s="7" t="str">
        <f>IFERROR(__xludf.DUMMYFUNCTION("GOOGLETRANSLATE(C1035, ""en"", ""no"")"),"Elfenbenskysten")</f>
        <v>Elfenbenskysten</v>
      </c>
      <c r="Y1035" s="7" t="str">
        <f>IFERROR(__xludf.DUMMYFUNCTION("GOOGLETRANSLATE(C1035, ""en"", ""pl"")"),"Wybrzeże Kości Słoniowej")</f>
        <v>Wybrzeże Kości Słoniowej</v>
      </c>
      <c r="Z1035" s="7" t="str">
        <f>IFERROR(__xludf.DUMMYFUNCTION("GOOGLETRANSLATE(C1035, ""en"", ""pt"")"),"Costa do Marfim")</f>
        <v>Costa do Marfim</v>
      </c>
      <c r="AA1035" s="7" t="str">
        <f>IFERROR(__xludf.DUMMYFUNCTION("GOOGLETRANSLATE(C1035, ""en"", ""ro"")"),"coasta de Fildes")</f>
        <v>coasta de Fildes</v>
      </c>
      <c r="AB1035" s="1" t="s">
        <v>21713</v>
      </c>
      <c r="AC1035" s="7" t="str">
        <f>IFERROR(__xludf.DUMMYFUNCTION("GOOGLETRANSLATE(C1035, ""en"", ""sk"")"),"Pobrežie Slonoviny")</f>
        <v>Pobrežie Slonoviny</v>
      </c>
      <c r="AD1035" s="6" t="s">
        <v>132</v>
      </c>
      <c r="AE1035" s="1" t="s">
        <v>21714</v>
      </c>
      <c r="AF1035" s="7" t="str">
        <f>IFERROR(__xludf.DUMMYFUNCTION("GOOGLETRANSLATE(C1035, ""en"", ""sv"")"),"Elfenbenskusten")</f>
        <v>Elfenbenskusten</v>
      </c>
      <c r="AG1035" s="6" t="s">
        <v>132</v>
      </c>
      <c r="AH1035" s="7" t="str">
        <f>IFERROR(__xludf.DUMMYFUNCTION("GOOGLETRANSLATE(C1035, ""en"", ""tr"")"),"Fildişi Sahili")</f>
        <v>Fildişi Sahili</v>
      </c>
      <c r="AI1035" s="6" t="s">
        <v>132</v>
      </c>
      <c r="AJ1035" s="6" t="s">
        <v>132</v>
      </c>
      <c r="AK1035" s="7" t="str">
        <f>IFERROR(__xludf.DUMMYFUNCTION("GOOGLETRANSLATE(C1035, ""en"", ""zh"")"),"象牙海岸")</f>
        <v>象牙海岸</v>
      </c>
      <c r="AL1035" s="6" t="s">
        <v>132</v>
      </c>
    </row>
    <row r="1036" ht="15.75" hidden="1" customHeight="1">
      <c r="A1036" s="1" t="s">
        <v>38</v>
      </c>
      <c r="B1036" s="1" t="s">
        <v>21715</v>
      </c>
      <c r="C1036" s="1" t="s">
        <v>21716</v>
      </c>
      <c r="D1036" s="7" t="str">
        <f>IFERROR(__xludf.DUMMYFUNCTION("GOOGLETRANSLATE(C1036, ""en"", ""ar"")"),"المملكة المتحدة")</f>
        <v>المملكة المتحدة</v>
      </c>
      <c r="E1036" s="7" t="str">
        <f>IFERROR(__xludf.DUMMYFUNCTION("GOOGLETRANSLATE(C1036, ""en"", ""bg"")"),"Великобритания")</f>
        <v>Великобритания</v>
      </c>
      <c r="F1036" s="6" t="s">
        <v>132</v>
      </c>
      <c r="G1036" s="7" t="str">
        <f>IFERROR(__xludf.DUMMYFUNCTION("GOOGLETRANSLATE(C1036, ""en"", ""cs"")"),"Spojené království")</f>
        <v>Spojené království</v>
      </c>
      <c r="H1036" s="7" t="str">
        <f>IFERROR(__xludf.DUMMYFUNCTION("GOOGLETRANSLATE(C1036, ""en"", ""da"")"),"Det Forenede Kongerige")</f>
        <v>Det Forenede Kongerige</v>
      </c>
      <c r="I1036" s="1" t="s">
        <v>21717</v>
      </c>
      <c r="J1036" s="6" t="s">
        <v>132</v>
      </c>
      <c r="K1036" s="1" t="s">
        <v>21718</v>
      </c>
      <c r="L1036" s="7" t="str">
        <f>IFERROR(__xludf.DUMMYFUNCTION("GOOGLETRANSLATE(C1036, ""en"", ""fi"")"),"Yhdistynyt kuningaskunta")</f>
        <v>Yhdistynyt kuningaskunta</v>
      </c>
      <c r="M1036" s="1" t="s">
        <v>21719</v>
      </c>
      <c r="N1036" s="6" t="s">
        <v>132</v>
      </c>
      <c r="O1036" s="6" t="s">
        <v>132</v>
      </c>
      <c r="P1036" s="1" t="s">
        <v>21716</v>
      </c>
      <c r="Q1036" s="7" t="str">
        <f>IFERROR(__xludf.DUMMYFUNCTION("GOOGLETRANSLATE(C1036, ""en"", ""in"")"),"Britania Raya")</f>
        <v>Britania Raya</v>
      </c>
      <c r="R1036" s="7" t="str">
        <f>IFERROR(__xludf.DUMMYFUNCTION("GOOGLETRANSLATE(C1036, ""en"", ""it"")"),"Regno Unito")</f>
        <v>Regno Unito</v>
      </c>
      <c r="S1036" s="6" t="s">
        <v>132</v>
      </c>
      <c r="T1036" s="7" t="str">
        <f>IFERROR(__xludf.DUMMYFUNCTION("GOOGLETRANSLATE(C1036, ""en"", ""ja"")"),"イギリス")</f>
        <v>イギリス</v>
      </c>
      <c r="U1036" s="7" t="str">
        <f>IFERROR(__xludf.DUMMYFUNCTION("GOOGLETRANSLATE(C1036, ""en"", ""ko"")"),"영국")</f>
        <v>영국</v>
      </c>
      <c r="V1036" s="7" t="str">
        <f>IFERROR(__xludf.DUMMYFUNCTION("GOOGLETRANSLATE(C1036, ""en"", ""ms"")"),"United Kingdom.")</f>
        <v>United Kingdom.</v>
      </c>
      <c r="W1036" s="7" t="str">
        <f>IFERROR(__xludf.DUMMYFUNCTION("GOOGLETRANSLATE(C1036, ""en"", ""nl"")"),"Verenigd Koningkrijk")</f>
        <v>Verenigd Koningkrijk</v>
      </c>
      <c r="X1036" s="7" t="str">
        <f>IFERROR(__xludf.DUMMYFUNCTION("GOOGLETRANSLATE(C1036, ""en"", ""no"")"),"Storbritannia")</f>
        <v>Storbritannia</v>
      </c>
      <c r="Y1036" s="7" t="str">
        <f>IFERROR(__xludf.DUMMYFUNCTION("GOOGLETRANSLATE(C1036, ""en"", ""pl"")"),"Zjednoczone Królestwo")</f>
        <v>Zjednoczone Królestwo</v>
      </c>
      <c r="Z1036" s="7" t="str">
        <f>IFERROR(__xludf.DUMMYFUNCTION("GOOGLETRANSLATE(C1036, ""en"", ""pt"")"),"Reino Unido")</f>
        <v>Reino Unido</v>
      </c>
      <c r="AA1036" s="7" t="str">
        <f>IFERROR(__xludf.DUMMYFUNCTION("GOOGLETRANSLATE(C1036, ""en"", ""ro"")"),"Regatul Unit")</f>
        <v>Regatul Unit</v>
      </c>
      <c r="AB1036" s="1" t="s">
        <v>21720</v>
      </c>
      <c r="AC1036" s="7" t="str">
        <f>IFERROR(__xludf.DUMMYFUNCTION("GOOGLETRANSLATE(C1036, ""en"", ""sk"")"),"Spojene kralovstvo")</f>
        <v>Spojene kralovstvo</v>
      </c>
      <c r="AD1036" s="6" t="s">
        <v>132</v>
      </c>
      <c r="AE1036" s="1" t="s">
        <v>21721</v>
      </c>
      <c r="AF1036" s="7" t="str">
        <f>IFERROR(__xludf.DUMMYFUNCTION("GOOGLETRANSLATE(C1036, ""en"", ""sv"")"),"Storbritannien")</f>
        <v>Storbritannien</v>
      </c>
      <c r="AG1036" s="6" t="s">
        <v>132</v>
      </c>
      <c r="AH1036" s="7" t="str">
        <f>IFERROR(__xludf.DUMMYFUNCTION("GOOGLETRANSLATE(C1036, ""en"", ""tr"")"),"Birleşik Krallık")</f>
        <v>Birleşik Krallık</v>
      </c>
      <c r="AI1036" s="6" t="s">
        <v>132</v>
      </c>
      <c r="AJ1036" s="6" t="s">
        <v>132</v>
      </c>
      <c r="AK1036" s="7" t="str">
        <f>IFERROR(__xludf.DUMMYFUNCTION("GOOGLETRANSLATE(C1036, ""en"", ""zh"")"),"英国")</f>
        <v>英国</v>
      </c>
      <c r="AL1036" s="6" t="s">
        <v>132</v>
      </c>
    </row>
    <row r="1037" ht="15.75" customHeight="1">
      <c r="A1037" s="1" t="s">
        <v>4051</v>
      </c>
      <c r="B1037" s="1" t="s">
        <v>21722</v>
      </c>
      <c r="C1037" s="1" t="s">
        <v>21723</v>
      </c>
      <c r="D1037" s="7" t="str">
        <f>IFERROR(__xludf.DUMMYFUNCTION("GOOGLETRANSLATE(C1037, ""en"", ""ar"")"),"هذه خدمة مجانية مقدمة من التطبيق Stockmarkets: apps.baha.com")</f>
        <v>هذه خدمة مجانية مقدمة من التطبيق Stockmarkets: apps.baha.com</v>
      </c>
      <c r="E1037" s="1" t="s">
        <v>21724</v>
      </c>
      <c r="F1037" s="6" t="s">
        <v>132</v>
      </c>
      <c r="G1037" s="1" t="s">
        <v>21725</v>
      </c>
      <c r="H1037" s="1" t="s">
        <v>21726</v>
      </c>
      <c r="I1037" s="7" t="str">
        <f>IFERROR(__xludf.DUMMYFUNCTION("GOOGLETRANSLATE(C1037, ""en"", ""de"")"),"Dies ist ein kostenloser Service, der von der App-Aktienmärkte bereitgestellt wird: Apps.baha.com")</f>
        <v>Dies ist ein kostenloser Service, der von der App-Aktienmärkte bereitgestellt wird: Apps.baha.com</v>
      </c>
      <c r="J1037" s="6" t="s">
        <v>21727</v>
      </c>
      <c r="K1037" s="1" t="s">
        <v>21728</v>
      </c>
      <c r="L1037" s="1" t="s">
        <v>21729</v>
      </c>
      <c r="M1037" s="13" t="s">
        <v>21730</v>
      </c>
      <c r="N1037" s="6" t="s">
        <v>21731</v>
      </c>
      <c r="O1037" s="6" t="s">
        <v>132</v>
      </c>
      <c r="P1037" s="1" t="s">
        <v>21732</v>
      </c>
      <c r="Q1037" s="1" t="s">
        <v>21733</v>
      </c>
      <c r="R1037" s="8" t="s">
        <v>21734</v>
      </c>
      <c r="S1037" s="6" t="s">
        <v>132</v>
      </c>
      <c r="T1037" s="1" t="s">
        <v>21735</v>
      </c>
      <c r="U1037" s="7" t="str">
        <f>IFERROR(__xludf.DUMMYFUNCTION("GOOGLETRANSLATE(C1037, ""en"", ""ko"")"),"이것은 Apps.baha.com에서 제공하는 무료 서비스입니다.")</f>
        <v>이것은 Apps.baha.com에서 제공하는 무료 서비스입니다.</v>
      </c>
      <c r="V1037" s="1" t="s">
        <v>21736</v>
      </c>
      <c r="W1037" s="1" t="s">
        <v>21737</v>
      </c>
      <c r="X1037" s="1" t="s">
        <v>21738</v>
      </c>
      <c r="Y1037" s="11" t="s">
        <v>21739</v>
      </c>
      <c r="Z1037" s="1" t="s">
        <v>21740</v>
      </c>
      <c r="AA1037" s="7" t="str">
        <f>IFERROR(__xludf.DUMMYFUNCTION("GOOGLETRANSLATE(C1037, ""en"", ""ro"")"),"Acesta este un serviciu gratuit oferit de App Stockkets: Apps.baha.com")</f>
        <v>Acesta este un serviciu gratuit oferit de App Stockkets: Apps.baha.com</v>
      </c>
      <c r="AB1037" s="1" t="s">
        <v>21741</v>
      </c>
      <c r="AC1037" s="1" t="s">
        <v>21742</v>
      </c>
      <c r="AD1037" s="6" t="s">
        <v>21743</v>
      </c>
      <c r="AE1037" s="7" t="str">
        <f>IFERROR(__xludf.DUMMYFUNCTION("GOOGLETRANSLATE(C1037, ""en"", ""sr"")"),"Ово је бесплатна услуга коју пружа Апп СтоцкМаркети: Аппс.баха.цом")</f>
        <v>Ово је бесплатна услуга коју пружа Апп СтоцкМаркети: Аппс.баха.цом</v>
      </c>
      <c r="AF1037" s="11" t="s">
        <v>21744</v>
      </c>
      <c r="AG1037" s="6" t="s">
        <v>132</v>
      </c>
      <c r="AH1037" s="1" t="s">
        <v>21745</v>
      </c>
      <c r="AI1037" s="6" t="s">
        <v>21746</v>
      </c>
      <c r="AJ1037" s="6" t="s">
        <v>132</v>
      </c>
      <c r="AK1037" s="14" t="s">
        <v>21747</v>
      </c>
      <c r="AL1037" s="6" t="s">
        <v>21748</v>
      </c>
    </row>
    <row r="1038" ht="15.75" customHeight="1">
      <c r="A1038" s="1" t="s">
        <v>127</v>
      </c>
      <c r="B1038" s="1" t="s">
        <v>21749</v>
      </c>
      <c r="C1038" s="1" t="s">
        <v>21750</v>
      </c>
      <c r="D1038" s="7" t="str">
        <f>IFERROR(__xludf.DUMMYFUNCTION("GOOGLETRANSLATE(C1038, ""en"", ""ar"")"),"حدد مصدر الأخبار")</f>
        <v>حدد مصدر الأخبار</v>
      </c>
      <c r="E1038" s="7" t="str">
        <f>IFERROR(__xludf.DUMMYFUNCTION("GOOGLETRANSLATE(C1038, ""en"", ""bg"")"),"Изберете източник на новини")</f>
        <v>Изберете източник на новини</v>
      </c>
      <c r="F1038" s="6" t="s">
        <v>132</v>
      </c>
      <c r="G1038" s="7" t="str">
        <f>IFERROR(__xludf.DUMMYFUNCTION("GOOGLETRANSLATE(C1038, ""en"", ""cs"")"),"Vyberte zdroj zprávy")</f>
        <v>Vyberte zdroj zprávy</v>
      </c>
      <c r="H1038" s="1" t="s">
        <v>21751</v>
      </c>
      <c r="I1038" s="1" t="s">
        <v>21752</v>
      </c>
      <c r="J1038" s="6" t="s">
        <v>132</v>
      </c>
      <c r="K1038" s="1" t="s">
        <v>21753</v>
      </c>
      <c r="L1038" s="1" t="s">
        <v>21754</v>
      </c>
      <c r="M1038" s="13" t="s">
        <v>21755</v>
      </c>
      <c r="N1038" s="6" t="s">
        <v>132</v>
      </c>
      <c r="O1038" s="6" t="s">
        <v>132</v>
      </c>
      <c r="P1038" s="1" t="s">
        <v>21756</v>
      </c>
      <c r="Q1038" s="1" t="s">
        <v>21757</v>
      </c>
      <c r="R1038" s="1" t="s">
        <v>21758</v>
      </c>
      <c r="S1038" s="6" t="s">
        <v>132</v>
      </c>
      <c r="T1038" s="1" t="s">
        <v>21759</v>
      </c>
      <c r="U1038" s="7" t="str">
        <f>IFERROR(__xludf.DUMMYFUNCTION("GOOGLETRANSLATE(C1038, ""en"", ""ko"")"),"뉴스 소스를 선택하십시오")</f>
        <v>뉴스 소스를 선택하십시오</v>
      </c>
      <c r="V1038" s="1" t="s">
        <v>21757</v>
      </c>
      <c r="W1038" s="1" t="s">
        <v>21760</v>
      </c>
      <c r="X1038" s="1" t="s">
        <v>21761</v>
      </c>
      <c r="Y1038" s="1" t="s">
        <v>21762</v>
      </c>
      <c r="Z1038" s="1" t="s">
        <v>21763</v>
      </c>
      <c r="AA1038" s="7" t="str">
        <f>IFERROR(__xludf.DUMMYFUNCTION("GOOGLETRANSLATE(C1038, ""en"", ""ro"")"),"Selectați sursa de știri")</f>
        <v>Selectați sursa de știri</v>
      </c>
      <c r="AB1038" s="1" t="s">
        <v>21764</v>
      </c>
      <c r="AC1038" s="7" t="str">
        <f>IFERROR(__xludf.DUMMYFUNCTION("GOOGLETRANSLATE(C1038, ""en"", ""sk"")"),"Vyberte zdroj správ")</f>
        <v>Vyberte zdroj správ</v>
      </c>
      <c r="AD1038" s="6" t="s">
        <v>132</v>
      </c>
      <c r="AE1038" s="1" t="s">
        <v>21765</v>
      </c>
      <c r="AF1038" s="1" t="s">
        <v>21766</v>
      </c>
      <c r="AG1038" s="6" t="s">
        <v>132</v>
      </c>
      <c r="AH1038" s="1" t="s">
        <v>21767</v>
      </c>
      <c r="AI1038" s="6" t="s">
        <v>132</v>
      </c>
      <c r="AJ1038" s="6" t="s">
        <v>132</v>
      </c>
      <c r="AK1038" s="1" t="s">
        <v>21768</v>
      </c>
      <c r="AL1038" s="6" t="s">
        <v>132</v>
      </c>
    </row>
    <row r="1039" ht="15.75" customHeight="1">
      <c r="A1039" s="1" t="s">
        <v>127</v>
      </c>
      <c r="B1039" s="1" t="s">
        <v>21769</v>
      </c>
      <c r="C1039" s="1" t="s">
        <v>21770</v>
      </c>
      <c r="D1039" s="8" t="s">
        <v>21771</v>
      </c>
      <c r="E1039" s="1" t="s">
        <v>21772</v>
      </c>
      <c r="F1039" s="6" t="s">
        <v>132</v>
      </c>
      <c r="G1039" s="1" t="s">
        <v>21773</v>
      </c>
      <c r="H1039" s="1" t="s">
        <v>21774</v>
      </c>
      <c r="I1039" s="1" t="s">
        <v>21775</v>
      </c>
      <c r="J1039" s="6" t="s">
        <v>21776</v>
      </c>
      <c r="K1039" s="1" t="s">
        <v>21777</v>
      </c>
      <c r="L1039" s="1" t="s">
        <v>21778</v>
      </c>
      <c r="M1039" s="1" t="s">
        <v>21779</v>
      </c>
      <c r="N1039" s="6" t="s">
        <v>132</v>
      </c>
      <c r="O1039" s="6" t="s">
        <v>21780</v>
      </c>
      <c r="P1039" s="1" t="s">
        <v>21781</v>
      </c>
      <c r="Q1039" s="1" t="s">
        <v>21782</v>
      </c>
      <c r="R1039" s="1" t="s">
        <v>21783</v>
      </c>
      <c r="S1039" s="10" t="s">
        <v>21784</v>
      </c>
      <c r="T1039" s="1" t="s">
        <v>21785</v>
      </c>
      <c r="U1039" s="1" t="s">
        <v>21786</v>
      </c>
      <c r="V1039" s="1" t="s">
        <v>21787</v>
      </c>
      <c r="W1039" s="1" t="s">
        <v>21788</v>
      </c>
      <c r="X1039" s="1" t="s">
        <v>21789</v>
      </c>
      <c r="Y1039" s="1" t="s">
        <v>21790</v>
      </c>
      <c r="Z1039" s="1" t="s">
        <v>21791</v>
      </c>
      <c r="AA1039" s="1" t="s">
        <v>21792</v>
      </c>
      <c r="AB1039" s="1" t="s">
        <v>21793</v>
      </c>
      <c r="AC1039" s="1" t="s">
        <v>21794</v>
      </c>
      <c r="AD1039" s="6" t="s">
        <v>21795</v>
      </c>
      <c r="AE1039" s="1" t="s">
        <v>21796</v>
      </c>
      <c r="AF1039" s="1" t="s">
        <v>21797</v>
      </c>
      <c r="AG1039" s="6" t="s">
        <v>21798</v>
      </c>
      <c r="AH1039" s="1" t="s">
        <v>21799</v>
      </c>
      <c r="AI1039" s="6" t="s">
        <v>132</v>
      </c>
      <c r="AJ1039" s="6" t="s">
        <v>21800</v>
      </c>
      <c r="AK1039" s="1" t="s">
        <v>21801</v>
      </c>
      <c r="AL1039" s="6" t="s">
        <v>132</v>
      </c>
    </row>
    <row r="1040" ht="15.75" hidden="1" customHeight="1">
      <c r="A1040" s="1" t="s">
        <v>11050</v>
      </c>
      <c r="B1040" s="1" t="s">
        <v>21802</v>
      </c>
      <c r="C1040" s="19" t="s">
        <v>21803</v>
      </c>
      <c r="D1040" s="8" t="s">
        <v>21804</v>
      </c>
      <c r="E1040" s="13" t="s">
        <v>21803</v>
      </c>
      <c r="F1040" s="6" t="s">
        <v>132</v>
      </c>
      <c r="G1040" s="13" t="s">
        <v>21805</v>
      </c>
      <c r="H1040" s="13" t="s">
        <v>21806</v>
      </c>
      <c r="I1040" s="13" t="s">
        <v>21807</v>
      </c>
      <c r="J1040" s="6" t="s">
        <v>132</v>
      </c>
      <c r="K1040" s="13" t="s">
        <v>21808</v>
      </c>
      <c r="L1040" s="13" t="s">
        <v>21809</v>
      </c>
      <c r="M1040" s="13" t="s">
        <v>21810</v>
      </c>
      <c r="N1040" s="6" t="s">
        <v>132</v>
      </c>
      <c r="O1040" s="6" t="s">
        <v>132</v>
      </c>
      <c r="P1040" s="13" t="s">
        <v>21811</v>
      </c>
      <c r="Q1040" s="13" t="s">
        <v>21812</v>
      </c>
      <c r="R1040" s="13" t="s">
        <v>21813</v>
      </c>
      <c r="S1040" s="6" t="s">
        <v>132</v>
      </c>
      <c r="T1040" s="7" t="str">
        <f>IFERROR(__xludf.DUMMYFUNCTION("GOOGLETRANSLATE(C1040, ""en"", ""ja"")"),"無料のリアルタイムポートフォリオトラッカー+アラート、株式、クリプト、トレード＆アンプ。商品データ")</f>
        <v>無料のリアルタイムポートフォリオトラッカー+アラート、株式、クリプト、トレード＆アンプ。商品データ</v>
      </c>
      <c r="U1040" s="1" t="s">
        <v>21814</v>
      </c>
      <c r="V1040" s="13" t="s">
        <v>21815</v>
      </c>
      <c r="W1040" s="13" t="s">
        <v>21816</v>
      </c>
      <c r="X1040" s="13" t="s">
        <v>21817</v>
      </c>
      <c r="Y1040" s="13" t="s">
        <v>21818</v>
      </c>
      <c r="Z1040" s="13" t="s">
        <v>21819</v>
      </c>
      <c r="AA1040" s="7" t="str">
        <f>IFERROR(__xludf.DUMMYFUNCTION("GOOGLETRANSLATE(C1040, ""en"", ""ro"")"),"portofoliul gratuit în timp real tracker + alerte, stoc, cripto, comerț &amp; amp; Datele de mărfuri")</f>
        <v>portofoliul gratuit în timp real tracker + alerte, stoc, cripto, comerț &amp; amp; Datele de mărfuri</v>
      </c>
      <c r="AB1040" s="7" t="str">
        <f>IFERROR(__xludf.DUMMYFUNCTION("GOOGLETRANSLATE(C1040, ""en"", ""ru"")"),"бесплатный портфель в реальном времени трекер + оповещения, запас, Crypto, Trade &amp; AMP; Товарные данные")</f>
        <v>бесплатный портфель в реальном времени трекер + оповещения, запас, Crypto, Trade &amp; AMP; Товарные данные</v>
      </c>
      <c r="AC1040" s="7" t="str">
        <f>IFERROR(__xludf.DUMMYFUNCTION("GOOGLETRANSLATE(C1040, ""en"", ""sk"")"),"Voľný Realtime Portfolio Tracker + upozornenia, zásoby, Crypto, Trade &amp; Amp; Údaje o komoditných údajoch")</f>
        <v>Voľný Realtime Portfolio Tracker + upozornenia, zásoby, Crypto, Trade &amp; Amp; Údaje o komoditných údajoch</v>
      </c>
      <c r="AD1040" s="6" t="s">
        <v>132</v>
      </c>
      <c r="AE1040" s="7" t="str">
        <f>IFERROR(__xludf.DUMMYFUNCTION("GOOGLETRANSLATE(C1040, ""en"", ""sr"")"),"Бесплатни портфолио реалмере Трацкер + Алертс, Стоцк, Црипто, Траде &amp; Амп; Подаци о роби")</f>
        <v>Бесплатни портфолио реалмере Трацкер + Алертс, Стоцк, Црипто, Траде &amp; Амп; Подаци о роби</v>
      </c>
      <c r="AF1040" s="7" t="str">
        <f>IFERROR(__xludf.DUMMYFUNCTION("GOOGLETRANSLATE(C1040, ""en"", ""sv"")"),"Gratis Realtime Portfolio Tracker + Alerts, Stock, Crypto, Trade &amp; Amp; råvaruuppgifter")</f>
        <v>Gratis Realtime Portfolio Tracker + Alerts, Stock, Crypto, Trade &amp; Amp; råvaruuppgifter</v>
      </c>
      <c r="AG1040" s="6" t="s">
        <v>132</v>
      </c>
      <c r="AH1040" s="7" t="str">
        <f>IFERROR(__xludf.DUMMYFUNCTION("GOOGLETRANSLATE(C1040, ""en"", ""tr"")"),"Ücretsiz Gerçek Zamanlı Portföy Tracker + Uyarı, Stok, Crypto, Trade &amp; Amp; emtia verileri")</f>
        <v>Ücretsiz Gerçek Zamanlı Portföy Tracker + Uyarı, Stok, Crypto, Trade &amp; Amp; emtia verileri</v>
      </c>
      <c r="AI1040" s="6" t="s">
        <v>132</v>
      </c>
      <c r="AJ1040" s="6" t="s">
        <v>132</v>
      </c>
      <c r="AK1040" s="7" t="str">
        <f>IFERROR(__xludf.DUMMYFUNCTION("GOOGLETRANSLATE(C1040, ""en"", ""zh"")"),"免费实时投资组合跟踪器+警报，库存，加密，贸易＆amp;商品数据")</f>
        <v>免费实时投资组合跟踪器+警报，库存，加密，贸易＆amp;商品数据</v>
      </c>
      <c r="AL1040" s="6" t="s">
        <v>132</v>
      </c>
    </row>
    <row r="1041" ht="15.75" hidden="1" customHeight="1">
      <c r="A1041" s="1" t="s">
        <v>38</v>
      </c>
      <c r="B1041" s="1" t="s">
        <v>21820</v>
      </c>
      <c r="C1041" s="1" t="s">
        <v>21821</v>
      </c>
      <c r="D1041" s="8" t="s">
        <v>21822</v>
      </c>
      <c r="E1041" s="1" t="s">
        <v>21823</v>
      </c>
      <c r="F1041" s="6" t="s">
        <v>21824</v>
      </c>
      <c r="G1041" s="7" t="str">
        <f>IFERROR(__xludf.DUMMYFUNCTION("GOOGLETRANSLATE(C1041, ""en"", ""cs"")"),"Restart")</f>
        <v>Restart</v>
      </c>
      <c r="H1041" s="7" t="str">
        <f>IFERROR(__xludf.DUMMYFUNCTION("GOOGLETRANSLATE(C1041, ""en"", ""da"")"),"Genstart")</f>
        <v>Genstart</v>
      </c>
      <c r="I1041" s="1" t="s">
        <v>21825</v>
      </c>
      <c r="J1041" s="6" t="s">
        <v>132</v>
      </c>
      <c r="K1041" s="1" t="s">
        <v>21826</v>
      </c>
      <c r="L1041" s="7" t="str">
        <f>IFERROR(__xludf.DUMMYFUNCTION("GOOGLETRANSLATE(C1041, ""en"", ""fi"")"),"Uudelleenkäynnistää")</f>
        <v>Uudelleenkäynnistää</v>
      </c>
      <c r="M1041" s="1" t="s">
        <v>21827</v>
      </c>
      <c r="N1041" s="6" t="s">
        <v>21826</v>
      </c>
      <c r="O1041" s="6" t="s">
        <v>132</v>
      </c>
      <c r="P1041" s="1" t="s">
        <v>21828</v>
      </c>
      <c r="Q1041" s="9" t="s">
        <v>21829</v>
      </c>
      <c r="R1041" s="1" t="s">
        <v>21830</v>
      </c>
      <c r="S1041" s="6" t="s">
        <v>132</v>
      </c>
      <c r="T1041" s="1" t="s">
        <v>21831</v>
      </c>
      <c r="U1041" s="1" t="s">
        <v>21832</v>
      </c>
      <c r="V1041" s="7" t="str">
        <f>IFERROR(__xludf.DUMMYFUNCTION("GOOGLETRANSLATE(C1041, ""en"", ""ms"")"),"Mula semula")</f>
        <v>Mula semula</v>
      </c>
      <c r="W1041" s="1" t="s">
        <v>21833</v>
      </c>
      <c r="X1041" s="7" t="str">
        <f>IFERROR(__xludf.DUMMYFUNCTION("GOOGLETRANSLATE(C1041, ""en"", ""no"")"),"Omstart")</f>
        <v>Omstart</v>
      </c>
      <c r="Y1041" s="1" t="s">
        <v>21834</v>
      </c>
      <c r="Z1041" s="1" t="s">
        <v>21826</v>
      </c>
      <c r="AA1041" s="7" t="str">
        <f>IFERROR(__xludf.DUMMYFUNCTION("GOOGLETRANSLATE(C1041, ""en"", ""ro"")"),"Repornire")</f>
        <v>Repornire</v>
      </c>
      <c r="AB1041" s="1" t="s">
        <v>21835</v>
      </c>
      <c r="AC1041" s="1" t="s">
        <v>21836</v>
      </c>
      <c r="AD1041" s="6" t="s">
        <v>132</v>
      </c>
      <c r="AE1041" s="1" t="s">
        <v>21837</v>
      </c>
      <c r="AF1041" s="1" t="s">
        <v>21838</v>
      </c>
      <c r="AG1041" s="6" t="s">
        <v>132</v>
      </c>
      <c r="AH1041" s="7" t="str">
        <f>IFERROR(__xludf.DUMMYFUNCTION("GOOGLETRANSLATE(C1041, ""en"", ""tr"")"),"Tekrar başlat")</f>
        <v>Tekrar başlat</v>
      </c>
      <c r="AI1041" s="6" t="s">
        <v>21839</v>
      </c>
      <c r="AJ1041" s="6" t="s">
        <v>21840</v>
      </c>
      <c r="AK1041" s="7" t="str">
        <f>IFERROR(__xludf.DUMMYFUNCTION("GOOGLETRANSLATE(C1041, ""en"", ""zh"")"),"重新开始")</f>
        <v>重新开始</v>
      </c>
      <c r="AL1041" s="6" t="s">
        <v>21841</v>
      </c>
    </row>
    <row r="1042" ht="15.75" hidden="1" customHeight="1">
      <c r="A1042" s="1" t="s">
        <v>38</v>
      </c>
      <c r="B1042" s="1" t="s">
        <v>21842</v>
      </c>
      <c r="C1042" s="1" t="s">
        <v>21843</v>
      </c>
      <c r="D1042" s="7" t="str">
        <f>IFERROR(__xludf.DUMMYFUNCTION("GOOGLETRANSLATE(C1042, ""en"", ""ar"")"),"محفوظ الصورة.")</f>
        <v>محفوظ الصورة.</v>
      </c>
      <c r="E1042" s="7" t="str">
        <f>IFERROR(__xludf.DUMMYFUNCTION("GOOGLETRANSLATE(C1042, ""en"", ""bg"")"),"Запазено изображение.")</f>
        <v>Запазено изображение.</v>
      </c>
      <c r="F1042" s="6" t="s">
        <v>132</v>
      </c>
      <c r="G1042" s="7" t="str">
        <f>IFERROR(__xludf.DUMMYFUNCTION("GOOGLETRANSLATE(C1042, ""en"", ""cs"")"),"Uložený snímek.")</f>
        <v>Uložený snímek.</v>
      </c>
      <c r="H1042" s="7" t="str">
        <f>IFERROR(__xludf.DUMMYFUNCTION("GOOGLETRANSLATE(C1042, ""en"", ""da"")"),"Billede gemt.")</f>
        <v>Billede gemt.</v>
      </c>
      <c r="I1042" s="1" t="s">
        <v>21844</v>
      </c>
      <c r="J1042" s="6" t="s">
        <v>132</v>
      </c>
      <c r="K1042" s="1" t="s">
        <v>21845</v>
      </c>
      <c r="L1042" s="7" t="str">
        <f>IFERROR(__xludf.DUMMYFUNCTION("GOOGLETRANSLATE(C1042, ""en"", ""fi"")"),"Kuva tallennettu.")</f>
        <v>Kuva tallennettu.</v>
      </c>
      <c r="M1042" s="1" t="s">
        <v>21846</v>
      </c>
      <c r="N1042" s="6" t="s">
        <v>132</v>
      </c>
      <c r="O1042" s="6" t="s">
        <v>132</v>
      </c>
      <c r="P1042" s="1" t="s">
        <v>21847</v>
      </c>
      <c r="Q1042" s="7" t="str">
        <f>IFERROR(__xludf.DUMMYFUNCTION("GOOGLETRANSLATE(C1042, ""en"", ""in"")"),"Gambar disimpan.")</f>
        <v>Gambar disimpan.</v>
      </c>
      <c r="R1042" s="7" t="str">
        <f>IFERROR(__xludf.DUMMYFUNCTION("GOOGLETRANSLATE(C1042, ""en"", ""it"")"),"Immagine salvata.")</f>
        <v>Immagine salvata.</v>
      </c>
      <c r="S1042" s="6" t="s">
        <v>132</v>
      </c>
      <c r="T1042" s="7" t="str">
        <f>IFERROR(__xludf.DUMMYFUNCTION("GOOGLETRANSLATE(C1042, ""en"", ""ja"")"),"画像を保存しました。")</f>
        <v>画像を保存しました。</v>
      </c>
      <c r="U1042" s="7" t="str">
        <f>IFERROR(__xludf.DUMMYFUNCTION("GOOGLETRANSLATE(C1042, ""en"", ""ko"")"),"이미지가 저장되었습니다.")</f>
        <v>이미지가 저장되었습니다.</v>
      </c>
      <c r="V1042" s="7" t="str">
        <f>IFERROR(__xludf.DUMMYFUNCTION("GOOGLETRANSLATE(C1042, ""en"", ""ms"")"),"Imej disimpan.")</f>
        <v>Imej disimpan.</v>
      </c>
      <c r="W1042" s="7" t="str">
        <f>IFERROR(__xludf.DUMMYFUNCTION("GOOGLETRANSLATE(C1042, ""en"", ""nl"")"),"Beeld opgeslagen afbeelding.")</f>
        <v>Beeld opgeslagen afbeelding.</v>
      </c>
      <c r="X1042" s="7" t="str">
        <f>IFERROR(__xludf.DUMMYFUNCTION("GOOGLETRANSLATE(C1042, ""en"", ""no"")"),"Bilde lagret.")</f>
        <v>Bilde lagret.</v>
      </c>
      <c r="Y1042" s="7" t="str">
        <f>IFERROR(__xludf.DUMMYFUNCTION("GOOGLETRANSLATE(C1042, ""en"", ""pl"")"),"Zapisany obraz.")</f>
        <v>Zapisany obraz.</v>
      </c>
      <c r="Z1042" s="7" t="str">
        <f>IFERROR(__xludf.DUMMYFUNCTION("GOOGLETRANSLATE(C1042, ""en"", ""pt"")"),"Imagem salva.")</f>
        <v>Imagem salva.</v>
      </c>
      <c r="AA1042" s="7" t="str">
        <f>IFERROR(__xludf.DUMMYFUNCTION("GOOGLETRANSLATE(C1042, ""en"", ""ro"")"),"Imaginea salvată.")</f>
        <v>Imaginea salvată.</v>
      </c>
      <c r="AB1042" s="1" t="s">
        <v>21848</v>
      </c>
      <c r="AC1042" s="7" t="str">
        <f>IFERROR(__xludf.DUMMYFUNCTION("GOOGLETRANSLATE(C1042, ""en"", ""sk"")"),"Uložený obrázok.")</f>
        <v>Uložený obrázok.</v>
      </c>
      <c r="AD1042" s="6" t="s">
        <v>132</v>
      </c>
      <c r="AE1042" s="1" t="s">
        <v>21849</v>
      </c>
      <c r="AF1042" s="7" t="str">
        <f>IFERROR(__xludf.DUMMYFUNCTION("GOOGLETRANSLATE(C1042, ""en"", ""sv"")"),"Bild sparad.")</f>
        <v>Bild sparad.</v>
      </c>
      <c r="AG1042" s="6" t="s">
        <v>132</v>
      </c>
      <c r="AH1042" s="7" t="str">
        <f>IFERROR(__xludf.DUMMYFUNCTION("GOOGLETRANSLATE(C1042, ""en"", ""tr"")"),"Görüntü kaydedildi.")</f>
        <v>Görüntü kaydedildi.</v>
      </c>
      <c r="AI1042" s="6" t="s">
        <v>132</v>
      </c>
      <c r="AJ1042" s="6" t="s">
        <v>132</v>
      </c>
      <c r="AK1042" s="7" t="str">
        <f>IFERROR(__xludf.DUMMYFUNCTION("GOOGLETRANSLATE(C1042, ""en"", ""zh"")"),"保存图像。")</f>
        <v>保存图像。</v>
      </c>
      <c r="AL1042" s="6" t="s">
        <v>132</v>
      </c>
    </row>
    <row r="1043" ht="15.75" hidden="1" customHeight="1">
      <c r="A1043" s="1" t="s">
        <v>38</v>
      </c>
      <c r="B1043" s="1" t="s">
        <v>21850</v>
      </c>
      <c r="C1043" s="1" t="s">
        <v>21851</v>
      </c>
      <c r="D1043" s="7" t="str">
        <f>IFERROR(__xludf.DUMMYFUNCTION("GOOGLETRANSLATE(C1043, ""en"", ""ar"")"),"الأراضي الفلسطينية المحتلة")</f>
        <v>الأراضي الفلسطينية المحتلة</v>
      </c>
      <c r="E1043" s="7" t="str">
        <f>IFERROR(__xludf.DUMMYFUNCTION("GOOGLETRANSLATE(C1043, ""en"", ""bg"")"),"Палестинска територия, заета")</f>
        <v>Палестинска територия, заета</v>
      </c>
      <c r="F1043" s="6" t="s">
        <v>132</v>
      </c>
      <c r="G1043" s="7" t="str">
        <f>IFERROR(__xludf.DUMMYFUNCTION("GOOGLETRANSLATE(C1043, ""en"", ""cs"")"),"Palestinské území, obsazené")</f>
        <v>Palestinské území, obsazené</v>
      </c>
      <c r="H1043" s="7" t="str">
        <f>IFERROR(__xludf.DUMMYFUNCTION("GOOGLETRANSLATE(C1043, ""en"", ""da"")"),"Palæstinensisk territorium, besat")</f>
        <v>Palæstinensisk territorium, besat</v>
      </c>
      <c r="I1043" s="1" t="s">
        <v>21852</v>
      </c>
      <c r="J1043" s="6" t="s">
        <v>132</v>
      </c>
      <c r="K1043" s="1" t="s">
        <v>21853</v>
      </c>
      <c r="L1043" s="7" t="str">
        <f>IFERROR(__xludf.DUMMYFUNCTION("GOOGLETRANSLATE(C1043, ""en"", ""fi"")"),"Palestiinan alue, miehitetty")</f>
        <v>Palestiinan alue, miehitetty</v>
      </c>
      <c r="M1043" s="1" t="s">
        <v>21854</v>
      </c>
      <c r="N1043" s="6" t="s">
        <v>132</v>
      </c>
      <c r="O1043" s="6" t="s">
        <v>132</v>
      </c>
      <c r="P1043" s="1" t="s">
        <v>21851</v>
      </c>
      <c r="Q1043" s="7" t="str">
        <f>IFERROR(__xludf.DUMMYFUNCTION("GOOGLETRANSLATE(C1043, ""en"", ""in"")"),"Wilayah Palestina, ditempati")</f>
        <v>Wilayah Palestina, ditempati</v>
      </c>
      <c r="R1043" s="7" t="str">
        <f>IFERROR(__xludf.DUMMYFUNCTION("GOOGLETRANSLATE(C1043, ""en"", ""it"")"),"Territorio palestinese, occupato")</f>
        <v>Territorio palestinese, occupato</v>
      </c>
      <c r="S1043" s="6" t="s">
        <v>132</v>
      </c>
      <c r="T1043" s="7" t="str">
        <f>IFERROR(__xludf.DUMMYFUNCTION("GOOGLETRANSLATE(C1043, ""en"", ""ja"")"),"パレスチナの領土、占領")</f>
        <v>パレスチナの領土、占領</v>
      </c>
      <c r="U1043" s="7" t="str">
        <f>IFERROR(__xludf.DUMMYFUNCTION("GOOGLETRANSLATE(C1043, ""en"", ""ko"")"),"팔레스타인 영토, 점령")</f>
        <v>팔레스타인 영토, 점령</v>
      </c>
      <c r="V1043" s="7" t="str">
        <f>IFERROR(__xludf.DUMMYFUNCTION("GOOGLETRANSLATE(C1043, ""en"", ""ms"")"),"Wilayah Palestin, diduduki")</f>
        <v>Wilayah Palestin, diduduki</v>
      </c>
      <c r="W1043" s="7" t="str">
        <f>IFERROR(__xludf.DUMMYFUNCTION("GOOGLETRANSLATE(C1043, ""en"", ""nl"")"),"Palestijnse grondgebied, bezet")</f>
        <v>Palestijnse grondgebied, bezet</v>
      </c>
      <c r="X1043" s="7" t="str">
        <f>IFERROR(__xludf.DUMMYFUNCTION("GOOGLETRANSLATE(C1043, ""en"", ""no"")"),"Palestinsk territorium, okkupert")</f>
        <v>Palestinsk territorium, okkupert</v>
      </c>
      <c r="Y1043" s="7" t="str">
        <f>IFERROR(__xludf.DUMMYFUNCTION("GOOGLETRANSLATE(C1043, ""en"", ""pl"")"),"Teretorium Paleństynskie, Okupowane")</f>
        <v>Teretorium Paleństynskie, Okupowane</v>
      </c>
      <c r="Z1043" s="7" t="str">
        <f>IFERROR(__xludf.DUMMYFUNCTION("GOOGLETRANSLATE(C1043, ""en"", ""pt"")"),"Território Palestino, Ocupado")</f>
        <v>Território Palestino, Ocupado</v>
      </c>
      <c r="AA1043" s="7" t="str">
        <f>IFERROR(__xludf.DUMMYFUNCTION("GOOGLETRANSLATE(C1043, ""en"", ""ro"")"),"Teritoriul palestinian, ocupat")</f>
        <v>Teritoriul palestinian, ocupat</v>
      </c>
      <c r="AB1043" s="1" t="s">
        <v>21855</v>
      </c>
      <c r="AC1043" s="7" t="str">
        <f>IFERROR(__xludf.DUMMYFUNCTION("GOOGLETRANSLATE(C1043, ""en"", ""sk"")"),"Palestínske územie, obsadené")</f>
        <v>Palestínske územie, obsadené</v>
      </c>
      <c r="AD1043" s="6" t="s">
        <v>132</v>
      </c>
      <c r="AE1043" s="1" t="s">
        <v>21856</v>
      </c>
      <c r="AF1043" s="7" t="str">
        <f>IFERROR(__xludf.DUMMYFUNCTION("GOOGLETRANSLATE(C1043, ""en"", ""sv"")"),"Palestinska territoriet, ockuperade")</f>
        <v>Palestinska territoriet, ockuperade</v>
      </c>
      <c r="AG1043" s="6" t="s">
        <v>132</v>
      </c>
      <c r="AH1043" s="7" t="str">
        <f>IFERROR(__xludf.DUMMYFUNCTION("GOOGLETRANSLATE(C1043, ""en"", ""tr"")"),"Filistin Arazisi, İşgal altında")</f>
        <v>Filistin Arazisi, İşgal altında</v>
      </c>
      <c r="AI1043" s="6" t="s">
        <v>132</v>
      </c>
      <c r="AJ1043" s="6" t="s">
        <v>132</v>
      </c>
      <c r="AK1043" s="7" t="str">
        <f>IFERROR(__xludf.DUMMYFUNCTION("GOOGLETRANSLATE(C1043, ""en"", ""zh"")"),"巴勒斯坦领土，被占领")</f>
        <v>巴勒斯坦领土，被占领</v>
      </c>
      <c r="AL1043" s="6" t="s">
        <v>132</v>
      </c>
    </row>
    <row r="1044" ht="15.75" hidden="1" customHeight="1">
      <c r="A1044" s="1" t="s">
        <v>38</v>
      </c>
      <c r="B1044" s="1" t="s">
        <v>21857</v>
      </c>
      <c r="C1044" s="1" t="s">
        <v>21858</v>
      </c>
      <c r="D1044" s="7" t="str">
        <f>IFERROR(__xludf.DUMMYFUNCTION("GOOGLETRANSLATE(C1044, ""en"", ""ar"")"),"غينيا بيساو")</f>
        <v>غينيا بيساو</v>
      </c>
      <c r="E1044" s="7" t="str">
        <f>IFERROR(__xludf.DUMMYFUNCTION("GOOGLETRANSLATE(C1044, ""en"", ""bg"")"),"Гвинея-Бисау")</f>
        <v>Гвинея-Бисау</v>
      </c>
      <c r="F1044" s="6" t="s">
        <v>132</v>
      </c>
      <c r="G1044" s="7" t="str">
        <f>IFERROR(__xludf.DUMMYFUNCTION("GOOGLETRANSLATE(C1044, ""en"", ""cs"")"),"Guinea-Bissau.")</f>
        <v>Guinea-Bissau.</v>
      </c>
      <c r="H1044" s="7" t="str">
        <f>IFERROR(__xludf.DUMMYFUNCTION("GOOGLETRANSLATE(C1044, ""en"", ""da"")"),"Guinea-Bissau.")</f>
        <v>Guinea-Bissau.</v>
      </c>
      <c r="I1044" s="1" t="s">
        <v>21858</v>
      </c>
      <c r="J1044" s="6" t="s">
        <v>132</v>
      </c>
      <c r="K1044" s="1" t="s">
        <v>21858</v>
      </c>
      <c r="L1044" s="7" t="str">
        <f>IFERROR(__xludf.DUMMYFUNCTION("GOOGLETRANSLATE(C1044, ""en"", ""fi"")"),"Guinea-Bissau")</f>
        <v>Guinea-Bissau</v>
      </c>
      <c r="M1044" s="1" t="s">
        <v>21859</v>
      </c>
      <c r="N1044" s="6" t="s">
        <v>132</v>
      </c>
      <c r="O1044" s="6" t="s">
        <v>132</v>
      </c>
      <c r="P1044" s="1" t="s">
        <v>21858</v>
      </c>
      <c r="Q1044" s="7" t="str">
        <f>IFERROR(__xludf.DUMMYFUNCTION("GOOGLETRANSLATE(C1044, ""en"", ""in"")"),"Guinea-Bissau")</f>
        <v>Guinea-Bissau</v>
      </c>
      <c r="R1044" s="7" t="str">
        <f>IFERROR(__xludf.DUMMYFUNCTION("GOOGLETRANSLATE(C1044, ""en"", ""it"")"),"Guinea-Bissau.")</f>
        <v>Guinea-Bissau.</v>
      </c>
      <c r="S1044" s="6" t="s">
        <v>132</v>
      </c>
      <c r="T1044" s="7" t="str">
        <f>IFERROR(__xludf.DUMMYFUNCTION("GOOGLETRANSLATE(C1044, ""en"", ""ja"")"),"ギニアビサウ")</f>
        <v>ギニアビサウ</v>
      </c>
      <c r="U1044" s="7" t="str">
        <f>IFERROR(__xludf.DUMMYFUNCTION("GOOGLETRANSLATE(C1044, ""en"", ""ko"")"),"기니 비사우")</f>
        <v>기니 비사우</v>
      </c>
      <c r="V1044" s="7" t="str">
        <f>IFERROR(__xludf.DUMMYFUNCTION("GOOGLETRANSLATE(C1044, ""en"", ""ms"")"),"Guinea-Bissau.")</f>
        <v>Guinea-Bissau.</v>
      </c>
      <c r="W1044" s="7" t="str">
        <f>IFERROR(__xludf.DUMMYFUNCTION("GOOGLETRANSLATE(C1044, ""en"", ""nl"")"),"Guinee-Bissau")</f>
        <v>Guinee-Bissau</v>
      </c>
      <c r="X1044" s="7" t="str">
        <f>IFERROR(__xludf.DUMMYFUNCTION("GOOGLETRANSLATE(C1044, ""en"", ""no"")"),"Guinea-Bissau.")</f>
        <v>Guinea-Bissau.</v>
      </c>
      <c r="Y1044" s="7" t="str">
        <f>IFERROR(__xludf.DUMMYFUNCTION("GOOGLETRANSLATE(C1044, ""en"", ""pl"")"),"Gwinea-Bissau.")</f>
        <v>Gwinea-Bissau.</v>
      </c>
      <c r="Z1044" s="7" t="str">
        <f>IFERROR(__xludf.DUMMYFUNCTION("GOOGLETRANSLATE(C1044, ""en"", ""pt"")"),"Guiné-Bissau.")</f>
        <v>Guiné-Bissau.</v>
      </c>
      <c r="AA1044" s="7" t="str">
        <f>IFERROR(__xludf.DUMMYFUNCTION("GOOGLETRANSLATE(C1044, ""en"", ""ro"")"),"Guineea-Bissau.")</f>
        <v>Guineea-Bissau.</v>
      </c>
      <c r="AB1044" s="1" t="s">
        <v>21860</v>
      </c>
      <c r="AC1044" s="7" t="str">
        <f>IFERROR(__xludf.DUMMYFUNCTION("GOOGLETRANSLATE(C1044, ""en"", ""sk"")"),"Guinea-Bissau")</f>
        <v>Guinea-Bissau</v>
      </c>
      <c r="AD1044" s="6" t="s">
        <v>132</v>
      </c>
      <c r="AE1044" s="1" t="s">
        <v>21861</v>
      </c>
      <c r="AF1044" s="7" t="str">
        <f>IFERROR(__xludf.DUMMYFUNCTION("GOOGLETRANSLATE(C1044, ""en"", ""sv"")"),"Guinea-Bissau")</f>
        <v>Guinea-Bissau</v>
      </c>
      <c r="AG1044" s="6" t="s">
        <v>132</v>
      </c>
      <c r="AH1044" s="7" t="str">
        <f>IFERROR(__xludf.DUMMYFUNCTION("GOOGLETRANSLATE(C1044, ""en"", ""tr"")"),"Gine-Bissau")</f>
        <v>Gine-Bissau</v>
      </c>
      <c r="AI1044" s="6" t="s">
        <v>132</v>
      </c>
      <c r="AJ1044" s="6" t="s">
        <v>132</v>
      </c>
      <c r="AK1044" s="7" t="str">
        <f>IFERROR(__xludf.DUMMYFUNCTION("GOOGLETRANSLATE(C1044, ""en"", ""zh"")"),"几内亚比绍")</f>
        <v>几内亚比绍</v>
      </c>
      <c r="AL1044" s="6" t="s">
        <v>132</v>
      </c>
    </row>
    <row r="1045" ht="15.75" hidden="1" customHeight="1">
      <c r="A1045" s="1" t="s">
        <v>38</v>
      </c>
      <c r="B1045" s="1" t="s">
        <v>21862</v>
      </c>
      <c r="C1045" s="1" t="s">
        <v>21863</v>
      </c>
      <c r="D1045" s="8" t="s">
        <v>21864</v>
      </c>
      <c r="E1045" s="1" t="s">
        <v>21865</v>
      </c>
      <c r="F1045" s="6" t="s">
        <v>1491</v>
      </c>
      <c r="G1045" s="7" t="str">
        <f>IFERROR(__xludf.DUMMYFUNCTION("GOOGLETRANSLATE(C1045, ""en"", ""cs"")"),"Něco se pokazilo, když převedlo váš obrázek")</f>
        <v>Něco se pokazilo, když převedlo váš obrázek</v>
      </c>
      <c r="H1045" s="7" t="str">
        <f>IFERROR(__xludf.DUMMYFUNCTION("GOOGLETRANSLATE(C1045, ""en"", ""da"")"),"Noget gik galt, mens du konverterede dit billede")</f>
        <v>Noget gik galt, mens du konverterede dit billede</v>
      </c>
      <c r="I1045" s="1" t="s">
        <v>21866</v>
      </c>
      <c r="J1045" s="6" t="s">
        <v>132</v>
      </c>
      <c r="K1045" s="1" t="s">
        <v>21867</v>
      </c>
      <c r="L1045" s="7" t="str">
        <f>IFERROR(__xludf.DUMMYFUNCTION("GOOGLETRANSLATE(C1045, ""en"", ""fi"")"),"Jotain meni pieleen muuntamalla kuvan")</f>
        <v>Jotain meni pieleen muuntamalla kuvan</v>
      </c>
      <c r="M1045" s="1" t="s">
        <v>21868</v>
      </c>
      <c r="N1045" s="6" t="s">
        <v>21869</v>
      </c>
      <c r="O1045" s="6" t="s">
        <v>132</v>
      </c>
      <c r="P1045" s="1" t="s">
        <v>21870</v>
      </c>
      <c r="Q1045" s="9" t="s">
        <v>21871</v>
      </c>
      <c r="R1045" s="1" t="s">
        <v>21872</v>
      </c>
      <c r="S1045" s="6" t="s">
        <v>132</v>
      </c>
      <c r="T1045" s="1" t="s">
        <v>21873</v>
      </c>
      <c r="U1045" s="1" t="s">
        <v>21874</v>
      </c>
      <c r="V1045" s="7" t="str">
        <f>IFERROR(__xludf.DUMMYFUNCTION("GOOGLETRANSLATE(C1045, ""en"", ""ms"")"),"Sesuatu yang salah semasa menukar gambar anda")</f>
        <v>Sesuatu yang salah semasa menukar gambar anda</v>
      </c>
      <c r="W1045" s="1" t="s">
        <v>21875</v>
      </c>
      <c r="X1045" s="7" t="str">
        <f>IFERROR(__xludf.DUMMYFUNCTION("GOOGLETRANSLATE(C1045, ""en"", ""no"")"),"Noe gikk galt mens du konverterte bildet ditt")</f>
        <v>Noe gikk galt mens du konverterte bildet ditt</v>
      </c>
      <c r="Y1045" s="1" t="s">
        <v>21876</v>
      </c>
      <c r="Z1045" s="1" t="s">
        <v>21877</v>
      </c>
      <c r="AA1045" s="7" t="str">
        <f>IFERROR(__xludf.DUMMYFUNCTION("GOOGLETRANSLATE(C1045, ""en"", ""ro"")"),"Ceva a mers prost în timp ce converti imaginea ta")</f>
        <v>Ceva a mers prost în timp ce converti imaginea ta</v>
      </c>
      <c r="AB1045" s="1" t="s">
        <v>21878</v>
      </c>
      <c r="AC1045" s="1" t="s">
        <v>21879</v>
      </c>
      <c r="AD1045" s="6" t="s">
        <v>132</v>
      </c>
      <c r="AE1045" s="1" t="s">
        <v>21880</v>
      </c>
      <c r="AF1045" s="1" t="s">
        <v>21881</v>
      </c>
      <c r="AG1045" s="6" t="s">
        <v>132</v>
      </c>
      <c r="AH1045" s="7" t="str">
        <f>IFERROR(__xludf.DUMMYFUNCTION("GOOGLETRANSLATE(C1045, ""en"", ""tr"")"),"Resminizi dönüştürürken bir şeyler ters gitti")</f>
        <v>Resminizi dönüştürürken bir şeyler ters gitti</v>
      </c>
      <c r="AI1045" s="6" t="s">
        <v>21882</v>
      </c>
      <c r="AJ1045" s="6" t="s">
        <v>21883</v>
      </c>
      <c r="AK1045" s="7" t="str">
        <f>IFERROR(__xludf.DUMMYFUNCTION("GOOGLETRANSLATE(C1045, ""en"", ""zh"")"),"转换你的照片时出了问题")</f>
        <v>转换你的照片时出了问题</v>
      </c>
      <c r="AL1045" s="6" t="s">
        <v>21884</v>
      </c>
    </row>
    <row r="1046" ht="15.75" customHeight="1">
      <c r="A1046" s="1" t="s">
        <v>127</v>
      </c>
      <c r="B1046" s="1" t="s">
        <v>21885</v>
      </c>
      <c r="C1046" s="1" t="s">
        <v>21886</v>
      </c>
      <c r="D1046" s="8" t="s">
        <v>21887</v>
      </c>
      <c r="E1046" s="1" t="s">
        <v>21888</v>
      </c>
      <c r="F1046" s="6" t="s">
        <v>132</v>
      </c>
      <c r="G1046" s="1" t="s">
        <v>21889</v>
      </c>
      <c r="H1046" s="1" t="s">
        <v>21890</v>
      </c>
      <c r="I1046" s="1" t="s">
        <v>21891</v>
      </c>
      <c r="J1046" s="6" t="s">
        <v>21892</v>
      </c>
      <c r="K1046" s="1" t="s">
        <v>21893</v>
      </c>
      <c r="L1046" s="1" t="s">
        <v>21894</v>
      </c>
      <c r="M1046" s="1" t="s">
        <v>21895</v>
      </c>
      <c r="N1046" s="6" t="s">
        <v>132</v>
      </c>
      <c r="O1046" s="6" t="s">
        <v>21896</v>
      </c>
      <c r="P1046" s="1" t="s">
        <v>21886</v>
      </c>
      <c r="Q1046" s="1" t="s">
        <v>21897</v>
      </c>
      <c r="R1046" s="1" t="s">
        <v>21898</v>
      </c>
      <c r="S1046" s="10" t="s">
        <v>21899</v>
      </c>
      <c r="T1046" s="1" t="s">
        <v>21900</v>
      </c>
      <c r="U1046" s="1" t="s">
        <v>21901</v>
      </c>
      <c r="V1046" s="1" t="s">
        <v>21902</v>
      </c>
      <c r="W1046" s="1" t="s">
        <v>21903</v>
      </c>
      <c r="X1046" s="1" t="s">
        <v>21904</v>
      </c>
      <c r="Y1046" s="1" t="s">
        <v>21905</v>
      </c>
      <c r="Z1046" s="1" t="s">
        <v>21906</v>
      </c>
      <c r="AA1046" s="1" t="s">
        <v>21907</v>
      </c>
      <c r="AB1046" s="1" t="s">
        <v>21908</v>
      </c>
      <c r="AC1046" s="1" t="s">
        <v>21909</v>
      </c>
      <c r="AD1046" s="6" t="s">
        <v>21910</v>
      </c>
      <c r="AE1046" s="1" t="s">
        <v>21911</v>
      </c>
      <c r="AF1046" s="1" t="s">
        <v>21912</v>
      </c>
      <c r="AG1046" s="6" t="s">
        <v>21913</v>
      </c>
      <c r="AH1046" s="1" t="s">
        <v>21914</v>
      </c>
      <c r="AI1046" s="6" t="s">
        <v>132</v>
      </c>
      <c r="AJ1046" s="6" t="s">
        <v>21915</v>
      </c>
      <c r="AK1046" s="1" t="s">
        <v>21916</v>
      </c>
      <c r="AL1046" s="6" t="s">
        <v>21917</v>
      </c>
    </row>
    <row r="1047" ht="15.75" hidden="1" customHeight="1">
      <c r="A1047" s="1" t="s">
        <v>38</v>
      </c>
      <c r="B1047" s="1" t="s">
        <v>21918</v>
      </c>
      <c r="C1047" s="1" t="s">
        <v>21919</v>
      </c>
      <c r="D1047" s="7" t="str">
        <f>IFERROR(__xludf.DUMMYFUNCTION("GOOGLETRANSLATE(C1047, ""en"", ""ar"")"),"اكد على رقم هاتفك او جوالك")</f>
        <v>اكد على رقم هاتفك او جوالك</v>
      </c>
      <c r="E1047" s="1" t="s">
        <v>21920</v>
      </c>
      <c r="F1047" s="6" t="s">
        <v>132</v>
      </c>
      <c r="G1047" s="7" t="str">
        <f>IFERROR(__xludf.DUMMYFUNCTION("GOOGLETRANSLATE(C1047, ""en"", ""cs"")"),"Potvrďte vaše telefonní číslo")</f>
        <v>Potvrďte vaše telefonní číslo</v>
      </c>
      <c r="H1047" s="7" t="str">
        <f>IFERROR(__xludf.DUMMYFUNCTION("GOOGLETRANSLATE(C1047, ""en"", ""da"")"),"Bekræft dit telefonnummer")</f>
        <v>Bekræft dit telefonnummer</v>
      </c>
      <c r="I1047" s="1" t="s">
        <v>21921</v>
      </c>
      <c r="J1047" s="6" t="s">
        <v>132</v>
      </c>
      <c r="K1047" s="1" t="s">
        <v>21922</v>
      </c>
      <c r="L1047" s="7" t="str">
        <f>IFERROR(__xludf.DUMMYFUNCTION("GOOGLETRANSLATE(C1047, ""en"", ""fi"")"),"Vahvista puhelinnumero")</f>
        <v>Vahvista puhelinnumero</v>
      </c>
      <c r="M1047" s="1" t="s">
        <v>21923</v>
      </c>
      <c r="N1047" s="6" t="s">
        <v>21924</v>
      </c>
      <c r="O1047" s="6" t="s">
        <v>132</v>
      </c>
      <c r="P1047" s="1" t="s">
        <v>21925</v>
      </c>
      <c r="Q1047" s="7" t="str">
        <f>IFERROR(__xludf.DUMMYFUNCTION("GOOGLETRANSLATE(C1047, ""en"", ""in"")"),"Verifikasi nomor telepon Anda")</f>
        <v>Verifikasi nomor telepon Anda</v>
      </c>
      <c r="R1047" s="1" t="s">
        <v>21926</v>
      </c>
      <c r="S1047" s="6" t="s">
        <v>132</v>
      </c>
      <c r="T1047" s="7" t="str">
        <f>IFERROR(__xludf.DUMMYFUNCTION("GOOGLETRANSLATE(C1047, ""en"", ""ja"")"),"あなたの電話番号を確認してください")</f>
        <v>あなたの電話番号を確認してください</v>
      </c>
      <c r="U1047" s="7" t="str">
        <f>IFERROR(__xludf.DUMMYFUNCTION("GOOGLETRANSLATE(C1047, ""en"", ""ko"")"),"전화 번호를 확인하십시오")</f>
        <v>전화 번호를 확인하십시오</v>
      </c>
      <c r="V1047" s="7" t="str">
        <f>IFERROR(__xludf.DUMMYFUNCTION("GOOGLETRANSLATE(C1047, ""en"", ""ms"")"),"Sahkan nombor telefon anda")</f>
        <v>Sahkan nombor telefon anda</v>
      </c>
      <c r="W1047" s="1" t="s">
        <v>21927</v>
      </c>
      <c r="X1047" s="7" t="str">
        <f>IFERROR(__xludf.DUMMYFUNCTION("GOOGLETRANSLATE(C1047, ""en"", ""no"")"),"Bekreft ditt telefonnummer")</f>
        <v>Bekreft ditt telefonnummer</v>
      </c>
      <c r="Y1047" s="1" t="s">
        <v>21928</v>
      </c>
      <c r="Z1047" s="7" t="str">
        <f>IFERROR(__xludf.DUMMYFUNCTION("GOOGLETRANSLATE(C1047, ""en"", ""pt"")"),"verifique seu número de telefone")</f>
        <v>verifique seu número de telefone</v>
      </c>
      <c r="AA1047" s="7" t="str">
        <f>IFERROR(__xludf.DUMMYFUNCTION("GOOGLETRANSLATE(C1047, ""en"", ""ro"")"),"Verifică-ți numărul de telefon")</f>
        <v>Verifică-ți numărul de telefon</v>
      </c>
      <c r="AB1047" s="7" t="str">
        <f>IFERROR(__xludf.DUMMYFUNCTION("GOOGLETRANSLATE(C1047, ""en"", ""ru"")"),"Проверьте свой номер телефона")</f>
        <v>Проверьте свой номер телефона</v>
      </c>
      <c r="AC1047" s="7" t="str">
        <f>IFERROR(__xludf.DUMMYFUNCTION("GOOGLETRANSLATE(C1047, ""en"", ""sk"")"),"Skontrolujte svoje telefónne číslo")</f>
        <v>Skontrolujte svoje telefónne číslo</v>
      </c>
      <c r="AD1047" s="6" t="s">
        <v>132</v>
      </c>
      <c r="AE1047" s="7" t="str">
        <f>IFERROR(__xludf.DUMMYFUNCTION("GOOGLETRANSLATE(C1047, ""en"", ""sr"")"),"Проверите свој телефонски број")</f>
        <v>Проверите свој телефонски број</v>
      </c>
      <c r="AF1047" s="7" t="str">
        <f>IFERROR(__xludf.DUMMYFUNCTION("GOOGLETRANSLATE(C1047, ""en"", ""sv"")"),"Verifiera ditt telefonnummer")</f>
        <v>Verifiera ditt telefonnummer</v>
      </c>
      <c r="AG1047" s="6" t="s">
        <v>132</v>
      </c>
      <c r="AH1047" s="7" t="str">
        <f>IFERROR(__xludf.DUMMYFUNCTION("GOOGLETRANSLATE(C1047, ""en"", ""tr"")"),"Telefon numaranı doğrula")</f>
        <v>Telefon numaranı doğrula</v>
      </c>
      <c r="AI1047" s="6" t="s">
        <v>132</v>
      </c>
      <c r="AJ1047" s="6" t="s">
        <v>132</v>
      </c>
      <c r="AK1047" s="7" t="str">
        <f>IFERROR(__xludf.DUMMYFUNCTION("GOOGLETRANSLATE(C1047, ""en"", ""zh"")"),"验证您的电话号码")</f>
        <v>验证您的电话号码</v>
      </c>
      <c r="AL1047" s="6" t="s">
        <v>132</v>
      </c>
    </row>
    <row r="1048" ht="15.75" customHeight="1">
      <c r="A1048" s="1" t="s">
        <v>127</v>
      </c>
      <c r="B1048" s="1" t="s">
        <v>21929</v>
      </c>
      <c r="C1048" s="1" t="s">
        <v>21930</v>
      </c>
      <c r="D1048" s="8" t="s">
        <v>11138</v>
      </c>
      <c r="E1048" s="1" t="s">
        <v>21930</v>
      </c>
      <c r="F1048" s="6" t="s">
        <v>132</v>
      </c>
      <c r="G1048" s="1" t="s">
        <v>21930</v>
      </c>
      <c r="H1048" s="1" t="s">
        <v>21930</v>
      </c>
      <c r="I1048" s="1" t="s">
        <v>21931</v>
      </c>
      <c r="J1048" s="6" t="s">
        <v>21930</v>
      </c>
      <c r="K1048" s="1" t="s">
        <v>21932</v>
      </c>
      <c r="L1048" s="1" t="s">
        <v>21930</v>
      </c>
      <c r="M1048" s="1" t="s">
        <v>21930</v>
      </c>
      <c r="N1048" s="6" t="s">
        <v>132</v>
      </c>
      <c r="O1048" s="6" t="s">
        <v>21933</v>
      </c>
      <c r="P1048" s="1" t="s">
        <v>21934</v>
      </c>
      <c r="Q1048" s="1" t="s">
        <v>21930</v>
      </c>
      <c r="R1048" s="1" t="s">
        <v>21930</v>
      </c>
      <c r="S1048" s="10" t="s">
        <v>14024</v>
      </c>
      <c r="T1048" s="1" t="s">
        <v>14025</v>
      </c>
      <c r="U1048" s="1" t="s">
        <v>14026</v>
      </c>
      <c r="V1048" s="1" t="s">
        <v>21930</v>
      </c>
      <c r="W1048" s="1" t="s">
        <v>21931</v>
      </c>
      <c r="X1048" s="1" t="s">
        <v>21930</v>
      </c>
      <c r="Y1048" s="1" t="s">
        <v>21935</v>
      </c>
      <c r="Z1048" s="1" t="s">
        <v>21930</v>
      </c>
      <c r="AA1048" s="1" t="s">
        <v>21930</v>
      </c>
      <c r="AB1048" s="1" t="s">
        <v>21936</v>
      </c>
      <c r="AC1048" s="1" t="s">
        <v>21930</v>
      </c>
      <c r="AD1048" s="6" t="s">
        <v>21930</v>
      </c>
      <c r="AE1048" s="1" t="s">
        <v>21930</v>
      </c>
      <c r="AF1048" s="1" t="s">
        <v>21930</v>
      </c>
      <c r="AG1048" s="6" t="s">
        <v>21937</v>
      </c>
      <c r="AH1048" s="1" t="s">
        <v>21938</v>
      </c>
      <c r="AI1048" s="6" t="s">
        <v>132</v>
      </c>
      <c r="AJ1048" s="6" t="s">
        <v>21934</v>
      </c>
      <c r="AK1048" s="1" t="s">
        <v>14034</v>
      </c>
      <c r="AL1048" s="6" t="s">
        <v>132</v>
      </c>
    </row>
    <row r="1049" ht="15.75" hidden="1" customHeight="1">
      <c r="A1049" s="1" t="s">
        <v>38</v>
      </c>
      <c r="B1049" s="1" t="s">
        <v>21939</v>
      </c>
      <c r="C1049" s="1" t="s">
        <v>21940</v>
      </c>
      <c r="D1049" s="7" t="str">
        <f>IFERROR(__xludf.DUMMYFUNCTION("GOOGLETRANSLATE(C1049, ""en"", ""ar"")"),"يرجى إدخال اسمك للسماح للناس، الذين ليس لديهم في كتب عنوانهم، يعرفون من أنت.")</f>
        <v>يرجى إدخال اسمك للسماح للناس، الذين ليس لديهم في كتب عنوانهم، يعرفون من أنت.</v>
      </c>
      <c r="E1049" s="1" t="s">
        <v>21941</v>
      </c>
      <c r="F1049" s="6" t="s">
        <v>132</v>
      </c>
      <c r="G1049" s="7" t="str">
        <f>IFERROR(__xludf.DUMMYFUNCTION("GOOGLETRANSLATE(C1049, ""en"", ""cs"")"),"Zadejte své jméno, abyste nechali lidi, kteří vás nemají v jejich adresních knihách, víte, kdo jste.")</f>
        <v>Zadejte své jméno, abyste nechali lidi, kteří vás nemají v jejich adresních knihách, víte, kdo jste.</v>
      </c>
      <c r="H1049" s="7" t="str">
        <f>IFERROR(__xludf.DUMMYFUNCTION("GOOGLETRANSLATE(C1049, ""en"", ""da"")"),"Indtast venligst dit navn for at lade folk, som ikke har dig i deres adressebøger, ved hvem du er.")</f>
        <v>Indtast venligst dit navn for at lade folk, som ikke har dig i deres adressebøger, ved hvem du er.</v>
      </c>
      <c r="I1049" s="1" t="s">
        <v>21942</v>
      </c>
      <c r="J1049" s="6" t="s">
        <v>132</v>
      </c>
      <c r="K1049" s="1" t="s">
        <v>21943</v>
      </c>
      <c r="L1049" s="7" t="str">
        <f>IFERROR(__xludf.DUMMYFUNCTION("GOOGLETRANSLATE(C1049, ""en"", ""fi"")"),"Anna nimesi, jotta ihmiset, joilla ei ole sinua osoitekirjoissaan, tiedä kuka olet.")</f>
        <v>Anna nimesi, jotta ihmiset, joilla ei ole sinua osoitekirjoissaan, tiedä kuka olet.</v>
      </c>
      <c r="M1049" s="13" t="s">
        <v>21944</v>
      </c>
      <c r="N1049" s="6" t="s">
        <v>21945</v>
      </c>
      <c r="O1049" s="6" t="s">
        <v>132</v>
      </c>
      <c r="P1049" s="1" t="s">
        <v>21946</v>
      </c>
      <c r="Q1049" s="7" t="str">
        <f>IFERROR(__xludf.DUMMYFUNCTION("GOOGLETRANSLATE(C1049, ""en"", ""in"")"),"Silakan masukkan nama Anda untuk memberi tahu orang-orang, yang tidak memiliki Anda dalam buku alamat mereka, ketahui siapa Anda.")</f>
        <v>Silakan masukkan nama Anda untuk memberi tahu orang-orang, yang tidak memiliki Anda dalam buku alamat mereka, ketahui siapa Anda.</v>
      </c>
      <c r="R1049" s="1" t="s">
        <v>21947</v>
      </c>
      <c r="S1049" s="6" t="s">
        <v>132</v>
      </c>
      <c r="T1049" s="7" t="str">
        <f>IFERROR(__xludf.DUMMYFUNCTION("GOOGLETRANSLATE(C1049, ""en"", ""ja"")"),"あなたのアドレスの本にあなたが誰であるかを知る人々を人々に持ち込ませるためにあなたの名前を入力してください。")</f>
        <v>あなたのアドレスの本にあなたが誰であるかを知る人々を人々に持ち込ませるためにあなたの名前を入力してください。</v>
      </c>
      <c r="U1049" s="7" t="str">
        <f>IFERROR(__xludf.DUMMYFUNCTION("GOOGLETRANSLATE(C1049, ""en"", ""ko"")"),"주소록에 당신을 가지고 있지 않은 사람, 당신이 누구인지 알려주는 사람들을 입력하십시오.")</f>
        <v>주소록에 당신을 가지고 있지 않은 사람, 당신이 누구인지 알려주는 사람들을 입력하십시오.</v>
      </c>
      <c r="V1049" s="7" t="str">
        <f>IFERROR(__xludf.DUMMYFUNCTION("GOOGLETRANSLATE(C1049, ""en"", ""ms"")"),"Sila masukkan nama anda untuk membiarkan orang, yang tidak mempunyai anda dalam buku alamat mereka, tahu siapa anda.")</f>
        <v>Sila masukkan nama anda untuk membiarkan orang, yang tidak mempunyai anda dalam buku alamat mereka, tahu siapa anda.</v>
      </c>
      <c r="W1049" s="1" t="s">
        <v>21948</v>
      </c>
      <c r="X1049" s="7" t="str">
        <f>IFERROR(__xludf.DUMMYFUNCTION("GOOGLETRANSLATE(C1049, ""en"", ""no"")"),"Vennligst skriv inn navnet ditt for å la folk, som ikke har deg i deres adressebøker, vet hvem du er.")</f>
        <v>Vennligst skriv inn navnet ditt for å la folk, som ikke har deg i deres adressebøker, vet hvem du er.</v>
      </c>
      <c r="Y1049" s="1" t="s">
        <v>21949</v>
      </c>
      <c r="Z1049" s="7" t="str">
        <f>IFERROR(__xludf.DUMMYFUNCTION("GOOGLETRANSLATE(C1049, ""en"", ""pt"")"),"Por favor, digite seu nome para deixar as pessoas, que não têm você em seus livros de endereços, sabem quem você é.")</f>
        <v>Por favor, digite seu nome para deixar as pessoas, que não têm você em seus livros de endereços, sabem quem você é.</v>
      </c>
      <c r="AA1049" s="7" t="str">
        <f>IFERROR(__xludf.DUMMYFUNCTION("GOOGLETRANSLATE(C1049, ""en"", ""ro"")"),"Introduceți numele dvs. pentru a permite oamenilor, care nu vă au în cărțile lor de adrese, știți cine sunteți.")</f>
        <v>Introduceți numele dvs. pentru a permite oamenilor, care nu vă au în cărțile lor de adrese, știți cine sunteți.</v>
      </c>
      <c r="AB1049" s="7" t="str">
        <f>IFERROR(__xludf.DUMMYFUNCTION("GOOGLETRANSLATE(C1049, ""en"", ""ru"")"),"Пожалуйста, введите ваше имя, чтобы людям, у которых нет вас в своих адресных книгах, знают, кто вы есть.")</f>
        <v>Пожалуйста, введите ваше имя, чтобы людям, у которых нет вас в своих адресных книгах, знают, кто вы есть.</v>
      </c>
      <c r="AC1049" s="7" t="str">
        <f>IFERROR(__xludf.DUMMYFUNCTION("GOOGLETRANSLATE(C1049, ""en"", ""sk"")"),"Zadajte svoje meno, aby ste ľuďom, ktorí ste nemali v ich adresách, vedia, kto ste.")</f>
        <v>Zadajte svoje meno, aby ste ľuďom, ktorí ste nemali v ich adresách, vedia, kto ste.</v>
      </c>
      <c r="AD1049" s="6" t="s">
        <v>132</v>
      </c>
      <c r="AE1049" s="7" t="str">
        <f>IFERROR(__xludf.DUMMYFUNCTION("GOOGLETRANSLATE(C1049, ""en"", ""sr"")"),"Унесите своје име да бисте пустили људе, који вас немају у њиховим адресама, знају ко сте.")</f>
        <v>Унесите своје име да бисте пустили људе, који вас немају у њиховим адресама, знају ко сте.</v>
      </c>
      <c r="AF1049" s="7" t="str">
        <f>IFERROR(__xludf.DUMMYFUNCTION("GOOGLETRANSLATE(C1049, ""en"", ""sv"")"),"Vänligen ange ditt namn för att låta folk, som inte har dig i sina adressböcker, vet vem du är.")</f>
        <v>Vänligen ange ditt namn för att låta folk, som inte har dig i sina adressböcker, vet vem du är.</v>
      </c>
      <c r="AG1049" s="6" t="s">
        <v>132</v>
      </c>
      <c r="AH1049" s="7" t="str">
        <f>IFERROR(__xludf.DUMMYFUNCTION("GOOGLETRANSLATE(C1049, ""en"", ""tr"")"),"Lütfen, sizi adres defterlerinde size sahip olmayan kişilerin kim olduğunu bilmenize izin vermek için lütfen adınızı girin.")</f>
        <v>Lütfen, sizi adres defterlerinde size sahip olmayan kişilerin kim olduğunu bilmenize izin vermek için lütfen adınızı girin.</v>
      </c>
      <c r="AI1049" s="6" t="s">
        <v>132</v>
      </c>
      <c r="AJ1049" s="6" t="s">
        <v>132</v>
      </c>
      <c r="AK1049" s="7" t="str">
        <f>IFERROR(__xludf.DUMMYFUNCTION("GOOGLETRANSLATE(C1049, ""en"", ""zh"")"),"请输入您的名字，让人们在他们的地址书中拥有你，知道你是谁。")</f>
        <v>请输入您的名字，让人们在他们的地址书中拥有你，知道你是谁。</v>
      </c>
      <c r="AL1049" s="6" t="s">
        <v>132</v>
      </c>
    </row>
    <row r="1050" ht="15.75" hidden="1" customHeight="1">
      <c r="A1050" s="1" t="s">
        <v>38</v>
      </c>
      <c r="B1050" s="1" t="s">
        <v>21950</v>
      </c>
      <c r="C1050" s="1" t="s">
        <v>21951</v>
      </c>
      <c r="D1050" s="7" t="str">
        <f>IFERROR(__xludf.DUMMYFUNCTION("GOOGLETRANSLATE(C1050, ""en"", ""ar"")"),"إلغاء حظر عن مستخدم")</f>
        <v>إلغاء حظر عن مستخدم</v>
      </c>
      <c r="E1050" s="7" t="str">
        <f>IFERROR(__xludf.DUMMYFUNCTION("GOOGLETRANSLATE(C1050, ""en"", ""bg"")"),"Отблокирайте потребителя")</f>
        <v>Отблокирайте потребителя</v>
      </c>
      <c r="F1050" s="6" t="s">
        <v>132</v>
      </c>
      <c r="G1050" s="7" t="str">
        <f>IFERROR(__xludf.DUMMYFUNCTION("GOOGLETRANSLATE(C1050, ""en"", ""cs"")"),"Odblokovat uživatele")</f>
        <v>Odblokovat uživatele</v>
      </c>
      <c r="H1050" s="7" t="str">
        <f>IFERROR(__xludf.DUMMYFUNCTION("GOOGLETRANSLATE(C1050, ""en"", ""da"")"),"Unblock bruger")</f>
        <v>Unblock bruger</v>
      </c>
      <c r="I1050" s="1" t="s">
        <v>21952</v>
      </c>
      <c r="J1050" s="6" t="s">
        <v>132</v>
      </c>
      <c r="K1050" s="1" t="s">
        <v>21953</v>
      </c>
      <c r="L1050" s="7" t="str">
        <f>IFERROR(__xludf.DUMMYFUNCTION("GOOGLETRANSLATE(C1050, ""en"", ""fi"")"),"Poista käyttäjän esto")</f>
        <v>Poista käyttäjän esto</v>
      </c>
      <c r="M1050" s="1" t="s">
        <v>21954</v>
      </c>
      <c r="N1050" s="6" t="s">
        <v>132</v>
      </c>
      <c r="O1050" s="6" t="s">
        <v>132</v>
      </c>
      <c r="P1050" s="1" t="s">
        <v>21955</v>
      </c>
      <c r="Q1050" s="7" t="str">
        <f>IFERROR(__xludf.DUMMYFUNCTION("GOOGLETRANSLATE(C1050, ""en"", ""in"")"),"Buka blokir Pengguna")</f>
        <v>Buka blokir Pengguna</v>
      </c>
      <c r="R1050" s="7" t="str">
        <f>IFERROR(__xludf.DUMMYFUNCTION("GOOGLETRANSLATE(C1050, ""en"", ""it"")"),"Sblocca utente")</f>
        <v>Sblocca utente</v>
      </c>
      <c r="S1050" s="6" t="s">
        <v>132</v>
      </c>
      <c r="T1050" s="7" t="str">
        <f>IFERROR(__xludf.DUMMYFUNCTION("GOOGLETRANSLATE(C1050, ""en"", ""ja"")"),"ユーザーをブロック解除します")</f>
        <v>ユーザーをブロック解除します</v>
      </c>
      <c r="U1050" s="7" t="str">
        <f>IFERROR(__xludf.DUMMYFUNCTION("GOOGLETRANSLATE(C1050, ""en"", ""ko"")"),"사용자 차단 해제")</f>
        <v>사용자 차단 해제</v>
      </c>
      <c r="V1050" s="7" t="str">
        <f>IFERROR(__xludf.DUMMYFUNCTION("GOOGLETRANSLATE(C1050, ""en"", ""ms"")"),"Nyahsekat pengguna")</f>
        <v>Nyahsekat pengguna</v>
      </c>
      <c r="W1050" s="7" t="str">
        <f>IFERROR(__xludf.DUMMYFUNCTION("GOOGLETRANSLATE(C1050, ""en"", ""nl"")"),"Deblokkeer gebruiker")</f>
        <v>Deblokkeer gebruiker</v>
      </c>
      <c r="X1050" s="7" t="str">
        <f>IFERROR(__xludf.DUMMYFUNCTION("GOOGLETRANSLATE(C1050, ""en"", ""no"")"),"Unblock bruker")</f>
        <v>Unblock bruker</v>
      </c>
      <c r="Y1050" s="7" t="str">
        <f>IFERROR(__xludf.DUMMYFUNCTION("GOOGLETRANSLATE(C1050, ""en"", ""pl"")"),"Odblokuj użytkownika")</f>
        <v>Odblokuj użytkownika</v>
      </c>
      <c r="Z1050" s="7" t="str">
        <f>IFERROR(__xludf.DUMMYFUNCTION("GOOGLETRANSLATE(C1050, ""en"", ""pt"")"),"Desbloquear o usuário")</f>
        <v>Desbloquear o usuário</v>
      </c>
      <c r="AA1050" s="7" t="str">
        <f>IFERROR(__xludf.DUMMYFUNCTION("GOOGLETRANSLATE(C1050, ""en"", ""ro"")"),"Deblochează utilizator")</f>
        <v>Deblochează utilizator</v>
      </c>
      <c r="AB1050" s="1" t="s">
        <v>21956</v>
      </c>
      <c r="AC1050" s="7" t="str">
        <f>IFERROR(__xludf.DUMMYFUNCTION("GOOGLETRANSLATE(C1050, ""en"", ""sk"")"),"Odblokovať používateľa")</f>
        <v>Odblokovať používateľa</v>
      </c>
      <c r="AD1050" s="6" t="s">
        <v>132</v>
      </c>
      <c r="AE1050" s="1" t="s">
        <v>21957</v>
      </c>
      <c r="AF1050" s="7" t="str">
        <f>IFERROR(__xludf.DUMMYFUNCTION("GOOGLETRANSLATE(C1050, ""en"", ""sv"")"),"Avblockera användare")</f>
        <v>Avblockera användare</v>
      </c>
      <c r="AG1050" s="6" t="s">
        <v>132</v>
      </c>
      <c r="AH1050" s="7" t="str">
        <f>IFERROR(__xludf.DUMMYFUNCTION("GOOGLETRANSLATE(C1050, ""en"", ""tr"")"),"Kullanıcının engelini kaldır")</f>
        <v>Kullanıcının engelini kaldır</v>
      </c>
      <c r="AI1050" s="6" t="s">
        <v>132</v>
      </c>
      <c r="AJ1050" s="6" t="s">
        <v>132</v>
      </c>
      <c r="AK1050" s="7" t="str">
        <f>IFERROR(__xludf.DUMMYFUNCTION("GOOGLETRANSLATE(C1050, ""en"", ""zh"")"),"解锁用户")</f>
        <v>解锁用户</v>
      </c>
      <c r="AL1050" s="6" t="s">
        <v>132</v>
      </c>
    </row>
    <row r="1051" ht="15.75" customHeight="1">
      <c r="A1051" s="1" t="s">
        <v>127</v>
      </c>
      <c r="B1051" s="1" t="s">
        <v>21958</v>
      </c>
      <c r="C1051" s="1" t="s">
        <v>21959</v>
      </c>
      <c r="D1051" s="8" t="s">
        <v>21960</v>
      </c>
      <c r="E1051" s="1" t="s">
        <v>21961</v>
      </c>
      <c r="F1051" s="6" t="s">
        <v>132</v>
      </c>
      <c r="G1051" s="1" t="s">
        <v>21959</v>
      </c>
      <c r="H1051" s="1" t="s">
        <v>21959</v>
      </c>
      <c r="I1051" s="1" t="s">
        <v>21962</v>
      </c>
      <c r="J1051" s="6" t="s">
        <v>21959</v>
      </c>
      <c r="K1051" s="1" t="s">
        <v>21963</v>
      </c>
      <c r="L1051" s="1" t="s">
        <v>21959</v>
      </c>
      <c r="M1051" s="1" t="s">
        <v>21964</v>
      </c>
      <c r="N1051" s="6" t="s">
        <v>132</v>
      </c>
      <c r="O1051" s="6" t="s">
        <v>21965</v>
      </c>
      <c r="P1051" s="1" t="s">
        <v>21966</v>
      </c>
      <c r="Q1051" s="1" t="s">
        <v>21967</v>
      </c>
      <c r="R1051" s="1" t="s">
        <v>21959</v>
      </c>
      <c r="S1051" s="10" t="s">
        <v>21968</v>
      </c>
      <c r="T1051" s="1" t="s">
        <v>21969</v>
      </c>
      <c r="U1051" s="1" t="s">
        <v>21959</v>
      </c>
      <c r="V1051" s="1" t="s">
        <v>21967</v>
      </c>
      <c r="W1051" s="1" t="s">
        <v>21970</v>
      </c>
      <c r="X1051" s="1" t="s">
        <v>21959</v>
      </c>
      <c r="Y1051" s="1" t="s">
        <v>21971</v>
      </c>
      <c r="Z1051" s="1" t="s">
        <v>21972</v>
      </c>
      <c r="AA1051" s="1" t="s">
        <v>21959</v>
      </c>
      <c r="AB1051" s="1" t="s">
        <v>21973</v>
      </c>
      <c r="AC1051" s="1" t="s">
        <v>21974</v>
      </c>
      <c r="AD1051" s="6" t="s">
        <v>21959</v>
      </c>
      <c r="AE1051" s="1" t="s">
        <v>21974</v>
      </c>
      <c r="AF1051" s="1" t="s">
        <v>21959</v>
      </c>
      <c r="AG1051" s="6" t="s">
        <v>21975</v>
      </c>
      <c r="AH1051" s="1" t="s">
        <v>21959</v>
      </c>
      <c r="AI1051" s="6" t="s">
        <v>132</v>
      </c>
      <c r="AJ1051" s="6" t="s">
        <v>21976</v>
      </c>
      <c r="AK1051" s="1" t="s">
        <v>21969</v>
      </c>
      <c r="AL1051" s="6" t="s">
        <v>21977</v>
      </c>
    </row>
    <row r="1052" ht="15.75" customHeight="1">
      <c r="A1052" s="1" t="s">
        <v>127</v>
      </c>
      <c r="B1052" s="1" t="s">
        <v>21978</v>
      </c>
      <c r="C1052" s="1" t="s">
        <v>13551</v>
      </c>
      <c r="D1052" s="8" t="s">
        <v>13552</v>
      </c>
      <c r="E1052" s="1" t="s">
        <v>13567</v>
      </c>
      <c r="F1052" s="6" t="s">
        <v>132</v>
      </c>
      <c r="G1052" s="1" t="s">
        <v>21239</v>
      </c>
      <c r="H1052" s="1" t="s">
        <v>21240</v>
      </c>
      <c r="I1052" s="1" t="s">
        <v>13555</v>
      </c>
      <c r="J1052" s="6" t="s">
        <v>21979</v>
      </c>
      <c r="K1052" s="1" t="s">
        <v>13556</v>
      </c>
      <c r="L1052" s="1" t="s">
        <v>21242</v>
      </c>
      <c r="M1052" s="1" t="s">
        <v>13557</v>
      </c>
      <c r="N1052" s="6" t="s">
        <v>132</v>
      </c>
      <c r="O1052" s="6" t="s">
        <v>21243</v>
      </c>
      <c r="P1052" s="1" t="s">
        <v>21244</v>
      </c>
      <c r="Q1052" s="1" t="s">
        <v>21245</v>
      </c>
      <c r="R1052" s="1" t="s">
        <v>13561</v>
      </c>
      <c r="S1052" s="10" t="s">
        <v>21246</v>
      </c>
      <c r="T1052" s="1" t="s">
        <v>13562</v>
      </c>
      <c r="U1052" s="1" t="s">
        <v>13563</v>
      </c>
      <c r="V1052" s="1" t="s">
        <v>21245</v>
      </c>
      <c r="W1052" s="1" t="s">
        <v>13564</v>
      </c>
      <c r="X1052" s="1" t="s">
        <v>21247</v>
      </c>
      <c r="Y1052" s="1" t="s">
        <v>13565</v>
      </c>
      <c r="Z1052" s="1" t="s">
        <v>13566</v>
      </c>
      <c r="AA1052" s="1" t="s">
        <v>21248</v>
      </c>
      <c r="AB1052" s="1" t="s">
        <v>21249</v>
      </c>
      <c r="AC1052" s="1" t="s">
        <v>13568</v>
      </c>
      <c r="AD1052" s="6" t="s">
        <v>21250</v>
      </c>
      <c r="AE1052" s="1" t="s">
        <v>21251</v>
      </c>
      <c r="AF1052" s="1" t="s">
        <v>13570</v>
      </c>
      <c r="AG1052" s="6" t="s">
        <v>21252</v>
      </c>
      <c r="AH1052" s="1" t="s">
        <v>21253</v>
      </c>
      <c r="AI1052" s="6" t="s">
        <v>132</v>
      </c>
      <c r="AJ1052" s="6" t="s">
        <v>21254</v>
      </c>
      <c r="AK1052" s="1" t="s">
        <v>13573</v>
      </c>
      <c r="AL1052" s="6" t="s">
        <v>21255</v>
      </c>
    </row>
    <row r="1053" ht="15.75" customHeight="1">
      <c r="A1053" s="1" t="s">
        <v>127</v>
      </c>
      <c r="B1053" s="1" t="s">
        <v>21980</v>
      </c>
      <c r="C1053" s="1" t="s">
        <v>21981</v>
      </c>
      <c r="D1053" s="8" t="s">
        <v>21982</v>
      </c>
      <c r="E1053" s="1" t="s">
        <v>21983</v>
      </c>
      <c r="F1053" s="6" t="s">
        <v>132</v>
      </c>
      <c r="G1053" s="1" t="s">
        <v>21984</v>
      </c>
      <c r="H1053" s="1" t="s">
        <v>21985</v>
      </c>
      <c r="I1053" s="1" t="s">
        <v>21986</v>
      </c>
      <c r="J1053" s="6" t="s">
        <v>21987</v>
      </c>
      <c r="K1053" s="1" t="s">
        <v>21988</v>
      </c>
      <c r="L1053" s="1" t="s">
        <v>21989</v>
      </c>
      <c r="M1053" s="1" t="s">
        <v>21990</v>
      </c>
      <c r="N1053" s="6" t="s">
        <v>132</v>
      </c>
      <c r="O1053" s="6" t="s">
        <v>21991</v>
      </c>
      <c r="P1053" s="1" t="s">
        <v>21981</v>
      </c>
      <c r="Q1053" s="1" t="s">
        <v>21992</v>
      </c>
      <c r="R1053" s="1" t="s">
        <v>21993</v>
      </c>
      <c r="S1053" s="10" t="s">
        <v>21994</v>
      </c>
      <c r="T1053" s="1" t="s">
        <v>21995</v>
      </c>
      <c r="U1053" s="1" t="s">
        <v>21996</v>
      </c>
      <c r="V1053" s="1" t="s">
        <v>21997</v>
      </c>
      <c r="W1053" s="1" t="s">
        <v>21998</v>
      </c>
      <c r="X1053" s="1" t="s">
        <v>21999</v>
      </c>
      <c r="Y1053" s="1" t="s">
        <v>22000</v>
      </c>
      <c r="Z1053" s="1" t="s">
        <v>22001</v>
      </c>
      <c r="AA1053" s="1" t="s">
        <v>22002</v>
      </c>
      <c r="AB1053" s="1" t="s">
        <v>22003</v>
      </c>
      <c r="AC1053" s="1" t="s">
        <v>22004</v>
      </c>
      <c r="AD1053" s="6" t="s">
        <v>22005</v>
      </c>
      <c r="AE1053" s="1" t="s">
        <v>22006</v>
      </c>
      <c r="AF1053" s="1" t="s">
        <v>22007</v>
      </c>
      <c r="AG1053" s="6" t="s">
        <v>22008</v>
      </c>
      <c r="AH1053" s="1" t="s">
        <v>22009</v>
      </c>
      <c r="AI1053" s="6" t="s">
        <v>132</v>
      </c>
      <c r="AJ1053" s="6" t="s">
        <v>22010</v>
      </c>
      <c r="AK1053" s="1" t="s">
        <v>22011</v>
      </c>
      <c r="AL1053" s="6" t="s">
        <v>22012</v>
      </c>
    </row>
    <row r="1054" ht="15.75" customHeight="1">
      <c r="A1054" s="1" t="s">
        <v>127</v>
      </c>
      <c r="B1054" s="1" t="s">
        <v>22013</v>
      </c>
      <c r="C1054" s="1" t="s">
        <v>655</v>
      </c>
      <c r="D1054" s="8" t="s">
        <v>656</v>
      </c>
      <c r="E1054" s="1" t="s">
        <v>657</v>
      </c>
      <c r="F1054" s="6" t="s">
        <v>132</v>
      </c>
      <c r="G1054" s="1" t="s">
        <v>658</v>
      </c>
      <c r="H1054" s="1" t="s">
        <v>659</v>
      </c>
      <c r="I1054" s="1" t="s">
        <v>14875</v>
      </c>
      <c r="J1054" s="6" t="s">
        <v>661</v>
      </c>
      <c r="K1054" s="1" t="s">
        <v>11440</v>
      </c>
      <c r="L1054" s="1" t="s">
        <v>663</v>
      </c>
      <c r="M1054" s="1" t="s">
        <v>22014</v>
      </c>
      <c r="N1054" s="6" t="s">
        <v>132</v>
      </c>
      <c r="O1054" s="6" t="s">
        <v>665</v>
      </c>
      <c r="P1054" s="1" t="s">
        <v>11444</v>
      </c>
      <c r="Q1054" s="1" t="s">
        <v>667</v>
      </c>
      <c r="R1054" s="1" t="s">
        <v>11434</v>
      </c>
      <c r="S1054" s="10" t="s">
        <v>669</v>
      </c>
      <c r="T1054" s="1" t="s">
        <v>11446</v>
      </c>
      <c r="U1054" s="1" t="s">
        <v>671</v>
      </c>
      <c r="V1054" s="1" t="s">
        <v>672</v>
      </c>
      <c r="W1054" s="13" t="s">
        <v>11434</v>
      </c>
      <c r="X1054" s="1" t="s">
        <v>674</v>
      </c>
      <c r="Y1054" s="1" t="s">
        <v>675</v>
      </c>
      <c r="Z1054" s="1" t="s">
        <v>22015</v>
      </c>
      <c r="AA1054" s="1" t="s">
        <v>677</v>
      </c>
      <c r="AB1054" s="1" t="s">
        <v>678</v>
      </c>
      <c r="AC1054" s="1" t="s">
        <v>679</v>
      </c>
      <c r="AD1054" s="6" t="s">
        <v>22016</v>
      </c>
      <c r="AE1054" s="1" t="s">
        <v>681</v>
      </c>
      <c r="AF1054" s="1" t="s">
        <v>682</v>
      </c>
      <c r="AG1054" s="6" t="s">
        <v>683</v>
      </c>
      <c r="AH1054" s="1" t="s">
        <v>684</v>
      </c>
      <c r="AI1054" s="6" t="s">
        <v>132</v>
      </c>
      <c r="AJ1054" s="6" t="s">
        <v>685</v>
      </c>
      <c r="AK1054" s="1" t="s">
        <v>686</v>
      </c>
      <c r="AL1054" s="6" t="s">
        <v>11456</v>
      </c>
    </row>
    <row r="1055" ht="15.75" customHeight="1">
      <c r="A1055" s="1" t="s">
        <v>127</v>
      </c>
      <c r="B1055" s="1" t="s">
        <v>22017</v>
      </c>
      <c r="C1055" s="1" t="s">
        <v>22018</v>
      </c>
      <c r="D1055" s="8" t="s">
        <v>22019</v>
      </c>
      <c r="E1055" s="1" t="s">
        <v>22020</v>
      </c>
      <c r="F1055" s="6" t="s">
        <v>132</v>
      </c>
      <c r="G1055" s="1" t="s">
        <v>22021</v>
      </c>
      <c r="H1055" s="1" t="s">
        <v>22022</v>
      </c>
      <c r="I1055" s="1" t="s">
        <v>22023</v>
      </c>
      <c r="J1055" s="6" t="s">
        <v>22024</v>
      </c>
      <c r="K1055" s="1" t="s">
        <v>22025</v>
      </c>
      <c r="L1055" s="1" t="s">
        <v>22026</v>
      </c>
      <c r="M1055" s="1" t="s">
        <v>22018</v>
      </c>
      <c r="N1055" s="6" t="s">
        <v>132</v>
      </c>
      <c r="O1055" s="6" t="s">
        <v>22027</v>
      </c>
      <c r="P1055" s="1" t="s">
        <v>22018</v>
      </c>
      <c r="Q1055" s="1" t="s">
        <v>22028</v>
      </c>
      <c r="R1055" s="1" t="s">
        <v>22029</v>
      </c>
      <c r="S1055" s="10" t="s">
        <v>22030</v>
      </c>
      <c r="T1055" s="1" t="s">
        <v>22031</v>
      </c>
      <c r="U1055" s="1" t="s">
        <v>22032</v>
      </c>
      <c r="V1055" s="1" t="s">
        <v>22033</v>
      </c>
      <c r="W1055" s="1" t="s">
        <v>22034</v>
      </c>
      <c r="X1055" s="1" t="s">
        <v>22035</v>
      </c>
      <c r="Y1055" s="1" t="s">
        <v>22036</v>
      </c>
      <c r="Z1055" s="1" t="s">
        <v>22037</v>
      </c>
      <c r="AA1055" s="1" t="s">
        <v>22038</v>
      </c>
      <c r="AB1055" s="1" t="s">
        <v>22039</v>
      </c>
      <c r="AC1055" s="1" t="s">
        <v>22040</v>
      </c>
      <c r="AD1055" s="6" t="s">
        <v>22041</v>
      </c>
      <c r="AE1055" s="1" t="s">
        <v>22018</v>
      </c>
      <c r="AF1055" s="1" t="s">
        <v>22035</v>
      </c>
      <c r="AG1055" s="6" t="s">
        <v>22042</v>
      </c>
      <c r="AH1055" s="1" t="s">
        <v>22043</v>
      </c>
      <c r="AI1055" s="6" t="s">
        <v>132</v>
      </c>
      <c r="AJ1055" s="6" t="s">
        <v>22044</v>
      </c>
      <c r="AK1055" s="1" t="s">
        <v>22045</v>
      </c>
      <c r="AL1055" s="6" t="s">
        <v>22046</v>
      </c>
    </row>
    <row r="1056" ht="15.75" hidden="1" customHeight="1">
      <c r="A1056" s="1" t="s">
        <v>38</v>
      </c>
      <c r="B1056" s="1" t="s">
        <v>22047</v>
      </c>
      <c r="C1056" s="1" t="s">
        <v>22048</v>
      </c>
      <c r="D1056" s="7" t="str">
        <f>IFERROR(__xludf.DUMMYFUNCTION("GOOGLETRANSLATE(C1056, ""en"", ""ar"")"),"المحادثات تحتاج إلى الوصول إلى الميكروفون")</f>
        <v>المحادثات تحتاج إلى الوصول إلى الميكروفون</v>
      </c>
      <c r="E1056" s="1" t="s">
        <v>22049</v>
      </c>
      <c r="F1056" s="6" t="s">
        <v>22050</v>
      </c>
      <c r="G1056" s="7" t="str">
        <f>IFERROR(__xludf.DUMMYFUNCTION("GOOGLETRANSLATE(C1056, ""en"", ""cs"")"),"Konverzace potřebuje přístup k mikrofonu")</f>
        <v>Konverzace potřebuje přístup k mikrofonu</v>
      </c>
      <c r="H1056" s="7" t="str">
        <f>IFERROR(__xludf.DUMMYFUNCTION("GOOGLETRANSLATE(C1056, ""en"", ""da"")"),"Samtaler har brug for adgang til mikrofonen")</f>
        <v>Samtaler har brug for adgang til mikrofonen</v>
      </c>
      <c r="I1056" s="1" t="s">
        <v>22051</v>
      </c>
      <c r="J1056" s="6" t="s">
        <v>132</v>
      </c>
      <c r="K1056" s="1" t="s">
        <v>22052</v>
      </c>
      <c r="L1056" s="7" t="str">
        <f>IFERROR(__xludf.DUMMYFUNCTION("GOOGLETRANSLATE(C1056, ""en"", ""fi"")"),"Keskustelut tarvitsevat pääsyä mikrofoniin")</f>
        <v>Keskustelut tarvitsevat pääsyä mikrofoniin</v>
      </c>
      <c r="M1056" s="1" t="s">
        <v>22053</v>
      </c>
      <c r="N1056" s="6" t="s">
        <v>22054</v>
      </c>
      <c r="O1056" s="6" t="s">
        <v>132</v>
      </c>
      <c r="P1056" s="1" t="s">
        <v>22055</v>
      </c>
      <c r="Q1056" s="7" t="str">
        <f>IFERROR(__xludf.DUMMYFUNCTION("GOOGLETRANSLATE(C1056, ""en"", ""in"")"),"Percakapan membutuhkan akses ke mikrofon")</f>
        <v>Percakapan membutuhkan akses ke mikrofon</v>
      </c>
      <c r="R1056" s="1" t="s">
        <v>22056</v>
      </c>
      <c r="S1056" s="6" t="s">
        <v>132</v>
      </c>
      <c r="T1056" s="7" t="str">
        <f>IFERROR(__xludf.DUMMYFUNCTION("GOOGLETRANSLATE(C1056, ""en"", ""ja"")"),"会話はマイクにアクセスする必要があります")</f>
        <v>会話はマイクにアクセスする必要があります</v>
      </c>
      <c r="U1056" s="7" t="str">
        <f>IFERROR(__xludf.DUMMYFUNCTION("GOOGLETRANSLATE(C1056, ""en"", ""ko"")"),"대화는 마이크에 액세스해야합니다")</f>
        <v>대화는 마이크에 액세스해야합니다</v>
      </c>
      <c r="V1056" s="7" t="str">
        <f>IFERROR(__xludf.DUMMYFUNCTION("GOOGLETRANSLATE(C1056, ""en"", ""ms"")"),"Perbualan memerlukan akses kepada mikrofon")</f>
        <v>Perbualan memerlukan akses kepada mikrofon</v>
      </c>
      <c r="W1056" s="1" t="s">
        <v>22057</v>
      </c>
      <c r="X1056" s="7" t="str">
        <f>IFERROR(__xludf.DUMMYFUNCTION("GOOGLETRANSLATE(C1056, ""en"", ""no"")"),"Samtaler trenger tilgang til mikrofonen")</f>
        <v>Samtaler trenger tilgang til mikrofonen</v>
      </c>
      <c r="Y1056" s="1" t="s">
        <v>22058</v>
      </c>
      <c r="Z1056" s="7" t="str">
        <f>IFERROR(__xludf.DUMMYFUNCTION("GOOGLETRANSLATE(C1056, ""en"", ""pt"")"),"Conversas precisam de acesso ao microfone")</f>
        <v>Conversas precisam de acesso ao microfone</v>
      </c>
      <c r="AA1056" s="7" t="str">
        <f>IFERROR(__xludf.DUMMYFUNCTION("GOOGLETRANSLATE(C1056, ""en"", ""ro"")"),"Conversațiile au nevoie de acces la microfon")</f>
        <v>Conversațiile au nevoie de acces la microfon</v>
      </c>
      <c r="AB1056" s="7" t="str">
        <f>IFERROR(__xludf.DUMMYFUNCTION("GOOGLETRANSLATE(C1056, ""en"", ""ru"")"),"Разговоры нуждается в доступе к микрофону")</f>
        <v>Разговоры нуждается в доступе к микрофону</v>
      </c>
      <c r="AC1056" s="7" t="str">
        <f>IFERROR(__xludf.DUMMYFUNCTION("GOOGLETRANSLATE(C1056, ""en"", ""sk"")"),"Konverzácie potrebujú prístup k mikrofónu")</f>
        <v>Konverzácie potrebujú prístup k mikrofónu</v>
      </c>
      <c r="AD1056" s="6" t="s">
        <v>132</v>
      </c>
      <c r="AE1056" s="1" t="s">
        <v>22059</v>
      </c>
      <c r="AF1056" s="7" t="str">
        <f>IFERROR(__xludf.DUMMYFUNCTION("GOOGLETRANSLATE(C1056, ""en"", ""sv"")"),"Samtal behöver tillgång till mikrofonen")</f>
        <v>Samtal behöver tillgång till mikrofonen</v>
      </c>
      <c r="AG1056" s="6" t="s">
        <v>132</v>
      </c>
      <c r="AH1056" s="7" t="str">
        <f>IFERROR(__xludf.DUMMYFUNCTION("GOOGLETRANSLATE(C1056, ""en"", ""tr"")"),"Konuşmaların mikrofona erişmesi gerekiyor")</f>
        <v>Konuşmaların mikrofona erişmesi gerekiyor</v>
      </c>
      <c r="AI1056" s="6" t="s">
        <v>132</v>
      </c>
      <c r="AJ1056" s="6" t="s">
        <v>132</v>
      </c>
      <c r="AK1056" s="7" t="str">
        <f>IFERROR(__xludf.DUMMYFUNCTION("GOOGLETRANSLATE(C1056, ""en"", ""zh"")"),"对话需要访问麦克风")</f>
        <v>对话需要访问麦克风</v>
      </c>
      <c r="AL1056" s="6" t="s">
        <v>132</v>
      </c>
    </row>
    <row r="1057" ht="15.75" hidden="1" customHeight="1">
      <c r="A1057" s="1" t="s">
        <v>38</v>
      </c>
      <c r="B1057" s="1" t="s">
        <v>22060</v>
      </c>
      <c r="C1057" s="1" t="s">
        <v>22061</v>
      </c>
      <c r="D1057" s="7" t="str">
        <f>IFERROR(__xludf.DUMMYFUNCTION("GOOGLETRANSLATE(C1057, ""en"", ""ar"")"),"أغلق هذه المحادثة بعد ذلك")</f>
        <v>أغلق هذه المحادثة بعد ذلك</v>
      </c>
      <c r="E1057" s="1" t="s">
        <v>22062</v>
      </c>
      <c r="F1057" s="6" t="s">
        <v>22063</v>
      </c>
      <c r="G1057" s="7" t="str">
        <f>IFERROR(__xludf.DUMMYFUNCTION("GOOGLETRANSLATE(C1057, ""en"", ""cs"")"),"Poté zavřete tuto konverzaci")</f>
        <v>Poté zavřete tuto konverzaci</v>
      </c>
      <c r="H1057" s="7" t="str">
        <f>IFERROR(__xludf.DUMMYFUNCTION("GOOGLETRANSLATE(C1057, ""en"", ""da"")"),"Luk denne samtale bagefter")</f>
        <v>Luk denne samtale bagefter</v>
      </c>
      <c r="I1057" s="1" t="s">
        <v>22064</v>
      </c>
      <c r="J1057" s="6" t="s">
        <v>132</v>
      </c>
      <c r="K1057" s="1" t="s">
        <v>22065</v>
      </c>
      <c r="L1057" s="7" t="str">
        <f>IFERROR(__xludf.DUMMYFUNCTION("GOOGLETRANSLATE(C1057, ""en"", ""fi"")"),"Sulje tämä keskustelu myöhemmin")</f>
        <v>Sulje tämä keskustelu myöhemmin</v>
      </c>
      <c r="M1057" s="7" t="str">
        <f>IFERROR(__xludf.DUMMYFUNCTION("GOOGLETRANSLATE(C1057, ""en"", ""fr"")"),"Fermez cette conversation après")</f>
        <v>Fermez cette conversation après</v>
      </c>
      <c r="N1057" s="6" t="s">
        <v>22066</v>
      </c>
      <c r="O1057" s="6" t="s">
        <v>132</v>
      </c>
      <c r="P1057" s="7" t="str">
        <f>IFERROR(__xludf.DUMMYFUNCTION("GOOGLETRANSLATE(C1057, ""en"", ""hu"")"),"Zárja le ezt a beszélgetést")</f>
        <v>Zárja le ezt a beszélgetést</v>
      </c>
      <c r="Q1057" s="7" t="str">
        <f>IFERROR(__xludf.DUMMYFUNCTION("GOOGLETRANSLATE(C1057, ""en"", ""in"")"),"Tutup percakapan ini sesudahnya")</f>
        <v>Tutup percakapan ini sesudahnya</v>
      </c>
      <c r="R1057" s="1" t="s">
        <v>22067</v>
      </c>
      <c r="S1057" s="6" t="s">
        <v>132</v>
      </c>
      <c r="T1057" s="7" t="str">
        <f>IFERROR(__xludf.DUMMYFUNCTION("GOOGLETRANSLATE(C1057, ""en"", ""ja"")"),"その後この会話を閉じます")</f>
        <v>その後この会話を閉じます</v>
      </c>
      <c r="U1057" s="7" t="str">
        <f>IFERROR(__xludf.DUMMYFUNCTION("GOOGLETRANSLATE(C1057, ""en"", ""ko"")"),"이후 에이 대화를 닫습니다")</f>
        <v>이후 에이 대화를 닫습니다</v>
      </c>
      <c r="V1057" s="7" t="str">
        <f>IFERROR(__xludf.DUMMYFUNCTION("GOOGLETRANSLATE(C1057, ""en"", ""ms"")"),"Tutup perbualan ini selepas itu")</f>
        <v>Tutup perbualan ini selepas itu</v>
      </c>
      <c r="W1057" s="1" t="s">
        <v>22068</v>
      </c>
      <c r="X1057" s="7" t="str">
        <f>IFERROR(__xludf.DUMMYFUNCTION("GOOGLETRANSLATE(C1057, ""en"", ""no"")"),"Lukk denne samtalen etterpå")</f>
        <v>Lukk denne samtalen etterpå</v>
      </c>
      <c r="Y1057" s="1" t="s">
        <v>22069</v>
      </c>
      <c r="Z1057" s="7" t="str">
        <f>IFERROR(__xludf.DUMMYFUNCTION("GOOGLETRANSLATE(C1057, ""en"", ""pt"")"),"Feche esta conversa depois")</f>
        <v>Feche esta conversa depois</v>
      </c>
      <c r="AA1057" s="7" t="str">
        <f>IFERROR(__xludf.DUMMYFUNCTION("GOOGLETRANSLATE(C1057, ""en"", ""ro"")"),"Închideți această conversație după aceea")</f>
        <v>Închideți această conversație după aceea</v>
      </c>
      <c r="AB1057" s="7" t="str">
        <f>IFERROR(__xludf.DUMMYFUNCTION("GOOGLETRANSLATE(C1057, ""en"", ""ru"")"),"Закройте этот разговор потом")</f>
        <v>Закройте этот разговор потом</v>
      </c>
      <c r="AC1057" s="7" t="str">
        <f>IFERROR(__xludf.DUMMYFUNCTION("GOOGLETRANSLATE(C1057, ""en"", ""sk"")"),"Potom zatvorte túto konverzáciu")</f>
        <v>Potom zatvorte túto konverzáciu</v>
      </c>
      <c r="AD1057" s="6" t="s">
        <v>132</v>
      </c>
      <c r="AE1057" s="7" t="str">
        <f>IFERROR(__xludf.DUMMYFUNCTION("GOOGLETRANSLATE(C1057, ""en"", ""sr"")"),"Затворите овај разговор након тога")</f>
        <v>Затворите овај разговор након тога</v>
      </c>
      <c r="AF1057" s="7" t="str">
        <f>IFERROR(__xludf.DUMMYFUNCTION("GOOGLETRANSLATE(C1057, ""en"", ""sv"")"),"Stäng denna konversation efteråt")</f>
        <v>Stäng denna konversation efteråt</v>
      </c>
      <c r="AG1057" s="6" t="s">
        <v>132</v>
      </c>
      <c r="AH1057" s="7" t="str">
        <f>IFERROR(__xludf.DUMMYFUNCTION("GOOGLETRANSLATE(C1057, ""en"", ""tr"")"),"Bu konuşmayı daha sonra kapatın")</f>
        <v>Bu konuşmayı daha sonra kapatın</v>
      </c>
      <c r="AI1057" s="6" t="s">
        <v>132</v>
      </c>
      <c r="AJ1057" s="6" t="s">
        <v>132</v>
      </c>
      <c r="AK1057" s="7" t="str">
        <f>IFERROR(__xludf.DUMMYFUNCTION("GOOGLETRANSLATE(C1057, ""en"", ""zh"")"),"关闭此次谈话")</f>
        <v>关闭此次谈话</v>
      </c>
      <c r="AL1057" s="6" t="s">
        <v>132</v>
      </c>
    </row>
    <row r="1058" ht="15.75" customHeight="1">
      <c r="A1058" s="1" t="s">
        <v>127</v>
      </c>
      <c r="B1058" s="1" t="s">
        <v>22070</v>
      </c>
      <c r="C1058" s="1" t="s">
        <v>5686</v>
      </c>
      <c r="D1058" s="8" t="s">
        <v>5687</v>
      </c>
      <c r="E1058" s="1" t="s">
        <v>5688</v>
      </c>
      <c r="F1058" s="6" t="s">
        <v>132</v>
      </c>
      <c r="G1058" s="1" t="s">
        <v>5689</v>
      </c>
      <c r="H1058" s="1" t="s">
        <v>5690</v>
      </c>
      <c r="I1058" s="1" t="s">
        <v>5691</v>
      </c>
      <c r="J1058" s="6" t="s">
        <v>5692</v>
      </c>
      <c r="K1058" s="1" t="s">
        <v>5693</v>
      </c>
      <c r="L1058" s="1" t="s">
        <v>5694</v>
      </c>
      <c r="M1058" s="1" t="s">
        <v>5695</v>
      </c>
      <c r="N1058" s="6" t="s">
        <v>132</v>
      </c>
      <c r="O1058" s="6" t="s">
        <v>5696</v>
      </c>
      <c r="P1058" s="1" t="s">
        <v>5697</v>
      </c>
      <c r="Q1058" s="1" t="s">
        <v>5698</v>
      </c>
      <c r="R1058" s="1" t="s">
        <v>5699</v>
      </c>
      <c r="S1058" s="10" t="s">
        <v>5700</v>
      </c>
      <c r="T1058" s="1" t="s">
        <v>5701</v>
      </c>
      <c r="U1058" s="1" t="s">
        <v>5702</v>
      </c>
      <c r="V1058" s="1" t="s">
        <v>5703</v>
      </c>
      <c r="W1058" s="1" t="s">
        <v>5704</v>
      </c>
      <c r="X1058" s="1" t="s">
        <v>5705</v>
      </c>
      <c r="Y1058" s="1" t="s">
        <v>5706</v>
      </c>
      <c r="Z1058" s="1" t="s">
        <v>5707</v>
      </c>
      <c r="AA1058" s="1" t="s">
        <v>5708</v>
      </c>
      <c r="AB1058" s="1" t="s">
        <v>5709</v>
      </c>
      <c r="AC1058" s="1" t="s">
        <v>5689</v>
      </c>
      <c r="AD1058" s="6" t="s">
        <v>5710</v>
      </c>
      <c r="AE1058" s="1" t="s">
        <v>5711</v>
      </c>
      <c r="AF1058" s="1" t="s">
        <v>5712</v>
      </c>
      <c r="AG1058" s="6" t="s">
        <v>5713</v>
      </c>
      <c r="AH1058" s="1" t="s">
        <v>5714</v>
      </c>
      <c r="AI1058" s="6" t="s">
        <v>132</v>
      </c>
      <c r="AJ1058" s="6" t="s">
        <v>5715</v>
      </c>
      <c r="AK1058" s="1" t="s">
        <v>5716</v>
      </c>
      <c r="AL1058" s="6" t="s">
        <v>5717</v>
      </c>
    </row>
    <row r="1059" ht="15.75" customHeight="1">
      <c r="A1059" s="1" t="s">
        <v>127</v>
      </c>
      <c r="B1059" s="1" t="s">
        <v>22071</v>
      </c>
      <c r="C1059" s="1" t="s">
        <v>22072</v>
      </c>
      <c r="D1059" s="8" t="s">
        <v>22073</v>
      </c>
      <c r="E1059" s="1" t="s">
        <v>22074</v>
      </c>
      <c r="F1059" s="6" t="s">
        <v>132</v>
      </c>
      <c r="G1059" s="1" t="s">
        <v>22075</v>
      </c>
      <c r="H1059" s="1" t="s">
        <v>22076</v>
      </c>
      <c r="I1059" s="1" t="s">
        <v>19030</v>
      </c>
      <c r="J1059" s="6" t="s">
        <v>22077</v>
      </c>
      <c r="K1059" s="1" t="s">
        <v>22078</v>
      </c>
      <c r="L1059" s="1" t="s">
        <v>22079</v>
      </c>
      <c r="M1059" s="1" t="s">
        <v>22080</v>
      </c>
      <c r="N1059" s="6" t="s">
        <v>132</v>
      </c>
      <c r="O1059" s="6" t="s">
        <v>22081</v>
      </c>
      <c r="P1059" s="1" t="s">
        <v>22082</v>
      </c>
      <c r="Q1059" s="1" t="s">
        <v>22083</v>
      </c>
      <c r="R1059" s="1" t="s">
        <v>22084</v>
      </c>
      <c r="S1059" s="10" t="s">
        <v>22085</v>
      </c>
      <c r="T1059" s="1" t="s">
        <v>1220</v>
      </c>
      <c r="U1059" s="1" t="s">
        <v>1221</v>
      </c>
      <c r="V1059" s="1" t="s">
        <v>22086</v>
      </c>
      <c r="W1059" s="1" t="s">
        <v>19039</v>
      </c>
      <c r="X1059" s="1" t="s">
        <v>22087</v>
      </c>
      <c r="Y1059" s="1" t="s">
        <v>19041</v>
      </c>
      <c r="Z1059" s="1" t="s">
        <v>22088</v>
      </c>
      <c r="AA1059" s="1" t="s">
        <v>22089</v>
      </c>
      <c r="AB1059" s="1" t="s">
        <v>22090</v>
      </c>
      <c r="AC1059" s="1" t="s">
        <v>22091</v>
      </c>
      <c r="AD1059" s="6" t="s">
        <v>22092</v>
      </c>
      <c r="AE1059" s="1" t="s">
        <v>22093</v>
      </c>
      <c r="AF1059" s="1" t="s">
        <v>22094</v>
      </c>
      <c r="AG1059" s="6" t="s">
        <v>1230</v>
      </c>
      <c r="AH1059" s="1" t="s">
        <v>22095</v>
      </c>
      <c r="AI1059" s="6" t="s">
        <v>132</v>
      </c>
      <c r="AJ1059" s="6" t="s">
        <v>22096</v>
      </c>
      <c r="AK1059" s="1" t="s">
        <v>22097</v>
      </c>
      <c r="AL1059" s="6" t="s">
        <v>132</v>
      </c>
    </row>
    <row r="1060" ht="15.75" hidden="1" customHeight="1">
      <c r="A1060" s="1" t="s">
        <v>38</v>
      </c>
      <c r="B1060" s="1" t="s">
        <v>22098</v>
      </c>
      <c r="C1060" s="1" t="s">
        <v>22099</v>
      </c>
      <c r="D1060" s="7" t="str">
        <f>IFERROR(__xludf.DUMMYFUNCTION("GOOGLETRANSLATE(C1060, ""en"", ""ar"")"),"الأرجنتين")</f>
        <v>الأرجنتين</v>
      </c>
      <c r="E1060" s="7" t="str">
        <f>IFERROR(__xludf.DUMMYFUNCTION("GOOGLETRANSLATE(C1060, ""en"", ""bg"")"),"Аржентина")</f>
        <v>Аржентина</v>
      </c>
      <c r="F1060" s="6" t="s">
        <v>132</v>
      </c>
      <c r="G1060" s="7" t="str">
        <f>IFERROR(__xludf.DUMMYFUNCTION("GOOGLETRANSLATE(C1060, ""en"", ""cs"")"),"Argentina")</f>
        <v>Argentina</v>
      </c>
      <c r="H1060" s="7" t="str">
        <f>IFERROR(__xludf.DUMMYFUNCTION("GOOGLETRANSLATE(C1060, ""en"", ""da"")"),"Argentina.")</f>
        <v>Argentina.</v>
      </c>
      <c r="I1060" s="1" t="s">
        <v>22100</v>
      </c>
      <c r="J1060" s="6" t="s">
        <v>132</v>
      </c>
      <c r="K1060" s="1" t="s">
        <v>22099</v>
      </c>
      <c r="L1060" s="7" t="str">
        <f>IFERROR(__xludf.DUMMYFUNCTION("GOOGLETRANSLATE(C1060, ""en"", ""fi"")"),"Argentiina")</f>
        <v>Argentiina</v>
      </c>
      <c r="M1060" s="1" t="s">
        <v>22101</v>
      </c>
      <c r="N1060" s="6" t="s">
        <v>132</v>
      </c>
      <c r="O1060" s="6" t="s">
        <v>132</v>
      </c>
      <c r="P1060" s="1" t="s">
        <v>22099</v>
      </c>
      <c r="Q1060" s="7" t="str">
        <f>IFERROR(__xludf.DUMMYFUNCTION("GOOGLETRANSLATE(C1060, ""en"", ""in"")"),"Argentina")</f>
        <v>Argentina</v>
      </c>
      <c r="R1060" s="7" t="str">
        <f>IFERROR(__xludf.DUMMYFUNCTION("GOOGLETRANSLATE(C1060, ""en"", ""it"")"),"Argentina.")</f>
        <v>Argentina.</v>
      </c>
      <c r="S1060" s="6" t="s">
        <v>132</v>
      </c>
      <c r="T1060" s="7" t="str">
        <f>IFERROR(__xludf.DUMMYFUNCTION("GOOGLETRANSLATE(C1060, ""en"", ""ja"")"),"アルゼンチン")</f>
        <v>アルゼンチン</v>
      </c>
      <c r="U1060" s="7" t="str">
        <f>IFERROR(__xludf.DUMMYFUNCTION("GOOGLETRANSLATE(C1060, ""en"", ""ko"")"),"아르헨티나")</f>
        <v>아르헨티나</v>
      </c>
      <c r="V1060" s="7" t="str">
        <f>IFERROR(__xludf.DUMMYFUNCTION("GOOGLETRANSLATE(C1060, ""en"", ""ms"")"),"Argentina.")</f>
        <v>Argentina.</v>
      </c>
      <c r="W1060" s="7" t="str">
        <f>IFERROR(__xludf.DUMMYFUNCTION("GOOGLETRANSLATE(C1060, ""en"", ""nl"")"),"Argentinië")</f>
        <v>Argentinië</v>
      </c>
      <c r="X1060" s="7" t="str">
        <f>IFERROR(__xludf.DUMMYFUNCTION("GOOGLETRANSLATE(C1060, ""en"", ""no"")"),"Argentina")</f>
        <v>Argentina</v>
      </c>
      <c r="Y1060" s="7" t="str">
        <f>IFERROR(__xludf.DUMMYFUNCTION("GOOGLETRANSLATE(C1060, ""en"", ""pl"")"),"Argentyna")</f>
        <v>Argentyna</v>
      </c>
      <c r="Z1060" s="7" t="str">
        <f>IFERROR(__xludf.DUMMYFUNCTION("GOOGLETRANSLATE(C1060, ""en"", ""pt"")"),"Argentina")</f>
        <v>Argentina</v>
      </c>
      <c r="AA1060" s="7" t="str">
        <f>IFERROR(__xludf.DUMMYFUNCTION("GOOGLETRANSLATE(C1060, ""en"", ""ro"")"),"Argentina")</f>
        <v>Argentina</v>
      </c>
      <c r="AB1060" s="1" t="s">
        <v>22102</v>
      </c>
      <c r="AC1060" s="7" t="str">
        <f>IFERROR(__xludf.DUMMYFUNCTION("GOOGLETRANSLATE(C1060, ""en"", ""sk"")"),"Argentina")</f>
        <v>Argentina</v>
      </c>
      <c r="AD1060" s="6" t="s">
        <v>132</v>
      </c>
      <c r="AE1060" s="1" t="s">
        <v>22099</v>
      </c>
      <c r="AF1060" s="7" t="str">
        <f>IFERROR(__xludf.DUMMYFUNCTION("GOOGLETRANSLATE(C1060, ""en"", ""sv"")"),"Argentina")</f>
        <v>Argentina</v>
      </c>
      <c r="AG1060" s="6" t="s">
        <v>132</v>
      </c>
      <c r="AH1060" s="7" t="str">
        <f>IFERROR(__xludf.DUMMYFUNCTION("GOOGLETRANSLATE(C1060, ""en"", ""tr"")"),"Arjantin")</f>
        <v>Arjantin</v>
      </c>
      <c r="AI1060" s="6" t="s">
        <v>132</v>
      </c>
      <c r="AJ1060" s="6" t="s">
        <v>132</v>
      </c>
      <c r="AK1060" s="7" t="str">
        <f>IFERROR(__xludf.DUMMYFUNCTION("GOOGLETRANSLATE(C1060, ""en"", ""zh"")"),"阿根廷")</f>
        <v>阿根廷</v>
      </c>
      <c r="AL1060" s="6" t="s">
        <v>132</v>
      </c>
    </row>
    <row r="1061" ht="15.75" hidden="1" customHeight="1">
      <c r="A1061" s="1" t="s">
        <v>38</v>
      </c>
      <c r="B1061" s="1" t="s">
        <v>22103</v>
      </c>
      <c r="C1061" s="1" t="s">
        <v>22104</v>
      </c>
      <c r="D1061" s="7" t="str">
        <f>IFERROR(__xludf.DUMMYFUNCTION("GOOGLETRANSLATE(C1061, ""en"", ""ar"")"),"رسالة جديدة من:")</f>
        <v>رسالة جديدة من:</v>
      </c>
      <c r="E1061" s="7" t="str">
        <f>IFERROR(__xludf.DUMMYFUNCTION("GOOGLETRANSLATE(C1061, ""en"", ""bg"")"),"Ново съобщение от:")</f>
        <v>Ново съобщение от:</v>
      </c>
      <c r="F1061" s="6" t="s">
        <v>132</v>
      </c>
      <c r="G1061" s="7" t="str">
        <f>IFERROR(__xludf.DUMMYFUNCTION("GOOGLETRANSLATE(C1061, ""en"", ""cs"")"),"Nová zpráva od:")</f>
        <v>Nová zpráva od:</v>
      </c>
      <c r="H1061" s="7" t="str">
        <f>IFERROR(__xludf.DUMMYFUNCTION("GOOGLETRANSLATE(C1061, ""en"", ""da"")"),"Ny besked fra:")</f>
        <v>Ny besked fra:</v>
      </c>
      <c r="I1061" s="1" t="s">
        <v>22105</v>
      </c>
      <c r="J1061" s="6" t="s">
        <v>132</v>
      </c>
      <c r="K1061" s="1" t="s">
        <v>22106</v>
      </c>
      <c r="L1061" s="7" t="str">
        <f>IFERROR(__xludf.DUMMYFUNCTION("GOOGLETRANSLATE(C1061, ""en"", ""fi"")"),"Uusi viesti:")</f>
        <v>Uusi viesti:</v>
      </c>
      <c r="M1061" s="1" t="s">
        <v>22107</v>
      </c>
      <c r="N1061" s="6" t="s">
        <v>132</v>
      </c>
      <c r="O1061" s="6" t="s">
        <v>132</v>
      </c>
      <c r="P1061" s="1" t="s">
        <v>22108</v>
      </c>
      <c r="Q1061" s="7" t="str">
        <f>IFERROR(__xludf.DUMMYFUNCTION("GOOGLETRANSLATE(C1061, ""en"", ""in"")"),"Pesan baru dari:")</f>
        <v>Pesan baru dari:</v>
      </c>
      <c r="R1061" s="7" t="str">
        <f>IFERROR(__xludf.DUMMYFUNCTION("GOOGLETRANSLATE(C1061, ""en"", ""it"")"),"Nuovo messaggio da:")</f>
        <v>Nuovo messaggio da:</v>
      </c>
      <c r="S1061" s="6" t="s">
        <v>132</v>
      </c>
      <c r="T1061" s="7" t="str">
        <f>IFERROR(__xludf.DUMMYFUNCTION("GOOGLETRANSLATE(C1061, ""en"", ""ja"")"),"からの新しいメッセージ")</f>
        <v>からの新しいメッセージ</v>
      </c>
      <c r="U1061" s="7" t="str">
        <f>IFERROR(__xludf.DUMMYFUNCTION("GOOGLETRANSLATE(C1061, ""en"", ""ko"")"),"새로운 메시지 :")</f>
        <v>새로운 메시지 :</v>
      </c>
      <c r="V1061" s="7" t="str">
        <f>IFERROR(__xludf.DUMMYFUNCTION("GOOGLETRANSLATE(C1061, ""en"", ""ms"")"),"Mesej baru dari:")</f>
        <v>Mesej baru dari:</v>
      </c>
      <c r="W1061" s="7" t="str">
        <f>IFERROR(__xludf.DUMMYFUNCTION("GOOGLETRANSLATE(C1061, ""en"", ""nl"")"),"Nieuw bericht van:")</f>
        <v>Nieuw bericht van:</v>
      </c>
      <c r="X1061" s="7" t="str">
        <f>IFERROR(__xludf.DUMMYFUNCTION("GOOGLETRANSLATE(C1061, ""en"", ""no"")"),"Ny melding fra:")</f>
        <v>Ny melding fra:</v>
      </c>
      <c r="Y1061" s="7" t="str">
        <f>IFERROR(__xludf.DUMMYFUNCTION("GOOGLETRANSLATE(C1061, ""en"", ""pl"")"),"Nowa wiadomość od:")</f>
        <v>Nowa wiadomość od:</v>
      </c>
      <c r="Z1061" s="7" t="str">
        <f>IFERROR(__xludf.DUMMYFUNCTION("GOOGLETRANSLATE(C1061, ""en"", ""pt"")"),"Nova mensagem de:")</f>
        <v>Nova mensagem de:</v>
      </c>
      <c r="AA1061" s="7" t="str">
        <f>IFERROR(__xludf.DUMMYFUNCTION("GOOGLETRANSLATE(C1061, ""en"", ""ro"")"),"Mesaj nou de la:")</f>
        <v>Mesaj nou de la:</v>
      </c>
      <c r="AB1061" s="1" t="s">
        <v>22109</v>
      </c>
      <c r="AC1061" s="7" t="str">
        <f>IFERROR(__xludf.DUMMYFUNCTION("GOOGLETRANSLATE(C1061, ""en"", ""sk"")"),"Nová správa z:")</f>
        <v>Nová správa z:</v>
      </c>
      <c r="AD1061" s="6" t="s">
        <v>132</v>
      </c>
      <c r="AE1061" s="1" t="s">
        <v>22110</v>
      </c>
      <c r="AF1061" s="7" t="str">
        <f>IFERROR(__xludf.DUMMYFUNCTION("GOOGLETRANSLATE(C1061, ""en"", ""sv"")"),"Nytt meddelande från:")</f>
        <v>Nytt meddelande från:</v>
      </c>
      <c r="AG1061" s="6" t="s">
        <v>132</v>
      </c>
      <c r="AH1061" s="7" t="str">
        <f>IFERROR(__xludf.DUMMYFUNCTION("GOOGLETRANSLATE(C1061, ""en"", ""tr"")"),"Yeni mesaj:")</f>
        <v>Yeni mesaj:</v>
      </c>
      <c r="AI1061" s="6" t="s">
        <v>132</v>
      </c>
      <c r="AJ1061" s="6" t="s">
        <v>132</v>
      </c>
      <c r="AK1061" s="7" t="str">
        <f>IFERROR(__xludf.DUMMYFUNCTION("GOOGLETRANSLATE(C1061, ""en"", ""zh"")"),"来自：")</f>
        <v>来自：</v>
      </c>
      <c r="AL1061" s="6" t="s">
        <v>132</v>
      </c>
    </row>
    <row r="1062" ht="15.75" customHeight="1">
      <c r="A1062" s="1" t="s">
        <v>8528</v>
      </c>
      <c r="B1062" s="1" t="s">
        <v>22111</v>
      </c>
      <c r="C1062" s="1" t="s">
        <v>22112</v>
      </c>
      <c r="D1062" s="8" t="s">
        <v>22113</v>
      </c>
      <c r="E1062" s="1" t="s">
        <v>22114</v>
      </c>
      <c r="F1062" s="6" t="s">
        <v>132</v>
      </c>
      <c r="G1062" s="1" t="s">
        <v>22115</v>
      </c>
      <c r="H1062" s="1" t="s">
        <v>22116</v>
      </c>
      <c r="I1062" s="1" t="s">
        <v>22117</v>
      </c>
      <c r="J1062" s="6" t="s">
        <v>22118</v>
      </c>
      <c r="K1062" s="1" t="s">
        <v>22119</v>
      </c>
      <c r="L1062" s="1" t="s">
        <v>22120</v>
      </c>
      <c r="M1062" s="1" t="s">
        <v>22121</v>
      </c>
      <c r="N1062" s="6" t="s">
        <v>132</v>
      </c>
      <c r="O1062" s="6" t="s">
        <v>22122</v>
      </c>
      <c r="P1062" s="1" t="s">
        <v>22123</v>
      </c>
      <c r="Q1062" s="1" t="s">
        <v>22124</v>
      </c>
      <c r="R1062" s="13" t="s">
        <v>22125</v>
      </c>
      <c r="S1062" s="10" t="s">
        <v>22126</v>
      </c>
      <c r="T1062" s="1" t="s">
        <v>22127</v>
      </c>
      <c r="U1062" s="1" t="s">
        <v>22128</v>
      </c>
      <c r="V1062" s="1" t="s">
        <v>22129</v>
      </c>
      <c r="W1062" s="1" t="s">
        <v>22130</v>
      </c>
      <c r="X1062" s="1" t="s">
        <v>22131</v>
      </c>
      <c r="Y1062" s="11" t="s">
        <v>22132</v>
      </c>
      <c r="Z1062" s="1" t="s">
        <v>22133</v>
      </c>
      <c r="AA1062" s="1" t="s">
        <v>22134</v>
      </c>
      <c r="AB1062" s="1" t="s">
        <v>22135</v>
      </c>
      <c r="AC1062" s="1" t="s">
        <v>22136</v>
      </c>
      <c r="AD1062" s="6" t="s">
        <v>22137</v>
      </c>
      <c r="AE1062" s="1" t="s">
        <v>22137</v>
      </c>
      <c r="AF1062" s="1" t="s">
        <v>22138</v>
      </c>
      <c r="AG1062" s="6" t="s">
        <v>22139</v>
      </c>
      <c r="AH1062" s="13" t="s">
        <v>22140</v>
      </c>
      <c r="AI1062" s="6" t="s">
        <v>132</v>
      </c>
      <c r="AJ1062" s="6" t="s">
        <v>22141</v>
      </c>
      <c r="AK1062" s="14" t="s">
        <v>22142</v>
      </c>
      <c r="AL1062" s="6" t="s">
        <v>132</v>
      </c>
    </row>
    <row r="1063" ht="15.75" hidden="1" customHeight="1">
      <c r="A1063" s="1" t="s">
        <v>38</v>
      </c>
      <c r="B1063" s="1" t="s">
        <v>22143</v>
      </c>
      <c r="C1063" s="1" t="s">
        <v>22144</v>
      </c>
      <c r="D1063" s="8" t="s">
        <v>22145</v>
      </c>
      <c r="E1063" s="1" t="s">
        <v>22146</v>
      </c>
      <c r="F1063" s="6" t="s">
        <v>22147</v>
      </c>
      <c r="G1063" s="7" t="str">
        <f>IFERROR(__xludf.DUMMYFUNCTION("GOOGLETRANSLATE(C1063, ""en"", ""cs"")"),"Zadejte kontakt")</f>
        <v>Zadejte kontakt</v>
      </c>
      <c r="H1063" s="7" t="str">
        <f>IFERROR(__xludf.DUMMYFUNCTION("GOOGLETRANSLATE(C1063, ""en"", ""da"")"),"Indtast kontaktperson")</f>
        <v>Indtast kontaktperson</v>
      </c>
      <c r="I1063" s="1" t="s">
        <v>22148</v>
      </c>
      <c r="J1063" s="6" t="s">
        <v>132</v>
      </c>
      <c r="K1063" s="1" t="s">
        <v>22149</v>
      </c>
      <c r="L1063" s="7" t="str">
        <f>IFERROR(__xludf.DUMMYFUNCTION("GOOGLETRANSLATE(C1063, ""en"", ""fi"")"),"Anna yhteystieto")</f>
        <v>Anna yhteystieto</v>
      </c>
      <c r="M1063" s="1" t="s">
        <v>22150</v>
      </c>
      <c r="N1063" s="6" t="s">
        <v>22149</v>
      </c>
      <c r="O1063" s="6" t="s">
        <v>132</v>
      </c>
      <c r="P1063" s="1" t="s">
        <v>22151</v>
      </c>
      <c r="Q1063" s="7" t="str">
        <f>IFERROR(__xludf.DUMMYFUNCTION("GOOGLETRANSLATE(C1063, ""en"", ""in"")"),"Masukkan Kontak")</f>
        <v>Masukkan Kontak</v>
      </c>
      <c r="R1063" s="1" t="s">
        <v>22152</v>
      </c>
      <c r="S1063" s="6" t="s">
        <v>132</v>
      </c>
      <c r="T1063" s="1" t="s">
        <v>22153</v>
      </c>
      <c r="U1063" s="1" t="s">
        <v>22154</v>
      </c>
      <c r="V1063" s="7" t="str">
        <f>IFERROR(__xludf.DUMMYFUNCTION("GOOGLETRANSLATE(C1063, ""en"", ""ms"")"),"Masukkan kenalan")</f>
        <v>Masukkan kenalan</v>
      </c>
      <c r="W1063" s="1" t="s">
        <v>22155</v>
      </c>
      <c r="X1063" s="7" t="str">
        <f>IFERROR(__xludf.DUMMYFUNCTION("GOOGLETRANSLATE(C1063, ""en"", ""no"")"),"Skriv inn kontakt")</f>
        <v>Skriv inn kontakt</v>
      </c>
      <c r="Y1063" s="1" t="s">
        <v>22156</v>
      </c>
      <c r="Z1063" s="1" t="s">
        <v>22157</v>
      </c>
      <c r="AA1063" s="7" t="str">
        <f>IFERROR(__xludf.DUMMYFUNCTION("GOOGLETRANSLATE(C1063, ""en"", ""ro"")"),"Introduceți contactul")</f>
        <v>Introduceți contactul</v>
      </c>
      <c r="AB1063" s="1" t="s">
        <v>2346</v>
      </c>
      <c r="AC1063" s="7" t="str">
        <f>IFERROR(__xludf.DUMMYFUNCTION("GOOGLETRANSLATE(C1063, ""en"", ""sk"")"),"Zadajte kontakt")</f>
        <v>Zadajte kontakt</v>
      </c>
      <c r="AD1063" s="6" t="s">
        <v>132</v>
      </c>
      <c r="AE1063" s="1" t="s">
        <v>22158</v>
      </c>
      <c r="AF1063" s="1" t="s">
        <v>22159</v>
      </c>
      <c r="AG1063" s="6" t="s">
        <v>132</v>
      </c>
      <c r="AH1063" s="7" t="str">
        <f>IFERROR(__xludf.DUMMYFUNCTION("GOOGLETRANSLATE(C1063, ""en"", ""tr"")"),"İrtibat Girin")</f>
        <v>İrtibat Girin</v>
      </c>
      <c r="AI1063" s="6" t="s">
        <v>22160</v>
      </c>
      <c r="AJ1063" s="6" t="s">
        <v>22161</v>
      </c>
      <c r="AK1063" s="7" t="str">
        <f>IFERROR(__xludf.DUMMYFUNCTION("GOOGLETRANSLATE(C1063, ""en"", ""zh"")"),"输入联系人")</f>
        <v>输入联系人</v>
      </c>
      <c r="AL1063" s="6" t="s">
        <v>22162</v>
      </c>
    </row>
    <row r="1064" ht="15.75" hidden="1" customHeight="1">
      <c r="A1064" s="1" t="s">
        <v>38</v>
      </c>
      <c r="B1064" s="1" t="s">
        <v>22163</v>
      </c>
      <c r="C1064" s="1" t="s">
        <v>11620</v>
      </c>
      <c r="D1064" s="7" t="str">
        <f>IFERROR(__xludf.DUMMYFUNCTION("GOOGLETRANSLATE(C1064, ""en"", ""ar"")"),"خطأ")</f>
        <v>خطأ</v>
      </c>
      <c r="E1064" s="1" t="s">
        <v>22164</v>
      </c>
      <c r="F1064" s="6" t="s">
        <v>11620</v>
      </c>
      <c r="G1064" s="7" t="str">
        <f>IFERROR(__xludf.DUMMYFUNCTION("GOOGLETRANSLATE(C1064, ""en"", ""cs"")"),"Chyba")</f>
        <v>Chyba</v>
      </c>
      <c r="H1064" s="7" t="str">
        <f>IFERROR(__xludf.DUMMYFUNCTION("GOOGLETRANSLATE(C1064, ""en"", ""da"")"),"Fejl")</f>
        <v>Fejl</v>
      </c>
      <c r="I1064" s="1" t="s">
        <v>22165</v>
      </c>
      <c r="J1064" s="6" t="s">
        <v>132</v>
      </c>
      <c r="K1064" s="1" t="s">
        <v>11620</v>
      </c>
      <c r="L1064" s="7" t="str">
        <f>IFERROR(__xludf.DUMMYFUNCTION("GOOGLETRANSLATE(C1064, ""en"", ""fi"")"),"Virhe")</f>
        <v>Virhe</v>
      </c>
      <c r="M1064" s="1" t="s">
        <v>22166</v>
      </c>
      <c r="N1064" s="6" t="s">
        <v>22167</v>
      </c>
      <c r="O1064" s="6" t="s">
        <v>132</v>
      </c>
      <c r="P1064" s="1" t="s">
        <v>22168</v>
      </c>
      <c r="Q1064" s="7" t="str">
        <f>IFERROR(__xludf.DUMMYFUNCTION("GOOGLETRANSLATE(C1064, ""en"", ""in"")"),"Kesalahan")</f>
        <v>Kesalahan</v>
      </c>
      <c r="R1064" s="1" t="s">
        <v>22169</v>
      </c>
      <c r="S1064" s="6" t="s">
        <v>132</v>
      </c>
      <c r="T1064" s="7" t="str">
        <f>IFERROR(__xludf.DUMMYFUNCTION("GOOGLETRANSLATE(C1064, ""en"", ""ja"")"),"エラー")</f>
        <v>エラー</v>
      </c>
      <c r="U1064" s="7" t="str">
        <f>IFERROR(__xludf.DUMMYFUNCTION("GOOGLETRANSLATE(C1064, ""en"", ""ko"")"),"오류")</f>
        <v>오류</v>
      </c>
      <c r="V1064" s="7" t="str">
        <f>IFERROR(__xludf.DUMMYFUNCTION("GOOGLETRANSLATE(C1064, ""en"", ""ms"")"),"Kesilapan")</f>
        <v>Kesilapan</v>
      </c>
      <c r="W1064" s="1" t="s">
        <v>22170</v>
      </c>
      <c r="X1064" s="7" t="str">
        <f>IFERROR(__xludf.DUMMYFUNCTION("GOOGLETRANSLATE(C1064, ""en"", ""no"")"),"Feil")</f>
        <v>Feil</v>
      </c>
      <c r="Y1064" s="1" t="s">
        <v>22171</v>
      </c>
      <c r="Z1064" s="1" t="s">
        <v>22172</v>
      </c>
      <c r="AA1064" s="7" t="str">
        <f>IFERROR(__xludf.DUMMYFUNCTION("GOOGLETRANSLATE(C1064, ""en"", ""ro"")"),"Eroare")</f>
        <v>Eroare</v>
      </c>
      <c r="AB1064" s="1" t="s">
        <v>22173</v>
      </c>
      <c r="AC1064" s="7" t="str">
        <f>IFERROR(__xludf.DUMMYFUNCTION("GOOGLETRANSLATE(C1064, ""en"", ""sk"")"),"Chyba")</f>
        <v>Chyba</v>
      </c>
      <c r="AD1064" s="6" t="s">
        <v>132</v>
      </c>
      <c r="AE1064" s="1" t="s">
        <v>22164</v>
      </c>
      <c r="AF1064" s="7" t="str">
        <f>IFERROR(__xludf.DUMMYFUNCTION("GOOGLETRANSLATE(C1064, ""en"", ""sv"")"),"Fel")</f>
        <v>Fel</v>
      </c>
      <c r="AG1064" s="6" t="s">
        <v>132</v>
      </c>
      <c r="AH1064" s="7" t="str">
        <f>IFERROR(__xludf.DUMMYFUNCTION("GOOGLETRANSLATE(C1064, ""en"", ""tr"")"),"Hata")</f>
        <v>Hata</v>
      </c>
      <c r="AI1064" s="6" t="s">
        <v>132</v>
      </c>
      <c r="AJ1064" s="6" t="s">
        <v>132</v>
      </c>
      <c r="AK1064" s="7" t="str">
        <f>IFERROR(__xludf.DUMMYFUNCTION("GOOGLETRANSLATE(C1064, ""en"", ""zh"")"),"错误")</f>
        <v>错误</v>
      </c>
      <c r="AL1064" s="6" t="s">
        <v>132</v>
      </c>
    </row>
    <row r="1065" ht="15.75" customHeight="1">
      <c r="A1065" s="1" t="s">
        <v>127</v>
      </c>
      <c r="B1065" s="1" t="s">
        <v>22174</v>
      </c>
      <c r="C1065" s="1" t="s">
        <v>1869</v>
      </c>
      <c r="D1065" s="8" t="s">
        <v>1870</v>
      </c>
      <c r="E1065" s="1" t="s">
        <v>1871</v>
      </c>
      <c r="F1065" s="6" t="s">
        <v>132</v>
      </c>
      <c r="G1065" s="1" t="s">
        <v>1872</v>
      </c>
      <c r="H1065" s="1" t="s">
        <v>1873</v>
      </c>
      <c r="I1065" s="1" t="s">
        <v>22175</v>
      </c>
      <c r="J1065" s="6" t="s">
        <v>1875</v>
      </c>
      <c r="K1065" s="1" t="s">
        <v>22176</v>
      </c>
      <c r="L1065" s="1" t="s">
        <v>1877</v>
      </c>
      <c r="M1065" s="1" t="s">
        <v>22177</v>
      </c>
      <c r="N1065" s="6" t="s">
        <v>132</v>
      </c>
      <c r="O1065" s="6" t="s">
        <v>1879</v>
      </c>
      <c r="P1065" s="1" t="s">
        <v>1880</v>
      </c>
      <c r="Q1065" s="1" t="s">
        <v>1881</v>
      </c>
      <c r="R1065" s="1" t="s">
        <v>1882</v>
      </c>
      <c r="S1065" s="10" t="s">
        <v>1883</v>
      </c>
      <c r="T1065" s="1" t="s">
        <v>22178</v>
      </c>
      <c r="U1065" s="1" t="s">
        <v>1885</v>
      </c>
      <c r="V1065" s="1" t="s">
        <v>1881</v>
      </c>
      <c r="W1065" s="1" t="s">
        <v>1886</v>
      </c>
      <c r="X1065" s="1" t="s">
        <v>1887</v>
      </c>
      <c r="Y1065" s="1" t="s">
        <v>22179</v>
      </c>
      <c r="Z1065" s="1" t="s">
        <v>22180</v>
      </c>
      <c r="AA1065" s="1" t="s">
        <v>1890</v>
      </c>
      <c r="AB1065" s="1" t="s">
        <v>1891</v>
      </c>
      <c r="AC1065" s="1" t="s">
        <v>1872</v>
      </c>
      <c r="AD1065" s="6" t="s">
        <v>22181</v>
      </c>
      <c r="AE1065" s="1" t="s">
        <v>22182</v>
      </c>
      <c r="AF1065" s="1" t="s">
        <v>1894</v>
      </c>
      <c r="AG1065" s="6" t="s">
        <v>1895</v>
      </c>
      <c r="AH1065" s="1" t="s">
        <v>1896</v>
      </c>
      <c r="AI1065" s="6" t="s">
        <v>132</v>
      </c>
      <c r="AJ1065" s="6" t="s">
        <v>1897</v>
      </c>
      <c r="AK1065" s="1" t="s">
        <v>13162</v>
      </c>
      <c r="AL1065" s="6" t="s">
        <v>1899</v>
      </c>
    </row>
    <row r="1066" ht="15.75" hidden="1" customHeight="1">
      <c r="A1066" s="1" t="s">
        <v>38</v>
      </c>
      <c r="B1066" s="1" t="s">
        <v>22183</v>
      </c>
      <c r="C1066" s="1" t="s">
        <v>22184</v>
      </c>
      <c r="D1066" s="8" t="s">
        <v>22185</v>
      </c>
      <c r="E1066" s="1" t="s">
        <v>22186</v>
      </c>
      <c r="F1066" s="6" t="s">
        <v>22187</v>
      </c>
      <c r="G1066" s="7" t="str">
        <f>IFERROR(__xludf.DUMMYFUNCTION("GOOGLETRANSLATE(C1066, ""en"", ""cs"")"),"Smazat kontakt")</f>
        <v>Smazat kontakt</v>
      </c>
      <c r="H1066" s="7" t="str">
        <f>IFERROR(__xludf.DUMMYFUNCTION("GOOGLETRANSLATE(C1066, ""en"", ""da"")"),"Slet Kontakt")</f>
        <v>Slet Kontakt</v>
      </c>
      <c r="I1066" s="1" t="s">
        <v>22188</v>
      </c>
      <c r="J1066" s="6" t="s">
        <v>132</v>
      </c>
      <c r="K1066" s="1" t="s">
        <v>22189</v>
      </c>
      <c r="L1066" s="7" t="str">
        <f>IFERROR(__xludf.DUMMYFUNCTION("GOOGLETRANSLATE(C1066, ""en"", ""fi"")"),"Poista yhteystieto")</f>
        <v>Poista yhteystieto</v>
      </c>
      <c r="M1066" s="1" t="s">
        <v>22190</v>
      </c>
      <c r="N1066" s="6" t="s">
        <v>22189</v>
      </c>
      <c r="O1066" s="6" t="s">
        <v>132</v>
      </c>
      <c r="P1066" s="1" t="s">
        <v>22191</v>
      </c>
      <c r="Q1066" s="7" t="str">
        <f>IFERROR(__xludf.DUMMYFUNCTION("GOOGLETRANSLATE(C1066, ""en"", ""in"")"),"Hapus kontak")</f>
        <v>Hapus kontak</v>
      </c>
      <c r="R1066" s="1" t="s">
        <v>22192</v>
      </c>
      <c r="S1066" s="6" t="s">
        <v>132</v>
      </c>
      <c r="T1066" s="1" t="s">
        <v>22193</v>
      </c>
      <c r="U1066" s="7" t="str">
        <f>IFERROR(__xludf.DUMMYFUNCTION("GOOGLETRANSLATE(C1066, ""en"", ""ko"")"),"연락처 삭제")</f>
        <v>연락처 삭제</v>
      </c>
      <c r="V1066" s="7" t="str">
        <f>IFERROR(__xludf.DUMMYFUNCTION("GOOGLETRANSLATE(C1066, ""en"", ""ms"")"),"Padam Hubungi")</f>
        <v>Padam Hubungi</v>
      </c>
      <c r="W1066" s="1" t="s">
        <v>22194</v>
      </c>
      <c r="X1066" s="7" t="str">
        <f>IFERROR(__xludf.DUMMYFUNCTION("GOOGLETRANSLATE(C1066, ""en"", ""no"")"),"Slett kontakt")</f>
        <v>Slett kontakt</v>
      </c>
      <c r="Y1066" s="1" t="s">
        <v>22195</v>
      </c>
      <c r="Z1066" s="1" t="s">
        <v>22196</v>
      </c>
      <c r="AA1066" s="7" t="str">
        <f>IFERROR(__xludf.DUMMYFUNCTION("GOOGLETRANSLATE(C1066, ""en"", ""ro"")"),"Ștergeți contactul")</f>
        <v>Ștergeți contactul</v>
      </c>
      <c r="AB1066" s="1" t="s">
        <v>22197</v>
      </c>
      <c r="AC1066" s="7" t="str">
        <f>IFERROR(__xludf.DUMMYFUNCTION("GOOGLETRANSLATE(C1066, ""en"", ""sk"")"),"Odstrániť kontakt")</f>
        <v>Odstrániť kontakt</v>
      </c>
      <c r="AD1066" s="6" t="s">
        <v>132</v>
      </c>
      <c r="AE1066" s="1" t="s">
        <v>22198</v>
      </c>
      <c r="AF1066" s="7" t="str">
        <f>IFERROR(__xludf.DUMMYFUNCTION("GOOGLETRANSLATE(C1066, ""en"", ""sv"")"),"Ta bort kontakt")</f>
        <v>Ta bort kontakt</v>
      </c>
      <c r="AG1066" s="6" t="s">
        <v>132</v>
      </c>
      <c r="AH1066" s="7" t="str">
        <f>IFERROR(__xludf.DUMMYFUNCTION("GOOGLETRANSLATE(C1066, ""en"", ""tr"")"),"Kişiyi silmek")</f>
        <v>Kişiyi silmek</v>
      </c>
      <c r="AI1066" s="6" t="s">
        <v>132</v>
      </c>
      <c r="AJ1066" s="6" t="s">
        <v>132</v>
      </c>
      <c r="AK1066" s="7" t="str">
        <f>IFERROR(__xludf.DUMMYFUNCTION("GOOGLETRANSLATE(C1066, ""en"", ""zh"")"),"删除联系人")</f>
        <v>删除联系人</v>
      </c>
      <c r="AL1066" s="6" t="s">
        <v>132</v>
      </c>
    </row>
    <row r="1067" ht="15.75" hidden="1" customHeight="1">
      <c r="A1067" s="1" t="s">
        <v>38</v>
      </c>
      <c r="B1067" s="1" t="s">
        <v>22199</v>
      </c>
      <c r="C1067" s="1" t="s">
        <v>22200</v>
      </c>
      <c r="D1067" s="7" t="str">
        <f>IFERROR(__xludf.DUMMYFUNCTION("GOOGLETRANSLATE(C1067, ""en"", ""ar"")"),"تثبيت orbot.")</f>
        <v>تثبيت orbot.</v>
      </c>
      <c r="E1067" s="1" t="s">
        <v>22201</v>
      </c>
      <c r="F1067" s="6" t="s">
        <v>132</v>
      </c>
      <c r="G1067" s="7" t="str">
        <f>IFERROR(__xludf.DUMMYFUNCTION("GOOGLETRANSLATE(C1067, ""en"", ""cs"")"),"Instalovat Orbot.")</f>
        <v>Instalovat Orbot.</v>
      </c>
      <c r="H1067" s="7" t="str">
        <f>IFERROR(__xludf.DUMMYFUNCTION("GOOGLETRANSLATE(C1067, ""en"", ""da"")"),"Installer Orbot.")</f>
        <v>Installer Orbot.</v>
      </c>
      <c r="I1067" s="1" t="s">
        <v>22202</v>
      </c>
      <c r="J1067" s="6" t="s">
        <v>132</v>
      </c>
      <c r="K1067" s="1" t="s">
        <v>22203</v>
      </c>
      <c r="L1067" s="7" t="str">
        <f>IFERROR(__xludf.DUMMYFUNCTION("GOOGLETRANSLATE(C1067, ""en"", ""fi"")"),"Asenna ORBOT")</f>
        <v>Asenna ORBOT</v>
      </c>
      <c r="M1067" s="7" t="str">
        <f>IFERROR(__xludf.DUMMYFUNCTION("GOOGLETRANSLATE(C1067, ""en"", ""fr"")"),"Installer orbot")</f>
        <v>Installer orbot</v>
      </c>
      <c r="N1067" s="6" t="s">
        <v>22203</v>
      </c>
      <c r="O1067" s="6" t="s">
        <v>132</v>
      </c>
      <c r="P1067" s="7" t="str">
        <f>IFERROR(__xludf.DUMMYFUNCTION("GOOGLETRANSLATE(C1067, ""en"", ""hu"")"),"Telepítse az orbotot")</f>
        <v>Telepítse az orbotot</v>
      </c>
      <c r="Q1067" s="7" t="str">
        <f>IFERROR(__xludf.DUMMYFUNCTION("GOOGLETRANSLATE(C1067, ""en"", ""in"")"),"Instal Orbot.")</f>
        <v>Instal Orbot.</v>
      </c>
      <c r="R1067" s="1" t="s">
        <v>22204</v>
      </c>
      <c r="S1067" s="6" t="s">
        <v>132</v>
      </c>
      <c r="T1067" s="7" t="str">
        <f>IFERROR(__xludf.DUMMYFUNCTION("GOOGLETRANSLATE(C1067, ""en"", ""ja"")"),"orbotをインストールします")</f>
        <v>orbotをインストールします</v>
      </c>
      <c r="U1067" s="7" t="str">
        <f>IFERROR(__xludf.DUMMYFUNCTION("GOOGLETRANSLATE(C1067, ""en"", ""ko"")"),"orbot을 설치하십시오")</f>
        <v>orbot을 설치하십시오</v>
      </c>
      <c r="V1067" s="7" t="str">
        <f>IFERROR(__xludf.DUMMYFUNCTION("GOOGLETRANSLATE(C1067, ""en"", ""ms"")"),"Memasang orbot.")</f>
        <v>Memasang orbot.</v>
      </c>
      <c r="W1067" s="1" t="s">
        <v>22205</v>
      </c>
      <c r="X1067" s="7" t="str">
        <f>IFERROR(__xludf.DUMMYFUNCTION("GOOGLETRANSLATE(C1067, ""en"", ""no"")"),"Installer orbot")</f>
        <v>Installer orbot</v>
      </c>
      <c r="Y1067" s="1" t="s">
        <v>22206</v>
      </c>
      <c r="Z1067" s="7" t="str">
        <f>IFERROR(__xludf.DUMMYFUNCTION("GOOGLETRANSLATE(C1067, ""en"", ""pt"")"),"Instalar orbot.")</f>
        <v>Instalar orbot.</v>
      </c>
      <c r="AA1067" s="7" t="str">
        <f>IFERROR(__xludf.DUMMYFUNCTION("GOOGLETRANSLATE(C1067, ""en"", ""ro"")"),"Instalați orbot.")</f>
        <v>Instalați orbot.</v>
      </c>
      <c r="AB1067" s="7" t="str">
        <f>IFERROR(__xludf.DUMMYFUNCTION("GOOGLETRANSLATE(C1067, ""en"", ""ru"")"),"Установите орбот")</f>
        <v>Установите орбот</v>
      </c>
      <c r="AC1067" s="7" t="str">
        <f>IFERROR(__xludf.DUMMYFUNCTION("GOOGLETRANSLATE(C1067, ""en"", ""sk"")"),"Nainštalovať orbot")</f>
        <v>Nainštalovať orbot</v>
      </c>
      <c r="AD1067" s="6" t="s">
        <v>132</v>
      </c>
      <c r="AE1067" s="7" t="str">
        <f>IFERROR(__xludf.DUMMYFUNCTION("GOOGLETRANSLATE(C1067, ""en"", ""sr"")"),"Инсталирати орбот")</f>
        <v>Инсталирати орбот</v>
      </c>
      <c r="AF1067" s="7" t="str">
        <f>IFERROR(__xludf.DUMMYFUNCTION("GOOGLETRANSLATE(C1067, ""en"", ""sv"")"),"Installera orbot")</f>
        <v>Installera orbot</v>
      </c>
      <c r="AG1067" s="6" t="s">
        <v>132</v>
      </c>
      <c r="AH1067" s="7" t="str">
        <f>IFERROR(__xludf.DUMMYFUNCTION("GOOGLETRANSLATE(C1067, ""en"", ""tr"")"),"Orbot yüklemek")</f>
        <v>Orbot yüklemek</v>
      </c>
      <c r="AI1067" s="6" t="s">
        <v>132</v>
      </c>
      <c r="AJ1067" s="6" t="s">
        <v>132</v>
      </c>
      <c r="AK1067" s="7" t="str">
        <f>IFERROR(__xludf.DUMMYFUNCTION("GOOGLETRANSLATE(C1067, ""en"", ""zh"")"),"安装Orbot.")</f>
        <v>安装Orbot.</v>
      </c>
      <c r="AL1067" s="6" t="s">
        <v>132</v>
      </c>
    </row>
    <row r="1068" ht="15.75" hidden="1" customHeight="1">
      <c r="A1068" s="1" t="s">
        <v>38</v>
      </c>
      <c r="B1068" s="1" t="s">
        <v>22207</v>
      </c>
      <c r="C1068" s="1" t="s">
        <v>22208</v>
      </c>
      <c r="D1068" s="7" t="str">
        <f>IFERROR(__xludf.DUMMYFUNCTION("GOOGLETRANSLATE(C1068, ""en"", ""ar"")"),"لاتفيا")</f>
        <v>لاتفيا</v>
      </c>
      <c r="E1068" s="7" t="str">
        <f>IFERROR(__xludf.DUMMYFUNCTION("GOOGLETRANSLATE(C1068, ""en"", ""bg"")"),"Латвия")</f>
        <v>Латвия</v>
      </c>
      <c r="F1068" s="6" t="s">
        <v>132</v>
      </c>
      <c r="G1068" s="7" t="str">
        <f>IFERROR(__xludf.DUMMYFUNCTION("GOOGLETRANSLATE(C1068, ""en"", ""cs"")"),"Lotyšsko")</f>
        <v>Lotyšsko</v>
      </c>
      <c r="H1068" s="7" t="str">
        <f>IFERROR(__xludf.DUMMYFUNCTION("GOOGLETRANSLATE(C1068, ""en"", ""da"")"),"Letland.")</f>
        <v>Letland.</v>
      </c>
      <c r="I1068" s="1" t="s">
        <v>22209</v>
      </c>
      <c r="J1068" s="6" t="s">
        <v>132</v>
      </c>
      <c r="K1068" s="1" t="s">
        <v>22210</v>
      </c>
      <c r="L1068" s="7" t="str">
        <f>IFERROR(__xludf.DUMMYFUNCTION("GOOGLETRANSLATE(C1068, ""en"", ""fi"")"),"Latvia")</f>
        <v>Latvia</v>
      </c>
      <c r="M1068" s="1" t="s">
        <v>22211</v>
      </c>
      <c r="N1068" s="6" t="s">
        <v>132</v>
      </c>
      <c r="O1068" s="6" t="s">
        <v>132</v>
      </c>
      <c r="P1068" s="1" t="s">
        <v>22208</v>
      </c>
      <c r="Q1068" s="7" t="str">
        <f>IFERROR(__xludf.DUMMYFUNCTION("GOOGLETRANSLATE(C1068, ""en"", ""in"")"),"Latvia")</f>
        <v>Latvia</v>
      </c>
      <c r="R1068" s="7" t="str">
        <f>IFERROR(__xludf.DUMMYFUNCTION("GOOGLETRANSLATE(C1068, ""en"", ""it"")"),"Lettonia")</f>
        <v>Lettonia</v>
      </c>
      <c r="S1068" s="6" t="s">
        <v>132</v>
      </c>
      <c r="T1068" s="7" t="str">
        <f>IFERROR(__xludf.DUMMYFUNCTION("GOOGLETRANSLATE(C1068, ""en"", ""ja"")"),"ラトビア")</f>
        <v>ラトビア</v>
      </c>
      <c r="U1068" s="7" t="str">
        <f>IFERROR(__xludf.DUMMYFUNCTION("GOOGLETRANSLATE(C1068, ""en"", ""ko"")"),"라트비아")</f>
        <v>라트비아</v>
      </c>
      <c r="V1068" s="7" t="str">
        <f>IFERROR(__xludf.DUMMYFUNCTION("GOOGLETRANSLATE(C1068, ""en"", ""ms"")"),"Latvia.")</f>
        <v>Latvia.</v>
      </c>
      <c r="W1068" s="7" t="str">
        <f>IFERROR(__xludf.DUMMYFUNCTION("GOOGLETRANSLATE(C1068, ""en"", ""nl"")"),"Letland")</f>
        <v>Letland</v>
      </c>
      <c r="X1068" s="7" t="str">
        <f>IFERROR(__xludf.DUMMYFUNCTION("GOOGLETRANSLATE(C1068, ""en"", ""no"")"),"Latvia.")</f>
        <v>Latvia.</v>
      </c>
      <c r="Y1068" s="7" t="str">
        <f>IFERROR(__xludf.DUMMYFUNCTION("GOOGLETRANSLATE(C1068, ""en"", ""pl"")"),"Łotwa")</f>
        <v>Łotwa</v>
      </c>
      <c r="Z1068" s="7" t="str">
        <f>IFERROR(__xludf.DUMMYFUNCTION("GOOGLETRANSLATE(C1068, ""en"", ""pt"")"),"Letônia")</f>
        <v>Letônia</v>
      </c>
      <c r="AA1068" s="7" t="str">
        <f>IFERROR(__xludf.DUMMYFUNCTION("GOOGLETRANSLATE(C1068, ""en"", ""ro"")"),"Letonia")</f>
        <v>Letonia</v>
      </c>
      <c r="AB1068" s="1" t="s">
        <v>22212</v>
      </c>
      <c r="AC1068" s="7" t="str">
        <f>IFERROR(__xludf.DUMMYFUNCTION("GOOGLETRANSLATE(C1068, ""en"", ""sk"")"),"Lotyšsko")</f>
        <v>Lotyšsko</v>
      </c>
      <c r="AD1068" s="6" t="s">
        <v>132</v>
      </c>
      <c r="AE1068" s="1" t="s">
        <v>22213</v>
      </c>
      <c r="AF1068" s="7" t="str">
        <f>IFERROR(__xludf.DUMMYFUNCTION("GOOGLETRANSLATE(C1068, ""en"", ""sv"")"),"Lettland")</f>
        <v>Lettland</v>
      </c>
      <c r="AG1068" s="6" t="s">
        <v>132</v>
      </c>
      <c r="AH1068" s="7" t="str">
        <f>IFERROR(__xludf.DUMMYFUNCTION("GOOGLETRANSLATE(C1068, ""en"", ""tr"")"),"Letonya")</f>
        <v>Letonya</v>
      </c>
      <c r="AI1068" s="6" t="s">
        <v>132</v>
      </c>
      <c r="AJ1068" s="6" t="s">
        <v>132</v>
      </c>
      <c r="AK1068" s="7" t="str">
        <f>IFERROR(__xludf.DUMMYFUNCTION("GOOGLETRANSLATE(C1068, ""en"", ""zh"")"),"拉脱维亚")</f>
        <v>拉脱维亚</v>
      </c>
      <c r="AL1068" s="6" t="s">
        <v>132</v>
      </c>
    </row>
    <row r="1069" ht="15.75" customHeight="1">
      <c r="A1069" s="1" t="s">
        <v>127</v>
      </c>
      <c r="B1069" s="1" t="s">
        <v>22214</v>
      </c>
      <c r="C1069" s="1" t="s">
        <v>22215</v>
      </c>
      <c r="D1069" s="8" t="s">
        <v>22216</v>
      </c>
      <c r="E1069" s="1" t="s">
        <v>16637</v>
      </c>
      <c r="F1069" s="6" t="s">
        <v>132</v>
      </c>
      <c r="G1069" s="1" t="s">
        <v>22217</v>
      </c>
      <c r="H1069" s="1" t="s">
        <v>22218</v>
      </c>
      <c r="I1069" s="1" t="s">
        <v>22219</v>
      </c>
      <c r="J1069" s="6" t="s">
        <v>22220</v>
      </c>
      <c r="K1069" s="1" t="s">
        <v>22221</v>
      </c>
      <c r="L1069" s="1" t="s">
        <v>22222</v>
      </c>
      <c r="M1069" s="1" t="s">
        <v>22223</v>
      </c>
      <c r="N1069" s="6" t="s">
        <v>132</v>
      </c>
      <c r="O1069" s="6" t="s">
        <v>22224</v>
      </c>
      <c r="P1069" s="1" t="s">
        <v>16646</v>
      </c>
      <c r="Q1069" s="1" t="s">
        <v>22225</v>
      </c>
      <c r="R1069" s="1" t="s">
        <v>22226</v>
      </c>
      <c r="S1069" s="10" t="s">
        <v>22227</v>
      </c>
      <c r="T1069" s="1" t="s">
        <v>22228</v>
      </c>
      <c r="U1069" s="1" t="s">
        <v>22229</v>
      </c>
      <c r="V1069" s="1" t="s">
        <v>22225</v>
      </c>
      <c r="W1069" s="1" t="s">
        <v>22230</v>
      </c>
      <c r="X1069" s="1" t="s">
        <v>22231</v>
      </c>
      <c r="Y1069" s="1" t="s">
        <v>22232</v>
      </c>
      <c r="Z1069" s="1" t="s">
        <v>22221</v>
      </c>
      <c r="AA1069" s="1" t="s">
        <v>22233</v>
      </c>
      <c r="AB1069" s="1" t="s">
        <v>22234</v>
      </c>
      <c r="AC1069" s="1" t="s">
        <v>22235</v>
      </c>
      <c r="AD1069" s="6" t="s">
        <v>22236</v>
      </c>
      <c r="AE1069" s="1" t="s">
        <v>22237</v>
      </c>
      <c r="AF1069" s="1" t="s">
        <v>22238</v>
      </c>
      <c r="AG1069" s="6" t="s">
        <v>22239</v>
      </c>
      <c r="AH1069" s="1" t="s">
        <v>22240</v>
      </c>
      <c r="AI1069" s="6" t="s">
        <v>132</v>
      </c>
      <c r="AJ1069" s="6" t="s">
        <v>16660</v>
      </c>
      <c r="AK1069" s="1" t="s">
        <v>22241</v>
      </c>
      <c r="AL1069" s="6" t="s">
        <v>22242</v>
      </c>
    </row>
    <row r="1070" ht="15.75" customHeight="1">
      <c r="A1070" s="1" t="s">
        <v>127</v>
      </c>
      <c r="B1070" s="1" t="s">
        <v>22243</v>
      </c>
      <c r="C1070" s="1" t="s">
        <v>22244</v>
      </c>
      <c r="D1070" s="8" t="s">
        <v>22245</v>
      </c>
      <c r="E1070" s="1" t="s">
        <v>22246</v>
      </c>
      <c r="F1070" s="6" t="s">
        <v>132</v>
      </c>
      <c r="G1070" s="1" t="s">
        <v>22247</v>
      </c>
      <c r="H1070" s="1" t="s">
        <v>22248</v>
      </c>
      <c r="I1070" s="1" t="s">
        <v>22249</v>
      </c>
      <c r="J1070" s="6" t="s">
        <v>22250</v>
      </c>
      <c r="K1070" s="1" t="s">
        <v>22251</v>
      </c>
      <c r="L1070" s="1" t="s">
        <v>22252</v>
      </c>
      <c r="M1070" s="1" t="s">
        <v>22253</v>
      </c>
      <c r="N1070" s="6" t="s">
        <v>132</v>
      </c>
      <c r="O1070" s="6" t="s">
        <v>22254</v>
      </c>
      <c r="P1070" s="1" t="s">
        <v>22255</v>
      </c>
      <c r="Q1070" s="1" t="s">
        <v>22256</v>
      </c>
      <c r="R1070" s="1" t="s">
        <v>22257</v>
      </c>
      <c r="S1070" s="10" t="s">
        <v>22258</v>
      </c>
      <c r="T1070" s="1" t="s">
        <v>22259</v>
      </c>
      <c r="U1070" s="1" t="s">
        <v>22260</v>
      </c>
      <c r="V1070" s="1" t="s">
        <v>22261</v>
      </c>
      <c r="W1070" s="1" t="s">
        <v>22262</v>
      </c>
      <c r="X1070" s="1" t="s">
        <v>22263</v>
      </c>
      <c r="Y1070" s="1" t="s">
        <v>22264</v>
      </c>
      <c r="Z1070" s="1" t="s">
        <v>22265</v>
      </c>
      <c r="AA1070" s="1" t="s">
        <v>22266</v>
      </c>
      <c r="AB1070" s="1" t="s">
        <v>22267</v>
      </c>
      <c r="AC1070" s="1" t="s">
        <v>22268</v>
      </c>
      <c r="AD1070" s="6" t="s">
        <v>22269</v>
      </c>
      <c r="AE1070" s="1" t="s">
        <v>22270</v>
      </c>
      <c r="AF1070" s="1" t="s">
        <v>22271</v>
      </c>
      <c r="AG1070" s="6" t="s">
        <v>22272</v>
      </c>
      <c r="AH1070" s="1" t="s">
        <v>22273</v>
      </c>
      <c r="AI1070" s="6" t="s">
        <v>132</v>
      </c>
      <c r="AJ1070" s="6" t="s">
        <v>22274</v>
      </c>
      <c r="AK1070" s="1" t="s">
        <v>22275</v>
      </c>
      <c r="AL1070" s="6" t="s">
        <v>132</v>
      </c>
    </row>
    <row r="1071" ht="15.75" hidden="1" customHeight="1">
      <c r="A1071" s="1" t="s">
        <v>38</v>
      </c>
      <c r="B1071" s="1" t="s">
        <v>22276</v>
      </c>
      <c r="C1071" s="1" t="s">
        <v>22277</v>
      </c>
      <c r="D1071" s="8" t="s">
        <v>22278</v>
      </c>
      <c r="E1071" s="1" t="s">
        <v>22279</v>
      </c>
      <c r="F1071" s="6" t="s">
        <v>22280</v>
      </c>
      <c r="G1071" s="7" t="str">
        <f>IFERROR(__xludf.DUMMYFUNCTION("GOOGLETRANSLATE(C1071, ""en"", ""cs"")"),"% s psaní ...")</f>
        <v>% s psaní ...</v>
      </c>
      <c r="H1071" s="7" t="str">
        <f>IFERROR(__xludf.DUMMYFUNCTION("GOOGLETRANSLATE(C1071, ""en"", ""da"")"),"% s skriver ...")</f>
        <v>% s skriver ...</v>
      </c>
      <c r="I1071" s="1" t="s">
        <v>22281</v>
      </c>
      <c r="J1071" s="6" t="s">
        <v>132</v>
      </c>
      <c r="K1071" s="1" t="s">
        <v>22282</v>
      </c>
      <c r="L1071" s="7" t="str">
        <f>IFERROR(__xludf.DUMMYFUNCTION("GOOGLETRANSLATE(C1071, ""en"", ""fi"")"),"% s kirjoittamalla ...")</f>
        <v>% s kirjoittamalla ...</v>
      </c>
      <c r="M1071" s="1" t="s">
        <v>22283</v>
      </c>
      <c r="N1071" s="6" t="s">
        <v>22284</v>
      </c>
      <c r="O1071" s="6" t="s">
        <v>132</v>
      </c>
      <c r="P1071" s="1" t="s">
        <v>22285</v>
      </c>
      <c r="Q1071" s="7" t="str">
        <f>IFERROR(__xludf.DUMMYFUNCTION("GOOGLETRANSLATE(C1071, ""en"", ""in"")"),"% s adalah mengetik ...")</f>
        <v>% s adalah mengetik ...</v>
      </c>
      <c r="R1071" s="1" t="s">
        <v>22286</v>
      </c>
      <c r="S1071" s="6" t="s">
        <v>132</v>
      </c>
      <c r="T1071" s="1" t="s">
        <v>22287</v>
      </c>
      <c r="U1071" s="1" t="s">
        <v>15992</v>
      </c>
      <c r="V1071" s="7" t="str">
        <f>IFERROR(__xludf.DUMMYFUNCTION("GOOGLETRANSLATE(C1071, ""en"", ""ms"")"),"% s menaip ...")</f>
        <v>% s menaip ...</v>
      </c>
      <c r="W1071" s="1" t="s">
        <v>22288</v>
      </c>
      <c r="X1071" s="7" t="str">
        <f>IFERROR(__xludf.DUMMYFUNCTION("GOOGLETRANSLATE(C1071, ""en"", ""no"")"),"% s er å skrive ...")</f>
        <v>% s er å skrive ...</v>
      </c>
      <c r="Y1071" s="1" t="s">
        <v>22289</v>
      </c>
      <c r="Z1071" s="1" t="s">
        <v>22290</v>
      </c>
      <c r="AA1071" s="7" t="str">
        <f>IFERROR(__xludf.DUMMYFUNCTION("GOOGLETRANSLATE(C1071, ""en"", ""ro"")"),"% s tasking ...")</f>
        <v>% s tasking ...</v>
      </c>
      <c r="AB1071" s="1" t="s">
        <v>22291</v>
      </c>
      <c r="AC1071" s="7" t="str">
        <f>IFERROR(__xludf.DUMMYFUNCTION("GOOGLETRANSLATE(C1071, ""en"", ""sk"")"),"% s ...")</f>
        <v>% s ...</v>
      </c>
      <c r="AD1071" s="6" t="s">
        <v>132</v>
      </c>
      <c r="AE1071" s="1" t="s">
        <v>22292</v>
      </c>
      <c r="AF1071" s="1" t="s">
        <v>15998</v>
      </c>
      <c r="AG1071" s="6" t="s">
        <v>132</v>
      </c>
      <c r="AH1071" s="7" t="str">
        <f>IFERROR(__xludf.DUMMYFUNCTION("GOOGLETRANSLATE(C1071, ""en"", ""tr"")"),"% S yazıyor ...")</f>
        <v>% S yazıyor ...</v>
      </c>
      <c r="AI1071" s="6" t="s">
        <v>22293</v>
      </c>
      <c r="AJ1071" s="6" t="s">
        <v>132</v>
      </c>
      <c r="AK1071" s="7" t="str">
        <f>IFERROR(__xludf.DUMMYFUNCTION("GOOGLETRANSLATE(C1071, ""en"", ""zh"")"),"％s是打字......")</f>
        <v>％s是打字......</v>
      </c>
      <c r="AL1071" s="6" t="s">
        <v>16001</v>
      </c>
    </row>
    <row r="1072" ht="15.75" hidden="1" customHeight="1">
      <c r="A1072" s="1" t="s">
        <v>38</v>
      </c>
      <c r="B1072" s="1" t="s">
        <v>22294</v>
      </c>
      <c r="C1072" s="1" t="s">
        <v>22295</v>
      </c>
      <c r="D1072" s="7" t="str">
        <f>IFERROR(__xludf.DUMMYFUNCTION("GOOGLETRANSLATE(C1072, ""en"", ""ar"")"),"جهازك لا يدعم اختيار التحسين البطارية")</f>
        <v>جهازك لا يدعم اختيار التحسين البطارية</v>
      </c>
      <c r="E1072" s="1" t="s">
        <v>22296</v>
      </c>
      <c r="F1072" s="6" t="s">
        <v>22297</v>
      </c>
      <c r="G1072" s="7" t="str">
        <f>IFERROR(__xludf.DUMMYFUNCTION("GOOGLETRANSLATE(C1072, ""en"", ""cs"")"),"Vaše zařízení nepodporuje volbu z optimalizace baterie")</f>
        <v>Vaše zařízení nepodporuje volbu z optimalizace baterie</v>
      </c>
      <c r="H1072" s="7" t="str">
        <f>IFERROR(__xludf.DUMMYFUNCTION("GOOGLETRANSLATE(C1072, ""en"", ""da"")"),"Din enhed understøtter ikke at vælge ud af batterioptimering")</f>
        <v>Din enhed understøtter ikke at vælge ud af batterioptimering</v>
      </c>
      <c r="I1072" s="1" t="s">
        <v>22298</v>
      </c>
      <c r="J1072" s="6" t="s">
        <v>132</v>
      </c>
      <c r="K1072" s="1" t="s">
        <v>22299</v>
      </c>
      <c r="L1072" s="7" t="str">
        <f>IFERROR(__xludf.DUMMYFUNCTION("GOOGLETRANSLATE(C1072, ""en"", ""fi"")"),"Laite ei tue akun optimointia")</f>
        <v>Laite ei tue akun optimointia</v>
      </c>
      <c r="M1072" s="1" t="s">
        <v>22300</v>
      </c>
      <c r="N1072" s="6" t="s">
        <v>22301</v>
      </c>
      <c r="O1072" s="6" t="s">
        <v>132</v>
      </c>
      <c r="P1072" s="1" t="s">
        <v>22302</v>
      </c>
      <c r="Q1072" s="7" t="str">
        <f>IFERROR(__xludf.DUMMYFUNCTION("GOOGLETRANSLATE(C1072, ""en"", ""in"")"),"Perangkat Anda tidak mendukung opting dari optimasi baterai")</f>
        <v>Perangkat Anda tidak mendukung opting dari optimasi baterai</v>
      </c>
      <c r="R1072" s="1" t="s">
        <v>22303</v>
      </c>
      <c r="S1072" s="6" t="s">
        <v>132</v>
      </c>
      <c r="T1072" s="1" t="s">
        <v>22304</v>
      </c>
      <c r="U1072" s="1" t="s">
        <v>22305</v>
      </c>
      <c r="V1072" s="7" t="str">
        <f>IFERROR(__xludf.DUMMYFUNCTION("GOOGLETRANSLATE(C1072, ""en"", ""ms"")"),"Peranti anda tidak menyokong memilih pengoptimuman bateri")</f>
        <v>Peranti anda tidak menyokong memilih pengoptimuman bateri</v>
      </c>
      <c r="W1072" s="1" t="s">
        <v>22306</v>
      </c>
      <c r="X1072" s="7" t="str">
        <f>IFERROR(__xludf.DUMMYFUNCTION("GOOGLETRANSLATE(C1072, ""en"", ""no"")"),"Enheten støtter ikke å velge ut av batterioptimalisering")</f>
        <v>Enheten støtter ikke å velge ut av batterioptimalisering</v>
      </c>
      <c r="Y1072" s="1" t="s">
        <v>22307</v>
      </c>
      <c r="Z1072" s="1" t="s">
        <v>22308</v>
      </c>
      <c r="AA1072" s="7" t="str">
        <f>IFERROR(__xludf.DUMMYFUNCTION("GOOGLETRANSLATE(C1072, ""en"", ""ro"")"),"Dispozitivul dvs. nu acceptă opțiunea de optimizare a bateriei")</f>
        <v>Dispozitivul dvs. nu acceptă opțiunea de optimizare a bateriei</v>
      </c>
      <c r="AB1072" s="1" t="s">
        <v>22309</v>
      </c>
      <c r="AC1072" s="7" t="str">
        <f>IFERROR(__xludf.DUMMYFUNCTION("GOOGLETRANSLATE(C1072, ""en"", ""sk"")"),"Vaše zariadenie nepodporuje zrušenie optimalizácie batérie")</f>
        <v>Vaše zariadenie nepodporuje zrušenie optimalizácie batérie</v>
      </c>
      <c r="AD1072" s="6" t="s">
        <v>132</v>
      </c>
      <c r="AE1072" s="1" t="s">
        <v>22310</v>
      </c>
      <c r="AF1072" s="1" t="s">
        <v>22311</v>
      </c>
      <c r="AG1072" s="6" t="s">
        <v>132</v>
      </c>
      <c r="AH1072" s="7" t="str">
        <f>IFERROR(__xludf.DUMMYFUNCTION("GOOGLETRANSLATE(C1072, ""en"", ""tr"")"),"Cihazınız pil optimizasyonundan vazgeçmeyi desteklemiyor")</f>
        <v>Cihazınız pil optimizasyonundan vazgeçmeyi desteklemiyor</v>
      </c>
      <c r="AI1072" s="6" t="s">
        <v>22312</v>
      </c>
      <c r="AJ1072" s="6" t="s">
        <v>132</v>
      </c>
      <c r="AK1072" s="7" t="str">
        <f>IFERROR(__xludf.DUMMYFUNCTION("GOOGLETRANSLATE(C1072, ""en"", ""zh"")"),"您的设备不支持选择退出电池优化")</f>
        <v>您的设备不支持选择退出电池优化</v>
      </c>
      <c r="AL1072" s="6" t="s">
        <v>22313</v>
      </c>
    </row>
    <row r="1073" ht="15.75" customHeight="1">
      <c r="A1073" s="1" t="s">
        <v>127</v>
      </c>
      <c r="B1073" s="1" t="s">
        <v>22314</v>
      </c>
      <c r="C1073" s="1" t="s">
        <v>22315</v>
      </c>
      <c r="D1073" s="8" t="s">
        <v>22316</v>
      </c>
      <c r="E1073" s="1" t="s">
        <v>22317</v>
      </c>
      <c r="F1073" s="6" t="s">
        <v>132</v>
      </c>
      <c r="G1073" s="1" t="s">
        <v>22318</v>
      </c>
      <c r="H1073" s="1" t="s">
        <v>22319</v>
      </c>
      <c r="I1073" s="1" t="s">
        <v>22320</v>
      </c>
      <c r="J1073" s="6" t="s">
        <v>22321</v>
      </c>
      <c r="K1073" s="1" t="s">
        <v>22322</v>
      </c>
      <c r="L1073" s="1" t="s">
        <v>22323</v>
      </c>
      <c r="M1073" s="1" t="s">
        <v>22324</v>
      </c>
      <c r="N1073" s="6" t="s">
        <v>132</v>
      </c>
      <c r="O1073" s="6" t="s">
        <v>22325</v>
      </c>
      <c r="P1073" s="1" t="s">
        <v>22326</v>
      </c>
      <c r="Q1073" s="1" t="s">
        <v>22327</v>
      </c>
      <c r="R1073" s="1" t="s">
        <v>22328</v>
      </c>
      <c r="S1073" s="10" t="s">
        <v>22329</v>
      </c>
      <c r="T1073" s="1" t="s">
        <v>22330</v>
      </c>
      <c r="U1073" s="1" t="s">
        <v>22331</v>
      </c>
      <c r="V1073" s="1" t="s">
        <v>22332</v>
      </c>
      <c r="W1073" s="1" t="s">
        <v>22333</v>
      </c>
      <c r="X1073" s="1" t="s">
        <v>22334</v>
      </c>
      <c r="Y1073" s="1" t="s">
        <v>22335</v>
      </c>
      <c r="Z1073" s="1" t="s">
        <v>22336</v>
      </c>
      <c r="AA1073" s="1" t="s">
        <v>22337</v>
      </c>
      <c r="AB1073" s="1" t="s">
        <v>22338</v>
      </c>
      <c r="AC1073" s="1" t="s">
        <v>22339</v>
      </c>
      <c r="AD1073" s="6" t="s">
        <v>22340</v>
      </c>
      <c r="AE1073" s="1" t="s">
        <v>22341</v>
      </c>
      <c r="AF1073" s="1" t="s">
        <v>22342</v>
      </c>
      <c r="AG1073" s="6" t="s">
        <v>22343</v>
      </c>
      <c r="AH1073" s="1" t="s">
        <v>22344</v>
      </c>
      <c r="AI1073" s="6" t="s">
        <v>132</v>
      </c>
      <c r="AJ1073" s="6" t="s">
        <v>22345</v>
      </c>
      <c r="AK1073" s="1" t="s">
        <v>22346</v>
      </c>
      <c r="AL1073" s="6" t="s">
        <v>132</v>
      </c>
    </row>
    <row r="1074" ht="15.75" customHeight="1">
      <c r="A1074" s="1" t="s">
        <v>127</v>
      </c>
      <c r="B1074" s="1" t="s">
        <v>22347</v>
      </c>
      <c r="C1074" s="1" t="s">
        <v>22348</v>
      </c>
      <c r="D1074" s="8" t="s">
        <v>4717</v>
      </c>
      <c r="E1074" s="1" t="s">
        <v>4718</v>
      </c>
      <c r="F1074" s="6" t="s">
        <v>132</v>
      </c>
      <c r="G1074" s="1" t="s">
        <v>22348</v>
      </c>
      <c r="H1074" s="1" t="s">
        <v>22348</v>
      </c>
      <c r="I1074" s="1" t="s">
        <v>22348</v>
      </c>
      <c r="J1074" s="6" t="s">
        <v>22349</v>
      </c>
      <c r="K1074" s="1" t="s">
        <v>22348</v>
      </c>
      <c r="L1074" s="1" t="s">
        <v>22350</v>
      </c>
      <c r="M1074" s="1" t="s">
        <v>22348</v>
      </c>
      <c r="N1074" s="6" t="s">
        <v>132</v>
      </c>
      <c r="O1074" s="6" t="s">
        <v>22351</v>
      </c>
      <c r="P1074" s="1" t="s">
        <v>22352</v>
      </c>
      <c r="Q1074" s="1" t="s">
        <v>22353</v>
      </c>
      <c r="R1074" s="1" t="s">
        <v>22348</v>
      </c>
      <c r="S1074" s="10" t="s">
        <v>4730</v>
      </c>
      <c r="T1074" s="1" t="s">
        <v>22348</v>
      </c>
      <c r="U1074" s="1" t="s">
        <v>4732</v>
      </c>
      <c r="V1074" s="1" t="s">
        <v>22353</v>
      </c>
      <c r="W1074" s="1" t="s">
        <v>22348</v>
      </c>
      <c r="X1074" s="1" t="s">
        <v>22348</v>
      </c>
      <c r="Y1074" s="1" t="s">
        <v>22348</v>
      </c>
      <c r="Z1074" s="1" t="s">
        <v>4723</v>
      </c>
      <c r="AA1074" s="1" t="s">
        <v>22348</v>
      </c>
      <c r="AB1074" s="1" t="s">
        <v>22354</v>
      </c>
      <c r="AC1074" s="1" t="s">
        <v>22348</v>
      </c>
      <c r="AD1074" s="6" t="s">
        <v>22348</v>
      </c>
      <c r="AE1074" s="1" t="s">
        <v>22348</v>
      </c>
      <c r="AF1074" s="1" t="s">
        <v>22348</v>
      </c>
      <c r="AG1074" s="6" t="s">
        <v>4742</v>
      </c>
      <c r="AH1074" s="1" t="s">
        <v>16087</v>
      </c>
      <c r="AI1074" s="6" t="s">
        <v>132</v>
      </c>
      <c r="AJ1074" s="6" t="s">
        <v>22355</v>
      </c>
      <c r="AK1074" s="1" t="s">
        <v>4745</v>
      </c>
      <c r="AL1074" s="6" t="s">
        <v>4746</v>
      </c>
    </row>
    <row r="1075" ht="15.75" customHeight="1">
      <c r="A1075" s="1" t="s">
        <v>127</v>
      </c>
      <c r="B1075" s="1" t="s">
        <v>22356</v>
      </c>
      <c r="C1075" s="1" t="s">
        <v>22357</v>
      </c>
      <c r="D1075" s="8" t="s">
        <v>22358</v>
      </c>
      <c r="E1075" s="1" t="s">
        <v>5937</v>
      </c>
      <c r="F1075" s="6" t="s">
        <v>132</v>
      </c>
      <c r="G1075" s="1" t="s">
        <v>22359</v>
      </c>
      <c r="H1075" s="1" t="s">
        <v>22360</v>
      </c>
      <c r="I1075" s="1" t="s">
        <v>5939</v>
      </c>
      <c r="J1075" s="6" t="s">
        <v>22361</v>
      </c>
      <c r="K1075" s="1" t="s">
        <v>22362</v>
      </c>
      <c r="L1075" s="1" t="s">
        <v>22363</v>
      </c>
      <c r="M1075" s="1" t="s">
        <v>5941</v>
      </c>
      <c r="N1075" s="6" t="s">
        <v>132</v>
      </c>
      <c r="O1075" s="6" t="s">
        <v>22364</v>
      </c>
      <c r="P1075" s="1" t="s">
        <v>22365</v>
      </c>
      <c r="Q1075" s="1" t="s">
        <v>22366</v>
      </c>
      <c r="R1075" s="1" t="s">
        <v>22357</v>
      </c>
      <c r="S1075" s="10" t="s">
        <v>22367</v>
      </c>
      <c r="T1075" s="1" t="s">
        <v>5945</v>
      </c>
      <c r="U1075" s="1" t="s">
        <v>5946</v>
      </c>
      <c r="V1075" s="1" t="s">
        <v>22368</v>
      </c>
      <c r="W1075" s="1" t="s">
        <v>5947</v>
      </c>
      <c r="X1075" s="1" t="s">
        <v>22369</v>
      </c>
      <c r="Y1075" s="1" t="s">
        <v>5948</v>
      </c>
      <c r="Z1075" s="1" t="s">
        <v>22370</v>
      </c>
      <c r="AA1075" s="1" t="s">
        <v>22371</v>
      </c>
      <c r="AB1075" s="1" t="s">
        <v>5950</v>
      </c>
      <c r="AC1075" s="1" t="s">
        <v>22372</v>
      </c>
      <c r="AD1075" s="6" t="s">
        <v>22373</v>
      </c>
      <c r="AE1075" s="1" t="s">
        <v>22374</v>
      </c>
      <c r="AF1075" s="1" t="s">
        <v>5953</v>
      </c>
      <c r="AG1075" s="6" t="s">
        <v>22375</v>
      </c>
      <c r="AH1075" s="1" t="s">
        <v>22376</v>
      </c>
      <c r="AI1075" s="6" t="s">
        <v>132</v>
      </c>
      <c r="AJ1075" s="6" t="s">
        <v>22377</v>
      </c>
      <c r="AK1075" s="1" t="s">
        <v>22378</v>
      </c>
      <c r="AL1075" s="6" t="s">
        <v>22379</v>
      </c>
    </row>
    <row r="1076" ht="15.75" hidden="1" customHeight="1">
      <c r="A1076" s="1" t="s">
        <v>38</v>
      </c>
      <c r="B1076" s="1" t="s">
        <v>22380</v>
      </c>
      <c r="C1076" s="1" t="s">
        <v>22381</v>
      </c>
      <c r="D1076" s="8" t="s">
        <v>22382</v>
      </c>
      <c r="E1076" s="1" t="s">
        <v>22383</v>
      </c>
      <c r="F1076" s="6" t="s">
        <v>22384</v>
      </c>
      <c r="G1076" s="7" t="str">
        <f>IFERROR(__xludf.DUMMYFUNCTION("GOOGLETRANSLATE(C1076, ""en"", ""cs"")"),"Povolit všech účtů")</f>
        <v>Povolit všech účtů</v>
      </c>
      <c r="H1076" s="7" t="str">
        <f>IFERROR(__xludf.DUMMYFUNCTION("GOOGLETRANSLATE(C1076, ""en"", ""da"")"),"Aktivér alle konti.")</f>
        <v>Aktivér alle konti.</v>
      </c>
      <c r="I1076" s="1" t="s">
        <v>22385</v>
      </c>
      <c r="J1076" s="6" t="s">
        <v>132</v>
      </c>
      <c r="K1076" s="1" t="s">
        <v>22386</v>
      </c>
      <c r="L1076" s="7" t="str">
        <f>IFERROR(__xludf.DUMMYFUNCTION("GOOGLETRANSLATE(C1076, ""en"", ""fi"")"),"Ota kaikki tilit käyttöön")</f>
        <v>Ota kaikki tilit käyttöön</v>
      </c>
      <c r="M1076" s="1" t="s">
        <v>22387</v>
      </c>
      <c r="N1076" s="6" t="s">
        <v>22388</v>
      </c>
      <c r="O1076" s="6" t="s">
        <v>132</v>
      </c>
      <c r="P1076" s="1" t="s">
        <v>22389</v>
      </c>
      <c r="Q1076" s="9" t="s">
        <v>22390</v>
      </c>
      <c r="R1076" s="1" t="s">
        <v>22391</v>
      </c>
      <c r="S1076" s="6" t="s">
        <v>132</v>
      </c>
      <c r="T1076" s="1" t="s">
        <v>22392</v>
      </c>
      <c r="U1076" s="1" t="s">
        <v>22393</v>
      </c>
      <c r="V1076" s="7" t="str">
        <f>IFERROR(__xludf.DUMMYFUNCTION("GOOGLETRANSLATE(C1076, ""en"", ""ms"")"),"Dayakan semua akaun")</f>
        <v>Dayakan semua akaun</v>
      </c>
      <c r="W1076" s="1" t="s">
        <v>22394</v>
      </c>
      <c r="X1076" s="7" t="str">
        <f>IFERROR(__xludf.DUMMYFUNCTION("GOOGLETRANSLATE(C1076, ""en"", ""no"")"),"Aktiver alle kontoer")</f>
        <v>Aktiver alle kontoer</v>
      </c>
      <c r="Y1076" s="1" t="s">
        <v>22395</v>
      </c>
      <c r="Z1076" s="1" t="s">
        <v>22396</v>
      </c>
      <c r="AA1076" s="7" t="str">
        <f>IFERROR(__xludf.DUMMYFUNCTION("GOOGLETRANSLATE(C1076, ""en"", ""ro"")"),"Activați toate conturile")</f>
        <v>Activați toate conturile</v>
      </c>
      <c r="AB1076" s="1" t="s">
        <v>22397</v>
      </c>
      <c r="AC1076" s="1" t="s">
        <v>22398</v>
      </c>
      <c r="AD1076" s="6" t="s">
        <v>132</v>
      </c>
      <c r="AE1076" s="1" t="s">
        <v>22399</v>
      </c>
      <c r="AF1076" s="1" t="s">
        <v>22400</v>
      </c>
      <c r="AG1076" s="6" t="s">
        <v>132</v>
      </c>
      <c r="AH1076" s="7" t="str">
        <f>IFERROR(__xludf.DUMMYFUNCTION("GOOGLETRANSLATE(C1076, ""en"", ""tr"")"),"Tüm hesapları etkinleştir")</f>
        <v>Tüm hesapları etkinleştir</v>
      </c>
      <c r="AI1076" s="6" t="s">
        <v>22401</v>
      </c>
      <c r="AJ1076" s="6" t="s">
        <v>22402</v>
      </c>
      <c r="AK1076" s="7" t="str">
        <f>IFERROR(__xludf.DUMMYFUNCTION("GOOGLETRANSLATE(C1076, ""en"", ""zh"")"),"启用所有帐户")</f>
        <v>启用所有帐户</v>
      </c>
      <c r="AL1076" s="6" t="s">
        <v>22403</v>
      </c>
    </row>
    <row r="1077" ht="15.75" hidden="1" customHeight="1">
      <c r="A1077" s="1" t="s">
        <v>38</v>
      </c>
      <c r="B1077" s="1" t="s">
        <v>22404</v>
      </c>
      <c r="C1077" s="1" t="s">
        <v>22405</v>
      </c>
      <c r="D1077" s="8" t="s">
        <v>22406</v>
      </c>
      <c r="E1077" s="1" t="s">
        <v>22407</v>
      </c>
      <c r="F1077" s="6" t="s">
        <v>22408</v>
      </c>
      <c r="G1077" s="7" t="str">
        <f>IFERROR(__xludf.DUMMYFUNCTION("GOOGLETRANSLATE(C1077, ""en"", ""cs"")"),"Poslat nešifrovaný")</f>
        <v>Poslat nešifrovaný</v>
      </c>
      <c r="H1077" s="7" t="str">
        <f>IFERROR(__xludf.DUMMYFUNCTION("GOOGLETRANSLATE(C1077, ""en"", ""da"")"),"Send ukrypteret")</f>
        <v>Send ukrypteret</v>
      </c>
      <c r="I1077" s="1" t="s">
        <v>22409</v>
      </c>
      <c r="J1077" s="6" t="s">
        <v>132</v>
      </c>
      <c r="K1077" s="1" t="s">
        <v>22410</v>
      </c>
      <c r="L1077" s="7" t="str">
        <f>IFERROR(__xludf.DUMMYFUNCTION("GOOGLETRANSLATE(C1077, ""en"", ""fi"")"),"Lähetä salattu")</f>
        <v>Lähetä salattu</v>
      </c>
      <c r="M1077" s="1" t="s">
        <v>22411</v>
      </c>
      <c r="N1077" s="6" t="s">
        <v>22412</v>
      </c>
      <c r="O1077" s="6" t="s">
        <v>132</v>
      </c>
      <c r="P1077" s="1" t="s">
        <v>22413</v>
      </c>
      <c r="Q1077" s="9" t="s">
        <v>22414</v>
      </c>
      <c r="R1077" s="1" t="s">
        <v>22415</v>
      </c>
      <c r="S1077" s="6" t="s">
        <v>132</v>
      </c>
      <c r="T1077" s="1" t="s">
        <v>22416</v>
      </c>
      <c r="U1077" s="1" t="s">
        <v>22417</v>
      </c>
      <c r="V1077" s="7" t="str">
        <f>IFERROR(__xludf.DUMMYFUNCTION("GOOGLETRANSLATE(C1077, ""en"", ""ms"")"),"Hantar Unecrypted.")</f>
        <v>Hantar Unecrypted.</v>
      </c>
      <c r="W1077" s="1" t="s">
        <v>22418</v>
      </c>
      <c r="X1077" s="7" t="str">
        <f>IFERROR(__xludf.DUMMYFUNCTION("GOOGLETRANSLATE(C1077, ""en"", ""no"")"),"Send ukryptert")</f>
        <v>Send ukryptert</v>
      </c>
      <c r="Y1077" s="1" t="s">
        <v>22419</v>
      </c>
      <c r="Z1077" s="1" t="s">
        <v>22420</v>
      </c>
      <c r="AA1077" s="7" t="str">
        <f>IFERROR(__xludf.DUMMYFUNCTION("GOOGLETRANSLATE(C1077, ""en"", ""ro"")"),"Trimiteți necriptat")</f>
        <v>Trimiteți necriptat</v>
      </c>
      <c r="AB1077" s="1" t="s">
        <v>22421</v>
      </c>
      <c r="AC1077" s="1" t="s">
        <v>22422</v>
      </c>
      <c r="AD1077" s="6" t="s">
        <v>132</v>
      </c>
      <c r="AE1077" s="1" t="s">
        <v>22423</v>
      </c>
      <c r="AF1077" s="1" t="s">
        <v>22424</v>
      </c>
      <c r="AG1077" s="6" t="s">
        <v>132</v>
      </c>
      <c r="AH1077" s="7" t="str">
        <f>IFERROR(__xludf.DUMMYFUNCTION("GOOGLETRANSLATE(C1077, ""en"", ""tr"")"),"Şifrelenmemiş gönder")</f>
        <v>Şifrelenmemiş gönder</v>
      </c>
      <c r="AI1077" s="6" t="s">
        <v>22425</v>
      </c>
      <c r="AJ1077" s="6" t="s">
        <v>22426</v>
      </c>
      <c r="AK1077" s="7" t="str">
        <f>IFERROR(__xludf.DUMMYFUNCTION("GOOGLETRANSLATE(C1077, ""en"", ""zh"")"),"发送未加密")</f>
        <v>发送未加密</v>
      </c>
      <c r="AL1077" s="6" t="s">
        <v>22427</v>
      </c>
    </row>
    <row r="1078" ht="15.75" hidden="1" customHeight="1">
      <c r="A1078" s="1" t="s">
        <v>38</v>
      </c>
      <c r="B1078" s="1" t="s">
        <v>22428</v>
      </c>
      <c r="C1078" s="1" t="s">
        <v>22429</v>
      </c>
      <c r="D1078" s="8" t="s">
        <v>22430</v>
      </c>
      <c r="E1078" s="1" t="s">
        <v>22431</v>
      </c>
      <c r="F1078" s="6" t="s">
        <v>22432</v>
      </c>
      <c r="G1078" s="7" t="str">
        <f>IFERROR(__xludf.DUMMYFUNCTION("GOOGLETRANSLATE(C1078, ""en"", ""cs"")"),"Povolit účet")</f>
        <v>Povolit účet</v>
      </c>
      <c r="H1078" s="7" t="str">
        <f>IFERROR(__xludf.DUMMYFUNCTION("GOOGLETRANSLATE(C1078, ""en"", ""da"")"),"Aktivér konto.")</f>
        <v>Aktivér konto.</v>
      </c>
      <c r="I1078" s="1" t="s">
        <v>22433</v>
      </c>
      <c r="J1078" s="6" t="s">
        <v>132</v>
      </c>
      <c r="K1078" s="1" t="s">
        <v>22434</v>
      </c>
      <c r="L1078" s="7" t="str">
        <f>IFERROR(__xludf.DUMMYFUNCTION("GOOGLETRANSLATE(C1078, ""en"", ""fi"")"),"Ota tili käyttöön")</f>
        <v>Ota tili käyttöön</v>
      </c>
      <c r="M1078" s="1" t="s">
        <v>21492</v>
      </c>
      <c r="N1078" s="6" t="s">
        <v>22434</v>
      </c>
      <c r="O1078" s="6" t="s">
        <v>132</v>
      </c>
      <c r="P1078" s="1" t="s">
        <v>22435</v>
      </c>
      <c r="Q1078" s="9" t="s">
        <v>22436</v>
      </c>
      <c r="R1078" s="1" t="s">
        <v>22437</v>
      </c>
      <c r="S1078" s="6" t="s">
        <v>132</v>
      </c>
      <c r="T1078" s="1" t="s">
        <v>22438</v>
      </c>
      <c r="U1078" s="1" t="s">
        <v>22439</v>
      </c>
      <c r="V1078" s="7" t="str">
        <f>IFERROR(__xludf.DUMMYFUNCTION("GOOGLETRANSLATE(C1078, ""en"", ""ms"")"),"Dayakan akaun")</f>
        <v>Dayakan akaun</v>
      </c>
      <c r="W1078" s="1" t="s">
        <v>22440</v>
      </c>
      <c r="X1078" s="7" t="str">
        <f>IFERROR(__xludf.DUMMYFUNCTION("GOOGLETRANSLATE(C1078, ""en"", ""no"")"),"Aktiver konto")</f>
        <v>Aktiver konto</v>
      </c>
      <c r="Y1078" s="1" t="s">
        <v>22441</v>
      </c>
      <c r="Z1078" s="1" t="s">
        <v>22442</v>
      </c>
      <c r="AA1078" s="7" t="str">
        <f>IFERROR(__xludf.DUMMYFUNCTION("GOOGLETRANSLATE(C1078, ""en"", ""ro"")"),"Activați cont.")</f>
        <v>Activați cont.</v>
      </c>
      <c r="AB1078" s="1" t="s">
        <v>22443</v>
      </c>
      <c r="AC1078" s="1" t="s">
        <v>22444</v>
      </c>
      <c r="AD1078" s="6" t="s">
        <v>132</v>
      </c>
      <c r="AE1078" s="1" t="s">
        <v>22445</v>
      </c>
      <c r="AF1078" s="1" t="s">
        <v>22446</v>
      </c>
      <c r="AG1078" s="6" t="s">
        <v>132</v>
      </c>
      <c r="AH1078" s="7" t="str">
        <f>IFERROR(__xludf.DUMMYFUNCTION("GOOGLETRANSLATE(C1078, ""en"", ""tr"")"),"Hesap Etkinleştir")</f>
        <v>Hesap Etkinleştir</v>
      </c>
      <c r="AI1078" s="6" t="s">
        <v>22447</v>
      </c>
      <c r="AJ1078" s="6" t="s">
        <v>22448</v>
      </c>
      <c r="AK1078" s="7" t="str">
        <f>IFERROR(__xludf.DUMMYFUNCTION("GOOGLETRANSLATE(C1078, ""en"", ""zh"")"),"启用帐户")</f>
        <v>启用帐户</v>
      </c>
      <c r="AL1078" s="6" t="s">
        <v>22449</v>
      </c>
    </row>
    <row r="1079" ht="15.75" hidden="1" customHeight="1">
      <c r="A1079" s="1" t="s">
        <v>38</v>
      </c>
      <c r="B1079" s="1" t="s">
        <v>22450</v>
      </c>
      <c r="C1079" s="1" t="s">
        <v>22451</v>
      </c>
      <c r="D1079" s="7" t="str">
        <f>IFERROR(__xludf.DUMMYFUNCTION("GOOGLETRANSLATE(C1079, ""en"", ""ar"")"),"إعادة إرسال الرسائل القصيرة (٪ s)")</f>
        <v>إعادة إرسال الرسائل القصيرة (٪ s)</v>
      </c>
      <c r="E1079" s="1" t="s">
        <v>22452</v>
      </c>
      <c r="F1079" s="6" t="s">
        <v>132</v>
      </c>
      <c r="G1079" s="7" t="str">
        <f>IFERROR(__xludf.DUMMYFUNCTION("GOOGLETRANSLATE(C1079, ""en"", ""cs"")"),"Resend SMS (% s)")</f>
        <v>Resend SMS (% s)</v>
      </c>
      <c r="H1079" s="7" t="str">
        <f>IFERROR(__xludf.DUMMYFUNCTION("GOOGLETRANSLATE(C1079, ""en"", ""da"")"),"Ser til SMS (% s)")</f>
        <v>Ser til SMS (% s)</v>
      </c>
      <c r="I1079" s="1" t="s">
        <v>22453</v>
      </c>
      <c r="J1079" s="6" t="s">
        <v>132</v>
      </c>
      <c r="K1079" s="1" t="s">
        <v>22454</v>
      </c>
      <c r="L1079" s="7" t="str">
        <f>IFERROR(__xludf.DUMMYFUNCTION("GOOGLETRANSLATE(C1079, ""en"", ""fi"")"),"Lähetä tekstiviesti uudelleen (% s)")</f>
        <v>Lähetä tekstiviesti uudelleen (% s)</v>
      </c>
      <c r="M1079" s="7" t="str">
        <f>IFERROR(__xludf.DUMMYFUNCTION("GOOGLETRANSLATE(C1079, ""en"", ""fr"")"),"Renvoyer des SMS (% s)")</f>
        <v>Renvoyer des SMS (% s)</v>
      </c>
      <c r="N1079" s="6" t="s">
        <v>22454</v>
      </c>
      <c r="O1079" s="6" t="s">
        <v>132</v>
      </c>
      <c r="P1079" s="1" t="s">
        <v>22455</v>
      </c>
      <c r="Q1079" s="7" t="str">
        <f>IFERROR(__xludf.DUMMYFUNCTION("GOOGLETRANSLATE(C1079, ""en"", ""in"")"),"Kirim ulang SMS (% S)")</f>
        <v>Kirim ulang SMS (% S)</v>
      </c>
      <c r="R1079" s="1" t="s">
        <v>22456</v>
      </c>
      <c r="S1079" s="6" t="s">
        <v>132</v>
      </c>
      <c r="T1079" s="7" t="str">
        <f>IFERROR(__xludf.DUMMYFUNCTION("GOOGLETRANSLATE(C1079, ""en"", ""ja"")"),"SMSを再送信する（％S）")</f>
        <v>SMSを再送信する（％S）</v>
      </c>
      <c r="U1079" s="7" t="str">
        <f>IFERROR(__xludf.DUMMYFUNCTION("GOOGLETRANSLATE(C1079, ""en"", ""ko"")"),"SMS 재발행 (% s)")</f>
        <v>SMS 재발행 (% s)</v>
      </c>
      <c r="V1079" s="7" t="str">
        <f>IFERROR(__xludf.DUMMYFUNCTION("GOOGLETRANSLATE(C1079, ""en"", ""ms"")"),"Memulakan SMS (% s)")</f>
        <v>Memulakan SMS (% s)</v>
      </c>
      <c r="W1079" s="1" t="s">
        <v>22457</v>
      </c>
      <c r="X1079" s="7" t="str">
        <f>IFERROR(__xludf.DUMMYFUNCTION("GOOGLETRANSLATE(C1079, ""en"", ""no"")"),"Resend sms (% s)")</f>
        <v>Resend sms (% s)</v>
      </c>
      <c r="Y1079" s="1" t="s">
        <v>22458</v>
      </c>
      <c r="Z1079" s="7" t="str">
        <f>IFERROR(__xludf.DUMMYFUNCTION("GOOGLETRANSLATE(C1079, ""en"", ""pt"")"),"Reenviar sms (% s)")</f>
        <v>Reenviar sms (% s)</v>
      </c>
      <c r="AA1079" s="7" t="str">
        <f>IFERROR(__xludf.DUMMYFUNCTION("GOOGLETRANSLATE(C1079, ""en"", ""ro"")"),"Retrimiteți SMS (% s)")</f>
        <v>Retrimiteți SMS (% s)</v>
      </c>
      <c r="AB1079" s="7" t="str">
        <f>IFERROR(__xludf.DUMMYFUNCTION("GOOGLETRANSLATE(C1079, ""en"", ""ru"")"),"Отправлять SMS (% ы)")</f>
        <v>Отправлять SMS (% ы)</v>
      </c>
      <c r="AC1079" s="7" t="str">
        <f>IFERROR(__xludf.DUMMYFUNCTION("GOOGLETRANSLATE(C1079, ""en"", ""sk"")"),"Resend SMS (% s)")</f>
        <v>Resend SMS (% s)</v>
      </c>
      <c r="AD1079" s="6" t="s">
        <v>132</v>
      </c>
      <c r="AE1079" s="7" t="str">
        <f>IFERROR(__xludf.DUMMYFUNCTION("GOOGLETRANSLATE(C1079, ""en"", ""sr"")"),"Поново пошаље СМС (% с)")</f>
        <v>Поново пошаље СМС (% с)</v>
      </c>
      <c r="AF1079" s="7" t="str">
        <f>IFERROR(__xludf.DUMMYFUNCTION("GOOGLETRANSLATE(C1079, ""en"", ""sv"")"),"Skicka SMS (% s)")</f>
        <v>Skicka SMS (% s)</v>
      </c>
      <c r="AG1079" s="6" t="s">
        <v>132</v>
      </c>
      <c r="AH1079" s="7" t="str">
        <f>IFERROR(__xludf.DUMMYFUNCTION("GOOGLETRANSLATE(C1079, ""en"", ""tr"")"),"SMS (% s) yeniden gönder")</f>
        <v>SMS (% s) yeniden gönder</v>
      </c>
      <c r="AI1079" s="6" t="s">
        <v>132</v>
      </c>
      <c r="AJ1079" s="6" t="s">
        <v>132</v>
      </c>
      <c r="AK1079" s="7" t="str">
        <f>IFERROR(__xludf.DUMMYFUNCTION("GOOGLETRANSLATE(C1079, ""en"", ""zh"")"),"重新发送短信（％s）")</f>
        <v>重新发送短信（％s）</v>
      </c>
      <c r="AL1079" s="6" t="s">
        <v>132</v>
      </c>
    </row>
    <row r="1080" ht="15.75" hidden="1" customHeight="1">
      <c r="A1080" s="1" t="s">
        <v>38</v>
      </c>
      <c r="B1080" s="1" t="s">
        <v>22459</v>
      </c>
      <c r="C1080" s="1" t="s">
        <v>22460</v>
      </c>
      <c r="D1080" s="7" t="str">
        <f>IFERROR(__xludf.DUMMYFUNCTION("GOOGLETRANSLATE(C1080, ""en"", ""ar"")"),"هل أنت متأكد أنك تريد حذف جميع الرسائل ضمن هذه المحادثة؟ \ n \ n")</f>
        <v>هل أنت متأكد أنك تريد حذف جميع الرسائل ضمن هذه المحادثة؟ \ n \ n</v>
      </c>
      <c r="E1080" s="1" t="s">
        <v>22461</v>
      </c>
      <c r="F1080" s="6" t="s">
        <v>22462</v>
      </c>
      <c r="G1080" s="7" t="str">
        <f>IFERROR(__xludf.DUMMYFUNCTION("GOOGLETRANSLATE(C1080, ""en"", ""cs"")"),"Opravdu chcete odstranit všechny zprávy v rámci této konverzace? N \ n")</f>
        <v>Opravdu chcete odstranit všechny zprávy v rámci této konverzace? N \ n</v>
      </c>
      <c r="H1080" s="7" t="str">
        <f>IFERROR(__xludf.DUMMYFUNCTION("GOOGLETRANSLATE(C1080, ""en"", ""da"")"),"Er du sikker på, at du vil slette alle meddelelser inden for denne samtale? \ N \ n")</f>
        <v>Er du sikker på, at du vil slette alle meddelelser inden for denne samtale? \ N \ n</v>
      </c>
      <c r="I1080" s="1" t="s">
        <v>22463</v>
      </c>
      <c r="J1080" s="6" t="s">
        <v>132</v>
      </c>
      <c r="K1080" s="1" t="s">
        <v>22464</v>
      </c>
      <c r="L1080" s="7" t="str">
        <f>IFERROR(__xludf.DUMMYFUNCTION("GOOGLETRANSLATE(C1080, ""en"", ""fi"")"),"Haluatko varmasti poistaa kaikki tämän keskustelun viestit? \ N \ n")</f>
        <v>Haluatko varmasti poistaa kaikki tämän keskustelun viestit? \ N \ n</v>
      </c>
      <c r="M1080" s="1" t="s">
        <v>22465</v>
      </c>
      <c r="N1080" s="6" t="s">
        <v>22466</v>
      </c>
      <c r="O1080" s="6" t="s">
        <v>132</v>
      </c>
      <c r="P1080" s="1" t="s">
        <v>22467</v>
      </c>
      <c r="Q1080" s="7" t="str">
        <f>IFERROR(__xludf.DUMMYFUNCTION("GOOGLETRANSLATE(C1080, ""en"", ""in"")"),"Apakah Anda yakin ingin menghapus semua pesan dalam percakapan ini? \ N \ n")</f>
        <v>Apakah Anda yakin ingin menghapus semua pesan dalam percakapan ini? \ N \ n</v>
      </c>
      <c r="R1080" s="1" t="s">
        <v>22468</v>
      </c>
      <c r="S1080" s="6" t="s">
        <v>132</v>
      </c>
      <c r="T1080" s="7" t="str">
        <f>IFERROR(__xludf.DUMMYFUNCTION("GOOGLETRANSLATE(C1080, ""en"", ""ja"")"),"この会話内のすべてのメッセージを削除してもよろしいですか？\ n \ n")</f>
        <v>この会話内のすべてのメッセージを削除してもよろしいですか？\ n \ n</v>
      </c>
      <c r="U1080" s="7" t="str">
        <f>IFERROR(__xludf.DUMMYFUNCTION("GOOGLETRANSLATE(C1080, ""en"", ""ko"")"),"이 대화에서 모든 메시지를 삭제 하시겠습니까? \ n \ n")</f>
        <v>이 대화에서 모든 메시지를 삭제 하시겠습니까? \ n \ n</v>
      </c>
      <c r="V1080" s="7" t="str">
        <f>IFERROR(__xludf.DUMMYFUNCTION("GOOGLETRANSLATE(C1080, ""en"", ""ms"")"),"Adakah anda pasti anda mahu memadam semua mesej dalam perbualan ini? \ N \ n")</f>
        <v>Adakah anda pasti anda mahu memadam semua mesej dalam perbualan ini? \ N \ n</v>
      </c>
      <c r="W1080" s="1" t="s">
        <v>22469</v>
      </c>
      <c r="X1080" s="7" t="str">
        <f>IFERROR(__xludf.DUMMYFUNCTION("GOOGLETRANSLATE(C1080, ""en"", ""no"")"),"Er du sikker på at du vil slette alle meldinger i denne samtalen? \ N \ n")</f>
        <v>Er du sikker på at du vil slette alle meldinger i denne samtalen? \ N \ n</v>
      </c>
      <c r="Y1080" s="1" t="s">
        <v>22470</v>
      </c>
      <c r="Z1080" s="7" t="str">
        <f>IFERROR(__xludf.DUMMYFUNCTION("GOOGLETRANSLATE(C1080, ""en"", ""pt"")"),"Tem certeza de que deseja excluir todas as mensagens dentro dessa conversa? \ N \ n")</f>
        <v>Tem certeza de que deseja excluir todas as mensagens dentro dessa conversa? \ N \ n</v>
      </c>
      <c r="AA1080" s="7" t="str">
        <f>IFERROR(__xludf.DUMMYFUNCTION("GOOGLETRANSLATE(C1080, ""en"", ""ro"")"),"Sigur doriți să ștergeți toate mesajele din această conversație? \ N \ n")</f>
        <v>Sigur doriți să ștergeți toate mesajele din această conversație? \ N \ n</v>
      </c>
      <c r="AB1080" s="1" t="s">
        <v>22471</v>
      </c>
      <c r="AC1080" s="7" t="str">
        <f>IFERROR(__xludf.DUMMYFUNCTION("GOOGLETRANSLATE(C1080, ""en"", ""sk"")"),"Ste si istý, že chcete vymazať všetky správy v rámci tejto konverzácie? \ N")</f>
        <v>Ste si istý, že chcete vymazať všetky správy v rámci tejto konverzácie? \ N</v>
      </c>
      <c r="AD1080" s="6" t="s">
        <v>132</v>
      </c>
      <c r="AE1080" s="7" t="str">
        <f>IFERROR(__xludf.DUMMYFUNCTION("GOOGLETRANSLATE(C1080, ""en"", ""sr"")"),"Јесте ли сигурни да желите да избришете све поруке у овом разговору? \ Н \ н")</f>
        <v>Јесте ли сигурни да желите да избришете све поруке у овом разговору? \ Н \ н</v>
      </c>
      <c r="AF1080" s="7" t="str">
        <f>IFERROR(__xludf.DUMMYFUNCTION("GOOGLETRANSLATE(C1080, ""en"", ""sv"")"),"Är du säker på att du vill radera alla meddelanden inom den här konversationen? \ N \ n")</f>
        <v>Är du säker på att du vill radera alla meddelanden inom den här konversationen? \ N \ n</v>
      </c>
      <c r="AG1080" s="6" t="s">
        <v>132</v>
      </c>
      <c r="AH1080" s="7" t="str">
        <f>IFERROR(__xludf.DUMMYFUNCTION("GOOGLETRANSLATE(C1080, ""en"", ""tr"")"),"Bu konuşmanın içindeki tüm mesajları silmek istediğinize emin misiniz? \ N \ n")</f>
        <v>Bu konuşmanın içindeki tüm mesajları silmek istediğinize emin misiniz? \ N \ n</v>
      </c>
      <c r="AI1080" s="6" t="s">
        <v>132</v>
      </c>
      <c r="AJ1080" s="6" t="s">
        <v>132</v>
      </c>
      <c r="AK1080" s="7" t="str">
        <f>IFERROR(__xludf.DUMMYFUNCTION("GOOGLETRANSLATE(C1080, ""en"", ""zh"")"),"您确定要删除此对话中的所有消息吗？\ n \ n")</f>
        <v>您确定要删除此对话中的所有消息吗？\ n \ n</v>
      </c>
      <c r="AL1080" s="6" t="s">
        <v>132</v>
      </c>
    </row>
    <row r="1081" ht="15.75" hidden="1" customHeight="1">
      <c r="A1081" s="1" t="s">
        <v>38</v>
      </c>
      <c r="B1081" s="1" t="s">
        <v>22472</v>
      </c>
      <c r="C1081" s="1" t="s">
        <v>22473</v>
      </c>
      <c r="D1081" s="7" t="str">
        <f>IFERROR(__xludf.DUMMYFUNCTION("GOOGLETRANSLATE(C1081, ""en"", ""ar"")"),"المغرب والصحراء الغربية")</f>
        <v>المغرب والصحراء الغربية</v>
      </c>
      <c r="E1081" s="7" t="str">
        <f>IFERROR(__xludf.DUMMYFUNCTION("GOOGLETRANSLATE(C1081, ""en"", ""bg"")"),"Мароко и Западна Сахара")</f>
        <v>Мароко и Западна Сахара</v>
      </c>
      <c r="F1081" s="6" t="s">
        <v>132</v>
      </c>
      <c r="G1081" s="7" t="str">
        <f>IFERROR(__xludf.DUMMYFUNCTION("GOOGLETRANSLATE(C1081, ""en"", ""cs"")"),"Maroko a Západní Sahara")</f>
        <v>Maroko a Západní Sahara</v>
      </c>
      <c r="H1081" s="7" t="str">
        <f>IFERROR(__xludf.DUMMYFUNCTION("GOOGLETRANSLATE(C1081, ""en"", ""da"")"),"Marokko og Vestsahara")</f>
        <v>Marokko og Vestsahara</v>
      </c>
      <c r="I1081" s="1" t="s">
        <v>22474</v>
      </c>
      <c r="J1081" s="6" t="s">
        <v>132</v>
      </c>
      <c r="K1081" s="1" t="s">
        <v>22475</v>
      </c>
      <c r="L1081" s="7" t="str">
        <f>IFERROR(__xludf.DUMMYFUNCTION("GOOGLETRANSLATE(C1081, ""en"", ""fi"")"),"Marokko ja Länsi Sahara")</f>
        <v>Marokko ja Länsi Sahara</v>
      </c>
      <c r="M1081" s="1" t="s">
        <v>22476</v>
      </c>
      <c r="N1081" s="6" t="s">
        <v>132</v>
      </c>
      <c r="O1081" s="6" t="s">
        <v>132</v>
      </c>
      <c r="P1081" s="1" t="s">
        <v>22473</v>
      </c>
      <c r="Q1081" s="7" t="str">
        <f>IFERROR(__xludf.DUMMYFUNCTION("GOOGLETRANSLATE(C1081, ""en"", ""in"")"),"Maroko dan Sahara Barat")</f>
        <v>Maroko dan Sahara Barat</v>
      </c>
      <c r="R1081" s="7" t="str">
        <f>IFERROR(__xludf.DUMMYFUNCTION("GOOGLETRANSLATE(C1081, ""en"", ""it"")"),"Marocco e Sahara occidentale")</f>
        <v>Marocco e Sahara occidentale</v>
      </c>
      <c r="S1081" s="6" t="s">
        <v>132</v>
      </c>
      <c r="T1081" s="7" t="str">
        <f>IFERROR(__xludf.DUMMYFUNCTION("GOOGLETRANSLATE(C1081, ""en"", ""ja"")"),"モロッコと西サハラ")</f>
        <v>モロッコと西サハラ</v>
      </c>
      <c r="U1081" s="7" t="str">
        <f>IFERROR(__xludf.DUMMYFUNCTION("GOOGLETRANSLATE(C1081, ""en"", ""ko"")"),"모로코와 서부 사하라")</f>
        <v>모로코와 서부 사하라</v>
      </c>
      <c r="V1081" s="7" t="str">
        <f>IFERROR(__xludf.DUMMYFUNCTION("GOOGLETRANSLATE(C1081, ""en"", ""ms"")"),"Maghribi dan Sahara Barat")</f>
        <v>Maghribi dan Sahara Barat</v>
      </c>
      <c r="W1081" s="7" t="str">
        <f>IFERROR(__xludf.DUMMYFUNCTION("GOOGLETRANSLATE(C1081, ""en"", ""nl"")"),"Marokko en West-Sahara")</f>
        <v>Marokko en West-Sahara</v>
      </c>
      <c r="X1081" s="7" t="str">
        <f>IFERROR(__xludf.DUMMYFUNCTION("GOOGLETRANSLATE(C1081, ""en"", ""no"")"),"Marokko og Vest-Sahara")</f>
        <v>Marokko og Vest-Sahara</v>
      </c>
      <c r="Y1081" s="7" t="str">
        <f>IFERROR(__xludf.DUMMYFUNCTION("GOOGLETRANSLATE(C1081, ""en"", ""pl"")"),"Maroko i Sahara Zachodnia")</f>
        <v>Maroko i Sahara Zachodnia</v>
      </c>
      <c r="Z1081" s="7" t="str">
        <f>IFERROR(__xludf.DUMMYFUNCTION("GOOGLETRANSLATE(C1081, ""en"", ""pt"")"),"Marrocos e Sahara Ocidental")</f>
        <v>Marrocos e Sahara Ocidental</v>
      </c>
      <c r="AA1081" s="7" t="str">
        <f>IFERROR(__xludf.DUMMYFUNCTION("GOOGLETRANSLATE(C1081, ""en"", ""ro"")"),"Maroc și Sahara de Vest")</f>
        <v>Maroc și Sahara de Vest</v>
      </c>
      <c r="AB1081" s="1" t="s">
        <v>22477</v>
      </c>
      <c r="AC1081" s="7" t="str">
        <f>IFERROR(__xludf.DUMMYFUNCTION("GOOGLETRANSLATE(C1081, ""en"", ""sk"")"),"Maroko a Západná Sahara")</f>
        <v>Maroko a Západná Sahara</v>
      </c>
      <c r="AD1081" s="6" t="s">
        <v>132</v>
      </c>
      <c r="AE1081" s="1" t="s">
        <v>22478</v>
      </c>
      <c r="AF1081" s="7" t="str">
        <f>IFERROR(__xludf.DUMMYFUNCTION("GOOGLETRANSLATE(C1081, ""en"", ""sv"")"),"Marocko och västra Sahara")</f>
        <v>Marocko och västra Sahara</v>
      </c>
      <c r="AG1081" s="6" t="s">
        <v>132</v>
      </c>
      <c r="AH1081" s="7" t="str">
        <f>IFERROR(__xludf.DUMMYFUNCTION("GOOGLETRANSLATE(C1081, ""en"", ""tr"")"),"Fas ve Batı Sahra")</f>
        <v>Fas ve Batı Sahra</v>
      </c>
      <c r="AI1081" s="6" t="s">
        <v>132</v>
      </c>
      <c r="AJ1081" s="6" t="s">
        <v>132</v>
      </c>
      <c r="AK1081" s="7" t="str">
        <f>IFERROR(__xludf.DUMMYFUNCTION("GOOGLETRANSLATE(C1081, ""en"", ""zh"")"),"摩洛哥和西撒哈拉")</f>
        <v>摩洛哥和西撒哈拉</v>
      </c>
      <c r="AL1081" s="6" t="s">
        <v>132</v>
      </c>
    </row>
    <row r="1082" ht="15.75" customHeight="1">
      <c r="A1082" s="1" t="s">
        <v>127</v>
      </c>
      <c r="B1082" s="1" t="s">
        <v>22479</v>
      </c>
      <c r="C1082" s="1" t="s">
        <v>22480</v>
      </c>
      <c r="D1082" s="8" t="s">
        <v>22481</v>
      </c>
      <c r="E1082" s="1" t="s">
        <v>22480</v>
      </c>
      <c r="F1082" s="6" t="s">
        <v>132</v>
      </c>
      <c r="G1082" s="1" t="s">
        <v>22480</v>
      </c>
      <c r="H1082" s="1" t="s">
        <v>22480</v>
      </c>
      <c r="I1082" s="1" t="s">
        <v>22480</v>
      </c>
      <c r="J1082" s="6" t="s">
        <v>22480</v>
      </c>
      <c r="K1082" s="1" t="s">
        <v>22480</v>
      </c>
      <c r="L1082" s="1" t="s">
        <v>22480</v>
      </c>
      <c r="M1082" s="1" t="s">
        <v>22480</v>
      </c>
      <c r="N1082" s="6" t="s">
        <v>132</v>
      </c>
      <c r="O1082" s="6" t="s">
        <v>22482</v>
      </c>
      <c r="P1082" s="1" t="s">
        <v>22480</v>
      </c>
      <c r="Q1082" s="1" t="s">
        <v>22480</v>
      </c>
      <c r="R1082" s="1" t="s">
        <v>22480</v>
      </c>
      <c r="S1082" s="6" t="s">
        <v>22480</v>
      </c>
      <c r="T1082" s="1" t="s">
        <v>22480</v>
      </c>
      <c r="U1082" s="1" t="s">
        <v>22480</v>
      </c>
      <c r="V1082" s="1" t="s">
        <v>22480</v>
      </c>
      <c r="W1082" s="1" t="s">
        <v>22480</v>
      </c>
      <c r="X1082" s="1" t="s">
        <v>22480</v>
      </c>
      <c r="Y1082" s="1" t="s">
        <v>22480</v>
      </c>
      <c r="Z1082" s="1" t="s">
        <v>22480</v>
      </c>
      <c r="AA1082" s="1" t="s">
        <v>22480</v>
      </c>
      <c r="AB1082" s="1" t="s">
        <v>22480</v>
      </c>
      <c r="AC1082" s="1" t="s">
        <v>22480</v>
      </c>
      <c r="AD1082" s="6" t="s">
        <v>22480</v>
      </c>
      <c r="AE1082" s="1" t="s">
        <v>22480</v>
      </c>
      <c r="AF1082" s="1" t="s">
        <v>22480</v>
      </c>
      <c r="AG1082" s="6" t="s">
        <v>22480</v>
      </c>
      <c r="AH1082" s="1" t="s">
        <v>22480</v>
      </c>
      <c r="AI1082" s="6" t="s">
        <v>132</v>
      </c>
      <c r="AJ1082" s="6" t="s">
        <v>22480</v>
      </c>
      <c r="AK1082" s="1" t="s">
        <v>22480</v>
      </c>
      <c r="AL1082" s="6" t="s">
        <v>22483</v>
      </c>
    </row>
    <row r="1083" ht="15.75" hidden="1" customHeight="1">
      <c r="A1083" s="1" t="s">
        <v>38</v>
      </c>
      <c r="B1083" s="1" t="s">
        <v>22484</v>
      </c>
      <c r="C1083" s="1" t="s">
        <v>22485</v>
      </c>
      <c r="D1083" s="7" t="str">
        <f>IFERROR(__xludf.DUMMYFUNCTION("GOOGLETRANSLATE(C1083, ""en"", ""ar"")"),"المكسيك")</f>
        <v>المكسيك</v>
      </c>
      <c r="E1083" s="7" t="str">
        <f>IFERROR(__xludf.DUMMYFUNCTION("GOOGLETRANSLATE(C1083, ""en"", ""bg"")"),"Мексико")</f>
        <v>Мексико</v>
      </c>
      <c r="F1083" s="6" t="s">
        <v>132</v>
      </c>
      <c r="G1083" s="7" t="str">
        <f>IFERROR(__xludf.DUMMYFUNCTION("GOOGLETRANSLATE(C1083, ""en"", ""cs"")"),"Mexiko")</f>
        <v>Mexiko</v>
      </c>
      <c r="H1083" s="7" t="str">
        <f>IFERROR(__xludf.DUMMYFUNCTION("GOOGLETRANSLATE(C1083, ""en"", ""da"")"),"Mexico.")</f>
        <v>Mexico.</v>
      </c>
      <c r="I1083" s="1" t="s">
        <v>22486</v>
      </c>
      <c r="J1083" s="6" t="s">
        <v>132</v>
      </c>
      <c r="K1083" s="1" t="s">
        <v>22485</v>
      </c>
      <c r="L1083" s="7" t="str">
        <f>IFERROR(__xludf.DUMMYFUNCTION("GOOGLETRANSLATE(C1083, ""en"", ""fi"")"),"Meksiko")</f>
        <v>Meksiko</v>
      </c>
      <c r="M1083" s="1" t="s">
        <v>22487</v>
      </c>
      <c r="N1083" s="6" t="s">
        <v>132</v>
      </c>
      <c r="O1083" s="6" t="s">
        <v>132</v>
      </c>
      <c r="P1083" s="1" t="s">
        <v>22485</v>
      </c>
      <c r="Q1083" s="7" t="str">
        <f>IFERROR(__xludf.DUMMYFUNCTION("GOOGLETRANSLATE(C1083, ""en"", ""in"")"),"Mexico.")</f>
        <v>Mexico.</v>
      </c>
      <c r="R1083" s="7" t="str">
        <f>IFERROR(__xludf.DUMMYFUNCTION("GOOGLETRANSLATE(C1083, ""en"", ""it"")"),"Messico")</f>
        <v>Messico</v>
      </c>
      <c r="S1083" s="6" t="s">
        <v>132</v>
      </c>
      <c r="T1083" s="7" t="str">
        <f>IFERROR(__xludf.DUMMYFUNCTION("GOOGLETRANSLATE(C1083, ""en"", ""ja"")"),"メキシコ")</f>
        <v>メキシコ</v>
      </c>
      <c r="U1083" s="7" t="str">
        <f>IFERROR(__xludf.DUMMYFUNCTION("GOOGLETRANSLATE(C1083, ""en"", ""ko"")"),"멕시코")</f>
        <v>멕시코</v>
      </c>
      <c r="V1083" s="7" t="str">
        <f>IFERROR(__xludf.DUMMYFUNCTION("GOOGLETRANSLATE(C1083, ""en"", ""ms"")"),"Mexico")</f>
        <v>Mexico</v>
      </c>
      <c r="W1083" s="7" t="str">
        <f>IFERROR(__xludf.DUMMYFUNCTION("GOOGLETRANSLATE(C1083, ""en"", ""nl"")"),"Mexico")</f>
        <v>Mexico</v>
      </c>
      <c r="X1083" s="7" t="str">
        <f>IFERROR(__xludf.DUMMYFUNCTION("GOOGLETRANSLATE(C1083, ""en"", ""no"")"),"Mexico.")</f>
        <v>Mexico.</v>
      </c>
      <c r="Y1083" s="7" t="str">
        <f>IFERROR(__xludf.DUMMYFUNCTION("GOOGLETRANSLATE(C1083, ""en"", ""pl"")"),"Meksyk")</f>
        <v>Meksyk</v>
      </c>
      <c r="Z1083" s="7" t="str">
        <f>IFERROR(__xludf.DUMMYFUNCTION("GOOGLETRANSLATE(C1083, ""en"", ""pt"")"),"México")</f>
        <v>México</v>
      </c>
      <c r="AA1083" s="7" t="str">
        <f>IFERROR(__xludf.DUMMYFUNCTION("GOOGLETRANSLATE(C1083, ""en"", ""ro"")"),"Mexic")</f>
        <v>Mexic</v>
      </c>
      <c r="AB1083" s="1" t="s">
        <v>22488</v>
      </c>
      <c r="AC1083" s="7" t="str">
        <f>IFERROR(__xludf.DUMMYFUNCTION("GOOGLETRANSLATE(C1083, ""en"", ""sk"")"),"Mexiko")</f>
        <v>Mexiko</v>
      </c>
      <c r="AD1083" s="6" t="s">
        <v>132</v>
      </c>
      <c r="AE1083" s="1" t="s">
        <v>22489</v>
      </c>
      <c r="AF1083" s="7" t="str">
        <f>IFERROR(__xludf.DUMMYFUNCTION("GOOGLETRANSLATE(C1083, ""en"", ""sv"")"),"Mexico")</f>
        <v>Mexico</v>
      </c>
      <c r="AG1083" s="6" t="s">
        <v>132</v>
      </c>
      <c r="AH1083" s="7" t="str">
        <f>IFERROR(__xludf.DUMMYFUNCTION("GOOGLETRANSLATE(C1083, ""en"", ""tr"")"),"Meksika")</f>
        <v>Meksika</v>
      </c>
      <c r="AI1083" s="6" t="s">
        <v>132</v>
      </c>
      <c r="AJ1083" s="6" t="s">
        <v>132</v>
      </c>
      <c r="AK1083" s="7" t="str">
        <f>IFERROR(__xludf.DUMMYFUNCTION("GOOGLETRANSLATE(C1083, ""en"", ""zh"")"),"墨西哥")</f>
        <v>墨西哥</v>
      </c>
      <c r="AL1083" s="6" t="s">
        <v>132</v>
      </c>
    </row>
    <row r="1084" ht="15.75" customHeight="1">
      <c r="A1084" s="1" t="s">
        <v>127</v>
      </c>
      <c r="B1084" s="1" t="s">
        <v>22490</v>
      </c>
      <c r="C1084" s="1" t="s">
        <v>22491</v>
      </c>
      <c r="D1084" s="8" t="s">
        <v>22492</v>
      </c>
      <c r="E1084" s="1" t="s">
        <v>22493</v>
      </c>
      <c r="F1084" s="6" t="s">
        <v>132</v>
      </c>
      <c r="G1084" s="1" t="s">
        <v>22494</v>
      </c>
      <c r="H1084" s="1" t="s">
        <v>22491</v>
      </c>
      <c r="I1084" s="1" t="s">
        <v>22495</v>
      </c>
      <c r="J1084" s="6" t="s">
        <v>22496</v>
      </c>
      <c r="K1084" s="1" t="s">
        <v>22491</v>
      </c>
      <c r="L1084" s="1" t="s">
        <v>22497</v>
      </c>
      <c r="M1084" s="1" t="s">
        <v>22491</v>
      </c>
      <c r="N1084" s="6" t="s">
        <v>132</v>
      </c>
      <c r="O1084" s="6" t="s">
        <v>22498</v>
      </c>
      <c r="P1084" s="1" t="s">
        <v>22499</v>
      </c>
      <c r="Q1084" s="1" t="s">
        <v>22500</v>
      </c>
      <c r="R1084" s="1" t="s">
        <v>22491</v>
      </c>
      <c r="S1084" s="10" t="s">
        <v>22501</v>
      </c>
      <c r="T1084" s="1" t="s">
        <v>22502</v>
      </c>
      <c r="U1084" s="1" t="s">
        <v>2402</v>
      </c>
      <c r="V1084" s="1" t="s">
        <v>22503</v>
      </c>
      <c r="W1084" s="1" t="s">
        <v>22490</v>
      </c>
      <c r="X1084" s="1" t="s">
        <v>22504</v>
      </c>
      <c r="Y1084" s="1" t="s">
        <v>22505</v>
      </c>
      <c r="Z1084" s="1" t="s">
        <v>22506</v>
      </c>
      <c r="AA1084" s="1" t="s">
        <v>22507</v>
      </c>
      <c r="AB1084" s="1" t="s">
        <v>22508</v>
      </c>
      <c r="AC1084" s="1" t="s">
        <v>22494</v>
      </c>
      <c r="AD1084" s="6" t="s">
        <v>22509</v>
      </c>
      <c r="AE1084" s="1" t="s">
        <v>22495</v>
      </c>
      <c r="AF1084" s="1" t="s">
        <v>22491</v>
      </c>
      <c r="AG1084" s="6" t="s">
        <v>22510</v>
      </c>
      <c r="AH1084" s="1" t="s">
        <v>22511</v>
      </c>
      <c r="AI1084" s="6" t="s">
        <v>132</v>
      </c>
      <c r="AJ1084" s="6" t="s">
        <v>22512</v>
      </c>
      <c r="AK1084" s="1" t="s">
        <v>22513</v>
      </c>
      <c r="AL1084" s="6" t="s">
        <v>132</v>
      </c>
    </row>
    <row r="1085" ht="15.75" customHeight="1">
      <c r="A1085" s="1" t="s">
        <v>127</v>
      </c>
      <c r="B1085" s="1" t="s">
        <v>22514</v>
      </c>
      <c r="C1085" s="1" t="s">
        <v>1568</v>
      </c>
      <c r="D1085" s="8" t="s">
        <v>1569</v>
      </c>
      <c r="E1085" s="1" t="s">
        <v>1570</v>
      </c>
      <c r="F1085" s="6" t="s">
        <v>132</v>
      </c>
      <c r="G1085" s="1" t="s">
        <v>1571</v>
      </c>
      <c r="H1085" s="1" t="s">
        <v>1572</v>
      </c>
      <c r="I1085" s="1" t="s">
        <v>1573</v>
      </c>
      <c r="J1085" s="6" t="s">
        <v>1574</v>
      </c>
      <c r="K1085" s="1" t="s">
        <v>1575</v>
      </c>
      <c r="L1085" s="1" t="s">
        <v>1576</v>
      </c>
      <c r="M1085" s="1" t="s">
        <v>1577</v>
      </c>
      <c r="N1085" s="6" t="s">
        <v>132</v>
      </c>
      <c r="O1085" s="6" t="s">
        <v>1578</v>
      </c>
      <c r="P1085" s="1" t="s">
        <v>1579</v>
      </c>
      <c r="Q1085" s="1" t="s">
        <v>22515</v>
      </c>
      <c r="R1085" s="1" t="s">
        <v>22516</v>
      </c>
      <c r="S1085" s="10" t="s">
        <v>1582</v>
      </c>
      <c r="T1085" s="1" t="s">
        <v>1583</v>
      </c>
      <c r="U1085" s="1" t="s">
        <v>1584</v>
      </c>
      <c r="V1085" s="1" t="s">
        <v>1585</v>
      </c>
      <c r="W1085" s="1" t="s">
        <v>1586</v>
      </c>
      <c r="X1085" s="1" t="s">
        <v>1587</v>
      </c>
      <c r="Y1085" s="1" t="s">
        <v>1588</v>
      </c>
      <c r="Z1085" s="1" t="s">
        <v>1589</v>
      </c>
      <c r="AA1085" s="1" t="s">
        <v>1590</v>
      </c>
      <c r="AB1085" s="1" t="s">
        <v>1591</v>
      </c>
      <c r="AC1085" s="1" t="s">
        <v>1592</v>
      </c>
      <c r="AD1085" s="6" t="s">
        <v>1593</v>
      </c>
      <c r="AE1085" s="1" t="s">
        <v>1594</v>
      </c>
      <c r="AF1085" s="1" t="s">
        <v>1595</v>
      </c>
      <c r="AG1085" s="6" t="s">
        <v>1596</v>
      </c>
      <c r="AH1085" s="1" t="s">
        <v>1597</v>
      </c>
      <c r="AI1085" s="6" t="s">
        <v>132</v>
      </c>
      <c r="AJ1085" s="6" t="s">
        <v>1598</v>
      </c>
      <c r="AK1085" s="1" t="s">
        <v>1583</v>
      </c>
      <c r="AL1085" s="6" t="s">
        <v>1599</v>
      </c>
    </row>
    <row r="1086" ht="15.75" customHeight="1">
      <c r="A1086" s="1" t="s">
        <v>127</v>
      </c>
      <c r="B1086" s="1" t="s">
        <v>22517</v>
      </c>
      <c r="C1086" s="1" t="s">
        <v>22518</v>
      </c>
      <c r="D1086" s="8" t="s">
        <v>22519</v>
      </c>
      <c r="E1086" s="1" t="s">
        <v>22520</v>
      </c>
      <c r="F1086" s="6" t="s">
        <v>132</v>
      </c>
      <c r="G1086" s="1" t="s">
        <v>22521</v>
      </c>
      <c r="H1086" s="1" t="s">
        <v>22522</v>
      </c>
      <c r="I1086" s="1" t="s">
        <v>22523</v>
      </c>
      <c r="J1086" s="6" t="s">
        <v>22524</v>
      </c>
      <c r="K1086" s="1" t="s">
        <v>22525</v>
      </c>
      <c r="L1086" s="1" t="s">
        <v>22526</v>
      </c>
      <c r="M1086" s="1" t="s">
        <v>22527</v>
      </c>
      <c r="N1086" s="6" t="s">
        <v>132</v>
      </c>
      <c r="O1086" s="6" t="s">
        <v>22528</v>
      </c>
      <c r="P1086" s="1" t="s">
        <v>22529</v>
      </c>
      <c r="Q1086" s="1" t="s">
        <v>22530</v>
      </c>
      <c r="R1086" s="1" t="s">
        <v>22531</v>
      </c>
      <c r="S1086" s="10" t="s">
        <v>22532</v>
      </c>
      <c r="T1086" s="1" t="s">
        <v>22533</v>
      </c>
      <c r="U1086" s="1" t="s">
        <v>22534</v>
      </c>
      <c r="V1086" s="1" t="s">
        <v>22535</v>
      </c>
      <c r="W1086" s="1" t="s">
        <v>22536</v>
      </c>
      <c r="X1086" s="1" t="s">
        <v>22537</v>
      </c>
      <c r="Y1086" s="1" t="s">
        <v>22538</v>
      </c>
      <c r="Z1086" s="1" t="s">
        <v>22539</v>
      </c>
      <c r="AA1086" s="1" t="s">
        <v>22540</v>
      </c>
      <c r="AB1086" s="1" t="s">
        <v>22541</v>
      </c>
      <c r="AC1086" s="1" t="s">
        <v>22542</v>
      </c>
      <c r="AD1086" s="6" t="s">
        <v>22543</v>
      </c>
      <c r="AE1086" s="1" t="s">
        <v>22518</v>
      </c>
      <c r="AF1086" s="1" t="s">
        <v>22544</v>
      </c>
      <c r="AG1086" s="6" t="s">
        <v>22545</v>
      </c>
      <c r="AH1086" s="1" t="s">
        <v>22546</v>
      </c>
      <c r="AI1086" s="6" t="s">
        <v>132</v>
      </c>
      <c r="AJ1086" s="6" t="s">
        <v>22547</v>
      </c>
      <c r="AK1086" s="1" t="s">
        <v>22548</v>
      </c>
      <c r="AL1086" s="6" t="s">
        <v>22549</v>
      </c>
    </row>
    <row r="1087" ht="15.75" customHeight="1">
      <c r="A1087" s="1" t="s">
        <v>127</v>
      </c>
      <c r="B1087" s="1" t="s">
        <v>22550</v>
      </c>
      <c r="C1087" s="1" t="s">
        <v>10978</v>
      </c>
      <c r="D1087" s="8" t="s">
        <v>22551</v>
      </c>
      <c r="E1087" s="1" t="s">
        <v>10980</v>
      </c>
      <c r="F1087" s="6" t="s">
        <v>132</v>
      </c>
      <c r="G1087" s="1" t="s">
        <v>10981</v>
      </c>
      <c r="H1087" s="1" t="s">
        <v>10982</v>
      </c>
      <c r="I1087" s="1" t="s">
        <v>22552</v>
      </c>
      <c r="J1087" s="6" t="s">
        <v>10984</v>
      </c>
      <c r="K1087" s="1" t="s">
        <v>22553</v>
      </c>
      <c r="L1087" s="1" t="s">
        <v>10986</v>
      </c>
      <c r="M1087" s="1" t="s">
        <v>22554</v>
      </c>
      <c r="N1087" s="6" t="s">
        <v>132</v>
      </c>
      <c r="O1087" s="6" t="s">
        <v>10988</v>
      </c>
      <c r="P1087" s="1" t="s">
        <v>22555</v>
      </c>
      <c r="Q1087" s="1" t="s">
        <v>10990</v>
      </c>
      <c r="R1087" s="1" t="s">
        <v>22556</v>
      </c>
      <c r="S1087" s="10" t="s">
        <v>10992</v>
      </c>
      <c r="T1087" s="1" t="s">
        <v>10993</v>
      </c>
      <c r="U1087" s="1" t="s">
        <v>10994</v>
      </c>
      <c r="V1087" s="1" t="s">
        <v>10990</v>
      </c>
      <c r="W1087" s="1" t="s">
        <v>22557</v>
      </c>
      <c r="X1087" s="1" t="s">
        <v>10996</v>
      </c>
      <c r="Y1087" s="11" t="s">
        <v>10997</v>
      </c>
      <c r="Z1087" s="1" t="s">
        <v>10998</v>
      </c>
      <c r="AA1087" s="1" t="s">
        <v>10999</v>
      </c>
      <c r="AB1087" s="1" t="s">
        <v>22558</v>
      </c>
      <c r="AC1087" s="1" t="s">
        <v>11000</v>
      </c>
      <c r="AD1087" s="6" t="s">
        <v>22559</v>
      </c>
      <c r="AE1087" s="7" t="str">
        <f>IFERROR(__xludf.DUMMYFUNCTION("GOOGLETRANSLATE(C1087, ""en"", ""sr"")"),"Близу")</f>
        <v>Близу</v>
      </c>
      <c r="AF1087" s="1" t="s">
        <v>11003</v>
      </c>
      <c r="AG1087" s="6" t="s">
        <v>11004</v>
      </c>
      <c r="AH1087" s="1" t="s">
        <v>11005</v>
      </c>
      <c r="AI1087" s="6" t="s">
        <v>132</v>
      </c>
      <c r="AJ1087" s="6" t="s">
        <v>11006</v>
      </c>
      <c r="AK1087" s="14" t="s">
        <v>22560</v>
      </c>
      <c r="AL1087" s="6" t="s">
        <v>132</v>
      </c>
    </row>
    <row r="1088" ht="15.75" hidden="1" customHeight="1">
      <c r="A1088" s="1" t="s">
        <v>38</v>
      </c>
      <c r="B1088" s="1" t="s">
        <v>22561</v>
      </c>
      <c r="C1088" s="1" t="s">
        <v>22562</v>
      </c>
      <c r="D1088" s="8" t="s">
        <v>22563</v>
      </c>
      <c r="E1088" s="1" t="s">
        <v>22564</v>
      </c>
      <c r="F1088" s="6" t="s">
        <v>22565</v>
      </c>
      <c r="G1088" s="7" t="str">
        <f>IFERROR(__xludf.DUMMYFUNCTION("GOOGLETRANSLATE(C1088, ""en"", ""cs"")"),"Jste zakázáni z tohoto skupinového chatu")</f>
        <v>Jste zakázáni z tohoto skupinového chatu</v>
      </c>
      <c r="H1088" s="7" t="str">
        <f>IFERROR(__xludf.DUMMYFUNCTION("GOOGLETRANSLATE(C1088, ""en"", ""da"")"),"Du er forbudt fra denne gruppe chat")</f>
        <v>Du er forbudt fra denne gruppe chat</v>
      </c>
      <c r="I1088" s="1" t="s">
        <v>22566</v>
      </c>
      <c r="J1088" s="6" t="s">
        <v>132</v>
      </c>
      <c r="K1088" s="1" t="s">
        <v>22567</v>
      </c>
      <c r="L1088" s="7" t="str">
        <f>IFERROR(__xludf.DUMMYFUNCTION("GOOGLETRANSLATE(C1088, ""en"", ""fi"")"),"Olet kielletty tästä ryhmäkeskustelusta")</f>
        <v>Olet kielletty tästä ryhmäkeskustelusta</v>
      </c>
      <c r="M1088" s="1" t="s">
        <v>22568</v>
      </c>
      <c r="N1088" s="6" t="s">
        <v>22569</v>
      </c>
      <c r="O1088" s="6" t="s">
        <v>132</v>
      </c>
      <c r="P1088" s="1" t="s">
        <v>22570</v>
      </c>
      <c r="Q1088" s="7" t="str">
        <f>IFERROR(__xludf.DUMMYFUNCTION("GOOGLETRANSLATE(C1088, ""en"", ""in"")"),"Anda dilarang dari obrolan grup ini")</f>
        <v>Anda dilarang dari obrolan grup ini</v>
      </c>
      <c r="R1088" s="1" t="s">
        <v>22571</v>
      </c>
      <c r="S1088" s="6" t="s">
        <v>132</v>
      </c>
      <c r="T1088" s="1" t="s">
        <v>22572</v>
      </c>
      <c r="U1088" s="7" t="str">
        <f>IFERROR(__xludf.DUMMYFUNCTION("GOOGLETRANSLATE(C1088, ""en"", ""ko"")"),"이 그룹 채팅에서 금지됩니다")</f>
        <v>이 그룹 채팅에서 금지됩니다</v>
      </c>
      <c r="V1088" s="7" t="str">
        <f>IFERROR(__xludf.DUMMYFUNCTION("GOOGLETRANSLATE(C1088, ""en"", ""ms"")"),"Anda diharamkan dari sembang kumpulan ini")</f>
        <v>Anda diharamkan dari sembang kumpulan ini</v>
      </c>
      <c r="W1088" s="1" t="s">
        <v>22573</v>
      </c>
      <c r="X1088" s="7" t="str">
        <f>IFERROR(__xludf.DUMMYFUNCTION("GOOGLETRANSLATE(C1088, ""en"", ""no"")"),"Du er utestengt fra denne gruppen chat")</f>
        <v>Du er utestengt fra denne gruppen chat</v>
      </c>
      <c r="Y1088" s="1" t="s">
        <v>22574</v>
      </c>
      <c r="Z1088" s="1" t="s">
        <v>22575</v>
      </c>
      <c r="AA1088" s="7" t="str">
        <f>IFERROR(__xludf.DUMMYFUNCTION("GOOGLETRANSLATE(C1088, ""en"", ""ro"")"),"Sunteți interzis de la chat-ul acestui grup")</f>
        <v>Sunteți interzis de la chat-ul acestui grup</v>
      </c>
      <c r="AB1088" s="1" t="s">
        <v>22576</v>
      </c>
      <c r="AC1088" s="7" t="str">
        <f>IFERROR(__xludf.DUMMYFUNCTION("GOOGLETRANSLATE(C1088, ""en"", ""sk"")"),"Ste zakázaný z tejto skupiny")</f>
        <v>Ste zakázaný z tejto skupiny</v>
      </c>
      <c r="AD1088" s="6" t="s">
        <v>132</v>
      </c>
      <c r="AE1088" s="1" t="s">
        <v>22577</v>
      </c>
      <c r="AF1088" s="7" t="str">
        <f>IFERROR(__xludf.DUMMYFUNCTION("GOOGLETRANSLATE(C1088, ""en"", ""sv"")"),"Du är förbjuden från den här gruppen chatt")</f>
        <v>Du är förbjuden från den här gruppen chatt</v>
      </c>
      <c r="AG1088" s="6" t="s">
        <v>132</v>
      </c>
      <c r="AH1088" s="7" t="str">
        <f>IFERROR(__xludf.DUMMYFUNCTION("GOOGLETRANSLATE(C1088, ""en"", ""tr"")"),"Bu grup sohbetinden yasaklanıyorsunuz")</f>
        <v>Bu grup sohbetinden yasaklanıyorsunuz</v>
      </c>
      <c r="AI1088" s="6" t="s">
        <v>132</v>
      </c>
      <c r="AJ1088" s="6" t="s">
        <v>132</v>
      </c>
      <c r="AK1088" s="7" t="str">
        <f>IFERROR(__xludf.DUMMYFUNCTION("GOOGLETRANSLATE(C1088, ""en"", ""zh"")"),"你被禁止从这个群组聊天")</f>
        <v>你被禁止从这个群组聊天</v>
      </c>
      <c r="AL1088" s="6" t="s">
        <v>132</v>
      </c>
    </row>
    <row r="1089" ht="15.75" customHeight="1">
      <c r="A1089" s="1" t="s">
        <v>127</v>
      </c>
      <c r="B1089" s="1" t="s">
        <v>22578</v>
      </c>
      <c r="C1089" s="1" t="s">
        <v>22579</v>
      </c>
      <c r="D1089" s="8" t="s">
        <v>22580</v>
      </c>
      <c r="E1089" s="1" t="s">
        <v>22581</v>
      </c>
      <c r="F1089" s="6" t="s">
        <v>132</v>
      </c>
      <c r="G1089" s="1" t="s">
        <v>22582</v>
      </c>
      <c r="H1089" s="1" t="s">
        <v>22583</v>
      </c>
      <c r="I1089" s="1" t="s">
        <v>22583</v>
      </c>
      <c r="J1089" s="6" t="s">
        <v>22584</v>
      </c>
      <c r="K1089" s="1" t="s">
        <v>22585</v>
      </c>
      <c r="L1089" s="1" t="s">
        <v>22586</v>
      </c>
      <c r="M1089" s="1" t="s">
        <v>22587</v>
      </c>
      <c r="N1089" s="6" t="s">
        <v>132</v>
      </c>
      <c r="O1089" s="6" t="s">
        <v>22588</v>
      </c>
      <c r="P1089" s="1" t="s">
        <v>22589</v>
      </c>
      <c r="Q1089" s="1" t="s">
        <v>22590</v>
      </c>
      <c r="R1089" s="1" t="s">
        <v>22591</v>
      </c>
      <c r="S1089" s="10" t="s">
        <v>22592</v>
      </c>
      <c r="T1089" s="1" t="s">
        <v>22579</v>
      </c>
      <c r="U1089" s="1" t="s">
        <v>22593</v>
      </c>
      <c r="V1089" s="1" t="s">
        <v>22590</v>
      </c>
      <c r="W1089" s="1" t="s">
        <v>22594</v>
      </c>
      <c r="X1089" s="1" t="s">
        <v>22583</v>
      </c>
      <c r="Y1089" s="1" t="s">
        <v>22595</v>
      </c>
      <c r="Z1089" s="1" t="s">
        <v>22596</v>
      </c>
      <c r="AA1089" s="1" t="s">
        <v>22597</v>
      </c>
      <c r="AB1089" s="1" t="s">
        <v>22598</v>
      </c>
      <c r="AC1089" s="1" t="s">
        <v>22599</v>
      </c>
      <c r="AD1089" s="6" t="s">
        <v>22600</v>
      </c>
      <c r="AE1089" s="1" t="s">
        <v>22601</v>
      </c>
      <c r="AF1089" s="1" t="s">
        <v>22602</v>
      </c>
      <c r="AG1089" s="6" t="s">
        <v>22603</v>
      </c>
      <c r="AH1089" s="1" t="s">
        <v>22604</v>
      </c>
      <c r="AI1089" s="6" t="s">
        <v>132</v>
      </c>
      <c r="AJ1089" s="6" t="s">
        <v>22605</v>
      </c>
      <c r="AK1089" s="1" t="s">
        <v>22606</v>
      </c>
      <c r="AL1089" s="6" t="s">
        <v>132</v>
      </c>
    </row>
    <row r="1090" ht="15.75" hidden="1" customHeight="1">
      <c r="A1090" s="1" t="s">
        <v>38</v>
      </c>
      <c r="B1090" s="1" t="s">
        <v>22607</v>
      </c>
      <c r="C1090" s="1" t="s">
        <v>22608</v>
      </c>
      <c r="D1090" s="8" t="s">
        <v>22609</v>
      </c>
      <c r="E1090" s="1" t="s">
        <v>22610</v>
      </c>
      <c r="F1090" s="6" t="s">
        <v>22611</v>
      </c>
      <c r="G1090" s="7" t="str">
        <f>IFERROR(__xludf.DUMMYFUNCTION("GOOGLETRANSLATE(C1090, ""en"", ""cs"")"),"Soubor nenalezen")</f>
        <v>Soubor nenalezen</v>
      </c>
      <c r="H1090" s="7" t="str">
        <f>IFERROR(__xludf.DUMMYFUNCTION("GOOGLETRANSLATE(C1090, ""en"", ""da"")"),"Fil ikke fundet")</f>
        <v>Fil ikke fundet</v>
      </c>
      <c r="I1090" s="1" t="s">
        <v>22612</v>
      </c>
      <c r="J1090" s="6" t="s">
        <v>132</v>
      </c>
      <c r="K1090" s="1" t="s">
        <v>22613</v>
      </c>
      <c r="L1090" s="7" t="str">
        <f>IFERROR(__xludf.DUMMYFUNCTION("GOOGLETRANSLATE(C1090, ""en"", ""fi"")"),"Tiedostoa ei löytynyt")</f>
        <v>Tiedostoa ei löytynyt</v>
      </c>
      <c r="M1090" s="1" t="s">
        <v>22614</v>
      </c>
      <c r="N1090" s="6" t="s">
        <v>22615</v>
      </c>
      <c r="O1090" s="6" t="s">
        <v>132</v>
      </c>
      <c r="P1090" s="1" t="s">
        <v>22616</v>
      </c>
      <c r="Q1090" s="9" t="s">
        <v>22617</v>
      </c>
      <c r="R1090" s="1" t="s">
        <v>22618</v>
      </c>
      <c r="S1090" s="6" t="s">
        <v>132</v>
      </c>
      <c r="T1090" s="1" t="s">
        <v>22619</v>
      </c>
      <c r="U1090" s="1" t="s">
        <v>22620</v>
      </c>
      <c r="V1090" s="7" t="str">
        <f>IFERROR(__xludf.DUMMYFUNCTION("GOOGLETRANSLATE(C1090, ""en"", ""ms"")"),"Fail tidak dijumpai")</f>
        <v>Fail tidak dijumpai</v>
      </c>
      <c r="W1090" s="1" t="s">
        <v>22621</v>
      </c>
      <c r="X1090" s="7" t="str">
        <f>IFERROR(__xludf.DUMMYFUNCTION("GOOGLETRANSLATE(C1090, ""en"", ""no"")"),"Fil ikke funnet")</f>
        <v>Fil ikke funnet</v>
      </c>
      <c r="Y1090" s="1" t="s">
        <v>22622</v>
      </c>
      <c r="Z1090" s="1" t="s">
        <v>22623</v>
      </c>
      <c r="AA1090" s="7" t="str">
        <f>IFERROR(__xludf.DUMMYFUNCTION("GOOGLETRANSLATE(C1090, ""en"", ""ro"")"),"Fișierul nu a fost găsit")</f>
        <v>Fișierul nu a fost găsit</v>
      </c>
      <c r="AB1090" s="1" t="s">
        <v>22624</v>
      </c>
      <c r="AC1090" s="1" t="s">
        <v>22625</v>
      </c>
      <c r="AD1090" s="6" t="s">
        <v>132</v>
      </c>
      <c r="AE1090" s="1" t="s">
        <v>22626</v>
      </c>
      <c r="AF1090" s="1" t="s">
        <v>22627</v>
      </c>
      <c r="AG1090" s="6" t="s">
        <v>132</v>
      </c>
      <c r="AH1090" s="7" t="str">
        <f>IFERROR(__xludf.DUMMYFUNCTION("GOOGLETRANSLATE(C1090, ""en"", ""tr"")"),"Dosya bulunamadı")</f>
        <v>Dosya bulunamadı</v>
      </c>
      <c r="AI1090" s="6" t="s">
        <v>22628</v>
      </c>
      <c r="AJ1090" s="6" t="s">
        <v>22629</v>
      </c>
      <c r="AK1090" s="7" t="str">
        <f>IFERROR(__xludf.DUMMYFUNCTION("GOOGLETRANSLATE(C1090, ""en"", ""zh"")"),"文件未找到")</f>
        <v>文件未找到</v>
      </c>
      <c r="AL1090" s="6" t="s">
        <v>22630</v>
      </c>
    </row>
    <row r="1091" ht="15.75" hidden="1" customHeight="1">
      <c r="A1091" s="1" t="s">
        <v>38</v>
      </c>
      <c r="B1091" s="1" t="s">
        <v>22631</v>
      </c>
      <c r="C1091" s="1" t="s">
        <v>22632</v>
      </c>
      <c r="D1091" s="7" t="str">
        <f>IFERROR(__xludf.DUMMYFUNCTION("GOOGLETRANSLATE(C1091, ""en"", ""ar"")"),"مجلد ذاكرة التخزين المؤقت النظيفة (المستخدمة من قبل تطبيق الكاميرا)")</f>
        <v>مجلد ذاكرة التخزين المؤقت النظيفة (المستخدمة من قبل تطبيق الكاميرا)</v>
      </c>
      <c r="E1091" s="1" t="s">
        <v>22633</v>
      </c>
      <c r="F1091" s="6" t="s">
        <v>22634</v>
      </c>
      <c r="G1091" s="7" t="str">
        <f>IFERROR(__xludf.DUMMYFUNCTION("GOOGLETRANSLATE(C1091, ""en"", ""cs"")"),"Vyčistit složku mezipaměti (používaná aplikací fotoaparátu)")</f>
        <v>Vyčistit složku mezipaměti (používaná aplikací fotoaparátu)</v>
      </c>
      <c r="H1091" s="7" t="str">
        <f>IFERROR(__xludf.DUMMYFUNCTION("GOOGLETRANSLATE(C1091, ""en"", ""da"")"),"Rengør cachemappe (bruges af kameraapplikation)")</f>
        <v>Rengør cachemappe (bruges af kameraapplikation)</v>
      </c>
      <c r="I1091" s="1" t="s">
        <v>22635</v>
      </c>
      <c r="J1091" s="6" t="s">
        <v>132</v>
      </c>
      <c r="K1091" s="1" t="s">
        <v>22636</v>
      </c>
      <c r="L1091" s="7" t="str">
        <f>IFERROR(__xludf.DUMMYFUNCTION("GOOGLETRANSLATE(C1091, ""en"", ""fi"")"),"Puhdas välimuisti kansio (jota käytetään kameran sovelluksessa)")</f>
        <v>Puhdas välimuisti kansio (jota käytetään kameran sovelluksessa)</v>
      </c>
      <c r="M1091" s="1" t="s">
        <v>22637</v>
      </c>
      <c r="N1091" s="6" t="s">
        <v>22638</v>
      </c>
      <c r="O1091" s="6" t="s">
        <v>132</v>
      </c>
      <c r="P1091" s="1" t="s">
        <v>22639</v>
      </c>
      <c r="Q1091" s="7" t="str">
        <f>IFERROR(__xludf.DUMMYFUNCTION("GOOGLETRANSLATE(C1091, ""en"", ""in"")"),"Folder cache bersih (digunakan oleh aplikasi kamera)")</f>
        <v>Folder cache bersih (digunakan oleh aplikasi kamera)</v>
      </c>
      <c r="R1091" s="1" t="s">
        <v>22640</v>
      </c>
      <c r="S1091" s="6" t="s">
        <v>132</v>
      </c>
      <c r="T1091" s="1" t="s">
        <v>22641</v>
      </c>
      <c r="U1091" s="1" t="s">
        <v>22642</v>
      </c>
      <c r="V1091" s="7" t="str">
        <f>IFERROR(__xludf.DUMMYFUNCTION("GOOGLETRANSLATE(C1091, ""en"", ""ms"")"),"Folder cache bersih (digunakan oleh aplikasi kamera)")</f>
        <v>Folder cache bersih (digunakan oleh aplikasi kamera)</v>
      </c>
      <c r="W1091" s="1" t="s">
        <v>22643</v>
      </c>
      <c r="X1091" s="7" t="str">
        <f>IFERROR(__xludf.DUMMYFUNCTION("GOOGLETRANSLATE(C1091, ""en"", ""no"")"),"Rengjør Cache-mappen (brukt av kameraprogram)")</f>
        <v>Rengjør Cache-mappen (brukt av kameraprogram)</v>
      </c>
      <c r="Y1091" s="1" t="s">
        <v>22644</v>
      </c>
      <c r="Z1091" s="7" t="str">
        <f>IFERROR(__xludf.DUMMYFUNCTION("GOOGLETRANSLATE(C1091, ""en"", ""pt"")"),"Limpar a pasta de cache (usada pelo aplicativo da câmera)")</f>
        <v>Limpar a pasta de cache (usada pelo aplicativo da câmera)</v>
      </c>
      <c r="AA1091" s="7" t="str">
        <f>IFERROR(__xludf.DUMMYFUNCTION("GOOGLETRANSLATE(C1091, ""en"", ""ro"")"),"Curățați folderul cache (utilizat de aplicația camerei)")</f>
        <v>Curățați folderul cache (utilizat de aplicația camerei)</v>
      </c>
      <c r="AB1091" s="1" t="s">
        <v>22645</v>
      </c>
      <c r="AC1091" s="7" t="str">
        <f>IFERROR(__xludf.DUMMYFUNCTION("GOOGLETRANSLATE(C1091, ""en"", ""sk"")"),"Vyčistite priečinok cache (používané aplikáciou fotoaparátu)")</f>
        <v>Vyčistite priečinok cache (používané aplikáciou fotoaparátu)</v>
      </c>
      <c r="AD1091" s="6" t="s">
        <v>132</v>
      </c>
      <c r="AE1091" s="7" t="str">
        <f>IFERROR(__xludf.DUMMYFUNCTION("GOOGLETRANSLATE(C1091, ""en"", ""sr"")"),"Чиста мапа кеша (користи апликације за камеру)")</f>
        <v>Чиста мапа кеша (користи апликације за камеру)</v>
      </c>
      <c r="AF1091" s="1" t="s">
        <v>22646</v>
      </c>
      <c r="AG1091" s="6" t="s">
        <v>132</v>
      </c>
      <c r="AH1091" s="7" t="str">
        <f>IFERROR(__xludf.DUMMYFUNCTION("GOOGLETRANSLATE(C1091, ""en"", ""tr"")"),"Temiz önbellek klasörü (kamera uygulaması tarafından kullanılır)")</f>
        <v>Temiz önbellek klasörü (kamera uygulaması tarafından kullanılır)</v>
      </c>
      <c r="AI1091" s="6" t="s">
        <v>22647</v>
      </c>
      <c r="AJ1091" s="6" t="s">
        <v>132</v>
      </c>
      <c r="AK1091" s="7" t="str">
        <f>IFERROR(__xludf.DUMMYFUNCTION("GOOGLETRANSLATE(C1091, ""en"", ""zh"")"),"清洁缓存文件夹（由摄像机应用程序使用）")</f>
        <v>清洁缓存文件夹（由摄像机应用程序使用）</v>
      </c>
      <c r="AL1091" s="6" t="s">
        <v>22648</v>
      </c>
    </row>
    <row r="1092" ht="15.75" customHeight="1">
      <c r="A1092" s="1" t="s">
        <v>127</v>
      </c>
      <c r="B1092" s="1" t="s">
        <v>22649</v>
      </c>
      <c r="C1092" s="1" t="s">
        <v>22650</v>
      </c>
      <c r="D1092" s="8" t="s">
        <v>22651</v>
      </c>
      <c r="E1092" s="1" t="s">
        <v>22652</v>
      </c>
      <c r="F1092" s="6" t="s">
        <v>132</v>
      </c>
      <c r="G1092" s="1" t="s">
        <v>22653</v>
      </c>
      <c r="H1092" s="1" t="s">
        <v>22654</v>
      </c>
      <c r="I1092" s="1" t="s">
        <v>22655</v>
      </c>
      <c r="J1092" s="6" t="s">
        <v>22656</v>
      </c>
      <c r="K1092" s="1" t="s">
        <v>22657</v>
      </c>
      <c r="L1092" s="1" t="s">
        <v>22658</v>
      </c>
      <c r="M1092" s="1" t="s">
        <v>22659</v>
      </c>
      <c r="N1092" s="6" t="s">
        <v>132</v>
      </c>
      <c r="O1092" s="6" t="s">
        <v>22660</v>
      </c>
      <c r="P1092" s="1" t="s">
        <v>22661</v>
      </c>
      <c r="Q1092" s="1" t="s">
        <v>22662</v>
      </c>
      <c r="R1092" s="1" t="s">
        <v>22663</v>
      </c>
      <c r="S1092" s="10" t="s">
        <v>22664</v>
      </c>
      <c r="T1092" s="1" t="s">
        <v>22665</v>
      </c>
      <c r="U1092" s="1" t="s">
        <v>22666</v>
      </c>
      <c r="V1092" s="1" t="s">
        <v>22662</v>
      </c>
      <c r="W1092" s="1" t="s">
        <v>22667</v>
      </c>
      <c r="X1092" s="1" t="s">
        <v>22668</v>
      </c>
      <c r="Y1092" s="1" t="s">
        <v>22669</v>
      </c>
      <c r="Z1092" s="1" t="s">
        <v>22670</v>
      </c>
      <c r="AA1092" s="1" t="s">
        <v>22671</v>
      </c>
      <c r="AB1092" s="1" t="s">
        <v>22672</v>
      </c>
      <c r="AC1092" s="1" t="s">
        <v>22673</v>
      </c>
      <c r="AD1092" s="6" t="s">
        <v>22674</v>
      </c>
      <c r="AE1092" s="1" t="s">
        <v>22675</v>
      </c>
      <c r="AF1092" s="1" t="s">
        <v>22654</v>
      </c>
      <c r="AG1092" s="6" t="s">
        <v>22676</v>
      </c>
      <c r="AH1092" s="1" t="s">
        <v>22677</v>
      </c>
      <c r="AI1092" s="6" t="s">
        <v>132</v>
      </c>
      <c r="AJ1092" s="6" t="s">
        <v>22678</v>
      </c>
      <c r="AK1092" s="1" t="s">
        <v>22679</v>
      </c>
      <c r="AL1092" s="6" t="s">
        <v>22680</v>
      </c>
    </row>
    <row r="1093" ht="15.75" customHeight="1">
      <c r="A1093" s="1" t="s">
        <v>127</v>
      </c>
      <c r="B1093" s="1" t="s">
        <v>22681</v>
      </c>
      <c r="C1093" s="1" t="s">
        <v>22682</v>
      </c>
      <c r="D1093" s="8" t="s">
        <v>22683</v>
      </c>
      <c r="E1093" s="1" t="s">
        <v>22684</v>
      </c>
      <c r="F1093" s="6" t="s">
        <v>132</v>
      </c>
      <c r="G1093" s="1" t="s">
        <v>22685</v>
      </c>
      <c r="H1093" s="1" t="s">
        <v>22686</v>
      </c>
      <c r="I1093" s="1" t="s">
        <v>22682</v>
      </c>
      <c r="J1093" s="6" t="s">
        <v>22687</v>
      </c>
      <c r="K1093" s="1" t="s">
        <v>22684</v>
      </c>
      <c r="L1093" s="1" t="s">
        <v>22688</v>
      </c>
      <c r="M1093" s="1" t="s">
        <v>22684</v>
      </c>
      <c r="N1093" s="6" t="s">
        <v>132</v>
      </c>
      <c r="O1093" s="6" t="s">
        <v>22689</v>
      </c>
      <c r="P1093" s="1" t="s">
        <v>22684</v>
      </c>
      <c r="Q1093" s="1" t="s">
        <v>22690</v>
      </c>
      <c r="R1093" s="1" t="s">
        <v>22684</v>
      </c>
      <c r="S1093" s="10" t="s">
        <v>22691</v>
      </c>
      <c r="T1093" s="1" t="s">
        <v>22692</v>
      </c>
      <c r="U1093" s="1" t="s">
        <v>22693</v>
      </c>
      <c r="V1093" s="1" t="s">
        <v>22690</v>
      </c>
      <c r="W1093" s="1" t="s">
        <v>22684</v>
      </c>
      <c r="X1093" s="1" t="s">
        <v>22686</v>
      </c>
      <c r="Y1093" s="1" t="s">
        <v>22684</v>
      </c>
      <c r="Z1093" s="1" t="s">
        <v>22684</v>
      </c>
      <c r="AA1093" s="1" t="s">
        <v>22694</v>
      </c>
      <c r="AB1093" s="1" t="s">
        <v>22695</v>
      </c>
      <c r="AC1093" s="1" t="s">
        <v>22696</v>
      </c>
      <c r="AD1093" s="6" t="s">
        <v>22684</v>
      </c>
      <c r="AE1093" s="1" t="s">
        <v>22684</v>
      </c>
      <c r="AF1093" s="1" t="s">
        <v>22686</v>
      </c>
      <c r="AG1093" s="6" t="s">
        <v>22697</v>
      </c>
      <c r="AH1093" s="1" t="s">
        <v>22698</v>
      </c>
      <c r="AI1093" s="6" t="s">
        <v>132</v>
      </c>
      <c r="AJ1093" s="6" t="s">
        <v>22699</v>
      </c>
      <c r="AK1093" s="1" t="s">
        <v>22700</v>
      </c>
      <c r="AL1093" s="6" t="s">
        <v>22701</v>
      </c>
    </row>
    <row r="1094" ht="15.75" hidden="1" customHeight="1">
      <c r="A1094" s="1" t="s">
        <v>38</v>
      </c>
      <c r="B1094" s="1" t="s">
        <v>22702</v>
      </c>
      <c r="C1094" s="1" t="s">
        <v>22703</v>
      </c>
      <c r="D1094" s="7" t="str">
        <f>IFERROR(__xludf.DUMMYFUNCTION("GOOGLETRANSLATE(C1094, ""en"", ""ar"")"),"إصلاح الموقف")</f>
        <v>إصلاح الموقف</v>
      </c>
      <c r="E1094" s="1" t="s">
        <v>22704</v>
      </c>
      <c r="F1094" s="6" t="s">
        <v>22705</v>
      </c>
      <c r="G1094" s="7" t="str">
        <f>IFERROR(__xludf.DUMMYFUNCTION("GOOGLETRANSLATE(C1094, ""en"", ""cs"")"),"Opravit polohu")</f>
        <v>Opravit polohu</v>
      </c>
      <c r="H1094" s="7" t="str">
        <f>IFERROR(__xludf.DUMMYFUNCTION("GOOGLETRANSLATE(C1094, ""en"", ""da"")"),"Fix position.")</f>
        <v>Fix position.</v>
      </c>
      <c r="I1094" s="1" t="s">
        <v>22706</v>
      </c>
      <c r="J1094" s="6" t="s">
        <v>132</v>
      </c>
      <c r="K1094" s="1" t="s">
        <v>22707</v>
      </c>
      <c r="L1094" s="7" t="str">
        <f>IFERROR(__xludf.DUMMYFUNCTION("GOOGLETRANSLATE(C1094, ""en"", ""fi"")"),"Korjata asento")</f>
        <v>Korjata asento</v>
      </c>
      <c r="M1094" s="1" t="s">
        <v>22708</v>
      </c>
      <c r="N1094" s="6" t="s">
        <v>22709</v>
      </c>
      <c r="O1094" s="6" t="s">
        <v>132</v>
      </c>
      <c r="P1094" s="1" t="s">
        <v>22710</v>
      </c>
      <c r="Q1094" s="7" t="str">
        <f>IFERROR(__xludf.DUMMYFUNCTION("GOOGLETRANSLATE(C1094, ""en"", ""in"")"),"Memperbaiki posisi")</f>
        <v>Memperbaiki posisi</v>
      </c>
      <c r="R1094" s="1" t="s">
        <v>22711</v>
      </c>
      <c r="S1094" s="6" t="s">
        <v>132</v>
      </c>
      <c r="T1094" s="1" t="s">
        <v>22712</v>
      </c>
      <c r="U1094" s="7" t="str">
        <f>IFERROR(__xludf.DUMMYFUNCTION("GOOGLETRANSLATE(C1094, ""en"", ""ko"")"),"수정 위치")</f>
        <v>수정 위치</v>
      </c>
      <c r="V1094" s="7" t="str">
        <f>IFERROR(__xludf.DUMMYFUNCTION("GOOGLETRANSLATE(C1094, ""en"", ""ms"")"),"Menetapkan kedudukan")</f>
        <v>Menetapkan kedudukan</v>
      </c>
      <c r="W1094" s="1" t="s">
        <v>22713</v>
      </c>
      <c r="X1094" s="7" t="str">
        <f>IFERROR(__xludf.DUMMYFUNCTION("GOOGLETRANSLATE(C1094, ""en"", ""no"")"),"Fikse posisjonen")</f>
        <v>Fikse posisjonen</v>
      </c>
      <c r="Y1094" s="1" t="s">
        <v>22714</v>
      </c>
      <c r="Z1094" s="7" t="str">
        <f>IFERROR(__xludf.DUMMYFUNCTION("GOOGLETRANSLATE(C1094, ""en"", ""pt"")"),"Corrigir posição")</f>
        <v>Corrigir posição</v>
      </c>
      <c r="AA1094" s="7" t="str">
        <f>IFERROR(__xludf.DUMMYFUNCTION("GOOGLETRANSLATE(C1094, ""en"", ""ro"")"),"Poziția fixă")</f>
        <v>Poziția fixă</v>
      </c>
      <c r="AB1094" s="7" t="str">
        <f>IFERROR(__xludf.DUMMYFUNCTION("GOOGLETRANSLATE(C1094, ""en"", ""ru"")"),"Исправить положение")</f>
        <v>Исправить положение</v>
      </c>
      <c r="AC1094" s="7" t="str">
        <f>IFERROR(__xludf.DUMMYFUNCTION("GOOGLETRANSLATE(C1094, ""en"", ""sk"")"),"Opraviť polohu")</f>
        <v>Opraviť polohu</v>
      </c>
      <c r="AD1094" s="6" t="s">
        <v>132</v>
      </c>
      <c r="AE1094" s="7" t="str">
        <f>IFERROR(__xludf.DUMMYFUNCTION("GOOGLETRANSLATE(C1094, ""en"", ""sr"")"),"Поправити положај")</f>
        <v>Поправити положај</v>
      </c>
      <c r="AF1094" s="7" t="str">
        <f>IFERROR(__xludf.DUMMYFUNCTION("GOOGLETRANSLATE(C1094, ""en"", ""sv"")"),"Fixa positionen")</f>
        <v>Fixa positionen</v>
      </c>
      <c r="AG1094" s="6" t="s">
        <v>132</v>
      </c>
      <c r="AH1094" s="7" t="str">
        <f>IFERROR(__xludf.DUMMYFUNCTION("GOOGLETRANSLATE(C1094, ""en"", ""tr"")"),"Sabit pozisyon")</f>
        <v>Sabit pozisyon</v>
      </c>
      <c r="AI1094" s="6" t="s">
        <v>132</v>
      </c>
      <c r="AJ1094" s="6" t="s">
        <v>132</v>
      </c>
      <c r="AK1094" s="7" t="str">
        <f>IFERROR(__xludf.DUMMYFUNCTION("GOOGLETRANSLATE(C1094, ""en"", ""zh"")"),"修复位置")</f>
        <v>修复位置</v>
      </c>
      <c r="AL1094" s="6" t="s">
        <v>132</v>
      </c>
    </row>
    <row r="1095" ht="15.75" customHeight="1">
      <c r="A1095" s="1" t="s">
        <v>127</v>
      </c>
      <c r="B1095" s="1" t="s">
        <v>22715</v>
      </c>
      <c r="C1095" s="1" t="s">
        <v>22716</v>
      </c>
      <c r="D1095" s="8" t="s">
        <v>22717</v>
      </c>
      <c r="E1095" s="1" t="s">
        <v>22718</v>
      </c>
      <c r="F1095" s="6" t="s">
        <v>132</v>
      </c>
      <c r="G1095" s="1" t="s">
        <v>22719</v>
      </c>
      <c r="H1095" s="1" t="s">
        <v>22720</v>
      </c>
      <c r="I1095" s="1" t="s">
        <v>22721</v>
      </c>
      <c r="J1095" s="6" t="s">
        <v>22722</v>
      </c>
      <c r="K1095" s="1" t="s">
        <v>22723</v>
      </c>
      <c r="L1095" s="1" t="s">
        <v>22724</v>
      </c>
      <c r="M1095" s="1" t="s">
        <v>22725</v>
      </c>
      <c r="N1095" s="6" t="s">
        <v>132</v>
      </c>
      <c r="O1095" s="6" t="s">
        <v>22726</v>
      </c>
      <c r="P1095" s="1" t="s">
        <v>22727</v>
      </c>
      <c r="Q1095" s="1" t="s">
        <v>22728</v>
      </c>
      <c r="R1095" s="1" t="s">
        <v>22729</v>
      </c>
      <c r="S1095" s="10" t="s">
        <v>22730</v>
      </c>
      <c r="T1095" s="1" t="s">
        <v>22731</v>
      </c>
      <c r="U1095" s="1" t="s">
        <v>22732</v>
      </c>
      <c r="V1095" s="1" t="s">
        <v>22728</v>
      </c>
      <c r="W1095" s="1" t="s">
        <v>22733</v>
      </c>
      <c r="X1095" s="1" t="s">
        <v>22734</v>
      </c>
      <c r="Y1095" s="1" t="s">
        <v>22735</v>
      </c>
      <c r="Z1095" s="1" t="s">
        <v>22723</v>
      </c>
      <c r="AA1095" s="1" t="s">
        <v>22736</v>
      </c>
      <c r="AB1095" s="1" t="s">
        <v>22737</v>
      </c>
      <c r="AC1095" s="1" t="s">
        <v>22738</v>
      </c>
      <c r="AD1095" s="6" t="s">
        <v>22739</v>
      </c>
      <c r="AE1095" s="1" t="s">
        <v>22740</v>
      </c>
      <c r="AF1095" s="1" t="s">
        <v>22741</v>
      </c>
      <c r="AG1095" s="6" t="s">
        <v>22742</v>
      </c>
      <c r="AH1095" s="1" t="s">
        <v>22743</v>
      </c>
      <c r="AI1095" s="6" t="s">
        <v>132</v>
      </c>
      <c r="AJ1095" s="6" t="s">
        <v>22744</v>
      </c>
      <c r="AK1095" s="1" t="s">
        <v>22745</v>
      </c>
      <c r="AL1095" s="6" t="s">
        <v>22746</v>
      </c>
    </row>
    <row r="1096" ht="15.75" hidden="1" customHeight="1">
      <c r="A1096" s="1" t="s">
        <v>38</v>
      </c>
      <c r="B1096" s="1" t="s">
        <v>22747</v>
      </c>
      <c r="C1096" s="1" t="s">
        <v>22748</v>
      </c>
      <c r="D1096" s="8" t="s">
        <v>22749</v>
      </c>
      <c r="E1096" s="1" t="s">
        <v>22750</v>
      </c>
      <c r="F1096" s="6" t="s">
        <v>22751</v>
      </c>
      <c r="G1096" s="7" t="str">
        <f>IFERROR(__xludf.DUMMYFUNCTION("GOOGLETRANSLATE(C1096, ""en"", ""cs"")"),"Kontakt již existuje")</f>
        <v>Kontakt již existuje</v>
      </c>
      <c r="H1096" s="7" t="str">
        <f>IFERROR(__xludf.DUMMYFUNCTION("GOOGLETRANSLATE(C1096, ""en"", ""da"")"),"Kontakten eksisterer allerede")</f>
        <v>Kontakten eksisterer allerede</v>
      </c>
      <c r="I1096" s="1" t="s">
        <v>22752</v>
      </c>
      <c r="J1096" s="6" t="s">
        <v>132</v>
      </c>
      <c r="K1096" s="1" t="s">
        <v>22753</v>
      </c>
      <c r="L1096" s="7" t="str">
        <f>IFERROR(__xludf.DUMMYFUNCTION("GOOGLETRANSLATE(C1096, ""en"", ""fi"")"),"Yhteys on jo olemassa")</f>
        <v>Yhteys on jo olemassa</v>
      </c>
      <c r="M1096" s="1" t="s">
        <v>22754</v>
      </c>
      <c r="N1096" s="6" t="s">
        <v>22755</v>
      </c>
      <c r="O1096" s="6" t="s">
        <v>132</v>
      </c>
      <c r="P1096" s="1" t="s">
        <v>22756</v>
      </c>
      <c r="Q1096" s="9" t="s">
        <v>22757</v>
      </c>
      <c r="R1096" s="1" t="s">
        <v>22758</v>
      </c>
      <c r="S1096" s="6" t="s">
        <v>132</v>
      </c>
      <c r="T1096" s="1" t="s">
        <v>22759</v>
      </c>
      <c r="U1096" s="1" t="s">
        <v>22760</v>
      </c>
      <c r="V1096" s="7" t="str">
        <f>IFERROR(__xludf.DUMMYFUNCTION("GOOGLETRANSLATE(C1096, ""en"", ""ms"")"),"Hubungan itu sudah wujud")</f>
        <v>Hubungan itu sudah wujud</v>
      </c>
      <c r="W1096" s="1" t="s">
        <v>22761</v>
      </c>
      <c r="X1096" s="7" t="str">
        <f>IFERROR(__xludf.DUMMYFUNCTION("GOOGLETRANSLATE(C1096, ""en"", ""no"")"),"Kontakten eksisterer allerede")</f>
        <v>Kontakten eksisterer allerede</v>
      </c>
      <c r="Y1096" s="1" t="s">
        <v>22762</v>
      </c>
      <c r="Z1096" s="1" t="s">
        <v>22763</v>
      </c>
      <c r="AA1096" s="7" t="str">
        <f>IFERROR(__xludf.DUMMYFUNCTION("GOOGLETRANSLATE(C1096, ""en"", ""ro"")"),"Contact există deja")</f>
        <v>Contact există deja</v>
      </c>
      <c r="AB1096" s="1" t="s">
        <v>22764</v>
      </c>
      <c r="AC1096" s="1" t="s">
        <v>22765</v>
      </c>
      <c r="AD1096" s="6" t="s">
        <v>132</v>
      </c>
      <c r="AE1096" s="1" t="s">
        <v>22766</v>
      </c>
      <c r="AF1096" s="1" t="s">
        <v>22767</v>
      </c>
      <c r="AG1096" s="6" t="s">
        <v>132</v>
      </c>
      <c r="AH1096" s="7" t="str">
        <f>IFERROR(__xludf.DUMMYFUNCTION("GOOGLETRANSLATE(C1096, ""en"", ""tr"")"),"Temas zaten var")</f>
        <v>Temas zaten var</v>
      </c>
      <c r="AI1096" s="6" t="s">
        <v>22768</v>
      </c>
      <c r="AJ1096" s="6" t="s">
        <v>22769</v>
      </c>
      <c r="AK1096" s="7" t="str">
        <f>IFERROR(__xludf.DUMMYFUNCTION("GOOGLETRANSLATE(C1096, ""en"", ""zh"")"),"联系人已经存在")</f>
        <v>联系人已经存在</v>
      </c>
      <c r="AL1096" s="6" t="s">
        <v>22770</v>
      </c>
    </row>
    <row r="1097" ht="15.75" hidden="1" customHeight="1">
      <c r="A1097" s="1" t="s">
        <v>38</v>
      </c>
      <c r="B1097" s="1" t="s">
        <v>22771</v>
      </c>
      <c r="C1097" s="1" t="s">
        <v>22772</v>
      </c>
      <c r="D1097" s="7" t="str">
        <f>IFERROR(__xludf.DUMMYFUNCTION("GOOGLETRANSLATE(C1097, ""en"", ""ar"")"),"الصين")</f>
        <v>الصين</v>
      </c>
      <c r="E1097" s="7" t="str">
        <f>IFERROR(__xludf.DUMMYFUNCTION("GOOGLETRANSLATE(C1097, ""en"", ""bg"")"),"Китай")</f>
        <v>Китай</v>
      </c>
      <c r="F1097" s="6" t="s">
        <v>132</v>
      </c>
      <c r="G1097" s="7" t="str">
        <f>IFERROR(__xludf.DUMMYFUNCTION("GOOGLETRANSLATE(C1097, ""en"", ""cs"")"),"Čína")</f>
        <v>Čína</v>
      </c>
      <c r="H1097" s="7" t="str">
        <f>IFERROR(__xludf.DUMMYFUNCTION("GOOGLETRANSLATE(C1097, ""en"", ""da"")"),"Kina")</f>
        <v>Kina</v>
      </c>
      <c r="I1097" s="1" t="s">
        <v>22772</v>
      </c>
      <c r="J1097" s="6" t="s">
        <v>132</v>
      </c>
      <c r="K1097" s="1" t="s">
        <v>22772</v>
      </c>
      <c r="L1097" s="7" t="str">
        <f>IFERROR(__xludf.DUMMYFUNCTION("GOOGLETRANSLATE(C1097, ""en"", ""fi"")"),"Kiina")</f>
        <v>Kiina</v>
      </c>
      <c r="M1097" s="1" t="s">
        <v>22773</v>
      </c>
      <c r="N1097" s="6" t="s">
        <v>132</v>
      </c>
      <c r="O1097" s="6" t="s">
        <v>132</v>
      </c>
      <c r="P1097" s="1" t="s">
        <v>22772</v>
      </c>
      <c r="Q1097" s="7" t="str">
        <f>IFERROR(__xludf.DUMMYFUNCTION("GOOGLETRANSLATE(C1097, ""en"", ""in"")"),"Cina")</f>
        <v>Cina</v>
      </c>
      <c r="R1097" s="7" t="str">
        <f>IFERROR(__xludf.DUMMYFUNCTION("GOOGLETRANSLATE(C1097, ""en"", ""it"")"),"Cina")</f>
        <v>Cina</v>
      </c>
      <c r="S1097" s="6" t="s">
        <v>132</v>
      </c>
      <c r="T1097" s="7" t="str">
        <f>IFERROR(__xludf.DUMMYFUNCTION("GOOGLETRANSLATE(C1097, ""en"", ""ja"")"),"中国")</f>
        <v>中国</v>
      </c>
      <c r="U1097" s="7" t="str">
        <f>IFERROR(__xludf.DUMMYFUNCTION("GOOGLETRANSLATE(C1097, ""en"", ""ko"")"),"중국")</f>
        <v>중국</v>
      </c>
      <c r="V1097" s="7" t="str">
        <f>IFERROR(__xludf.DUMMYFUNCTION("GOOGLETRANSLATE(C1097, ""en"", ""ms"")"),"China")</f>
        <v>China</v>
      </c>
      <c r="W1097" s="7" t="str">
        <f>IFERROR(__xludf.DUMMYFUNCTION("GOOGLETRANSLATE(C1097, ""en"", ""nl"")"),"China")</f>
        <v>China</v>
      </c>
      <c r="X1097" s="7" t="str">
        <f>IFERROR(__xludf.DUMMYFUNCTION("GOOGLETRANSLATE(C1097, ""en"", ""no"")"),"Kina")</f>
        <v>Kina</v>
      </c>
      <c r="Y1097" s="7" t="str">
        <f>IFERROR(__xludf.DUMMYFUNCTION("GOOGLETRANSLATE(C1097, ""en"", ""pl"")"),"Chiny")</f>
        <v>Chiny</v>
      </c>
      <c r="Z1097" s="7" t="str">
        <f>IFERROR(__xludf.DUMMYFUNCTION("GOOGLETRANSLATE(C1097, ""en"", ""pt"")"),"China")</f>
        <v>China</v>
      </c>
      <c r="AA1097" s="7" t="str">
        <f>IFERROR(__xludf.DUMMYFUNCTION("GOOGLETRANSLATE(C1097, ""en"", ""ro"")"),"China")</f>
        <v>China</v>
      </c>
      <c r="AB1097" s="1" t="s">
        <v>22774</v>
      </c>
      <c r="AC1097" s="7" t="str">
        <f>IFERROR(__xludf.DUMMYFUNCTION("GOOGLETRANSLATE(C1097, ""en"", ""sk"")"),"Čínsky")</f>
        <v>Čínsky</v>
      </c>
      <c r="AD1097" s="6" t="s">
        <v>132</v>
      </c>
      <c r="AE1097" s="1" t="s">
        <v>22775</v>
      </c>
      <c r="AF1097" s="7" t="str">
        <f>IFERROR(__xludf.DUMMYFUNCTION("GOOGLETRANSLATE(C1097, ""en"", ""sv"")"),"Kina")</f>
        <v>Kina</v>
      </c>
      <c r="AG1097" s="6" t="s">
        <v>132</v>
      </c>
      <c r="AH1097" s="7" t="str">
        <f>IFERROR(__xludf.DUMMYFUNCTION("GOOGLETRANSLATE(C1097, ""en"", ""tr"")"),"Çin")</f>
        <v>Çin</v>
      </c>
      <c r="AI1097" s="6" t="s">
        <v>132</v>
      </c>
      <c r="AJ1097" s="6" t="s">
        <v>132</v>
      </c>
      <c r="AK1097" s="7" t="str">
        <f>IFERROR(__xludf.DUMMYFUNCTION("GOOGLETRANSLATE(C1097, ""en"", ""zh"")"),"中国")</f>
        <v>中国</v>
      </c>
      <c r="AL1097" s="6" t="s">
        <v>132</v>
      </c>
    </row>
    <row r="1098" ht="15.75" hidden="1" customHeight="1">
      <c r="A1098" s="1" t="s">
        <v>38</v>
      </c>
      <c r="B1098" s="1" t="s">
        <v>22776</v>
      </c>
      <c r="C1098" s="1" t="s">
        <v>22777</v>
      </c>
      <c r="D1098" s="8" t="s">
        <v>22778</v>
      </c>
      <c r="E1098" s="1" t="s">
        <v>22779</v>
      </c>
      <c r="F1098" s="6" t="s">
        <v>22780</v>
      </c>
      <c r="G1098" s="7" t="str">
        <f>IFERROR(__xludf.DUMMYFUNCTION("GOOGLETRANSLATE(C1098, ""en"", ""cs"")"),"Vyzvánění")</f>
        <v>Vyzvánění</v>
      </c>
      <c r="H1098" s="7" t="str">
        <f>IFERROR(__xludf.DUMMYFUNCTION("GOOGLETRANSLATE(C1098, ""en"", ""da"")"),"Ringetone.")</f>
        <v>Ringetone.</v>
      </c>
      <c r="I1098" s="1" t="s">
        <v>22781</v>
      </c>
      <c r="J1098" s="6" t="s">
        <v>132</v>
      </c>
      <c r="K1098" s="1" t="s">
        <v>22782</v>
      </c>
      <c r="L1098" s="7" t="str">
        <f>IFERROR(__xludf.DUMMYFUNCTION("GOOGLETRANSLATE(C1098, ""en"", ""fi"")"),"Soittoääni")</f>
        <v>Soittoääni</v>
      </c>
      <c r="M1098" s="1" t="s">
        <v>22783</v>
      </c>
      <c r="N1098" s="6" t="s">
        <v>22784</v>
      </c>
      <c r="O1098" s="6" t="s">
        <v>132</v>
      </c>
      <c r="P1098" s="1" t="s">
        <v>22785</v>
      </c>
      <c r="Q1098" s="9" t="s">
        <v>22786</v>
      </c>
      <c r="R1098" s="1" t="s">
        <v>22787</v>
      </c>
      <c r="S1098" s="6" t="s">
        <v>132</v>
      </c>
      <c r="T1098" s="1" t="s">
        <v>22788</v>
      </c>
      <c r="U1098" s="1" t="s">
        <v>22789</v>
      </c>
      <c r="V1098" s="7" t="str">
        <f>IFERROR(__xludf.DUMMYFUNCTION("GOOGLETRANSLATE(C1098, ""en"", ""ms"")"),"Ringtone.")</f>
        <v>Ringtone.</v>
      </c>
      <c r="W1098" s="1" t="s">
        <v>22790</v>
      </c>
      <c r="X1098" s="7" t="str">
        <f>IFERROR(__xludf.DUMMYFUNCTION("GOOGLETRANSLATE(C1098, ""en"", ""no"")"),"Ringetone")</f>
        <v>Ringetone</v>
      </c>
      <c r="Y1098" s="1" t="s">
        <v>22791</v>
      </c>
      <c r="Z1098" s="1" t="s">
        <v>22792</v>
      </c>
      <c r="AA1098" s="7" t="str">
        <f>IFERROR(__xludf.DUMMYFUNCTION("GOOGLETRANSLATE(C1098, ""en"", ""ro"")"),"Ton de apel")</f>
        <v>Ton de apel</v>
      </c>
      <c r="AB1098" s="1" t="s">
        <v>22793</v>
      </c>
      <c r="AC1098" s="7" t="str">
        <f>IFERROR(__xludf.DUMMYFUNCTION("GOOGLETRANSLATE(C1098, ""en"", ""sk"")"),"Zvonenie")</f>
        <v>Zvonenie</v>
      </c>
      <c r="AD1098" s="6" t="s">
        <v>132</v>
      </c>
      <c r="AE1098" s="1" t="s">
        <v>22794</v>
      </c>
      <c r="AF1098" s="1" t="s">
        <v>22795</v>
      </c>
      <c r="AG1098" s="6" t="s">
        <v>132</v>
      </c>
      <c r="AH1098" s="7" t="str">
        <f>IFERROR(__xludf.DUMMYFUNCTION("GOOGLETRANSLATE(C1098, ""en"", ""tr"")"),"Zil sesi")</f>
        <v>Zil sesi</v>
      </c>
      <c r="AI1098" s="6" t="s">
        <v>22796</v>
      </c>
      <c r="AJ1098" s="6" t="s">
        <v>22797</v>
      </c>
      <c r="AK1098" s="7" t="str">
        <f>IFERROR(__xludf.DUMMYFUNCTION("GOOGLETRANSLATE(C1098, ""en"", ""zh"")"),"铃声")</f>
        <v>铃声</v>
      </c>
      <c r="AL1098" s="6" t="s">
        <v>22798</v>
      </c>
    </row>
    <row r="1099" ht="15.75" customHeight="1">
      <c r="A1099" s="1" t="s">
        <v>127</v>
      </c>
      <c r="B1099" s="1" t="s">
        <v>22799</v>
      </c>
      <c r="C1099" s="1" t="s">
        <v>22800</v>
      </c>
      <c r="D1099" s="8" t="s">
        <v>22801</v>
      </c>
      <c r="E1099" s="1" t="s">
        <v>22802</v>
      </c>
      <c r="F1099" s="6" t="s">
        <v>132</v>
      </c>
      <c r="G1099" s="1" t="s">
        <v>22803</v>
      </c>
      <c r="H1099" s="1" t="s">
        <v>22804</v>
      </c>
      <c r="I1099" s="1" t="s">
        <v>22805</v>
      </c>
      <c r="J1099" s="6" t="s">
        <v>22806</v>
      </c>
      <c r="K1099" s="1" t="s">
        <v>22807</v>
      </c>
      <c r="L1099" s="1" t="s">
        <v>22808</v>
      </c>
      <c r="M1099" s="1" t="s">
        <v>22809</v>
      </c>
      <c r="N1099" s="6" t="s">
        <v>132</v>
      </c>
      <c r="O1099" s="6" t="s">
        <v>22810</v>
      </c>
      <c r="P1099" s="1" t="s">
        <v>22811</v>
      </c>
      <c r="Q1099" s="1" t="s">
        <v>22812</v>
      </c>
      <c r="R1099" s="1" t="s">
        <v>22813</v>
      </c>
      <c r="S1099" s="10" t="s">
        <v>22814</v>
      </c>
      <c r="T1099" s="1" t="s">
        <v>6690</v>
      </c>
      <c r="U1099" s="1" t="s">
        <v>22815</v>
      </c>
      <c r="V1099" s="1" t="s">
        <v>22816</v>
      </c>
      <c r="W1099" s="1" t="s">
        <v>22817</v>
      </c>
      <c r="X1099" s="1" t="s">
        <v>22818</v>
      </c>
      <c r="Y1099" s="1" t="s">
        <v>22819</v>
      </c>
      <c r="Z1099" s="1" t="s">
        <v>22807</v>
      </c>
      <c r="AA1099" s="1" t="s">
        <v>22820</v>
      </c>
      <c r="AB1099" s="1" t="s">
        <v>22821</v>
      </c>
      <c r="AC1099" s="1" t="s">
        <v>22822</v>
      </c>
      <c r="AD1099" s="6" t="s">
        <v>22823</v>
      </c>
      <c r="AE1099" s="1" t="s">
        <v>22824</v>
      </c>
      <c r="AF1099" s="1" t="s">
        <v>22825</v>
      </c>
      <c r="AG1099" s="6" t="s">
        <v>22826</v>
      </c>
      <c r="AH1099" s="1" t="s">
        <v>22827</v>
      </c>
      <c r="AI1099" s="6" t="s">
        <v>132</v>
      </c>
      <c r="AJ1099" s="6" t="s">
        <v>22828</v>
      </c>
      <c r="AK1099" s="1" t="s">
        <v>6690</v>
      </c>
      <c r="AL1099" s="6" t="s">
        <v>132</v>
      </c>
    </row>
    <row r="1100" ht="15.75" hidden="1" customHeight="1">
      <c r="A1100" s="1" t="s">
        <v>38</v>
      </c>
      <c r="B1100" s="1" t="s">
        <v>22829</v>
      </c>
      <c r="C1100" s="1" t="s">
        <v>22830</v>
      </c>
      <c r="D1100" s="8" t="s">
        <v>22831</v>
      </c>
      <c r="E1100" s="1" t="s">
        <v>22832</v>
      </c>
      <c r="F1100" s="6" t="s">
        <v>22833</v>
      </c>
      <c r="G1100" s="7" t="str">
        <f>IFERROR(__xludf.DUMMYFUNCTION("GOOGLETRANSLATE(C1100, ""en"", ""cs"")"),"Přezdívka je již používána")</f>
        <v>Přezdívka je již používána</v>
      </c>
      <c r="H1100" s="7" t="str">
        <f>IFERROR(__xludf.DUMMYFUNCTION("GOOGLETRANSLATE(C1100, ""en"", ""da"")"),"Kælenavn er allerede i brug")</f>
        <v>Kælenavn er allerede i brug</v>
      </c>
      <c r="I1100" s="1" t="s">
        <v>22834</v>
      </c>
      <c r="J1100" s="6" t="s">
        <v>132</v>
      </c>
      <c r="K1100" s="1" t="s">
        <v>22835</v>
      </c>
      <c r="L1100" s="7" t="str">
        <f>IFERROR(__xludf.DUMMYFUNCTION("GOOGLETRANSLATE(C1100, ""en"", ""fi"")"),"Lempinimi on jo käytössä")</f>
        <v>Lempinimi on jo käytössä</v>
      </c>
      <c r="M1100" s="1" t="s">
        <v>22836</v>
      </c>
      <c r="N1100" s="6" t="s">
        <v>22837</v>
      </c>
      <c r="O1100" s="6" t="s">
        <v>132</v>
      </c>
      <c r="P1100" s="1" t="s">
        <v>22838</v>
      </c>
      <c r="Q1100" s="9" t="s">
        <v>22839</v>
      </c>
      <c r="R1100" s="1" t="s">
        <v>13206</v>
      </c>
      <c r="S1100" s="6" t="s">
        <v>132</v>
      </c>
      <c r="T1100" s="1" t="s">
        <v>22840</v>
      </c>
      <c r="U1100" s="1" t="s">
        <v>22841</v>
      </c>
      <c r="V1100" s="7" t="str">
        <f>IFERROR(__xludf.DUMMYFUNCTION("GOOGLETRANSLATE(C1100, ""en"", ""ms"")"),"Nama samaran sudah digunakan")</f>
        <v>Nama samaran sudah digunakan</v>
      </c>
      <c r="W1100" s="1" t="s">
        <v>22842</v>
      </c>
      <c r="X1100" s="7" t="str">
        <f>IFERROR(__xludf.DUMMYFUNCTION("GOOGLETRANSLATE(C1100, ""en"", ""no"")"),"Kallenavn er allerede i bruk")</f>
        <v>Kallenavn er allerede i bruk</v>
      </c>
      <c r="Y1100" s="1" t="s">
        <v>13210</v>
      </c>
      <c r="Z1100" s="1" t="s">
        <v>22843</v>
      </c>
      <c r="AA1100" s="7" t="str">
        <f>IFERROR(__xludf.DUMMYFUNCTION("GOOGLETRANSLATE(C1100, ""en"", ""ro"")"),"Porecla este deja utilizată")</f>
        <v>Porecla este deja utilizată</v>
      </c>
      <c r="AB1100" s="1" t="s">
        <v>22844</v>
      </c>
      <c r="AC1100" s="1" t="s">
        <v>22845</v>
      </c>
      <c r="AD1100" s="6" t="s">
        <v>132</v>
      </c>
      <c r="AE1100" s="1" t="s">
        <v>22846</v>
      </c>
      <c r="AF1100" s="1" t="s">
        <v>22847</v>
      </c>
      <c r="AG1100" s="6" t="s">
        <v>132</v>
      </c>
      <c r="AH1100" s="7" t="str">
        <f>IFERROR(__xludf.DUMMYFUNCTION("GOOGLETRANSLATE(C1100, ""en"", ""tr"")"),"Takma ad zaten kullanımda")</f>
        <v>Takma ad zaten kullanımda</v>
      </c>
      <c r="AI1100" s="6" t="s">
        <v>22848</v>
      </c>
      <c r="AJ1100" s="6" t="s">
        <v>22849</v>
      </c>
      <c r="AK1100" s="7" t="str">
        <f>IFERROR(__xludf.DUMMYFUNCTION("GOOGLETRANSLATE(C1100, ""en"", ""zh"")"),"昵称已经在使用中")</f>
        <v>昵称已经在使用中</v>
      </c>
      <c r="AL1100" s="6" t="s">
        <v>22850</v>
      </c>
    </row>
    <row r="1101" ht="15.75" hidden="1" customHeight="1">
      <c r="A1101" s="1" t="s">
        <v>38</v>
      </c>
      <c r="B1101" s="1" t="s">
        <v>22851</v>
      </c>
      <c r="C1101" s="1" t="s">
        <v>22852</v>
      </c>
      <c r="D1101" s="7" t="str">
        <f>IFERROR(__xludf.DUMMYFUNCTION("GOOGLETRANSLATE(C1101, ""en"", ""ar"")"),"حذف سجل الدردشة")</f>
        <v>حذف سجل الدردشة</v>
      </c>
      <c r="E1101" s="7" t="str">
        <f>IFERROR(__xludf.DUMMYFUNCTION("GOOGLETRANSLATE(C1101, ""en"", ""bg"")"),"Изтрийте историята на чата")</f>
        <v>Изтрийте историята на чата</v>
      </c>
      <c r="F1101" s="6" t="s">
        <v>132</v>
      </c>
      <c r="G1101" s="7" t="str">
        <f>IFERROR(__xludf.DUMMYFUNCTION("GOOGLETRANSLATE(C1101, ""en"", ""cs"")"),"Smazat historii chatu")</f>
        <v>Smazat historii chatu</v>
      </c>
      <c r="H1101" s="7" t="str">
        <f>IFERROR(__xludf.DUMMYFUNCTION("GOOGLETRANSLATE(C1101, ""en"", ""da"")"),"Slet chathistorie.")</f>
        <v>Slet chathistorie.</v>
      </c>
      <c r="I1101" s="1" t="s">
        <v>22853</v>
      </c>
      <c r="J1101" s="6" t="s">
        <v>132</v>
      </c>
      <c r="K1101" s="1" t="s">
        <v>22854</v>
      </c>
      <c r="L1101" s="7" t="str">
        <f>IFERROR(__xludf.DUMMYFUNCTION("GOOGLETRANSLATE(C1101, ""en"", ""fi"")"),"Poista chat historia")</f>
        <v>Poista chat historia</v>
      </c>
      <c r="M1101" s="1" t="s">
        <v>22855</v>
      </c>
      <c r="N1101" s="6" t="s">
        <v>132</v>
      </c>
      <c r="O1101" s="6" t="s">
        <v>132</v>
      </c>
      <c r="P1101" s="1" t="s">
        <v>22856</v>
      </c>
      <c r="Q1101" s="7" t="str">
        <f>IFERROR(__xludf.DUMMYFUNCTION("GOOGLETRANSLATE(C1101, ""en"", ""in"")"),"Hapus riwayat obrolan")</f>
        <v>Hapus riwayat obrolan</v>
      </c>
      <c r="R1101" s="7" t="str">
        <f>IFERROR(__xludf.DUMMYFUNCTION("GOOGLETRANSLATE(C1101, ""en"", ""it"")"),"Elimina la cronologia della chat.")</f>
        <v>Elimina la cronologia della chat.</v>
      </c>
      <c r="S1101" s="6" t="s">
        <v>132</v>
      </c>
      <c r="T1101" s="7" t="str">
        <f>IFERROR(__xludf.DUMMYFUNCTION("GOOGLETRANSLATE(C1101, ""en"", ""ja"")"),"チャット履歴を削除します")</f>
        <v>チャット履歴を削除します</v>
      </c>
      <c r="U1101" s="7" t="str">
        <f>IFERROR(__xludf.DUMMYFUNCTION("GOOGLETRANSLATE(C1101, ""en"", ""ko"")"),"채팅 기록을 삭제하십시오")</f>
        <v>채팅 기록을 삭제하십시오</v>
      </c>
      <c r="V1101" s="7" t="str">
        <f>IFERROR(__xludf.DUMMYFUNCTION("GOOGLETRANSLATE(C1101, ""en"", ""ms"")"),"Padam sejarah sembang")</f>
        <v>Padam sejarah sembang</v>
      </c>
      <c r="W1101" s="7" t="str">
        <f>IFERROR(__xludf.DUMMYFUNCTION("GOOGLETRANSLATE(C1101, ""en"", ""nl"")"),"Verwijder chatgeschiedenis")</f>
        <v>Verwijder chatgeschiedenis</v>
      </c>
      <c r="X1101" s="7" t="str">
        <f>IFERROR(__xludf.DUMMYFUNCTION("GOOGLETRANSLATE(C1101, ""en"", ""no"")"),"Slett chathistorikk")</f>
        <v>Slett chathistorikk</v>
      </c>
      <c r="Y1101" s="7" t="str">
        <f>IFERROR(__xludf.DUMMYFUNCTION("GOOGLETRANSLATE(C1101, ""en"", ""pl"")"),"Usuń historię czatu.")</f>
        <v>Usuń historię czatu.</v>
      </c>
      <c r="Z1101" s="7" t="str">
        <f>IFERROR(__xludf.DUMMYFUNCTION("GOOGLETRANSLATE(C1101, ""en"", ""pt"")"),"Excluir histórico de bate-papo")</f>
        <v>Excluir histórico de bate-papo</v>
      </c>
      <c r="AA1101" s="7" t="str">
        <f>IFERROR(__xludf.DUMMYFUNCTION("GOOGLETRANSLATE(C1101, ""en"", ""ro"")"),"Ștergeți istoricul chaturilor")</f>
        <v>Ștergeți istoricul chaturilor</v>
      </c>
      <c r="AB1101" s="1" t="s">
        <v>22857</v>
      </c>
      <c r="AC1101" s="7" t="str">
        <f>IFERROR(__xludf.DUMMYFUNCTION("GOOGLETRANSLATE(C1101, ""en"", ""sk"")"),"Odstrániť históriu chatu")</f>
        <v>Odstrániť históriu chatu</v>
      </c>
      <c r="AD1101" s="6" t="s">
        <v>132</v>
      </c>
      <c r="AE1101" s="1" t="s">
        <v>22858</v>
      </c>
      <c r="AF1101" s="7" t="str">
        <f>IFERROR(__xludf.DUMMYFUNCTION("GOOGLETRANSLATE(C1101, ""en"", ""sv"")"),"Ta bort chatthistorik")</f>
        <v>Ta bort chatthistorik</v>
      </c>
      <c r="AG1101" s="6" t="s">
        <v>132</v>
      </c>
      <c r="AH1101" s="7" t="str">
        <f>IFERROR(__xludf.DUMMYFUNCTION("GOOGLETRANSLATE(C1101, ""en"", ""tr"")"),"Sohbet geçmişini sil")</f>
        <v>Sohbet geçmişini sil</v>
      </c>
      <c r="AI1101" s="6" t="s">
        <v>132</v>
      </c>
      <c r="AJ1101" s="6" t="s">
        <v>132</v>
      </c>
      <c r="AK1101" s="7" t="str">
        <f>IFERROR(__xludf.DUMMYFUNCTION("GOOGLETRANSLATE(C1101, ""en"", ""zh"")"),"删除聊天历史记录")</f>
        <v>删除聊天历史记录</v>
      </c>
      <c r="AL1101" s="6" t="s">
        <v>132</v>
      </c>
    </row>
    <row r="1102" ht="15.75" customHeight="1">
      <c r="A1102" s="1" t="s">
        <v>127</v>
      </c>
      <c r="B1102" s="1" t="s">
        <v>22859</v>
      </c>
      <c r="C1102" s="1" t="s">
        <v>22860</v>
      </c>
      <c r="D1102" s="8" t="s">
        <v>22861</v>
      </c>
      <c r="E1102" s="1" t="s">
        <v>22862</v>
      </c>
      <c r="F1102" s="6" t="s">
        <v>132</v>
      </c>
      <c r="G1102" s="1" t="s">
        <v>22863</v>
      </c>
      <c r="H1102" s="1" t="s">
        <v>22864</v>
      </c>
      <c r="I1102" s="1" t="s">
        <v>22865</v>
      </c>
      <c r="J1102" s="6" t="s">
        <v>22866</v>
      </c>
      <c r="K1102" s="1" t="s">
        <v>22867</v>
      </c>
      <c r="L1102" s="1" t="s">
        <v>22868</v>
      </c>
      <c r="M1102" s="1" t="s">
        <v>22869</v>
      </c>
      <c r="N1102" s="6" t="s">
        <v>132</v>
      </c>
      <c r="O1102" s="6" t="s">
        <v>22870</v>
      </c>
      <c r="P1102" s="1" t="s">
        <v>22871</v>
      </c>
      <c r="Q1102" s="1" t="s">
        <v>22872</v>
      </c>
      <c r="R1102" s="1" t="s">
        <v>22873</v>
      </c>
      <c r="S1102" s="10" t="s">
        <v>22874</v>
      </c>
      <c r="T1102" s="1" t="s">
        <v>22875</v>
      </c>
      <c r="U1102" s="1" t="s">
        <v>22876</v>
      </c>
      <c r="V1102" s="1" t="s">
        <v>22872</v>
      </c>
      <c r="W1102" s="1" t="s">
        <v>22877</v>
      </c>
      <c r="X1102" s="1" t="s">
        <v>22864</v>
      </c>
      <c r="Y1102" s="1" t="s">
        <v>22878</v>
      </c>
      <c r="Z1102" s="1" t="s">
        <v>22879</v>
      </c>
      <c r="AA1102" s="1" t="s">
        <v>22880</v>
      </c>
      <c r="AB1102" s="1" t="s">
        <v>22881</v>
      </c>
      <c r="AC1102" s="1" t="s">
        <v>22863</v>
      </c>
      <c r="AD1102" s="6" t="s">
        <v>22882</v>
      </c>
      <c r="AE1102" s="1" t="s">
        <v>22871</v>
      </c>
      <c r="AF1102" s="1" t="s">
        <v>22864</v>
      </c>
      <c r="AG1102" s="6" t="s">
        <v>22883</v>
      </c>
      <c r="AH1102" s="1" t="s">
        <v>22884</v>
      </c>
      <c r="AI1102" s="6" t="s">
        <v>132</v>
      </c>
      <c r="AJ1102" s="6" t="s">
        <v>22885</v>
      </c>
      <c r="AK1102" s="1" t="s">
        <v>22886</v>
      </c>
      <c r="AL1102" s="6" t="s">
        <v>132</v>
      </c>
    </row>
    <row r="1103" ht="15.75" hidden="1" customHeight="1">
      <c r="A1103" s="1" t="s">
        <v>38</v>
      </c>
      <c r="B1103" s="1" t="s">
        <v>22887</v>
      </c>
      <c r="C1103" s="1" t="s">
        <v>22888</v>
      </c>
      <c r="D1103" s="7" t="str">
        <f>IFERROR(__xludf.DUMMYFUNCTION("GOOGLETRANSLATE(C1103, ""en"", ""ar"")"),"خفضت آلية SASL")</f>
        <v>خفضت آلية SASL</v>
      </c>
      <c r="E1103" s="1" t="s">
        <v>22889</v>
      </c>
      <c r="F1103" s="6" t="s">
        <v>22890</v>
      </c>
      <c r="G1103" s="7" t="str">
        <f>IFERROR(__xludf.DUMMYFUNCTION("GOOGLETRANSLATE(C1103, ""en"", ""cs"")"),"Snížení mechanismu SASL")</f>
        <v>Snížení mechanismu SASL</v>
      </c>
      <c r="H1103" s="7" t="str">
        <f>IFERROR(__xludf.DUMMYFUNCTION("GOOGLETRANSLATE(C1103, ""en"", ""da"")"),"Nedgraderet SASL-mekanisme")</f>
        <v>Nedgraderet SASL-mekanisme</v>
      </c>
      <c r="I1103" s="1" t="s">
        <v>22891</v>
      </c>
      <c r="J1103" s="6" t="s">
        <v>132</v>
      </c>
      <c r="K1103" s="1" t="s">
        <v>22888</v>
      </c>
      <c r="L1103" s="7" t="str">
        <f>IFERROR(__xludf.DUMMYFUNCTION("GOOGLETRANSLATE(C1103, ""en"", ""fi"")"),"Alennettu SASL-mekanismi")</f>
        <v>Alennettu SASL-mekanismi</v>
      </c>
      <c r="M1103" s="1" t="s">
        <v>22892</v>
      </c>
      <c r="N1103" s="6" t="s">
        <v>22888</v>
      </c>
      <c r="O1103" s="6" t="s">
        <v>132</v>
      </c>
      <c r="P1103" s="1" t="s">
        <v>22893</v>
      </c>
      <c r="Q1103" s="7" t="str">
        <f>IFERROR(__xludf.DUMMYFUNCTION("GOOGLETRANSLATE(C1103, ""en"", ""in"")"),"Mekanisme SASL yang diturunkan")</f>
        <v>Mekanisme SASL yang diturunkan</v>
      </c>
      <c r="R1103" s="1" t="s">
        <v>22894</v>
      </c>
      <c r="S1103" s="6" t="s">
        <v>132</v>
      </c>
      <c r="T1103" s="1" t="s">
        <v>22895</v>
      </c>
      <c r="U1103" s="7" t="str">
        <f>IFERROR(__xludf.DUMMYFUNCTION("GOOGLETRANSLATE(C1103, ""en"", ""ko"")"),"다운 그레이드 된 SASL 메커니즘")</f>
        <v>다운 그레이드 된 SASL 메커니즘</v>
      </c>
      <c r="V1103" s="7" t="str">
        <f>IFERROR(__xludf.DUMMYFUNCTION("GOOGLETRANSLATE(C1103, ""en"", ""ms"")"),"Mekanisme SASL yang diturunkan")</f>
        <v>Mekanisme SASL yang diturunkan</v>
      </c>
      <c r="W1103" s="1" t="s">
        <v>22896</v>
      </c>
      <c r="X1103" s="7" t="str">
        <f>IFERROR(__xludf.DUMMYFUNCTION("GOOGLETRANSLATE(C1103, ""en"", ""no"")"),"Nedgradert SASL-mekanisme")</f>
        <v>Nedgradert SASL-mekanisme</v>
      </c>
      <c r="Y1103" s="1" t="s">
        <v>22897</v>
      </c>
      <c r="Z1103" s="7" t="str">
        <f>IFERROR(__xludf.DUMMYFUNCTION("GOOGLETRANSLATE(C1103, ""en"", ""pt"")"),"Mecanismo SASL rebaixado")</f>
        <v>Mecanismo SASL rebaixado</v>
      </c>
      <c r="AA1103" s="7" t="str">
        <f>IFERROR(__xludf.DUMMYFUNCTION("GOOGLETRANSLATE(C1103, ""en"", ""ro"")"),"Mecanismul SASL redus")</f>
        <v>Mecanismul SASL redus</v>
      </c>
      <c r="AB1103" s="7" t="str">
        <f>IFERROR(__xludf.DUMMYFUNCTION("GOOGLETRANSLATE(C1103, ""en"", ""ru"")"),"Понизительный SASL-механизм")</f>
        <v>Понизительный SASL-механизм</v>
      </c>
      <c r="AC1103" s="7" t="str">
        <f>IFERROR(__xludf.DUMMYFUNCTION("GOOGLETRANSLATE(C1103, ""en"", ""sk"")"),"Znížený mechanizmus SASL")</f>
        <v>Znížený mechanizmus SASL</v>
      </c>
      <c r="AD1103" s="6" t="s">
        <v>132</v>
      </c>
      <c r="AE1103" s="7" t="str">
        <f>IFERROR(__xludf.DUMMYFUNCTION("GOOGLETRANSLATE(C1103, ""en"", ""sr"")"),"Смањили САСЛ механизам")</f>
        <v>Смањили САСЛ механизам</v>
      </c>
      <c r="AF1103" s="7" t="str">
        <f>IFERROR(__xludf.DUMMYFUNCTION("GOOGLETRANSLATE(C1103, ""en"", ""sv"")"),"Nedgraderad SASL-mekanism")</f>
        <v>Nedgraderad SASL-mekanism</v>
      </c>
      <c r="AG1103" s="6" t="s">
        <v>132</v>
      </c>
      <c r="AH1103" s="7" t="str">
        <f>IFERROR(__xludf.DUMMYFUNCTION("GOOGLETRANSLATE(C1103, ""en"", ""tr"")"),"Düşmüş SASL Mekanizması")</f>
        <v>Düşmüş SASL Mekanizması</v>
      </c>
      <c r="AI1103" s="6" t="s">
        <v>22898</v>
      </c>
      <c r="AJ1103" s="6" t="s">
        <v>132</v>
      </c>
      <c r="AK1103" s="7" t="str">
        <f>IFERROR(__xludf.DUMMYFUNCTION("GOOGLETRANSLATE(C1103, ""en"", ""zh"")"),"降级SASL机制")</f>
        <v>降级SASL机制</v>
      </c>
      <c r="AL1103" s="6" t="s">
        <v>132</v>
      </c>
    </row>
    <row r="1104" ht="15.75" customHeight="1">
      <c r="A1104" s="1" t="s">
        <v>127</v>
      </c>
      <c r="B1104" s="1" t="s">
        <v>22899</v>
      </c>
      <c r="C1104" s="1" t="s">
        <v>22900</v>
      </c>
      <c r="D1104" s="8" t="s">
        <v>22901</v>
      </c>
      <c r="E1104" s="1" t="s">
        <v>22902</v>
      </c>
      <c r="F1104" s="6" t="s">
        <v>132</v>
      </c>
      <c r="G1104" s="1" t="s">
        <v>22903</v>
      </c>
      <c r="H1104" s="1" t="s">
        <v>22904</v>
      </c>
      <c r="I1104" s="1" t="s">
        <v>22905</v>
      </c>
      <c r="J1104" s="6" t="s">
        <v>22906</v>
      </c>
      <c r="K1104" s="1" t="s">
        <v>22907</v>
      </c>
      <c r="L1104" s="1" t="s">
        <v>22908</v>
      </c>
      <c r="M1104" s="1" t="s">
        <v>22909</v>
      </c>
      <c r="N1104" s="6" t="s">
        <v>132</v>
      </c>
      <c r="O1104" s="6" t="s">
        <v>22910</v>
      </c>
      <c r="P1104" s="1" t="s">
        <v>22911</v>
      </c>
      <c r="Q1104" s="1" t="s">
        <v>22912</v>
      </c>
      <c r="R1104" s="1" t="s">
        <v>22913</v>
      </c>
      <c r="S1104" s="10" t="s">
        <v>22914</v>
      </c>
      <c r="T1104" s="1" t="s">
        <v>22915</v>
      </c>
      <c r="U1104" s="1" t="s">
        <v>22916</v>
      </c>
      <c r="V1104" s="1" t="s">
        <v>22912</v>
      </c>
      <c r="W1104" s="1" t="s">
        <v>22917</v>
      </c>
      <c r="X1104" s="1" t="s">
        <v>22918</v>
      </c>
      <c r="Y1104" s="1" t="s">
        <v>22919</v>
      </c>
      <c r="Z1104" s="1" t="s">
        <v>22907</v>
      </c>
      <c r="AA1104" s="1" t="s">
        <v>22920</v>
      </c>
      <c r="AB1104" s="1" t="s">
        <v>22921</v>
      </c>
      <c r="AC1104" s="1" t="s">
        <v>22922</v>
      </c>
      <c r="AD1104" s="6" t="s">
        <v>22923</v>
      </c>
      <c r="AE1104" s="1" t="s">
        <v>22919</v>
      </c>
      <c r="AF1104" s="1" t="s">
        <v>22924</v>
      </c>
      <c r="AG1104" s="6" t="s">
        <v>22925</v>
      </c>
      <c r="AH1104" s="1" t="s">
        <v>22926</v>
      </c>
      <c r="AI1104" s="6" t="s">
        <v>132</v>
      </c>
      <c r="AJ1104" s="6" t="s">
        <v>22927</v>
      </c>
      <c r="AK1104" s="1" t="s">
        <v>22928</v>
      </c>
      <c r="AL1104" s="6" t="s">
        <v>22929</v>
      </c>
    </row>
    <row r="1105" ht="15.75" customHeight="1">
      <c r="A1105" s="1" t="s">
        <v>127</v>
      </c>
      <c r="B1105" s="1" t="s">
        <v>22930</v>
      </c>
      <c r="C1105" s="1" t="s">
        <v>22931</v>
      </c>
      <c r="D1105" s="8" t="s">
        <v>22932</v>
      </c>
      <c r="E1105" s="1" t="s">
        <v>22933</v>
      </c>
      <c r="F1105" s="6" t="s">
        <v>132</v>
      </c>
      <c r="G1105" s="1" t="s">
        <v>22934</v>
      </c>
      <c r="H1105" s="1" t="s">
        <v>22935</v>
      </c>
      <c r="I1105" s="1" t="s">
        <v>22936</v>
      </c>
      <c r="J1105" s="6" t="s">
        <v>22937</v>
      </c>
      <c r="K1105" s="1" t="s">
        <v>22938</v>
      </c>
      <c r="L1105" s="1" t="s">
        <v>22939</v>
      </c>
      <c r="M1105" s="1" t="s">
        <v>22940</v>
      </c>
      <c r="N1105" s="6" t="s">
        <v>132</v>
      </c>
      <c r="O1105" s="6" t="s">
        <v>22941</v>
      </c>
      <c r="P1105" s="1" t="s">
        <v>22942</v>
      </c>
      <c r="Q1105" s="1" t="s">
        <v>22943</v>
      </c>
      <c r="R1105" s="1" t="s">
        <v>22944</v>
      </c>
      <c r="S1105" s="10" t="s">
        <v>22945</v>
      </c>
      <c r="T1105" s="1" t="s">
        <v>22946</v>
      </c>
      <c r="U1105" s="1" t="s">
        <v>22947</v>
      </c>
      <c r="V1105" s="1" t="s">
        <v>22943</v>
      </c>
      <c r="W1105" s="1" t="s">
        <v>22948</v>
      </c>
      <c r="X1105" s="1" t="s">
        <v>22931</v>
      </c>
      <c r="Y1105" s="1" t="s">
        <v>22949</v>
      </c>
      <c r="Z1105" s="1" t="s">
        <v>22950</v>
      </c>
      <c r="AA1105" s="1" t="s">
        <v>22951</v>
      </c>
      <c r="AB1105" s="1" t="s">
        <v>22952</v>
      </c>
      <c r="AC1105" s="1" t="s">
        <v>22953</v>
      </c>
      <c r="AD1105" s="6" t="s">
        <v>22954</v>
      </c>
      <c r="AE1105" s="1" t="s">
        <v>22955</v>
      </c>
      <c r="AF1105" s="1" t="s">
        <v>22956</v>
      </c>
      <c r="AG1105" s="6" t="s">
        <v>22957</v>
      </c>
      <c r="AH1105" s="1" t="s">
        <v>22958</v>
      </c>
      <c r="AI1105" s="6" t="s">
        <v>132</v>
      </c>
      <c r="AJ1105" s="6" t="s">
        <v>22959</v>
      </c>
      <c r="AK1105" s="1" t="s">
        <v>22960</v>
      </c>
      <c r="AL1105" s="6" t="s">
        <v>22961</v>
      </c>
    </row>
    <row r="1106" ht="15.75" customHeight="1">
      <c r="A1106" s="1" t="s">
        <v>127</v>
      </c>
      <c r="B1106" s="1" t="s">
        <v>22962</v>
      </c>
      <c r="C1106" s="1" t="s">
        <v>5555</v>
      </c>
      <c r="D1106" s="8" t="s">
        <v>5556</v>
      </c>
      <c r="E1106" s="1" t="s">
        <v>5557</v>
      </c>
      <c r="F1106" s="6" t="s">
        <v>132</v>
      </c>
      <c r="G1106" s="1" t="s">
        <v>5558</v>
      </c>
      <c r="H1106" s="1" t="s">
        <v>5559</v>
      </c>
      <c r="I1106" s="1" t="s">
        <v>5560</v>
      </c>
      <c r="J1106" s="6" t="s">
        <v>5561</v>
      </c>
      <c r="K1106" s="1" t="s">
        <v>5562</v>
      </c>
      <c r="L1106" s="1" t="s">
        <v>5563</v>
      </c>
      <c r="M1106" s="1" t="s">
        <v>5564</v>
      </c>
      <c r="N1106" s="6" t="s">
        <v>132</v>
      </c>
      <c r="O1106" s="6" t="s">
        <v>5565</v>
      </c>
      <c r="P1106" s="1" t="s">
        <v>5566</v>
      </c>
      <c r="Q1106" s="1" t="s">
        <v>5567</v>
      </c>
      <c r="R1106" s="1" t="s">
        <v>5568</v>
      </c>
      <c r="S1106" s="10" t="s">
        <v>5569</v>
      </c>
      <c r="T1106" s="1" t="s">
        <v>5570</v>
      </c>
      <c r="U1106" s="1" t="s">
        <v>5571</v>
      </c>
      <c r="V1106" s="1" t="s">
        <v>5567</v>
      </c>
      <c r="W1106" s="1" t="s">
        <v>5572</v>
      </c>
      <c r="X1106" s="1" t="s">
        <v>5559</v>
      </c>
      <c r="Y1106" s="1" t="s">
        <v>5573</v>
      </c>
      <c r="Z1106" s="1" t="s">
        <v>5562</v>
      </c>
      <c r="AA1106" s="1" t="s">
        <v>5575</v>
      </c>
      <c r="AB1106" s="1" t="s">
        <v>5576</v>
      </c>
      <c r="AC1106" s="1" t="s">
        <v>5577</v>
      </c>
      <c r="AD1106" s="6" t="s">
        <v>5578</v>
      </c>
      <c r="AE1106" s="1" t="s">
        <v>5578</v>
      </c>
      <c r="AF1106" s="1" t="s">
        <v>5579</v>
      </c>
      <c r="AG1106" s="6" t="s">
        <v>5580</v>
      </c>
      <c r="AH1106" s="1" t="s">
        <v>22963</v>
      </c>
      <c r="AI1106" s="6" t="s">
        <v>132</v>
      </c>
      <c r="AJ1106" s="6" t="s">
        <v>5582</v>
      </c>
      <c r="AK1106" s="1" t="s">
        <v>5583</v>
      </c>
      <c r="AL1106" s="6" t="s">
        <v>5584</v>
      </c>
    </row>
    <row r="1107" ht="15.75" hidden="1" customHeight="1">
      <c r="A1107" s="1" t="s">
        <v>38</v>
      </c>
      <c r="B1107" s="1" t="s">
        <v>22964</v>
      </c>
      <c r="C1107" s="1" t="s">
        <v>22965</v>
      </c>
      <c r="D1107" s="7" t="str">
        <f>IFERROR(__xludf.DUMMYFUNCTION("GOOGLETRANSLATE(C1107, ""en"", ""ar"")"),"استخدم الزر ""تحرير"" لتعيين اسمك.")</f>
        <v>استخدم الزر "تحرير" لتعيين اسمك.</v>
      </c>
      <c r="E1107" s="1" t="s">
        <v>22966</v>
      </c>
      <c r="F1107" s="6" t="s">
        <v>132</v>
      </c>
      <c r="G1107" s="7" t="str">
        <f>IFERROR(__xludf.DUMMYFUNCTION("GOOGLETRANSLATE(C1107, ""en"", ""cs"")"),"Pomocí tlačítka Upravit nastavte název.")</f>
        <v>Pomocí tlačítka Upravit nastavte název.</v>
      </c>
      <c r="H1107" s="7" t="str">
        <f>IFERROR(__xludf.DUMMYFUNCTION("GOOGLETRANSLATE(C1107, ""en"", ""da"")"),"Brug knappen Rediger til at indstille dit navn.")</f>
        <v>Brug knappen Rediger til at indstille dit navn.</v>
      </c>
      <c r="I1107" s="1" t="s">
        <v>22967</v>
      </c>
      <c r="J1107" s="6" t="s">
        <v>132</v>
      </c>
      <c r="K1107" s="1" t="s">
        <v>22968</v>
      </c>
      <c r="L1107" s="7" t="str">
        <f>IFERROR(__xludf.DUMMYFUNCTION("GOOGLETRANSLATE(C1107, ""en"", ""fi"")"),"Aseta nimesi muokkauspainikkeella.")</f>
        <v>Aseta nimesi muokkauspainikkeella.</v>
      </c>
      <c r="M1107" s="7" t="str">
        <f>IFERROR(__xludf.DUMMYFUNCTION("GOOGLETRANSLATE(C1107, ""en"", ""fr"")"),"Utilisez le bouton Modifier pour définir votre nom.")</f>
        <v>Utilisez le bouton Modifier pour définir votre nom.</v>
      </c>
      <c r="N1107" s="6" t="s">
        <v>22969</v>
      </c>
      <c r="O1107" s="6" t="s">
        <v>132</v>
      </c>
      <c r="P1107" s="1" t="s">
        <v>22970</v>
      </c>
      <c r="Q1107" s="7" t="str">
        <f>IFERROR(__xludf.DUMMYFUNCTION("GOOGLETRANSLATE(C1107, ""en"", ""in"")"),"Gunakan tombol Edit untuk mengatur nama Anda.")</f>
        <v>Gunakan tombol Edit untuk mengatur nama Anda.</v>
      </c>
      <c r="R1107" s="1" t="s">
        <v>22971</v>
      </c>
      <c r="S1107" s="6" t="s">
        <v>132</v>
      </c>
      <c r="T1107" s="7" t="str">
        <f>IFERROR(__xludf.DUMMYFUNCTION("GOOGLETRANSLATE(C1107, ""en"", ""ja"")"),"編集ボタンを使って名前を設定します。")</f>
        <v>編集ボタンを使って名前を設定します。</v>
      </c>
      <c r="U1107" s="7" t="str">
        <f>IFERROR(__xludf.DUMMYFUNCTION("GOOGLETRANSLATE(C1107, ""en"", ""ko"")"),"편집 버튼을 사용하여 이름을 설정하십시오.")</f>
        <v>편집 버튼을 사용하여 이름을 설정하십시오.</v>
      </c>
      <c r="V1107" s="7" t="str">
        <f>IFERROR(__xludf.DUMMYFUNCTION("GOOGLETRANSLATE(C1107, ""en"", ""ms"")"),"Gunakan butang Edit untuk menetapkan nama anda.")</f>
        <v>Gunakan butang Edit untuk menetapkan nama anda.</v>
      </c>
      <c r="W1107" s="1" t="s">
        <v>22972</v>
      </c>
      <c r="X1107" s="7" t="str">
        <f>IFERROR(__xludf.DUMMYFUNCTION("GOOGLETRANSLATE(C1107, ""en"", ""no"")"),"Bruk Rediger-knappen for å angi navnet ditt.")</f>
        <v>Bruk Rediger-knappen for å angi navnet ditt.</v>
      </c>
      <c r="Y1107" s="1" t="s">
        <v>22973</v>
      </c>
      <c r="Z1107" s="7" t="str">
        <f>IFERROR(__xludf.DUMMYFUNCTION("GOOGLETRANSLATE(C1107, ""en"", ""pt"")"),"Use o botão Editar para definir seu nome.")</f>
        <v>Use o botão Editar para definir seu nome.</v>
      </c>
      <c r="AA1107" s="7" t="str">
        <f>IFERROR(__xludf.DUMMYFUNCTION("GOOGLETRANSLATE(C1107, ""en"", ""ro"")"),"Utilizați butonul Editare pentru a seta numele dvs.")</f>
        <v>Utilizați butonul Editare pentru a seta numele dvs.</v>
      </c>
      <c r="AB1107" s="7" t="str">
        <f>IFERROR(__xludf.DUMMYFUNCTION("GOOGLETRANSLATE(C1107, ""en"", ""ru"")"),"Используйте кнопку «Редактировать», чтобы установить ваше имя.")</f>
        <v>Используйте кнопку «Редактировать», чтобы установить ваше имя.</v>
      </c>
      <c r="AC1107" s="7" t="str">
        <f>IFERROR(__xludf.DUMMYFUNCTION("GOOGLETRANSLATE(C1107, ""en"", ""sk"")"),"Pomocou tlačidla Upraviť na nastavenie názvu.")</f>
        <v>Pomocou tlačidla Upraviť na nastavenie názvu.</v>
      </c>
      <c r="AD1107" s="6" t="s">
        <v>132</v>
      </c>
      <c r="AE1107" s="7" t="str">
        <f>IFERROR(__xludf.DUMMYFUNCTION("GOOGLETRANSLATE(C1107, ""en"", ""sr"")"),"Помоћу дугмета за уређивање подесите своје име.")</f>
        <v>Помоћу дугмета за уређивање подесите своје име.</v>
      </c>
      <c r="AF1107" s="7" t="str">
        <f>IFERROR(__xludf.DUMMYFUNCTION("GOOGLETRANSLATE(C1107, ""en"", ""sv"")"),"Använd knappen Redigera för att ställa in ditt namn.")</f>
        <v>Använd knappen Redigera för att ställa in ditt namn.</v>
      </c>
      <c r="AG1107" s="6" t="s">
        <v>132</v>
      </c>
      <c r="AH1107" s="7" t="str">
        <f>IFERROR(__xludf.DUMMYFUNCTION("GOOGLETRANSLATE(C1107, ""en"", ""tr"")"),"Adınızı ayarlamak için Düzenle düğmesini kullanın.")</f>
        <v>Adınızı ayarlamak için Düzenle düğmesini kullanın.</v>
      </c>
      <c r="AI1107" s="6" t="s">
        <v>132</v>
      </c>
      <c r="AJ1107" s="6" t="s">
        <v>132</v>
      </c>
      <c r="AK1107" s="7" t="str">
        <f>IFERROR(__xludf.DUMMYFUNCTION("GOOGLETRANSLATE(C1107, ""en"", ""zh"")"),"使用“编辑”按钮设置您的姓名。")</f>
        <v>使用“编辑”按钮设置您的姓名。</v>
      </c>
      <c r="AL1107" s="6" t="s">
        <v>132</v>
      </c>
    </row>
    <row r="1108" ht="15.75" customHeight="1">
      <c r="A1108" s="1" t="s">
        <v>127</v>
      </c>
      <c r="B1108" s="1" t="s">
        <v>22974</v>
      </c>
      <c r="C1108" s="1" t="s">
        <v>22975</v>
      </c>
      <c r="D1108" s="8" t="s">
        <v>22976</v>
      </c>
      <c r="E1108" s="1" t="s">
        <v>22977</v>
      </c>
      <c r="F1108" s="6" t="s">
        <v>132</v>
      </c>
      <c r="G1108" s="1" t="s">
        <v>22978</v>
      </c>
      <c r="H1108" s="1" t="s">
        <v>22979</v>
      </c>
      <c r="I1108" s="1" t="s">
        <v>22980</v>
      </c>
      <c r="J1108" s="6" t="s">
        <v>22981</v>
      </c>
      <c r="K1108" s="1" t="s">
        <v>22982</v>
      </c>
      <c r="L1108" s="1" t="s">
        <v>22983</v>
      </c>
      <c r="M1108" s="1" t="s">
        <v>22984</v>
      </c>
      <c r="N1108" s="6" t="s">
        <v>132</v>
      </c>
      <c r="O1108" s="6" t="s">
        <v>22985</v>
      </c>
      <c r="P1108" s="1" t="s">
        <v>22986</v>
      </c>
      <c r="Q1108" s="1" t="s">
        <v>22987</v>
      </c>
      <c r="R1108" s="1" t="s">
        <v>22988</v>
      </c>
      <c r="S1108" s="10" t="s">
        <v>22989</v>
      </c>
      <c r="T1108" s="1" t="s">
        <v>22990</v>
      </c>
      <c r="U1108" s="1" t="s">
        <v>22991</v>
      </c>
      <c r="V1108" s="1" t="s">
        <v>22992</v>
      </c>
      <c r="W1108" s="1" t="s">
        <v>22993</v>
      </c>
      <c r="X1108" s="1" t="s">
        <v>22994</v>
      </c>
      <c r="Y1108" s="1" t="s">
        <v>22995</v>
      </c>
      <c r="Z1108" s="1" t="s">
        <v>22996</v>
      </c>
      <c r="AA1108" s="1" t="s">
        <v>22997</v>
      </c>
      <c r="AB1108" s="1" t="s">
        <v>22998</v>
      </c>
      <c r="AC1108" s="1" t="s">
        <v>22999</v>
      </c>
      <c r="AD1108" s="6" t="s">
        <v>23000</v>
      </c>
      <c r="AE1108" s="1" t="s">
        <v>23001</v>
      </c>
      <c r="AF1108" s="1" t="s">
        <v>23002</v>
      </c>
      <c r="AG1108" s="6" t="s">
        <v>23003</v>
      </c>
      <c r="AH1108" s="1" t="s">
        <v>23004</v>
      </c>
      <c r="AI1108" s="6" t="s">
        <v>132</v>
      </c>
      <c r="AJ1108" s="6" t="s">
        <v>23005</v>
      </c>
      <c r="AK1108" s="1" t="s">
        <v>23006</v>
      </c>
      <c r="AL1108" s="6" t="s">
        <v>23007</v>
      </c>
    </row>
    <row r="1109" ht="15.75" customHeight="1">
      <c r="A1109" s="1" t="s">
        <v>127</v>
      </c>
      <c r="B1109" s="1" t="s">
        <v>23008</v>
      </c>
      <c r="C1109" s="1" t="s">
        <v>16528</v>
      </c>
      <c r="D1109" s="8" t="s">
        <v>16529</v>
      </c>
      <c r="E1109" s="1" t="s">
        <v>7895</v>
      </c>
      <c r="F1109" s="6" t="s">
        <v>132</v>
      </c>
      <c r="G1109" s="1" t="s">
        <v>16530</v>
      </c>
      <c r="H1109" s="1" t="s">
        <v>16531</v>
      </c>
      <c r="I1109" s="1" t="s">
        <v>7897</v>
      </c>
      <c r="J1109" s="6" t="s">
        <v>16532</v>
      </c>
      <c r="K1109" s="1" t="s">
        <v>7898</v>
      </c>
      <c r="L1109" s="1" t="s">
        <v>16533</v>
      </c>
      <c r="M1109" s="1" t="s">
        <v>23009</v>
      </c>
      <c r="N1109" s="6" t="s">
        <v>132</v>
      </c>
      <c r="O1109" s="6" t="s">
        <v>16535</v>
      </c>
      <c r="P1109" s="1" t="s">
        <v>23010</v>
      </c>
      <c r="Q1109" s="1" t="s">
        <v>16537</v>
      </c>
      <c r="R1109" s="1" t="s">
        <v>7898</v>
      </c>
      <c r="S1109" s="10" t="s">
        <v>16538</v>
      </c>
      <c r="T1109" s="1" t="s">
        <v>7900</v>
      </c>
      <c r="U1109" s="1" t="s">
        <v>16539</v>
      </c>
      <c r="V1109" s="1" t="s">
        <v>16537</v>
      </c>
      <c r="W1109" s="1" t="s">
        <v>23011</v>
      </c>
      <c r="X1109" s="1" t="s">
        <v>16531</v>
      </c>
      <c r="Y1109" s="1" t="s">
        <v>16540</v>
      </c>
      <c r="Z1109" s="1" t="s">
        <v>7898</v>
      </c>
      <c r="AA1109" s="1" t="s">
        <v>16541</v>
      </c>
      <c r="AB1109" s="1" t="s">
        <v>7903</v>
      </c>
      <c r="AC1109" s="1" t="s">
        <v>16542</v>
      </c>
      <c r="AD1109" s="6" t="s">
        <v>16543</v>
      </c>
      <c r="AE1109" s="1" t="s">
        <v>23012</v>
      </c>
      <c r="AF1109" s="1" t="s">
        <v>16531</v>
      </c>
      <c r="AG1109" s="6" t="s">
        <v>16545</v>
      </c>
      <c r="AH1109" s="1" t="s">
        <v>16546</v>
      </c>
      <c r="AI1109" s="6" t="s">
        <v>132</v>
      </c>
      <c r="AJ1109" s="6" t="s">
        <v>16547</v>
      </c>
      <c r="AK1109" s="1" t="s">
        <v>7900</v>
      </c>
      <c r="AL1109" s="6" t="s">
        <v>132</v>
      </c>
    </row>
    <row r="1110" ht="15.75" customHeight="1">
      <c r="A1110" s="1" t="s">
        <v>127</v>
      </c>
      <c r="B1110" s="1" t="s">
        <v>23013</v>
      </c>
      <c r="C1110" s="1" t="s">
        <v>23014</v>
      </c>
      <c r="D1110" s="8" t="s">
        <v>23015</v>
      </c>
      <c r="E1110" s="1" t="s">
        <v>23016</v>
      </c>
      <c r="F1110" s="6" t="s">
        <v>132</v>
      </c>
      <c r="G1110" s="1" t="s">
        <v>23017</v>
      </c>
      <c r="H1110" s="1" t="s">
        <v>23018</v>
      </c>
      <c r="I1110" s="1" t="s">
        <v>23019</v>
      </c>
      <c r="J1110" s="6" t="s">
        <v>23020</v>
      </c>
      <c r="K1110" s="1" t="s">
        <v>23021</v>
      </c>
      <c r="L1110" s="1" t="s">
        <v>23022</v>
      </c>
      <c r="M1110" s="1" t="s">
        <v>23023</v>
      </c>
      <c r="N1110" s="6" t="s">
        <v>132</v>
      </c>
      <c r="O1110" s="6" t="s">
        <v>23024</v>
      </c>
      <c r="P1110" s="1" t="s">
        <v>23025</v>
      </c>
      <c r="Q1110" s="1" t="s">
        <v>23026</v>
      </c>
      <c r="R1110" s="1" t="s">
        <v>23027</v>
      </c>
      <c r="S1110" s="10" t="s">
        <v>23028</v>
      </c>
      <c r="T1110" s="1" t="s">
        <v>8482</v>
      </c>
      <c r="U1110" s="1" t="s">
        <v>8483</v>
      </c>
      <c r="V1110" s="1" t="s">
        <v>23029</v>
      </c>
      <c r="W1110" s="1" t="s">
        <v>23030</v>
      </c>
      <c r="X1110" s="1" t="s">
        <v>23031</v>
      </c>
      <c r="Y1110" s="1" t="s">
        <v>23032</v>
      </c>
      <c r="Z1110" s="1" t="s">
        <v>23033</v>
      </c>
      <c r="AA1110" s="1" t="s">
        <v>23034</v>
      </c>
      <c r="AB1110" s="1" t="s">
        <v>23035</v>
      </c>
      <c r="AC1110" s="1" t="s">
        <v>23036</v>
      </c>
      <c r="AD1110" s="6" t="s">
        <v>23037</v>
      </c>
      <c r="AE1110" s="1" t="s">
        <v>23038</v>
      </c>
      <c r="AF1110" s="1" t="s">
        <v>23039</v>
      </c>
      <c r="AG1110" s="6" t="s">
        <v>8493</v>
      </c>
      <c r="AH1110" s="1" t="s">
        <v>23040</v>
      </c>
      <c r="AI1110" s="6" t="s">
        <v>132</v>
      </c>
      <c r="AJ1110" s="6" t="s">
        <v>8495</v>
      </c>
      <c r="AK1110" s="1" t="s">
        <v>8496</v>
      </c>
      <c r="AL1110" s="6" t="s">
        <v>23041</v>
      </c>
    </row>
    <row r="1111" ht="15.75" customHeight="1">
      <c r="A1111" s="1" t="s">
        <v>127</v>
      </c>
      <c r="B1111" s="1" t="s">
        <v>23042</v>
      </c>
      <c r="C1111" s="1" t="s">
        <v>23043</v>
      </c>
      <c r="D1111" s="8" t="s">
        <v>23044</v>
      </c>
      <c r="E1111" s="1" t="s">
        <v>23045</v>
      </c>
      <c r="F1111" s="6" t="s">
        <v>132</v>
      </c>
      <c r="G1111" s="1" t="s">
        <v>23046</v>
      </c>
      <c r="H1111" s="1" t="s">
        <v>23047</v>
      </c>
      <c r="I1111" s="1" t="s">
        <v>23048</v>
      </c>
      <c r="J1111" s="6" t="s">
        <v>23049</v>
      </c>
      <c r="K1111" s="1" t="s">
        <v>23050</v>
      </c>
      <c r="L1111" s="1" t="s">
        <v>23051</v>
      </c>
      <c r="M1111" s="1" t="s">
        <v>23052</v>
      </c>
      <c r="N1111" s="6" t="s">
        <v>132</v>
      </c>
      <c r="O1111" s="6" t="s">
        <v>23053</v>
      </c>
      <c r="P1111" s="1" t="s">
        <v>23054</v>
      </c>
      <c r="Q1111" s="1" t="s">
        <v>23055</v>
      </c>
      <c r="R1111" s="1" t="s">
        <v>23056</v>
      </c>
      <c r="S1111" s="10" t="s">
        <v>23057</v>
      </c>
      <c r="T1111" s="1" t="s">
        <v>23058</v>
      </c>
      <c r="U1111" s="1" t="s">
        <v>23059</v>
      </c>
      <c r="V1111" s="1" t="s">
        <v>23060</v>
      </c>
      <c r="W1111" s="1" t="s">
        <v>23061</v>
      </c>
      <c r="X1111" s="1" t="s">
        <v>23062</v>
      </c>
      <c r="Y1111" s="1" t="s">
        <v>23063</v>
      </c>
      <c r="Z1111" s="1" t="s">
        <v>23050</v>
      </c>
      <c r="AA1111" s="1" t="s">
        <v>23064</v>
      </c>
      <c r="AB1111" s="1" t="s">
        <v>23045</v>
      </c>
      <c r="AC1111" s="1" t="s">
        <v>23065</v>
      </c>
      <c r="AD1111" s="6" t="s">
        <v>23066</v>
      </c>
      <c r="AE1111" s="1" t="s">
        <v>23067</v>
      </c>
      <c r="AF1111" s="1" t="s">
        <v>23062</v>
      </c>
      <c r="AG1111" s="6" t="s">
        <v>23068</v>
      </c>
      <c r="AH1111" s="1" t="s">
        <v>23069</v>
      </c>
      <c r="AI1111" s="6" t="s">
        <v>132</v>
      </c>
      <c r="AJ1111" s="6" t="s">
        <v>23070</v>
      </c>
      <c r="AK1111" s="1" t="s">
        <v>23071</v>
      </c>
      <c r="AL1111" s="6" t="s">
        <v>132</v>
      </c>
    </row>
    <row r="1112" ht="15.75" customHeight="1">
      <c r="A1112" s="1" t="s">
        <v>127</v>
      </c>
      <c r="B1112" s="1" t="s">
        <v>23072</v>
      </c>
      <c r="C1112" s="1" t="s">
        <v>23073</v>
      </c>
      <c r="D1112" s="8" t="s">
        <v>19188</v>
      </c>
      <c r="E1112" s="1" t="s">
        <v>23074</v>
      </c>
      <c r="F1112" s="6" t="s">
        <v>132</v>
      </c>
      <c r="G1112" s="1" t="s">
        <v>23075</v>
      </c>
      <c r="H1112" s="1" t="s">
        <v>23076</v>
      </c>
      <c r="I1112" s="1" t="s">
        <v>23077</v>
      </c>
      <c r="J1112" s="6" t="s">
        <v>19192</v>
      </c>
      <c r="K1112" s="1" t="s">
        <v>23078</v>
      </c>
      <c r="L1112" s="1" t="s">
        <v>23079</v>
      </c>
      <c r="M1112" s="1" t="s">
        <v>23080</v>
      </c>
      <c r="N1112" s="6" t="s">
        <v>132</v>
      </c>
      <c r="O1112" s="6" t="s">
        <v>23081</v>
      </c>
      <c r="P1112" s="1" t="s">
        <v>23082</v>
      </c>
      <c r="Q1112" s="1" t="s">
        <v>23083</v>
      </c>
      <c r="R1112" s="1" t="s">
        <v>23084</v>
      </c>
      <c r="S1112" s="10" t="s">
        <v>23085</v>
      </c>
      <c r="T1112" s="1" t="s">
        <v>23086</v>
      </c>
      <c r="U1112" s="1" t="s">
        <v>4022</v>
      </c>
      <c r="V1112" s="1" t="s">
        <v>23083</v>
      </c>
      <c r="W1112" s="1" t="s">
        <v>23087</v>
      </c>
      <c r="X1112" s="1" t="s">
        <v>23076</v>
      </c>
      <c r="Y1112" s="1" t="s">
        <v>23088</v>
      </c>
      <c r="Z1112" s="1" t="s">
        <v>23078</v>
      </c>
      <c r="AA1112" s="1" t="s">
        <v>23084</v>
      </c>
      <c r="AB1112" s="1" t="s">
        <v>23089</v>
      </c>
      <c r="AC1112" s="1" t="s">
        <v>23090</v>
      </c>
      <c r="AD1112" s="6" t="s">
        <v>23091</v>
      </c>
      <c r="AE1112" s="1" t="s">
        <v>23092</v>
      </c>
      <c r="AF1112" s="1" t="s">
        <v>23076</v>
      </c>
      <c r="AG1112" s="6" t="s">
        <v>23093</v>
      </c>
      <c r="AH1112" s="1" t="s">
        <v>23094</v>
      </c>
      <c r="AI1112" s="6" t="s">
        <v>132</v>
      </c>
      <c r="AJ1112" s="6" t="s">
        <v>4026</v>
      </c>
      <c r="AK1112" s="1" t="s">
        <v>23095</v>
      </c>
      <c r="AL1112" s="6" t="s">
        <v>23096</v>
      </c>
    </row>
    <row r="1113" ht="15.75" hidden="1" customHeight="1">
      <c r="A1113" s="1" t="s">
        <v>38</v>
      </c>
      <c r="B1113" s="1" t="s">
        <v>23097</v>
      </c>
      <c r="C1113" s="1" t="s">
        <v>23098</v>
      </c>
      <c r="D1113" s="7" t="str">
        <f>IFERROR(__xludf.DUMMYFUNCTION("GOOGLETRANSLATE(C1113, ""en"", ""ar"")"),"السودان")</f>
        <v>السودان</v>
      </c>
      <c r="E1113" s="7" t="str">
        <f>IFERROR(__xludf.DUMMYFUNCTION("GOOGLETRANSLATE(C1113, ""en"", ""bg"")"),"Судан")</f>
        <v>Судан</v>
      </c>
      <c r="F1113" s="6" t="s">
        <v>132</v>
      </c>
      <c r="G1113" s="7" t="str">
        <f>IFERROR(__xludf.DUMMYFUNCTION("GOOGLETRANSLATE(C1113, ""en"", ""cs"")"),"Sudan.")</f>
        <v>Sudan.</v>
      </c>
      <c r="H1113" s="7" t="str">
        <f>IFERROR(__xludf.DUMMYFUNCTION("GOOGLETRANSLATE(C1113, ""en"", ""da"")"),"Sudan.")</f>
        <v>Sudan.</v>
      </c>
      <c r="I1113" s="1" t="s">
        <v>23098</v>
      </c>
      <c r="J1113" s="6" t="s">
        <v>132</v>
      </c>
      <c r="K1113" s="1" t="s">
        <v>23099</v>
      </c>
      <c r="L1113" s="7" t="str">
        <f>IFERROR(__xludf.DUMMYFUNCTION("GOOGLETRANSLATE(C1113, ""en"", ""fi"")"),"Sudan")</f>
        <v>Sudan</v>
      </c>
      <c r="M1113" s="1" t="s">
        <v>23100</v>
      </c>
      <c r="N1113" s="6" t="s">
        <v>132</v>
      </c>
      <c r="O1113" s="6" t="s">
        <v>132</v>
      </c>
      <c r="P1113" s="1" t="s">
        <v>23098</v>
      </c>
      <c r="Q1113" s="7" t="str">
        <f>IFERROR(__xludf.DUMMYFUNCTION("GOOGLETRANSLATE(C1113, ""en"", ""in"")"),"Sudan.")</f>
        <v>Sudan.</v>
      </c>
      <c r="R1113" s="7" t="str">
        <f>IFERROR(__xludf.DUMMYFUNCTION("GOOGLETRANSLATE(C1113, ""en"", ""it"")"),"Sudan")</f>
        <v>Sudan</v>
      </c>
      <c r="S1113" s="6" t="s">
        <v>132</v>
      </c>
      <c r="T1113" s="7" t="str">
        <f>IFERROR(__xludf.DUMMYFUNCTION("GOOGLETRANSLATE(C1113, ""en"", ""ja"")"),"スーダン")</f>
        <v>スーダン</v>
      </c>
      <c r="U1113" s="7" t="str">
        <f>IFERROR(__xludf.DUMMYFUNCTION("GOOGLETRANSLATE(C1113, ""en"", ""ko"")"),"수단")</f>
        <v>수단</v>
      </c>
      <c r="V1113" s="7" t="str">
        <f>IFERROR(__xludf.DUMMYFUNCTION("GOOGLETRANSLATE(C1113, ""en"", ""ms"")"),"Sudan")</f>
        <v>Sudan</v>
      </c>
      <c r="W1113" s="7" t="str">
        <f>IFERROR(__xludf.DUMMYFUNCTION("GOOGLETRANSLATE(C1113, ""en"", ""nl"")"),"Soedan")</f>
        <v>Soedan</v>
      </c>
      <c r="X1113" s="7" t="str">
        <f>IFERROR(__xludf.DUMMYFUNCTION("GOOGLETRANSLATE(C1113, ""en"", ""no"")"),"Sudan.")</f>
        <v>Sudan.</v>
      </c>
      <c r="Y1113" s="7" t="str">
        <f>IFERROR(__xludf.DUMMYFUNCTION("GOOGLETRANSLATE(C1113, ""en"", ""pl"")"),"Sudan")</f>
        <v>Sudan</v>
      </c>
      <c r="Z1113" s="7" t="str">
        <f>IFERROR(__xludf.DUMMYFUNCTION("GOOGLETRANSLATE(C1113, ""en"", ""pt"")"),"Sudão")</f>
        <v>Sudão</v>
      </c>
      <c r="AA1113" s="7" t="str">
        <f>IFERROR(__xludf.DUMMYFUNCTION("GOOGLETRANSLATE(C1113, ""en"", ""ro"")"),"Sudan.")</f>
        <v>Sudan.</v>
      </c>
      <c r="AB1113" s="1" t="s">
        <v>23101</v>
      </c>
      <c r="AC1113" s="7" t="str">
        <f>IFERROR(__xludf.DUMMYFUNCTION("GOOGLETRANSLATE(C1113, ""en"", ""sk"")"),"Sudánsky")</f>
        <v>Sudánsky</v>
      </c>
      <c r="AD1113" s="6" t="s">
        <v>132</v>
      </c>
      <c r="AE1113" s="1" t="s">
        <v>23098</v>
      </c>
      <c r="AF1113" s="7" t="str">
        <f>IFERROR(__xludf.DUMMYFUNCTION("GOOGLETRANSLATE(C1113, ""en"", ""sv"")"),"Sudans")</f>
        <v>Sudans</v>
      </c>
      <c r="AG1113" s="6" t="s">
        <v>132</v>
      </c>
      <c r="AH1113" s="7" t="str">
        <f>IFERROR(__xludf.DUMMYFUNCTION("GOOGLETRANSLATE(C1113, ""en"", ""tr"")"),"Sudan")</f>
        <v>Sudan</v>
      </c>
      <c r="AI1113" s="6" t="s">
        <v>132</v>
      </c>
      <c r="AJ1113" s="6" t="s">
        <v>132</v>
      </c>
      <c r="AK1113" s="7" t="str">
        <f>IFERROR(__xludf.DUMMYFUNCTION("GOOGLETRANSLATE(C1113, ""en"", ""zh"")"),"苏丹")</f>
        <v>苏丹</v>
      </c>
      <c r="AL1113" s="6" t="s">
        <v>132</v>
      </c>
    </row>
    <row r="1114" ht="15.75" customHeight="1">
      <c r="A1114" s="1" t="s">
        <v>127</v>
      </c>
      <c r="B1114" s="1" t="s">
        <v>23102</v>
      </c>
      <c r="C1114" s="1" t="s">
        <v>23103</v>
      </c>
      <c r="D1114" s="8" t="s">
        <v>23104</v>
      </c>
      <c r="E1114" s="1" t="s">
        <v>23105</v>
      </c>
      <c r="F1114" s="6" t="s">
        <v>132</v>
      </c>
      <c r="G1114" s="1" t="s">
        <v>23106</v>
      </c>
      <c r="H1114" s="1" t="s">
        <v>23107</v>
      </c>
      <c r="I1114" s="1" t="s">
        <v>23108</v>
      </c>
      <c r="J1114" s="6" t="s">
        <v>23109</v>
      </c>
      <c r="K1114" s="1" t="s">
        <v>23110</v>
      </c>
      <c r="L1114" s="1" t="s">
        <v>23111</v>
      </c>
      <c r="M1114" s="1" t="s">
        <v>23112</v>
      </c>
      <c r="N1114" s="6" t="s">
        <v>132</v>
      </c>
      <c r="O1114" s="6" t="s">
        <v>23113</v>
      </c>
      <c r="P1114" s="1" t="s">
        <v>23114</v>
      </c>
      <c r="Q1114" s="1" t="s">
        <v>23115</v>
      </c>
      <c r="R1114" s="1" t="s">
        <v>23116</v>
      </c>
      <c r="S1114" s="10" t="s">
        <v>23117</v>
      </c>
      <c r="T1114" s="1" t="s">
        <v>23118</v>
      </c>
      <c r="U1114" s="1" t="s">
        <v>23119</v>
      </c>
      <c r="V1114" s="1" t="s">
        <v>23115</v>
      </c>
      <c r="W1114" s="1" t="s">
        <v>23120</v>
      </c>
      <c r="X1114" s="1" t="s">
        <v>23107</v>
      </c>
      <c r="Y1114" s="1" t="s">
        <v>23121</v>
      </c>
      <c r="Z1114" s="1" t="s">
        <v>23110</v>
      </c>
      <c r="AA1114" s="1" t="s">
        <v>23122</v>
      </c>
      <c r="AB1114" s="1" t="s">
        <v>23123</v>
      </c>
      <c r="AC1114" s="1" t="s">
        <v>23124</v>
      </c>
      <c r="AD1114" s="6" t="s">
        <v>23125</v>
      </c>
      <c r="AE1114" s="1" t="s">
        <v>23126</v>
      </c>
      <c r="AF1114" s="1" t="s">
        <v>23107</v>
      </c>
      <c r="AG1114" s="6" t="s">
        <v>23127</v>
      </c>
      <c r="AH1114" s="1" t="s">
        <v>23128</v>
      </c>
      <c r="AI1114" s="6" t="s">
        <v>132</v>
      </c>
      <c r="AJ1114" s="6" t="s">
        <v>23129</v>
      </c>
      <c r="AK1114" s="1" t="s">
        <v>23130</v>
      </c>
      <c r="AL1114" s="6" t="s">
        <v>23131</v>
      </c>
    </row>
    <row r="1115" ht="15.75" customHeight="1">
      <c r="A1115" s="1" t="s">
        <v>8528</v>
      </c>
      <c r="B1115" s="1" t="s">
        <v>23132</v>
      </c>
      <c r="C1115" s="1" t="s">
        <v>23133</v>
      </c>
      <c r="D1115" s="8" t="s">
        <v>23134</v>
      </c>
      <c r="E1115" s="1" t="s">
        <v>23135</v>
      </c>
      <c r="F1115" s="6" t="s">
        <v>132</v>
      </c>
      <c r="G1115" s="1" t="s">
        <v>23136</v>
      </c>
      <c r="H1115" s="1" t="s">
        <v>23137</v>
      </c>
      <c r="I1115" s="7" t="str">
        <f>IFERROR(__xludf.DUMMYFUNCTION("GOOGLETRANSLATE(C1115, ""en"", ""de"")"),"Greifen Sie auf unsere Marktübersicht oder Ihre Watchlisten direkt in Ihrem Huawei Assistant Feed!")</f>
        <v>Greifen Sie auf unsere Marktübersicht oder Ihre Watchlisten direkt in Ihrem Huawei Assistant Feed!</v>
      </c>
      <c r="J1115" s="6" t="s">
        <v>23138</v>
      </c>
      <c r="K1115" s="7" t="str">
        <f>IFERROR(__xludf.DUMMYFUNCTION("GOOGLETRANSLATE(C1115, ""en"", ""es"")"),"¡Acceda a nuestra descripción general del mercado o sus listas de vigilancia directamente en su asistente de Huawei.")</f>
        <v>¡Acceda a nuestra descripción general del mercado o sus listas de vigilancia directamente en su asistente de Huawei.</v>
      </c>
      <c r="L1115" s="1" t="s">
        <v>23139</v>
      </c>
      <c r="M1115" s="1" t="s">
        <v>23140</v>
      </c>
      <c r="N1115" s="6" t="s">
        <v>132</v>
      </c>
      <c r="O1115" s="6" t="s">
        <v>23141</v>
      </c>
      <c r="P1115" s="1" t="s">
        <v>23142</v>
      </c>
      <c r="Q1115" s="1" t="s">
        <v>23143</v>
      </c>
      <c r="R1115" s="1" t="s">
        <v>23144</v>
      </c>
      <c r="S1115" s="10" t="s">
        <v>23145</v>
      </c>
      <c r="T1115" s="1" t="s">
        <v>23146</v>
      </c>
      <c r="U1115" s="1" t="s">
        <v>23147</v>
      </c>
      <c r="V1115" s="1" t="s">
        <v>23148</v>
      </c>
      <c r="W1115" s="1" t="s">
        <v>23149</v>
      </c>
      <c r="X1115" s="1" t="s">
        <v>23150</v>
      </c>
      <c r="Y1115" s="11" t="s">
        <v>23151</v>
      </c>
      <c r="Z1115" s="1" t="s">
        <v>23152</v>
      </c>
      <c r="AA1115" s="1" t="s">
        <v>23153</v>
      </c>
      <c r="AB1115" s="7" t="str">
        <f>IFERROR(__xludf.DUMMYFUNCTION("GOOGLETRANSLATE(C1115, ""en"", ""ru"")"),"Доступ к нашему обзору на нашем рынке или вашим наблюдателям прямо в вашем Assistant Assistant!")</f>
        <v>Доступ к нашему обзору на нашем рынке или вашим наблюдателям прямо в вашем Assistant Assistant!</v>
      </c>
      <c r="AC1115" s="1" t="s">
        <v>23154</v>
      </c>
      <c r="AD1115" s="6" t="s">
        <v>23155</v>
      </c>
      <c r="AE1115" s="7" t="str">
        <f>IFERROR(__xludf.DUMMYFUNCTION("GOOGLETRANSLATE(C1115, ""en"", ""sr"")"),"Приступите нашем прегледу тржишта или вашим листима за праћење директно у вашем Хуавеи асистенту Феед!")</f>
        <v>Приступите нашем прегледу тржишта или вашим листима за праћење директно у вашем Хуавеи асистенту Феед!</v>
      </c>
      <c r="AF1115" s="1" t="s">
        <v>23156</v>
      </c>
      <c r="AG1115" s="6" t="s">
        <v>23157</v>
      </c>
      <c r="AH1115" s="13" t="s">
        <v>23158</v>
      </c>
      <c r="AI1115" s="6" t="s">
        <v>132</v>
      </c>
      <c r="AJ1115" s="6" t="s">
        <v>23159</v>
      </c>
      <c r="AK1115" s="14" t="s">
        <v>23160</v>
      </c>
      <c r="AL1115" s="6" t="s">
        <v>132</v>
      </c>
    </row>
    <row r="1116" ht="15.75" customHeight="1">
      <c r="A1116" s="1" t="s">
        <v>127</v>
      </c>
      <c r="B1116" s="1" t="s">
        <v>23161</v>
      </c>
      <c r="C1116" s="1" t="s">
        <v>23162</v>
      </c>
      <c r="D1116" s="8" t="s">
        <v>23163</v>
      </c>
      <c r="E1116" s="1" t="s">
        <v>23164</v>
      </c>
      <c r="F1116" s="6" t="s">
        <v>132</v>
      </c>
      <c r="G1116" s="1" t="s">
        <v>23165</v>
      </c>
      <c r="H1116" s="1" t="s">
        <v>23166</v>
      </c>
      <c r="I1116" s="1" t="s">
        <v>23167</v>
      </c>
      <c r="J1116" s="6" t="s">
        <v>23168</v>
      </c>
      <c r="K1116" s="1" t="s">
        <v>23169</v>
      </c>
      <c r="L1116" s="1" t="s">
        <v>23170</v>
      </c>
      <c r="M1116" s="1" t="s">
        <v>23171</v>
      </c>
      <c r="N1116" s="6" t="s">
        <v>132</v>
      </c>
      <c r="O1116" s="6" t="s">
        <v>23172</v>
      </c>
      <c r="P1116" s="1" t="s">
        <v>23173</v>
      </c>
      <c r="Q1116" s="1" t="s">
        <v>23174</v>
      </c>
      <c r="R1116" s="1" t="s">
        <v>23175</v>
      </c>
      <c r="S1116" s="10" t="s">
        <v>23176</v>
      </c>
      <c r="T1116" s="1" t="s">
        <v>23177</v>
      </c>
      <c r="U1116" s="1" t="s">
        <v>23178</v>
      </c>
      <c r="V1116" s="1" t="s">
        <v>23179</v>
      </c>
      <c r="W1116" s="1" t="s">
        <v>23180</v>
      </c>
      <c r="X1116" s="1" t="s">
        <v>23181</v>
      </c>
      <c r="Y1116" s="1" t="s">
        <v>23182</v>
      </c>
      <c r="Z1116" s="1" t="s">
        <v>23183</v>
      </c>
      <c r="AA1116" s="1" t="s">
        <v>23184</v>
      </c>
      <c r="AB1116" s="1" t="s">
        <v>23185</v>
      </c>
      <c r="AC1116" s="1" t="s">
        <v>23186</v>
      </c>
      <c r="AD1116" s="6" t="s">
        <v>23187</v>
      </c>
      <c r="AE1116" s="1" t="s">
        <v>23188</v>
      </c>
      <c r="AF1116" s="1" t="s">
        <v>23189</v>
      </c>
      <c r="AG1116" s="6" t="s">
        <v>23190</v>
      </c>
      <c r="AH1116" s="1" t="s">
        <v>23191</v>
      </c>
      <c r="AI1116" s="6" t="s">
        <v>132</v>
      </c>
      <c r="AJ1116" s="6" t="s">
        <v>23192</v>
      </c>
      <c r="AK1116" s="1" t="s">
        <v>23193</v>
      </c>
      <c r="AL1116" s="6" t="s">
        <v>23194</v>
      </c>
    </row>
    <row r="1117" ht="15.75" hidden="1" customHeight="1">
      <c r="A1117" s="1" t="s">
        <v>38</v>
      </c>
      <c r="B1117" s="1" t="s">
        <v>23195</v>
      </c>
      <c r="C1117" s="1" t="s">
        <v>23196</v>
      </c>
      <c r="D1117" s="8" t="s">
        <v>23197</v>
      </c>
      <c r="E1117" s="1" t="s">
        <v>23198</v>
      </c>
      <c r="F1117" s="6" t="s">
        <v>23199</v>
      </c>
      <c r="G1117" s="7" t="str">
        <f>IFERROR(__xludf.DUMMYFUNCTION("GOOGLETRANSLATE(C1117, ""en"", ""cs"")"),"Záznam hlasu")</f>
        <v>Záznam hlasu</v>
      </c>
      <c r="H1117" s="7" t="str">
        <f>IFERROR(__xludf.DUMMYFUNCTION("GOOGLETRANSLATE(C1117, ""en"", ""da"")"),"Record Voice.")</f>
        <v>Record Voice.</v>
      </c>
      <c r="I1117" s="1" t="s">
        <v>23200</v>
      </c>
      <c r="J1117" s="6" t="s">
        <v>132</v>
      </c>
      <c r="K1117" s="1" t="s">
        <v>23201</v>
      </c>
      <c r="L1117" s="7" t="str">
        <f>IFERROR(__xludf.DUMMYFUNCTION("GOOGLETRANSLATE(C1117, ""en"", ""fi"")"),"Tallenna ääni")</f>
        <v>Tallenna ääni</v>
      </c>
      <c r="M1117" s="1" t="s">
        <v>23202</v>
      </c>
      <c r="N1117" s="6" t="s">
        <v>23201</v>
      </c>
      <c r="O1117" s="6" t="s">
        <v>132</v>
      </c>
      <c r="P1117" s="1" t="s">
        <v>23203</v>
      </c>
      <c r="Q1117" s="9" t="s">
        <v>23204</v>
      </c>
      <c r="R1117" s="1" t="s">
        <v>23205</v>
      </c>
      <c r="S1117" s="6" t="s">
        <v>132</v>
      </c>
      <c r="T1117" s="1" t="s">
        <v>23206</v>
      </c>
      <c r="U1117" s="1" t="s">
        <v>23207</v>
      </c>
      <c r="V1117" s="7" t="str">
        <f>IFERROR(__xludf.DUMMYFUNCTION("GOOGLETRANSLATE(C1117, ""en"", ""ms"")"),"Rekod suara")</f>
        <v>Rekod suara</v>
      </c>
      <c r="W1117" s="1" t="s">
        <v>23208</v>
      </c>
      <c r="X1117" s="7" t="str">
        <f>IFERROR(__xludf.DUMMYFUNCTION("GOOGLETRANSLATE(C1117, ""en"", ""no"")"),"Ta opp stemme")</f>
        <v>Ta opp stemme</v>
      </c>
      <c r="Y1117" s="1" t="s">
        <v>23209</v>
      </c>
      <c r="Z1117" s="1" t="s">
        <v>23210</v>
      </c>
      <c r="AA1117" s="7" t="str">
        <f>IFERROR(__xludf.DUMMYFUNCTION("GOOGLETRANSLATE(C1117, ""en"", ""ro"")"),"Înregistrarea vocii")</f>
        <v>Înregistrarea vocii</v>
      </c>
      <c r="AB1117" s="1" t="s">
        <v>23211</v>
      </c>
      <c r="AC1117" s="1" t="s">
        <v>23212</v>
      </c>
      <c r="AD1117" s="6" t="s">
        <v>132</v>
      </c>
      <c r="AE1117" s="1" t="s">
        <v>23213</v>
      </c>
      <c r="AF1117" s="1" t="s">
        <v>23214</v>
      </c>
      <c r="AG1117" s="6" t="s">
        <v>132</v>
      </c>
      <c r="AH1117" s="7" t="str">
        <f>IFERROR(__xludf.DUMMYFUNCTION("GOOGLETRANSLATE(C1117, ""en"", ""tr"")"),"Ses kaydı")</f>
        <v>Ses kaydı</v>
      </c>
      <c r="AI1117" s="6" t="s">
        <v>23215</v>
      </c>
      <c r="AJ1117" s="6" t="s">
        <v>23216</v>
      </c>
      <c r="AK1117" s="7" t="str">
        <f>IFERROR(__xludf.DUMMYFUNCTION("GOOGLETRANSLATE(C1117, ""en"", ""zh"")"),"记录语音")</f>
        <v>记录语音</v>
      </c>
      <c r="AL1117" s="6" t="s">
        <v>23217</v>
      </c>
    </row>
    <row r="1118" ht="15.75" customHeight="1">
      <c r="A1118" s="1" t="s">
        <v>127</v>
      </c>
      <c r="B1118" s="1" t="s">
        <v>23218</v>
      </c>
      <c r="C1118" s="1" t="s">
        <v>23219</v>
      </c>
      <c r="D1118" s="8" t="s">
        <v>23220</v>
      </c>
      <c r="E1118" s="1" t="s">
        <v>23221</v>
      </c>
      <c r="F1118" s="6" t="s">
        <v>132</v>
      </c>
      <c r="G1118" s="1" t="s">
        <v>23222</v>
      </c>
      <c r="H1118" s="1" t="s">
        <v>23223</v>
      </c>
      <c r="I1118" s="1" t="s">
        <v>23224</v>
      </c>
      <c r="J1118" s="6" t="s">
        <v>23225</v>
      </c>
      <c r="K1118" s="1" t="s">
        <v>23226</v>
      </c>
      <c r="L1118" s="1" t="s">
        <v>23227</v>
      </c>
      <c r="M1118" s="1" t="s">
        <v>23228</v>
      </c>
      <c r="N1118" s="6" t="s">
        <v>132</v>
      </c>
      <c r="O1118" s="6" t="s">
        <v>23229</v>
      </c>
      <c r="P1118" s="1" t="s">
        <v>23230</v>
      </c>
      <c r="Q1118" s="1" t="s">
        <v>23231</v>
      </c>
      <c r="R1118" s="1" t="s">
        <v>23232</v>
      </c>
      <c r="S1118" s="10" t="s">
        <v>23233</v>
      </c>
      <c r="T1118" s="1" t="s">
        <v>23234</v>
      </c>
      <c r="U1118" s="1" t="s">
        <v>23235</v>
      </c>
      <c r="V1118" s="1" t="s">
        <v>23236</v>
      </c>
      <c r="W1118" s="1" t="s">
        <v>23237</v>
      </c>
      <c r="X1118" s="1" t="s">
        <v>23223</v>
      </c>
      <c r="Y1118" s="1" t="s">
        <v>23238</v>
      </c>
      <c r="Z1118" s="1" t="s">
        <v>23239</v>
      </c>
      <c r="AA1118" s="1" t="s">
        <v>23240</v>
      </c>
      <c r="AB1118" s="1" t="s">
        <v>23241</v>
      </c>
      <c r="AC1118" s="1" t="s">
        <v>23242</v>
      </c>
      <c r="AD1118" s="6" t="s">
        <v>23243</v>
      </c>
      <c r="AE1118" s="1" t="s">
        <v>23244</v>
      </c>
      <c r="AF1118" s="1" t="s">
        <v>23223</v>
      </c>
      <c r="AG1118" s="6" t="s">
        <v>23245</v>
      </c>
      <c r="AH1118" s="1" t="s">
        <v>23246</v>
      </c>
      <c r="AI1118" s="6" t="s">
        <v>132</v>
      </c>
      <c r="AJ1118" s="6" t="s">
        <v>23247</v>
      </c>
      <c r="AK1118" s="1" t="s">
        <v>23248</v>
      </c>
      <c r="AL1118" s="6" t="s">
        <v>23249</v>
      </c>
    </row>
    <row r="1119" ht="15.75" customHeight="1">
      <c r="A1119" s="1" t="s">
        <v>127</v>
      </c>
      <c r="B1119" s="1" t="s">
        <v>23250</v>
      </c>
      <c r="C1119" s="1" t="s">
        <v>23251</v>
      </c>
      <c r="D1119" s="8" t="s">
        <v>23252</v>
      </c>
      <c r="E1119" s="1" t="s">
        <v>23253</v>
      </c>
      <c r="F1119" s="6" t="s">
        <v>132</v>
      </c>
      <c r="G1119" s="1" t="s">
        <v>23254</v>
      </c>
      <c r="H1119" s="1" t="s">
        <v>23255</v>
      </c>
      <c r="I1119" s="1" t="s">
        <v>23255</v>
      </c>
      <c r="J1119" s="6" t="s">
        <v>23256</v>
      </c>
      <c r="K1119" s="1" t="s">
        <v>23257</v>
      </c>
      <c r="L1119" s="1" t="s">
        <v>23258</v>
      </c>
      <c r="M1119" s="1" t="s">
        <v>23259</v>
      </c>
      <c r="N1119" s="6" t="s">
        <v>132</v>
      </c>
      <c r="O1119" s="6" t="s">
        <v>23260</v>
      </c>
      <c r="P1119" s="1" t="s">
        <v>23261</v>
      </c>
      <c r="Q1119" s="1" t="s">
        <v>23262</v>
      </c>
      <c r="R1119" s="1" t="s">
        <v>23263</v>
      </c>
      <c r="S1119" s="10" t="s">
        <v>23264</v>
      </c>
      <c r="T1119" s="1" t="s">
        <v>23265</v>
      </c>
      <c r="U1119" s="1" t="s">
        <v>23266</v>
      </c>
      <c r="V1119" s="1" t="s">
        <v>23262</v>
      </c>
      <c r="W1119" s="1" t="s">
        <v>23267</v>
      </c>
      <c r="X1119" s="1" t="s">
        <v>23255</v>
      </c>
      <c r="Y1119" s="1" t="s">
        <v>23268</v>
      </c>
      <c r="Z1119" s="1" t="s">
        <v>23257</v>
      </c>
      <c r="AA1119" s="1" t="s">
        <v>23269</v>
      </c>
      <c r="AB1119" s="1" t="s">
        <v>23270</v>
      </c>
      <c r="AC1119" s="1" t="s">
        <v>23271</v>
      </c>
      <c r="AD1119" s="6" t="s">
        <v>23272</v>
      </c>
      <c r="AE1119" s="1" t="s">
        <v>23272</v>
      </c>
      <c r="AF1119" s="1" t="s">
        <v>23255</v>
      </c>
      <c r="AG1119" s="6" t="s">
        <v>23273</v>
      </c>
      <c r="AH1119" s="1" t="s">
        <v>23274</v>
      </c>
      <c r="AI1119" s="6" t="s">
        <v>132</v>
      </c>
      <c r="AJ1119" s="6" t="s">
        <v>23275</v>
      </c>
      <c r="AK1119" s="1" t="s">
        <v>23276</v>
      </c>
      <c r="AL1119" s="6" t="s">
        <v>23277</v>
      </c>
    </row>
    <row r="1120" ht="15.75" customHeight="1">
      <c r="A1120" s="1" t="s">
        <v>127</v>
      </c>
      <c r="B1120" s="1" t="s">
        <v>23278</v>
      </c>
      <c r="C1120" s="1" t="s">
        <v>23279</v>
      </c>
      <c r="D1120" s="8" t="s">
        <v>23280</v>
      </c>
      <c r="E1120" s="1" t="s">
        <v>23281</v>
      </c>
      <c r="F1120" s="6" t="s">
        <v>132</v>
      </c>
      <c r="G1120" s="1" t="s">
        <v>23282</v>
      </c>
      <c r="H1120" s="1" t="s">
        <v>23283</v>
      </c>
      <c r="I1120" s="1" t="s">
        <v>23284</v>
      </c>
      <c r="J1120" s="6" t="s">
        <v>23285</v>
      </c>
      <c r="K1120" s="1" t="s">
        <v>23286</v>
      </c>
      <c r="L1120" s="1" t="s">
        <v>23287</v>
      </c>
      <c r="M1120" s="1" t="s">
        <v>23288</v>
      </c>
      <c r="N1120" s="6" t="s">
        <v>132</v>
      </c>
      <c r="O1120" s="6" t="s">
        <v>23289</v>
      </c>
      <c r="P1120" s="1" t="s">
        <v>23290</v>
      </c>
      <c r="Q1120" s="1" t="s">
        <v>23291</v>
      </c>
      <c r="R1120" s="1" t="s">
        <v>23292</v>
      </c>
      <c r="S1120" s="10" t="s">
        <v>23293</v>
      </c>
      <c r="T1120" s="1" t="s">
        <v>23294</v>
      </c>
      <c r="U1120" s="1" t="s">
        <v>23295</v>
      </c>
      <c r="V1120" s="1" t="s">
        <v>23296</v>
      </c>
      <c r="W1120" s="1" t="s">
        <v>20545</v>
      </c>
      <c r="X1120" s="1" t="s">
        <v>23297</v>
      </c>
      <c r="Y1120" s="1" t="s">
        <v>23298</v>
      </c>
      <c r="Z1120" s="1" t="s">
        <v>23299</v>
      </c>
      <c r="AA1120" s="1" t="s">
        <v>23300</v>
      </c>
      <c r="AB1120" s="1" t="s">
        <v>23301</v>
      </c>
      <c r="AC1120" s="1" t="s">
        <v>23282</v>
      </c>
      <c r="AD1120" s="6" t="s">
        <v>23302</v>
      </c>
      <c r="AE1120" s="1" t="s">
        <v>23279</v>
      </c>
      <c r="AF1120" s="1" t="s">
        <v>23303</v>
      </c>
      <c r="AG1120" s="6" t="s">
        <v>23304</v>
      </c>
      <c r="AH1120" s="1" t="s">
        <v>23305</v>
      </c>
      <c r="AI1120" s="6" t="s">
        <v>132</v>
      </c>
      <c r="AJ1120" s="6" t="s">
        <v>23306</v>
      </c>
      <c r="AK1120" s="1" t="s">
        <v>23307</v>
      </c>
      <c r="AL1120" s="6" t="s">
        <v>23308</v>
      </c>
    </row>
    <row r="1121" ht="15.75" hidden="1" customHeight="1">
      <c r="A1121" s="1" t="s">
        <v>38</v>
      </c>
      <c r="B1121" s="1" t="s">
        <v>23309</v>
      </c>
      <c r="C1121" s="1" t="s">
        <v>23310</v>
      </c>
      <c r="D1121" s="8" t="s">
        <v>23311</v>
      </c>
      <c r="E1121" s="1" t="s">
        <v>23312</v>
      </c>
      <c r="F1121" s="6" t="s">
        <v>23313</v>
      </c>
      <c r="G1121" s="7" t="str">
        <f>IFERROR(__xludf.DUMMYFUNCTION("GOOGLETRANSLATE(C1121, ""en"", ""cs"")"),"Odejít")</f>
        <v>Odejít</v>
      </c>
      <c r="H1121" s="7" t="str">
        <f>IFERROR(__xludf.DUMMYFUNCTION("GOOGLETRANSLATE(C1121, ""en"", ""da"")"),"Forlade")</f>
        <v>Forlade</v>
      </c>
      <c r="I1121" s="1" t="s">
        <v>23314</v>
      </c>
      <c r="J1121" s="6" t="s">
        <v>132</v>
      </c>
      <c r="K1121" s="1" t="s">
        <v>23315</v>
      </c>
      <c r="L1121" s="7" t="str">
        <f>IFERROR(__xludf.DUMMYFUNCTION("GOOGLETRANSLATE(C1121, ""en"", ""fi"")"),"Jättää")</f>
        <v>Jättää</v>
      </c>
      <c r="M1121" s="1" t="s">
        <v>23316</v>
      </c>
      <c r="N1121" s="6" t="s">
        <v>23317</v>
      </c>
      <c r="O1121" s="6" t="s">
        <v>132</v>
      </c>
      <c r="P1121" s="1" t="s">
        <v>23318</v>
      </c>
      <c r="Q1121" s="9" t="s">
        <v>23319</v>
      </c>
      <c r="R1121" s="1" t="s">
        <v>23320</v>
      </c>
      <c r="S1121" s="6" t="s">
        <v>132</v>
      </c>
      <c r="T1121" s="1" t="s">
        <v>23321</v>
      </c>
      <c r="U1121" s="1" t="s">
        <v>23322</v>
      </c>
      <c r="V1121" s="7" t="str">
        <f>IFERROR(__xludf.DUMMYFUNCTION("GOOGLETRANSLATE(C1121, ""en"", ""ms"")"),"Biarkan")</f>
        <v>Biarkan</v>
      </c>
      <c r="W1121" s="1" t="s">
        <v>23323</v>
      </c>
      <c r="X1121" s="7" t="str">
        <f>IFERROR(__xludf.DUMMYFUNCTION("GOOGLETRANSLATE(C1121, ""en"", ""no"")"),"Permisjon")</f>
        <v>Permisjon</v>
      </c>
      <c r="Y1121" s="1" t="s">
        <v>23324</v>
      </c>
      <c r="Z1121" s="1" t="s">
        <v>23325</v>
      </c>
      <c r="AA1121" s="7" t="str">
        <f>IFERROR(__xludf.DUMMYFUNCTION("GOOGLETRANSLATE(C1121, ""en"", ""ro"")"),"Părăsi")</f>
        <v>Părăsi</v>
      </c>
      <c r="AB1121" s="1" t="s">
        <v>23326</v>
      </c>
      <c r="AC1121" s="1" t="s">
        <v>23327</v>
      </c>
      <c r="AD1121" s="6" t="s">
        <v>132</v>
      </c>
      <c r="AE1121" s="1" t="s">
        <v>23328</v>
      </c>
      <c r="AF1121" s="1" t="s">
        <v>23329</v>
      </c>
      <c r="AG1121" s="6" t="s">
        <v>132</v>
      </c>
      <c r="AH1121" s="7" t="str">
        <f>IFERROR(__xludf.DUMMYFUNCTION("GOOGLETRANSLATE(C1121, ""en"", ""tr"")"),"Ayrılmak")</f>
        <v>Ayrılmak</v>
      </c>
      <c r="AI1121" s="6" t="s">
        <v>23330</v>
      </c>
      <c r="AJ1121" s="6" t="s">
        <v>23331</v>
      </c>
      <c r="AK1121" s="7" t="str">
        <f>IFERROR(__xludf.DUMMYFUNCTION("GOOGLETRANSLATE(C1121, ""en"", ""zh"")"),"离开")</f>
        <v>离开</v>
      </c>
      <c r="AL1121" s="6" t="s">
        <v>23332</v>
      </c>
    </row>
    <row r="1122" ht="15.75" hidden="1" customHeight="1">
      <c r="A1122" s="1" t="s">
        <v>38</v>
      </c>
      <c r="B1122" s="1" t="s">
        <v>23333</v>
      </c>
      <c r="C1122" s="1" t="s">
        <v>23334</v>
      </c>
      <c r="D1122" s="8" t="s">
        <v>23335</v>
      </c>
      <c r="E1122" s="1" t="s">
        <v>23336</v>
      </c>
      <c r="F1122" s="6" t="s">
        <v>23337</v>
      </c>
      <c r="G1122" s="7" t="str">
        <f>IFERROR(__xludf.DUMMYFUNCTION("GOOGLETRANSLATE(C1122, ""en"", ""cs"")"),"Nebyly nalezeny žádné klávesy OpenPGP")</f>
        <v>Nebyly nalezeny žádné klávesy OpenPGP</v>
      </c>
      <c r="H1122" s="7" t="str">
        <f>IFERROR(__xludf.DUMMYFUNCTION("GOOGLETRANSLATE(C1122, ""en"", ""da"")"),"Ingen OpenPGP nøgler fundet")</f>
        <v>Ingen OpenPGP nøgler fundet</v>
      </c>
      <c r="I1122" s="1" t="s">
        <v>23338</v>
      </c>
      <c r="J1122" s="6" t="s">
        <v>132</v>
      </c>
      <c r="K1122" s="1" t="s">
        <v>23339</v>
      </c>
      <c r="L1122" s="7" t="str">
        <f>IFERROR(__xludf.DUMMYFUNCTION("GOOGLETRANSLATE(C1122, ""en"", ""fi"")"),"Ei OpenPGP-näppäimiä löytyi")</f>
        <v>Ei OpenPGP-näppäimiä löytyi</v>
      </c>
      <c r="M1122" s="1" t="s">
        <v>23340</v>
      </c>
      <c r="N1122" s="6" t="s">
        <v>23341</v>
      </c>
      <c r="O1122" s="6" t="s">
        <v>132</v>
      </c>
      <c r="P1122" s="1" t="s">
        <v>23342</v>
      </c>
      <c r="Q1122" s="9" t="s">
        <v>23343</v>
      </c>
      <c r="R1122" s="1" t="s">
        <v>23344</v>
      </c>
      <c r="S1122" s="6" t="s">
        <v>132</v>
      </c>
      <c r="T1122" s="1" t="s">
        <v>23345</v>
      </c>
      <c r="U1122" s="1" t="s">
        <v>23346</v>
      </c>
      <c r="V1122" s="7" t="str">
        <f>IFERROR(__xludf.DUMMYFUNCTION("GOOGLETRANSLATE(C1122, ""en"", ""ms"")"),"Tiada kunci OpenPGP yang dijumpai")</f>
        <v>Tiada kunci OpenPGP yang dijumpai</v>
      </c>
      <c r="W1122" s="1" t="s">
        <v>23347</v>
      </c>
      <c r="X1122" s="7" t="str">
        <f>IFERROR(__xludf.DUMMYFUNCTION("GOOGLETRANSLATE(C1122, ""en"", ""no"")"),"Ingen OpenPGP-nøkler funnet")</f>
        <v>Ingen OpenPGP-nøkler funnet</v>
      </c>
      <c r="Y1122" s="1" t="s">
        <v>23348</v>
      </c>
      <c r="Z1122" s="1" t="s">
        <v>23349</v>
      </c>
      <c r="AA1122" s="7" t="str">
        <f>IFERROR(__xludf.DUMMYFUNCTION("GOOGLETRANSLATE(C1122, ""en"", ""ro"")"),"Nu au fost găsite tastele OpenPGP")</f>
        <v>Nu au fost găsite tastele OpenPGP</v>
      </c>
      <c r="AB1122" s="1" t="s">
        <v>23350</v>
      </c>
      <c r="AC1122" s="1" t="s">
        <v>23351</v>
      </c>
      <c r="AD1122" s="6" t="s">
        <v>132</v>
      </c>
      <c r="AE1122" s="1" t="s">
        <v>23352</v>
      </c>
      <c r="AF1122" s="1" t="s">
        <v>23353</v>
      </c>
      <c r="AG1122" s="6" t="s">
        <v>132</v>
      </c>
      <c r="AH1122" s="7" t="str">
        <f>IFERROR(__xludf.DUMMYFUNCTION("GOOGLETRANSLATE(C1122, ""en"", ""tr"")"),"OpenPGP tuşu bulunamadı")</f>
        <v>OpenPGP tuşu bulunamadı</v>
      </c>
      <c r="AI1122" s="6" t="s">
        <v>23354</v>
      </c>
      <c r="AJ1122" s="6" t="s">
        <v>23355</v>
      </c>
      <c r="AK1122" s="7" t="str">
        <f>IFERROR(__xludf.DUMMYFUNCTION("GOOGLETRANSLATE(C1122, ""en"", ""zh"")"),"没有找到OpenPGP键")</f>
        <v>没有找到OpenPGP键</v>
      </c>
      <c r="AL1122" s="6" t="s">
        <v>23356</v>
      </c>
    </row>
    <row r="1123" ht="15.75" customHeight="1">
      <c r="A1123" s="1" t="s">
        <v>127</v>
      </c>
      <c r="B1123" s="1" t="s">
        <v>23357</v>
      </c>
      <c r="C1123" s="1" t="s">
        <v>16465</v>
      </c>
      <c r="D1123" s="8" t="s">
        <v>16466</v>
      </c>
      <c r="E1123" s="1" t="s">
        <v>16467</v>
      </c>
      <c r="F1123" s="6" t="s">
        <v>132</v>
      </c>
      <c r="G1123" s="1" t="s">
        <v>16468</v>
      </c>
      <c r="H1123" s="1" t="s">
        <v>16469</v>
      </c>
      <c r="I1123" s="1" t="s">
        <v>23358</v>
      </c>
      <c r="J1123" s="6" t="s">
        <v>16471</v>
      </c>
      <c r="K1123" s="1" t="s">
        <v>16472</v>
      </c>
      <c r="L1123" s="1" t="s">
        <v>16473</v>
      </c>
      <c r="M1123" s="1" t="s">
        <v>16474</v>
      </c>
      <c r="N1123" s="6" t="s">
        <v>132</v>
      </c>
      <c r="O1123" s="6" t="s">
        <v>16475</v>
      </c>
      <c r="P1123" s="1" t="s">
        <v>16476</v>
      </c>
      <c r="Q1123" s="1" t="s">
        <v>16477</v>
      </c>
      <c r="R1123" s="1" t="s">
        <v>16478</v>
      </c>
      <c r="S1123" s="10" t="s">
        <v>16479</v>
      </c>
      <c r="T1123" s="1" t="s">
        <v>16480</v>
      </c>
      <c r="U1123" s="1" t="s">
        <v>16481</v>
      </c>
      <c r="V1123" s="1" t="s">
        <v>16482</v>
      </c>
      <c r="W1123" s="1" t="s">
        <v>23359</v>
      </c>
      <c r="X1123" s="1" t="s">
        <v>16484</v>
      </c>
      <c r="Y1123" s="1" t="s">
        <v>16485</v>
      </c>
      <c r="Z1123" s="1" t="s">
        <v>16486</v>
      </c>
      <c r="AA1123" s="1" t="s">
        <v>23360</v>
      </c>
      <c r="AB1123" s="1" t="s">
        <v>23361</v>
      </c>
      <c r="AC1123" s="1" t="s">
        <v>16489</v>
      </c>
      <c r="AD1123" s="6" t="s">
        <v>16490</v>
      </c>
      <c r="AE1123" s="1" t="s">
        <v>16491</v>
      </c>
      <c r="AF1123" s="1" t="s">
        <v>16492</v>
      </c>
      <c r="AG1123" s="6" t="s">
        <v>16493</v>
      </c>
      <c r="AH1123" s="1" t="s">
        <v>16494</v>
      </c>
      <c r="AI1123" s="6" t="s">
        <v>132</v>
      </c>
      <c r="AJ1123" s="6" t="s">
        <v>16495</v>
      </c>
      <c r="AK1123" s="1" t="s">
        <v>16480</v>
      </c>
      <c r="AL1123" s="6" t="s">
        <v>132</v>
      </c>
    </row>
    <row r="1124" ht="15.75" hidden="1" customHeight="1">
      <c r="A1124" s="1" t="s">
        <v>38</v>
      </c>
      <c r="B1124" s="1" t="s">
        <v>23362</v>
      </c>
      <c r="C1124" s="1" t="s">
        <v>23363</v>
      </c>
      <c r="D1124" s="7" t="str">
        <f>IFERROR(__xludf.DUMMYFUNCTION("GOOGLETRANSLATE(C1124, ""en"", ""ar"")"),"يرجى اختيار الدولة.")</f>
        <v>يرجى اختيار الدولة.</v>
      </c>
      <c r="E1124" s="7" t="str">
        <f>IFERROR(__xludf.DUMMYFUNCTION("GOOGLETRANSLATE(C1124, ""en"", ""bg"")"),"Моля, изберете държава.")</f>
        <v>Моля, изберете държава.</v>
      </c>
      <c r="F1124" s="6" t="s">
        <v>132</v>
      </c>
      <c r="G1124" s="7" t="str">
        <f>IFERROR(__xludf.DUMMYFUNCTION("GOOGLETRANSLATE(C1124, ""en"", ""cs"")"),"Vyberte zemi.")</f>
        <v>Vyberte zemi.</v>
      </c>
      <c r="H1124" s="7" t="str">
        <f>IFERROR(__xludf.DUMMYFUNCTION("GOOGLETRANSLATE(C1124, ""en"", ""da"")"),"Vælg venligst land.")</f>
        <v>Vælg venligst land.</v>
      </c>
      <c r="I1124" s="1" t="s">
        <v>23364</v>
      </c>
      <c r="J1124" s="6" t="s">
        <v>132</v>
      </c>
      <c r="K1124" s="1" t="s">
        <v>23365</v>
      </c>
      <c r="L1124" s="7" t="str">
        <f>IFERROR(__xludf.DUMMYFUNCTION("GOOGLETRANSLATE(C1124, ""en"", ""fi"")"),"Valitse maa.")</f>
        <v>Valitse maa.</v>
      </c>
      <c r="M1124" s="1" t="s">
        <v>23366</v>
      </c>
      <c r="N1124" s="6" t="s">
        <v>132</v>
      </c>
      <c r="O1124" s="6" t="s">
        <v>132</v>
      </c>
      <c r="P1124" s="1" t="s">
        <v>23367</v>
      </c>
      <c r="Q1124" s="7" t="str">
        <f>IFERROR(__xludf.DUMMYFUNCTION("GOOGLETRANSLATE(C1124, ""en"", ""in"")"),"Silakan pilih negara.")</f>
        <v>Silakan pilih negara.</v>
      </c>
      <c r="R1124" s="7" t="str">
        <f>IFERROR(__xludf.DUMMYFUNCTION("GOOGLETRANSLATE(C1124, ""en"", ""it"")"),"Si prega di selezionare Paese.")</f>
        <v>Si prega di selezionare Paese.</v>
      </c>
      <c r="S1124" s="6" t="s">
        <v>132</v>
      </c>
      <c r="T1124" s="7" t="str">
        <f>IFERROR(__xludf.DUMMYFUNCTION("GOOGLETRANSLATE(C1124, ""en"", ""ja"")"),"国を選んでください。")</f>
        <v>国を選んでください。</v>
      </c>
      <c r="U1124" s="7" t="str">
        <f>IFERROR(__xludf.DUMMYFUNCTION("GOOGLETRANSLATE(C1124, ""en"", ""ko"")"),"국가를 선택하십시오.")</f>
        <v>국가를 선택하십시오.</v>
      </c>
      <c r="V1124" s="7" t="str">
        <f>IFERROR(__xludf.DUMMYFUNCTION("GOOGLETRANSLATE(C1124, ""en"", ""ms"")"),"Sila pilih negara.")</f>
        <v>Sila pilih negara.</v>
      </c>
      <c r="W1124" s="7" t="str">
        <f>IFERROR(__xludf.DUMMYFUNCTION("GOOGLETRANSLATE(C1124, ""en"", ""nl"")"),"Selecteer het land.")</f>
        <v>Selecteer het land.</v>
      </c>
      <c r="X1124" s="7" t="str">
        <f>IFERROR(__xludf.DUMMYFUNCTION("GOOGLETRANSLATE(C1124, ""en"", ""no"")"),"Vennligst velg land.")</f>
        <v>Vennligst velg land.</v>
      </c>
      <c r="Y1124" s="7" t="str">
        <f>IFERROR(__xludf.DUMMYFUNCTION("GOOGLETRANSLATE(C1124, ""en"", ""pl"")"),"Wybierz kraj.")</f>
        <v>Wybierz kraj.</v>
      </c>
      <c r="Z1124" s="7" t="str">
        <f>IFERROR(__xludf.DUMMYFUNCTION("GOOGLETRANSLATE(C1124, ""en"", ""pt"")"),"Por favor selecione o país.")</f>
        <v>Por favor selecione o país.</v>
      </c>
      <c r="AA1124" s="7" t="str">
        <f>IFERROR(__xludf.DUMMYFUNCTION("GOOGLETRANSLATE(C1124, ""en"", ""ro"")"),"Selectați Țara.")</f>
        <v>Selectați Țara.</v>
      </c>
      <c r="AB1124" s="1" t="s">
        <v>23368</v>
      </c>
      <c r="AC1124" s="7" t="str">
        <f>IFERROR(__xludf.DUMMYFUNCTION("GOOGLETRANSLATE(C1124, ""en"", ""sk"")"),"Vyberte krajinu.")</f>
        <v>Vyberte krajinu.</v>
      </c>
      <c r="AD1124" s="6" t="s">
        <v>132</v>
      </c>
      <c r="AE1124" s="1" t="s">
        <v>23369</v>
      </c>
      <c r="AF1124" s="7" t="str">
        <f>IFERROR(__xludf.DUMMYFUNCTION("GOOGLETRANSLATE(C1124, ""en"", ""sv"")"),"Vänligen välj land.")</f>
        <v>Vänligen välj land.</v>
      </c>
      <c r="AG1124" s="6" t="s">
        <v>132</v>
      </c>
      <c r="AH1124" s="13" t="s">
        <v>23370</v>
      </c>
      <c r="AI1124" s="6" t="s">
        <v>132</v>
      </c>
      <c r="AJ1124" s="6" t="s">
        <v>132</v>
      </c>
      <c r="AK1124" s="7" t="str">
        <f>IFERROR(__xludf.DUMMYFUNCTION("GOOGLETRANSLATE(C1124, ""en"", ""zh"")"),"请选择国家/地区。")</f>
        <v>请选择国家/地区。</v>
      </c>
      <c r="AL1124" s="6" t="s">
        <v>132</v>
      </c>
    </row>
    <row r="1125" ht="15.75" hidden="1" customHeight="1">
      <c r="A1125" s="1" t="s">
        <v>38</v>
      </c>
      <c r="B1125" s="1" t="s">
        <v>23371</v>
      </c>
      <c r="C1125" s="1" t="s">
        <v>23372</v>
      </c>
      <c r="D1125" s="7" t="str">
        <f>IFERROR(__xludf.DUMMYFUNCTION("GOOGLETRANSLATE(C1125, ""en"", ""ar"")"),"أوزبكستان")</f>
        <v>أوزبكستان</v>
      </c>
      <c r="E1125" s="7" t="str">
        <f>IFERROR(__xludf.DUMMYFUNCTION("GOOGLETRANSLATE(C1125, ""en"", ""bg"")"),"Узбекистан")</f>
        <v>Узбекистан</v>
      </c>
      <c r="F1125" s="6" t="s">
        <v>132</v>
      </c>
      <c r="G1125" s="7" t="str">
        <f>IFERROR(__xludf.DUMMYFUNCTION("GOOGLETRANSLATE(C1125, ""en"", ""cs"")"),"Uzbekistán")</f>
        <v>Uzbekistán</v>
      </c>
      <c r="H1125" s="7" t="str">
        <f>IFERROR(__xludf.DUMMYFUNCTION("GOOGLETRANSLATE(C1125, ""en"", ""da"")"),"Usbekistan.")</f>
        <v>Usbekistan.</v>
      </c>
      <c r="I1125" s="1" t="s">
        <v>23373</v>
      </c>
      <c r="J1125" s="6" t="s">
        <v>132</v>
      </c>
      <c r="K1125" s="1" t="s">
        <v>23374</v>
      </c>
      <c r="L1125" s="7" t="str">
        <f>IFERROR(__xludf.DUMMYFUNCTION("GOOGLETRANSLATE(C1125, ""en"", ""fi"")"),"Uzbekistan")</f>
        <v>Uzbekistan</v>
      </c>
      <c r="M1125" s="1" t="s">
        <v>23375</v>
      </c>
      <c r="N1125" s="6" t="s">
        <v>132</v>
      </c>
      <c r="O1125" s="6" t="s">
        <v>132</v>
      </c>
      <c r="P1125" s="1" t="s">
        <v>23372</v>
      </c>
      <c r="Q1125" s="7" t="str">
        <f>IFERROR(__xludf.DUMMYFUNCTION("GOOGLETRANSLATE(C1125, ""en"", ""in"")"),"Uzbekistan.")</f>
        <v>Uzbekistan.</v>
      </c>
      <c r="R1125" s="7" t="str">
        <f>IFERROR(__xludf.DUMMYFUNCTION("GOOGLETRANSLATE(C1125, ""en"", ""it"")"),"Uzbekistan")</f>
        <v>Uzbekistan</v>
      </c>
      <c r="S1125" s="6" t="s">
        <v>132</v>
      </c>
      <c r="T1125" s="7" t="str">
        <f>IFERROR(__xludf.DUMMYFUNCTION("GOOGLETRANSLATE(C1125, ""en"", ""ja"")"),"ウズベキスタン")</f>
        <v>ウズベキスタン</v>
      </c>
      <c r="U1125" s="7" t="str">
        <f>IFERROR(__xludf.DUMMYFUNCTION("GOOGLETRANSLATE(C1125, ""en"", ""ko"")"),"우즈베키스탄")</f>
        <v>우즈베키스탄</v>
      </c>
      <c r="V1125" s="7" t="str">
        <f>IFERROR(__xludf.DUMMYFUNCTION("GOOGLETRANSLATE(C1125, ""en"", ""ms"")"),"Uzbekistan.")</f>
        <v>Uzbekistan.</v>
      </c>
      <c r="W1125" s="7" t="str">
        <f>IFERROR(__xludf.DUMMYFUNCTION("GOOGLETRANSLATE(C1125, ""en"", ""nl"")"),"Oezbekistan")</f>
        <v>Oezbekistan</v>
      </c>
      <c r="X1125" s="7" t="str">
        <f>IFERROR(__xludf.DUMMYFUNCTION("GOOGLETRANSLATE(C1125, ""en"", ""no"")"),"Usbekistan")</f>
        <v>Usbekistan</v>
      </c>
      <c r="Y1125" s="7" t="str">
        <f>IFERROR(__xludf.DUMMYFUNCTION("GOOGLETRANSLATE(C1125, ""en"", ""pl"")"),"Uzbekistan")</f>
        <v>Uzbekistan</v>
      </c>
      <c r="Z1125" s="7" t="str">
        <f>IFERROR(__xludf.DUMMYFUNCTION("GOOGLETRANSLATE(C1125, ""en"", ""pt"")"),"Uzbequistão")</f>
        <v>Uzbequistão</v>
      </c>
      <c r="AA1125" s="7" t="str">
        <f>IFERROR(__xludf.DUMMYFUNCTION("GOOGLETRANSLATE(C1125, ""en"", ""ro"")"),"Uzbekistan.")</f>
        <v>Uzbekistan.</v>
      </c>
      <c r="AB1125" s="1" t="s">
        <v>23376</v>
      </c>
      <c r="AC1125" s="7" t="str">
        <f>IFERROR(__xludf.DUMMYFUNCTION("GOOGLETRANSLATE(C1125, ""en"", ""sk"")"),"Uzbekistan")</f>
        <v>Uzbekistan</v>
      </c>
      <c r="AD1125" s="6" t="s">
        <v>132</v>
      </c>
      <c r="AE1125" s="1" t="s">
        <v>23372</v>
      </c>
      <c r="AF1125" s="7" t="str">
        <f>IFERROR(__xludf.DUMMYFUNCTION("GOOGLETRANSLATE(C1125, ""en"", ""sv"")"),"Uzbekistan")</f>
        <v>Uzbekistan</v>
      </c>
      <c r="AG1125" s="6" t="s">
        <v>132</v>
      </c>
      <c r="AH1125" s="7" t="str">
        <f>IFERROR(__xludf.DUMMYFUNCTION("GOOGLETRANSLATE(C1125, ""en"", ""tr"")"),"Özbekistan")</f>
        <v>Özbekistan</v>
      </c>
      <c r="AI1125" s="6" t="s">
        <v>132</v>
      </c>
      <c r="AJ1125" s="6" t="s">
        <v>132</v>
      </c>
      <c r="AK1125" s="7" t="str">
        <f>IFERROR(__xludf.DUMMYFUNCTION("GOOGLETRANSLATE(C1125, ""en"", ""zh"")"),"乌兹别克斯坦")</f>
        <v>乌兹别克斯坦</v>
      </c>
      <c r="AL1125" s="6" t="s">
        <v>132</v>
      </c>
    </row>
    <row r="1126" ht="15.75" hidden="1" customHeight="1">
      <c r="A1126" s="1" t="s">
        <v>38</v>
      </c>
      <c r="B1126" s="1" t="s">
        <v>23377</v>
      </c>
      <c r="C1126" s="1" t="s">
        <v>23378</v>
      </c>
      <c r="D1126" s="7" t="str">
        <f>IFERROR(__xludf.DUMMYFUNCTION("GOOGLETRANSLATE(C1126, ""en"", ""ar"")"),"V \\ Omemo بصمة الرسائل")</f>
        <v>V \\ Omemo بصمة الرسائل</v>
      </c>
      <c r="E1126" s="1" t="s">
        <v>23379</v>
      </c>
      <c r="F1126" s="6" t="s">
        <v>23380</v>
      </c>
      <c r="G1126" s="7" t="str">
        <f>IFERROR(__xludf.DUMMYFUNCTION("GOOGLETRANSLATE(C1126, ""en"", ""cs"")"),"v Omemo otisk zprávy zprávy")</f>
        <v>v Omemo otisk zprávy zprávy</v>
      </c>
      <c r="H1126" s="7" t="str">
        <f>IFERROR(__xludf.DUMMYFUNCTION("GOOGLETRANSLATE(C1126, ""en"", ""da"")"),"v \\ omemo fingeraftryk af besked")</f>
        <v>v \\ omemo fingeraftryk af besked</v>
      </c>
      <c r="I1126" s="1" t="s">
        <v>23381</v>
      </c>
      <c r="J1126" s="6" t="s">
        <v>132</v>
      </c>
      <c r="K1126" s="1" t="s">
        <v>23382</v>
      </c>
      <c r="L1126" s="7" t="str">
        <f>IFERROR(__xludf.DUMMYFUNCTION("GOOGLETRANSLATE(C1126, ""en"", ""fi"")"),"V OMEMO sanoman sormenjälki")</f>
        <v>V OMEMO sanoman sormenjälki</v>
      </c>
      <c r="M1126" s="1" t="s">
        <v>23383</v>
      </c>
      <c r="N1126" s="6" t="s">
        <v>23384</v>
      </c>
      <c r="O1126" s="6" t="s">
        <v>132</v>
      </c>
      <c r="P1126" s="1" t="s">
        <v>23385</v>
      </c>
      <c r="Q1126" s="7" t="str">
        <f>IFERROR(__xludf.DUMMYFUNCTION("GOOGLETRANSLATE(C1126, ""en"", ""in"")"),"v \\ Omemo sidik jari pesan")</f>
        <v>v \\ Omemo sidik jari pesan</v>
      </c>
      <c r="R1126" s="1" t="s">
        <v>23386</v>
      </c>
      <c r="S1126" s="6" t="s">
        <v>132</v>
      </c>
      <c r="T1126" s="1" t="s">
        <v>23387</v>
      </c>
      <c r="U1126" s="1" t="s">
        <v>23388</v>
      </c>
      <c r="V1126" s="7" t="str">
        <f>IFERROR(__xludf.DUMMYFUNCTION("GOOGLETRANSLATE(C1126, ""en"", ""ms"")"),"v \\ Omemo cap jari mesej")</f>
        <v>v \\ Omemo cap jari mesej</v>
      </c>
      <c r="W1126" s="1" t="s">
        <v>23389</v>
      </c>
      <c r="X1126" s="7" t="str">
        <f>IFERROR(__xludf.DUMMYFUNCTION("GOOGLETRANSLATE(C1126, ""en"", ""no"")"),"v \\ omemo fingeravtrykk av melding")</f>
        <v>v \\ omemo fingeravtrykk av melding</v>
      </c>
      <c r="Y1126" s="1" t="s">
        <v>23390</v>
      </c>
      <c r="Z1126" s="1" t="s">
        <v>23391</v>
      </c>
      <c r="AA1126" s="7" t="str">
        <f>IFERROR(__xludf.DUMMYFUNCTION("GOOGLETRANSLATE(C1126, ""en"", ""ro"")"),"v \\ amprenta omemo a mesajului")</f>
        <v>v \\ amprenta omemo a mesajului</v>
      </c>
      <c r="AB1126" s="1" t="s">
        <v>23392</v>
      </c>
      <c r="AC1126" s="7" t="str">
        <f>IFERROR(__xludf.DUMMYFUNCTION("GOOGLETRANSLATE(C1126, ""en"", ""sk"")"),"V omeme odtlačkov prstov")</f>
        <v>V omeme odtlačkov prstov</v>
      </c>
      <c r="AD1126" s="6" t="s">
        <v>132</v>
      </c>
      <c r="AE1126" s="1" t="s">
        <v>23393</v>
      </c>
      <c r="AF1126" s="1" t="s">
        <v>23394</v>
      </c>
      <c r="AG1126" s="6" t="s">
        <v>132</v>
      </c>
      <c r="AH1126" s="7" t="str">
        <f>IFERROR(__xludf.DUMMYFUNCTION("GOOGLETRANSLATE(C1126, ""en"", ""tr"")"),"v \\ Omemo mesajın parmak izi")</f>
        <v>v \\ Omemo mesajın parmak izi</v>
      </c>
      <c r="AI1126" s="6" t="s">
        <v>23395</v>
      </c>
      <c r="AJ1126" s="6" t="s">
        <v>23396</v>
      </c>
      <c r="AK1126" s="7" t="str">
        <f>IFERROR(__xludf.DUMMYFUNCTION("GOOGLETRANSLATE(C1126, ""en"", ""zh"")"),"v \\ Omemo指纹消息")</f>
        <v>v \\ Omemo指纹消息</v>
      </c>
      <c r="AL1126" s="6" t="s">
        <v>8088</v>
      </c>
    </row>
    <row r="1127" ht="15.75" hidden="1" customHeight="1">
      <c r="A1127" s="1" t="s">
        <v>38</v>
      </c>
      <c r="B1127" s="1" t="s">
        <v>23397</v>
      </c>
      <c r="C1127" s="1" t="s">
        <v>23398</v>
      </c>
      <c r="D1127" s="7" t="str">
        <f>IFERROR(__xludf.DUMMYFUNCTION("GOOGLETRANSLATE(C1127, ""en"", ""ar"")"),"موزمبيق")</f>
        <v>موزمبيق</v>
      </c>
      <c r="E1127" s="7" t="str">
        <f>IFERROR(__xludf.DUMMYFUNCTION("GOOGLETRANSLATE(C1127, ""en"", ""bg"")"),"Мозамбик")</f>
        <v>Мозамбик</v>
      </c>
      <c r="F1127" s="6" t="s">
        <v>132</v>
      </c>
      <c r="G1127" s="7" t="str">
        <f>IFERROR(__xludf.DUMMYFUNCTION("GOOGLETRANSLATE(C1127, ""en"", ""cs"")"),"Mozambik")</f>
        <v>Mozambik</v>
      </c>
      <c r="H1127" s="7" t="str">
        <f>IFERROR(__xludf.DUMMYFUNCTION("GOOGLETRANSLATE(C1127, ""en"", ""da"")"),"Mozambique.")</f>
        <v>Mozambique.</v>
      </c>
      <c r="I1127" s="1" t="s">
        <v>23399</v>
      </c>
      <c r="J1127" s="6" t="s">
        <v>132</v>
      </c>
      <c r="K1127" s="1" t="s">
        <v>23398</v>
      </c>
      <c r="L1127" s="7" t="str">
        <f>IFERROR(__xludf.DUMMYFUNCTION("GOOGLETRANSLATE(C1127, ""en"", ""fi"")"),"Mosambik")</f>
        <v>Mosambik</v>
      </c>
      <c r="M1127" s="1" t="s">
        <v>23398</v>
      </c>
      <c r="N1127" s="6" t="s">
        <v>132</v>
      </c>
      <c r="O1127" s="6" t="s">
        <v>132</v>
      </c>
      <c r="P1127" s="1" t="s">
        <v>23398</v>
      </c>
      <c r="Q1127" s="7" t="str">
        <f>IFERROR(__xludf.DUMMYFUNCTION("GOOGLETRANSLATE(C1127, ""en"", ""in"")"),"Mozambik")</f>
        <v>Mozambik</v>
      </c>
      <c r="R1127" s="7" t="str">
        <f>IFERROR(__xludf.DUMMYFUNCTION("GOOGLETRANSLATE(C1127, ""en"", ""it"")"),"Mozambico.")</f>
        <v>Mozambico.</v>
      </c>
      <c r="S1127" s="6" t="s">
        <v>132</v>
      </c>
      <c r="T1127" s="7" t="str">
        <f>IFERROR(__xludf.DUMMYFUNCTION("GOOGLETRANSLATE(C1127, ""en"", ""ja"")"),"モザンビーク")</f>
        <v>モザンビーク</v>
      </c>
      <c r="U1127" s="7" t="str">
        <f>IFERROR(__xludf.DUMMYFUNCTION("GOOGLETRANSLATE(C1127, ""en"", ""ko"")"),"모잠비크")</f>
        <v>모잠비크</v>
      </c>
      <c r="V1127" s="7" t="str">
        <f>IFERROR(__xludf.DUMMYFUNCTION("GOOGLETRANSLATE(C1127, ""en"", ""ms"")"),"Mozambique")</f>
        <v>Mozambique</v>
      </c>
      <c r="W1127" s="7" t="str">
        <f>IFERROR(__xludf.DUMMYFUNCTION("GOOGLETRANSLATE(C1127, ""en"", ""nl"")"),"Mozambique")</f>
        <v>Mozambique</v>
      </c>
      <c r="X1127" s="7" t="str">
        <f>IFERROR(__xludf.DUMMYFUNCTION("GOOGLETRANSLATE(C1127, ""en"", ""no"")"),"Mosambik")</f>
        <v>Mosambik</v>
      </c>
      <c r="Y1127" s="7" t="str">
        <f>IFERROR(__xludf.DUMMYFUNCTION("GOOGLETRANSLATE(C1127, ""en"", ""pl"")"),"Mozambik")</f>
        <v>Mozambik</v>
      </c>
      <c r="Z1127" s="7" t="str">
        <f>IFERROR(__xludf.DUMMYFUNCTION("GOOGLETRANSLATE(C1127, ""en"", ""pt"")"),"Moçambique")</f>
        <v>Moçambique</v>
      </c>
      <c r="AA1127" s="7" t="str">
        <f>IFERROR(__xludf.DUMMYFUNCTION("GOOGLETRANSLATE(C1127, ""en"", ""ro"")"),"Mozambic.")</f>
        <v>Mozambic.</v>
      </c>
      <c r="AB1127" s="1" t="s">
        <v>23400</v>
      </c>
      <c r="AC1127" s="7" t="str">
        <f>IFERROR(__xludf.DUMMYFUNCTION("GOOGLETRANSLATE(C1127, ""en"", ""sk"")"),"Mozambik")</f>
        <v>Mozambik</v>
      </c>
      <c r="AD1127" s="6" t="s">
        <v>132</v>
      </c>
      <c r="AE1127" s="1" t="s">
        <v>23401</v>
      </c>
      <c r="AF1127" s="7" t="str">
        <f>IFERROR(__xludf.DUMMYFUNCTION("GOOGLETRANSLATE(C1127, ""en"", ""sv"")"),"Moçambique")</f>
        <v>Moçambique</v>
      </c>
      <c r="AG1127" s="6" t="s">
        <v>132</v>
      </c>
      <c r="AH1127" s="7" t="str">
        <f>IFERROR(__xludf.DUMMYFUNCTION("GOOGLETRANSLATE(C1127, ""en"", ""tr"")"),"Mozambik")</f>
        <v>Mozambik</v>
      </c>
      <c r="AI1127" s="6" t="s">
        <v>132</v>
      </c>
      <c r="AJ1127" s="6" t="s">
        <v>132</v>
      </c>
      <c r="AK1127" s="7" t="str">
        <f>IFERROR(__xludf.DUMMYFUNCTION("GOOGLETRANSLATE(C1127, ""en"", ""zh"")"),"莫桑比克")</f>
        <v>莫桑比克</v>
      </c>
      <c r="AL1127" s="6" t="s">
        <v>132</v>
      </c>
    </row>
    <row r="1128" ht="15.75" hidden="1" customHeight="1">
      <c r="A1128" s="1" t="s">
        <v>38</v>
      </c>
      <c r="B1128" s="1" t="s">
        <v>23402</v>
      </c>
      <c r="C1128" s="1" t="s">
        <v>23403</v>
      </c>
      <c r="D1128" s="7" t="str">
        <f>IFERROR(__xludf.DUMMYFUNCTION("GOOGLETRANSLATE(C1128, ""en"", ""ar"")"),"دبوس قمت بإدخاله غير صحيح.")</f>
        <v>دبوس قمت بإدخاله غير صحيح.</v>
      </c>
      <c r="E1128" s="1" t="s">
        <v>23404</v>
      </c>
      <c r="F1128" s="6" t="s">
        <v>132</v>
      </c>
      <c r="G1128" s="7" t="str">
        <f>IFERROR(__xludf.DUMMYFUNCTION("GOOGLETRANSLATE(C1128, ""en"", ""cs"")"),"Zadaný kód PIN je nesprávný.")</f>
        <v>Zadaný kód PIN je nesprávný.</v>
      </c>
      <c r="H1128" s="7" t="str">
        <f>IFERROR(__xludf.DUMMYFUNCTION("GOOGLETRANSLATE(C1128, ""en"", ""da"")"),"Den stift, du har indtastet, er forkert.")</f>
        <v>Den stift, du har indtastet, er forkert.</v>
      </c>
      <c r="I1128" s="1" t="s">
        <v>23405</v>
      </c>
      <c r="J1128" s="6" t="s">
        <v>132</v>
      </c>
      <c r="K1128" s="1" t="s">
        <v>23406</v>
      </c>
      <c r="L1128" s="7" t="str">
        <f>IFERROR(__xludf.DUMMYFUNCTION("GOOGLETRANSLATE(C1128, ""en"", ""fi"")"),"Syötetty PIN-koodi on virheellinen.")</f>
        <v>Syötetty PIN-koodi on virheellinen.</v>
      </c>
      <c r="M1128" s="7" t="str">
        <f>IFERROR(__xludf.DUMMYFUNCTION("GOOGLETRANSLATE(C1128, ""en"", ""fr"")"),"La broche que vous avez entrée est incorrecte.")</f>
        <v>La broche que vous avez entrée est incorrecte.</v>
      </c>
      <c r="N1128" s="6" t="s">
        <v>23407</v>
      </c>
      <c r="O1128" s="6" t="s">
        <v>132</v>
      </c>
      <c r="P1128" s="1" t="s">
        <v>23408</v>
      </c>
      <c r="Q1128" s="7" t="str">
        <f>IFERROR(__xludf.DUMMYFUNCTION("GOOGLETRANSLATE(C1128, ""en"", ""in"")"),"PIN yang Anda masukkan salah.")</f>
        <v>PIN yang Anda masukkan salah.</v>
      </c>
      <c r="R1128" s="1" t="s">
        <v>23409</v>
      </c>
      <c r="S1128" s="6" t="s">
        <v>132</v>
      </c>
      <c r="T1128" s="7" t="str">
        <f>IFERROR(__xludf.DUMMYFUNCTION("GOOGLETRANSLATE(C1128, ""en"", ""ja"")"),"入力したピンが正しくありません。")</f>
        <v>入力したピンが正しくありません。</v>
      </c>
      <c r="U1128" s="7" t="str">
        <f>IFERROR(__xludf.DUMMYFUNCTION("GOOGLETRANSLATE(C1128, ""en"", ""ko"")"),"입력 한 PIN이 잘못되었습니다.")</f>
        <v>입력 한 PIN이 잘못되었습니다.</v>
      </c>
      <c r="V1128" s="7" t="str">
        <f>IFERROR(__xludf.DUMMYFUNCTION("GOOGLETRANSLATE(C1128, ""en"", ""ms"")"),"PIN yang anda masukkan tidak betul.")</f>
        <v>PIN yang anda masukkan tidak betul.</v>
      </c>
      <c r="W1128" s="1" t="s">
        <v>23410</v>
      </c>
      <c r="X1128" s="7" t="str">
        <f>IFERROR(__xludf.DUMMYFUNCTION("GOOGLETRANSLATE(C1128, ""en"", ""no"")"),"PIN-koden du har oppgitt er feil.")</f>
        <v>PIN-koden du har oppgitt er feil.</v>
      </c>
      <c r="Y1128" s="1" t="s">
        <v>23411</v>
      </c>
      <c r="Z1128" s="7" t="str">
        <f>IFERROR(__xludf.DUMMYFUNCTION("GOOGLETRANSLATE(C1128, ""en"", ""pt"")"),"O PIN que você digitou está incorreto.")</f>
        <v>O PIN que você digitou está incorreto.</v>
      </c>
      <c r="AA1128" s="7" t="str">
        <f>IFERROR(__xludf.DUMMYFUNCTION("GOOGLETRANSLATE(C1128, ""en"", ""ro"")"),"PIN-ul pe care l-ați introdus este incorect.")</f>
        <v>PIN-ul pe care l-ați introdus este incorect.</v>
      </c>
      <c r="AB1128" s="7" t="str">
        <f>IFERROR(__xludf.DUMMYFUNCTION("GOOGLETRANSLATE(C1128, ""en"", ""ru"")"),"Выступил PIN-код, неверно.")</f>
        <v>Выступил PIN-код, неверно.</v>
      </c>
      <c r="AC1128" s="7" t="str">
        <f>IFERROR(__xludf.DUMMYFUNCTION("GOOGLETRANSLATE(C1128, ""en"", ""sk"")"),"Zadaný kód PIN je nesprávny.")</f>
        <v>Zadaný kód PIN je nesprávny.</v>
      </c>
      <c r="AD1128" s="6" t="s">
        <v>132</v>
      </c>
      <c r="AE1128" s="7" t="str">
        <f>IFERROR(__xludf.DUMMYFUNCTION("GOOGLETRANSLATE(C1128, ""en"", ""sr"")"),"ПИН који сте унели је нетачан.")</f>
        <v>ПИН који сте унели је нетачан.</v>
      </c>
      <c r="AF1128" s="7" t="str">
        <f>IFERROR(__xludf.DUMMYFUNCTION("GOOGLETRANSLATE(C1128, ""en"", ""sv"")"),"Den stift du har angett är felaktig.")</f>
        <v>Den stift du har angett är felaktig.</v>
      </c>
      <c r="AG1128" s="6" t="s">
        <v>132</v>
      </c>
      <c r="AH1128" s="7" t="str">
        <f>IFERROR(__xludf.DUMMYFUNCTION("GOOGLETRANSLATE(C1128, ""en"", ""tr"")"),"Girdiğiniz pim yanlıştır.")</f>
        <v>Girdiğiniz pim yanlıştır.</v>
      </c>
      <c r="AI1128" s="6" t="s">
        <v>132</v>
      </c>
      <c r="AJ1128" s="6" t="s">
        <v>132</v>
      </c>
      <c r="AK1128" s="7" t="str">
        <f>IFERROR(__xludf.DUMMYFUNCTION("GOOGLETRANSLATE(C1128, ""en"", ""zh"")"),"您输入的引脚不正确。")</f>
        <v>您输入的引脚不正确。</v>
      </c>
      <c r="AL1128" s="6" t="s">
        <v>132</v>
      </c>
    </row>
    <row r="1129" ht="15.75" hidden="1" customHeight="1">
      <c r="A1129" s="1" t="s">
        <v>38</v>
      </c>
      <c r="B1129" s="1" t="s">
        <v>23412</v>
      </c>
      <c r="C1129" s="1" t="s">
        <v>23413</v>
      </c>
      <c r="D1129" s="8" t="s">
        <v>23414</v>
      </c>
      <c r="E1129" s="1" t="s">
        <v>23415</v>
      </c>
      <c r="F1129" s="6" t="s">
        <v>23416</v>
      </c>
      <c r="G1129" s="7" t="str">
        <f>IFERROR(__xludf.DUMMYFUNCTION("GOOGLETRANSLATE(C1129, ""en"", ""cs"")"),"Odeslat v Omemo Šifrovaná zpráva")</f>
        <v>Odeslat v Omemo Šifrovaná zpráva</v>
      </c>
      <c r="H1129" s="7" t="str">
        <f>IFERROR(__xludf.DUMMYFUNCTION("GOOGLETRANSLATE(C1129, ""en"", ""da"")"),"Send v \\ omemo krypteret besked")</f>
        <v>Send v \\ omemo krypteret besked</v>
      </c>
      <c r="I1129" s="1" t="s">
        <v>23417</v>
      </c>
      <c r="J1129" s="6" t="s">
        <v>132</v>
      </c>
      <c r="K1129" s="1" t="s">
        <v>23418</v>
      </c>
      <c r="L1129" s="7" t="str">
        <f>IFERROR(__xludf.DUMMYFUNCTION("GOOGLETRANSLATE(C1129, ""en"", ""fi"")"),"Lähetä v \\ omemo salattu viesti")</f>
        <v>Lähetä v \\ omemo salattu viesti</v>
      </c>
      <c r="M1129" s="1" t="s">
        <v>23419</v>
      </c>
      <c r="N1129" s="6" t="s">
        <v>23420</v>
      </c>
      <c r="O1129" s="6" t="s">
        <v>132</v>
      </c>
      <c r="P1129" s="1" t="s">
        <v>23421</v>
      </c>
      <c r="Q1129" s="7" t="str">
        <f>IFERROR(__xludf.DUMMYFUNCTION("GOOGLETRANSLATE(C1129, ""en"", ""in"")"),"Kirim V \\ Omemo Pesan terenkripsi")</f>
        <v>Kirim V \\ Omemo Pesan terenkripsi</v>
      </c>
      <c r="R1129" s="1" t="s">
        <v>23422</v>
      </c>
      <c r="S1129" s="6" t="s">
        <v>132</v>
      </c>
      <c r="T1129" s="1" t="s">
        <v>23423</v>
      </c>
      <c r="U1129" s="1" t="s">
        <v>23424</v>
      </c>
      <c r="V1129" s="7" t="str">
        <f>IFERROR(__xludf.DUMMYFUNCTION("GOOGLETRANSLATE(C1129, ""en"", ""ms"")"),"Hantar v \\ Omemo mesej yang disulitkan")</f>
        <v>Hantar v \\ Omemo mesej yang disulitkan</v>
      </c>
      <c r="W1129" s="1" t="s">
        <v>23425</v>
      </c>
      <c r="X1129" s="7" t="str">
        <f>IFERROR(__xludf.DUMMYFUNCTION("GOOGLETRANSLATE(C1129, ""en"", ""no"")"),"Send v \\ OMEMO kryptert melding")</f>
        <v>Send v \\ OMEMO kryptert melding</v>
      </c>
      <c r="Y1129" s="1" t="s">
        <v>23426</v>
      </c>
      <c r="Z1129" s="1" t="s">
        <v>23427</v>
      </c>
      <c r="AA1129" s="7" t="str">
        <f>IFERROR(__xludf.DUMMYFUNCTION("GOOGLETRANSLATE(C1129, ""en"", ""ro"")"),"Trimiteți mesajul criptat v \\ Omemo")</f>
        <v>Trimiteți mesajul criptat v \\ Omemo</v>
      </c>
      <c r="AB1129" s="1" t="s">
        <v>23428</v>
      </c>
      <c r="AC1129" s="7" t="str">
        <f>IFERROR(__xludf.DUMMYFUNCTION("GOOGLETRANSLATE(C1129, ""en"", ""sk"")"),"Odoslať v OMEMO šifrovanú správu")</f>
        <v>Odoslať v OMEMO šifrovanú správu</v>
      </c>
      <c r="AD1129" s="6" t="s">
        <v>132</v>
      </c>
      <c r="AE1129" s="1" t="s">
        <v>23429</v>
      </c>
      <c r="AF1129" s="1" t="s">
        <v>23430</v>
      </c>
      <c r="AG1129" s="6" t="s">
        <v>132</v>
      </c>
      <c r="AH1129" s="7" t="str">
        <f>IFERROR(__xludf.DUMMYFUNCTION("GOOGLETRANSLATE(C1129, ""en"", ""tr"")"),"V \\ OMEMO şifreli mesaj gönder")</f>
        <v>V \\ OMEMO şifreli mesaj gönder</v>
      </c>
      <c r="AI1129" s="6" t="s">
        <v>23431</v>
      </c>
      <c r="AJ1129" s="6" t="s">
        <v>23432</v>
      </c>
      <c r="AK1129" s="7" t="str">
        <f>IFERROR(__xludf.DUMMYFUNCTION("GOOGLETRANSLATE(C1129, ""en"", ""zh"")"),"发送v \\ omemo加密消息")</f>
        <v>发送v \\ omemo加密消息</v>
      </c>
      <c r="AL1129" s="6" t="s">
        <v>23433</v>
      </c>
    </row>
    <row r="1130" ht="15.75" hidden="1" customHeight="1">
      <c r="A1130" s="1" t="s">
        <v>38</v>
      </c>
      <c r="B1130" s="1" t="s">
        <v>23434</v>
      </c>
      <c r="C1130" s="1" t="s">
        <v>23434</v>
      </c>
      <c r="D1130" s="8" t="s">
        <v>23435</v>
      </c>
      <c r="E1130" s="1" t="s">
        <v>23436</v>
      </c>
      <c r="F1130" s="6" t="s">
        <v>23437</v>
      </c>
      <c r="G1130" s="7" t="str">
        <f>IFERROR(__xludf.DUMMYFUNCTION("GOOGLETRANSLATE(C1130, ""en"", ""cs"")"),"soubor")</f>
        <v>soubor</v>
      </c>
      <c r="H1130" s="7" t="str">
        <f>IFERROR(__xludf.DUMMYFUNCTION("GOOGLETRANSLATE(C1130, ""en"", ""da"")"),"fil")</f>
        <v>fil</v>
      </c>
      <c r="I1130" s="1" t="s">
        <v>23438</v>
      </c>
      <c r="J1130" s="6" t="s">
        <v>132</v>
      </c>
      <c r="K1130" s="1" t="s">
        <v>23439</v>
      </c>
      <c r="L1130" s="7" t="str">
        <f>IFERROR(__xludf.DUMMYFUNCTION("GOOGLETRANSLATE(C1130, ""en"", ""fi"")"),"tiedoston")</f>
        <v>tiedoston</v>
      </c>
      <c r="M1130" s="1" t="s">
        <v>23440</v>
      </c>
      <c r="N1130" s="6" t="s">
        <v>23441</v>
      </c>
      <c r="O1130" s="6" t="s">
        <v>132</v>
      </c>
      <c r="P1130" s="1" t="s">
        <v>23442</v>
      </c>
      <c r="Q1130" s="9" t="s">
        <v>23443</v>
      </c>
      <c r="R1130" s="1" t="s">
        <v>23434</v>
      </c>
      <c r="S1130" s="6" t="s">
        <v>132</v>
      </c>
      <c r="T1130" s="1" t="s">
        <v>23444</v>
      </c>
      <c r="U1130" s="1" t="s">
        <v>23445</v>
      </c>
      <c r="V1130" s="7" t="str">
        <f>IFERROR(__xludf.DUMMYFUNCTION("GOOGLETRANSLATE(C1130, ""en"", ""ms"")"),"fail")</f>
        <v>fail</v>
      </c>
      <c r="W1130" s="1" t="s">
        <v>23446</v>
      </c>
      <c r="X1130" s="7" t="str">
        <f>IFERROR(__xludf.DUMMYFUNCTION("GOOGLETRANSLATE(C1130, ""en"", ""no"")"),"fil")</f>
        <v>fil</v>
      </c>
      <c r="Y1130" s="1" t="s">
        <v>23447</v>
      </c>
      <c r="Z1130" s="1" t="s">
        <v>23441</v>
      </c>
      <c r="AA1130" s="7" t="str">
        <f>IFERROR(__xludf.DUMMYFUNCTION("GOOGLETRANSLATE(C1130, ""en"", ""ro"")"),"fişier")</f>
        <v>fişier</v>
      </c>
      <c r="AB1130" s="1" t="s">
        <v>23436</v>
      </c>
      <c r="AC1130" s="1" t="s">
        <v>23448</v>
      </c>
      <c r="AD1130" s="6" t="s">
        <v>132</v>
      </c>
      <c r="AE1130" s="1" t="s">
        <v>23449</v>
      </c>
      <c r="AF1130" s="1" t="s">
        <v>23450</v>
      </c>
      <c r="AG1130" s="6" t="s">
        <v>132</v>
      </c>
      <c r="AH1130" s="7" t="str">
        <f>IFERROR(__xludf.DUMMYFUNCTION("GOOGLETRANSLATE(C1130, ""en"", ""tr"")"),"dosya")</f>
        <v>dosya</v>
      </c>
      <c r="AI1130" s="6" t="s">
        <v>23436</v>
      </c>
      <c r="AJ1130" s="6" t="s">
        <v>23451</v>
      </c>
      <c r="AK1130" s="7" t="str">
        <f>IFERROR(__xludf.DUMMYFUNCTION("GOOGLETRANSLATE(C1130, ""en"", ""zh"")"),"文件")</f>
        <v>文件</v>
      </c>
      <c r="AL1130" s="6" t="s">
        <v>23452</v>
      </c>
    </row>
    <row r="1131" ht="15.75" hidden="1" customHeight="1">
      <c r="A1131" s="1" t="s">
        <v>38</v>
      </c>
      <c r="B1131" s="1" t="s">
        <v>23453</v>
      </c>
      <c r="C1131" s="1" t="s">
        <v>23454</v>
      </c>
      <c r="D1131" s="7" t="str">
        <f>IFERROR(__xludf.DUMMYFUNCTION("GOOGLETRANSLATE(C1131, ""en"", ""ar"")"),"شيلي")</f>
        <v>شيلي</v>
      </c>
      <c r="E1131" s="7" t="str">
        <f>IFERROR(__xludf.DUMMYFUNCTION("GOOGLETRANSLATE(C1131, ""en"", ""bg"")"),"Чили")</f>
        <v>Чили</v>
      </c>
      <c r="F1131" s="6" t="s">
        <v>132</v>
      </c>
      <c r="G1131" s="7" t="str">
        <f>IFERROR(__xludf.DUMMYFUNCTION("GOOGLETRANSLATE(C1131, ""en"", ""cs"")"),"Chile")</f>
        <v>Chile</v>
      </c>
      <c r="H1131" s="7" t="str">
        <f>IFERROR(__xludf.DUMMYFUNCTION("GOOGLETRANSLATE(C1131, ""en"", ""da"")"),"Chile.")</f>
        <v>Chile.</v>
      </c>
      <c r="I1131" s="1" t="s">
        <v>23454</v>
      </c>
      <c r="J1131" s="6" t="s">
        <v>132</v>
      </c>
      <c r="K1131" s="1" t="s">
        <v>23454</v>
      </c>
      <c r="L1131" s="7" t="str">
        <f>IFERROR(__xludf.DUMMYFUNCTION("GOOGLETRANSLATE(C1131, ""en"", ""fi"")"),"Chile")</f>
        <v>Chile</v>
      </c>
      <c r="M1131" s="1" t="s">
        <v>23455</v>
      </c>
      <c r="N1131" s="6" t="s">
        <v>132</v>
      </c>
      <c r="O1131" s="6" t="s">
        <v>132</v>
      </c>
      <c r="P1131" s="1" t="s">
        <v>23454</v>
      </c>
      <c r="Q1131" s="7" t="str">
        <f>IFERROR(__xludf.DUMMYFUNCTION("GOOGLETRANSLATE(C1131, ""en"", ""in"")"),"Chili.")</f>
        <v>Chili.</v>
      </c>
      <c r="R1131" s="7" t="str">
        <f>IFERROR(__xludf.DUMMYFUNCTION("GOOGLETRANSLATE(C1131, ""en"", ""it"")"),"Chile")</f>
        <v>Chile</v>
      </c>
      <c r="S1131" s="6" t="s">
        <v>132</v>
      </c>
      <c r="T1131" s="7" t="str">
        <f>IFERROR(__xludf.DUMMYFUNCTION("GOOGLETRANSLATE(C1131, ""en"", ""ja"")"),"チリ")</f>
        <v>チリ</v>
      </c>
      <c r="U1131" s="7" t="str">
        <f>IFERROR(__xludf.DUMMYFUNCTION("GOOGLETRANSLATE(C1131, ""en"", ""ko"")"),"칠레")</f>
        <v>칠레</v>
      </c>
      <c r="V1131" s="7" t="str">
        <f>IFERROR(__xludf.DUMMYFUNCTION("GOOGLETRANSLATE(C1131, ""en"", ""ms"")"),"Chile.")</f>
        <v>Chile.</v>
      </c>
      <c r="W1131" s="7" t="str">
        <f>IFERROR(__xludf.DUMMYFUNCTION("GOOGLETRANSLATE(C1131, ""en"", ""nl"")"),"Chili")</f>
        <v>Chili</v>
      </c>
      <c r="X1131" s="7" t="str">
        <f>IFERROR(__xludf.DUMMYFUNCTION("GOOGLETRANSLATE(C1131, ""en"", ""no"")"),"Chile.")</f>
        <v>Chile.</v>
      </c>
      <c r="Y1131" s="7" t="str">
        <f>IFERROR(__xludf.DUMMYFUNCTION("GOOGLETRANSLATE(C1131, ""en"", ""pl"")"),"Chile")</f>
        <v>Chile</v>
      </c>
      <c r="Z1131" s="7" t="str">
        <f>IFERROR(__xludf.DUMMYFUNCTION("GOOGLETRANSLATE(C1131, ""en"", ""pt"")"),"Chile")</f>
        <v>Chile</v>
      </c>
      <c r="AA1131" s="7" t="str">
        <f>IFERROR(__xludf.DUMMYFUNCTION("GOOGLETRANSLATE(C1131, ""en"", ""ro"")"),"Chile.")</f>
        <v>Chile.</v>
      </c>
      <c r="AB1131" s="1" t="s">
        <v>23456</v>
      </c>
      <c r="AC1131" s="7" t="str">
        <f>IFERROR(__xludf.DUMMYFUNCTION("GOOGLETRANSLATE(C1131, ""en"", ""sk"")"),"Chile")</f>
        <v>Chile</v>
      </c>
      <c r="AD1131" s="6" t="s">
        <v>132</v>
      </c>
      <c r="AE1131" s="1" t="s">
        <v>23457</v>
      </c>
      <c r="AF1131" s="7" t="str">
        <f>IFERROR(__xludf.DUMMYFUNCTION("GOOGLETRANSLATE(C1131, ""en"", ""sv"")"),"Chile")</f>
        <v>Chile</v>
      </c>
      <c r="AG1131" s="6" t="s">
        <v>132</v>
      </c>
      <c r="AH1131" s="7" t="str">
        <f>IFERROR(__xludf.DUMMYFUNCTION("GOOGLETRANSLATE(C1131, ""en"", ""tr"")"),"Şili")</f>
        <v>Şili</v>
      </c>
      <c r="AI1131" s="6" t="s">
        <v>132</v>
      </c>
      <c r="AJ1131" s="6" t="s">
        <v>132</v>
      </c>
      <c r="AK1131" s="7" t="str">
        <f>IFERROR(__xludf.DUMMYFUNCTION("GOOGLETRANSLATE(C1131, ""en"", ""zh"")"),"智利")</f>
        <v>智利</v>
      </c>
      <c r="AL1131" s="6" t="s">
        <v>132</v>
      </c>
    </row>
    <row r="1132" ht="15.75" hidden="1" customHeight="1">
      <c r="A1132" s="1" t="s">
        <v>38</v>
      </c>
      <c r="B1132" s="1" t="s">
        <v>23458</v>
      </c>
      <c r="C1132" s="1" t="s">
        <v>23459</v>
      </c>
      <c r="D1132" s="7" t="str">
        <f>IFERROR(__xludf.DUMMYFUNCTION("GOOGLETRANSLATE(C1132, ""en"", ""ar"")"),"ريونيون وشيرة")</f>
        <v>ريونيون وشيرة</v>
      </c>
      <c r="E1132" s="7" t="str">
        <f>IFERROR(__xludf.DUMMYFUNCTION("GOOGLETRANSLATE(C1132, ""en"", ""bg"")"),"Реюнион и Майот")</f>
        <v>Реюнион и Майот</v>
      </c>
      <c r="F1132" s="6" t="s">
        <v>132</v>
      </c>
      <c r="G1132" s="7" t="str">
        <f>IFERROR(__xludf.DUMMYFUNCTION("GOOGLETRANSLATE(C1132, ""en"", ""cs"")"),"Reunion a Mayotte.")</f>
        <v>Reunion a Mayotte.</v>
      </c>
      <c r="H1132" s="7" t="str">
        <f>IFERROR(__xludf.DUMMYFUNCTION("GOOGLETRANSLATE(C1132, ""en"", ""da"")"),"Reunion og Mayotte.")</f>
        <v>Reunion og Mayotte.</v>
      </c>
      <c r="I1132" s="1" t="s">
        <v>23460</v>
      </c>
      <c r="J1132" s="6" t="s">
        <v>132</v>
      </c>
      <c r="K1132" s="1" t="s">
        <v>23461</v>
      </c>
      <c r="L1132" s="7" t="str">
        <f>IFERROR(__xludf.DUMMYFUNCTION("GOOGLETRANSLATE(C1132, ""en"", ""fi"")"),"Reunion ja Mayotte")</f>
        <v>Reunion ja Mayotte</v>
      </c>
      <c r="M1132" s="1" t="s">
        <v>23462</v>
      </c>
      <c r="N1132" s="6" t="s">
        <v>132</v>
      </c>
      <c r="O1132" s="6" t="s">
        <v>132</v>
      </c>
      <c r="P1132" s="1" t="s">
        <v>23459</v>
      </c>
      <c r="Q1132" s="7" t="str">
        <f>IFERROR(__xludf.DUMMYFUNCTION("GOOGLETRANSLATE(C1132, ""en"", ""in"")"),"Reuni dan mayotte")</f>
        <v>Reuni dan mayotte</v>
      </c>
      <c r="R1132" s="7" t="str">
        <f>IFERROR(__xludf.DUMMYFUNCTION("GOOGLETRANSLATE(C1132, ""en"", ""it"")"),"Riunione e Mayotte")</f>
        <v>Riunione e Mayotte</v>
      </c>
      <c r="S1132" s="6" t="s">
        <v>132</v>
      </c>
      <c r="T1132" s="7" t="str">
        <f>IFERROR(__xludf.DUMMYFUNCTION("GOOGLETRANSLATE(C1132, ""en"", ""ja"")"),"再会とマヨット")</f>
        <v>再会とマヨット</v>
      </c>
      <c r="U1132" s="7" t="str">
        <f>IFERROR(__xludf.DUMMYFUNCTION("GOOGLETRANSLATE(C1132, ""en"", ""ko"")"),"재결합과 메요")</f>
        <v>재결합과 메요</v>
      </c>
      <c r="V1132" s="7" t="str">
        <f>IFERROR(__xludf.DUMMYFUNCTION("GOOGLETRANSLATE(C1132, ""en"", ""ms"")"),"Reunion dan Mayotte.")</f>
        <v>Reunion dan Mayotte.</v>
      </c>
      <c r="W1132" s="7" t="str">
        <f>IFERROR(__xludf.DUMMYFUNCTION("GOOGLETRANSLATE(C1132, ""en"", ""nl"")"),"Reünie en mayotte")</f>
        <v>Reünie en mayotte</v>
      </c>
      <c r="X1132" s="7" t="str">
        <f>IFERROR(__xludf.DUMMYFUNCTION("GOOGLETRANSLATE(C1132, ""en"", ""no"")"),"Reunion og Mayotte.")</f>
        <v>Reunion og Mayotte.</v>
      </c>
      <c r="Y1132" s="7" t="str">
        <f>IFERROR(__xludf.DUMMYFUNCTION("GOOGLETRANSLATE(C1132, ""en"", ""pl"")"),"Reunion i Mayotte.")</f>
        <v>Reunion i Mayotte.</v>
      </c>
      <c r="Z1132" s="7" t="str">
        <f>IFERROR(__xludf.DUMMYFUNCTION("GOOGLETRANSLATE(C1132, ""en"", ""pt"")"),"Reunião e Mayotte.")</f>
        <v>Reunião e Mayotte.</v>
      </c>
      <c r="AA1132" s="7" t="str">
        <f>IFERROR(__xludf.DUMMYFUNCTION("GOOGLETRANSLATE(C1132, ""en"", ""ro"")"),"Reuniune și Mayotte")</f>
        <v>Reuniune și Mayotte</v>
      </c>
      <c r="AB1132" s="1" t="s">
        <v>23463</v>
      </c>
      <c r="AC1132" s="7" t="str">
        <f>IFERROR(__xludf.DUMMYFUNCTION("GOOGLETRANSLATE(C1132, ""en"", ""sk"")"),"Reunion a Mayotte")</f>
        <v>Reunion a Mayotte</v>
      </c>
      <c r="AD1132" s="6" t="s">
        <v>132</v>
      </c>
      <c r="AE1132" s="1" t="s">
        <v>23464</v>
      </c>
      <c r="AF1132" s="7" t="str">
        <f>IFERROR(__xludf.DUMMYFUNCTION("GOOGLETRANSLATE(C1132, ""en"", ""sv"")"),"Reunion och Mayotte")</f>
        <v>Reunion och Mayotte</v>
      </c>
      <c r="AG1132" s="6" t="s">
        <v>132</v>
      </c>
      <c r="AH1132" s="7" t="str">
        <f>IFERROR(__xludf.DUMMYFUNCTION("GOOGLETRANSLATE(C1132, ""en"", ""tr"")"),"Reunion ve Mayotte")</f>
        <v>Reunion ve Mayotte</v>
      </c>
      <c r="AI1132" s="6" t="s">
        <v>132</v>
      </c>
      <c r="AJ1132" s="6" t="s">
        <v>132</v>
      </c>
      <c r="AK1132" s="7" t="str">
        <f>IFERROR(__xludf.DUMMYFUNCTION("GOOGLETRANSLATE(C1132, ""en"", ""zh"")"),"团聚和马约特")</f>
        <v>团聚和马约特</v>
      </c>
      <c r="AL1132" s="6" t="s">
        <v>132</v>
      </c>
    </row>
    <row r="1133" ht="15.75" customHeight="1">
      <c r="A1133" s="1" t="s">
        <v>127</v>
      </c>
      <c r="B1133" s="1" t="s">
        <v>23465</v>
      </c>
      <c r="C1133" s="1" t="s">
        <v>23466</v>
      </c>
      <c r="D1133" s="8" t="s">
        <v>23467</v>
      </c>
      <c r="E1133" s="1" t="s">
        <v>23468</v>
      </c>
      <c r="F1133" s="6" t="s">
        <v>132</v>
      </c>
      <c r="G1133" s="1" t="s">
        <v>23469</v>
      </c>
      <c r="H1133" s="1" t="s">
        <v>23470</v>
      </c>
      <c r="I1133" s="1" t="s">
        <v>23471</v>
      </c>
      <c r="J1133" s="6" t="s">
        <v>23466</v>
      </c>
      <c r="K1133" s="1" t="s">
        <v>23472</v>
      </c>
      <c r="L1133" s="1" t="s">
        <v>23473</v>
      </c>
      <c r="M1133" s="1" t="s">
        <v>23474</v>
      </c>
      <c r="N1133" s="6" t="s">
        <v>132</v>
      </c>
      <c r="O1133" s="6" t="s">
        <v>23475</v>
      </c>
      <c r="P1133" s="1" t="s">
        <v>23476</v>
      </c>
      <c r="Q1133" s="1" t="s">
        <v>23477</v>
      </c>
      <c r="R1133" s="1" t="s">
        <v>23478</v>
      </c>
      <c r="S1133" s="10" t="s">
        <v>23479</v>
      </c>
      <c r="T1133" s="1" t="s">
        <v>23480</v>
      </c>
      <c r="U1133" s="1" t="s">
        <v>23481</v>
      </c>
      <c r="V1133" s="1" t="s">
        <v>23482</v>
      </c>
      <c r="W1133" s="1" t="s">
        <v>23483</v>
      </c>
      <c r="X1133" s="1" t="s">
        <v>23484</v>
      </c>
      <c r="Y1133" s="1" t="s">
        <v>23485</v>
      </c>
      <c r="Z1133" s="1" t="s">
        <v>23486</v>
      </c>
      <c r="AA1133" s="1" t="s">
        <v>23487</v>
      </c>
      <c r="AB1133" s="1" t="s">
        <v>23488</v>
      </c>
      <c r="AC1133" s="1" t="s">
        <v>23489</v>
      </c>
      <c r="AD1133" s="6" t="s">
        <v>23490</v>
      </c>
      <c r="AE1133" s="1" t="s">
        <v>23466</v>
      </c>
      <c r="AF1133" s="1" t="s">
        <v>23466</v>
      </c>
      <c r="AG1133" s="6" t="s">
        <v>23491</v>
      </c>
      <c r="AH1133" s="1" t="s">
        <v>23492</v>
      </c>
      <c r="AI1133" s="6" t="s">
        <v>132</v>
      </c>
      <c r="AJ1133" s="6" t="s">
        <v>23493</v>
      </c>
      <c r="AK1133" s="1" t="s">
        <v>23494</v>
      </c>
      <c r="AL1133" s="6" t="s">
        <v>23495</v>
      </c>
    </row>
    <row r="1134" ht="15.75" customHeight="1">
      <c r="A1134" s="1" t="s">
        <v>127</v>
      </c>
      <c r="B1134" s="1" t="s">
        <v>23496</v>
      </c>
      <c r="C1134" s="1" t="s">
        <v>23497</v>
      </c>
      <c r="D1134" s="8" t="s">
        <v>23498</v>
      </c>
      <c r="E1134" s="1" t="s">
        <v>23499</v>
      </c>
      <c r="F1134" s="6" t="s">
        <v>132</v>
      </c>
      <c r="G1134" s="1" t="s">
        <v>23500</v>
      </c>
      <c r="H1134" s="1" t="s">
        <v>23497</v>
      </c>
      <c r="I1134" s="1" t="s">
        <v>23497</v>
      </c>
      <c r="J1134" s="6" t="s">
        <v>23501</v>
      </c>
      <c r="K1134" s="1" t="s">
        <v>23502</v>
      </c>
      <c r="L1134" s="1" t="s">
        <v>23497</v>
      </c>
      <c r="M1134" s="1" t="s">
        <v>23497</v>
      </c>
      <c r="N1134" s="6" t="s">
        <v>132</v>
      </c>
      <c r="O1134" s="6" t="s">
        <v>23503</v>
      </c>
      <c r="P1134" s="1" t="s">
        <v>23497</v>
      </c>
      <c r="Q1134" s="1" t="s">
        <v>23497</v>
      </c>
      <c r="R1134" s="1" t="s">
        <v>23497</v>
      </c>
      <c r="S1134" s="10" t="s">
        <v>23504</v>
      </c>
      <c r="T1134" s="1" t="s">
        <v>23505</v>
      </c>
      <c r="U1134" s="1" t="s">
        <v>23506</v>
      </c>
      <c r="V1134" s="1" t="s">
        <v>23497</v>
      </c>
      <c r="W1134" s="1" t="s">
        <v>23497</v>
      </c>
      <c r="X1134" s="1" t="s">
        <v>23497</v>
      </c>
      <c r="Y1134" s="1" t="s">
        <v>23507</v>
      </c>
      <c r="Z1134" s="1" t="s">
        <v>23497</v>
      </c>
      <c r="AA1134" s="1" t="s">
        <v>23497</v>
      </c>
      <c r="AB1134" s="1" t="s">
        <v>23508</v>
      </c>
      <c r="AC1134" s="1" t="s">
        <v>23509</v>
      </c>
      <c r="AD1134" s="6" t="s">
        <v>23510</v>
      </c>
      <c r="AE1134" s="1" t="s">
        <v>23497</v>
      </c>
      <c r="AF1134" s="1" t="s">
        <v>23497</v>
      </c>
      <c r="AG1134" s="6" t="s">
        <v>23511</v>
      </c>
      <c r="AH1134" s="1" t="s">
        <v>23507</v>
      </c>
      <c r="AI1134" s="6" t="s">
        <v>132</v>
      </c>
      <c r="AJ1134" s="6" t="s">
        <v>23512</v>
      </c>
      <c r="AK1134" s="1" t="s">
        <v>23513</v>
      </c>
      <c r="AL1134" s="6" t="s">
        <v>23514</v>
      </c>
    </row>
    <row r="1135" ht="15.75" hidden="1" customHeight="1">
      <c r="A1135" s="1" t="s">
        <v>38</v>
      </c>
      <c r="B1135" s="1" t="s">
        <v>23515</v>
      </c>
      <c r="C1135" s="1" t="s">
        <v>23516</v>
      </c>
      <c r="D1135" s="8" t="s">
        <v>23517</v>
      </c>
      <c r="E1135" s="1" t="s">
        <v>23518</v>
      </c>
      <c r="F1135" s="6" t="s">
        <v>23519</v>
      </c>
      <c r="G1135" s="7" t="str">
        <f>IFERROR(__xludf.DUMMYFUNCTION("GOOGLETRANSLATE(C1135, ""en"", ""cs"")"),"Neplatný 2D čárový kód")</f>
        <v>Neplatný 2D čárový kód</v>
      </c>
      <c r="H1135" s="7" t="str">
        <f>IFERROR(__xludf.DUMMYFUNCTION("GOOGLETRANSLATE(C1135, ""en"", ""da"")"),"Ugyldig 2D stregkode.")</f>
        <v>Ugyldig 2D stregkode.</v>
      </c>
      <c r="I1135" s="1" t="s">
        <v>23520</v>
      </c>
      <c r="J1135" s="6" t="s">
        <v>132</v>
      </c>
      <c r="K1135" s="1" t="s">
        <v>23521</v>
      </c>
      <c r="L1135" s="7" t="str">
        <f>IFERROR(__xludf.DUMMYFUNCTION("GOOGLETRANSLATE(C1135, ""en"", ""fi"")"),"Virheellinen 2D-viivakoodi")</f>
        <v>Virheellinen 2D-viivakoodi</v>
      </c>
      <c r="M1135" s="1" t="s">
        <v>23522</v>
      </c>
      <c r="N1135" s="6" t="s">
        <v>23523</v>
      </c>
      <c r="O1135" s="6" t="s">
        <v>132</v>
      </c>
      <c r="P1135" s="1" t="s">
        <v>23524</v>
      </c>
      <c r="Q1135" s="7" t="str">
        <f>IFERROR(__xludf.DUMMYFUNCTION("GOOGLETRANSLATE(C1135, ""en"", ""in"")"),"Barcode 2D tidak valid.")</f>
        <v>Barcode 2D tidak valid.</v>
      </c>
      <c r="R1135" s="1" t="s">
        <v>23525</v>
      </c>
      <c r="S1135" s="6" t="s">
        <v>132</v>
      </c>
      <c r="T1135" s="1" t="s">
        <v>23526</v>
      </c>
      <c r="U1135" s="1" t="s">
        <v>23527</v>
      </c>
      <c r="V1135" s="7" t="str">
        <f>IFERROR(__xludf.DUMMYFUNCTION("GOOGLETRANSLATE(C1135, ""en"", ""ms"")"),"Barcode 2D tidak sah")</f>
        <v>Barcode 2D tidak sah</v>
      </c>
      <c r="W1135" s="1" t="s">
        <v>23528</v>
      </c>
      <c r="X1135" s="7" t="str">
        <f>IFERROR(__xludf.DUMMYFUNCTION("GOOGLETRANSLATE(C1135, ""en"", ""no"")"),"Ugyldig 2D strekkode")</f>
        <v>Ugyldig 2D strekkode</v>
      </c>
      <c r="Y1135" s="1" t="s">
        <v>23529</v>
      </c>
      <c r="Z1135" s="7" t="str">
        <f>IFERROR(__xludf.DUMMYFUNCTION("GOOGLETRANSLATE(C1135, ""en"", ""pt"")"),"Barcode 2D inválido")</f>
        <v>Barcode 2D inválido</v>
      </c>
      <c r="AA1135" s="7" t="str">
        <f>IFERROR(__xludf.DUMMYFUNCTION("GOOGLETRANSLATE(C1135, ""en"", ""ro"")"),"Cod de bare 2D nevalid")</f>
        <v>Cod de bare 2D nevalid</v>
      </c>
      <c r="AB1135" s="1" t="s">
        <v>23530</v>
      </c>
      <c r="AC1135" s="7" t="str">
        <f>IFERROR(__xludf.DUMMYFUNCTION("GOOGLETRANSLATE(C1135, ""en"", ""sk"")"),"Neplatný 2D čiarový kód")</f>
        <v>Neplatný 2D čiarový kód</v>
      </c>
      <c r="AD1135" s="6" t="s">
        <v>132</v>
      </c>
      <c r="AE1135" s="1" t="s">
        <v>23531</v>
      </c>
      <c r="AF1135" s="1" t="s">
        <v>23532</v>
      </c>
      <c r="AG1135" s="6" t="s">
        <v>132</v>
      </c>
      <c r="AH1135" s="7" t="str">
        <f>IFERROR(__xludf.DUMMYFUNCTION("GOOGLETRANSLATE(C1135, ""en"", ""tr"")"),"Geçersiz 2D barkod")</f>
        <v>Geçersiz 2D barkod</v>
      </c>
      <c r="AI1135" s="6" t="s">
        <v>23533</v>
      </c>
      <c r="AJ1135" s="6" t="s">
        <v>132</v>
      </c>
      <c r="AK1135" s="7" t="str">
        <f>IFERROR(__xludf.DUMMYFUNCTION("GOOGLETRANSLATE(C1135, ""en"", ""zh"")"),"无效的2d条形码")</f>
        <v>无效的2d条形码</v>
      </c>
      <c r="AL1135" s="6" t="s">
        <v>23534</v>
      </c>
    </row>
    <row r="1136" ht="15.75" customHeight="1">
      <c r="A1136" s="1" t="s">
        <v>127</v>
      </c>
      <c r="B1136" s="1" t="s">
        <v>23535</v>
      </c>
      <c r="C1136" s="1" t="s">
        <v>23536</v>
      </c>
      <c r="D1136" s="8" t="s">
        <v>506</v>
      </c>
      <c r="E1136" s="1" t="s">
        <v>507</v>
      </c>
      <c r="F1136" s="6" t="s">
        <v>132</v>
      </c>
      <c r="G1136" s="1" t="s">
        <v>508</v>
      </c>
      <c r="H1136" s="1" t="s">
        <v>509</v>
      </c>
      <c r="I1136" s="1" t="s">
        <v>23537</v>
      </c>
      <c r="J1136" s="6" t="s">
        <v>511</v>
      </c>
      <c r="K1136" s="1" t="s">
        <v>23538</v>
      </c>
      <c r="L1136" s="1" t="s">
        <v>513</v>
      </c>
      <c r="M1136" s="1" t="s">
        <v>23536</v>
      </c>
      <c r="N1136" s="6" t="s">
        <v>132</v>
      </c>
      <c r="O1136" s="6" t="s">
        <v>515</v>
      </c>
      <c r="P1136" s="1" t="s">
        <v>23539</v>
      </c>
      <c r="Q1136" s="1" t="s">
        <v>517</v>
      </c>
      <c r="R1136" s="1" t="s">
        <v>23540</v>
      </c>
      <c r="S1136" s="10" t="s">
        <v>519</v>
      </c>
      <c r="T1136" s="1" t="s">
        <v>23541</v>
      </c>
      <c r="U1136" s="1" t="s">
        <v>521</v>
      </c>
      <c r="V1136" s="1" t="s">
        <v>522</v>
      </c>
      <c r="W1136" s="1" t="s">
        <v>23542</v>
      </c>
      <c r="X1136" s="1" t="s">
        <v>524</v>
      </c>
      <c r="Y1136" s="1" t="s">
        <v>23543</v>
      </c>
      <c r="Z1136" s="1" t="s">
        <v>23544</v>
      </c>
      <c r="AA1136" s="1" t="s">
        <v>23545</v>
      </c>
      <c r="AB1136" s="1" t="s">
        <v>23546</v>
      </c>
      <c r="AC1136" s="1" t="s">
        <v>529</v>
      </c>
      <c r="AD1136" s="6" t="s">
        <v>23547</v>
      </c>
      <c r="AE1136" s="1" t="s">
        <v>23548</v>
      </c>
      <c r="AF1136" s="1" t="s">
        <v>532</v>
      </c>
      <c r="AG1136" s="6" t="s">
        <v>533</v>
      </c>
      <c r="AH1136" s="1" t="s">
        <v>23549</v>
      </c>
      <c r="AI1136" s="6" t="s">
        <v>132</v>
      </c>
      <c r="AJ1136" s="6" t="s">
        <v>535</v>
      </c>
      <c r="AK1136" s="1" t="s">
        <v>536</v>
      </c>
      <c r="AL1136" s="6" t="s">
        <v>23550</v>
      </c>
    </row>
    <row r="1137" ht="15.75" customHeight="1">
      <c r="A1137" s="1" t="s">
        <v>127</v>
      </c>
      <c r="B1137" s="1" t="s">
        <v>23551</v>
      </c>
      <c r="C1137" s="1" t="s">
        <v>23552</v>
      </c>
      <c r="D1137" s="8" t="s">
        <v>23553</v>
      </c>
      <c r="E1137" s="1" t="s">
        <v>23554</v>
      </c>
      <c r="F1137" s="6" t="s">
        <v>132</v>
      </c>
      <c r="G1137" s="1" t="s">
        <v>23555</v>
      </c>
      <c r="H1137" s="1" t="s">
        <v>23556</v>
      </c>
      <c r="I1137" s="1" t="s">
        <v>23552</v>
      </c>
      <c r="J1137" s="6" t="s">
        <v>23557</v>
      </c>
      <c r="K1137" s="1" t="s">
        <v>23552</v>
      </c>
      <c r="L1137" s="1" t="s">
        <v>23558</v>
      </c>
      <c r="M1137" s="1" t="s">
        <v>10236</v>
      </c>
      <c r="N1137" s="6" t="s">
        <v>132</v>
      </c>
      <c r="O1137" s="6" t="s">
        <v>23559</v>
      </c>
      <c r="P1137" s="1" t="s">
        <v>23552</v>
      </c>
      <c r="Q1137" s="1" t="s">
        <v>23560</v>
      </c>
      <c r="R1137" s="1" t="s">
        <v>23552</v>
      </c>
      <c r="S1137" s="10" t="s">
        <v>23561</v>
      </c>
      <c r="T1137" s="1" t="s">
        <v>23562</v>
      </c>
      <c r="U1137" s="1" t="s">
        <v>23563</v>
      </c>
      <c r="V1137" s="1" t="s">
        <v>23564</v>
      </c>
      <c r="W1137" s="1" t="s">
        <v>23565</v>
      </c>
      <c r="X1137" s="1" t="s">
        <v>23566</v>
      </c>
      <c r="Y1137" s="1" t="s">
        <v>23552</v>
      </c>
      <c r="Z1137" s="1" t="s">
        <v>23567</v>
      </c>
      <c r="AA1137" s="1" t="s">
        <v>10245</v>
      </c>
      <c r="AB1137" s="1" t="s">
        <v>23568</v>
      </c>
      <c r="AC1137" s="1" t="s">
        <v>23569</v>
      </c>
      <c r="AD1137" s="6" t="s">
        <v>23570</v>
      </c>
      <c r="AE1137" s="1" t="s">
        <v>23552</v>
      </c>
      <c r="AF1137" s="1" t="s">
        <v>23571</v>
      </c>
      <c r="AG1137" s="6" t="s">
        <v>23572</v>
      </c>
      <c r="AH1137" s="1" t="s">
        <v>23573</v>
      </c>
      <c r="AI1137" s="6" t="s">
        <v>132</v>
      </c>
      <c r="AJ1137" s="6" t="s">
        <v>23574</v>
      </c>
      <c r="AK1137" s="1" t="s">
        <v>6979</v>
      </c>
      <c r="AL1137" s="6" t="s">
        <v>23575</v>
      </c>
    </row>
    <row r="1138" ht="15.75" customHeight="1">
      <c r="A1138" s="1" t="s">
        <v>127</v>
      </c>
      <c r="B1138" s="1" t="s">
        <v>23576</v>
      </c>
      <c r="C1138" s="1" t="s">
        <v>23577</v>
      </c>
      <c r="D1138" s="8" t="s">
        <v>23578</v>
      </c>
      <c r="E1138" s="1" t="s">
        <v>23579</v>
      </c>
      <c r="F1138" s="6" t="s">
        <v>132</v>
      </c>
      <c r="G1138" s="1" t="s">
        <v>23580</v>
      </c>
      <c r="H1138" s="1" t="s">
        <v>23581</v>
      </c>
      <c r="I1138" s="1" t="s">
        <v>23577</v>
      </c>
      <c r="J1138" s="6" t="s">
        <v>23582</v>
      </c>
      <c r="K1138" s="1" t="s">
        <v>23577</v>
      </c>
      <c r="L1138" s="1" t="s">
        <v>23583</v>
      </c>
      <c r="M1138" s="1" t="s">
        <v>6964</v>
      </c>
      <c r="N1138" s="6" t="s">
        <v>132</v>
      </c>
      <c r="O1138" s="6" t="s">
        <v>23584</v>
      </c>
      <c r="P1138" s="1" t="s">
        <v>23577</v>
      </c>
      <c r="Q1138" s="1" t="s">
        <v>23585</v>
      </c>
      <c r="R1138" s="1" t="s">
        <v>23577</v>
      </c>
      <c r="S1138" s="10" t="s">
        <v>23586</v>
      </c>
      <c r="T1138" s="1" t="s">
        <v>23587</v>
      </c>
      <c r="U1138" s="1" t="s">
        <v>23588</v>
      </c>
      <c r="V1138" s="1" t="s">
        <v>23585</v>
      </c>
      <c r="W1138" s="1" t="s">
        <v>23589</v>
      </c>
      <c r="X1138" s="1" t="s">
        <v>23590</v>
      </c>
      <c r="Y1138" s="1" t="s">
        <v>23577</v>
      </c>
      <c r="Z1138" s="1" t="s">
        <v>23591</v>
      </c>
      <c r="AA1138" s="1" t="s">
        <v>6972</v>
      </c>
      <c r="AB1138" s="1" t="s">
        <v>23592</v>
      </c>
      <c r="AC1138" s="1" t="s">
        <v>23593</v>
      </c>
      <c r="AD1138" s="6" t="s">
        <v>23594</v>
      </c>
      <c r="AE1138" s="1" t="s">
        <v>23577</v>
      </c>
      <c r="AF1138" s="1" t="s">
        <v>23595</v>
      </c>
      <c r="AG1138" s="6" t="s">
        <v>23596</v>
      </c>
      <c r="AH1138" s="1" t="s">
        <v>23597</v>
      </c>
      <c r="AI1138" s="6" t="s">
        <v>132</v>
      </c>
      <c r="AJ1138" s="6" t="s">
        <v>23598</v>
      </c>
      <c r="AK1138" s="1" t="s">
        <v>10253</v>
      </c>
      <c r="AL1138" s="6" t="s">
        <v>23599</v>
      </c>
    </row>
    <row r="1139" ht="15.75" customHeight="1">
      <c r="A1139" s="1" t="s">
        <v>127</v>
      </c>
      <c r="B1139" s="1" t="s">
        <v>23600</v>
      </c>
      <c r="C1139" s="1" t="s">
        <v>23601</v>
      </c>
      <c r="D1139" s="8" t="s">
        <v>23602</v>
      </c>
      <c r="E1139" s="1" t="s">
        <v>23603</v>
      </c>
      <c r="F1139" s="6" t="s">
        <v>132</v>
      </c>
      <c r="G1139" s="1" t="s">
        <v>23604</v>
      </c>
      <c r="H1139" s="1" t="s">
        <v>23605</v>
      </c>
      <c r="I1139" s="1" t="s">
        <v>23606</v>
      </c>
      <c r="J1139" s="6" t="s">
        <v>23607</v>
      </c>
      <c r="K1139" s="1" t="s">
        <v>23608</v>
      </c>
      <c r="L1139" s="1" t="s">
        <v>23609</v>
      </c>
      <c r="M1139" s="1" t="s">
        <v>23610</v>
      </c>
      <c r="N1139" s="6" t="s">
        <v>132</v>
      </c>
      <c r="O1139" s="6" t="s">
        <v>23611</v>
      </c>
      <c r="P1139" s="1" t="s">
        <v>23612</v>
      </c>
      <c r="Q1139" s="1" t="s">
        <v>23613</v>
      </c>
      <c r="R1139" s="1" t="s">
        <v>23614</v>
      </c>
      <c r="S1139" s="10" t="s">
        <v>3826</v>
      </c>
      <c r="T1139" s="1" t="s">
        <v>23615</v>
      </c>
      <c r="U1139" s="1" t="s">
        <v>23616</v>
      </c>
      <c r="V1139" s="1" t="s">
        <v>23613</v>
      </c>
      <c r="W1139" s="1" t="s">
        <v>23617</v>
      </c>
      <c r="X1139" s="1" t="s">
        <v>23618</v>
      </c>
      <c r="Y1139" s="1" t="s">
        <v>23619</v>
      </c>
      <c r="Z1139" s="1" t="s">
        <v>23620</v>
      </c>
      <c r="AA1139" s="1" t="s">
        <v>23621</v>
      </c>
      <c r="AB1139" s="1" t="s">
        <v>23622</v>
      </c>
      <c r="AC1139" s="1" t="s">
        <v>23623</v>
      </c>
      <c r="AD1139" s="6" t="s">
        <v>23624</v>
      </c>
      <c r="AE1139" s="1" t="s">
        <v>23625</v>
      </c>
      <c r="AF1139" s="1" t="s">
        <v>23626</v>
      </c>
      <c r="AG1139" s="6" t="s">
        <v>23627</v>
      </c>
      <c r="AH1139" s="1" t="s">
        <v>23628</v>
      </c>
      <c r="AI1139" s="6" t="s">
        <v>132</v>
      </c>
      <c r="AJ1139" s="6" t="s">
        <v>23629</v>
      </c>
      <c r="AK1139" s="1" t="s">
        <v>23630</v>
      </c>
      <c r="AL1139" s="6" t="s">
        <v>132</v>
      </c>
    </row>
    <row r="1140" ht="15.75" hidden="1" customHeight="1">
      <c r="A1140" s="1" t="s">
        <v>38</v>
      </c>
      <c r="B1140" s="1" t="s">
        <v>23631</v>
      </c>
      <c r="C1140" s="12" t="s">
        <v>132</v>
      </c>
      <c r="D1140" s="7" t="str">
        <f>IFERROR(__xludf.DUMMYFUNCTION("GOOGLETRANSLATE(C1140, ""en"", ""ar"")"),"#VALUE!")</f>
        <v>#VALUE!</v>
      </c>
      <c r="E1140" s="7" t="str">
        <f>IFERROR(__xludf.DUMMYFUNCTION("GOOGLETRANSLATE(C1140, ""en"", ""bg"")"),"#VALUE!")</f>
        <v>#VALUE!</v>
      </c>
      <c r="F1140" s="6" t="s">
        <v>132</v>
      </c>
      <c r="G1140" s="7" t="str">
        <f>IFERROR(__xludf.DUMMYFUNCTION("GOOGLETRANSLATE(C1140, ""en"", ""cs"")"),"#VALUE!")</f>
        <v>#VALUE!</v>
      </c>
      <c r="H1140" s="7" t="str">
        <f>IFERROR(__xludf.DUMMYFUNCTION("GOOGLETRANSLATE(C1140, ""en"", ""da"")"),"#VALUE!")</f>
        <v>#VALUE!</v>
      </c>
      <c r="I1140" s="7" t="str">
        <f>IFERROR(__xludf.DUMMYFUNCTION("GOOGLETRANSLATE(C1140, ""en"", ""de"")"),"#VALUE!")</f>
        <v>#VALUE!</v>
      </c>
      <c r="J1140" s="6" t="s">
        <v>132</v>
      </c>
      <c r="K1140" s="7" t="str">
        <f>IFERROR(__xludf.DUMMYFUNCTION("GOOGLETRANSLATE(C1140, ""en"", ""es"")"),"#VALUE!")</f>
        <v>#VALUE!</v>
      </c>
      <c r="L1140" s="7" t="str">
        <f>IFERROR(__xludf.DUMMYFUNCTION("GOOGLETRANSLATE(C1140, ""en"", ""fi"")"),"#VALUE!")</f>
        <v>#VALUE!</v>
      </c>
      <c r="M1140" s="7" t="str">
        <f>IFERROR(__xludf.DUMMYFUNCTION("GOOGLETRANSLATE(C1140, ""en"", ""fr"")"),"#VALUE!")</f>
        <v>#VALUE!</v>
      </c>
      <c r="N1140" s="6" t="s">
        <v>132</v>
      </c>
      <c r="O1140" s="6" t="s">
        <v>132</v>
      </c>
      <c r="P1140" s="7" t="str">
        <f>IFERROR(__xludf.DUMMYFUNCTION("GOOGLETRANSLATE(C1140, ""en"", ""hu"")"),"#VALUE!")</f>
        <v>#VALUE!</v>
      </c>
      <c r="Q1140" s="7" t="str">
        <f>IFERROR(__xludf.DUMMYFUNCTION("GOOGLETRANSLATE(C1140, ""en"", ""in"")"),"#VALUE!")</f>
        <v>#VALUE!</v>
      </c>
      <c r="R1140" s="7" t="str">
        <f>IFERROR(__xludf.DUMMYFUNCTION("GOOGLETRANSLATE(C1140, ""en"", ""it"")"),"#VALUE!")</f>
        <v>#VALUE!</v>
      </c>
      <c r="S1140" s="6" t="s">
        <v>132</v>
      </c>
      <c r="T1140" s="7" t="str">
        <f>IFERROR(__xludf.DUMMYFUNCTION("GOOGLETRANSLATE(C1140, ""en"", ""ja"")"),"#VALUE!")</f>
        <v>#VALUE!</v>
      </c>
      <c r="U1140" s="7" t="str">
        <f>IFERROR(__xludf.DUMMYFUNCTION("GOOGLETRANSLATE(C1140, ""en"", ""ko"")"),"#VALUE!")</f>
        <v>#VALUE!</v>
      </c>
      <c r="V1140" s="7" t="str">
        <f>IFERROR(__xludf.DUMMYFUNCTION("GOOGLETRANSLATE(C1140, ""en"", ""ms"")"),"#VALUE!")</f>
        <v>#VALUE!</v>
      </c>
      <c r="W1140" s="7" t="str">
        <f>IFERROR(__xludf.DUMMYFUNCTION("GOOGLETRANSLATE(C1140, ""en"", ""nl"")"),"#VALUE!")</f>
        <v>#VALUE!</v>
      </c>
      <c r="X1140" s="7" t="str">
        <f>IFERROR(__xludf.DUMMYFUNCTION("GOOGLETRANSLATE(C1140, ""en"", ""no"")"),"#VALUE!")</f>
        <v>#VALUE!</v>
      </c>
      <c r="Y1140" s="7" t="str">
        <f>IFERROR(__xludf.DUMMYFUNCTION("GOOGLETRANSLATE(C1140, ""en"", ""pl"")"),"#VALUE!")</f>
        <v>#VALUE!</v>
      </c>
      <c r="Z1140" s="7" t="str">
        <f>IFERROR(__xludf.DUMMYFUNCTION("GOOGLETRANSLATE(C1140, ""en"", ""pt"")"),"#VALUE!")</f>
        <v>#VALUE!</v>
      </c>
      <c r="AA1140" s="7" t="str">
        <f>IFERROR(__xludf.DUMMYFUNCTION("GOOGLETRANSLATE(C1140, ""en"", ""ro"")"),"#VALUE!")</f>
        <v>#VALUE!</v>
      </c>
      <c r="AB1140" s="7" t="str">
        <f>IFERROR(__xludf.DUMMYFUNCTION("GOOGLETRANSLATE(C1140, ""en"", ""ru"")"),"#VALUE!")</f>
        <v>#VALUE!</v>
      </c>
      <c r="AC1140" s="7" t="str">
        <f>IFERROR(__xludf.DUMMYFUNCTION("GOOGLETRANSLATE(C1140, ""en"", ""sk"")"),"#VALUE!")</f>
        <v>#VALUE!</v>
      </c>
      <c r="AD1140" s="6" t="s">
        <v>132</v>
      </c>
      <c r="AE1140" s="7" t="str">
        <f>IFERROR(__xludf.DUMMYFUNCTION("GOOGLETRANSLATE(C1140, ""en"", ""sr"")"),"#VALUE!")</f>
        <v>#VALUE!</v>
      </c>
      <c r="AF1140" s="7" t="str">
        <f>IFERROR(__xludf.DUMMYFUNCTION("GOOGLETRANSLATE(C1140, ""en"", ""sv"")"),"#VALUE!")</f>
        <v>#VALUE!</v>
      </c>
      <c r="AG1140" s="6" t="s">
        <v>132</v>
      </c>
      <c r="AH1140" s="7" t="str">
        <f>IFERROR(__xludf.DUMMYFUNCTION("GOOGLETRANSLATE(C1140, ""en"", ""tr"")"),"#VALUE!")</f>
        <v>#VALUE!</v>
      </c>
      <c r="AI1140" s="6" t="s">
        <v>132</v>
      </c>
      <c r="AJ1140" s="6" t="s">
        <v>132</v>
      </c>
      <c r="AK1140" s="7" t="str">
        <f>IFERROR(__xludf.DUMMYFUNCTION("GOOGLETRANSLATE(C1140, ""en"", ""zh"")"),"#VALUE!")</f>
        <v>#VALUE!</v>
      </c>
      <c r="AL1140" s="6" t="s">
        <v>132</v>
      </c>
    </row>
    <row r="1141" ht="15.75" customHeight="1">
      <c r="A1141" s="1" t="s">
        <v>127</v>
      </c>
      <c r="B1141" s="1" t="s">
        <v>23632</v>
      </c>
      <c r="C1141" s="1" t="s">
        <v>23633</v>
      </c>
      <c r="D1141" s="8" t="s">
        <v>23634</v>
      </c>
      <c r="E1141" s="1" t="s">
        <v>23633</v>
      </c>
      <c r="F1141" s="6" t="s">
        <v>132</v>
      </c>
      <c r="G1141" s="13" t="s">
        <v>23633</v>
      </c>
      <c r="H1141" s="1" t="s">
        <v>23633</v>
      </c>
      <c r="I1141" s="1" t="s">
        <v>23633</v>
      </c>
      <c r="J1141" s="6" t="s">
        <v>23633</v>
      </c>
      <c r="K1141" s="1" t="s">
        <v>23633</v>
      </c>
      <c r="L1141" s="1" t="s">
        <v>23633</v>
      </c>
      <c r="M1141" s="1" t="s">
        <v>19577</v>
      </c>
      <c r="N1141" s="6" t="s">
        <v>132</v>
      </c>
      <c r="O1141" s="6" t="s">
        <v>23635</v>
      </c>
      <c r="P1141" s="1" t="s">
        <v>23633</v>
      </c>
      <c r="Q1141" s="1" t="s">
        <v>23636</v>
      </c>
      <c r="R1141" s="1" t="s">
        <v>23633</v>
      </c>
      <c r="S1141" s="10" t="s">
        <v>23637</v>
      </c>
      <c r="T1141" s="1" t="s">
        <v>19580</v>
      </c>
      <c r="U1141" s="1" t="s">
        <v>23638</v>
      </c>
      <c r="V1141" s="1" t="s">
        <v>23636</v>
      </c>
      <c r="W1141" s="1" t="s">
        <v>23633</v>
      </c>
      <c r="X1141" s="1" t="s">
        <v>23633</v>
      </c>
      <c r="Y1141" s="1" t="s">
        <v>23639</v>
      </c>
      <c r="Z1141" s="1" t="s">
        <v>23633</v>
      </c>
      <c r="AA1141" s="13" t="s">
        <v>23640</v>
      </c>
      <c r="AB1141" s="1" t="s">
        <v>19584</v>
      </c>
      <c r="AC1141" s="13" t="s">
        <v>23633</v>
      </c>
      <c r="AD1141" s="6" t="s">
        <v>23633</v>
      </c>
      <c r="AE1141" s="1" t="s">
        <v>23633</v>
      </c>
      <c r="AF1141" s="1" t="s">
        <v>23633</v>
      </c>
      <c r="AG1141" s="6" t="s">
        <v>23633</v>
      </c>
      <c r="AH1141" s="1" t="s">
        <v>23633</v>
      </c>
      <c r="AI1141" s="6" t="s">
        <v>132</v>
      </c>
      <c r="AJ1141" s="6" t="s">
        <v>23641</v>
      </c>
      <c r="AK1141" s="1" t="s">
        <v>19586</v>
      </c>
      <c r="AL1141" s="6" t="s">
        <v>19587</v>
      </c>
    </row>
    <row r="1142" ht="15.75" customHeight="1">
      <c r="A1142" s="1" t="s">
        <v>127</v>
      </c>
      <c r="B1142" s="1" t="s">
        <v>23642</v>
      </c>
      <c r="C1142" s="1" t="s">
        <v>23643</v>
      </c>
      <c r="D1142" s="8" t="s">
        <v>11307</v>
      </c>
      <c r="E1142" s="1" t="s">
        <v>23644</v>
      </c>
      <c r="F1142" s="6" t="s">
        <v>132</v>
      </c>
      <c r="G1142" s="1" t="s">
        <v>23645</v>
      </c>
      <c r="H1142" s="1" t="s">
        <v>23646</v>
      </c>
      <c r="I1142" s="1" t="s">
        <v>23643</v>
      </c>
      <c r="J1142" s="6" t="s">
        <v>23647</v>
      </c>
      <c r="K1142" s="1" t="s">
        <v>23643</v>
      </c>
      <c r="L1142" s="1" t="s">
        <v>23643</v>
      </c>
      <c r="M1142" s="1" t="s">
        <v>23648</v>
      </c>
      <c r="N1142" s="6" t="s">
        <v>132</v>
      </c>
      <c r="O1142" s="6" t="s">
        <v>23649</v>
      </c>
      <c r="P1142" s="1" t="s">
        <v>23643</v>
      </c>
      <c r="Q1142" s="1" t="s">
        <v>23650</v>
      </c>
      <c r="R1142" s="1" t="s">
        <v>23643</v>
      </c>
      <c r="S1142" s="10" t="s">
        <v>23651</v>
      </c>
      <c r="T1142" s="1" t="s">
        <v>23652</v>
      </c>
      <c r="U1142" s="1" t="s">
        <v>23653</v>
      </c>
      <c r="V1142" s="1" t="s">
        <v>23650</v>
      </c>
      <c r="W1142" s="1" t="s">
        <v>23643</v>
      </c>
      <c r="X1142" s="1" t="s">
        <v>23646</v>
      </c>
      <c r="Y1142" s="1" t="s">
        <v>23643</v>
      </c>
      <c r="Z1142" s="1" t="s">
        <v>23654</v>
      </c>
      <c r="AA1142" s="1" t="s">
        <v>23655</v>
      </c>
      <c r="AB1142" s="1" t="s">
        <v>11310</v>
      </c>
      <c r="AC1142" s="1" t="s">
        <v>23656</v>
      </c>
      <c r="AD1142" s="6" t="s">
        <v>23657</v>
      </c>
      <c r="AE1142" s="1" t="s">
        <v>23643</v>
      </c>
      <c r="AF1142" s="1" t="s">
        <v>23658</v>
      </c>
      <c r="AG1142" s="6" t="s">
        <v>11306</v>
      </c>
      <c r="AH1142" s="1" t="s">
        <v>23659</v>
      </c>
      <c r="AI1142" s="6" t="s">
        <v>132</v>
      </c>
      <c r="AJ1142" s="6" t="s">
        <v>23660</v>
      </c>
      <c r="AK1142" s="1" t="s">
        <v>11312</v>
      </c>
      <c r="AL1142" s="6" t="s">
        <v>11313</v>
      </c>
    </row>
    <row r="1143" ht="15.75" customHeight="1">
      <c r="A1143" s="1" t="s">
        <v>127</v>
      </c>
      <c r="B1143" s="1" t="s">
        <v>23661</v>
      </c>
      <c r="C1143" s="1" t="s">
        <v>23662</v>
      </c>
      <c r="D1143" s="8" t="s">
        <v>23663</v>
      </c>
      <c r="E1143" s="1" t="s">
        <v>23664</v>
      </c>
      <c r="F1143" s="6" t="s">
        <v>132</v>
      </c>
      <c r="G1143" s="1" t="s">
        <v>23665</v>
      </c>
      <c r="H1143" s="1" t="s">
        <v>23666</v>
      </c>
      <c r="I1143" s="1" t="s">
        <v>23667</v>
      </c>
      <c r="J1143" s="6" t="s">
        <v>23668</v>
      </c>
      <c r="K1143" s="1" t="s">
        <v>23669</v>
      </c>
      <c r="L1143" s="1" t="s">
        <v>23670</v>
      </c>
      <c r="M1143" s="1" t="s">
        <v>23671</v>
      </c>
      <c r="N1143" s="6" t="s">
        <v>132</v>
      </c>
      <c r="O1143" s="6" t="s">
        <v>23672</v>
      </c>
      <c r="P1143" s="1" t="s">
        <v>23673</v>
      </c>
      <c r="Q1143" s="1" t="s">
        <v>23674</v>
      </c>
      <c r="R1143" s="1" t="s">
        <v>23675</v>
      </c>
      <c r="S1143" s="10" t="s">
        <v>23676</v>
      </c>
      <c r="T1143" s="1" t="s">
        <v>23677</v>
      </c>
      <c r="U1143" s="1" t="s">
        <v>23678</v>
      </c>
      <c r="V1143" s="1" t="s">
        <v>23679</v>
      </c>
      <c r="W1143" s="1" t="s">
        <v>23680</v>
      </c>
      <c r="X1143" s="1" t="s">
        <v>23681</v>
      </c>
      <c r="Y1143" s="1" t="s">
        <v>23682</v>
      </c>
      <c r="Z1143" s="1" t="s">
        <v>23683</v>
      </c>
      <c r="AA1143" s="1" t="s">
        <v>23684</v>
      </c>
      <c r="AB1143" s="1" t="s">
        <v>23685</v>
      </c>
      <c r="AC1143" s="1" t="s">
        <v>23686</v>
      </c>
      <c r="AD1143" s="6" t="s">
        <v>23687</v>
      </c>
      <c r="AE1143" s="1" t="s">
        <v>23688</v>
      </c>
      <c r="AF1143" s="1" t="s">
        <v>23689</v>
      </c>
      <c r="AG1143" s="6" t="s">
        <v>23690</v>
      </c>
      <c r="AH1143" s="1" t="s">
        <v>23691</v>
      </c>
      <c r="AI1143" s="6" t="s">
        <v>132</v>
      </c>
      <c r="AJ1143" s="6" t="s">
        <v>23692</v>
      </c>
      <c r="AK1143" s="1" t="s">
        <v>23693</v>
      </c>
      <c r="AL1143" s="6" t="s">
        <v>132</v>
      </c>
    </row>
    <row r="1144" ht="15.75" hidden="1" customHeight="1">
      <c r="A1144" s="1" t="s">
        <v>38</v>
      </c>
      <c r="B1144" s="1" t="s">
        <v>23694</v>
      </c>
      <c r="C1144" s="1" t="s">
        <v>23695</v>
      </c>
      <c r="D1144" s="7" t="str">
        <f>IFERROR(__xludf.DUMMYFUNCTION("GOOGLETRANSLATE(C1144, ""en"", ""ar"")"),"لبنان")</f>
        <v>لبنان</v>
      </c>
      <c r="E1144" s="7" t="str">
        <f>IFERROR(__xludf.DUMMYFUNCTION("GOOGLETRANSLATE(C1144, ""en"", ""bg"")"),"Ливан")</f>
        <v>Ливан</v>
      </c>
      <c r="F1144" s="6" t="s">
        <v>132</v>
      </c>
      <c r="G1144" s="7" t="str">
        <f>IFERROR(__xludf.DUMMYFUNCTION("GOOGLETRANSLATE(C1144, ""en"", ""cs"")"),"Libanon")</f>
        <v>Libanon</v>
      </c>
      <c r="H1144" s="7" t="str">
        <f>IFERROR(__xludf.DUMMYFUNCTION("GOOGLETRANSLATE(C1144, ""en"", ""da"")"),"Libanon.")</f>
        <v>Libanon.</v>
      </c>
      <c r="I1144" s="1" t="s">
        <v>23696</v>
      </c>
      <c r="J1144" s="6" t="s">
        <v>132</v>
      </c>
      <c r="K1144" s="1" t="s">
        <v>23697</v>
      </c>
      <c r="L1144" s="7" t="str">
        <f>IFERROR(__xludf.DUMMYFUNCTION("GOOGLETRANSLATE(C1144, ""en"", ""fi"")"),"Libanon")</f>
        <v>Libanon</v>
      </c>
      <c r="M1144" s="1" t="s">
        <v>23698</v>
      </c>
      <c r="N1144" s="6" t="s">
        <v>132</v>
      </c>
      <c r="O1144" s="6" t="s">
        <v>132</v>
      </c>
      <c r="P1144" s="1" t="s">
        <v>23695</v>
      </c>
      <c r="Q1144" s="7" t="str">
        <f>IFERROR(__xludf.DUMMYFUNCTION("GOOGLETRANSLATE(C1144, ""en"", ""in"")"),"Libanon")</f>
        <v>Libanon</v>
      </c>
      <c r="R1144" s="7" t="str">
        <f>IFERROR(__xludf.DUMMYFUNCTION("GOOGLETRANSLATE(C1144, ""en"", ""it"")"),"Libano")</f>
        <v>Libano</v>
      </c>
      <c r="S1144" s="6" t="s">
        <v>132</v>
      </c>
      <c r="T1144" s="7" t="str">
        <f>IFERROR(__xludf.DUMMYFUNCTION("GOOGLETRANSLATE(C1144, ""en"", ""ja"")"),"レバノン")</f>
        <v>レバノン</v>
      </c>
      <c r="U1144" s="7" t="str">
        <f>IFERROR(__xludf.DUMMYFUNCTION("GOOGLETRANSLATE(C1144, ""en"", ""ko"")"),"레바논")</f>
        <v>레바논</v>
      </c>
      <c r="V1144" s="7" t="str">
        <f>IFERROR(__xludf.DUMMYFUNCTION("GOOGLETRANSLATE(C1144, ""en"", ""ms"")"),"Lubnan")</f>
        <v>Lubnan</v>
      </c>
      <c r="W1144" s="7" t="str">
        <f>IFERROR(__xludf.DUMMYFUNCTION("GOOGLETRANSLATE(C1144, ""en"", ""nl"")"),"Libanon")</f>
        <v>Libanon</v>
      </c>
      <c r="X1144" s="7" t="str">
        <f>IFERROR(__xludf.DUMMYFUNCTION("GOOGLETRANSLATE(C1144, ""en"", ""no"")"),"Libanon.")</f>
        <v>Libanon.</v>
      </c>
      <c r="Y1144" s="7" t="str">
        <f>IFERROR(__xludf.DUMMYFUNCTION("GOOGLETRANSLATE(C1144, ""en"", ""pl"")"),"Liban")</f>
        <v>Liban</v>
      </c>
      <c r="Z1144" s="7" t="str">
        <f>IFERROR(__xludf.DUMMYFUNCTION("GOOGLETRANSLATE(C1144, ""en"", ""pt"")"),"Líbano")</f>
        <v>Líbano</v>
      </c>
      <c r="AA1144" s="7" t="str">
        <f>IFERROR(__xludf.DUMMYFUNCTION("GOOGLETRANSLATE(C1144, ""en"", ""ro"")"),"Liban")</f>
        <v>Liban</v>
      </c>
      <c r="AB1144" s="1" t="s">
        <v>23699</v>
      </c>
      <c r="AC1144" s="7" t="str">
        <f>IFERROR(__xludf.DUMMYFUNCTION("GOOGLETRANSLATE(C1144, ""en"", ""sk"")"),"Libanon")</f>
        <v>Libanon</v>
      </c>
      <c r="AD1144" s="6" t="s">
        <v>132</v>
      </c>
      <c r="AE1144" s="1" t="s">
        <v>23696</v>
      </c>
      <c r="AF1144" s="7" t="str">
        <f>IFERROR(__xludf.DUMMYFUNCTION("GOOGLETRANSLATE(C1144, ""en"", ""sv"")"),"Libanon")</f>
        <v>Libanon</v>
      </c>
      <c r="AG1144" s="6" t="s">
        <v>132</v>
      </c>
      <c r="AH1144" s="7" t="str">
        <f>IFERROR(__xludf.DUMMYFUNCTION("GOOGLETRANSLATE(C1144, ""en"", ""tr"")"),"Lübnan")</f>
        <v>Lübnan</v>
      </c>
      <c r="AI1144" s="6" t="s">
        <v>132</v>
      </c>
      <c r="AJ1144" s="6" t="s">
        <v>132</v>
      </c>
      <c r="AK1144" s="7" t="str">
        <f>IFERROR(__xludf.DUMMYFUNCTION("GOOGLETRANSLATE(C1144, ""en"", ""zh"")"),"黎巴嫩")</f>
        <v>黎巴嫩</v>
      </c>
      <c r="AL1144" s="6" t="s">
        <v>132</v>
      </c>
    </row>
    <row r="1145" ht="15.75" customHeight="1">
      <c r="A1145" s="1" t="s">
        <v>127</v>
      </c>
      <c r="B1145" s="1" t="s">
        <v>23700</v>
      </c>
      <c r="C1145" s="1" t="s">
        <v>23701</v>
      </c>
      <c r="D1145" s="8" t="s">
        <v>23702</v>
      </c>
      <c r="E1145" s="1" t="s">
        <v>23703</v>
      </c>
      <c r="F1145" s="6" t="s">
        <v>132</v>
      </c>
      <c r="G1145" s="1" t="s">
        <v>23704</v>
      </c>
      <c r="H1145" s="1" t="s">
        <v>23705</v>
      </c>
      <c r="I1145" s="1" t="s">
        <v>23701</v>
      </c>
      <c r="J1145" s="6" t="s">
        <v>23706</v>
      </c>
      <c r="K1145" s="1" t="s">
        <v>23701</v>
      </c>
      <c r="L1145" s="1" t="s">
        <v>23707</v>
      </c>
      <c r="M1145" s="1" t="s">
        <v>23708</v>
      </c>
      <c r="N1145" s="6" t="s">
        <v>132</v>
      </c>
      <c r="O1145" s="6" t="s">
        <v>23709</v>
      </c>
      <c r="P1145" s="1" t="s">
        <v>23701</v>
      </c>
      <c r="Q1145" s="1" t="s">
        <v>23710</v>
      </c>
      <c r="R1145" s="1" t="s">
        <v>23701</v>
      </c>
      <c r="S1145" s="10" t="s">
        <v>23711</v>
      </c>
      <c r="T1145" s="1" t="s">
        <v>23712</v>
      </c>
      <c r="U1145" s="1" t="s">
        <v>23713</v>
      </c>
      <c r="V1145" s="1" t="s">
        <v>23710</v>
      </c>
      <c r="W1145" s="1" t="s">
        <v>23714</v>
      </c>
      <c r="X1145" s="1" t="s">
        <v>23715</v>
      </c>
      <c r="Y1145" s="1" t="s">
        <v>23701</v>
      </c>
      <c r="Z1145" s="1" t="s">
        <v>23701</v>
      </c>
      <c r="AA1145" s="1" t="s">
        <v>23716</v>
      </c>
      <c r="AB1145" s="1" t="s">
        <v>23717</v>
      </c>
      <c r="AC1145" s="1" t="s">
        <v>23718</v>
      </c>
      <c r="AD1145" s="6" t="s">
        <v>23719</v>
      </c>
      <c r="AE1145" s="1" t="s">
        <v>23701</v>
      </c>
      <c r="AF1145" s="1" t="s">
        <v>23720</v>
      </c>
      <c r="AG1145" s="6" t="s">
        <v>23721</v>
      </c>
      <c r="AH1145" s="1" t="s">
        <v>23722</v>
      </c>
      <c r="AI1145" s="6" t="s">
        <v>132</v>
      </c>
      <c r="AJ1145" s="6" t="s">
        <v>23723</v>
      </c>
      <c r="AK1145" s="1" t="s">
        <v>23724</v>
      </c>
      <c r="AL1145" s="6" t="s">
        <v>23725</v>
      </c>
    </row>
    <row r="1146" ht="15.75" customHeight="1">
      <c r="A1146" s="1" t="s">
        <v>127</v>
      </c>
      <c r="B1146" s="1" t="s">
        <v>23726</v>
      </c>
      <c r="C1146" s="1" t="s">
        <v>9555</v>
      </c>
      <c r="D1146" s="8" t="s">
        <v>23727</v>
      </c>
      <c r="E1146" s="1" t="s">
        <v>9555</v>
      </c>
      <c r="F1146" s="6" t="s">
        <v>132</v>
      </c>
      <c r="G1146" s="1" t="s">
        <v>9555</v>
      </c>
      <c r="H1146" s="1" t="s">
        <v>9555</v>
      </c>
      <c r="I1146" s="1" t="s">
        <v>9555</v>
      </c>
      <c r="J1146" s="6" t="s">
        <v>9555</v>
      </c>
      <c r="K1146" s="1" t="s">
        <v>9555</v>
      </c>
      <c r="L1146" s="1" t="s">
        <v>9555</v>
      </c>
      <c r="M1146" s="1" t="s">
        <v>9555</v>
      </c>
      <c r="N1146" s="6" t="s">
        <v>132</v>
      </c>
      <c r="O1146" s="6" t="s">
        <v>9599</v>
      </c>
      <c r="P1146" s="1" t="s">
        <v>9555</v>
      </c>
      <c r="Q1146" s="1" t="s">
        <v>9555</v>
      </c>
      <c r="R1146" s="1" t="s">
        <v>9555</v>
      </c>
      <c r="S1146" s="10" t="s">
        <v>9600</v>
      </c>
      <c r="T1146" s="1" t="s">
        <v>9555</v>
      </c>
      <c r="U1146" s="1" t="s">
        <v>9555</v>
      </c>
      <c r="V1146" s="1" t="s">
        <v>9555</v>
      </c>
      <c r="W1146" s="1" t="s">
        <v>9555</v>
      </c>
      <c r="X1146" s="1" t="s">
        <v>9555</v>
      </c>
      <c r="Y1146" s="1" t="s">
        <v>9555</v>
      </c>
      <c r="Z1146" s="1" t="s">
        <v>9555</v>
      </c>
      <c r="AA1146" s="1" t="s">
        <v>9555</v>
      </c>
      <c r="AB1146" s="1" t="s">
        <v>9601</v>
      </c>
      <c r="AC1146" s="1" t="s">
        <v>9555</v>
      </c>
      <c r="AD1146" s="6" t="s">
        <v>9555</v>
      </c>
      <c r="AE1146" s="1" t="s">
        <v>9555</v>
      </c>
      <c r="AF1146" s="1" t="s">
        <v>9555</v>
      </c>
      <c r="AG1146" s="6" t="s">
        <v>9555</v>
      </c>
      <c r="AH1146" s="1" t="s">
        <v>9555</v>
      </c>
      <c r="AI1146" s="6" t="s">
        <v>132</v>
      </c>
      <c r="AJ1146" s="6" t="s">
        <v>9555</v>
      </c>
      <c r="AK1146" s="1" t="s">
        <v>9602</v>
      </c>
      <c r="AL1146" s="6" t="s">
        <v>9603</v>
      </c>
    </row>
    <row r="1147" ht="15.75" customHeight="1">
      <c r="A1147" s="1" t="s">
        <v>127</v>
      </c>
      <c r="B1147" s="1" t="s">
        <v>23728</v>
      </c>
      <c r="C1147" s="1" t="s">
        <v>18573</v>
      </c>
      <c r="D1147" s="8" t="s">
        <v>18574</v>
      </c>
      <c r="E1147" s="1" t="s">
        <v>18575</v>
      </c>
      <c r="F1147" s="6" t="s">
        <v>132</v>
      </c>
      <c r="G1147" s="1" t="s">
        <v>18576</v>
      </c>
      <c r="H1147" s="1" t="s">
        <v>18577</v>
      </c>
      <c r="I1147" s="1" t="s">
        <v>18573</v>
      </c>
      <c r="J1147" s="6" t="s">
        <v>23729</v>
      </c>
      <c r="K1147" s="1" t="s">
        <v>18573</v>
      </c>
      <c r="L1147" s="1" t="s">
        <v>18573</v>
      </c>
      <c r="M1147" s="1" t="s">
        <v>18579</v>
      </c>
      <c r="N1147" s="6" t="s">
        <v>132</v>
      </c>
      <c r="O1147" s="6" t="s">
        <v>18580</v>
      </c>
      <c r="P1147" s="1" t="s">
        <v>18573</v>
      </c>
      <c r="Q1147" s="1" t="s">
        <v>18581</v>
      </c>
      <c r="R1147" s="1" t="s">
        <v>18573</v>
      </c>
      <c r="S1147" s="10" t="s">
        <v>18582</v>
      </c>
      <c r="T1147" s="1" t="s">
        <v>18583</v>
      </c>
      <c r="U1147" s="1" t="s">
        <v>18584</v>
      </c>
      <c r="V1147" s="1" t="s">
        <v>18581</v>
      </c>
      <c r="W1147" s="1" t="s">
        <v>18573</v>
      </c>
      <c r="X1147" s="1" t="s">
        <v>18573</v>
      </c>
      <c r="Y1147" s="1" t="s">
        <v>18573</v>
      </c>
      <c r="Z1147" s="1" t="s">
        <v>18573</v>
      </c>
      <c r="AA1147" s="1" t="s">
        <v>18585</v>
      </c>
      <c r="AB1147" s="1" t="s">
        <v>18586</v>
      </c>
      <c r="AC1147" s="1" t="s">
        <v>18587</v>
      </c>
      <c r="AD1147" s="6" t="s">
        <v>18588</v>
      </c>
      <c r="AE1147" s="1" t="s">
        <v>18573</v>
      </c>
      <c r="AF1147" s="1" t="s">
        <v>18589</v>
      </c>
      <c r="AG1147" s="6" t="s">
        <v>18590</v>
      </c>
      <c r="AH1147" s="1" t="s">
        <v>23730</v>
      </c>
      <c r="AI1147" s="6" t="s">
        <v>132</v>
      </c>
      <c r="AJ1147" s="6" t="s">
        <v>18592</v>
      </c>
      <c r="AK1147" s="1" t="s">
        <v>18593</v>
      </c>
      <c r="AL1147" s="6" t="s">
        <v>18594</v>
      </c>
    </row>
    <row r="1148" ht="15.75" customHeight="1">
      <c r="A1148" s="1" t="s">
        <v>127</v>
      </c>
      <c r="B1148" s="1" t="s">
        <v>23731</v>
      </c>
      <c r="C1148" s="1" t="s">
        <v>23732</v>
      </c>
      <c r="D1148" s="8" t="s">
        <v>23733</v>
      </c>
      <c r="E1148" s="1" t="s">
        <v>23734</v>
      </c>
      <c r="F1148" s="6" t="s">
        <v>132</v>
      </c>
      <c r="G1148" s="1" t="s">
        <v>23735</v>
      </c>
      <c r="H1148" s="1" t="s">
        <v>23736</v>
      </c>
      <c r="I1148" s="1" t="s">
        <v>23732</v>
      </c>
      <c r="J1148" s="6" t="s">
        <v>23737</v>
      </c>
      <c r="K1148" s="1" t="s">
        <v>23738</v>
      </c>
      <c r="L1148" s="1" t="s">
        <v>23739</v>
      </c>
      <c r="M1148" s="1" t="s">
        <v>23740</v>
      </c>
      <c r="N1148" s="6" t="s">
        <v>132</v>
      </c>
      <c r="O1148" s="6" t="s">
        <v>23741</v>
      </c>
      <c r="P1148" s="1" t="s">
        <v>23732</v>
      </c>
      <c r="Q1148" s="1" t="s">
        <v>23742</v>
      </c>
      <c r="R1148" s="1" t="s">
        <v>23732</v>
      </c>
      <c r="S1148" s="10" t="s">
        <v>23743</v>
      </c>
      <c r="T1148" s="1" t="s">
        <v>23744</v>
      </c>
      <c r="U1148" s="1" t="s">
        <v>23745</v>
      </c>
      <c r="V1148" s="1" t="s">
        <v>23746</v>
      </c>
      <c r="W1148" s="1" t="s">
        <v>23747</v>
      </c>
      <c r="X1148" s="1" t="s">
        <v>23748</v>
      </c>
      <c r="Y1148" s="1" t="s">
        <v>23749</v>
      </c>
      <c r="Z1148" s="1" t="s">
        <v>23750</v>
      </c>
      <c r="AA1148" s="1" t="s">
        <v>23751</v>
      </c>
      <c r="AB1148" s="1" t="s">
        <v>23752</v>
      </c>
      <c r="AC1148" s="1" t="s">
        <v>23753</v>
      </c>
      <c r="AD1148" s="6" t="s">
        <v>23754</v>
      </c>
      <c r="AE1148" s="1" t="s">
        <v>23732</v>
      </c>
      <c r="AF1148" s="1" t="s">
        <v>23755</v>
      </c>
      <c r="AG1148" s="6" t="s">
        <v>23756</v>
      </c>
      <c r="AH1148" s="1" t="s">
        <v>23757</v>
      </c>
      <c r="AI1148" s="6" t="s">
        <v>132</v>
      </c>
      <c r="AJ1148" s="6" t="s">
        <v>23758</v>
      </c>
      <c r="AK1148" s="1" t="s">
        <v>23759</v>
      </c>
      <c r="AL1148" s="6" t="s">
        <v>23760</v>
      </c>
    </row>
    <row r="1149" ht="15.75" customHeight="1">
      <c r="A1149" s="1" t="s">
        <v>127</v>
      </c>
      <c r="B1149" s="1" t="s">
        <v>23761</v>
      </c>
      <c r="C1149" s="1" t="s">
        <v>23762</v>
      </c>
      <c r="D1149" s="8" t="s">
        <v>23763</v>
      </c>
      <c r="E1149" s="1" t="s">
        <v>23764</v>
      </c>
      <c r="F1149" s="6" t="s">
        <v>132</v>
      </c>
      <c r="G1149" s="1" t="s">
        <v>23765</v>
      </c>
      <c r="H1149" s="1" t="s">
        <v>23766</v>
      </c>
      <c r="I1149" s="1" t="s">
        <v>23767</v>
      </c>
      <c r="J1149" s="6" t="s">
        <v>23768</v>
      </c>
      <c r="K1149" s="1" t="s">
        <v>23769</v>
      </c>
      <c r="L1149" s="1" t="s">
        <v>23770</v>
      </c>
      <c r="M1149" s="1" t="s">
        <v>23771</v>
      </c>
      <c r="N1149" s="6" t="s">
        <v>132</v>
      </c>
      <c r="O1149" s="6" t="s">
        <v>23772</v>
      </c>
      <c r="P1149" s="1" t="s">
        <v>23773</v>
      </c>
      <c r="Q1149" s="1" t="s">
        <v>23774</v>
      </c>
      <c r="R1149" s="1" t="s">
        <v>23775</v>
      </c>
      <c r="S1149" s="10" t="s">
        <v>23776</v>
      </c>
      <c r="T1149" s="1" t="s">
        <v>23777</v>
      </c>
      <c r="U1149" s="1" t="s">
        <v>23778</v>
      </c>
      <c r="V1149" s="1" t="s">
        <v>23779</v>
      </c>
      <c r="W1149" s="1" t="s">
        <v>23780</v>
      </c>
      <c r="X1149" s="1" t="s">
        <v>23781</v>
      </c>
      <c r="Y1149" s="1" t="s">
        <v>23782</v>
      </c>
      <c r="Z1149" s="1" t="s">
        <v>23783</v>
      </c>
      <c r="AA1149" s="1" t="s">
        <v>23784</v>
      </c>
      <c r="AB1149" s="1" t="s">
        <v>23785</v>
      </c>
      <c r="AC1149" s="1" t="s">
        <v>23786</v>
      </c>
      <c r="AD1149" s="6" t="s">
        <v>23787</v>
      </c>
      <c r="AE1149" s="1" t="s">
        <v>23788</v>
      </c>
      <c r="AF1149" s="1" t="s">
        <v>23789</v>
      </c>
      <c r="AG1149" s="6" t="s">
        <v>23790</v>
      </c>
      <c r="AH1149" s="1" t="s">
        <v>23791</v>
      </c>
      <c r="AI1149" s="6" t="s">
        <v>132</v>
      </c>
      <c r="AJ1149" s="6" t="s">
        <v>23792</v>
      </c>
      <c r="AK1149" s="1" t="s">
        <v>23793</v>
      </c>
      <c r="AL1149" s="6" t="s">
        <v>23794</v>
      </c>
    </row>
    <row r="1150" ht="15.75" customHeight="1">
      <c r="A1150" s="1" t="s">
        <v>127</v>
      </c>
      <c r="B1150" s="1" t="s">
        <v>23795</v>
      </c>
      <c r="C1150" s="1" t="s">
        <v>23796</v>
      </c>
      <c r="D1150" s="8" t="s">
        <v>23797</v>
      </c>
      <c r="E1150" s="1" t="s">
        <v>23798</v>
      </c>
      <c r="F1150" s="6" t="s">
        <v>132</v>
      </c>
      <c r="G1150" s="1" t="s">
        <v>23799</v>
      </c>
      <c r="H1150" s="1" t="s">
        <v>23800</v>
      </c>
      <c r="I1150" s="1" t="s">
        <v>23801</v>
      </c>
      <c r="J1150" s="6" t="s">
        <v>23802</v>
      </c>
      <c r="K1150" s="1" t="s">
        <v>23803</v>
      </c>
      <c r="L1150" s="1" t="s">
        <v>23804</v>
      </c>
      <c r="M1150" s="1" t="s">
        <v>23805</v>
      </c>
      <c r="N1150" s="6" t="s">
        <v>132</v>
      </c>
      <c r="O1150" s="6" t="s">
        <v>23806</v>
      </c>
      <c r="P1150" s="1" t="s">
        <v>23796</v>
      </c>
      <c r="Q1150" s="1" t="s">
        <v>23807</v>
      </c>
      <c r="R1150" s="1" t="s">
        <v>23796</v>
      </c>
      <c r="S1150" s="10" t="s">
        <v>23808</v>
      </c>
      <c r="T1150" s="1" t="s">
        <v>23809</v>
      </c>
      <c r="U1150" s="1" t="s">
        <v>23810</v>
      </c>
      <c r="V1150" s="1" t="s">
        <v>23811</v>
      </c>
      <c r="W1150" s="1" t="s">
        <v>23812</v>
      </c>
      <c r="X1150" s="1" t="s">
        <v>23813</v>
      </c>
      <c r="Y1150" s="1" t="s">
        <v>23814</v>
      </c>
      <c r="Z1150" s="1" t="s">
        <v>23815</v>
      </c>
      <c r="AA1150" s="1" t="s">
        <v>23816</v>
      </c>
      <c r="AB1150" s="1" t="s">
        <v>23817</v>
      </c>
      <c r="AC1150" s="1" t="s">
        <v>23818</v>
      </c>
      <c r="AD1150" s="6" t="s">
        <v>23819</v>
      </c>
      <c r="AE1150" s="1" t="s">
        <v>23796</v>
      </c>
      <c r="AF1150" s="1" t="s">
        <v>23820</v>
      </c>
      <c r="AG1150" s="6" t="s">
        <v>23821</v>
      </c>
      <c r="AH1150" s="1" t="s">
        <v>23822</v>
      </c>
      <c r="AI1150" s="6" t="s">
        <v>132</v>
      </c>
      <c r="AJ1150" s="6" t="s">
        <v>23823</v>
      </c>
      <c r="AK1150" s="1" t="s">
        <v>23824</v>
      </c>
      <c r="AL1150" s="6" t="s">
        <v>23825</v>
      </c>
    </row>
    <row r="1151" ht="15.75" hidden="1" customHeight="1">
      <c r="A1151" s="1" t="s">
        <v>38</v>
      </c>
      <c r="B1151" s="1" t="s">
        <v>23826</v>
      </c>
      <c r="C1151" s="1" t="s">
        <v>23827</v>
      </c>
      <c r="D1151" s="7" t="str">
        <f>IFERROR(__xludf.DUMMYFUNCTION("GOOGLETRANSLATE(C1151, ""en"", ""ar"")"),"أستراليا")</f>
        <v>أستراليا</v>
      </c>
      <c r="E1151" s="7" t="str">
        <f>IFERROR(__xludf.DUMMYFUNCTION("GOOGLETRANSLATE(C1151, ""en"", ""bg"")"),"Австралия")</f>
        <v>Австралия</v>
      </c>
      <c r="F1151" s="6" t="s">
        <v>132</v>
      </c>
      <c r="G1151" s="7" t="str">
        <f>IFERROR(__xludf.DUMMYFUNCTION("GOOGLETRANSLATE(C1151, ""en"", ""cs"")"),"Austrálie")</f>
        <v>Austrálie</v>
      </c>
      <c r="H1151" s="7" t="str">
        <f>IFERROR(__xludf.DUMMYFUNCTION("GOOGLETRANSLATE(C1151, ""en"", ""da"")"),"Australien")</f>
        <v>Australien</v>
      </c>
      <c r="I1151" s="1" t="s">
        <v>23828</v>
      </c>
      <c r="J1151" s="6" t="s">
        <v>132</v>
      </c>
      <c r="K1151" s="1" t="s">
        <v>23827</v>
      </c>
      <c r="L1151" s="7" t="str">
        <f>IFERROR(__xludf.DUMMYFUNCTION("GOOGLETRANSLATE(C1151, ""en"", ""fi"")"),"Australia")</f>
        <v>Australia</v>
      </c>
      <c r="M1151" s="1" t="s">
        <v>23829</v>
      </c>
      <c r="N1151" s="6" t="s">
        <v>132</v>
      </c>
      <c r="O1151" s="6" t="s">
        <v>132</v>
      </c>
      <c r="P1151" s="1" t="s">
        <v>23827</v>
      </c>
      <c r="Q1151" s="7" t="str">
        <f>IFERROR(__xludf.DUMMYFUNCTION("GOOGLETRANSLATE(C1151, ""en"", ""in"")"),"Australia.")</f>
        <v>Australia.</v>
      </c>
      <c r="R1151" s="7" t="str">
        <f>IFERROR(__xludf.DUMMYFUNCTION("GOOGLETRANSLATE(C1151, ""en"", ""it"")"),"Australia")</f>
        <v>Australia</v>
      </c>
      <c r="S1151" s="6" t="s">
        <v>132</v>
      </c>
      <c r="T1151" s="7" t="str">
        <f>IFERROR(__xludf.DUMMYFUNCTION("GOOGLETRANSLATE(C1151, ""en"", ""ja"")"),"オーストラリア")</f>
        <v>オーストラリア</v>
      </c>
      <c r="U1151" s="7" t="str">
        <f>IFERROR(__xludf.DUMMYFUNCTION("GOOGLETRANSLATE(C1151, ""en"", ""ko"")"),"호주")</f>
        <v>호주</v>
      </c>
      <c r="V1151" s="7" t="str">
        <f>IFERROR(__xludf.DUMMYFUNCTION("GOOGLETRANSLATE(C1151, ""en"", ""ms"")"),"Australia")</f>
        <v>Australia</v>
      </c>
      <c r="W1151" s="7" t="str">
        <f>IFERROR(__xludf.DUMMYFUNCTION("GOOGLETRANSLATE(C1151, ""en"", ""nl"")"),"Australië")</f>
        <v>Australië</v>
      </c>
      <c r="X1151" s="7" t="str">
        <f>IFERROR(__xludf.DUMMYFUNCTION("GOOGLETRANSLATE(C1151, ""en"", ""no"")"),"Australia")</f>
        <v>Australia</v>
      </c>
      <c r="Y1151" s="7" t="str">
        <f>IFERROR(__xludf.DUMMYFUNCTION("GOOGLETRANSLATE(C1151, ""en"", ""pl"")"),"Australia")</f>
        <v>Australia</v>
      </c>
      <c r="Z1151" s="7" t="str">
        <f>IFERROR(__xludf.DUMMYFUNCTION("GOOGLETRANSLATE(C1151, ""en"", ""pt"")"),"Austrália")</f>
        <v>Austrália</v>
      </c>
      <c r="AA1151" s="7" t="str">
        <f>IFERROR(__xludf.DUMMYFUNCTION("GOOGLETRANSLATE(C1151, ""en"", ""ro"")"),"Australia")</f>
        <v>Australia</v>
      </c>
      <c r="AB1151" s="1" t="s">
        <v>23830</v>
      </c>
      <c r="AC1151" s="7" t="str">
        <f>IFERROR(__xludf.DUMMYFUNCTION("GOOGLETRANSLATE(C1151, ""en"", ""sk"")"),"Austrália")</f>
        <v>Austrália</v>
      </c>
      <c r="AD1151" s="6" t="s">
        <v>132</v>
      </c>
      <c r="AE1151" s="1" t="s">
        <v>23827</v>
      </c>
      <c r="AF1151" s="7" t="str">
        <f>IFERROR(__xludf.DUMMYFUNCTION("GOOGLETRANSLATE(C1151, ""en"", ""sv"")"),"Australien")</f>
        <v>Australien</v>
      </c>
      <c r="AG1151" s="6" t="s">
        <v>132</v>
      </c>
      <c r="AH1151" s="7" t="str">
        <f>IFERROR(__xludf.DUMMYFUNCTION("GOOGLETRANSLATE(C1151, ""en"", ""tr"")"),"Avustralya")</f>
        <v>Avustralya</v>
      </c>
      <c r="AI1151" s="6" t="s">
        <v>132</v>
      </c>
      <c r="AJ1151" s="6" t="s">
        <v>132</v>
      </c>
      <c r="AK1151" s="7" t="str">
        <f>IFERROR(__xludf.DUMMYFUNCTION("GOOGLETRANSLATE(C1151, ""en"", ""zh"")"),"澳大利亚")</f>
        <v>澳大利亚</v>
      </c>
      <c r="AL1151" s="6" t="s">
        <v>132</v>
      </c>
    </row>
    <row r="1152" ht="15.75" customHeight="1">
      <c r="A1152" s="1" t="s">
        <v>127</v>
      </c>
      <c r="B1152" s="1" t="s">
        <v>23831</v>
      </c>
      <c r="C1152" s="1" t="s">
        <v>23832</v>
      </c>
      <c r="D1152" s="8" t="s">
        <v>23833</v>
      </c>
      <c r="E1152" s="1" t="s">
        <v>23834</v>
      </c>
      <c r="F1152" s="6" t="s">
        <v>132</v>
      </c>
      <c r="G1152" s="1" t="s">
        <v>23835</v>
      </c>
      <c r="H1152" s="1" t="s">
        <v>23836</v>
      </c>
      <c r="I1152" s="1" t="s">
        <v>23837</v>
      </c>
      <c r="J1152" s="6" t="s">
        <v>23838</v>
      </c>
      <c r="K1152" s="1" t="s">
        <v>23839</v>
      </c>
      <c r="L1152" s="1" t="s">
        <v>23840</v>
      </c>
      <c r="M1152" s="1" t="s">
        <v>23841</v>
      </c>
      <c r="N1152" s="6" t="s">
        <v>132</v>
      </c>
      <c r="O1152" s="6" t="s">
        <v>23842</v>
      </c>
      <c r="P1152" s="1" t="s">
        <v>23843</v>
      </c>
      <c r="Q1152" s="1" t="s">
        <v>23844</v>
      </c>
      <c r="R1152" s="1" t="s">
        <v>23845</v>
      </c>
      <c r="S1152" s="10" t="s">
        <v>23846</v>
      </c>
      <c r="T1152" s="1" t="s">
        <v>23847</v>
      </c>
      <c r="U1152" s="1" t="s">
        <v>23848</v>
      </c>
      <c r="V1152" s="1" t="s">
        <v>23849</v>
      </c>
      <c r="W1152" s="1" t="s">
        <v>23850</v>
      </c>
      <c r="X1152" s="1" t="s">
        <v>23851</v>
      </c>
      <c r="Y1152" s="1" t="s">
        <v>23852</v>
      </c>
      <c r="Z1152" s="1" t="s">
        <v>23853</v>
      </c>
      <c r="AA1152" s="1" t="s">
        <v>23854</v>
      </c>
      <c r="AB1152" s="1" t="s">
        <v>23855</v>
      </c>
      <c r="AC1152" s="1" t="s">
        <v>23856</v>
      </c>
      <c r="AD1152" s="6" t="s">
        <v>23857</v>
      </c>
      <c r="AE1152" s="1" t="s">
        <v>23858</v>
      </c>
      <c r="AF1152" s="1" t="s">
        <v>23859</v>
      </c>
      <c r="AG1152" s="6" t="s">
        <v>23860</v>
      </c>
      <c r="AH1152" s="1" t="s">
        <v>23861</v>
      </c>
      <c r="AI1152" s="6" t="s">
        <v>132</v>
      </c>
      <c r="AJ1152" s="6" t="s">
        <v>23862</v>
      </c>
      <c r="AK1152" s="1" t="s">
        <v>23863</v>
      </c>
      <c r="AL1152" s="6" t="s">
        <v>23864</v>
      </c>
    </row>
    <row r="1153" ht="15.75" hidden="1" customHeight="1">
      <c r="A1153" s="1" t="s">
        <v>38</v>
      </c>
      <c r="B1153" s="1" t="s">
        <v>23865</v>
      </c>
      <c r="C1153" s="1" t="s">
        <v>23866</v>
      </c>
      <c r="D1153" s="7" t="str">
        <f>IFERROR(__xludf.DUMMYFUNCTION("GOOGLETRANSLATE(C1153, ""en"", ""ar"")"),"إرسال رمز")</f>
        <v>إرسال رمز</v>
      </c>
      <c r="E1153" s="7" t="str">
        <f>IFERROR(__xludf.DUMMYFUNCTION("GOOGLETRANSLATE(C1153, ""en"", ""bg"")"),"Изпращане на символ")</f>
        <v>Изпращане на символ</v>
      </c>
      <c r="F1153" s="6" t="s">
        <v>132</v>
      </c>
      <c r="G1153" s="7" t="str">
        <f>IFERROR(__xludf.DUMMYFUNCTION("GOOGLETRANSLATE(C1153, ""en"", ""cs"")"),"Poslat symbol")</f>
        <v>Poslat symbol</v>
      </c>
      <c r="H1153" s="7" t="str">
        <f>IFERROR(__xludf.DUMMYFUNCTION("GOOGLETRANSLATE(C1153, ""en"", ""da"")"),"Send symbol")</f>
        <v>Send symbol</v>
      </c>
      <c r="I1153" s="7" t="str">
        <f>IFERROR(__xludf.DUMMYFUNCTION("GOOGLETRANSLATE(C1153, ""en"", ""de"")"),"Senden Sie Symbol")</f>
        <v>Senden Sie Symbol</v>
      </c>
      <c r="J1153" s="6" t="s">
        <v>132</v>
      </c>
      <c r="K1153" s="7" t="str">
        <f>IFERROR(__xludf.DUMMYFUNCTION("GOOGLETRANSLATE(C1153, ""en"", ""es"")"),"Enviar símbolo")</f>
        <v>Enviar símbolo</v>
      </c>
      <c r="L1153" s="7" t="str">
        <f>IFERROR(__xludf.DUMMYFUNCTION("GOOGLETRANSLATE(C1153, ""en"", ""fi"")"),"Lähetä symboli")</f>
        <v>Lähetä symboli</v>
      </c>
      <c r="M1153" s="7" t="str">
        <f>IFERROR(__xludf.DUMMYFUNCTION("GOOGLETRANSLATE(C1153, ""en"", ""fr"")"),"Envoyer un symbole")</f>
        <v>Envoyer un symbole</v>
      </c>
      <c r="N1153" s="6" t="s">
        <v>132</v>
      </c>
      <c r="O1153" s="6" t="s">
        <v>132</v>
      </c>
      <c r="P1153" s="7" t="str">
        <f>IFERROR(__xludf.DUMMYFUNCTION("GOOGLETRANSLATE(C1153, ""en"", ""hu"")"),"Szimbólum küldése")</f>
        <v>Szimbólum küldése</v>
      </c>
      <c r="Q1153" s="7" t="str">
        <f>IFERROR(__xludf.DUMMYFUNCTION("GOOGLETRANSLATE(C1153, ""en"", ""in"")"),"Kirim Simbol.")</f>
        <v>Kirim Simbol.</v>
      </c>
      <c r="R1153" s="7" t="str">
        <f>IFERROR(__xludf.DUMMYFUNCTION("GOOGLETRANSLATE(C1153, ""en"", ""it"")"),"Invia simbolo")</f>
        <v>Invia simbolo</v>
      </c>
      <c r="S1153" s="6" t="s">
        <v>132</v>
      </c>
      <c r="T1153" s="7" t="str">
        <f>IFERROR(__xludf.DUMMYFUNCTION("GOOGLETRANSLATE(C1153, ""en"", ""ja"")"),"シンボルを送る")</f>
        <v>シンボルを送る</v>
      </c>
      <c r="U1153" s="7" t="str">
        <f>IFERROR(__xludf.DUMMYFUNCTION("GOOGLETRANSLATE(C1153, ""en"", ""ko"")"),"기호를 보내십시오")</f>
        <v>기호를 보내십시오</v>
      </c>
      <c r="V1153" s="7" t="str">
        <f>IFERROR(__xludf.DUMMYFUNCTION("GOOGLETRANSLATE(C1153, ""en"", ""ms"")"),"Hantar Simbol")</f>
        <v>Hantar Simbol</v>
      </c>
      <c r="W1153" s="7" t="str">
        <f>IFERROR(__xludf.DUMMYFUNCTION("GOOGLETRANSLATE(C1153, ""en"", ""nl"")"),"Stuur symbool")</f>
        <v>Stuur symbool</v>
      </c>
      <c r="X1153" s="7" t="str">
        <f>IFERROR(__xludf.DUMMYFUNCTION("GOOGLETRANSLATE(C1153, ""en"", ""no"")"),"Send symbolet")</f>
        <v>Send symbolet</v>
      </c>
      <c r="Y1153" s="7" t="str">
        <f>IFERROR(__xludf.DUMMYFUNCTION("GOOGLETRANSLATE(C1153, ""en"", ""pl"")"),"Wyślij symbol")</f>
        <v>Wyślij symbol</v>
      </c>
      <c r="Z1153" s="7" t="str">
        <f>IFERROR(__xludf.DUMMYFUNCTION("GOOGLETRANSLATE(C1153, ""en"", ""pt"")"),"Enviar símbolo")</f>
        <v>Enviar símbolo</v>
      </c>
      <c r="AA1153" s="7" t="str">
        <f>IFERROR(__xludf.DUMMYFUNCTION("GOOGLETRANSLATE(C1153, ""en"", ""ro"")"),"Trimiteți simbolul")</f>
        <v>Trimiteți simbolul</v>
      </c>
      <c r="AB1153" s="7" t="str">
        <f>IFERROR(__xludf.DUMMYFUNCTION("GOOGLETRANSLATE(C1153, ""en"", ""ru"")"),"Отправить символ")</f>
        <v>Отправить символ</v>
      </c>
      <c r="AC1153" s="7" t="str">
        <f>IFERROR(__xludf.DUMMYFUNCTION("GOOGLETRANSLATE(C1153, ""en"", ""sk"")"),"Odoslať symbol")</f>
        <v>Odoslať symbol</v>
      </c>
      <c r="AD1153" s="6" t="s">
        <v>132</v>
      </c>
      <c r="AE1153" s="7" t="str">
        <f>IFERROR(__xludf.DUMMYFUNCTION("GOOGLETRANSLATE(C1153, ""en"", ""sr"")"),"Пошаљи симбол")</f>
        <v>Пошаљи симбол</v>
      </c>
      <c r="AF1153" s="7" t="str">
        <f>IFERROR(__xludf.DUMMYFUNCTION("GOOGLETRANSLATE(C1153, ""en"", ""sv"")"),"Skicka symbol")</f>
        <v>Skicka symbol</v>
      </c>
      <c r="AG1153" s="6" t="s">
        <v>132</v>
      </c>
      <c r="AH1153" s="7" t="str">
        <f>IFERROR(__xludf.DUMMYFUNCTION("GOOGLETRANSLATE(C1153, ""en"", ""tr"")"),"Sembol gönder")</f>
        <v>Sembol gönder</v>
      </c>
      <c r="AI1153" s="6" t="s">
        <v>132</v>
      </c>
      <c r="AJ1153" s="6" t="s">
        <v>132</v>
      </c>
      <c r="AK1153" s="7" t="str">
        <f>IFERROR(__xludf.DUMMYFUNCTION("GOOGLETRANSLATE(C1153, ""en"", ""zh"")"),"发送符号")</f>
        <v>发送符号</v>
      </c>
      <c r="AL1153" s="6" t="s">
        <v>132</v>
      </c>
    </row>
    <row r="1154" ht="15.75" customHeight="1">
      <c r="A1154" s="1" t="s">
        <v>127</v>
      </c>
      <c r="B1154" s="1" t="s">
        <v>23867</v>
      </c>
      <c r="C1154" s="1" t="s">
        <v>23868</v>
      </c>
      <c r="D1154" s="8" t="s">
        <v>23869</v>
      </c>
      <c r="E1154" s="1" t="s">
        <v>23870</v>
      </c>
      <c r="F1154" s="6" t="s">
        <v>132</v>
      </c>
      <c r="G1154" s="1" t="s">
        <v>23871</v>
      </c>
      <c r="H1154" s="1" t="s">
        <v>23872</v>
      </c>
      <c r="I1154" s="1" t="s">
        <v>23873</v>
      </c>
      <c r="J1154" s="6" t="s">
        <v>23874</v>
      </c>
      <c r="K1154" s="1" t="s">
        <v>23875</v>
      </c>
      <c r="L1154" s="1" t="s">
        <v>23876</v>
      </c>
      <c r="M1154" s="1" t="s">
        <v>23877</v>
      </c>
      <c r="N1154" s="6" t="s">
        <v>132</v>
      </c>
      <c r="O1154" s="6" t="s">
        <v>23878</v>
      </c>
      <c r="P1154" s="1" t="s">
        <v>23879</v>
      </c>
      <c r="Q1154" s="1" t="s">
        <v>23880</v>
      </c>
      <c r="R1154" s="1" t="s">
        <v>23881</v>
      </c>
      <c r="S1154" s="10" t="s">
        <v>23882</v>
      </c>
      <c r="T1154" s="1" t="s">
        <v>23883</v>
      </c>
      <c r="U1154" s="1" t="s">
        <v>23884</v>
      </c>
      <c r="V1154" s="1" t="s">
        <v>23885</v>
      </c>
      <c r="W1154" s="1" t="s">
        <v>23886</v>
      </c>
      <c r="X1154" s="1" t="s">
        <v>23887</v>
      </c>
      <c r="Y1154" s="1" t="s">
        <v>23888</v>
      </c>
      <c r="Z1154" s="1" t="s">
        <v>23889</v>
      </c>
      <c r="AA1154" s="1" t="s">
        <v>23890</v>
      </c>
      <c r="AB1154" s="1" t="s">
        <v>23891</v>
      </c>
      <c r="AC1154" s="1" t="s">
        <v>23892</v>
      </c>
      <c r="AD1154" s="6" t="s">
        <v>23893</v>
      </c>
      <c r="AE1154" s="1" t="s">
        <v>23894</v>
      </c>
      <c r="AF1154" s="1" t="s">
        <v>23895</v>
      </c>
      <c r="AG1154" s="6" t="s">
        <v>23896</v>
      </c>
      <c r="AH1154" s="1" t="s">
        <v>23897</v>
      </c>
      <c r="AI1154" s="6" t="s">
        <v>132</v>
      </c>
      <c r="AJ1154" s="6" t="s">
        <v>23898</v>
      </c>
      <c r="AK1154" s="1" t="s">
        <v>23899</v>
      </c>
      <c r="AL1154" s="6" t="s">
        <v>132</v>
      </c>
    </row>
    <row r="1155" ht="15.75" hidden="1" customHeight="1">
      <c r="A1155" s="1" t="s">
        <v>38</v>
      </c>
      <c r="B1155" s="1" t="s">
        <v>23900</v>
      </c>
      <c r="C1155" s="1" t="s">
        <v>23901</v>
      </c>
      <c r="D1155" s="8" t="s">
        <v>23902</v>
      </c>
      <c r="E1155" s="1" t="s">
        <v>23903</v>
      </c>
      <c r="F1155" s="6" t="s">
        <v>23904</v>
      </c>
      <c r="G1155" s="7" t="str">
        <f>IFERROR(__xludf.DUMMYFUNCTION("GOOGLETRANSLATE(C1155, ""en"", ""cs"")"),"Publikovat veřejný klíč OpenPGP")</f>
        <v>Publikovat veřejný klíč OpenPGP</v>
      </c>
      <c r="H1155" s="7" t="str">
        <f>IFERROR(__xludf.DUMMYFUNCTION("GOOGLETRANSLATE(C1155, ""en"", ""da"")"),"Udgiv OpenPGP Public Key")</f>
        <v>Udgiv OpenPGP Public Key</v>
      </c>
      <c r="I1155" s="1" t="s">
        <v>23905</v>
      </c>
      <c r="J1155" s="6" t="s">
        <v>132</v>
      </c>
      <c r="K1155" s="1" t="s">
        <v>23906</v>
      </c>
      <c r="L1155" s="7" t="str">
        <f>IFERROR(__xludf.DUMMYFUNCTION("GOOGLETRANSLATE(C1155, ""en"", ""fi"")"),"Julkaise OpenPGP-julkinen avain")</f>
        <v>Julkaise OpenPGP-julkinen avain</v>
      </c>
      <c r="M1155" s="1" t="s">
        <v>23907</v>
      </c>
      <c r="N1155" s="6" t="s">
        <v>23908</v>
      </c>
      <c r="O1155" s="6" t="s">
        <v>132</v>
      </c>
      <c r="P1155" s="1" t="s">
        <v>23909</v>
      </c>
      <c r="Q1155" s="9" t="s">
        <v>23910</v>
      </c>
      <c r="R1155" s="1" t="s">
        <v>23911</v>
      </c>
      <c r="S1155" s="6" t="s">
        <v>132</v>
      </c>
      <c r="T1155" s="1" t="s">
        <v>23912</v>
      </c>
      <c r="U1155" s="1" t="s">
        <v>23913</v>
      </c>
      <c r="V1155" s="7" t="str">
        <f>IFERROR(__xludf.DUMMYFUNCTION("GOOGLETRANSLATE(C1155, ""en"", ""ms"")"),"Terbitkan kunci awam OpenPGP")</f>
        <v>Terbitkan kunci awam OpenPGP</v>
      </c>
      <c r="W1155" s="1" t="s">
        <v>23914</v>
      </c>
      <c r="X1155" s="7" t="str">
        <f>IFERROR(__xludf.DUMMYFUNCTION("GOOGLETRANSLATE(C1155, ""en"", ""no"")"),"Publiser OpenPGP offentlig nøkkel")</f>
        <v>Publiser OpenPGP offentlig nøkkel</v>
      </c>
      <c r="Y1155" s="1" t="s">
        <v>23915</v>
      </c>
      <c r="Z1155" s="1" t="s">
        <v>23908</v>
      </c>
      <c r="AA1155" s="7" t="str">
        <f>IFERROR(__xludf.DUMMYFUNCTION("GOOGLETRANSLATE(C1155, ""en"", ""ro"")"),"Publicați cheia publică OpenPGP")</f>
        <v>Publicați cheia publică OpenPGP</v>
      </c>
      <c r="AB1155" s="1" t="s">
        <v>23916</v>
      </c>
      <c r="AC1155" s="1" t="s">
        <v>23917</v>
      </c>
      <c r="AD1155" s="6" t="s">
        <v>132</v>
      </c>
      <c r="AE1155" s="1" t="s">
        <v>23918</v>
      </c>
      <c r="AF1155" s="1" t="s">
        <v>23919</v>
      </c>
      <c r="AG1155" s="6" t="s">
        <v>132</v>
      </c>
      <c r="AH1155" s="7" t="str">
        <f>IFERROR(__xludf.DUMMYFUNCTION("GOOGLETRANSLATE(C1155, ""en"", ""tr"")"),"OpenPGP ortak anahtarını yayınla")</f>
        <v>OpenPGP ortak anahtarını yayınla</v>
      </c>
      <c r="AI1155" s="6" t="s">
        <v>23920</v>
      </c>
      <c r="AJ1155" s="6" t="s">
        <v>23921</v>
      </c>
      <c r="AK1155" s="7" t="str">
        <f>IFERROR(__xludf.DUMMYFUNCTION("GOOGLETRANSLATE(C1155, ""en"", ""zh"")"),"发布OpenPGP公钥")</f>
        <v>发布OpenPGP公钥</v>
      </c>
      <c r="AL1155" s="6" t="s">
        <v>23922</v>
      </c>
    </row>
    <row r="1156" ht="15.75" hidden="1" customHeight="1">
      <c r="A1156" s="1" t="s">
        <v>38</v>
      </c>
      <c r="B1156" s="1" t="s">
        <v>23923</v>
      </c>
      <c r="C1156" s="1" t="s">
        <v>23924</v>
      </c>
      <c r="D1156" s="8" t="s">
        <v>23925</v>
      </c>
      <c r="E1156" s="1" t="s">
        <v>23926</v>
      </c>
      <c r="F1156" s="6" t="s">
        <v>23927</v>
      </c>
      <c r="G1156" s="7" t="str">
        <f>IFERROR(__xludf.DUMMYFUNCTION("GOOGLETRANSLATE(C1156, ""en"", ""cs"")"),"Kontakt se přidal do seznamu kontaktů")</f>
        <v>Kontakt se přidal do seznamu kontaktů</v>
      </c>
      <c r="H1156" s="7" t="str">
        <f>IFERROR(__xludf.DUMMYFUNCTION("GOOGLETRANSLATE(C1156, ""en"", ""da"")"),"Kontakt tilføjet dig til kontaktliste")</f>
        <v>Kontakt tilføjet dig til kontaktliste</v>
      </c>
      <c r="I1156" s="1" t="s">
        <v>23928</v>
      </c>
      <c r="J1156" s="6" t="s">
        <v>132</v>
      </c>
      <c r="K1156" s="1" t="s">
        <v>23929</v>
      </c>
      <c r="L1156" s="7" t="str">
        <f>IFERROR(__xludf.DUMMYFUNCTION("GOOGLETRANSLATE(C1156, ""en"", ""fi"")"),"Yhteystiedot Lisätty sinut yhteystietoluetteloon")</f>
        <v>Yhteystiedot Lisätty sinut yhteystietoluetteloon</v>
      </c>
      <c r="M1156" s="1" t="s">
        <v>23930</v>
      </c>
      <c r="N1156" s="6" t="s">
        <v>23931</v>
      </c>
      <c r="O1156" s="6" t="s">
        <v>132</v>
      </c>
      <c r="P1156" s="1" t="s">
        <v>23932</v>
      </c>
      <c r="Q1156" s="9" t="s">
        <v>23933</v>
      </c>
      <c r="R1156" s="1" t="s">
        <v>23934</v>
      </c>
      <c r="S1156" s="6" t="s">
        <v>132</v>
      </c>
      <c r="T1156" s="1" t="s">
        <v>23935</v>
      </c>
      <c r="U1156" s="1" t="s">
        <v>23936</v>
      </c>
      <c r="V1156" s="7" t="str">
        <f>IFERROR(__xludf.DUMMYFUNCTION("GOOGLETRANSLATE(C1156, ""en"", ""ms"")"),"Hubungi menambah anda ke senarai kenalan")</f>
        <v>Hubungi menambah anda ke senarai kenalan</v>
      </c>
      <c r="W1156" s="1" t="s">
        <v>23937</v>
      </c>
      <c r="X1156" s="7" t="str">
        <f>IFERROR(__xludf.DUMMYFUNCTION("GOOGLETRANSLATE(C1156, ""en"", ""no"")"),"Kontakt Lagre deg til kontaktliste")</f>
        <v>Kontakt Lagre deg til kontaktliste</v>
      </c>
      <c r="Y1156" s="1" t="s">
        <v>23938</v>
      </c>
      <c r="Z1156" s="1" t="s">
        <v>23939</v>
      </c>
      <c r="AA1156" s="7" t="str">
        <f>IFERROR(__xludf.DUMMYFUNCTION("GOOGLETRANSLATE(C1156, ""en"", ""ro"")"),"Contactați-vă la lista de contacte")</f>
        <v>Contactați-vă la lista de contacte</v>
      </c>
      <c r="AB1156" s="1" t="s">
        <v>23940</v>
      </c>
      <c r="AC1156" s="1" t="s">
        <v>23941</v>
      </c>
      <c r="AD1156" s="6" t="s">
        <v>132</v>
      </c>
      <c r="AE1156" s="1" t="s">
        <v>23942</v>
      </c>
      <c r="AF1156" s="1" t="s">
        <v>23943</v>
      </c>
      <c r="AG1156" s="6" t="s">
        <v>132</v>
      </c>
      <c r="AH1156" s="7" t="str">
        <f>IFERROR(__xludf.DUMMYFUNCTION("GOOGLETRANSLATE(C1156, ""en"", ""tr"")"),"İletişim listesine başvurun")</f>
        <v>İletişim listesine başvurun</v>
      </c>
      <c r="AI1156" s="6" t="s">
        <v>23944</v>
      </c>
      <c r="AJ1156" s="6" t="s">
        <v>23945</v>
      </c>
      <c r="AK1156" s="7" t="str">
        <f>IFERROR(__xludf.DUMMYFUNCTION("GOOGLETRANSLATE(C1156, ""en"", ""zh"")"),"联系方式已添加您联系人列表")</f>
        <v>联系方式已添加您联系人列表</v>
      </c>
      <c r="AL1156" s="6" t="s">
        <v>23946</v>
      </c>
    </row>
    <row r="1157" ht="15.75" hidden="1" customHeight="1">
      <c r="A1157" s="1" t="s">
        <v>38</v>
      </c>
      <c r="B1157" s="1" t="s">
        <v>23947</v>
      </c>
      <c r="C1157" s="1" t="s">
        <v>23948</v>
      </c>
      <c r="D1157" s="7" t="str">
        <f>IFERROR(__xludf.DUMMYFUNCTION("GOOGLETRANSLATE(C1157, ""en"", ""ar"")"),"اليمن")</f>
        <v>اليمن</v>
      </c>
      <c r="E1157" s="7" t="str">
        <f>IFERROR(__xludf.DUMMYFUNCTION("GOOGLETRANSLATE(C1157, ""en"", ""bg"")"),"Йемен")</f>
        <v>Йемен</v>
      </c>
      <c r="F1157" s="6" t="s">
        <v>132</v>
      </c>
      <c r="G1157" s="7" t="str">
        <f>IFERROR(__xludf.DUMMYFUNCTION("GOOGLETRANSLATE(C1157, ""en"", ""cs"")"),"Jemen")</f>
        <v>Jemen</v>
      </c>
      <c r="H1157" s="7" t="str">
        <f>IFERROR(__xludf.DUMMYFUNCTION("GOOGLETRANSLATE(C1157, ""en"", ""da"")"),"Yemen.")</f>
        <v>Yemen.</v>
      </c>
      <c r="I1157" s="1" t="s">
        <v>23949</v>
      </c>
      <c r="J1157" s="6" t="s">
        <v>132</v>
      </c>
      <c r="K1157" s="1" t="s">
        <v>23948</v>
      </c>
      <c r="L1157" s="7" t="str">
        <f>IFERROR(__xludf.DUMMYFUNCTION("GOOGLETRANSLATE(C1157, ""en"", ""fi"")"),"Jemen")</f>
        <v>Jemen</v>
      </c>
      <c r="M1157" s="1" t="s">
        <v>23950</v>
      </c>
      <c r="N1157" s="6" t="s">
        <v>132</v>
      </c>
      <c r="O1157" s="6" t="s">
        <v>132</v>
      </c>
      <c r="P1157" s="1" t="s">
        <v>23948</v>
      </c>
      <c r="Q1157" s="7" t="str">
        <f>IFERROR(__xludf.DUMMYFUNCTION("GOOGLETRANSLATE(C1157, ""en"", ""in"")"),"Yaman")</f>
        <v>Yaman</v>
      </c>
      <c r="R1157" s="7" t="str">
        <f>IFERROR(__xludf.DUMMYFUNCTION("GOOGLETRANSLATE(C1157, ""en"", ""it"")"),"Yemen.")</f>
        <v>Yemen.</v>
      </c>
      <c r="S1157" s="6" t="s">
        <v>132</v>
      </c>
      <c r="T1157" s="7" t="str">
        <f>IFERROR(__xludf.DUMMYFUNCTION("GOOGLETRANSLATE(C1157, ""en"", ""ja"")"),"イエメン")</f>
        <v>イエメン</v>
      </c>
      <c r="U1157" s="7" t="str">
        <f>IFERROR(__xludf.DUMMYFUNCTION("GOOGLETRANSLATE(C1157, ""en"", ""ko"")"),"예멘")</f>
        <v>예멘</v>
      </c>
      <c r="V1157" s="7" t="str">
        <f>IFERROR(__xludf.DUMMYFUNCTION("GOOGLETRANSLATE(C1157, ""en"", ""ms"")"),"Yaman.")</f>
        <v>Yaman.</v>
      </c>
      <c r="W1157" s="7" t="str">
        <f>IFERROR(__xludf.DUMMYFUNCTION("GOOGLETRANSLATE(C1157, ""en"", ""nl"")"),"Jemen")</f>
        <v>Jemen</v>
      </c>
      <c r="X1157" s="7" t="str">
        <f>IFERROR(__xludf.DUMMYFUNCTION("GOOGLETRANSLATE(C1157, ""en"", ""no"")"),"Jemen")</f>
        <v>Jemen</v>
      </c>
      <c r="Y1157" s="7" t="str">
        <f>IFERROR(__xludf.DUMMYFUNCTION("GOOGLETRANSLATE(C1157, ""en"", ""pl"")"),"Jemen")</f>
        <v>Jemen</v>
      </c>
      <c r="Z1157" s="7" t="str">
        <f>IFERROR(__xludf.DUMMYFUNCTION("GOOGLETRANSLATE(C1157, ""en"", ""pt"")"),"Iémen")</f>
        <v>Iémen</v>
      </c>
      <c r="AA1157" s="7" t="str">
        <f>IFERROR(__xludf.DUMMYFUNCTION("GOOGLETRANSLATE(C1157, ""en"", ""ro"")"),"Yemen")</f>
        <v>Yemen</v>
      </c>
      <c r="AB1157" s="1" t="s">
        <v>23951</v>
      </c>
      <c r="AC1157" s="7" t="str">
        <f>IFERROR(__xludf.DUMMYFUNCTION("GOOGLETRANSLATE(C1157, ""en"", ""sk"")"),"Prsnosť")</f>
        <v>Prsnosť</v>
      </c>
      <c r="AD1157" s="6" t="s">
        <v>132</v>
      </c>
      <c r="AE1157" s="1" t="s">
        <v>23949</v>
      </c>
      <c r="AF1157" s="7" t="str">
        <f>IFERROR(__xludf.DUMMYFUNCTION("GOOGLETRANSLATE(C1157, ""en"", ""sv"")"),"Jemen")</f>
        <v>Jemen</v>
      </c>
      <c r="AG1157" s="6" t="s">
        <v>132</v>
      </c>
      <c r="AH1157" s="7" t="str">
        <f>IFERROR(__xludf.DUMMYFUNCTION("GOOGLETRANSLATE(C1157, ""en"", ""tr"")"),"Yemen")</f>
        <v>Yemen</v>
      </c>
      <c r="AI1157" s="6" t="s">
        <v>132</v>
      </c>
      <c r="AJ1157" s="6" t="s">
        <v>132</v>
      </c>
      <c r="AK1157" s="7" t="str">
        <f>IFERROR(__xludf.DUMMYFUNCTION("GOOGLETRANSLATE(C1157, ""en"", ""zh"")"),"也门")</f>
        <v>也门</v>
      </c>
      <c r="AL1157" s="6" t="s">
        <v>132</v>
      </c>
    </row>
    <row r="1158" ht="15.75" customHeight="1">
      <c r="A1158" s="1" t="s">
        <v>127</v>
      </c>
      <c r="B1158" s="1" t="s">
        <v>23952</v>
      </c>
      <c r="C1158" s="1" t="s">
        <v>3279</v>
      </c>
      <c r="D1158" s="8" t="s">
        <v>23953</v>
      </c>
      <c r="E1158" s="1" t="s">
        <v>23954</v>
      </c>
      <c r="F1158" s="6" t="s">
        <v>132</v>
      </c>
      <c r="G1158" s="1" t="s">
        <v>23955</v>
      </c>
      <c r="H1158" s="1" t="s">
        <v>23956</v>
      </c>
      <c r="I1158" s="1" t="s">
        <v>3279</v>
      </c>
      <c r="J1158" s="6" t="s">
        <v>3279</v>
      </c>
      <c r="K1158" s="1" t="s">
        <v>3279</v>
      </c>
      <c r="L1158" s="1" t="s">
        <v>23957</v>
      </c>
      <c r="M1158" s="1" t="s">
        <v>3279</v>
      </c>
      <c r="N1158" s="6" t="s">
        <v>132</v>
      </c>
      <c r="O1158" s="6" t="s">
        <v>23958</v>
      </c>
      <c r="P1158" s="1" t="s">
        <v>3279</v>
      </c>
      <c r="Q1158" s="1" t="s">
        <v>23959</v>
      </c>
      <c r="R1158" s="1" t="s">
        <v>3279</v>
      </c>
      <c r="S1158" s="10" t="s">
        <v>23960</v>
      </c>
      <c r="T1158" s="1" t="s">
        <v>3279</v>
      </c>
      <c r="U1158" s="1" t="s">
        <v>3279</v>
      </c>
      <c r="V1158" s="1" t="s">
        <v>23959</v>
      </c>
      <c r="W1158" s="1" t="s">
        <v>3279</v>
      </c>
      <c r="X1158" s="1" t="s">
        <v>23956</v>
      </c>
      <c r="Y1158" s="1" t="s">
        <v>3279</v>
      </c>
      <c r="Z1158" s="1" t="s">
        <v>3279</v>
      </c>
      <c r="AA1158" s="1" t="s">
        <v>3279</v>
      </c>
      <c r="AB1158" s="1" t="s">
        <v>23961</v>
      </c>
      <c r="AC1158" s="1" t="s">
        <v>3279</v>
      </c>
      <c r="AD1158" s="6" t="s">
        <v>23962</v>
      </c>
      <c r="AE1158" s="1" t="s">
        <v>3279</v>
      </c>
      <c r="AF1158" s="1" t="s">
        <v>3279</v>
      </c>
      <c r="AG1158" s="6" t="s">
        <v>3279</v>
      </c>
      <c r="AH1158" s="1" t="s">
        <v>23963</v>
      </c>
      <c r="AI1158" s="6" t="s">
        <v>132</v>
      </c>
      <c r="AJ1158" s="6" t="s">
        <v>3279</v>
      </c>
      <c r="AK1158" s="1" t="s">
        <v>23964</v>
      </c>
      <c r="AL1158" s="6" t="s">
        <v>23965</v>
      </c>
    </row>
    <row r="1159" ht="15.75" hidden="1" customHeight="1">
      <c r="A1159" s="1" t="s">
        <v>38</v>
      </c>
      <c r="B1159" s="1" t="s">
        <v>23966</v>
      </c>
      <c r="C1159" s="1" t="s">
        <v>23967</v>
      </c>
      <c r="D1159" s="7" t="str">
        <f>IFERROR(__xludf.DUMMYFUNCTION("GOOGLETRANSLATE(C1159, ""en"", ""ar"")"),"جزر كوكوس (كيلينغ)")</f>
        <v>جزر كوكوس (كيلينغ)</v>
      </c>
      <c r="E1159" s="7" t="str">
        <f>IFERROR(__xludf.DUMMYFUNCTION("GOOGLETRANSLATE(C1159, ""en"", ""bg"")"),"Кокос (Кийлинг) острови")</f>
        <v>Кокос (Кийлинг) острови</v>
      </c>
      <c r="F1159" s="6" t="s">
        <v>132</v>
      </c>
      <c r="G1159" s="7" t="str">
        <f>IFERROR(__xludf.DUMMYFUNCTION("GOOGLETRANSLATE(C1159, ""en"", ""cs"")"),"Cocos (Keeling) Islands")</f>
        <v>Cocos (Keeling) Islands</v>
      </c>
      <c r="H1159" s="7" t="str">
        <f>IFERROR(__xludf.DUMMYFUNCTION("GOOGLETRANSLATE(C1159, ""en"", ""da"")"),"Cocos (Keeling) Islands")</f>
        <v>Cocos (Keeling) Islands</v>
      </c>
      <c r="I1159" s="1" t="s">
        <v>23968</v>
      </c>
      <c r="J1159" s="6" t="s">
        <v>132</v>
      </c>
      <c r="K1159" s="1" t="s">
        <v>23969</v>
      </c>
      <c r="L1159" s="7" t="str">
        <f>IFERROR(__xludf.DUMMYFUNCTION("GOOGLETRANSLATE(C1159, ""en"", ""fi"")"),"Cocos (Keeling) saaret")</f>
        <v>Cocos (Keeling) saaret</v>
      </c>
      <c r="M1159" s="1" t="s">
        <v>23970</v>
      </c>
      <c r="N1159" s="6" t="s">
        <v>132</v>
      </c>
      <c r="O1159" s="6" t="s">
        <v>132</v>
      </c>
      <c r="P1159" s="1" t="s">
        <v>23967</v>
      </c>
      <c r="Q1159" s="7" t="str">
        <f>IFERROR(__xludf.DUMMYFUNCTION("GOOGLETRANSLATE(C1159, ""en"", ""in"")"),"Kepulauan Cocos (Keeling)")</f>
        <v>Kepulauan Cocos (Keeling)</v>
      </c>
      <c r="R1159" s="7" t="str">
        <f>IFERROR(__xludf.DUMMYFUNCTION("GOOGLETRANSLATE(C1159, ""en"", ""it"")"),"Isole di Cocos (Keeling)")</f>
        <v>Isole di Cocos (Keeling)</v>
      </c>
      <c r="S1159" s="6" t="s">
        <v>132</v>
      </c>
      <c r="T1159" s="7" t="str">
        <f>IFERROR(__xludf.DUMMYFUNCTION("GOOGLETRANSLATE(C1159, ""en"", ""ja"")"),"ココス（キーリング）諸島")</f>
        <v>ココス（キーリング）諸島</v>
      </c>
      <c r="U1159" s="7" t="str">
        <f>IFERROR(__xludf.DUMMYFUNCTION("GOOGLETRANSLATE(C1159, ""en"", ""ko"")"),"코코스 (Keeling) 섬")</f>
        <v>코코스 (Keeling) 섬</v>
      </c>
      <c r="V1159" s="7" t="str">
        <f>IFERROR(__xludf.DUMMYFUNCTION("GOOGLETRANSLATE(C1159, ""en"", ""ms"")"),"Kepulauan Cocos (Keeling)")</f>
        <v>Kepulauan Cocos (Keeling)</v>
      </c>
      <c r="W1159" s="7" t="str">
        <f>IFERROR(__xludf.DUMMYFUNCTION("GOOGLETRANSLATE(C1159, ""en"", ""nl"")"),"Cocos (Keeling) -ilanden")</f>
        <v>Cocos (Keeling) -ilanden</v>
      </c>
      <c r="X1159" s="7" t="str">
        <f>IFERROR(__xludf.DUMMYFUNCTION("GOOGLETRANSLATE(C1159, ""en"", ""no"")"),"Cocos (Keeling) Islands")</f>
        <v>Cocos (Keeling) Islands</v>
      </c>
      <c r="Y1159" s="7" t="str">
        <f>IFERROR(__xludf.DUMMYFUNCTION("GOOGLETRANSLATE(C1159, ""en"", ""pl"")"),"Wyspy Cocos (Keeling)")</f>
        <v>Wyspy Cocos (Keeling)</v>
      </c>
      <c r="Z1159" s="7" t="str">
        <f>IFERROR(__xludf.DUMMYFUNCTION("GOOGLETRANSLATE(C1159, ""en"", ""pt"")"),"Ilhas Cocos (Keeling)")</f>
        <v>Ilhas Cocos (Keeling)</v>
      </c>
      <c r="AA1159" s="7" t="str">
        <f>IFERROR(__xludf.DUMMYFUNCTION("GOOGLETRANSLATE(C1159, ""en"", ""ro"")"),"Insulele Cocos (Keeling)")</f>
        <v>Insulele Cocos (Keeling)</v>
      </c>
      <c r="AB1159" s="1" t="s">
        <v>23971</v>
      </c>
      <c r="AC1159" s="7" t="str">
        <f>IFERROR(__xludf.DUMMYFUNCTION("GOOGLETRANSLATE(C1159, ""en"", ""sk"")"),"Kokosové ostrovy (Keeling)")</f>
        <v>Kokosové ostrovy (Keeling)</v>
      </c>
      <c r="AD1159" s="6" t="s">
        <v>132</v>
      </c>
      <c r="AE1159" s="1" t="s">
        <v>23972</v>
      </c>
      <c r="AF1159" s="7" t="str">
        <f>IFERROR(__xludf.DUMMYFUNCTION("GOOGLETRANSLATE(C1159, ""en"", ""sv"")"),"Cocos (Keeling) Islands")</f>
        <v>Cocos (Keeling) Islands</v>
      </c>
      <c r="AG1159" s="6" t="s">
        <v>132</v>
      </c>
      <c r="AH1159" s="7" t="str">
        <f>IFERROR(__xludf.DUMMYFUNCTION("GOOGLETRANSLATE(C1159, ""en"", ""tr"")"),"Cocos (Keeling) Adaları")</f>
        <v>Cocos (Keeling) Adaları</v>
      </c>
      <c r="AI1159" s="6" t="s">
        <v>132</v>
      </c>
      <c r="AJ1159" s="6" t="s">
        <v>132</v>
      </c>
      <c r="AK1159" s="7" t="str">
        <f>IFERROR(__xludf.DUMMYFUNCTION("GOOGLETRANSLATE(C1159, ""en"", ""zh"")"),"Cocos（龙头）群岛")</f>
        <v>Cocos（龙头）群岛</v>
      </c>
      <c r="AL1159" s="6" t="s">
        <v>132</v>
      </c>
    </row>
    <row r="1160" ht="15.75" hidden="1" customHeight="1">
      <c r="A1160" s="1" t="s">
        <v>38</v>
      </c>
      <c r="B1160" s="1" t="s">
        <v>23973</v>
      </c>
      <c r="C1160" s="1" t="s">
        <v>23974</v>
      </c>
      <c r="D1160" s="8" t="s">
        <v>23975</v>
      </c>
      <c r="E1160" s="1" t="s">
        <v>23976</v>
      </c>
      <c r="F1160" s="6" t="s">
        <v>23977</v>
      </c>
      <c r="G1160" s="7" t="str">
        <f>IFERROR(__xludf.DUMMYFUNCTION("GOOGLETRANSLATE(C1160, ""en"", ""cs"")"),"Naposledy viděný před 1 dnem")</f>
        <v>Naposledy viděný před 1 dnem</v>
      </c>
      <c r="H1160" s="7" t="str">
        <f>IFERROR(__xludf.DUMMYFUNCTION("GOOGLETRANSLATE(C1160, ""en"", ""da"")"),"sidst set 1 dag siden")</f>
        <v>sidst set 1 dag siden</v>
      </c>
      <c r="I1160" s="1" t="s">
        <v>23978</v>
      </c>
      <c r="J1160" s="6" t="s">
        <v>132</v>
      </c>
      <c r="K1160" s="1" t="s">
        <v>23979</v>
      </c>
      <c r="L1160" s="7" t="str">
        <f>IFERROR(__xludf.DUMMYFUNCTION("GOOGLETRANSLATE(C1160, ""en"", ""fi"")"),"Viimeksi nähty 1 päivä sitten")</f>
        <v>Viimeksi nähty 1 päivä sitten</v>
      </c>
      <c r="M1160" s="1" t="s">
        <v>23980</v>
      </c>
      <c r="N1160" s="6" t="s">
        <v>23981</v>
      </c>
      <c r="O1160" s="6" t="s">
        <v>132</v>
      </c>
      <c r="P1160" s="1" t="s">
        <v>23982</v>
      </c>
      <c r="Q1160" s="9" t="s">
        <v>23983</v>
      </c>
      <c r="R1160" s="1" t="s">
        <v>23984</v>
      </c>
      <c r="S1160" s="6" t="s">
        <v>132</v>
      </c>
      <c r="T1160" s="1" t="s">
        <v>23985</v>
      </c>
      <c r="U1160" s="1" t="s">
        <v>23986</v>
      </c>
      <c r="V1160" s="7" t="str">
        <f>IFERROR(__xludf.DUMMYFUNCTION("GOOGLETRANSLATE(C1160, ""en"", ""ms"")"),"terakhir dilihat 1 hari yang lalu")</f>
        <v>terakhir dilihat 1 hari yang lalu</v>
      </c>
      <c r="W1160" s="1" t="s">
        <v>23987</v>
      </c>
      <c r="X1160" s="7" t="str">
        <f>IFERROR(__xludf.DUMMYFUNCTION("GOOGLETRANSLATE(C1160, ""en"", ""no"")"),"Sist sett 1 dag siden")</f>
        <v>Sist sett 1 dag siden</v>
      </c>
      <c r="Y1160" s="1" t="s">
        <v>23988</v>
      </c>
      <c r="Z1160" s="1" t="s">
        <v>23989</v>
      </c>
      <c r="AA1160" s="7" t="str">
        <f>IFERROR(__xludf.DUMMYFUNCTION("GOOGLETRANSLATE(C1160, ""en"", ""ro"")"),"a văzut ultima dată acum o zi")</f>
        <v>a văzut ultima dată acum o zi</v>
      </c>
      <c r="AB1160" s="1" t="s">
        <v>23990</v>
      </c>
      <c r="AC1160" s="1" t="s">
        <v>23991</v>
      </c>
      <c r="AD1160" s="6" t="s">
        <v>132</v>
      </c>
      <c r="AE1160" s="1" t="s">
        <v>23992</v>
      </c>
      <c r="AF1160" s="1" t="s">
        <v>23993</v>
      </c>
      <c r="AG1160" s="6" t="s">
        <v>132</v>
      </c>
      <c r="AH1160" s="7" t="str">
        <f>IFERROR(__xludf.DUMMYFUNCTION("GOOGLETRANSLATE(C1160, ""en"", ""tr"")"),"en son 1 gün önce görüldü")</f>
        <v>en son 1 gün önce görüldü</v>
      </c>
      <c r="AI1160" s="6" t="s">
        <v>23994</v>
      </c>
      <c r="AJ1160" s="6" t="s">
        <v>23995</v>
      </c>
      <c r="AK1160" s="7" t="str">
        <f>IFERROR(__xludf.DUMMYFUNCTION("GOOGLETRANSLATE(C1160, ""en"", ""zh"")"),"最后1天前见过")</f>
        <v>最后1天前见过</v>
      </c>
      <c r="AL1160" s="6" t="s">
        <v>23996</v>
      </c>
    </row>
    <row r="1161" ht="15.75" hidden="1" customHeight="1">
      <c r="A1161" s="1" t="s">
        <v>38</v>
      </c>
      <c r="B1161" s="1" t="s">
        <v>23997</v>
      </c>
      <c r="C1161" s="1" t="s">
        <v>23998</v>
      </c>
      <c r="D1161" s="8" t="s">
        <v>23999</v>
      </c>
      <c r="E1161" s="1" t="s">
        <v>24000</v>
      </c>
      <c r="F1161" s="6" t="s">
        <v>24001</v>
      </c>
      <c r="G1161" s="7" t="str">
        <f>IFERROR(__xludf.DUMMYFUNCTION("GOOGLETRANSLATE(C1161, ""en"", ""cs"")"),"Udržujte službu v popředí")</f>
        <v>Udržujte službu v popředí</v>
      </c>
      <c r="H1161" s="7" t="str">
        <f>IFERROR(__xludf.DUMMYFUNCTION("GOOGLETRANSLATE(C1161, ""en"", ""da"")"),"Fortsæt service i forgrunden")</f>
        <v>Fortsæt service i forgrunden</v>
      </c>
      <c r="I1161" s="1" t="s">
        <v>24002</v>
      </c>
      <c r="J1161" s="6" t="s">
        <v>132</v>
      </c>
      <c r="K1161" s="1" t="s">
        <v>8385</v>
      </c>
      <c r="L1161" s="7" t="str">
        <f>IFERROR(__xludf.DUMMYFUNCTION("GOOGLETRANSLATE(C1161, ""en"", ""fi"")"),"Pidä palvelua etualalla")</f>
        <v>Pidä palvelua etualalla</v>
      </c>
      <c r="M1161" s="1" t="s">
        <v>24003</v>
      </c>
      <c r="N1161" s="6" t="s">
        <v>24004</v>
      </c>
      <c r="O1161" s="6" t="s">
        <v>132</v>
      </c>
      <c r="P1161" s="1" t="s">
        <v>24005</v>
      </c>
      <c r="Q1161" s="9" t="s">
        <v>24006</v>
      </c>
      <c r="R1161" s="1" t="s">
        <v>24007</v>
      </c>
      <c r="S1161" s="6" t="s">
        <v>132</v>
      </c>
      <c r="T1161" s="1" t="s">
        <v>24008</v>
      </c>
      <c r="U1161" s="1" t="s">
        <v>24009</v>
      </c>
      <c r="V1161" s="7" t="str">
        <f>IFERROR(__xludf.DUMMYFUNCTION("GOOGLETRANSLATE(C1161, ""en"", ""ms"")"),"Simpan perkhidmatan di latar depan")</f>
        <v>Simpan perkhidmatan di latar depan</v>
      </c>
      <c r="W1161" s="1" t="s">
        <v>24010</v>
      </c>
      <c r="X1161" s="7" t="str">
        <f>IFERROR(__xludf.DUMMYFUNCTION("GOOGLETRANSLATE(C1161, ""en"", ""no"")"),"Hold tjenesten i forgrunnen")</f>
        <v>Hold tjenesten i forgrunnen</v>
      </c>
      <c r="Y1161" s="1" t="s">
        <v>8391</v>
      </c>
      <c r="Z1161" s="1" t="s">
        <v>24011</v>
      </c>
      <c r="AA1161" s="7" t="str">
        <f>IFERROR(__xludf.DUMMYFUNCTION("GOOGLETRANSLATE(C1161, ""en"", ""ro"")"),"Păstrați serviciul în prim-plan")</f>
        <v>Păstrați serviciul în prim-plan</v>
      </c>
      <c r="AB1161" s="1" t="s">
        <v>24012</v>
      </c>
      <c r="AC1161" s="1" t="s">
        <v>24013</v>
      </c>
      <c r="AD1161" s="6" t="s">
        <v>132</v>
      </c>
      <c r="AE1161" s="1" t="s">
        <v>24014</v>
      </c>
      <c r="AF1161" s="1" t="s">
        <v>24015</v>
      </c>
      <c r="AG1161" s="6" t="s">
        <v>132</v>
      </c>
      <c r="AH1161" s="7" t="str">
        <f>IFERROR(__xludf.DUMMYFUNCTION("GOOGLETRANSLATE(C1161, ""en"", ""tr"")"),"Hizmeti ön planda tutun")</f>
        <v>Hizmeti ön planda tutun</v>
      </c>
      <c r="AI1161" s="6" t="s">
        <v>24016</v>
      </c>
      <c r="AJ1161" s="6" t="s">
        <v>24017</v>
      </c>
      <c r="AK1161" s="7" t="str">
        <f>IFERROR(__xludf.DUMMYFUNCTION("GOOGLETRANSLATE(C1161, ""en"", ""zh"")"),"保持前景")</f>
        <v>保持前景</v>
      </c>
      <c r="AL1161" s="6" t="s">
        <v>24018</v>
      </c>
    </row>
    <row r="1162" ht="15.75" customHeight="1">
      <c r="A1162" s="1" t="s">
        <v>127</v>
      </c>
      <c r="B1162" s="1" t="s">
        <v>24019</v>
      </c>
      <c r="C1162" s="1" t="s">
        <v>24020</v>
      </c>
      <c r="D1162" s="8" t="s">
        <v>24021</v>
      </c>
      <c r="E1162" s="1" t="s">
        <v>24022</v>
      </c>
      <c r="F1162" s="6" t="s">
        <v>132</v>
      </c>
      <c r="G1162" s="1" t="s">
        <v>24023</v>
      </c>
      <c r="H1162" s="1" t="s">
        <v>24024</v>
      </c>
      <c r="I1162" s="1" t="s">
        <v>24025</v>
      </c>
      <c r="J1162" s="6" t="s">
        <v>24026</v>
      </c>
      <c r="K1162" s="1" t="s">
        <v>24027</v>
      </c>
      <c r="L1162" s="1" t="s">
        <v>24028</v>
      </c>
      <c r="M1162" s="1" t="s">
        <v>24029</v>
      </c>
      <c r="N1162" s="6" t="s">
        <v>132</v>
      </c>
      <c r="O1162" s="6" t="s">
        <v>24030</v>
      </c>
      <c r="P1162" s="1" t="s">
        <v>24031</v>
      </c>
      <c r="Q1162" s="1" t="s">
        <v>24032</v>
      </c>
      <c r="R1162" s="1" t="s">
        <v>24033</v>
      </c>
      <c r="S1162" s="10" t="s">
        <v>24034</v>
      </c>
      <c r="T1162" s="1" t="s">
        <v>24035</v>
      </c>
      <c r="U1162" s="1" t="s">
        <v>24036</v>
      </c>
      <c r="V1162" s="1" t="s">
        <v>24037</v>
      </c>
      <c r="W1162" s="1" t="s">
        <v>24038</v>
      </c>
      <c r="X1162" s="1" t="s">
        <v>24039</v>
      </c>
      <c r="Y1162" s="1" t="s">
        <v>24040</v>
      </c>
      <c r="Z1162" s="1" t="s">
        <v>24041</v>
      </c>
      <c r="AA1162" s="1" t="s">
        <v>24042</v>
      </c>
      <c r="AB1162" s="1" t="s">
        <v>24043</v>
      </c>
      <c r="AC1162" s="1" t="s">
        <v>24044</v>
      </c>
      <c r="AD1162" s="6" t="s">
        <v>24045</v>
      </c>
      <c r="AE1162" s="1" t="s">
        <v>24046</v>
      </c>
      <c r="AF1162" s="1" t="s">
        <v>24047</v>
      </c>
      <c r="AG1162" s="6" t="s">
        <v>24048</v>
      </c>
      <c r="AH1162" s="1" t="s">
        <v>24049</v>
      </c>
      <c r="AI1162" s="6" t="s">
        <v>132</v>
      </c>
      <c r="AJ1162" s="6" t="s">
        <v>24050</v>
      </c>
      <c r="AK1162" s="1" t="s">
        <v>24051</v>
      </c>
      <c r="AL1162" s="6" t="s">
        <v>132</v>
      </c>
    </row>
    <row r="1163" ht="15.75" customHeight="1">
      <c r="A1163" s="1" t="s">
        <v>127</v>
      </c>
      <c r="B1163" s="1" t="s">
        <v>24052</v>
      </c>
      <c r="C1163" s="1" t="s">
        <v>18922</v>
      </c>
      <c r="D1163" s="8" t="s">
        <v>18923</v>
      </c>
      <c r="E1163" s="1" t="s">
        <v>18924</v>
      </c>
      <c r="F1163" s="6" t="s">
        <v>132</v>
      </c>
      <c r="G1163" s="1" t="s">
        <v>24053</v>
      </c>
      <c r="H1163" s="1" t="s">
        <v>18926</v>
      </c>
      <c r="I1163" s="1" t="s">
        <v>18927</v>
      </c>
      <c r="J1163" s="6" t="s">
        <v>18928</v>
      </c>
      <c r="K1163" s="1" t="s">
        <v>18929</v>
      </c>
      <c r="L1163" s="1" t="s">
        <v>18930</v>
      </c>
      <c r="M1163" s="1" t="s">
        <v>24054</v>
      </c>
      <c r="N1163" s="6" t="s">
        <v>132</v>
      </c>
      <c r="O1163" s="6" t="s">
        <v>18932</v>
      </c>
      <c r="P1163" s="1" t="s">
        <v>24055</v>
      </c>
      <c r="Q1163" s="1" t="s">
        <v>18933</v>
      </c>
      <c r="R1163" s="1" t="s">
        <v>18934</v>
      </c>
      <c r="S1163" s="10" t="s">
        <v>18935</v>
      </c>
      <c r="T1163" s="1" t="s">
        <v>18936</v>
      </c>
      <c r="U1163" s="1" t="s">
        <v>2499</v>
      </c>
      <c r="V1163" s="1" t="s">
        <v>18933</v>
      </c>
      <c r="W1163" s="1" t="s">
        <v>24056</v>
      </c>
      <c r="X1163" s="1" t="s">
        <v>18938</v>
      </c>
      <c r="Y1163" s="1" t="s">
        <v>18939</v>
      </c>
      <c r="Z1163" s="1" t="s">
        <v>18940</v>
      </c>
      <c r="AA1163" s="1" t="s">
        <v>18941</v>
      </c>
      <c r="AB1163" s="1" t="s">
        <v>18942</v>
      </c>
      <c r="AC1163" s="1" t="s">
        <v>18925</v>
      </c>
      <c r="AD1163" s="6" t="s">
        <v>18943</v>
      </c>
      <c r="AE1163" s="1" t="s">
        <v>6362</v>
      </c>
      <c r="AF1163" s="1" t="s">
        <v>18945</v>
      </c>
      <c r="AG1163" s="6" t="s">
        <v>18946</v>
      </c>
      <c r="AH1163" s="1" t="s">
        <v>18947</v>
      </c>
      <c r="AI1163" s="6" t="s">
        <v>132</v>
      </c>
      <c r="AJ1163" s="6" t="s">
        <v>18948</v>
      </c>
      <c r="AK1163" s="1" t="s">
        <v>18936</v>
      </c>
      <c r="AL1163" s="6" t="s">
        <v>132</v>
      </c>
    </row>
    <row r="1164" ht="15.75" hidden="1" customHeight="1">
      <c r="A1164" s="1" t="s">
        <v>38</v>
      </c>
      <c r="B1164" s="1" t="s">
        <v>24057</v>
      </c>
      <c r="C1164" s="1" t="s">
        <v>24058</v>
      </c>
      <c r="D1164" s="7" t="str">
        <f>IFERROR(__xludf.DUMMYFUNCTION("GOOGLETRANSLATE(C1164, ""en"", ""ar"")"),"تحديث")</f>
        <v>تحديث</v>
      </c>
      <c r="E1164" s="1" t="s">
        <v>1570</v>
      </c>
      <c r="F1164" s="6" t="s">
        <v>132</v>
      </c>
      <c r="G1164" s="7" t="str">
        <f>IFERROR(__xludf.DUMMYFUNCTION("GOOGLETRANSLATE(C1164, ""en"", ""cs"")"),"Aktualizace")</f>
        <v>Aktualizace</v>
      </c>
      <c r="H1164" s="7" t="str">
        <f>IFERROR(__xludf.DUMMYFUNCTION("GOOGLETRANSLATE(C1164, ""en"", ""da"")"),"UPDATE.")</f>
        <v>UPDATE.</v>
      </c>
      <c r="I1164" s="1" t="s">
        <v>24058</v>
      </c>
      <c r="J1164" s="6" t="s">
        <v>132</v>
      </c>
      <c r="K1164" s="1" t="s">
        <v>1575</v>
      </c>
      <c r="L1164" s="7" t="str">
        <f>IFERROR(__xludf.DUMMYFUNCTION("GOOGLETRANSLATE(C1164, ""en"", ""fi"")"),"Päivittää")</f>
        <v>Päivittää</v>
      </c>
      <c r="M1164" s="7" t="str">
        <f>IFERROR(__xludf.DUMMYFUNCTION("GOOGLETRANSLATE(C1164, ""en"", ""fr"")"),"Mettre à jour")</f>
        <v>Mettre à jour</v>
      </c>
      <c r="N1164" s="6" t="s">
        <v>1575</v>
      </c>
      <c r="O1164" s="6" t="s">
        <v>132</v>
      </c>
      <c r="P1164" s="1" t="s">
        <v>1579</v>
      </c>
      <c r="Q1164" s="7" t="str">
        <f>IFERROR(__xludf.DUMMYFUNCTION("GOOGLETRANSLATE(C1164, ""en"", ""in"")"),"Memperbarui")</f>
        <v>Memperbarui</v>
      </c>
      <c r="R1164" s="1" t="s">
        <v>22516</v>
      </c>
      <c r="S1164" s="6" t="s">
        <v>132</v>
      </c>
      <c r="T1164" s="7" t="str">
        <f>IFERROR(__xludf.DUMMYFUNCTION("GOOGLETRANSLATE(C1164, ""en"", ""ja"")"),"更新")</f>
        <v>更新</v>
      </c>
      <c r="U1164" s="7" t="str">
        <f>IFERROR(__xludf.DUMMYFUNCTION("GOOGLETRANSLATE(C1164, ""en"", ""ko"")"),"최신 정보")</f>
        <v>최신 정보</v>
      </c>
      <c r="V1164" s="7" t="str">
        <f>IFERROR(__xludf.DUMMYFUNCTION("GOOGLETRANSLATE(C1164, ""en"", ""ms"")"),"Kemas kini")</f>
        <v>Kemas kini</v>
      </c>
      <c r="W1164" s="1" t="s">
        <v>24059</v>
      </c>
      <c r="X1164" s="7" t="str">
        <f>IFERROR(__xludf.DUMMYFUNCTION("GOOGLETRANSLATE(C1164, ""en"", ""no"")"),"Oppdater")</f>
        <v>Oppdater</v>
      </c>
      <c r="Y1164" s="1" t="s">
        <v>24060</v>
      </c>
      <c r="Z1164" s="7" t="str">
        <f>IFERROR(__xludf.DUMMYFUNCTION("GOOGLETRANSLATE(C1164, ""en"", ""pt"")"),"Atualizar")</f>
        <v>Atualizar</v>
      </c>
      <c r="AA1164" s="7" t="str">
        <f>IFERROR(__xludf.DUMMYFUNCTION("GOOGLETRANSLATE(C1164, ""en"", ""ro"")"),"Actualizați")</f>
        <v>Actualizați</v>
      </c>
      <c r="AB1164" s="7" t="str">
        <f>IFERROR(__xludf.DUMMYFUNCTION("GOOGLETRANSLATE(C1164, ""en"", ""ru"")"),"Обновлять")</f>
        <v>Обновлять</v>
      </c>
      <c r="AC1164" s="7" t="str">
        <f>IFERROR(__xludf.DUMMYFUNCTION("GOOGLETRANSLATE(C1164, ""en"", ""sk"")"),"Aktualizovať")</f>
        <v>Aktualizovať</v>
      </c>
      <c r="AD1164" s="6" t="s">
        <v>132</v>
      </c>
      <c r="AE1164" s="7" t="str">
        <f>IFERROR(__xludf.DUMMYFUNCTION("GOOGLETRANSLATE(C1164, ""en"", ""sr"")"),"ажурирање")</f>
        <v>ажурирање</v>
      </c>
      <c r="AF1164" s="7" t="str">
        <f>IFERROR(__xludf.DUMMYFUNCTION("GOOGLETRANSLATE(C1164, ""en"", ""sv"")"),"Uppdatering")</f>
        <v>Uppdatering</v>
      </c>
      <c r="AG1164" s="6" t="s">
        <v>132</v>
      </c>
      <c r="AH1164" s="7" t="str">
        <f>IFERROR(__xludf.DUMMYFUNCTION("GOOGLETRANSLATE(C1164, ""en"", ""tr"")"),"Güncelleme")</f>
        <v>Güncelleme</v>
      </c>
      <c r="AI1164" s="6" t="s">
        <v>132</v>
      </c>
      <c r="AJ1164" s="6" t="s">
        <v>132</v>
      </c>
      <c r="AK1164" s="7" t="str">
        <f>IFERROR(__xludf.DUMMYFUNCTION("GOOGLETRANSLATE(C1164, ""en"", ""zh"")"),"更新")</f>
        <v>更新</v>
      </c>
      <c r="AL1164" s="6" t="s">
        <v>132</v>
      </c>
    </row>
    <row r="1165" ht="15.75" hidden="1" customHeight="1">
      <c r="A1165" s="1" t="s">
        <v>38</v>
      </c>
      <c r="B1165" s="1" t="s">
        <v>24061</v>
      </c>
      <c r="C1165" s="1" t="s">
        <v>24062</v>
      </c>
      <c r="D1165" s="8" t="s">
        <v>24063</v>
      </c>
      <c r="E1165" s="1" t="s">
        <v>24064</v>
      </c>
      <c r="F1165" s="6" t="s">
        <v>24065</v>
      </c>
      <c r="G1165" s="7" t="str">
        <f>IFERROR(__xludf.DUMMYFUNCTION("GOOGLETRANSLATE(C1165, ""en"", ""cs"")"),"Dostupnost")</f>
        <v>Dostupnost</v>
      </c>
      <c r="H1165" s="7" t="str">
        <f>IFERROR(__xludf.DUMMYFUNCTION("GOOGLETRANSLATE(C1165, ""en"", ""da"")"),"Tilgængelighed")</f>
        <v>Tilgængelighed</v>
      </c>
      <c r="I1165" s="1" t="s">
        <v>24066</v>
      </c>
      <c r="J1165" s="6" t="s">
        <v>132</v>
      </c>
      <c r="K1165" s="1" t="s">
        <v>24067</v>
      </c>
      <c r="L1165" s="7" t="str">
        <f>IFERROR(__xludf.DUMMYFUNCTION("GOOGLETRANSLATE(C1165, ""en"", ""fi"")"),"Saatavuus")</f>
        <v>Saatavuus</v>
      </c>
      <c r="M1165" s="1" t="s">
        <v>24068</v>
      </c>
      <c r="N1165" s="6" t="s">
        <v>24069</v>
      </c>
      <c r="O1165" s="6" t="s">
        <v>132</v>
      </c>
      <c r="P1165" s="1" t="s">
        <v>24070</v>
      </c>
      <c r="Q1165" s="7" t="str">
        <f>IFERROR(__xludf.DUMMYFUNCTION("GOOGLETRANSLATE(C1165, ""en"", ""in"")"),"Ketersediaan")</f>
        <v>Ketersediaan</v>
      </c>
      <c r="R1165" s="1" t="s">
        <v>24071</v>
      </c>
      <c r="S1165" s="6" t="s">
        <v>132</v>
      </c>
      <c r="T1165" s="7" t="str">
        <f>IFERROR(__xludf.DUMMYFUNCTION("GOOGLETRANSLATE(C1165, ""en"", ""ja"")"),"可用性")</f>
        <v>可用性</v>
      </c>
      <c r="U1165" s="7" t="str">
        <f>IFERROR(__xludf.DUMMYFUNCTION("GOOGLETRANSLATE(C1165, ""en"", ""ko"")"),"유효성")</f>
        <v>유효성</v>
      </c>
      <c r="V1165" s="7" t="str">
        <f>IFERROR(__xludf.DUMMYFUNCTION("GOOGLETRANSLATE(C1165, ""en"", ""ms"")"),"Ketersediaan")</f>
        <v>Ketersediaan</v>
      </c>
      <c r="W1165" s="1" t="s">
        <v>24072</v>
      </c>
      <c r="X1165" s="7" t="str">
        <f>IFERROR(__xludf.DUMMYFUNCTION("GOOGLETRANSLATE(C1165, ""en"", ""no"")"),"Tilgjengelighet")</f>
        <v>Tilgjengelighet</v>
      </c>
      <c r="Y1165" s="1" t="s">
        <v>24073</v>
      </c>
      <c r="Z1165" s="1" t="s">
        <v>24069</v>
      </c>
      <c r="AA1165" s="7" t="str">
        <f>IFERROR(__xludf.DUMMYFUNCTION("GOOGLETRANSLATE(C1165, ""en"", ""ro"")"),"Disponibilitate")</f>
        <v>Disponibilitate</v>
      </c>
      <c r="AB1165" s="1" t="s">
        <v>24074</v>
      </c>
      <c r="AC1165" s="7" t="str">
        <f>IFERROR(__xludf.DUMMYFUNCTION("GOOGLETRANSLATE(C1165, ""en"", ""sk"")"),"Dostupnosť")</f>
        <v>Dostupnosť</v>
      </c>
      <c r="AD1165" s="6" t="s">
        <v>132</v>
      </c>
      <c r="AE1165" s="1" t="s">
        <v>24075</v>
      </c>
      <c r="AF1165" s="7" t="str">
        <f>IFERROR(__xludf.DUMMYFUNCTION("GOOGLETRANSLATE(C1165, ""en"", ""sv"")"),"Tillgänglighet")</f>
        <v>Tillgänglighet</v>
      </c>
      <c r="AG1165" s="6" t="s">
        <v>132</v>
      </c>
      <c r="AH1165" s="7" t="str">
        <f>IFERROR(__xludf.DUMMYFUNCTION("GOOGLETRANSLATE(C1165, ""en"", ""tr"")"),"Kullanılabilirlik")</f>
        <v>Kullanılabilirlik</v>
      </c>
      <c r="AI1165" s="6" t="s">
        <v>132</v>
      </c>
      <c r="AJ1165" s="6" t="s">
        <v>132</v>
      </c>
      <c r="AK1165" s="7" t="str">
        <f>IFERROR(__xludf.DUMMYFUNCTION("GOOGLETRANSLATE(C1165, ""en"", ""zh"")"),"可用性")</f>
        <v>可用性</v>
      </c>
      <c r="AL1165" s="6" t="s">
        <v>132</v>
      </c>
    </row>
    <row r="1166" ht="15.75" hidden="1" customHeight="1">
      <c r="A1166" s="1" t="s">
        <v>38</v>
      </c>
      <c r="B1166" s="1" t="s">
        <v>24076</v>
      </c>
      <c r="C1166" s="1" t="s">
        <v>24077</v>
      </c>
      <c r="D1166" s="8" t="s">
        <v>24078</v>
      </c>
      <c r="E1166" s="1" t="s">
        <v>24079</v>
      </c>
      <c r="F1166" s="6" t="s">
        <v>24080</v>
      </c>
      <c r="G1166" s="7" t="str">
        <f>IFERROR(__xludf.DUMMYFUNCTION("GOOGLETRANSLATE(C1166, ""en"", ""cs"")"),"Dlouho")</f>
        <v>Dlouho</v>
      </c>
      <c r="H1166" s="7" t="str">
        <f>IFERROR(__xludf.DUMMYFUNCTION("GOOGLETRANSLATE(C1166, ""en"", ""da"")"),"Lang")</f>
        <v>Lang</v>
      </c>
      <c r="I1166" s="1" t="s">
        <v>24081</v>
      </c>
      <c r="J1166" s="6" t="s">
        <v>132</v>
      </c>
      <c r="K1166" s="1" t="s">
        <v>24082</v>
      </c>
      <c r="L1166" s="7" t="str">
        <f>IFERROR(__xludf.DUMMYFUNCTION("GOOGLETRANSLATE(C1166, ""en"", ""fi"")"),"Pitkä")</f>
        <v>Pitkä</v>
      </c>
      <c r="M1166" s="1" t="s">
        <v>24083</v>
      </c>
      <c r="N1166" s="6" t="s">
        <v>24084</v>
      </c>
      <c r="O1166" s="6" t="s">
        <v>132</v>
      </c>
      <c r="P1166" s="1" t="s">
        <v>24085</v>
      </c>
      <c r="Q1166" s="9" t="s">
        <v>24086</v>
      </c>
      <c r="R1166" s="1" t="s">
        <v>24087</v>
      </c>
      <c r="S1166" s="6" t="s">
        <v>132</v>
      </c>
      <c r="T1166" s="1" t="s">
        <v>24088</v>
      </c>
      <c r="U1166" s="1" t="s">
        <v>24089</v>
      </c>
      <c r="V1166" s="7" t="str">
        <f>IFERROR(__xludf.DUMMYFUNCTION("GOOGLETRANSLATE(C1166, ""en"", ""ms"")"),"LONG")</f>
        <v>LONG</v>
      </c>
      <c r="W1166" s="1" t="s">
        <v>24090</v>
      </c>
      <c r="X1166" s="7" t="str">
        <f>IFERROR(__xludf.DUMMYFUNCTION("GOOGLETRANSLATE(C1166, ""en"", ""no"")"),"Lang")</f>
        <v>Lang</v>
      </c>
      <c r="Y1166" s="1" t="s">
        <v>24091</v>
      </c>
      <c r="Z1166" s="1" t="s">
        <v>24084</v>
      </c>
      <c r="AA1166" s="7" t="str">
        <f>IFERROR(__xludf.DUMMYFUNCTION("GOOGLETRANSLATE(C1166, ""en"", ""ro"")"),"Lung")</f>
        <v>Lung</v>
      </c>
      <c r="AB1166" s="1" t="s">
        <v>24092</v>
      </c>
      <c r="AC1166" s="7" t="str">
        <f>IFERROR(__xludf.DUMMYFUNCTION("GOOGLETRANSLATE(C1166, ""en"", ""sk"")"),"Dlhý")</f>
        <v>Dlhý</v>
      </c>
      <c r="AD1166" s="6" t="s">
        <v>132</v>
      </c>
      <c r="AE1166" s="1" t="s">
        <v>24093</v>
      </c>
      <c r="AF1166" s="1" t="s">
        <v>24094</v>
      </c>
      <c r="AG1166" s="6" t="s">
        <v>132</v>
      </c>
      <c r="AH1166" s="7" t="str">
        <f>IFERROR(__xludf.DUMMYFUNCTION("GOOGLETRANSLATE(C1166, ""en"", ""tr"")"),"Uzun")</f>
        <v>Uzun</v>
      </c>
      <c r="AI1166" s="6" t="s">
        <v>24095</v>
      </c>
      <c r="AJ1166" s="6" t="s">
        <v>132</v>
      </c>
      <c r="AK1166" s="7" t="str">
        <f>IFERROR(__xludf.DUMMYFUNCTION("GOOGLETRANSLATE(C1166, ""en"", ""zh"")"),"长")</f>
        <v>长</v>
      </c>
      <c r="AL1166" s="6" t="s">
        <v>24088</v>
      </c>
    </row>
    <row r="1167" ht="15.75" hidden="1" customHeight="1">
      <c r="A1167" s="1" t="s">
        <v>38</v>
      </c>
      <c r="B1167" s="1" t="s">
        <v>24096</v>
      </c>
      <c r="C1167" s="1" t="s">
        <v>24097</v>
      </c>
      <c r="D1167" s="7" t="str">
        <f>IFERROR(__xludf.DUMMYFUNCTION("GOOGLETRANSLATE(C1167, ""en"", ""ar"")"),"جمهورية (الشمال) كوريا الديمقراطية")</f>
        <v>جمهورية (الشمال) كوريا الديمقراطية</v>
      </c>
      <c r="E1167" s="7" t="str">
        <f>IFERROR(__xludf.DUMMYFUNCTION("GOOGLETRANSLATE(C1167, ""en"", ""bg"")"),"Корея, демократична народна република (север)")</f>
        <v>Корея, демократична народна република (север)</v>
      </c>
      <c r="F1167" s="6" t="s">
        <v>132</v>
      </c>
      <c r="G1167" s="7" t="str">
        <f>IFERROR(__xludf.DUMMYFUNCTION("GOOGLETRANSLATE(C1167, ""en"", ""cs"")"),"Korea, demokratická republika (sever)")</f>
        <v>Korea, demokratická republika (sever)</v>
      </c>
      <c r="H1167" s="13" t="s">
        <v>24098</v>
      </c>
      <c r="I1167" s="1" t="s">
        <v>24099</v>
      </c>
      <c r="J1167" s="6" t="s">
        <v>132</v>
      </c>
      <c r="K1167" s="1" t="s">
        <v>24100</v>
      </c>
      <c r="L1167" s="7" t="str">
        <f>IFERROR(__xludf.DUMMYFUNCTION("GOOGLETRANSLATE(C1167, ""en"", ""fi"")"),"Korea, demokraattinen kansalainen (pohjois-)")</f>
        <v>Korea, demokraattinen kansalainen (pohjois-)</v>
      </c>
      <c r="M1167" s="1" t="s">
        <v>24101</v>
      </c>
      <c r="N1167" s="6" t="s">
        <v>132</v>
      </c>
      <c r="O1167" s="6" t="s">
        <v>132</v>
      </c>
      <c r="P1167" s="1" t="s">
        <v>24097</v>
      </c>
      <c r="Q1167" s="7" t="str">
        <f>IFERROR(__xludf.DUMMYFUNCTION("GOOGLETRANSLATE(C1167, ""en"", ""in"")"),"Republik Korea, Republik Demokratik (Utara)")</f>
        <v>Republik Korea, Republik Demokratik (Utara)</v>
      </c>
      <c r="R1167" s="7" t="str">
        <f>IFERROR(__xludf.DUMMYFUNCTION("GOOGLETRANSLATE(C1167, ""en"", ""it"")"),"Corea, Repubblica Democratica del popolo di (Nord)")</f>
        <v>Corea, Repubblica Democratica del popolo di (Nord)</v>
      </c>
      <c r="S1167" s="6" t="s">
        <v>132</v>
      </c>
      <c r="T1167" s="7" t="str">
        <f>IFERROR(__xludf.DUMMYFUNCTION("GOOGLETRANSLATE(C1167, ""en"", ""ja"")"),"韓国、民主党民共和国（北）")</f>
        <v>韓国、民主党民共和国（北）</v>
      </c>
      <c r="U1167" s="7" t="str">
        <f>IFERROR(__xludf.DUMMYFUNCTION("GOOGLETRANSLATE(C1167, ""en"", ""ko"")"),"한국, 민주주의 인민 공화국 (북쪽)")</f>
        <v>한국, 민주주의 인민 공화국 (북쪽)</v>
      </c>
      <c r="V1167" s="7" t="str">
        <f>IFERROR(__xludf.DUMMYFUNCTION("GOOGLETRANSLATE(C1167, ""en"", ""ms"")"),"Korea, Republik Demokrat Rakyat (Utara)")</f>
        <v>Korea, Republik Demokrat Rakyat (Utara)</v>
      </c>
      <c r="W1167" s="7" t="str">
        <f>IFERROR(__xludf.DUMMYFUNCTION("GOOGLETRANSLATE(C1167, ""en"", ""nl"")"),"Korea, Democratische People \ 'S Republic of (North)")</f>
        <v>Korea, Democratische People \ 'S Republic of (North)</v>
      </c>
      <c r="X1167" s="7" t="str">
        <f>IFERROR(__xludf.DUMMYFUNCTION("GOOGLETRANSLATE(C1167, ""en"", ""no"")"),"Korea, demokratiske menneskers republikk (nord)")</f>
        <v>Korea, demokratiske menneskers republikk (nord)</v>
      </c>
      <c r="Y1167" s="7" t="str">
        <f>IFERROR(__xludf.DUMMYFUNCTION("GOOGLETRANSLATE(C1167, ""en"", ""pl"")"),"Korea, Republika Demokratyczna (północ)")</f>
        <v>Korea, Republika Demokratyczna (północ)</v>
      </c>
      <c r="Z1167" s="7" t="str">
        <f>IFERROR(__xludf.DUMMYFUNCTION("GOOGLETRANSLATE(C1167, ""en"", ""pt"")"),"Coréia, República do Povo Democrático (Norte)")</f>
        <v>Coréia, República do Povo Democrático (Norte)</v>
      </c>
      <c r="AA1167" s="7" t="str">
        <f>IFERROR(__xludf.DUMMYFUNCTION("GOOGLETRANSLATE(C1167, ""en"", ""ro"")"),"Coreea, Republica Moldova democratică (nord)")</f>
        <v>Coreea, Republica Moldova democratică (nord)</v>
      </c>
      <c r="AB1167" s="1" t="s">
        <v>24102</v>
      </c>
      <c r="AC1167" s="7" t="str">
        <f>IFERROR(__xludf.DUMMYFUNCTION("GOOGLETRANSLATE(C1167, ""en"", ""sk"")"),"Kórea, Demokratická ľudová republika (sever)")</f>
        <v>Kórea, Demokratická ľudová republika (sever)</v>
      </c>
      <c r="AD1167" s="6" t="s">
        <v>132</v>
      </c>
      <c r="AE1167" s="1" t="s">
        <v>24103</v>
      </c>
      <c r="AF1167" s="7" t="str">
        <f>IFERROR(__xludf.DUMMYFUNCTION("GOOGLETRANSLATE(C1167, ""en"", ""sv"")"),"Korea, demokratiska människors republik (norr)")</f>
        <v>Korea, demokratiska människors republik (norr)</v>
      </c>
      <c r="AG1167" s="6" t="s">
        <v>132</v>
      </c>
      <c r="AH1167" s="7" t="str">
        <f>IFERROR(__xludf.DUMMYFUNCTION("GOOGLETRANSLATE(C1167, ""en"", ""tr"")"),"Kore, Demokratik Halk Cumhuriyeti (Kuzey)")</f>
        <v>Kore, Demokratik Halk Cumhuriyeti (Kuzey)</v>
      </c>
      <c r="AI1167" s="6" t="s">
        <v>132</v>
      </c>
      <c r="AJ1167" s="6" t="s">
        <v>132</v>
      </c>
      <c r="AK1167" s="7" t="str">
        <f>IFERROR(__xludf.DUMMYFUNCTION("GOOGLETRANSLATE(C1167, ""en"", ""zh"")"),"韩国，民主党人（北）")</f>
        <v>韩国，民主党人（北）</v>
      </c>
      <c r="AL1167" s="6" t="s">
        <v>132</v>
      </c>
    </row>
    <row r="1168" ht="15.75" hidden="1" customHeight="1">
      <c r="A1168" s="1" t="s">
        <v>38</v>
      </c>
      <c r="B1168" s="1" t="s">
        <v>24104</v>
      </c>
      <c r="C1168" s="1" t="s">
        <v>24105</v>
      </c>
      <c r="D1168" s="8" t="s">
        <v>24106</v>
      </c>
      <c r="E1168" s="1" t="s">
        <v>24107</v>
      </c>
      <c r="F1168" s="6" t="s">
        <v>24108</v>
      </c>
      <c r="G1168" s="7" t="str">
        <f>IFERROR(__xludf.DUMMYFUNCTION("GOOGLETRANSLATE(C1168, ""en"", ""cs"")"),"Upozornit na všechny zprávy")</f>
        <v>Upozornit na všechny zprávy</v>
      </c>
      <c r="H1168" s="7" t="str">
        <f>IFERROR(__xludf.DUMMYFUNCTION("GOOGLETRANSLATE(C1168, ""en"", ""da"")"),"Underretning om alle meddelelser")</f>
        <v>Underretning om alle meddelelser</v>
      </c>
      <c r="I1168" s="1" t="s">
        <v>24109</v>
      </c>
      <c r="J1168" s="6" t="s">
        <v>132</v>
      </c>
      <c r="K1168" s="1" t="s">
        <v>24110</v>
      </c>
      <c r="L1168" s="7" t="str">
        <f>IFERROR(__xludf.DUMMYFUNCTION("GOOGLETRANSLATE(C1168, ""en"", ""fi"")"),"Ilmoita kaikista viesteistä")</f>
        <v>Ilmoita kaikista viesteistä</v>
      </c>
      <c r="M1168" s="1" t="s">
        <v>24111</v>
      </c>
      <c r="N1168" s="6" t="s">
        <v>24112</v>
      </c>
      <c r="O1168" s="6" t="s">
        <v>132</v>
      </c>
      <c r="P1168" s="1" t="s">
        <v>24113</v>
      </c>
      <c r="Q1168" s="9" t="s">
        <v>24114</v>
      </c>
      <c r="R1168" s="1" t="s">
        <v>24115</v>
      </c>
      <c r="S1168" s="6" t="s">
        <v>132</v>
      </c>
      <c r="T1168" s="1" t="s">
        <v>24116</v>
      </c>
      <c r="U1168" s="1" t="s">
        <v>24117</v>
      </c>
      <c r="V1168" s="7" t="str">
        <f>IFERROR(__xludf.DUMMYFUNCTION("GOOGLETRANSLATE(C1168, ""en"", ""ms"")"),"Beritahu semua mesej")</f>
        <v>Beritahu semua mesej</v>
      </c>
      <c r="W1168" s="1" t="s">
        <v>24118</v>
      </c>
      <c r="X1168" s="7" t="str">
        <f>IFERROR(__xludf.DUMMYFUNCTION("GOOGLETRANSLATE(C1168, ""en"", ""no"")"),"Varsle på alle meldinger")</f>
        <v>Varsle på alle meldinger</v>
      </c>
      <c r="Y1168" s="1" t="s">
        <v>24119</v>
      </c>
      <c r="Z1168" s="1" t="s">
        <v>24120</v>
      </c>
      <c r="AA1168" s="7" t="str">
        <f>IFERROR(__xludf.DUMMYFUNCTION("GOOGLETRANSLATE(C1168, ""en"", ""ro"")"),"Notificați pe toate mesajele")</f>
        <v>Notificați pe toate mesajele</v>
      </c>
      <c r="AB1168" s="1" t="s">
        <v>24121</v>
      </c>
      <c r="AC1168" s="7" t="str">
        <f>IFERROR(__xludf.DUMMYFUNCTION("GOOGLETRANSLATE(C1168, ""en"", ""sk"")"),"Upozorniť na všetky správy")</f>
        <v>Upozorniť na všetky správy</v>
      </c>
      <c r="AD1168" s="6" t="s">
        <v>132</v>
      </c>
      <c r="AE1168" s="1" t="s">
        <v>24122</v>
      </c>
      <c r="AF1168" s="1" t="s">
        <v>24123</v>
      </c>
      <c r="AG1168" s="6" t="s">
        <v>132</v>
      </c>
      <c r="AH1168" s="7" t="str">
        <f>IFERROR(__xludf.DUMMYFUNCTION("GOOGLETRANSLATE(C1168, ""en"", ""tr"")"),"Tüm mesajlara bildir")</f>
        <v>Tüm mesajlara bildir</v>
      </c>
      <c r="AI1168" s="6" t="s">
        <v>24124</v>
      </c>
      <c r="AJ1168" s="6" t="s">
        <v>24125</v>
      </c>
      <c r="AK1168" s="7" t="str">
        <f>IFERROR(__xludf.DUMMYFUNCTION("GOOGLETRANSLATE(C1168, ""en"", ""zh"")"),"通知所有消息")</f>
        <v>通知所有消息</v>
      </c>
      <c r="AL1168" s="6" t="s">
        <v>24126</v>
      </c>
    </row>
    <row r="1169" ht="15.75" hidden="1" customHeight="1">
      <c r="A1169" s="1" t="s">
        <v>38</v>
      </c>
      <c r="B1169" s="1" t="s">
        <v>24127</v>
      </c>
      <c r="C1169" s="1" t="s">
        <v>24128</v>
      </c>
      <c r="D1169" s="7" t="str">
        <f>IFERROR(__xludf.DUMMYFUNCTION("GOOGLETRANSLATE(C1169, ""en"", ""ar"")"),"ترينداد وتوباغو")</f>
        <v>ترينداد وتوباغو</v>
      </c>
      <c r="E1169" s="7" t="str">
        <f>IFERROR(__xludf.DUMMYFUNCTION("GOOGLETRANSLATE(C1169, ""en"", ""bg"")"),"Тринидад и Тобаго")</f>
        <v>Тринидад и Тобаго</v>
      </c>
      <c r="F1169" s="6" t="s">
        <v>132</v>
      </c>
      <c r="G1169" s="7" t="str">
        <f>IFERROR(__xludf.DUMMYFUNCTION("GOOGLETRANSLATE(C1169, ""en"", ""cs"")"),"Trinidad a Tobago")</f>
        <v>Trinidad a Tobago</v>
      </c>
      <c r="H1169" s="7" t="str">
        <f>IFERROR(__xludf.DUMMYFUNCTION("GOOGLETRANSLATE(C1169, ""en"", ""da"")"),"Trinidad og Tobago.")</f>
        <v>Trinidad og Tobago.</v>
      </c>
      <c r="I1169" s="1" t="s">
        <v>24129</v>
      </c>
      <c r="J1169" s="6" t="s">
        <v>132</v>
      </c>
      <c r="K1169" s="1" t="s">
        <v>24130</v>
      </c>
      <c r="L1169" s="7" t="str">
        <f>IFERROR(__xludf.DUMMYFUNCTION("GOOGLETRANSLATE(C1169, ""en"", ""fi"")"),"Trinidad ja Tobago")</f>
        <v>Trinidad ja Tobago</v>
      </c>
      <c r="M1169" s="1" t="s">
        <v>24131</v>
      </c>
      <c r="N1169" s="6" t="s">
        <v>132</v>
      </c>
      <c r="O1169" s="6" t="s">
        <v>132</v>
      </c>
      <c r="P1169" s="1" t="s">
        <v>24128</v>
      </c>
      <c r="Q1169" s="7" t="str">
        <f>IFERROR(__xludf.DUMMYFUNCTION("GOOGLETRANSLATE(C1169, ""en"", ""in"")"),"Trinidad dan Tobago")</f>
        <v>Trinidad dan Tobago</v>
      </c>
      <c r="R1169" s="7" t="str">
        <f>IFERROR(__xludf.DUMMYFUNCTION("GOOGLETRANSLATE(C1169, ""en"", ""it"")"),"Trinidad e Tobago")</f>
        <v>Trinidad e Tobago</v>
      </c>
      <c r="S1169" s="6" t="s">
        <v>132</v>
      </c>
      <c r="T1169" s="7" t="str">
        <f>IFERROR(__xludf.DUMMYFUNCTION("GOOGLETRANSLATE(C1169, ""en"", ""ja"")"),"トリニダード・トバゴ")</f>
        <v>トリニダード・トバゴ</v>
      </c>
      <c r="U1169" s="7" t="str">
        <f>IFERROR(__xludf.DUMMYFUNCTION("GOOGLETRANSLATE(C1169, ""en"", ""ko"")"),"트리니다드 토바고")</f>
        <v>트리니다드 토바고</v>
      </c>
      <c r="V1169" s="7" t="str">
        <f>IFERROR(__xludf.DUMMYFUNCTION("GOOGLETRANSLATE(C1169, ""en"", ""ms"")"),"Trinidad dan Tobago.")</f>
        <v>Trinidad dan Tobago.</v>
      </c>
      <c r="W1169" s="7" t="str">
        <f>IFERROR(__xludf.DUMMYFUNCTION("GOOGLETRANSLATE(C1169, ""en"", ""nl"")"),"Trinidad en Tobago")</f>
        <v>Trinidad en Tobago</v>
      </c>
      <c r="X1169" s="7" t="str">
        <f>IFERROR(__xludf.DUMMYFUNCTION("GOOGLETRANSLATE(C1169, ""en"", ""no"")"),"Trinidad og Tobago")</f>
        <v>Trinidad og Tobago</v>
      </c>
      <c r="Y1169" s="7" t="str">
        <f>IFERROR(__xludf.DUMMYFUNCTION("GOOGLETRANSLATE(C1169, ""en"", ""pl"")"),"Trynidad i Tobago")</f>
        <v>Trynidad i Tobago</v>
      </c>
      <c r="Z1169" s="7" t="str">
        <f>IFERROR(__xludf.DUMMYFUNCTION("GOOGLETRANSLATE(C1169, ""en"", ""pt"")"),"Trinidad e Tobago.")</f>
        <v>Trinidad e Tobago.</v>
      </c>
      <c r="AA1169" s="7" t="str">
        <f>IFERROR(__xludf.DUMMYFUNCTION("GOOGLETRANSLATE(C1169, ""en"", ""ro"")"),"Trinidad și Tobago")</f>
        <v>Trinidad și Tobago</v>
      </c>
      <c r="AB1169" s="1" t="s">
        <v>24132</v>
      </c>
      <c r="AC1169" s="7" t="str">
        <f>IFERROR(__xludf.DUMMYFUNCTION("GOOGLETRANSLATE(C1169, ""en"", ""sk"")"),"Trinidad a Tobago")</f>
        <v>Trinidad a Tobago</v>
      </c>
      <c r="AD1169" s="6" t="s">
        <v>132</v>
      </c>
      <c r="AE1169" s="1" t="s">
        <v>24133</v>
      </c>
      <c r="AF1169" s="7" t="str">
        <f>IFERROR(__xludf.DUMMYFUNCTION("GOOGLETRANSLATE(C1169, ""en"", ""sv"")"),"Trinidad och Tobago")</f>
        <v>Trinidad och Tobago</v>
      </c>
      <c r="AG1169" s="6" t="s">
        <v>132</v>
      </c>
      <c r="AH1169" s="7" t="str">
        <f>IFERROR(__xludf.DUMMYFUNCTION("GOOGLETRANSLATE(C1169, ""en"", ""tr"")"),"Trinidad ve Tobago")</f>
        <v>Trinidad ve Tobago</v>
      </c>
      <c r="AI1169" s="6" t="s">
        <v>132</v>
      </c>
      <c r="AJ1169" s="6" t="s">
        <v>132</v>
      </c>
      <c r="AK1169" s="7" t="str">
        <f>IFERROR(__xludf.DUMMYFUNCTION("GOOGLETRANSLATE(C1169, ""en"", ""zh"")"),"特立尼达和多巴哥")</f>
        <v>特立尼达和多巴哥</v>
      </c>
      <c r="AL1169" s="6" t="s">
        <v>132</v>
      </c>
    </row>
    <row r="1170" ht="15.75" customHeight="1">
      <c r="A1170" s="1" t="s">
        <v>127</v>
      </c>
      <c r="B1170" s="1" t="s">
        <v>24134</v>
      </c>
      <c r="C1170" s="1" t="s">
        <v>24135</v>
      </c>
      <c r="D1170" s="8" t="s">
        <v>9959</v>
      </c>
      <c r="E1170" s="1" t="s">
        <v>24136</v>
      </c>
      <c r="F1170" s="6" t="s">
        <v>132</v>
      </c>
      <c r="G1170" s="1" t="s">
        <v>24137</v>
      </c>
      <c r="H1170" s="1" t="s">
        <v>24138</v>
      </c>
      <c r="I1170" s="1" t="s">
        <v>9962</v>
      </c>
      <c r="J1170" s="6" t="s">
        <v>24139</v>
      </c>
      <c r="K1170" s="1" t="s">
        <v>9963</v>
      </c>
      <c r="L1170" s="1" t="s">
        <v>24140</v>
      </c>
      <c r="M1170" s="1" t="s">
        <v>9964</v>
      </c>
      <c r="N1170" s="6" t="s">
        <v>132</v>
      </c>
      <c r="O1170" s="6" t="s">
        <v>24141</v>
      </c>
      <c r="P1170" s="1" t="s">
        <v>9966</v>
      </c>
      <c r="Q1170" s="1" t="s">
        <v>24142</v>
      </c>
      <c r="R1170" s="1" t="s">
        <v>9968</v>
      </c>
      <c r="S1170" s="10" t="s">
        <v>24143</v>
      </c>
      <c r="T1170" s="1" t="s">
        <v>9969</v>
      </c>
      <c r="U1170" s="1" t="s">
        <v>24144</v>
      </c>
      <c r="V1170" s="1" t="s">
        <v>24145</v>
      </c>
      <c r="W1170" s="1" t="s">
        <v>24146</v>
      </c>
      <c r="X1170" s="1" t="s">
        <v>24147</v>
      </c>
      <c r="Y1170" s="1" t="s">
        <v>24148</v>
      </c>
      <c r="Z1170" s="1" t="s">
        <v>24149</v>
      </c>
      <c r="AA1170" s="1" t="s">
        <v>24150</v>
      </c>
      <c r="AB1170" s="1" t="s">
        <v>24151</v>
      </c>
      <c r="AC1170" s="1" t="s">
        <v>9975</v>
      </c>
      <c r="AD1170" s="6" t="s">
        <v>24152</v>
      </c>
      <c r="AE1170" s="1" t="s">
        <v>24153</v>
      </c>
      <c r="AF1170" s="1" t="s">
        <v>9977</v>
      </c>
      <c r="AG1170" s="6" t="s">
        <v>24154</v>
      </c>
      <c r="AH1170" s="1" t="s">
        <v>24155</v>
      </c>
      <c r="AI1170" s="6" t="s">
        <v>132</v>
      </c>
      <c r="AJ1170" s="6" t="s">
        <v>9979</v>
      </c>
      <c r="AK1170" s="1" t="s">
        <v>24156</v>
      </c>
      <c r="AL1170" s="6" t="s">
        <v>24157</v>
      </c>
    </row>
    <row r="1171" ht="15.75" hidden="1" customHeight="1">
      <c r="A1171" s="1" t="s">
        <v>38</v>
      </c>
      <c r="B1171" s="1" t="s">
        <v>24158</v>
      </c>
      <c r="C1171" s="1" t="s">
        <v>24159</v>
      </c>
      <c r="D1171" s="7" t="str">
        <f>IFERROR(__xludf.DUMMYFUNCTION("GOOGLETRANSLATE(C1171, ""en"", ""ar"")"),"عنوان URL نسخ إلى الحافظة")</f>
        <v>عنوان URL نسخ إلى الحافظة</v>
      </c>
      <c r="E1171" s="1" t="s">
        <v>24160</v>
      </c>
      <c r="F1171" s="6" t="s">
        <v>24161</v>
      </c>
      <c r="G1171" s="7" t="str">
        <f>IFERROR(__xludf.DUMMYFUNCTION("GOOGLETRANSLATE(C1171, ""en"", ""cs"")"),"Kopírovaná adresa URL do schránky")</f>
        <v>Kopírovaná adresa URL do schránky</v>
      </c>
      <c r="H1171" s="7" t="str">
        <f>IFERROR(__xludf.DUMMYFUNCTION("GOOGLETRANSLATE(C1171, ""en"", ""da"")"),"Kopieret url til udklipsholder")</f>
        <v>Kopieret url til udklipsholder</v>
      </c>
      <c r="I1171" s="1" t="s">
        <v>24162</v>
      </c>
      <c r="J1171" s="6" t="s">
        <v>132</v>
      </c>
      <c r="K1171" s="1" t="s">
        <v>24163</v>
      </c>
      <c r="L1171" s="7" t="str">
        <f>IFERROR(__xludf.DUMMYFUNCTION("GOOGLETRANSLATE(C1171, ""en"", ""fi"")"),"Kopioitu URL-osoite leikepöydälle")</f>
        <v>Kopioitu URL-osoite leikepöydälle</v>
      </c>
      <c r="M1171" s="1" t="s">
        <v>24164</v>
      </c>
      <c r="N1171" s="6" t="s">
        <v>24165</v>
      </c>
      <c r="O1171" s="6" t="s">
        <v>132</v>
      </c>
      <c r="P1171" s="1" t="s">
        <v>24166</v>
      </c>
      <c r="Q1171" s="7" t="str">
        <f>IFERROR(__xludf.DUMMYFUNCTION("GOOGLETRANSLATE(C1171, ""en"", ""in"")"),"URL yang disalin ke clipboard")</f>
        <v>URL yang disalin ke clipboard</v>
      </c>
      <c r="R1171" s="1" t="s">
        <v>24167</v>
      </c>
      <c r="S1171" s="6" t="s">
        <v>132</v>
      </c>
      <c r="T1171" s="1" t="s">
        <v>24168</v>
      </c>
      <c r="U1171" s="7" t="str">
        <f>IFERROR(__xludf.DUMMYFUNCTION("GOOGLETRANSLATE(C1171, ""en"", ""ko"")"),"클립 보드에 복사 된 URL")</f>
        <v>클립 보드에 복사 된 URL</v>
      </c>
      <c r="V1171" s="7" t="str">
        <f>IFERROR(__xludf.DUMMYFUNCTION("GOOGLETRANSLATE(C1171, ""en"", ""ms"")"),"URL disalin ke papan klip")</f>
        <v>URL disalin ke papan klip</v>
      </c>
      <c r="W1171" s="1" t="s">
        <v>24169</v>
      </c>
      <c r="X1171" s="7" t="str">
        <f>IFERROR(__xludf.DUMMYFUNCTION("GOOGLETRANSLATE(C1171, ""en"", ""no"")"),"Kopierte nettadressen til utklippstavlen")</f>
        <v>Kopierte nettadressen til utklippstavlen</v>
      </c>
      <c r="Y1171" s="1" t="s">
        <v>24170</v>
      </c>
      <c r="Z1171" s="1" t="s">
        <v>24171</v>
      </c>
      <c r="AA1171" s="7" t="str">
        <f>IFERROR(__xludf.DUMMYFUNCTION("GOOGLETRANSLATE(C1171, ""en"", ""ro"")"),"URL-ul copiat în clipboard")</f>
        <v>URL-ul copiat în clipboard</v>
      </c>
      <c r="AB1171" s="1" t="s">
        <v>24172</v>
      </c>
      <c r="AC1171" s="7" t="str">
        <f>IFERROR(__xludf.DUMMYFUNCTION("GOOGLETRANSLATE(C1171, ""en"", ""sk"")"),"Kopírovaná adresa URL do schránky")</f>
        <v>Kopírovaná adresa URL do schránky</v>
      </c>
      <c r="AD1171" s="6" t="s">
        <v>132</v>
      </c>
      <c r="AE1171" s="1" t="s">
        <v>24173</v>
      </c>
      <c r="AF1171" s="7" t="str">
        <f>IFERROR(__xludf.DUMMYFUNCTION("GOOGLETRANSLATE(C1171, ""en"", ""sv"")"),"Kopierad URL till Urklipp")</f>
        <v>Kopierad URL till Urklipp</v>
      </c>
      <c r="AG1171" s="6" t="s">
        <v>132</v>
      </c>
      <c r="AH1171" s="13" t="s">
        <v>24174</v>
      </c>
      <c r="AI1171" s="6" t="s">
        <v>132</v>
      </c>
      <c r="AJ1171" s="6" t="s">
        <v>132</v>
      </c>
      <c r="AK1171" s="7" t="str">
        <f>IFERROR(__xludf.DUMMYFUNCTION("GOOGLETRANSLATE(C1171, ""en"", ""zh"")"),"将URL复制到剪贴板")</f>
        <v>将URL复制到剪贴板</v>
      </c>
      <c r="AL1171" s="6" t="s">
        <v>132</v>
      </c>
    </row>
    <row r="1172" ht="15.75" customHeight="1">
      <c r="A1172" s="1" t="s">
        <v>127</v>
      </c>
      <c r="B1172" s="1" t="s">
        <v>24175</v>
      </c>
      <c r="C1172" s="1" t="s">
        <v>24176</v>
      </c>
      <c r="D1172" s="7" t="str">
        <f>IFERROR(__xludf.DUMMYFUNCTION("GOOGLETRANSLATE(C1172, ""en"", ""ar"")"),"المال")</f>
        <v>المال</v>
      </c>
      <c r="E1172" s="1" t="s">
        <v>24177</v>
      </c>
      <c r="F1172" s="6" t="s">
        <v>132</v>
      </c>
      <c r="G1172" s="1" t="s">
        <v>24178</v>
      </c>
      <c r="H1172" s="1" t="s">
        <v>24179</v>
      </c>
      <c r="I1172" s="1" t="s">
        <v>24180</v>
      </c>
      <c r="J1172" s="6" t="s">
        <v>24181</v>
      </c>
      <c r="K1172" s="1" t="s">
        <v>24182</v>
      </c>
      <c r="L1172" s="1" t="s">
        <v>24176</v>
      </c>
      <c r="M1172" s="1" t="s">
        <v>24183</v>
      </c>
      <c r="N1172" s="6" t="s">
        <v>132</v>
      </c>
      <c r="O1172" s="6" t="s">
        <v>24184</v>
      </c>
      <c r="P1172" s="1" t="s">
        <v>24176</v>
      </c>
      <c r="Q1172" s="1" t="s">
        <v>24185</v>
      </c>
      <c r="R1172" s="1" t="s">
        <v>24186</v>
      </c>
      <c r="S1172" s="10" t="s">
        <v>24187</v>
      </c>
      <c r="T1172" s="1" t="s">
        <v>24188</v>
      </c>
      <c r="U1172" s="1" t="s">
        <v>24189</v>
      </c>
      <c r="V1172" s="1" t="s">
        <v>24190</v>
      </c>
      <c r="W1172" s="1" t="s">
        <v>24176</v>
      </c>
      <c r="X1172" s="1" t="s">
        <v>24191</v>
      </c>
      <c r="Y1172" s="11" t="s">
        <v>24192</v>
      </c>
      <c r="Z1172" s="1" t="s">
        <v>24176</v>
      </c>
      <c r="AA1172" s="1" t="s">
        <v>24193</v>
      </c>
      <c r="AB1172" s="1" t="s">
        <v>24176</v>
      </c>
      <c r="AC1172" s="1" t="s">
        <v>24194</v>
      </c>
      <c r="AD1172" s="6" t="s">
        <v>24195</v>
      </c>
      <c r="AE1172" s="1" t="s">
        <v>24196</v>
      </c>
      <c r="AF1172" s="1" t="s">
        <v>24176</v>
      </c>
      <c r="AG1172" s="6" t="s">
        <v>24176</v>
      </c>
      <c r="AH1172" s="1" t="s">
        <v>24197</v>
      </c>
      <c r="AI1172" s="6" t="s">
        <v>132</v>
      </c>
      <c r="AJ1172" s="6" t="s">
        <v>24198</v>
      </c>
      <c r="AK1172" s="1" t="s">
        <v>24199</v>
      </c>
      <c r="AL1172" s="6" t="s">
        <v>132</v>
      </c>
    </row>
    <row r="1173" ht="15.75" customHeight="1">
      <c r="A1173" s="1" t="s">
        <v>127</v>
      </c>
      <c r="B1173" s="1" t="s">
        <v>24200</v>
      </c>
      <c r="C1173" s="1" t="s">
        <v>24201</v>
      </c>
      <c r="D1173" s="8" t="s">
        <v>24202</v>
      </c>
      <c r="E1173" s="1" t="s">
        <v>24203</v>
      </c>
      <c r="F1173" s="6" t="s">
        <v>132</v>
      </c>
      <c r="G1173" s="1" t="s">
        <v>24204</v>
      </c>
      <c r="H1173" s="1" t="s">
        <v>24205</v>
      </c>
      <c r="I1173" s="1" t="s">
        <v>24206</v>
      </c>
      <c r="J1173" s="6" t="s">
        <v>24207</v>
      </c>
      <c r="K1173" s="1" t="s">
        <v>24208</v>
      </c>
      <c r="L1173" s="1" t="s">
        <v>24209</v>
      </c>
      <c r="M1173" s="1" t="s">
        <v>24210</v>
      </c>
      <c r="N1173" s="6" t="s">
        <v>132</v>
      </c>
      <c r="O1173" s="6" t="s">
        <v>24211</v>
      </c>
      <c r="P1173" s="1" t="s">
        <v>24212</v>
      </c>
      <c r="Q1173" s="1" t="s">
        <v>24213</v>
      </c>
      <c r="R1173" s="1" t="s">
        <v>24214</v>
      </c>
      <c r="S1173" s="10" t="s">
        <v>24215</v>
      </c>
      <c r="T1173" s="1" t="s">
        <v>24201</v>
      </c>
      <c r="U1173" s="1" t="s">
        <v>24216</v>
      </c>
      <c r="V1173" s="1" t="s">
        <v>24213</v>
      </c>
      <c r="W1173" s="1" t="s">
        <v>24217</v>
      </c>
      <c r="X1173" s="1" t="s">
        <v>24205</v>
      </c>
      <c r="Y1173" s="1" t="s">
        <v>24218</v>
      </c>
      <c r="Z1173" s="1" t="s">
        <v>24219</v>
      </c>
      <c r="AA1173" s="1" t="s">
        <v>24220</v>
      </c>
      <c r="AB1173" s="1" t="s">
        <v>24221</v>
      </c>
      <c r="AC1173" s="1" t="s">
        <v>24222</v>
      </c>
      <c r="AD1173" s="6" t="s">
        <v>24223</v>
      </c>
      <c r="AE1173" s="1" t="s">
        <v>24224</v>
      </c>
      <c r="AF1173" s="1" t="s">
        <v>24225</v>
      </c>
      <c r="AG1173" s="6" t="s">
        <v>24226</v>
      </c>
      <c r="AH1173" s="1" t="s">
        <v>24227</v>
      </c>
      <c r="AI1173" s="6" t="s">
        <v>132</v>
      </c>
      <c r="AJ1173" s="6" t="s">
        <v>24228</v>
      </c>
      <c r="AK1173" s="1" t="s">
        <v>24229</v>
      </c>
      <c r="AL1173" s="6" t="s">
        <v>132</v>
      </c>
    </row>
    <row r="1174" ht="15.75" customHeight="1">
      <c r="A1174" s="1" t="s">
        <v>127</v>
      </c>
      <c r="B1174" s="1" t="s">
        <v>24230</v>
      </c>
      <c r="C1174" s="1" t="s">
        <v>24231</v>
      </c>
      <c r="D1174" s="8" t="s">
        <v>24232</v>
      </c>
      <c r="E1174" s="1" t="s">
        <v>24233</v>
      </c>
      <c r="F1174" s="6" t="s">
        <v>132</v>
      </c>
      <c r="G1174" s="1" t="s">
        <v>24234</v>
      </c>
      <c r="H1174" s="1" t="s">
        <v>24235</v>
      </c>
      <c r="I1174" s="1" t="s">
        <v>24236</v>
      </c>
      <c r="J1174" s="6" t="s">
        <v>24237</v>
      </c>
      <c r="K1174" s="1" t="s">
        <v>24238</v>
      </c>
      <c r="L1174" s="1" t="s">
        <v>24239</v>
      </c>
      <c r="M1174" s="1" t="s">
        <v>24240</v>
      </c>
      <c r="N1174" s="6" t="s">
        <v>132</v>
      </c>
      <c r="O1174" s="6" t="s">
        <v>24241</v>
      </c>
      <c r="P1174" s="1" t="s">
        <v>24242</v>
      </c>
      <c r="Q1174" s="1" t="s">
        <v>24243</v>
      </c>
      <c r="R1174" s="1" t="s">
        <v>24244</v>
      </c>
      <c r="S1174" s="10" t="s">
        <v>24245</v>
      </c>
      <c r="T1174" s="1" t="s">
        <v>24246</v>
      </c>
      <c r="U1174" s="1" t="s">
        <v>24247</v>
      </c>
      <c r="V1174" s="1" t="s">
        <v>24248</v>
      </c>
      <c r="W1174" s="1" t="s">
        <v>24249</v>
      </c>
      <c r="X1174" s="1" t="s">
        <v>24250</v>
      </c>
      <c r="Y1174" s="1" t="s">
        <v>24251</v>
      </c>
      <c r="Z1174" s="1" t="s">
        <v>24252</v>
      </c>
      <c r="AA1174" s="1" t="s">
        <v>24253</v>
      </c>
      <c r="AB1174" s="1" t="s">
        <v>24254</v>
      </c>
      <c r="AC1174" s="1" t="s">
        <v>24255</v>
      </c>
      <c r="AD1174" s="6" t="s">
        <v>24256</v>
      </c>
      <c r="AE1174" s="1" t="s">
        <v>24257</v>
      </c>
      <c r="AF1174" s="1" t="s">
        <v>24258</v>
      </c>
      <c r="AG1174" s="6" t="s">
        <v>24259</v>
      </c>
      <c r="AH1174" s="1" t="s">
        <v>24260</v>
      </c>
      <c r="AI1174" s="6" t="s">
        <v>132</v>
      </c>
      <c r="AJ1174" s="6" t="s">
        <v>24261</v>
      </c>
      <c r="AK1174" s="1" t="s">
        <v>24262</v>
      </c>
      <c r="AL1174" s="6" t="s">
        <v>132</v>
      </c>
    </row>
    <row r="1175" ht="15.75" hidden="1" customHeight="1">
      <c r="A1175" s="1" t="s">
        <v>38</v>
      </c>
      <c r="B1175" s="1" t="s">
        <v>24263</v>
      </c>
      <c r="C1175" s="1" t="s">
        <v>2484</v>
      </c>
      <c r="D1175" s="8" t="s">
        <v>2485</v>
      </c>
      <c r="E1175" s="1" t="s">
        <v>24264</v>
      </c>
      <c r="F1175" s="6" t="s">
        <v>24265</v>
      </c>
      <c r="G1175" s="7" t="str">
        <f>IFERROR(__xludf.DUMMYFUNCTION("GOOGLETRANSLATE(C1175, ""en"", ""cs"")"),"Střední")</f>
        <v>Střední</v>
      </c>
      <c r="H1175" s="7" t="str">
        <f>IFERROR(__xludf.DUMMYFUNCTION("GOOGLETRANSLATE(C1175, ""en"", ""da"")"),"Medium")</f>
        <v>Medium</v>
      </c>
      <c r="I1175" s="1" t="s">
        <v>24266</v>
      </c>
      <c r="J1175" s="6" t="s">
        <v>132</v>
      </c>
      <c r="K1175" s="1" t="s">
        <v>2496</v>
      </c>
      <c r="L1175" s="7" t="str">
        <f>IFERROR(__xludf.DUMMYFUNCTION("GOOGLETRANSLATE(C1175, ""en"", ""fi"")"),"Väliaine")</f>
        <v>Väliaine</v>
      </c>
      <c r="M1175" s="1" t="s">
        <v>14997</v>
      </c>
      <c r="N1175" s="6" t="s">
        <v>2496</v>
      </c>
      <c r="O1175" s="6" t="s">
        <v>132</v>
      </c>
      <c r="P1175" s="1" t="s">
        <v>24267</v>
      </c>
      <c r="Q1175" s="9" t="s">
        <v>24268</v>
      </c>
      <c r="R1175" s="1" t="s">
        <v>2496</v>
      </c>
      <c r="S1175" s="6" t="s">
        <v>132</v>
      </c>
      <c r="T1175" s="1" t="s">
        <v>2498</v>
      </c>
      <c r="U1175" s="1" t="s">
        <v>2499</v>
      </c>
      <c r="V1175" s="7" t="str">
        <f>IFERROR(__xludf.DUMMYFUNCTION("GOOGLETRANSLATE(C1175, ""en"", ""ms"")"),"Medium.")</f>
        <v>Medium.</v>
      </c>
      <c r="W1175" s="1" t="s">
        <v>15000</v>
      </c>
      <c r="X1175" s="7" t="str">
        <f>IFERROR(__xludf.DUMMYFUNCTION("GOOGLETRANSLATE(C1175, ""en"", ""no"")"),"Medium")</f>
        <v>Medium</v>
      </c>
      <c r="Y1175" s="1" t="s">
        <v>2502</v>
      </c>
      <c r="Z1175" s="1" t="s">
        <v>2503</v>
      </c>
      <c r="AA1175" s="7" t="str">
        <f>IFERROR(__xludf.DUMMYFUNCTION("GOOGLETRANSLATE(C1175, ""en"", ""ro"")"),"Mediu")</f>
        <v>Mediu</v>
      </c>
      <c r="AB1175" s="1" t="s">
        <v>2505</v>
      </c>
      <c r="AC1175" s="7" t="str">
        <f>IFERROR(__xludf.DUMMYFUNCTION("GOOGLETRANSLATE(C1175, ""en"", ""sk"")"),"Stredný")</f>
        <v>Stredný</v>
      </c>
      <c r="AD1175" s="6" t="s">
        <v>132</v>
      </c>
      <c r="AE1175" s="1" t="s">
        <v>24269</v>
      </c>
      <c r="AF1175" s="1" t="s">
        <v>2484</v>
      </c>
      <c r="AG1175" s="6" t="s">
        <v>132</v>
      </c>
      <c r="AH1175" s="7" t="str">
        <f>IFERROR(__xludf.DUMMYFUNCTION("GOOGLETRANSLATE(C1175, ""en"", ""tr"")"),"Orta")</f>
        <v>Orta</v>
      </c>
      <c r="AI1175" s="6" t="s">
        <v>24270</v>
      </c>
      <c r="AJ1175" s="6" t="s">
        <v>132</v>
      </c>
      <c r="AK1175" s="7" t="str">
        <f>IFERROR(__xludf.DUMMYFUNCTION("GOOGLETRANSLATE(C1175, ""en"", ""zh"")"),"中等的")</f>
        <v>中等的</v>
      </c>
      <c r="AL1175" s="6" t="s">
        <v>15002</v>
      </c>
    </row>
    <row r="1176" ht="15.75" customHeight="1">
      <c r="A1176" s="1" t="s">
        <v>127</v>
      </c>
      <c r="B1176" s="1" t="s">
        <v>24271</v>
      </c>
      <c r="C1176" s="1" t="s">
        <v>24272</v>
      </c>
      <c r="D1176" s="8" t="s">
        <v>24273</v>
      </c>
      <c r="E1176" s="1" t="s">
        <v>24274</v>
      </c>
      <c r="F1176" s="6" t="s">
        <v>132</v>
      </c>
      <c r="G1176" s="1" t="s">
        <v>24275</v>
      </c>
      <c r="H1176" s="1" t="s">
        <v>24276</v>
      </c>
      <c r="I1176" s="1" t="s">
        <v>24277</v>
      </c>
      <c r="J1176" s="6" t="s">
        <v>24278</v>
      </c>
      <c r="K1176" s="1" t="s">
        <v>24279</v>
      </c>
      <c r="L1176" s="1" t="s">
        <v>24280</v>
      </c>
      <c r="M1176" s="1" t="s">
        <v>24281</v>
      </c>
      <c r="N1176" s="6" t="s">
        <v>132</v>
      </c>
      <c r="O1176" s="6" t="s">
        <v>24282</v>
      </c>
      <c r="P1176" s="1" t="s">
        <v>24283</v>
      </c>
      <c r="Q1176" s="1" t="s">
        <v>24284</v>
      </c>
      <c r="R1176" s="1" t="s">
        <v>24285</v>
      </c>
      <c r="S1176" s="10" t="s">
        <v>24286</v>
      </c>
      <c r="T1176" s="1" t="s">
        <v>2369</v>
      </c>
      <c r="U1176" s="1" t="s">
        <v>24287</v>
      </c>
      <c r="V1176" s="1" t="s">
        <v>24284</v>
      </c>
      <c r="W1176" s="1" t="s">
        <v>24288</v>
      </c>
      <c r="X1176" s="1" t="s">
        <v>24289</v>
      </c>
      <c r="Y1176" s="1" t="s">
        <v>24290</v>
      </c>
      <c r="Z1176" s="1" t="s">
        <v>24291</v>
      </c>
      <c r="AA1176" s="1" t="s">
        <v>24292</v>
      </c>
      <c r="AB1176" s="1" t="s">
        <v>24293</v>
      </c>
      <c r="AC1176" s="1" t="s">
        <v>24294</v>
      </c>
      <c r="AD1176" s="6" t="s">
        <v>24295</v>
      </c>
      <c r="AE1176" s="1" t="s">
        <v>24296</v>
      </c>
      <c r="AF1176" s="1" t="s">
        <v>24297</v>
      </c>
      <c r="AG1176" s="6" t="s">
        <v>24298</v>
      </c>
      <c r="AH1176" s="1" t="s">
        <v>24299</v>
      </c>
      <c r="AI1176" s="6" t="s">
        <v>132</v>
      </c>
      <c r="AJ1176" s="6" t="s">
        <v>24300</v>
      </c>
      <c r="AK1176" s="1" t="s">
        <v>2384</v>
      </c>
      <c r="AL1176" s="6" t="s">
        <v>2385</v>
      </c>
    </row>
    <row r="1177" ht="15.75" customHeight="1">
      <c r="A1177" s="1" t="s">
        <v>127</v>
      </c>
      <c r="B1177" s="1" t="s">
        <v>24301</v>
      </c>
      <c r="C1177" s="1" t="s">
        <v>24302</v>
      </c>
      <c r="D1177" s="8" t="s">
        <v>24303</v>
      </c>
      <c r="E1177" s="1" t="s">
        <v>24304</v>
      </c>
      <c r="F1177" s="6" t="s">
        <v>132</v>
      </c>
      <c r="G1177" s="1" t="s">
        <v>24305</v>
      </c>
      <c r="H1177" s="1" t="s">
        <v>24306</v>
      </c>
      <c r="I1177" s="1" t="s">
        <v>24307</v>
      </c>
      <c r="J1177" s="6" t="s">
        <v>24308</v>
      </c>
      <c r="K1177" s="1" t="s">
        <v>24309</v>
      </c>
      <c r="L1177" s="1" t="s">
        <v>24310</v>
      </c>
      <c r="M1177" s="1" t="s">
        <v>24311</v>
      </c>
      <c r="N1177" s="6" t="s">
        <v>132</v>
      </c>
      <c r="O1177" s="6" t="s">
        <v>24312</v>
      </c>
      <c r="P1177" s="1" t="s">
        <v>24313</v>
      </c>
      <c r="Q1177" s="1" t="s">
        <v>24314</v>
      </c>
      <c r="R1177" s="1" t="s">
        <v>24315</v>
      </c>
      <c r="S1177" s="10" t="s">
        <v>24316</v>
      </c>
      <c r="T1177" s="1" t="s">
        <v>24302</v>
      </c>
      <c r="U1177" s="1" t="s">
        <v>24317</v>
      </c>
      <c r="V1177" s="1" t="s">
        <v>24318</v>
      </c>
      <c r="W1177" s="1" t="s">
        <v>24319</v>
      </c>
      <c r="X1177" s="1" t="s">
        <v>24320</v>
      </c>
      <c r="Y1177" s="1" t="s">
        <v>24321</v>
      </c>
      <c r="Z1177" s="1" t="s">
        <v>24322</v>
      </c>
      <c r="AA1177" s="1" t="s">
        <v>24323</v>
      </c>
      <c r="AB1177" s="1" t="s">
        <v>24324</v>
      </c>
      <c r="AC1177" s="1" t="s">
        <v>24325</v>
      </c>
      <c r="AD1177" s="6" t="s">
        <v>24326</v>
      </c>
      <c r="AE1177" s="1" t="s">
        <v>24327</v>
      </c>
      <c r="AF1177" s="1" t="s">
        <v>24328</v>
      </c>
      <c r="AG1177" s="6" t="s">
        <v>24329</v>
      </c>
      <c r="AH1177" s="1" t="s">
        <v>24330</v>
      </c>
      <c r="AI1177" s="6" t="s">
        <v>132</v>
      </c>
      <c r="AJ1177" s="6" t="s">
        <v>24331</v>
      </c>
      <c r="AK1177" s="1" t="s">
        <v>24332</v>
      </c>
      <c r="AL1177" s="6" t="s">
        <v>132</v>
      </c>
    </row>
    <row r="1178" ht="15.75" customHeight="1">
      <c r="A1178" s="1" t="s">
        <v>127</v>
      </c>
      <c r="B1178" s="1" t="s">
        <v>24333</v>
      </c>
      <c r="C1178" s="1" t="s">
        <v>24334</v>
      </c>
      <c r="D1178" s="8" t="s">
        <v>24335</v>
      </c>
      <c r="E1178" s="1" t="s">
        <v>24336</v>
      </c>
      <c r="F1178" s="6" t="s">
        <v>132</v>
      </c>
      <c r="G1178" s="1" t="s">
        <v>24337</v>
      </c>
      <c r="H1178" s="1" t="s">
        <v>24338</v>
      </c>
      <c r="I1178" s="1" t="s">
        <v>24339</v>
      </c>
      <c r="J1178" s="6" t="s">
        <v>24340</v>
      </c>
      <c r="K1178" s="1" t="s">
        <v>24341</v>
      </c>
      <c r="L1178" s="1" t="s">
        <v>24342</v>
      </c>
      <c r="M1178" s="1" t="s">
        <v>24343</v>
      </c>
      <c r="N1178" s="6" t="s">
        <v>132</v>
      </c>
      <c r="O1178" s="6" t="s">
        <v>24344</v>
      </c>
      <c r="P1178" s="1" t="s">
        <v>24345</v>
      </c>
      <c r="Q1178" s="1" t="s">
        <v>24346</v>
      </c>
      <c r="R1178" s="1" t="s">
        <v>24347</v>
      </c>
      <c r="S1178" s="10" t="s">
        <v>24348</v>
      </c>
      <c r="T1178" s="1" t="s">
        <v>24349</v>
      </c>
      <c r="U1178" s="1" t="s">
        <v>24350</v>
      </c>
      <c r="V1178" s="1" t="s">
        <v>24351</v>
      </c>
      <c r="W1178" s="1" t="s">
        <v>24352</v>
      </c>
      <c r="X1178" s="1" t="s">
        <v>24353</v>
      </c>
      <c r="Y1178" s="1" t="s">
        <v>24354</v>
      </c>
      <c r="Z1178" s="1" t="s">
        <v>24355</v>
      </c>
      <c r="AA1178" s="1" t="s">
        <v>24356</v>
      </c>
      <c r="AB1178" s="1" t="s">
        <v>24357</v>
      </c>
      <c r="AC1178" s="1" t="s">
        <v>24358</v>
      </c>
      <c r="AD1178" s="6" t="s">
        <v>24359</v>
      </c>
      <c r="AE1178" s="1" t="s">
        <v>24360</v>
      </c>
      <c r="AF1178" s="1" t="s">
        <v>24361</v>
      </c>
      <c r="AG1178" s="6" t="s">
        <v>24362</v>
      </c>
      <c r="AH1178" s="1" t="s">
        <v>24363</v>
      </c>
      <c r="AI1178" s="6" t="s">
        <v>132</v>
      </c>
      <c r="AJ1178" s="6" t="s">
        <v>24364</v>
      </c>
      <c r="AK1178" s="1" t="s">
        <v>24365</v>
      </c>
      <c r="AL1178" s="6" t="s">
        <v>132</v>
      </c>
    </row>
    <row r="1179" ht="15.75" hidden="1" customHeight="1">
      <c r="A1179" s="1" t="s">
        <v>38</v>
      </c>
      <c r="B1179" s="1" t="s">
        <v>24366</v>
      </c>
      <c r="C1179" s="1" t="s">
        <v>24367</v>
      </c>
      <c r="D1179" s="7" t="str">
        <f>IFERROR(__xludf.DUMMYFUNCTION("GOOGLETRANSLATE(C1179, ""en"", ""ar"")"),"الرجاء إدخال هاتفك.")</f>
        <v>الرجاء إدخال هاتفك.</v>
      </c>
      <c r="E1179" s="7" t="str">
        <f>IFERROR(__xludf.DUMMYFUNCTION("GOOGLETRANSLATE(C1179, ""en"", ""bg"")"),"Моля, въведете телефона си.")</f>
        <v>Моля, въведете телефона си.</v>
      </c>
      <c r="F1179" s="6" t="s">
        <v>132</v>
      </c>
      <c r="G1179" s="7" t="str">
        <f>IFERROR(__xludf.DUMMYFUNCTION("GOOGLETRANSLATE(C1179, ""en"", ""cs"")"),"Zadejte prosím svůj telefon.")</f>
        <v>Zadejte prosím svůj telefon.</v>
      </c>
      <c r="H1179" s="7" t="str">
        <f>IFERROR(__xludf.DUMMYFUNCTION("GOOGLETRANSLATE(C1179, ""en"", ""da"")"),"Indtast venligst din telefon.")</f>
        <v>Indtast venligst din telefon.</v>
      </c>
      <c r="I1179" s="1" t="s">
        <v>24368</v>
      </c>
      <c r="J1179" s="6" t="s">
        <v>132</v>
      </c>
      <c r="K1179" s="1" t="s">
        <v>24369</v>
      </c>
      <c r="L1179" s="7" t="str">
        <f>IFERROR(__xludf.DUMMYFUNCTION("GOOGLETRANSLATE(C1179, ""en"", ""fi"")"),"Anna puhelimesi.")</f>
        <v>Anna puhelimesi.</v>
      </c>
      <c r="M1179" s="1" t="s">
        <v>24370</v>
      </c>
      <c r="N1179" s="6" t="s">
        <v>132</v>
      </c>
      <c r="O1179" s="6" t="s">
        <v>132</v>
      </c>
      <c r="P1179" s="1" t="s">
        <v>24371</v>
      </c>
      <c r="Q1179" s="7" t="str">
        <f>IFERROR(__xludf.DUMMYFUNCTION("GOOGLETRANSLATE(C1179, ""en"", ""in"")"),"Silakan masukkan telepon Anda.")</f>
        <v>Silakan masukkan telepon Anda.</v>
      </c>
      <c r="R1179" s="7" t="str">
        <f>IFERROR(__xludf.DUMMYFUNCTION("GOOGLETRANSLATE(C1179, ""en"", ""it"")"),"Si prega di inserire il telefono.")</f>
        <v>Si prega di inserire il telefono.</v>
      </c>
      <c r="S1179" s="6" t="s">
        <v>132</v>
      </c>
      <c r="T1179" s="7" t="str">
        <f>IFERROR(__xludf.DUMMYFUNCTION("GOOGLETRANSLATE(C1179, ""en"", ""ja"")"),"あなたの携帯電話を入力してください。")</f>
        <v>あなたの携帯電話を入力してください。</v>
      </c>
      <c r="U1179" s="7" t="str">
        <f>IFERROR(__xludf.DUMMYFUNCTION("GOOGLETRANSLATE(C1179, ""en"", ""ko"")"),"휴대 전화를 입력하십시오.")</f>
        <v>휴대 전화를 입력하십시오.</v>
      </c>
      <c r="V1179" s="7" t="str">
        <f>IFERROR(__xludf.DUMMYFUNCTION("GOOGLETRANSLATE(C1179, ""en"", ""ms"")"),"Sila masukkan telefon anda.")</f>
        <v>Sila masukkan telefon anda.</v>
      </c>
      <c r="W1179" s="7" t="str">
        <f>IFERROR(__xludf.DUMMYFUNCTION("GOOGLETRANSLATE(C1179, ""en"", ""nl"")"),"Voer uw telefoon in.")</f>
        <v>Voer uw telefoon in.</v>
      </c>
      <c r="X1179" s="7" t="str">
        <f>IFERROR(__xludf.DUMMYFUNCTION("GOOGLETRANSLATE(C1179, ""en"", ""no"")"),"Vennligst skriv inn telefonen din.")</f>
        <v>Vennligst skriv inn telefonen din.</v>
      </c>
      <c r="Y1179" s="7" t="str">
        <f>IFERROR(__xludf.DUMMYFUNCTION("GOOGLETRANSLATE(C1179, ""en"", ""pl"")"),"Wpisz swój telefon.")</f>
        <v>Wpisz swój telefon.</v>
      </c>
      <c r="Z1179" s="7" t="str">
        <f>IFERROR(__xludf.DUMMYFUNCTION("GOOGLETRANSLATE(C1179, ""en"", ""pt"")"),"Por favor, digite seu telefone.")</f>
        <v>Por favor, digite seu telefone.</v>
      </c>
      <c r="AA1179" s="7" t="str">
        <f>IFERROR(__xludf.DUMMYFUNCTION("GOOGLETRANSLATE(C1179, ""en"", ""ro"")"),"Introduceți telefonul.")</f>
        <v>Introduceți telefonul.</v>
      </c>
      <c r="AB1179" s="1" t="s">
        <v>24372</v>
      </c>
      <c r="AC1179" s="7" t="str">
        <f>IFERROR(__xludf.DUMMYFUNCTION("GOOGLETRANSLATE(C1179, ""en"", ""sk"")"),"Zadajte svoj telefón.")</f>
        <v>Zadajte svoj telefón.</v>
      </c>
      <c r="AD1179" s="6" t="s">
        <v>132</v>
      </c>
      <c r="AE1179" s="1" t="s">
        <v>24373</v>
      </c>
      <c r="AF1179" s="7" t="str">
        <f>IFERROR(__xludf.DUMMYFUNCTION("GOOGLETRANSLATE(C1179, ""en"", ""sv"")"),"Vänligen ange din telefon.")</f>
        <v>Vänligen ange din telefon.</v>
      </c>
      <c r="AG1179" s="6" t="s">
        <v>132</v>
      </c>
      <c r="AH1179" s="7" t="str">
        <f>IFERROR(__xludf.DUMMYFUNCTION("GOOGLETRANSLATE(C1179, ""en"", ""tr"")"),"Lütfen telefonunuzu girin.")</f>
        <v>Lütfen telefonunuzu girin.</v>
      </c>
      <c r="AI1179" s="6" t="s">
        <v>132</v>
      </c>
      <c r="AJ1179" s="6" t="s">
        <v>132</v>
      </c>
      <c r="AK1179" s="7" t="str">
        <f>IFERROR(__xludf.DUMMYFUNCTION("GOOGLETRANSLATE(C1179, ""en"", ""zh"")"),"请输入您的手机。")</f>
        <v>请输入您的手机。</v>
      </c>
      <c r="AL1179" s="6" t="s">
        <v>132</v>
      </c>
    </row>
    <row r="1180" ht="15.75" customHeight="1">
      <c r="A1180" s="1" t="s">
        <v>127</v>
      </c>
      <c r="B1180" s="1" t="s">
        <v>24374</v>
      </c>
      <c r="C1180" s="1" t="s">
        <v>24375</v>
      </c>
      <c r="D1180" s="8" t="s">
        <v>24376</v>
      </c>
      <c r="E1180" s="1" t="s">
        <v>24377</v>
      </c>
      <c r="F1180" s="6" t="s">
        <v>132</v>
      </c>
      <c r="G1180" s="1" t="s">
        <v>24378</v>
      </c>
      <c r="H1180" s="1" t="s">
        <v>24379</v>
      </c>
      <c r="I1180" s="1" t="s">
        <v>24380</v>
      </c>
      <c r="J1180" s="6" t="s">
        <v>24381</v>
      </c>
      <c r="K1180" s="1" t="s">
        <v>24382</v>
      </c>
      <c r="L1180" s="1" t="s">
        <v>24383</v>
      </c>
      <c r="M1180" s="1" t="s">
        <v>24384</v>
      </c>
      <c r="N1180" s="6" t="s">
        <v>132</v>
      </c>
      <c r="O1180" s="6" t="s">
        <v>24385</v>
      </c>
      <c r="P1180" s="1" t="s">
        <v>24386</v>
      </c>
      <c r="Q1180" s="1" t="s">
        <v>24387</v>
      </c>
      <c r="R1180" s="1" t="s">
        <v>24388</v>
      </c>
      <c r="S1180" s="10" t="s">
        <v>24389</v>
      </c>
      <c r="T1180" s="1" t="s">
        <v>24390</v>
      </c>
      <c r="U1180" s="1" t="s">
        <v>24391</v>
      </c>
      <c r="V1180" s="1" t="s">
        <v>24387</v>
      </c>
      <c r="W1180" s="1" t="s">
        <v>24392</v>
      </c>
      <c r="X1180" s="1" t="s">
        <v>24393</v>
      </c>
      <c r="Y1180" s="1" t="s">
        <v>24394</v>
      </c>
      <c r="Z1180" s="1" t="s">
        <v>24395</v>
      </c>
      <c r="AA1180" s="1" t="s">
        <v>24396</v>
      </c>
      <c r="AB1180" s="1" t="s">
        <v>24397</v>
      </c>
      <c r="AC1180" s="1" t="s">
        <v>24398</v>
      </c>
      <c r="AD1180" s="6" t="s">
        <v>24399</v>
      </c>
      <c r="AE1180" s="1" t="s">
        <v>24400</v>
      </c>
      <c r="AF1180" s="1" t="s">
        <v>24401</v>
      </c>
      <c r="AG1180" s="6" t="s">
        <v>24402</v>
      </c>
      <c r="AH1180" s="1" t="s">
        <v>24403</v>
      </c>
      <c r="AI1180" s="6" t="s">
        <v>132</v>
      </c>
      <c r="AJ1180" s="6" t="s">
        <v>24404</v>
      </c>
      <c r="AK1180" s="1" t="s">
        <v>24405</v>
      </c>
      <c r="AL1180" s="6" t="s">
        <v>132</v>
      </c>
    </row>
    <row r="1181" ht="15.75" hidden="1" customHeight="1">
      <c r="A1181" s="1" t="s">
        <v>38</v>
      </c>
      <c r="B1181" s="1" t="s">
        <v>24406</v>
      </c>
      <c r="C1181" s="1" t="s">
        <v>24407</v>
      </c>
      <c r="D1181" s="8" t="s">
        <v>24408</v>
      </c>
      <c r="E1181" s="1" t="s">
        <v>24409</v>
      </c>
      <c r="F1181" s="6" t="s">
        <v>24410</v>
      </c>
      <c r="G1181" s="7" t="str">
        <f>IFERROR(__xludf.DUMMYFUNCTION("GOOGLETRANSLATE(C1181, ""en"", ""cs"")"),"Selhání relace")</f>
        <v>Selhání relace</v>
      </c>
      <c r="H1181" s="7" t="str">
        <f>IFERROR(__xludf.DUMMYFUNCTION("GOOGLETRANSLATE(C1181, ""en"", ""da"")"),"Sessionsfejl")</f>
        <v>Sessionsfejl</v>
      </c>
      <c r="I1181" s="1" t="s">
        <v>24411</v>
      </c>
      <c r="J1181" s="6" t="s">
        <v>132</v>
      </c>
      <c r="K1181" s="1" t="s">
        <v>24412</v>
      </c>
      <c r="L1181" s="7" t="str">
        <f>IFERROR(__xludf.DUMMYFUNCTION("GOOGLETRANSLATE(C1181, ""en"", ""fi"")"),"Istunnon vika")</f>
        <v>Istunnon vika</v>
      </c>
      <c r="M1181" s="1" t="s">
        <v>24413</v>
      </c>
      <c r="N1181" s="6" t="s">
        <v>24414</v>
      </c>
      <c r="O1181" s="6" t="s">
        <v>132</v>
      </c>
      <c r="P1181" s="1" t="s">
        <v>24415</v>
      </c>
      <c r="Q1181" s="7" t="str">
        <f>IFERROR(__xludf.DUMMYFUNCTION("GOOGLETRANSLATE(C1181, ""en"", ""in"")"),"Kegagalan sesi")</f>
        <v>Kegagalan sesi</v>
      </c>
      <c r="R1181" s="1" t="s">
        <v>24416</v>
      </c>
      <c r="S1181" s="6" t="s">
        <v>132</v>
      </c>
      <c r="T1181" s="1" t="s">
        <v>24417</v>
      </c>
      <c r="U1181" s="7" t="str">
        <f>IFERROR(__xludf.DUMMYFUNCTION("GOOGLETRANSLATE(C1181, ""en"", ""ko"")"),"세션 실패")</f>
        <v>세션 실패</v>
      </c>
      <c r="V1181" s="7" t="str">
        <f>IFERROR(__xludf.DUMMYFUNCTION("GOOGLETRANSLATE(C1181, ""en"", ""ms"")"),"Kegagalan sesi")</f>
        <v>Kegagalan sesi</v>
      </c>
      <c r="W1181" s="1" t="s">
        <v>24418</v>
      </c>
      <c r="X1181" s="7" t="str">
        <f>IFERROR(__xludf.DUMMYFUNCTION("GOOGLETRANSLATE(C1181, ""en"", ""no"")"),"Sessionsfeil")</f>
        <v>Sessionsfeil</v>
      </c>
      <c r="Y1181" s="1" t="s">
        <v>24419</v>
      </c>
      <c r="Z1181" s="7" t="str">
        <f>IFERROR(__xludf.DUMMYFUNCTION("GOOGLETRANSLATE(C1181, ""en"", ""pt"")"),"Falha da sessão.")</f>
        <v>Falha da sessão.</v>
      </c>
      <c r="AA1181" s="7" t="str">
        <f>IFERROR(__xludf.DUMMYFUNCTION("GOOGLETRANSLATE(C1181, ""en"", ""ro"")"),"Eșecul sesiunii")</f>
        <v>Eșecul sesiunii</v>
      </c>
      <c r="AB1181" s="1" t="s">
        <v>24420</v>
      </c>
      <c r="AC1181" s="7" t="str">
        <f>IFERROR(__xludf.DUMMYFUNCTION("GOOGLETRANSLATE(C1181, ""en"", ""sk"")"),"Zlyhanie relácie")</f>
        <v>Zlyhanie relácie</v>
      </c>
      <c r="AD1181" s="6" t="s">
        <v>132</v>
      </c>
      <c r="AE1181" s="1" t="s">
        <v>24421</v>
      </c>
      <c r="AF1181" s="1" t="s">
        <v>24422</v>
      </c>
      <c r="AG1181" s="6" t="s">
        <v>132</v>
      </c>
      <c r="AH1181" s="7" t="str">
        <f>IFERROR(__xludf.DUMMYFUNCTION("GOOGLETRANSLATE(C1181, ""en"", ""tr"")"),"Oturum Başarısızlığı")</f>
        <v>Oturum Başarısızlığı</v>
      </c>
      <c r="AI1181" s="6" t="s">
        <v>24423</v>
      </c>
      <c r="AJ1181" s="6" t="s">
        <v>132</v>
      </c>
      <c r="AK1181" s="7" t="str">
        <f>IFERROR(__xludf.DUMMYFUNCTION("GOOGLETRANSLATE(C1181, ""en"", ""zh"")"),"会话失败")</f>
        <v>会话失败</v>
      </c>
      <c r="AL1181" s="6" t="s">
        <v>24424</v>
      </c>
    </row>
    <row r="1182" ht="15.75" hidden="1" customHeight="1">
      <c r="A1182" s="1" t="s">
        <v>38</v>
      </c>
      <c r="B1182" s="1" t="s">
        <v>24425</v>
      </c>
      <c r="C1182" s="1" t="s">
        <v>24426</v>
      </c>
      <c r="D1182" s="7" t="str">
        <f>IFERROR(__xludf.DUMMYFUNCTION("GOOGLETRANSLATE(C1182, ""en"", ""ar"")"),"لا شهادات معتمدة يدويا")</f>
        <v>لا شهادات معتمدة يدويا</v>
      </c>
      <c r="E1182" s="1" t="s">
        <v>24427</v>
      </c>
      <c r="F1182" s="6" t="s">
        <v>24428</v>
      </c>
      <c r="G1182" s="7" t="str">
        <f>IFERROR(__xludf.DUMMYFUNCTION("GOOGLETRANSLATE(C1182, ""en"", ""cs"")"),"Žádné ručně schválené certifikáty")</f>
        <v>Žádné ručně schválené certifikáty</v>
      </c>
      <c r="H1182" s="7" t="str">
        <f>IFERROR(__xludf.DUMMYFUNCTION("GOOGLETRANSLATE(C1182, ""en"", ""da"")"),"Ingen manuelt godkendte certifikater")</f>
        <v>Ingen manuelt godkendte certifikater</v>
      </c>
      <c r="I1182" s="1" t="s">
        <v>24429</v>
      </c>
      <c r="J1182" s="6" t="s">
        <v>132</v>
      </c>
      <c r="K1182" s="1" t="s">
        <v>24430</v>
      </c>
      <c r="L1182" s="7" t="str">
        <f>IFERROR(__xludf.DUMMYFUNCTION("GOOGLETRANSLATE(C1182, ""en"", ""fi"")"),"Ei manuaalisesti hyväksyttyjä todistuksia")</f>
        <v>Ei manuaalisesti hyväksyttyjä todistuksia</v>
      </c>
      <c r="M1182" s="1" t="s">
        <v>24431</v>
      </c>
      <c r="N1182" s="6" t="s">
        <v>24432</v>
      </c>
      <c r="O1182" s="6" t="s">
        <v>132</v>
      </c>
      <c r="P1182" s="1" t="s">
        <v>24433</v>
      </c>
      <c r="Q1182" s="9" t="s">
        <v>24434</v>
      </c>
      <c r="R1182" s="1" t="s">
        <v>24435</v>
      </c>
      <c r="S1182" s="6" t="s">
        <v>132</v>
      </c>
      <c r="T1182" s="1" t="s">
        <v>24436</v>
      </c>
      <c r="U1182" s="1" t="s">
        <v>24437</v>
      </c>
      <c r="V1182" s="7" t="str">
        <f>IFERROR(__xludf.DUMMYFUNCTION("GOOGLETRANSLATE(C1182, ""en"", ""ms"")"),"Tiada sijil yang diluluskan secara manual")</f>
        <v>Tiada sijil yang diluluskan secara manual</v>
      </c>
      <c r="W1182" s="1" t="s">
        <v>24438</v>
      </c>
      <c r="X1182" s="7" t="str">
        <f>IFERROR(__xludf.DUMMYFUNCTION("GOOGLETRANSLATE(C1182, ""en"", ""no"")"),"Ingen godkjente sertifikater manuelt")</f>
        <v>Ingen godkjente sertifikater manuelt</v>
      </c>
      <c r="Y1182" s="1" t="s">
        <v>24439</v>
      </c>
      <c r="Z1182" s="1" t="s">
        <v>24440</v>
      </c>
      <c r="AA1182" s="7" t="str">
        <f>IFERROR(__xludf.DUMMYFUNCTION("GOOGLETRANSLATE(C1182, ""en"", ""ro"")"),"Nu există certificate aprobate manual")</f>
        <v>Nu există certificate aprobate manual</v>
      </c>
      <c r="AB1182" s="1" t="s">
        <v>24441</v>
      </c>
      <c r="AC1182" s="1" t="s">
        <v>24442</v>
      </c>
      <c r="AD1182" s="6" t="s">
        <v>132</v>
      </c>
      <c r="AE1182" s="1" t="s">
        <v>24443</v>
      </c>
      <c r="AF1182" s="1" t="s">
        <v>24444</v>
      </c>
      <c r="AG1182" s="6" t="s">
        <v>132</v>
      </c>
      <c r="AH1182" s="7" t="str">
        <f>IFERROR(__xludf.DUMMYFUNCTION("GOOGLETRANSLATE(C1182, ""en"", ""tr"")"),"Manuel olarak onaylanmış sertifikalar yok")</f>
        <v>Manuel olarak onaylanmış sertifikalar yok</v>
      </c>
      <c r="AI1182" s="6" t="s">
        <v>24445</v>
      </c>
      <c r="AJ1182" s="6" t="s">
        <v>24446</v>
      </c>
      <c r="AK1182" s="7" t="str">
        <f>IFERROR(__xludf.DUMMYFUNCTION("GOOGLETRANSLATE(C1182, ""en"", ""zh"")"),"没有手动批准证书")</f>
        <v>没有手动批准证书</v>
      </c>
      <c r="AL1182" s="6" t="s">
        <v>24447</v>
      </c>
    </row>
    <row r="1183" ht="15.75" customHeight="1">
      <c r="A1183" s="1" t="s">
        <v>127</v>
      </c>
      <c r="B1183" s="1" t="s">
        <v>24448</v>
      </c>
      <c r="C1183" s="1" t="s">
        <v>24449</v>
      </c>
      <c r="D1183" s="8" t="s">
        <v>23015</v>
      </c>
      <c r="E1183" s="1" t="s">
        <v>23016</v>
      </c>
      <c r="F1183" s="6" t="s">
        <v>132</v>
      </c>
      <c r="G1183" s="1" t="s">
        <v>23017</v>
      </c>
      <c r="H1183" s="1" t="s">
        <v>23018</v>
      </c>
      <c r="I1183" s="1" t="s">
        <v>23019</v>
      </c>
      <c r="J1183" s="6" t="s">
        <v>23020</v>
      </c>
      <c r="K1183" s="1" t="s">
        <v>24450</v>
      </c>
      <c r="L1183" s="1" t="s">
        <v>23022</v>
      </c>
      <c r="M1183" s="1" t="s">
        <v>23023</v>
      </c>
      <c r="N1183" s="6" t="s">
        <v>132</v>
      </c>
      <c r="O1183" s="6" t="s">
        <v>8477</v>
      </c>
      <c r="P1183" s="1" t="s">
        <v>23025</v>
      </c>
      <c r="Q1183" s="1" t="s">
        <v>23026</v>
      </c>
      <c r="R1183" s="1" t="s">
        <v>24451</v>
      </c>
      <c r="S1183" s="10" t="s">
        <v>24452</v>
      </c>
      <c r="T1183" s="1" t="s">
        <v>8482</v>
      </c>
      <c r="U1183" s="1" t="s">
        <v>8483</v>
      </c>
      <c r="V1183" s="1" t="s">
        <v>8484</v>
      </c>
      <c r="W1183" s="1" t="s">
        <v>23030</v>
      </c>
      <c r="X1183" s="1" t="s">
        <v>23031</v>
      </c>
      <c r="Y1183" s="1" t="s">
        <v>23032</v>
      </c>
      <c r="Z1183" s="1" t="s">
        <v>23033</v>
      </c>
      <c r="AA1183" s="1" t="s">
        <v>24453</v>
      </c>
      <c r="AB1183" s="1" t="s">
        <v>24454</v>
      </c>
      <c r="AC1183" s="1" t="s">
        <v>23036</v>
      </c>
      <c r="AD1183" s="6" t="s">
        <v>23037</v>
      </c>
      <c r="AE1183" s="1" t="s">
        <v>23038</v>
      </c>
      <c r="AF1183" s="1" t="s">
        <v>23039</v>
      </c>
      <c r="AG1183" s="6" t="s">
        <v>8493</v>
      </c>
      <c r="AH1183" s="1" t="s">
        <v>24455</v>
      </c>
      <c r="AI1183" s="6" t="s">
        <v>132</v>
      </c>
      <c r="AJ1183" s="6" t="s">
        <v>8495</v>
      </c>
      <c r="AK1183" s="1" t="s">
        <v>8496</v>
      </c>
      <c r="AL1183" s="6" t="s">
        <v>23041</v>
      </c>
    </row>
    <row r="1184" ht="15.75" hidden="1" customHeight="1">
      <c r="A1184" s="1" t="s">
        <v>38</v>
      </c>
      <c r="B1184" s="1" t="s">
        <v>24456</v>
      </c>
      <c r="C1184" s="1" t="s">
        <v>24457</v>
      </c>
      <c r="D1184" s="8" t="s">
        <v>24458</v>
      </c>
      <c r="E1184" s="1" t="s">
        <v>24459</v>
      </c>
      <c r="F1184" s="6" t="s">
        <v>24460</v>
      </c>
      <c r="G1184" s="7" t="str">
        <f>IFERROR(__xludf.DUMMYFUNCTION("GOOGLETRANSLATE(C1184, ""en"", ""cs"")"),"% s nabízené ke stažení")</f>
        <v>% s nabízené ke stažení</v>
      </c>
      <c r="H1184" s="7" t="str">
        <f>IFERROR(__xludf.DUMMYFUNCTION("GOOGLETRANSLATE(C1184, ""en"", ""da"")"),"% s tilbydes til download")</f>
        <v>% s tilbydes til download</v>
      </c>
      <c r="I1184" s="1" t="s">
        <v>24461</v>
      </c>
      <c r="J1184" s="6" t="s">
        <v>132</v>
      </c>
      <c r="K1184" s="1" t="s">
        <v>24462</v>
      </c>
      <c r="L1184" s="7" t="str">
        <f>IFERROR(__xludf.DUMMYFUNCTION("GOOGLETRANSLATE(C1184, ""en"", ""fi"")"),"% s Tarjota ladattavaksi")</f>
        <v>% s Tarjota ladattavaksi</v>
      </c>
      <c r="M1184" s="1" t="s">
        <v>24463</v>
      </c>
      <c r="N1184" s="6" t="s">
        <v>24464</v>
      </c>
      <c r="O1184" s="6" t="s">
        <v>132</v>
      </c>
      <c r="P1184" s="1" t="s">
        <v>24465</v>
      </c>
      <c r="Q1184" s="9" t="s">
        <v>24466</v>
      </c>
      <c r="R1184" s="1" t="s">
        <v>24467</v>
      </c>
      <c r="S1184" s="6" t="s">
        <v>132</v>
      </c>
      <c r="T1184" s="1" t="s">
        <v>24468</v>
      </c>
      <c r="U1184" s="1" t="s">
        <v>24469</v>
      </c>
      <c r="V1184" s="7" t="str">
        <f>IFERROR(__xludf.DUMMYFUNCTION("GOOGLETRANSLATE(C1184, ""en"", ""ms"")"),"% s yang ditawarkan untuk muat turun")</f>
        <v>% s yang ditawarkan untuk muat turun</v>
      </c>
      <c r="W1184" s="1" t="s">
        <v>24470</v>
      </c>
      <c r="X1184" s="7" t="str">
        <f>IFERROR(__xludf.DUMMYFUNCTION("GOOGLETRANSLATE(C1184, ""en"", ""no"")"),"% s tilbudt for nedlasting")</f>
        <v>% s tilbudt for nedlasting</v>
      </c>
      <c r="Y1184" s="1" t="s">
        <v>24471</v>
      </c>
      <c r="Z1184" s="1" t="s">
        <v>24472</v>
      </c>
      <c r="AA1184" s="7" t="str">
        <f>IFERROR(__xludf.DUMMYFUNCTION("GOOGLETRANSLATE(C1184, ""en"", ""ro"")"),"% s oferite pentru descărcare")</f>
        <v>% s oferite pentru descărcare</v>
      </c>
      <c r="AB1184" s="1" t="s">
        <v>24473</v>
      </c>
      <c r="AC1184" s="1" t="s">
        <v>24474</v>
      </c>
      <c r="AD1184" s="6" t="s">
        <v>132</v>
      </c>
      <c r="AE1184" s="1" t="s">
        <v>24475</v>
      </c>
      <c r="AF1184" s="1" t="s">
        <v>24476</v>
      </c>
      <c r="AG1184" s="6" t="s">
        <v>132</v>
      </c>
      <c r="AH1184" s="7" t="str">
        <f>IFERROR(__xludf.DUMMYFUNCTION("GOOGLETRANSLATE(C1184, ""en"", ""tr"")"),"indirme için sunulan% s")</f>
        <v>indirme için sunulan% s</v>
      </c>
      <c r="AI1184" s="6" t="s">
        <v>24477</v>
      </c>
      <c r="AJ1184" s="6" t="s">
        <v>24478</v>
      </c>
      <c r="AK1184" s="7" t="str">
        <f>IFERROR(__xludf.DUMMYFUNCTION("GOOGLETRANSLATE(C1184, ""en"", ""zh"")"),"％s提供下载")</f>
        <v>％s提供下载</v>
      </c>
      <c r="AL1184" s="6" t="s">
        <v>24479</v>
      </c>
    </row>
    <row r="1185" ht="15.75" customHeight="1">
      <c r="A1185" s="1" t="s">
        <v>127</v>
      </c>
      <c r="B1185" s="1" t="s">
        <v>24480</v>
      </c>
      <c r="C1185" s="1" t="s">
        <v>738</v>
      </c>
      <c r="D1185" s="8" t="s">
        <v>739</v>
      </c>
      <c r="E1185" s="1" t="s">
        <v>740</v>
      </c>
      <c r="F1185" s="6" t="s">
        <v>132</v>
      </c>
      <c r="G1185" s="1" t="s">
        <v>741</v>
      </c>
      <c r="H1185" s="1" t="s">
        <v>742</v>
      </c>
      <c r="I1185" s="1" t="s">
        <v>743</v>
      </c>
      <c r="J1185" s="6" t="s">
        <v>744</v>
      </c>
      <c r="K1185" s="1" t="s">
        <v>745</v>
      </c>
      <c r="L1185" s="1" t="s">
        <v>746</v>
      </c>
      <c r="M1185" s="1" t="s">
        <v>747</v>
      </c>
      <c r="N1185" s="6" t="s">
        <v>132</v>
      </c>
      <c r="O1185" s="6" t="s">
        <v>748</v>
      </c>
      <c r="P1185" s="1" t="s">
        <v>749</v>
      </c>
      <c r="Q1185" s="1" t="s">
        <v>750</v>
      </c>
      <c r="R1185" s="1" t="s">
        <v>751</v>
      </c>
      <c r="S1185" s="10" t="s">
        <v>752</v>
      </c>
      <c r="T1185" s="1" t="s">
        <v>753</v>
      </c>
      <c r="U1185" s="1" t="s">
        <v>754</v>
      </c>
      <c r="V1185" s="1" t="s">
        <v>755</v>
      </c>
      <c r="W1185" s="1" t="s">
        <v>756</v>
      </c>
      <c r="X1185" s="1" t="s">
        <v>750</v>
      </c>
      <c r="Y1185" s="1" t="s">
        <v>757</v>
      </c>
      <c r="Z1185" s="1" t="s">
        <v>745</v>
      </c>
      <c r="AA1185" s="1" t="s">
        <v>747</v>
      </c>
      <c r="AB1185" s="1" t="s">
        <v>740</v>
      </c>
      <c r="AC1185" s="1" t="s">
        <v>749</v>
      </c>
      <c r="AD1185" s="6" t="s">
        <v>759</v>
      </c>
      <c r="AE1185" s="1" t="s">
        <v>750</v>
      </c>
      <c r="AF1185" s="1" t="s">
        <v>742</v>
      </c>
      <c r="AG1185" s="6" t="s">
        <v>760</v>
      </c>
      <c r="AH1185" s="1" t="s">
        <v>761</v>
      </c>
      <c r="AI1185" s="6" t="s">
        <v>132</v>
      </c>
      <c r="AJ1185" s="6" t="s">
        <v>762</v>
      </c>
      <c r="AK1185" s="1" t="s">
        <v>24481</v>
      </c>
      <c r="AL1185" s="6" t="s">
        <v>24482</v>
      </c>
    </row>
    <row r="1186" ht="15.75" customHeight="1">
      <c r="A1186" s="1" t="s">
        <v>127</v>
      </c>
      <c r="B1186" s="1" t="s">
        <v>24483</v>
      </c>
      <c r="C1186" s="1" t="s">
        <v>24484</v>
      </c>
      <c r="D1186" s="8" t="s">
        <v>24485</v>
      </c>
      <c r="E1186" s="1" t="s">
        <v>24486</v>
      </c>
      <c r="F1186" s="6" t="s">
        <v>132</v>
      </c>
      <c r="G1186" s="1" t="s">
        <v>24487</v>
      </c>
      <c r="H1186" s="1" t="s">
        <v>24488</v>
      </c>
      <c r="I1186" s="1" t="s">
        <v>24489</v>
      </c>
      <c r="J1186" s="6" t="s">
        <v>24490</v>
      </c>
      <c r="K1186" s="1" t="s">
        <v>24491</v>
      </c>
      <c r="L1186" s="1" t="s">
        <v>24492</v>
      </c>
      <c r="M1186" s="1" t="s">
        <v>24493</v>
      </c>
      <c r="N1186" s="6" t="s">
        <v>132</v>
      </c>
      <c r="O1186" s="6" t="s">
        <v>24494</v>
      </c>
      <c r="P1186" s="1" t="s">
        <v>4565</v>
      </c>
      <c r="Q1186" s="1" t="s">
        <v>24495</v>
      </c>
      <c r="R1186" s="1" t="s">
        <v>24496</v>
      </c>
      <c r="S1186" s="10" t="s">
        <v>24497</v>
      </c>
      <c r="T1186" s="1" t="s">
        <v>24484</v>
      </c>
      <c r="U1186" s="1" t="s">
        <v>24498</v>
      </c>
      <c r="V1186" s="1" t="s">
        <v>24495</v>
      </c>
      <c r="W1186" s="1" t="s">
        <v>24499</v>
      </c>
      <c r="X1186" s="1" t="s">
        <v>24500</v>
      </c>
      <c r="Y1186" s="1" t="s">
        <v>24501</v>
      </c>
      <c r="Z1186" s="1" t="s">
        <v>24502</v>
      </c>
      <c r="AA1186" s="1" t="s">
        <v>24503</v>
      </c>
      <c r="AB1186" s="1" t="s">
        <v>4576</v>
      </c>
      <c r="AC1186" s="1" t="s">
        <v>24504</v>
      </c>
      <c r="AD1186" s="6" t="s">
        <v>24505</v>
      </c>
      <c r="AE1186" s="1" t="s">
        <v>4579</v>
      </c>
      <c r="AF1186" s="1" t="s">
        <v>24506</v>
      </c>
      <c r="AG1186" s="6" t="s">
        <v>24507</v>
      </c>
      <c r="AH1186" s="1" t="s">
        <v>24508</v>
      </c>
      <c r="AI1186" s="6" t="s">
        <v>132</v>
      </c>
      <c r="AJ1186" s="6" t="s">
        <v>24509</v>
      </c>
      <c r="AK1186" s="1" t="s">
        <v>24510</v>
      </c>
      <c r="AL1186" s="6" t="s">
        <v>24511</v>
      </c>
    </row>
    <row r="1187" ht="15.75" hidden="1" customHeight="1">
      <c r="A1187" s="1" t="s">
        <v>38</v>
      </c>
      <c r="B1187" s="1" t="s">
        <v>24512</v>
      </c>
      <c r="C1187" s="1" t="s">
        <v>24513</v>
      </c>
      <c r="D1187" s="7" t="str">
        <f>IFERROR(__xludf.DUMMYFUNCTION("GOOGLETRANSLATE(C1187, ""en"", ""ar"")"),"فيجي")</f>
        <v>فيجي</v>
      </c>
      <c r="E1187" s="7" t="str">
        <f>IFERROR(__xludf.DUMMYFUNCTION("GOOGLETRANSLATE(C1187, ""en"", ""bg"")"),"Фиджи")</f>
        <v>Фиджи</v>
      </c>
      <c r="F1187" s="6" t="s">
        <v>132</v>
      </c>
      <c r="G1187" s="7" t="str">
        <f>IFERROR(__xludf.DUMMYFUNCTION("GOOGLETRANSLATE(C1187, ""en"", ""cs"")"),"Fidži")</f>
        <v>Fidži</v>
      </c>
      <c r="H1187" s="7" t="str">
        <f>IFERROR(__xludf.DUMMYFUNCTION("GOOGLETRANSLATE(C1187, ""en"", ""da"")"),"Fiji.")</f>
        <v>Fiji.</v>
      </c>
      <c r="I1187" s="1" t="s">
        <v>24514</v>
      </c>
      <c r="J1187" s="6" t="s">
        <v>132</v>
      </c>
      <c r="K1187" s="1" t="s">
        <v>24513</v>
      </c>
      <c r="L1187" s="7" t="str">
        <f>IFERROR(__xludf.DUMMYFUNCTION("GOOGLETRANSLATE(C1187, ""en"", ""fi"")"),"Fiji")</f>
        <v>Fiji</v>
      </c>
      <c r="M1187" s="1" t="s">
        <v>24515</v>
      </c>
      <c r="N1187" s="6" t="s">
        <v>132</v>
      </c>
      <c r="O1187" s="6" t="s">
        <v>132</v>
      </c>
      <c r="P1187" s="1" t="s">
        <v>24513</v>
      </c>
      <c r="Q1187" s="7" t="str">
        <f>IFERROR(__xludf.DUMMYFUNCTION("GOOGLETRANSLATE(C1187, ""en"", ""in"")"),"Fiji.")</f>
        <v>Fiji.</v>
      </c>
      <c r="R1187" s="7" t="str">
        <f>IFERROR(__xludf.DUMMYFUNCTION("GOOGLETRANSLATE(C1187, ""en"", ""it"")"),"Fiji.")</f>
        <v>Fiji.</v>
      </c>
      <c r="S1187" s="6" t="s">
        <v>132</v>
      </c>
      <c r="T1187" s="7" t="str">
        <f>IFERROR(__xludf.DUMMYFUNCTION("GOOGLETRANSLATE(C1187, ""en"", ""ja"")"),"フィジー")</f>
        <v>フィジー</v>
      </c>
      <c r="U1187" s="7" t="str">
        <f>IFERROR(__xludf.DUMMYFUNCTION("GOOGLETRANSLATE(C1187, ""en"", ""ko"")"),"피지")</f>
        <v>피지</v>
      </c>
      <c r="V1187" s="7" t="str">
        <f>IFERROR(__xludf.DUMMYFUNCTION("GOOGLETRANSLATE(C1187, ""en"", ""ms"")"),"Fiji.")</f>
        <v>Fiji.</v>
      </c>
      <c r="W1187" s="7" t="str">
        <f>IFERROR(__xludf.DUMMYFUNCTION("GOOGLETRANSLATE(C1187, ""en"", ""nl"")"),"Fiji")</f>
        <v>Fiji</v>
      </c>
      <c r="X1187" s="7" t="str">
        <f>IFERROR(__xludf.DUMMYFUNCTION("GOOGLETRANSLATE(C1187, ""en"", ""no"")"),"Fiji.")</f>
        <v>Fiji.</v>
      </c>
      <c r="Y1187" s="7" t="str">
        <f>IFERROR(__xludf.DUMMYFUNCTION("GOOGLETRANSLATE(C1187, ""en"", ""pl"")"),"Fidżi")</f>
        <v>Fidżi</v>
      </c>
      <c r="Z1187" s="7" t="str">
        <f>IFERROR(__xludf.DUMMYFUNCTION("GOOGLETRANSLATE(C1187, ""en"", ""pt"")"),"Fiji.")</f>
        <v>Fiji.</v>
      </c>
      <c r="AA1187" s="7" t="str">
        <f>IFERROR(__xludf.DUMMYFUNCTION("GOOGLETRANSLATE(C1187, ""en"", ""ro"")"),"Fiji.")</f>
        <v>Fiji.</v>
      </c>
      <c r="AB1187" s="1" t="s">
        <v>24516</v>
      </c>
      <c r="AC1187" s="7" t="str">
        <f>IFERROR(__xludf.DUMMYFUNCTION("GOOGLETRANSLATE(C1187, ""en"", ""sk"")"),"Fidji")</f>
        <v>Fidji</v>
      </c>
      <c r="AD1187" s="6" t="s">
        <v>132</v>
      </c>
      <c r="AE1187" s="1" t="s">
        <v>24517</v>
      </c>
      <c r="AF1187" s="7" t="str">
        <f>IFERROR(__xludf.DUMMYFUNCTION("GOOGLETRANSLATE(C1187, ""en"", ""sv"")"),"Fiji")</f>
        <v>Fiji</v>
      </c>
      <c r="AG1187" s="6" t="s">
        <v>132</v>
      </c>
      <c r="AH1187" s="7" t="str">
        <f>IFERROR(__xludf.DUMMYFUNCTION("GOOGLETRANSLATE(C1187, ""en"", ""tr"")"),"Fiji")</f>
        <v>Fiji</v>
      </c>
      <c r="AI1187" s="6" t="s">
        <v>132</v>
      </c>
      <c r="AJ1187" s="6" t="s">
        <v>132</v>
      </c>
      <c r="AK1187" s="7" t="str">
        <f>IFERROR(__xludf.DUMMYFUNCTION("GOOGLETRANSLATE(C1187, ""en"", ""zh"")"),"斐济")</f>
        <v>斐济</v>
      </c>
      <c r="AL1187" s="6" t="s">
        <v>132</v>
      </c>
    </row>
    <row r="1188" ht="15.75" customHeight="1">
      <c r="A1188" s="1" t="s">
        <v>127</v>
      </c>
      <c r="B1188" s="1" t="s">
        <v>24518</v>
      </c>
      <c r="C1188" s="1" t="s">
        <v>24519</v>
      </c>
      <c r="D1188" s="8" t="s">
        <v>24520</v>
      </c>
      <c r="E1188" s="1" t="s">
        <v>24521</v>
      </c>
      <c r="F1188" s="6" t="s">
        <v>132</v>
      </c>
      <c r="G1188" s="1" t="s">
        <v>24522</v>
      </c>
      <c r="H1188" s="1" t="s">
        <v>24523</v>
      </c>
      <c r="I1188" s="1" t="s">
        <v>24524</v>
      </c>
      <c r="J1188" s="6" t="s">
        <v>24525</v>
      </c>
      <c r="K1188" s="1" t="s">
        <v>24526</v>
      </c>
      <c r="L1188" s="1" t="s">
        <v>24527</v>
      </c>
      <c r="M1188" s="1" t="s">
        <v>24528</v>
      </c>
      <c r="N1188" s="6" t="s">
        <v>132</v>
      </c>
      <c r="O1188" s="6" t="s">
        <v>24529</v>
      </c>
      <c r="P1188" s="1" t="s">
        <v>24519</v>
      </c>
      <c r="Q1188" s="1" t="s">
        <v>24530</v>
      </c>
      <c r="R1188" s="1" t="s">
        <v>24519</v>
      </c>
      <c r="S1188" s="10" t="s">
        <v>24531</v>
      </c>
      <c r="T1188" s="1" t="s">
        <v>24532</v>
      </c>
      <c r="U1188" s="1" t="s">
        <v>24533</v>
      </c>
      <c r="V1188" s="1" t="s">
        <v>24534</v>
      </c>
      <c r="W1188" s="1" t="s">
        <v>24535</v>
      </c>
      <c r="X1188" s="1" t="s">
        <v>24536</v>
      </c>
      <c r="Y1188" s="1" t="s">
        <v>24537</v>
      </c>
      <c r="Z1188" s="1" t="s">
        <v>24538</v>
      </c>
      <c r="AA1188" s="1" t="s">
        <v>24539</v>
      </c>
      <c r="AB1188" s="1" t="s">
        <v>24540</v>
      </c>
      <c r="AC1188" s="1" t="s">
        <v>24541</v>
      </c>
      <c r="AD1188" s="6" t="s">
        <v>24542</v>
      </c>
      <c r="AE1188" s="1" t="s">
        <v>24543</v>
      </c>
      <c r="AF1188" s="1" t="s">
        <v>24536</v>
      </c>
      <c r="AG1188" s="6" t="s">
        <v>24544</v>
      </c>
      <c r="AH1188" s="1" t="s">
        <v>24545</v>
      </c>
      <c r="AI1188" s="6" t="s">
        <v>132</v>
      </c>
      <c r="AJ1188" s="6" t="s">
        <v>24546</v>
      </c>
      <c r="AK1188" s="1" t="s">
        <v>24547</v>
      </c>
      <c r="AL1188" s="6" t="s">
        <v>132</v>
      </c>
    </row>
    <row r="1189" ht="15.75" hidden="1" customHeight="1">
      <c r="A1189" s="1" t="s">
        <v>38</v>
      </c>
      <c r="B1189" s="1" t="s">
        <v>24548</v>
      </c>
      <c r="C1189" s="1" t="s">
        <v>24549</v>
      </c>
      <c r="D1189" s="7" t="str">
        <f>IFERROR(__xludf.DUMMYFUNCTION("GOOGLETRANSLATE(C1189, ""en"", ""ar"")"),"ديك رومى")</f>
        <v>ديك رومى</v>
      </c>
      <c r="E1189" s="7" t="str">
        <f>IFERROR(__xludf.DUMMYFUNCTION("GOOGLETRANSLATE(C1189, ""en"", ""bg"")"),"Турция")</f>
        <v>Турция</v>
      </c>
      <c r="F1189" s="6" t="s">
        <v>132</v>
      </c>
      <c r="G1189" s="7" t="str">
        <f>IFERROR(__xludf.DUMMYFUNCTION("GOOGLETRANSLATE(C1189, ""en"", ""cs"")"),"krocan")</f>
        <v>krocan</v>
      </c>
      <c r="H1189" s="7" t="str">
        <f>IFERROR(__xludf.DUMMYFUNCTION("GOOGLETRANSLATE(C1189, ""en"", ""da"")"),"Kalkun")</f>
        <v>Kalkun</v>
      </c>
      <c r="I1189" s="1" t="s">
        <v>24550</v>
      </c>
      <c r="J1189" s="6" t="s">
        <v>132</v>
      </c>
      <c r="K1189" s="1" t="s">
        <v>24551</v>
      </c>
      <c r="L1189" s="7" t="str">
        <f>IFERROR(__xludf.DUMMYFUNCTION("GOOGLETRANSLATE(C1189, ""en"", ""fi"")"),"Turkki")</f>
        <v>Turkki</v>
      </c>
      <c r="M1189" s="1" t="s">
        <v>24552</v>
      </c>
      <c r="N1189" s="6" t="s">
        <v>132</v>
      </c>
      <c r="O1189" s="6" t="s">
        <v>132</v>
      </c>
      <c r="P1189" s="1" t="s">
        <v>24549</v>
      </c>
      <c r="Q1189" s="7" t="str">
        <f>IFERROR(__xludf.DUMMYFUNCTION("GOOGLETRANSLATE(C1189, ""en"", ""in"")"),"Turki")</f>
        <v>Turki</v>
      </c>
      <c r="R1189" s="7" t="str">
        <f>IFERROR(__xludf.DUMMYFUNCTION("GOOGLETRANSLATE(C1189, ""en"", ""it"")"),"tacchino")</f>
        <v>tacchino</v>
      </c>
      <c r="S1189" s="6" t="s">
        <v>132</v>
      </c>
      <c r="T1189" s="7" t="str">
        <f>IFERROR(__xludf.DUMMYFUNCTION("GOOGLETRANSLATE(C1189, ""en"", ""ja"")"),"七面鳥")</f>
        <v>七面鳥</v>
      </c>
      <c r="U1189" s="7" t="str">
        <f>IFERROR(__xludf.DUMMYFUNCTION("GOOGLETRANSLATE(C1189, ""en"", ""ko"")"),"터키")</f>
        <v>터키</v>
      </c>
      <c r="V1189" s="7" t="str">
        <f>IFERROR(__xludf.DUMMYFUNCTION("GOOGLETRANSLATE(C1189, ""en"", ""ms"")"),"Turki")</f>
        <v>Turki</v>
      </c>
      <c r="W1189" s="7" t="str">
        <f>IFERROR(__xludf.DUMMYFUNCTION("GOOGLETRANSLATE(C1189, ""en"", ""nl"")"),"kalkoen")</f>
        <v>kalkoen</v>
      </c>
      <c r="X1189" s="7" t="str">
        <f>IFERROR(__xludf.DUMMYFUNCTION("GOOGLETRANSLATE(C1189, ""en"", ""no"")"),"Tyrkia")</f>
        <v>Tyrkia</v>
      </c>
      <c r="Y1189" s="7" t="str">
        <f>IFERROR(__xludf.DUMMYFUNCTION("GOOGLETRANSLATE(C1189, ""en"", ""pl"")"),"indyk")</f>
        <v>indyk</v>
      </c>
      <c r="Z1189" s="7" t="str">
        <f>IFERROR(__xludf.DUMMYFUNCTION("GOOGLETRANSLATE(C1189, ""en"", ""pt"")"),"Peru")</f>
        <v>Peru</v>
      </c>
      <c r="AA1189" s="7" t="str">
        <f>IFERROR(__xludf.DUMMYFUNCTION("GOOGLETRANSLATE(C1189, ""en"", ""ro"")"),"Curcan")</f>
        <v>Curcan</v>
      </c>
      <c r="AB1189" s="1" t="s">
        <v>24553</v>
      </c>
      <c r="AC1189" s="7" t="str">
        <f>IFERROR(__xludf.DUMMYFUNCTION("GOOGLETRANSLATE(C1189, ""en"", ""sk"")"),"Turecko")</f>
        <v>Turecko</v>
      </c>
      <c r="AD1189" s="6" t="s">
        <v>132</v>
      </c>
      <c r="AE1189" s="1" t="s">
        <v>24554</v>
      </c>
      <c r="AF1189" s="7" t="str">
        <f>IFERROR(__xludf.DUMMYFUNCTION("GOOGLETRANSLATE(C1189, ""en"", ""sv"")"),"Kalkon")</f>
        <v>Kalkon</v>
      </c>
      <c r="AG1189" s="6" t="s">
        <v>132</v>
      </c>
      <c r="AH1189" s="7" t="str">
        <f>IFERROR(__xludf.DUMMYFUNCTION("GOOGLETRANSLATE(C1189, ""en"", ""tr"")"),"Türkiye")</f>
        <v>Türkiye</v>
      </c>
      <c r="AI1189" s="6" t="s">
        <v>132</v>
      </c>
      <c r="AJ1189" s="6" t="s">
        <v>132</v>
      </c>
      <c r="AK1189" s="7" t="str">
        <f>IFERROR(__xludf.DUMMYFUNCTION("GOOGLETRANSLATE(C1189, ""en"", ""zh"")"),"火鸡")</f>
        <v>火鸡</v>
      </c>
      <c r="AL1189" s="6" t="s">
        <v>132</v>
      </c>
    </row>
    <row r="1190" ht="15.75" customHeight="1">
      <c r="A1190" s="1" t="s">
        <v>127</v>
      </c>
      <c r="B1190" s="1" t="s">
        <v>24555</v>
      </c>
      <c r="C1190" s="1" t="s">
        <v>1205</v>
      </c>
      <c r="D1190" s="8" t="s">
        <v>1206</v>
      </c>
      <c r="E1190" s="1" t="s">
        <v>24556</v>
      </c>
      <c r="F1190" s="6" t="s">
        <v>132</v>
      </c>
      <c r="G1190" s="1" t="s">
        <v>1208</v>
      </c>
      <c r="H1190" s="1" t="s">
        <v>1209</v>
      </c>
      <c r="I1190" s="1" t="s">
        <v>1210</v>
      </c>
      <c r="J1190" s="6" t="s">
        <v>1211</v>
      </c>
      <c r="K1190" s="1" t="s">
        <v>1212</v>
      </c>
      <c r="L1190" s="1" t="s">
        <v>1213</v>
      </c>
      <c r="M1190" s="1" t="s">
        <v>1214</v>
      </c>
      <c r="N1190" s="6" t="s">
        <v>132</v>
      </c>
      <c r="O1190" s="6" t="s">
        <v>1215</v>
      </c>
      <c r="P1190" s="1" t="s">
        <v>1216</v>
      </c>
      <c r="Q1190" s="1" t="s">
        <v>1217</v>
      </c>
      <c r="R1190" s="1" t="s">
        <v>1218</v>
      </c>
      <c r="S1190" s="10" t="s">
        <v>1219</v>
      </c>
      <c r="T1190" s="1" t="s">
        <v>1220</v>
      </c>
      <c r="U1190" s="1" t="s">
        <v>1221</v>
      </c>
      <c r="V1190" s="1" t="s">
        <v>1217</v>
      </c>
      <c r="W1190" s="1" t="s">
        <v>1205</v>
      </c>
      <c r="X1190" s="1" t="s">
        <v>1209</v>
      </c>
      <c r="Y1190" s="1" t="s">
        <v>1222</v>
      </c>
      <c r="Z1190" s="1" t="s">
        <v>1223</v>
      </c>
      <c r="AA1190" s="1" t="s">
        <v>1224</v>
      </c>
      <c r="AB1190" s="1" t="s">
        <v>1225</v>
      </c>
      <c r="AC1190" s="1" t="s">
        <v>1226</v>
      </c>
      <c r="AD1190" s="6" t="s">
        <v>1227</v>
      </c>
      <c r="AE1190" s="1" t="s">
        <v>24557</v>
      </c>
      <c r="AF1190" s="1" t="s">
        <v>1229</v>
      </c>
      <c r="AG1190" s="6" t="s">
        <v>1230</v>
      </c>
      <c r="AH1190" s="1" t="s">
        <v>1231</v>
      </c>
      <c r="AI1190" s="6" t="s">
        <v>132</v>
      </c>
      <c r="AJ1190" s="6" t="s">
        <v>1232</v>
      </c>
      <c r="AK1190" s="1" t="s">
        <v>1233</v>
      </c>
      <c r="AL1190" s="6" t="s">
        <v>132</v>
      </c>
    </row>
    <row r="1191" ht="15.75" customHeight="1">
      <c r="A1191" s="1" t="s">
        <v>127</v>
      </c>
      <c r="B1191" s="1" t="s">
        <v>24558</v>
      </c>
      <c r="C1191" s="1" t="s">
        <v>24559</v>
      </c>
      <c r="D1191" s="8" t="s">
        <v>24560</v>
      </c>
      <c r="E1191" s="1" t="s">
        <v>24561</v>
      </c>
      <c r="F1191" s="6" t="s">
        <v>132</v>
      </c>
      <c r="G1191" s="1" t="s">
        <v>24562</v>
      </c>
      <c r="H1191" s="1" t="s">
        <v>24563</v>
      </c>
      <c r="I1191" s="1" t="s">
        <v>24564</v>
      </c>
      <c r="J1191" s="6" t="s">
        <v>24565</v>
      </c>
      <c r="K1191" s="1" t="s">
        <v>24566</v>
      </c>
      <c r="L1191" s="1" t="s">
        <v>24567</v>
      </c>
      <c r="M1191" s="1" t="s">
        <v>24568</v>
      </c>
      <c r="N1191" s="6" t="s">
        <v>132</v>
      </c>
      <c r="O1191" s="6" t="s">
        <v>24569</v>
      </c>
      <c r="P1191" s="1" t="s">
        <v>24570</v>
      </c>
      <c r="Q1191" s="1" t="s">
        <v>24571</v>
      </c>
      <c r="R1191" s="1" t="s">
        <v>24572</v>
      </c>
      <c r="S1191" s="10" t="s">
        <v>24573</v>
      </c>
      <c r="T1191" s="1" t="s">
        <v>24574</v>
      </c>
      <c r="U1191" s="1" t="s">
        <v>24575</v>
      </c>
      <c r="V1191" s="1" t="s">
        <v>24571</v>
      </c>
      <c r="W1191" s="1" t="s">
        <v>24576</v>
      </c>
      <c r="X1191" s="1" t="s">
        <v>24577</v>
      </c>
      <c r="Y1191" s="1" t="s">
        <v>24578</v>
      </c>
      <c r="Z1191" s="1" t="s">
        <v>24579</v>
      </c>
      <c r="AA1191" s="1" t="s">
        <v>24580</v>
      </c>
      <c r="AB1191" s="1" t="s">
        <v>24581</v>
      </c>
      <c r="AC1191" s="1" t="s">
        <v>24582</v>
      </c>
      <c r="AD1191" s="6" t="s">
        <v>24583</v>
      </c>
      <c r="AE1191" s="1" t="s">
        <v>24584</v>
      </c>
      <c r="AF1191" s="1" t="s">
        <v>24585</v>
      </c>
      <c r="AG1191" s="6" t="s">
        <v>24586</v>
      </c>
      <c r="AH1191" s="1" t="s">
        <v>24587</v>
      </c>
      <c r="AI1191" s="6" t="s">
        <v>132</v>
      </c>
      <c r="AJ1191" s="6" t="s">
        <v>24588</v>
      </c>
      <c r="AK1191" s="1" t="s">
        <v>24589</v>
      </c>
      <c r="AL1191" s="6" t="s">
        <v>24590</v>
      </c>
    </row>
    <row r="1192" ht="15.75" hidden="1" customHeight="1">
      <c r="A1192" s="1" t="s">
        <v>38</v>
      </c>
      <c r="B1192" s="1" t="s">
        <v>24591</v>
      </c>
      <c r="C1192" s="1" t="s">
        <v>24592</v>
      </c>
      <c r="D1192" s="7" t="str">
        <f>IFERROR(__xludf.DUMMYFUNCTION("GOOGLETRANSLATE(C1192, ""en"", ""ar"")"),"بنما")</f>
        <v>بنما</v>
      </c>
      <c r="E1192" s="7" t="str">
        <f>IFERROR(__xludf.DUMMYFUNCTION("GOOGLETRANSLATE(C1192, ""en"", ""bg"")"),"Панама")</f>
        <v>Панама</v>
      </c>
      <c r="F1192" s="6" t="s">
        <v>132</v>
      </c>
      <c r="G1192" s="7" t="str">
        <f>IFERROR(__xludf.DUMMYFUNCTION("GOOGLETRANSLATE(C1192, ""en"", ""cs"")"),"Panama")</f>
        <v>Panama</v>
      </c>
      <c r="H1192" s="7" t="str">
        <f>IFERROR(__xludf.DUMMYFUNCTION("GOOGLETRANSLATE(C1192, ""en"", ""da"")"),"PANAMA.")</f>
        <v>PANAMA.</v>
      </c>
      <c r="I1192" s="1" t="s">
        <v>24592</v>
      </c>
      <c r="J1192" s="6" t="s">
        <v>132</v>
      </c>
      <c r="K1192" s="1" t="s">
        <v>24593</v>
      </c>
      <c r="L1192" s="7" t="str">
        <f>IFERROR(__xludf.DUMMYFUNCTION("GOOGLETRANSLATE(C1192, ""en"", ""fi"")"),"Panama")</f>
        <v>Panama</v>
      </c>
      <c r="M1192" s="1" t="s">
        <v>24592</v>
      </c>
      <c r="N1192" s="6" t="s">
        <v>132</v>
      </c>
      <c r="O1192" s="6" t="s">
        <v>132</v>
      </c>
      <c r="P1192" s="1" t="s">
        <v>24592</v>
      </c>
      <c r="Q1192" s="7" t="str">
        <f>IFERROR(__xludf.DUMMYFUNCTION("GOOGLETRANSLATE(C1192, ""en"", ""in"")"),"Panama")</f>
        <v>Panama</v>
      </c>
      <c r="R1192" s="7" t="str">
        <f>IFERROR(__xludf.DUMMYFUNCTION("GOOGLETRANSLATE(C1192, ""en"", ""it"")"),"Panama")</f>
        <v>Panama</v>
      </c>
      <c r="S1192" s="6" t="s">
        <v>132</v>
      </c>
      <c r="T1192" s="7" t="str">
        <f>IFERROR(__xludf.DUMMYFUNCTION("GOOGLETRANSLATE(C1192, ""en"", ""ja"")"),"パナマ")</f>
        <v>パナマ</v>
      </c>
      <c r="U1192" s="7" t="str">
        <f>IFERROR(__xludf.DUMMYFUNCTION("GOOGLETRANSLATE(C1192, ""en"", ""ko"")"),"파나마")</f>
        <v>파나마</v>
      </c>
      <c r="V1192" s="7" t="str">
        <f>IFERROR(__xludf.DUMMYFUNCTION("GOOGLETRANSLATE(C1192, ""en"", ""ms"")"),"Panama.")</f>
        <v>Panama.</v>
      </c>
      <c r="W1192" s="7" t="str">
        <f>IFERROR(__xludf.DUMMYFUNCTION("GOOGLETRANSLATE(C1192, ""en"", ""nl"")"),"Panama")</f>
        <v>Panama</v>
      </c>
      <c r="X1192" s="7" t="str">
        <f>IFERROR(__xludf.DUMMYFUNCTION("GOOGLETRANSLATE(C1192, ""en"", ""no"")"),"Panama")</f>
        <v>Panama</v>
      </c>
      <c r="Y1192" s="7" t="str">
        <f>IFERROR(__xludf.DUMMYFUNCTION("GOOGLETRANSLATE(C1192, ""en"", ""pl"")"),"Panama")</f>
        <v>Panama</v>
      </c>
      <c r="Z1192" s="7" t="str">
        <f>IFERROR(__xludf.DUMMYFUNCTION("GOOGLETRANSLATE(C1192, ""en"", ""pt"")"),"Panamá")</f>
        <v>Panamá</v>
      </c>
      <c r="AA1192" s="7" t="str">
        <f>IFERROR(__xludf.DUMMYFUNCTION("GOOGLETRANSLATE(C1192, ""en"", ""ro"")"),"Panama")</f>
        <v>Panama</v>
      </c>
      <c r="AB1192" s="1" t="s">
        <v>24594</v>
      </c>
      <c r="AC1192" s="7" t="str">
        <f>IFERROR(__xludf.DUMMYFUNCTION("GOOGLETRANSLATE(C1192, ""en"", ""sk"")"),"Pani")</f>
        <v>Pani</v>
      </c>
      <c r="AD1192" s="6" t="s">
        <v>132</v>
      </c>
      <c r="AE1192" s="1" t="s">
        <v>24592</v>
      </c>
      <c r="AF1192" s="7" t="str">
        <f>IFERROR(__xludf.DUMMYFUNCTION("GOOGLETRANSLATE(C1192, ""en"", ""sv"")"),"Panama")</f>
        <v>Panama</v>
      </c>
      <c r="AG1192" s="6" t="s">
        <v>132</v>
      </c>
      <c r="AH1192" s="7" t="str">
        <f>IFERROR(__xludf.DUMMYFUNCTION("GOOGLETRANSLATE(C1192, ""en"", ""tr"")"),"Panama")</f>
        <v>Panama</v>
      </c>
      <c r="AI1192" s="6" t="s">
        <v>132</v>
      </c>
      <c r="AJ1192" s="6" t="s">
        <v>132</v>
      </c>
      <c r="AK1192" s="7" t="str">
        <f>IFERROR(__xludf.DUMMYFUNCTION("GOOGLETRANSLATE(C1192, ""en"", ""zh"")"),"巴拿马")</f>
        <v>巴拿马</v>
      </c>
      <c r="AL1192" s="6" t="s">
        <v>132</v>
      </c>
    </row>
    <row r="1193" ht="15.75" customHeight="1">
      <c r="A1193" s="1" t="s">
        <v>127</v>
      </c>
      <c r="B1193" s="1" t="s">
        <v>24595</v>
      </c>
      <c r="C1193" s="1" t="s">
        <v>24596</v>
      </c>
      <c r="D1193" s="8" t="s">
        <v>24597</v>
      </c>
      <c r="E1193" s="1" t="s">
        <v>24598</v>
      </c>
      <c r="F1193" s="6" t="s">
        <v>132</v>
      </c>
      <c r="G1193" s="1" t="s">
        <v>24599</v>
      </c>
      <c r="H1193" s="1" t="s">
        <v>24600</v>
      </c>
      <c r="I1193" s="1" t="s">
        <v>24601</v>
      </c>
      <c r="J1193" s="6" t="s">
        <v>24602</v>
      </c>
      <c r="K1193" s="1" t="s">
        <v>24603</v>
      </c>
      <c r="L1193" s="1" t="s">
        <v>24604</v>
      </c>
      <c r="M1193" s="1" t="s">
        <v>24605</v>
      </c>
      <c r="N1193" s="6" t="s">
        <v>132</v>
      </c>
      <c r="O1193" s="6" t="s">
        <v>24606</v>
      </c>
      <c r="P1193" s="1" t="s">
        <v>24607</v>
      </c>
      <c r="Q1193" s="1" t="s">
        <v>24608</v>
      </c>
      <c r="R1193" s="1" t="s">
        <v>24609</v>
      </c>
      <c r="S1193" s="10" t="s">
        <v>24610</v>
      </c>
      <c r="T1193" s="1" t="s">
        <v>24611</v>
      </c>
      <c r="U1193" s="1" t="s">
        <v>24612</v>
      </c>
      <c r="V1193" s="1" t="s">
        <v>24608</v>
      </c>
      <c r="W1193" s="1" t="s">
        <v>24613</v>
      </c>
      <c r="X1193" s="1" t="s">
        <v>24600</v>
      </c>
      <c r="Y1193" s="1" t="s">
        <v>24614</v>
      </c>
      <c r="Z1193" s="1" t="s">
        <v>24615</v>
      </c>
      <c r="AA1193" s="1" t="s">
        <v>24616</v>
      </c>
      <c r="AB1193" s="1" t="s">
        <v>24617</v>
      </c>
      <c r="AC1193" s="1" t="s">
        <v>24618</v>
      </c>
      <c r="AD1193" s="6" t="s">
        <v>24619</v>
      </c>
      <c r="AE1193" s="1" t="s">
        <v>24620</v>
      </c>
      <c r="AF1193" s="1" t="s">
        <v>24621</v>
      </c>
      <c r="AG1193" s="6" t="s">
        <v>24622</v>
      </c>
      <c r="AH1193" s="1" t="s">
        <v>24623</v>
      </c>
      <c r="AI1193" s="6" t="s">
        <v>132</v>
      </c>
      <c r="AJ1193" s="6" t="s">
        <v>24624</v>
      </c>
      <c r="AK1193" s="1" t="s">
        <v>24625</v>
      </c>
      <c r="AL1193" s="6" t="s">
        <v>132</v>
      </c>
    </row>
    <row r="1194" ht="15.75" hidden="1" customHeight="1">
      <c r="A1194" s="1" t="s">
        <v>38</v>
      </c>
      <c r="B1194" s="1" t="s">
        <v>24626</v>
      </c>
      <c r="C1194" s="1" t="s">
        <v>24627</v>
      </c>
      <c r="D1194" s="8" t="s">
        <v>24628</v>
      </c>
      <c r="E1194" s="1" t="s">
        <v>24629</v>
      </c>
      <c r="F1194" s="6" t="s">
        <v>24630</v>
      </c>
      <c r="G1194" s="7" t="str">
        <f>IFERROR(__xludf.DUMMYFUNCTION("GOOGLETRANSLATE(C1194, ""en"", ""cs"")"),"Smazat záložku")</f>
        <v>Smazat záložku</v>
      </c>
      <c r="H1194" s="7" t="str">
        <f>IFERROR(__xludf.DUMMYFUNCTION("GOOGLETRANSLATE(C1194, ""en"", ""da"")"),"Slet bogmærke.")</f>
        <v>Slet bogmærke.</v>
      </c>
      <c r="I1194" s="1" t="s">
        <v>24631</v>
      </c>
      <c r="J1194" s="6" t="s">
        <v>132</v>
      </c>
      <c r="K1194" s="1" t="s">
        <v>24632</v>
      </c>
      <c r="L1194" s="7" t="str">
        <f>IFERROR(__xludf.DUMMYFUNCTION("GOOGLETRANSLATE(C1194, ""en"", ""fi"")"),"Poista kirjanmerkki")</f>
        <v>Poista kirjanmerkki</v>
      </c>
      <c r="M1194" s="1" t="s">
        <v>24633</v>
      </c>
      <c r="N1194" s="6" t="s">
        <v>24632</v>
      </c>
      <c r="O1194" s="6" t="s">
        <v>132</v>
      </c>
      <c r="P1194" s="1" t="s">
        <v>24634</v>
      </c>
      <c r="Q1194" s="9" t="s">
        <v>24635</v>
      </c>
      <c r="R1194" s="1" t="s">
        <v>24636</v>
      </c>
      <c r="S1194" s="6" t="s">
        <v>132</v>
      </c>
      <c r="T1194" s="1" t="s">
        <v>24637</v>
      </c>
      <c r="U1194" s="1" t="s">
        <v>24638</v>
      </c>
      <c r="V1194" s="7" t="str">
        <f>IFERROR(__xludf.DUMMYFUNCTION("GOOGLETRANSLATE(C1194, ""en"", ""ms"")"),"Padam Bookmark.")</f>
        <v>Padam Bookmark.</v>
      </c>
      <c r="W1194" s="1" t="s">
        <v>24639</v>
      </c>
      <c r="X1194" s="7" t="str">
        <f>IFERROR(__xludf.DUMMYFUNCTION("GOOGLETRANSLATE(C1194, ""en"", ""no"")"),"Slett bokmerke")</f>
        <v>Slett bokmerke</v>
      </c>
      <c r="Y1194" s="1" t="s">
        <v>24640</v>
      </c>
      <c r="Z1194" s="1" t="s">
        <v>24641</v>
      </c>
      <c r="AA1194" s="7" t="str">
        <f>IFERROR(__xludf.DUMMYFUNCTION("GOOGLETRANSLATE(C1194, ""en"", ""ro"")"),"Ștergeți marcajul")</f>
        <v>Ștergeți marcajul</v>
      </c>
      <c r="AB1194" s="1" t="s">
        <v>24642</v>
      </c>
      <c r="AC1194" s="1" t="s">
        <v>24643</v>
      </c>
      <c r="AD1194" s="6" t="s">
        <v>132</v>
      </c>
      <c r="AE1194" s="1" t="s">
        <v>24644</v>
      </c>
      <c r="AF1194" s="1" t="s">
        <v>24645</v>
      </c>
      <c r="AG1194" s="6" t="s">
        <v>132</v>
      </c>
      <c r="AH1194" s="7" t="str">
        <f>IFERROR(__xludf.DUMMYFUNCTION("GOOGLETRANSLATE(C1194, ""en"", ""tr"")"),"Yer İşareti Sil")</f>
        <v>Yer İşareti Sil</v>
      </c>
      <c r="AI1194" s="6" t="s">
        <v>24646</v>
      </c>
      <c r="AJ1194" s="6" t="s">
        <v>24647</v>
      </c>
      <c r="AK1194" s="7" t="str">
        <f>IFERROR(__xludf.DUMMYFUNCTION("GOOGLETRANSLATE(C1194, ""en"", ""zh"")"),"删除书签")</f>
        <v>删除书签</v>
      </c>
      <c r="AL1194" s="6" t="s">
        <v>24648</v>
      </c>
    </row>
    <row r="1195" ht="15.75" hidden="1" customHeight="1">
      <c r="A1195" s="1" t="s">
        <v>38</v>
      </c>
      <c r="B1195" s="1" t="s">
        <v>24649</v>
      </c>
      <c r="C1195" s="1" t="s">
        <v>24650</v>
      </c>
      <c r="D1195" s="7" t="str">
        <f>IFERROR(__xludf.DUMMYFUNCTION("GOOGLETRANSLATE(C1195, ""en"", ""ar"")"),"سنغافورة")</f>
        <v>سنغافورة</v>
      </c>
      <c r="E1195" s="7" t="str">
        <f>IFERROR(__xludf.DUMMYFUNCTION("GOOGLETRANSLATE(C1195, ""en"", ""bg"")"),"Сингапур")</f>
        <v>Сингапур</v>
      </c>
      <c r="F1195" s="6" t="s">
        <v>132</v>
      </c>
      <c r="G1195" s="7" t="str">
        <f>IFERROR(__xludf.DUMMYFUNCTION("GOOGLETRANSLATE(C1195, ""en"", ""cs"")"),"Singapur")</f>
        <v>Singapur</v>
      </c>
      <c r="H1195" s="7" t="str">
        <f>IFERROR(__xludf.DUMMYFUNCTION("GOOGLETRANSLATE(C1195, ""en"", ""da"")"),"Singapore.")</f>
        <v>Singapore.</v>
      </c>
      <c r="I1195" s="1" t="s">
        <v>24651</v>
      </c>
      <c r="J1195" s="6" t="s">
        <v>132</v>
      </c>
      <c r="K1195" s="1" t="s">
        <v>24651</v>
      </c>
      <c r="L1195" s="7" t="str">
        <f>IFERROR(__xludf.DUMMYFUNCTION("GOOGLETRANSLATE(C1195, ""en"", ""fi"")"),"Singapore")</f>
        <v>Singapore</v>
      </c>
      <c r="M1195" s="1" t="s">
        <v>24652</v>
      </c>
      <c r="N1195" s="6" t="s">
        <v>132</v>
      </c>
      <c r="O1195" s="6" t="s">
        <v>132</v>
      </c>
      <c r="P1195" s="1" t="s">
        <v>24650</v>
      </c>
      <c r="Q1195" s="7" t="str">
        <f>IFERROR(__xludf.DUMMYFUNCTION("GOOGLETRANSLATE(C1195, ""en"", ""in"")"),"Singapura")</f>
        <v>Singapura</v>
      </c>
      <c r="R1195" s="7" t="str">
        <f>IFERROR(__xludf.DUMMYFUNCTION("GOOGLETRANSLATE(C1195, ""en"", ""it"")"),"Singapore")</f>
        <v>Singapore</v>
      </c>
      <c r="S1195" s="6" t="s">
        <v>132</v>
      </c>
      <c r="T1195" s="7" t="str">
        <f>IFERROR(__xludf.DUMMYFUNCTION("GOOGLETRANSLATE(C1195, ""en"", ""ja"")"),"シンガポール")</f>
        <v>シンガポール</v>
      </c>
      <c r="U1195" s="7" t="str">
        <f>IFERROR(__xludf.DUMMYFUNCTION("GOOGLETRANSLATE(C1195, ""en"", ""ko"")"),"싱가포르")</f>
        <v>싱가포르</v>
      </c>
      <c r="V1195" s="7" t="str">
        <f>IFERROR(__xludf.DUMMYFUNCTION("GOOGLETRANSLATE(C1195, ""en"", ""ms"")"),"Singapura")</f>
        <v>Singapura</v>
      </c>
      <c r="W1195" s="7" t="str">
        <f>IFERROR(__xludf.DUMMYFUNCTION("GOOGLETRANSLATE(C1195, ""en"", ""nl"")"),"Singapore")</f>
        <v>Singapore</v>
      </c>
      <c r="X1195" s="7" t="str">
        <f>IFERROR(__xludf.DUMMYFUNCTION("GOOGLETRANSLATE(C1195, ""en"", ""no"")"),"Singapore.")</f>
        <v>Singapore.</v>
      </c>
      <c r="Y1195" s="7" t="str">
        <f>IFERROR(__xludf.DUMMYFUNCTION("GOOGLETRANSLATE(C1195, ""en"", ""pl"")"),"Singapur")</f>
        <v>Singapur</v>
      </c>
      <c r="Z1195" s="7" t="str">
        <f>IFERROR(__xludf.DUMMYFUNCTION("GOOGLETRANSLATE(C1195, ""en"", ""pt"")"),"Cingapura")</f>
        <v>Cingapura</v>
      </c>
      <c r="AA1195" s="7" t="str">
        <f>IFERROR(__xludf.DUMMYFUNCTION("GOOGLETRANSLATE(C1195, ""en"", ""ro"")"),"Singapore.")</f>
        <v>Singapore.</v>
      </c>
      <c r="AB1195" s="1" t="s">
        <v>24653</v>
      </c>
      <c r="AC1195" s="7" t="str">
        <f>IFERROR(__xludf.DUMMYFUNCTION("GOOGLETRANSLATE(C1195, ""en"", ""sk"")"),"Singapur")</f>
        <v>Singapur</v>
      </c>
      <c r="AD1195" s="6" t="s">
        <v>132</v>
      </c>
      <c r="AE1195" s="1" t="s">
        <v>24651</v>
      </c>
      <c r="AF1195" s="7" t="str">
        <f>IFERROR(__xludf.DUMMYFUNCTION("GOOGLETRANSLATE(C1195, ""en"", ""sv"")"),"Singapore")</f>
        <v>Singapore</v>
      </c>
      <c r="AG1195" s="6" t="s">
        <v>132</v>
      </c>
      <c r="AH1195" s="7" t="str">
        <f>IFERROR(__xludf.DUMMYFUNCTION("GOOGLETRANSLATE(C1195, ""en"", ""tr"")"),"Singapur")</f>
        <v>Singapur</v>
      </c>
      <c r="AI1195" s="6" t="s">
        <v>132</v>
      </c>
      <c r="AJ1195" s="6" t="s">
        <v>132</v>
      </c>
      <c r="AK1195" s="7" t="str">
        <f>IFERROR(__xludf.DUMMYFUNCTION("GOOGLETRANSLATE(C1195, ""en"", ""zh"")"),"新加坡")</f>
        <v>新加坡</v>
      </c>
      <c r="AL1195" s="6" t="s">
        <v>132</v>
      </c>
    </row>
    <row r="1196" ht="15.75" hidden="1" customHeight="1">
      <c r="A1196" s="1" t="s">
        <v>38</v>
      </c>
      <c r="B1196" s="1" t="s">
        <v>24654</v>
      </c>
      <c r="C1196" s="1" t="s">
        <v>24655</v>
      </c>
      <c r="D1196" s="8" t="s">
        <v>24656</v>
      </c>
      <c r="E1196" s="1" t="s">
        <v>24657</v>
      </c>
      <c r="F1196" s="6" t="s">
        <v>24658</v>
      </c>
      <c r="G1196" s="7" t="str">
        <f>IFERROR(__xludf.DUMMYFUNCTION("GOOGLETRANSLATE(C1196, ""en"", ""cs"")"),"Administrátor")</f>
        <v>Administrátor</v>
      </c>
      <c r="H1196" s="7" t="str">
        <f>IFERROR(__xludf.DUMMYFUNCTION("GOOGLETRANSLATE(C1196, ""en"", ""da"")"),"Admin.")</f>
        <v>Admin.</v>
      </c>
      <c r="I1196" s="1" t="s">
        <v>24659</v>
      </c>
      <c r="J1196" s="6" t="s">
        <v>132</v>
      </c>
      <c r="K1196" s="1" t="s">
        <v>24658</v>
      </c>
      <c r="L1196" s="7" t="str">
        <f>IFERROR(__xludf.DUMMYFUNCTION("GOOGLETRANSLATE(C1196, ""en"", ""fi"")"),"Admin")</f>
        <v>Admin</v>
      </c>
      <c r="M1196" s="1" t="s">
        <v>24660</v>
      </c>
      <c r="N1196" s="6" t="s">
        <v>24655</v>
      </c>
      <c r="O1196" s="6" t="s">
        <v>132</v>
      </c>
      <c r="P1196" s="1" t="s">
        <v>24661</v>
      </c>
      <c r="Q1196" s="9" t="s">
        <v>24659</v>
      </c>
      <c r="R1196" s="1" t="s">
        <v>24662</v>
      </c>
      <c r="S1196" s="6" t="s">
        <v>132</v>
      </c>
      <c r="T1196" s="1" t="s">
        <v>24663</v>
      </c>
      <c r="U1196" s="1" t="s">
        <v>24664</v>
      </c>
      <c r="V1196" s="7" t="str">
        <f>IFERROR(__xludf.DUMMYFUNCTION("GOOGLETRANSLATE(C1196, ""en"", ""ms"")"),"Admin")</f>
        <v>Admin</v>
      </c>
      <c r="W1196" s="1" t="s">
        <v>24665</v>
      </c>
      <c r="X1196" s="7" t="str">
        <f>IFERROR(__xludf.DUMMYFUNCTION("GOOGLETRANSLATE(C1196, ""en"", ""no"")"),"Admin")</f>
        <v>Admin</v>
      </c>
      <c r="Y1196" s="1" t="s">
        <v>24655</v>
      </c>
      <c r="Z1196" s="1" t="s">
        <v>24658</v>
      </c>
      <c r="AA1196" s="7" t="str">
        <f>IFERROR(__xludf.DUMMYFUNCTION("GOOGLETRANSLATE(C1196, ""en"", ""ro"")"),"Admin.")</f>
        <v>Admin.</v>
      </c>
      <c r="AB1196" s="1" t="s">
        <v>24657</v>
      </c>
      <c r="AC1196" s="1" t="s">
        <v>24666</v>
      </c>
      <c r="AD1196" s="6" t="s">
        <v>132</v>
      </c>
      <c r="AE1196" s="1" t="s">
        <v>24657</v>
      </c>
      <c r="AF1196" s="1" t="s">
        <v>24655</v>
      </c>
      <c r="AG1196" s="6" t="s">
        <v>132</v>
      </c>
      <c r="AH1196" s="7" t="str">
        <f>IFERROR(__xludf.DUMMYFUNCTION("GOOGLETRANSLATE(C1196, ""en"", ""tr"")"),"Yönetici")</f>
        <v>Yönetici</v>
      </c>
      <c r="AI1196" s="6" t="s">
        <v>24667</v>
      </c>
      <c r="AJ1196" s="6" t="s">
        <v>24668</v>
      </c>
      <c r="AK1196" s="7" t="str">
        <f>IFERROR(__xludf.DUMMYFUNCTION("GOOGLETRANSLATE(C1196, ""en"", ""zh"")"),"行政")</f>
        <v>行政</v>
      </c>
      <c r="AL1196" s="6" t="s">
        <v>24669</v>
      </c>
    </row>
    <row r="1197" ht="15.75" hidden="1" customHeight="1">
      <c r="A1197" s="1" t="s">
        <v>38</v>
      </c>
      <c r="B1197" s="1" t="s">
        <v>24670</v>
      </c>
      <c r="C1197" s="1" t="s">
        <v>24671</v>
      </c>
      <c r="D1197" s="8" t="s">
        <v>24672</v>
      </c>
      <c r="E1197" s="1" t="s">
        <v>24673</v>
      </c>
      <c r="F1197" s="6" t="s">
        <v>24674</v>
      </c>
      <c r="G1197" s="7" t="str">
        <f>IFERROR(__xludf.DUMMYFUNCTION("GOOGLETRANSLATE(C1197, ""en"", ""cs"")"),"Příprava obrazu pro přenos")</f>
        <v>Příprava obrazu pro přenos</v>
      </c>
      <c r="H1197" s="7" t="str">
        <f>IFERROR(__xludf.DUMMYFUNCTION("GOOGLETRANSLATE(C1197, ""en"", ""da"")"),"Forbereder billede til transmission")</f>
        <v>Forbereder billede til transmission</v>
      </c>
      <c r="I1197" s="1" t="s">
        <v>24675</v>
      </c>
      <c r="J1197" s="6" t="s">
        <v>132</v>
      </c>
      <c r="K1197" s="1" t="s">
        <v>24676</v>
      </c>
      <c r="L1197" s="7" t="str">
        <f>IFERROR(__xludf.DUMMYFUNCTION("GOOGLETRANSLATE(C1197, ""en"", ""fi"")"),"Valmistelu kuvan lähettämiseen")</f>
        <v>Valmistelu kuvan lähettämiseen</v>
      </c>
      <c r="M1197" s="1" t="s">
        <v>24677</v>
      </c>
      <c r="N1197" s="6" t="s">
        <v>24678</v>
      </c>
      <c r="O1197" s="6" t="s">
        <v>132</v>
      </c>
      <c r="P1197" s="1" t="s">
        <v>24679</v>
      </c>
      <c r="Q1197" s="9" t="s">
        <v>24680</v>
      </c>
      <c r="R1197" s="1" t="s">
        <v>24681</v>
      </c>
      <c r="S1197" s="6" t="s">
        <v>132</v>
      </c>
      <c r="T1197" s="1" t="s">
        <v>24682</v>
      </c>
      <c r="U1197" s="1" t="s">
        <v>24683</v>
      </c>
      <c r="V1197" s="7" t="str">
        <f>IFERROR(__xludf.DUMMYFUNCTION("GOOGLETRANSLATE(C1197, ""en"", ""ms"")"),"Menyediakan imej untuk penghantaran")</f>
        <v>Menyediakan imej untuk penghantaran</v>
      </c>
      <c r="W1197" s="1" t="s">
        <v>24684</v>
      </c>
      <c r="X1197" s="7" t="str">
        <f>IFERROR(__xludf.DUMMYFUNCTION("GOOGLETRANSLATE(C1197, ""en"", ""no"")"),"Forbereder bilde for overføring")</f>
        <v>Forbereder bilde for overføring</v>
      </c>
      <c r="Y1197" s="1" t="s">
        <v>24685</v>
      </c>
      <c r="Z1197" s="1" t="s">
        <v>24686</v>
      </c>
      <c r="AA1197" s="7" t="str">
        <f>IFERROR(__xludf.DUMMYFUNCTION("GOOGLETRANSLATE(C1197, ""en"", ""ro"")"),"Pregătirea imaginii pentru transmisie")</f>
        <v>Pregătirea imaginii pentru transmisie</v>
      </c>
      <c r="AB1197" s="1" t="s">
        <v>24687</v>
      </c>
      <c r="AC1197" s="1" t="s">
        <v>24688</v>
      </c>
      <c r="AD1197" s="6" t="s">
        <v>132</v>
      </c>
      <c r="AE1197" s="1" t="s">
        <v>24689</v>
      </c>
      <c r="AF1197" s="1" t="s">
        <v>24690</v>
      </c>
      <c r="AG1197" s="6" t="s">
        <v>132</v>
      </c>
      <c r="AH1197" s="7" t="str">
        <f>IFERROR(__xludf.DUMMYFUNCTION("GOOGLETRANSLATE(C1197, ""en"", ""tr"")"),"İletim için resim hazırlama")</f>
        <v>İletim için resim hazırlama</v>
      </c>
      <c r="AI1197" s="6" t="s">
        <v>24691</v>
      </c>
      <c r="AJ1197" s="6" t="s">
        <v>24692</v>
      </c>
      <c r="AK1197" s="7" t="str">
        <f>IFERROR(__xludf.DUMMYFUNCTION("GOOGLETRANSLATE(C1197, ""en"", ""zh"")"),"准备图像进行传输")</f>
        <v>准备图像进行传输</v>
      </c>
      <c r="AL1197" s="6" t="s">
        <v>24693</v>
      </c>
    </row>
    <row r="1198" ht="15.75" customHeight="1">
      <c r="A1198" s="1" t="s">
        <v>127</v>
      </c>
      <c r="B1198" s="1" t="s">
        <v>24694</v>
      </c>
      <c r="C1198" s="1" t="s">
        <v>24695</v>
      </c>
      <c r="D1198" s="8" t="s">
        <v>24696</v>
      </c>
      <c r="E1198" s="1" t="s">
        <v>24697</v>
      </c>
      <c r="F1198" s="6" t="s">
        <v>132</v>
      </c>
      <c r="G1198" s="1" t="s">
        <v>24698</v>
      </c>
      <c r="H1198" s="1" t="s">
        <v>24699</v>
      </c>
      <c r="I1198" s="1" t="s">
        <v>24695</v>
      </c>
      <c r="J1198" s="6" t="s">
        <v>24700</v>
      </c>
      <c r="K1198" s="1" t="s">
        <v>24701</v>
      </c>
      <c r="L1198" s="1" t="s">
        <v>24702</v>
      </c>
      <c r="M1198" s="1" t="s">
        <v>24703</v>
      </c>
      <c r="N1198" s="6" t="s">
        <v>132</v>
      </c>
      <c r="O1198" s="6" t="s">
        <v>24704</v>
      </c>
      <c r="P1198" s="1" t="s">
        <v>24705</v>
      </c>
      <c r="Q1198" s="1" t="s">
        <v>24706</v>
      </c>
      <c r="R1198" s="1" t="s">
        <v>24707</v>
      </c>
      <c r="S1198" s="10" t="s">
        <v>24708</v>
      </c>
      <c r="T1198" s="1" t="s">
        <v>24709</v>
      </c>
      <c r="U1198" s="1" t="s">
        <v>24710</v>
      </c>
      <c r="V1198" s="1" t="s">
        <v>24711</v>
      </c>
      <c r="W1198" s="1" t="s">
        <v>24712</v>
      </c>
      <c r="X1198" s="1" t="s">
        <v>24713</v>
      </c>
      <c r="Y1198" s="1" t="s">
        <v>24714</v>
      </c>
      <c r="Z1198" s="1" t="s">
        <v>24715</v>
      </c>
      <c r="AA1198" s="1" t="s">
        <v>24716</v>
      </c>
      <c r="AB1198" s="1" t="s">
        <v>24717</v>
      </c>
      <c r="AC1198" s="1" t="s">
        <v>24718</v>
      </c>
      <c r="AD1198" s="6" t="s">
        <v>24719</v>
      </c>
      <c r="AE1198" s="1" t="s">
        <v>24720</v>
      </c>
      <c r="AF1198" s="1" t="s">
        <v>24721</v>
      </c>
      <c r="AG1198" s="6" t="s">
        <v>24722</v>
      </c>
      <c r="AH1198" s="1" t="s">
        <v>24723</v>
      </c>
      <c r="AI1198" s="6" t="s">
        <v>132</v>
      </c>
      <c r="AJ1198" s="6" t="s">
        <v>24724</v>
      </c>
      <c r="AK1198" s="1" t="s">
        <v>24725</v>
      </c>
      <c r="AL1198" s="6" t="s">
        <v>24726</v>
      </c>
    </row>
    <row r="1199" ht="15.75" customHeight="1">
      <c r="A1199" s="1" t="s">
        <v>127</v>
      </c>
      <c r="B1199" s="1" t="s">
        <v>24727</v>
      </c>
      <c r="C1199" s="1" t="s">
        <v>24728</v>
      </c>
      <c r="D1199" s="8" t="s">
        <v>24729</v>
      </c>
      <c r="E1199" s="1" t="s">
        <v>24730</v>
      </c>
      <c r="F1199" s="6" t="s">
        <v>132</v>
      </c>
      <c r="G1199" s="1" t="s">
        <v>24731</v>
      </c>
      <c r="H1199" s="1" t="s">
        <v>24732</v>
      </c>
      <c r="I1199" s="1" t="s">
        <v>24733</v>
      </c>
      <c r="J1199" s="6" t="s">
        <v>24734</v>
      </c>
      <c r="K1199" s="1" t="s">
        <v>24735</v>
      </c>
      <c r="L1199" s="1" t="s">
        <v>24736</v>
      </c>
      <c r="M1199" s="1" t="s">
        <v>24737</v>
      </c>
      <c r="N1199" s="6" t="s">
        <v>132</v>
      </c>
      <c r="O1199" s="6" t="s">
        <v>24738</v>
      </c>
      <c r="P1199" s="1" t="s">
        <v>24739</v>
      </c>
      <c r="Q1199" s="1" t="s">
        <v>24740</v>
      </c>
      <c r="R1199" s="1" t="s">
        <v>24741</v>
      </c>
      <c r="S1199" s="10" t="s">
        <v>24742</v>
      </c>
      <c r="T1199" s="1" t="s">
        <v>24743</v>
      </c>
      <c r="U1199" s="1" t="s">
        <v>24744</v>
      </c>
      <c r="V1199" s="1" t="s">
        <v>24740</v>
      </c>
      <c r="W1199" s="1" t="s">
        <v>24745</v>
      </c>
      <c r="X1199" s="1" t="s">
        <v>24746</v>
      </c>
      <c r="Y1199" s="1" t="s">
        <v>24747</v>
      </c>
      <c r="Z1199" s="1" t="s">
        <v>24748</v>
      </c>
      <c r="AA1199" s="1" t="s">
        <v>24749</v>
      </c>
      <c r="AB1199" s="1" t="s">
        <v>24730</v>
      </c>
      <c r="AC1199" s="1" t="s">
        <v>24750</v>
      </c>
      <c r="AD1199" s="6" t="s">
        <v>24751</v>
      </c>
      <c r="AE1199" s="1" t="s">
        <v>24752</v>
      </c>
      <c r="AF1199" s="1" t="s">
        <v>24732</v>
      </c>
      <c r="AG1199" s="6" t="s">
        <v>24753</v>
      </c>
      <c r="AH1199" s="1" t="s">
        <v>24754</v>
      </c>
      <c r="AI1199" s="6" t="s">
        <v>132</v>
      </c>
      <c r="AJ1199" s="6" t="s">
        <v>24755</v>
      </c>
      <c r="AK1199" s="1" t="s">
        <v>24756</v>
      </c>
      <c r="AL1199" s="6" t="s">
        <v>24757</v>
      </c>
    </row>
    <row r="1200" ht="15.75" hidden="1" customHeight="1">
      <c r="A1200" s="1" t="s">
        <v>38</v>
      </c>
      <c r="B1200" s="1" t="s">
        <v>24758</v>
      </c>
      <c r="C1200" s="1" t="s">
        <v>24759</v>
      </c>
      <c r="D1200" s="8" t="s">
        <v>24760</v>
      </c>
      <c r="E1200" s="1" t="s">
        <v>24761</v>
      </c>
      <c r="F1200" s="6" t="s">
        <v>24762</v>
      </c>
      <c r="G1200" s="7" t="str">
        <f>IFERROR(__xludf.DUMMYFUNCTION("GOOGLETRANSLATE(C1200, ""en"", ""cs"")"),"Nastavení rozšířeného připojení")</f>
        <v>Nastavení rozšířeného připojení</v>
      </c>
      <c r="H1200" s="7" t="str">
        <f>IFERROR(__xludf.DUMMYFUNCTION("GOOGLETRANSLATE(C1200, ""en"", ""da"")"),"Udvidede forbindelsesindstillinger.")</f>
        <v>Udvidede forbindelsesindstillinger.</v>
      </c>
      <c r="I1200" s="1" t="s">
        <v>24763</v>
      </c>
      <c r="J1200" s="6" t="s">
        <v>132</v>
      </c>
      <c r="K1200" s="1" t="s">
        <v>24764</v>
      </c>
      <c r="L1200" s="7" t="str">
        <f>IFERROR(__xludf.DUMMYFUNCTION("GOOGLETRANSLATE(C1200, ""en"", ""fi"")"),"Laajennetut liitäntäasetukset")</f>
        <v>Laajennetut liitäntäasetukset</v>
      </c>
      <c r="M1200" s="1" t="s">
        <v>24765</v>
      </c>
      <c r="N1200" s="6" t="s">
        <v>24766</v>
      </c>
      <c r="O1200" s="6" t="s">
        <v>132</v>
      </c>
      <c r="P1200" s="1" t="s">
        <v>24767</v>
      </c>
      <c r="Q1200" s="7" t="str">
        <f>IFERROR(__xludf.DUMMYFUNCTION("GOOGLETRANSLATE(C1200, ""en"", ""in"")"),"Pengaturan koneksi yang diperluas")</f>
        <v>Pengaturan koneksi yang diperluas</v>
      </c>
      <c r="R1200" s="1" t="s">
        <v>24768</v>
      </c>
      <c r="S1200" s="6" t="s">
        <v>132</v>
      </c>
      <c r="T1200" s="1" t="s">
        <v>24769</v>
      </c>
      <c r="U1200" s="1" t="s">
        <v>24770</v>
      </c>
      <c r="V1200" s="7" t="str">
        <f>IFERROR(__xludf.DUMMYFUNCTION("GOOGLETRANSLATE(C1200, ""en"", ""ms"")"),"Tetapan sambungan lanjutan")</f>
        <v>Tetapan sambungan lanjutan</v>
      </c>
      <c r="W1200" s="1" t="s">
        <v>24771</v>
      </c>
      <c r="X1200" s="7" t="str">
        <f>IFERROR(__xludf.DUMMYFUNCTION("GOOGLETRANSLATE(C1200, ""en"", ""no"")"),"Utvidede tilkoblingsinnstillinger")</f>
        <v>Utvidede tilkoblingsinnstillinger</v>
      </c>
      <c r="Y1200" s="1" t="s">
        <v>24772</v>
      </c>
      <c r="Z1200" s="1" t="s">
        <v>24773</v>
      </c>
      <c r="AA1200" s="7" t="str">
        <f>IFERROR(__xludf.DUMMYFUNCTION("GOOGLETRANSLATE(C1200, ""en"", ""ro"")"),"Setări de conectare extinse")</f>
        <v>Setări de conectare extinse</v>
      </c>
      <c r="AB1200" s="1" t="s">
        <v>24774</v>
      </c>
      <c r="AC1200" s="7" t="str">
        <f>IFERROR(__xludf.DUMMYFUNCTION("GOOGLETRANSLATE(C1200, ""en"", ""sk"")"),"Rozšírené nastavenia pripojenia")</f>
        <v>Rozšírené nastavenia pripojenia</v>
      </c>
      <c r="AD1200" s="6" t="s">
        <v>132</v>
      </c>
      <c r="AE1200" s="1" t="s">
        <v>24775</v>
      </c>
      <c r="AF1200" s="1" t="s">
        <v>24776</v>
      </c>
      <c r="AG1200" s="6" t="s">
        <v>132</v>
      </c>
      <c r="AH1200" s="7" t="str">
        <f>IFERROR(__xludf.DUMMYFUNCTION("GOOGLETRANSLATE(C1200, ""en"", ""tr"")"),"Genişletilmiş bağlantı ayarları")</f>
        <v>Genişletilmiş bağlantı ayarları</v>
      </c>
      <c r="AI1200" s="6" t="s">
        <v>24777</v>
      </c>
      <c r="AJ1200" s="6" t="s">
        <v>132</v>
      </c>
      <c r="AK1200" s="7" t="str">
        <f>IFERROR(__xludf.DUMMYFUNCTION("GOOGLETRANSLATE(C1200, ""en"", ""zh"")"),"扩展连接设置")</f>
        <v>扩展连接设置</v>
      </c>
      <c r="AL1200" s="6" t="s">
        <v>24778</v>
      </c>
    </row>
    <row r="1201" ht="15.75" customHeight="1">
      <c r="A1201" s="1" t="s">
        <v>127</v>
      </c>
      <c r="B1201" s="1" t="s">
        <v>24779</v>
      </c>
      <c r="C1201" s="1" t="s">
        <v>24780</v>
      </c>
      <c r="D1201" s="8" t="s">
        <v>24781</v>
      </c>
      <c r="E1201" s="1" t="s">
        <v>24782</v>
      </c>
      <c r="F1201" s="6" t="s">
        <v>132</v>
      </c>
      <c r="G1201" s="1" t="s">
        <v>8921</v>
      </c>
      <c r="H1201" s="1" t="s">
        <v>5874</v>
      </c>
      <c r="I1201" s="1" t="s">
        <v>24783</v>
      </c>
      <c r="J1201" s="6" t="s">
        <v>24784</v>
      </c>
      <c r="K1201" s="1" t="s">
        <v>24785</v>
      </c>
      <c r="L1201" s="1" t="s">
        <v>24786</v>
      </c>
      <c r="M1201" s="1" t="s">
        <v>8940</v>
      </c>
      <c r="N1201" s="6" t="s">
        <v>132</v>
      </c>
      <c r="O1201" s="6" t="s">
        <v>8928</v>
      </c>
      <c r="P1201" s="1" t="s">
        <v>8929</v>
      </c>
      <c r="Q1201" s="1" t="s">
        <v>8930</v>
      </c>
      <c r="R1201" s="1" t="s">
        <v>24787</v>
      </c>
      <c r="S1201" s="10" t="s">
        <v>24788</v>
      </c>
      <c r="T1201" s="1" t="s">
        <v>8933</v>
      </c>
      <c r="U1201" s="1" t="s">
        <v>8934</v>
      </c>
      <c r="V1201" s="1" t="s">
        <v>8935</v>
      </c>
      <c r="W1201" s="1" t="s">
        <v>24789</v>
      </c>
      <c r="X1201" s="1" t="s">
        <v>24790</v>
      </c>
      <c r="Y1201" s="1" t="s">
        <v>24783</v>
      </c>
      <c r="Z1201" s="1" t="s">
        <v>24791</v>
      </c>
      <c r="AA1201" s="1" t="s">
        <v>24792</v>
      </c>
      <c r="AB1201" s="1" t="s">
        <v>24793</v>
      </c>
      <c r="AC1201" s="1" t="s">
        <v>24794</v>
      </c>
      <c r="AD1201" s="6" t="s">
        <v>5892</v>
      </c>
      <c r="AE1201" s="1" t="s">
        <v>24795</v>
      </c>
      <c r="AF1201" s="1" t="s">
        <v>5894</v>
      </c>
      <c r="AG1201" s="6" t="s">
        <v>8946</v>
      </c>
      <c r="AH1201" s="1" t="s">
        <v>5896</v>
      </c>
      <c r="AI1201" s="6" t="s">
        <v>132</v>
      </c>
      <c r="AJ1201" s="6" t="s">
        <v>5897</v>
      </c>
      <c r="AK1201" s="1" t="s">
        <v>8948</v>
      </c>
      <c r="AL1201" s="6" t="s">
        <v>8949</v>
      </c>
    </row>
    <row r="1202" ht="15.75" customHeight="1">
      <c r="A1202" s="1" t="s">
        <v>127</v>
      </c>
      <c r="B1202" s="1" t="s">
        <v>24796</v>
      </c>
      <c r="C1202" s="1" t="s">
        <v>24797</v>
      </c>
      <c r="D1202" s="8" t="s">
        <v>24798</v>
      </c>
      <c r="E1202" s="1" t="s">
        <v>24799</v>
      </c>
      <c r="F1202" s="6" t="s">
        <v>132</v>
      </c>
      <c r="G1202" s="1" t="s">
        <v>24800</v>
      </c>
      <c r="H1202" s="1" t="s">
        <v>24801</v>
      </c>
      <c r="I1202" s="1" t="s">
        <v>24797</v>
      </c>
      <c r="J1202" s="6" t="s">
        <v>24802</v>
      </c>
      <c r="K1202" s="1" t="s">
        <v>24803</v>
      </c>
      <c r="L1202" s="1" t="s">
        <v>24804</v>
      </c>
      <c r="M1202" s="1" t="s">
        <v>24805</v>
      </c>
      <c r="N1202" s="6" t="s">
        <v>132</v>
      </c>
      <c r="O1202" s="6" t="s">
        <v>24806</v>
      </c>
      <c r="P1202" s="1" t="s">
        <v>24807</v>
      </c>
      <c r="Q1202" s="1" t="s">
        <v>24808</v>
      </c>
      <c r="R1202" s="1" t="s">
        <v>24809</v>
      </c>
      <c r="S1202" s="10" t="s">
        <v>24810</v>
      </c>
      <c r="T1202" s="1" t="s">
        <v>24811</v>
      </c>
      <c r="U1202" s="1" t="s">
        <v>24812</v>
      </c>
      <c r="V1202" s="1" t="s">
        <v>24813</v>
      </c>
      <c r="W1202" s="1" t="s">
        <v>24814</v>
      </c>
      <c r="X1202" s="1" t="s">
        <v>24815</v>
      </c>
      <c r="Y1202" s="1" t="s">
        <v>24816</v>
      </c>
      <c r="Z1202" s="1" t="s">
        <v>24817</v>
      </c>
      <c r="AA1202" s="1" t="s">
        <v>24818</v>
      </c>
      <c r="AB1202" s="1" t="s">
        <v>24819</v>
      </c>
      <c r="AC1202" s="1" t="s">
        <v>24820</v>
      </c>
      <c r="AD1202" s="6" t="s">
        <v>24821</v>
      </c>
      <c r="AE1202" s="1" t="s">
        <v>24822</v>
      </c>
      <c r="AF1202" s="1" t="s">
        <v>24823</v>
      </c>
      <c r="AG1202" s="6" t="s">
        <v>24824</v>
      </c>
      <c r="AH1202" s="1" t="s">
        <v>24825</v>
      </c>
      <c r="AI1202" s="6" t="s">
        <v>132</v>
      </c>
      <c r="AJ1202" s="6" t="s">
        <v>24826</v>
      </c>
      <c r="AK1202" s="1" t="s">
        <v>24827</v>
      </c>
      <c r="AL1202" s="6" t="s">
        <v>24828</v>
      </c>
    </row>
    <row r="1203" ht="15.75" hidden="1" customHeight="1">
      <c r="A1203" s="1" t="s">
        <v>38</v>
      </c>
      <c r="B1203" s="1" t="s">
        <v>24829</v>
      </c>
      <c r="C1203" s="1" t="s">
        <v>3812</v>
      </c>
      <c r="D1203" s="8" t="s">
        <v>20873</v>
      </c>
      <c r="E1203" s="1" t="s">
        <v>3814</v>
      </c>
      <c r="F1203" s="6" t="s">
        <v>24830</v>
      </c>
      <c r="G1203" s="7" t="str">
        <f>IFERROR(__xludf.DUMMYFUNCTION("GOOGLETRANSLATE(C1203, ""en"", ""cs"")"),"zrušení")</f>
        <v>zrušení</v>
      </c>
      <c r="H1203" s="7" t="str">
        <f>IFERROR(__xludf.DUMMYFUNCTION("GOOGLETRANSLATE(C1203, ""en"", ""da"")"),"Afbestille")</f>
        <v>Afbestille</v>
      </c>
      <c r="I1203" s="1" t="s">
        <v>3817</v>
      </c>
      <c r="J1203" s="6" t="s">
        <v>132</v>
      </c>
      <c r="K1203" s="1" t="s">
        <v>3819</v>
      </c>
      <c r="L1203" s="7" t="str">
        <f>IFERROR(__xludf.DUMMYFUNCTION("GOOGLETRANSLATE(C1203, ""en"", ""fi"")"),"Peruuttaa")</f>
        <v>Peruuttaa</v>
      </c>
      <c r="M1203" s="1" t="s">
        <v>3821</v>
      </c>
      <c r="N1203" s="6" t="s">
        <v>3819</v>
      </c>
      <c r="O1203" s="6" t="s">
        <v>132</v>
      </c>
      <c r="P1203" s="1" t="s">
        <v>3823</v>
      </c>
      <c r="Q1203" s="9" t="s">
        <v>20875</v>
      </c>
      <c r="R1203" s="1" t="s">
        <v>3825</v>
      </c>
      <c r="S1203" s="6" t="s">
        <v>132</v>
      </c>
      <c r="T1203" s="1" t="s">
        <v>3827</v>
      </c>
      <c r="U1203" s="1" t="s">
        <v>3828</v>
      </c>
      <c r="V1203" s="7" t="str">
        <f>IFERROR(__xludf.DUMMYFUNCTION("GOOGLETRANSLATE(C1203, ""en"", ""ms"")"),"Membatalkan")</f>
        <v>Membatalkan</v>
      </c>
      <c r="W1203" s="1" t="s">
        <v>20876</v>
      </c>
      <c r="X1203" s="7" t="str">
        <f>IFERROR(__xludf.DUMMYFUNCTION("GOOGLETRANSLATE(C1203, ""en"", ""no"")"),"Avbryt")</f>
        <v>Avbryt</v>
      </c>
      <c r="Y1203" s="1" t="s">
        <v>3831</v>
      </c>
      <c r="Z1203" s="1" t="s">
        <v>3819</v>
      </c>
      <c r="AA1203" s="7" t="str">
        <f>IFERROR(__xludf.DUMMYFUNCTION("GOOGLETRANSLATE(C1203, ""en"", ""ro"")"),"Anulare")</f>
        <v>Anulare</v>
      </c>
      <c r="AB1203" s="1" t="s">
        <v>20877</v>
      </c>
      <c r="AC1203" s="1" t="s">
        <v>3834</v>
      </c>
      <c r="AD1203" s="6" t="s">
        <v>132</v>
      </c>
      <c r="AE1203" s="1" t="s">
        <v>20878</v>
      </c>
      <c r="AF1203" s="1" t="s">
        <v>3830</v>
      </c>
      <c r="AG1203" s="6" t="s">
        <v>132</v>
      </c>
      <c r="AH1203" s="7" t="str">
        <f>IFERROR(__xludf.DUMMYFUNCTION("GOOGLETRANSLATE(C1203, ""en"", ""tr"")"),"İptal etmek")</f>
        <v>İptal etmek</v>
      </c>
      <c r="AI1203" s="6" t="s">
        <v>20879</v>
      </c>
      <c r="AJ1203" s="6" t="s">
        <v>20880</v>
      </c>
      <c r="AK1203" s="7" t="str">
        <f>IFERROR(__xludf.DUMMYFUNCTION("GOOGLETRANSLATE(C1203, ""en"", ""zh"")"),"取消")</f>
        <v>取消</v>
      </c>
      <c r="AL1203" s="6" t="s">
        <v>3840</v>
      </c>
    </row>
    <row r="1204" ht="15.75" hidden="1" customHeight="1">
      <c r="A1204" s="1" t="s">
        <v>38</v>
      </c>
      <c r="B1204" s="1" t="s">
        <v>24831</v>
      </c>
      <c r="C1204" s="1" t="s">
        <v>24832</v>
      </c>
      <c r="D1204" s="8" t="s">
        <v>24833</v>
      </c>
      <c r="E1204" s="1" t="s">
        <v>24834</v>
      </c>
      <c r="F1204" s="6" t="s">
        <v>24835</v>
      </c>
      <c r="G1204" s="7" t="str">
        <f>IFERROR(__xludf.DUMMYFUNCTION("GOOGLETRANSLATE(C1204, ""en"", ""cs"")"),"Oznámení zakázáno")</f>
        <v>Oznámení zakázáno</v>
      </c>
      <c r="H1204" s="7" t="str">
        <f>IFERROR(__xludf.DUMMYFUNCTION("GOOGLETRANSLATE(C1204, ""en"", ""da"")"),"Meddelelser deaktiveret")</f>
        <v>Meddelelser deaktiveret</v>
      </c>
      <c r="I1204" s="1" t="s">
        <v>24836</v>
      </c>
      <c r="J1204" s="6" t="s">
        <v>132</v>
      </c>
      <c r="K1204" s="1" t="s">
        <v>24837</v>
      </c>
      <c r="L1204" s="7" t="str">
        <f>IFERROR(__xludf.DUMMYFUNCTION("GOOGLETRANSLATE(C1204, ""en"", ""fi"")"),"Ilmoitukset käytöstä")</f>
        <v>Ilmoitukset käytöstä</v>
      </c>
      <c r="M1204" s="1" t="s">
        <v>24838</v>
      </c>
      <c r="N1204" s="6" t="s">
        <v>24839</v>
      </c>
      <c r="O1204" s="6" t="s">
        <v>132</v>
      </c>
      <c r="P1204" s="1" t="s">
        <v>24840</v>
      </c>
      <c r="Q1204" s="7" t="str">
        <f>IFERROR(__xludf.DUMMYFUNCTION("GOOGLETRANSLATE(C1204, ""en"", ""in"")"),"Pemberitahuan Dinonaktifkan")</f>
        <v>Pemberitahuan Dinonaktifkan</v>
      </c>
      <c r="R1204" s="1" t="s">
        <v>24841</v>
      </c>
      <c r="S1204" s="6" t="s">
        <v>132</v>
      </c>
      <c r="T1204" s="1" t="s">
        <v>24842</v>
      </c>
      <c r="U1204" s="1" t="s">
        <v>24843</v>
      </c>
      <c r="V1204" s="7" t="str">
        <f>IFERROR(__xludf.DUMMYFUNCTION("GOOGLETRANSLATE(C1204, ""en"", ""ms"")"),"Pemberitahuan dilumpuhkan")</f>
        <v>Pemberitahuan dilumpuhkan</v>
      </c>
      <c r="W1204" s="1" t="s">
        <v>24844</v>
      </c>
      <c r="X1204" s="7" t="str">
        <f>IFERROR(__xludf.DUMMYFUNCTION("GOOGLETRANSLATE(C1204, ""en"", ""no"")"),"Varsler deaktivert")</f>
        <v>Varsler deaktivert</v>
      </c>
      <c r="Y1204" s="1" t="s">
        <v>24845</v>
      </c>
      <c r="Z1204" s="1" t="s">
        <v>24846</v>
      </c>
      <c r="AA1204" s="7" t="str">
        <f>IFERROR(__xludf.DUMMYFUNCTION("GOOGLETRANSLATE(C1204, ""en"", ""ro"")"),"Notificări dezactivate")</f>
        <v>Notificări dezactivate</v>
      </c>
      <c r="AB1204" s="1" t="s">
        <v>24847</v>
      </c>
      <c r="AC1204" s="7" t="str">
        <f>IFERROR(__xludf.DUMMYFUNCTION("GOOGLETRANSLATE(C1204, ""en"", ""sk"")"),"Upozornenia zakázané")</f>
        <v>Upozornenia zakázané</v>
      </c>
      <c r="AD1204" s="6" t="s">
        <v>132</v>
      </c>
      <c r="AE1204" s="1" t="s">
        <v>24848</v>
      </c>
      <c r="AF1204" s="1" t="s">
        <v>24849</v>
      </c>
      <c r="AG1204" s="6" t="s">
        <v>132</v>
      </c>
      <c r="AH1204" s="7" t="str">
        <f>IFERROR(__xludf.DUMMYFUNCTION("GOOGLETRANSLATE(C1204, ""en"", ""tr"")"),"Bildirimler Engelli")</f>
        <v>Bildirimler Engelli</v>
      </c>
      <c r="AI1204" s="6" t="s">
        <v>24850</v>
      </c>
      <c r="AJ1204" s="6" t="s">
        <v>24851</v>
      </c>
      <c r="AK1204" s="7" t="str">
        <f>IFERROR(__xludf.DUMMYFUNCTION("GOOGLETRANSLATE(C1204, ""en"", ""zh"")"),"通知已禁用")</f>
        <v>通知已禁用</v>
      </c>
      <c r="AL1204" s="6" t="s">
        <v>24852</v>
      </c>
    </row>
    <row r="1205" ht="15.75" hidden="1" customHeight="1">
      <c r="A1205" s="1" t="s">
        <v>38</v>
      </c>
      <c r="B1205" s="1" t="s">
        <v>24853</v>
      </c>
      <c r="C1205" s="1" t="s">
        <v>24854</v>
      </c>
      <c r="D1205" s="7" t="str">
        <f>IFERROR(__xludf.DUMMYFUNCTION("GOOGLETRANSLATE(C1205, ""en"", ""ar"")"),"اعادة الرسال الرسالة")</f>
        <v>اعادة الرسال الرسالة</v>
      </c>
      <c r="E1205" s="1" t="s">
        <v>24855</v>
      </c>
      <c r="F1205" s="6" t="s">
        <v>132</v>
      </c>
      <c r="G1205" s="7" t="str">
        <f>IFERROR(__xludf.DUMMYFUNCTION("GOOGLETRANSLATE(C1205, ""en"", ""cs"")"),"Odeslat SMS.")</f>
        <v>Odeslat SMS.</v>
      </c>
      <c r="H1205" s="7" t="str">
        <f>IFERROR(__xludf.DUMMYFUNCTION("GOOGLETRANSLATE(C1205, ""en"", ""da"")"),"Ser til SMS.")</f>
        <v>Ser til SMS.</v>
      </c>
      <c r="I1205" s="1" t="s">
        <v>24856</v>
      </c>
      <c r="J1205" s="6" t="s">
        <v>132</v>
      </c>
      <c r="K1205" s="1" t="s">
        <v>24857</v>
      </c>
      <c r="L1205" s="7" t="str">
        <f>IFERROR(__xludf.DUMMYFUNCTION("GOOGLETRANSLATE(C1205, ""en"", ""fi"")"),"Lähetä tekstiviesti uudelleen")</f>
        <v>Lähetä tekstiviesti uudelleen</v>
      </c>
      <c r="M1205" s="1" t="s">
        <v>24858</v>
      </c>
      <c r="N1205" s="6" t="s">
        <v>24857</v>
      </c>
      <c r="O1205" s="6" t="s">
        <v>132</v>
      </c>
      <c r="P1205" s="1" t="s">
        <v>24859</v>
      </c>
      <c r="Q1205" s="7" t="str">
        <f>IFERROR(__xludf.DUMMYFUNCTION("GOOGLETRANSLATE(C1205, ""en"", ""in"")"),"Kirim ulang SMS.")</f>
        <v>Kirim ulang SMS.</v>
      </c>
      <c r="R1205" s="1" t="s">
        <v>24860</v>
      </c>
      <c r="S1205" s="6" t="s">
        <v>132</v>
      </c>
      <c r="T1205" s="7" t="str">
        <f>IFERROR(__xludf.DUMMYFUNCTION("GOOGLETRANSLATE(C1205, ""en"", ""ja"")"),"SMSを再送信します")</f>
        <v>SMSを再送信します</v>
      </c>
      <c r="U1205" s="7" t="str">
        <f>IFERROR(__xludf.DUMMYFUNCTION("GOOGLETRANSLATE(C1205, ""en"", ""ko"")"),"SMS를 다시 보내십시오")</f>
        <v>SMS를 다시 보내십시오</v>
      </c>
      <c r="V1205" s="7" t="str">
        <f>IFERROR(__xludf.DUMMYFUNCTION("GOOGLETRANSLATE(C1205, ""en"", ""ms"")"),"Resend sms.")</f>
        <v>Resend sms.</v>
      </c>
      <c r="W1205" s="1" t="s">
        <v>24861</v>
      </c>
      <c r="X1205" s="7" t="str">
        <f>IFERROR(__xludf.DUMMYFUNCTION("GOOGLETRANSLATE(C1205, ""en"", ""no"")"),"Resend SMS")</f>
        <v>Resend SMS</v>
      </c>
      <c r="Y1205" s="1" t="s">
        <v>24862</v>
      </c>
      <c r="Z1205" s="7" t="str">
        <f>IFERROR(__xludf.DUMMYFUNCTION("GOOGLETRANSLATE(C1205, ""en"", ""pt"")"),"Reenviar sms.")</f>
        <v>Reenviar sms.</v>
      </c>
      <c r="AA1205" s="7" t="str">
        <f>IFERROR(__xludf.DUMMYFUNCTION("GOOGLETRANSLATE(C1205, ""en"", ""ro"")"),"Retrimiteți SMS.")</f>
        <v>Retrimiteți SMS.</v>
      </c>
      <c r="AB1205" s="7" t="str">
        <f>IFERROR(__xludf.DUMMYFUNCTION("GOOGLETRANSLATE(C1205, ""en"", ""ru"")"),"Отправлять SMS")</f>
        <v>Отправлять SMS</v>
      </c>
      <c r="AC1205" s="7" t="str">
        <f>IFERROR(__xludf.DUMMYFUNCTION("GOOGLETRANSLATE(C1205, ""en"", ""sk"")"),"Resend SMS")</f>
        <v>Resend SMS</v>
      </c>
      <c r="AD1205" s="6" t="s">
        <v>132</v>
      </c>
      <c r="AE1205" s="7" t="str">
        <f>IFERROR(__xludf.DUMMYFUNCTION("GOOGLETRANSLATE(C1205, ""en"", ""sr"")"),"Поново послати СМС")</f>
        <v>Поново послати СМС</v>
      </c>
      <c r="AF1205" s="7" t="str">
        <f>IFERROR(__xludf.DUMMYFUNCTION("GOOGLETRANSLATE(C1205, ""en"", ""sv"")"),"Återlägga SMS")</f>
        <v>Återlägga SMS</v>
      </c>
      <c r="AG1205" s="6" t="s">
        <v>132</v>
      </c>
      <c r="AH1205" s="13" t="s">
        <v>24863</v>
      </c>
      <c r="AI1205" s="6" t="s">
        <v>132</v>
      </c>
      <c r="AJ1205" s="6" t="s">
        <v>132</v>
      </c>
      <c r="AK1205" s="7" t="str">
        <f>IFERROR(__xludf.DUMMYFUNCTION("GOOGLETRANSLATE(C1205, ""en"", ""zh"")"),"重新发送短信")</f>
        <v>重新发送短信</v>
      </c>
      <c r="AL1205" s="6" t="s">
        <v>132</v>
      </c>
    </row>
    <row r="1206" ht="15.75" hidden="1" customHeight="1">
      <c r="A1206" s="1" t="s">
        <v>38</v>
      </c>
      <c r="B1206" s="1" t="s">
        <v>24864</v>
      </c>
      <c r="C1206" s="1" t="s">
        <v>24865</v>
      </c>
      <c r="D1206" s="7" t="str">
        <f>IFERROR(__xludf.DUMMYFUNCTION("GOOGLETRANSLATE(C1206, ""en"", ""ar"")"),"تم رفض إذن جهات الاتصال. يرجى النظر في منحها من أجل الوصول إلى ميزة الدردشة!")</f>
        <v>تم رفض إذن جهات الاتصال. يرجى النظر في منحها من أجل الوصول إلى ميزة الدردشة!</v>
      </c>
      <c r="E1206" s="7" t="str">
        <f>IFERROR(__xludf.DUMMYFUNCTION("GOOGLETRANSLATE(C1206, ""en"", ""bg"")"),"Разрешение за контакти бе отказано. Моля, помислете за предоставянето му, за да получите достъп до функцията за чат!")</f>
        <v>Разрешение за контакти бе отказано. Моля, помислете за предоставянето му, за да получите достъп до функцията за чат!</v>
      </c>
      <c r="F1206" s="6" t="s">
        <v>132</v>
      </c>
      <c r="G1206" s="7" t="str">
        <f>IFERROR(__xludf.DUMMYFUNCTION("GOOGLETRANSLATE(C1206, ""en"", ""cs"")"),"Kontakty povolení bylo odepřeno. Prosím, zvažte, že to udělíte, abyste získali přístup k funkci Chat!")</f>
        <v>Kontakty povolení bylo odepřeno. Prosím, zvažte, že to udělíte, abyste získali přístup k funkci Chat!</v>
      </c>
      <c r="H1206" s="7" t="str">
        <f>IFERROR(__xludf.DUMMYFUNCTION("GOOGLETRANSLATE(C1206, ""en"", ""da"")"),"Kontakter Tilladelse blev nægtet. Overvej venligst at give det for at få adgang til chatfunktionen!")</f>
        <v>Kontakter Tilladelse blev nægtet. Overvej venligst at give det for at få adgang til chatfunktionen!</v>
      </c>
      <c r="I1206" s="1" t="s">
        <v>24866</v>
      </c>
      <c r="J1206" s="6" t="s">
        <v>132</v>
      </c>
      <c r="K1206" s="1" t="s">
        <v>24867</v>
      </c>
      <c r="L1206" s="7" t="str">
        <f>IFERROR(__xludf.DUMMYFUNCTION("GOOGLETRANSLATE(C1206, ""en"", ""fi"")"),"Yhteystiedot kieltäytyi. Harkitse sen myöntämistä, jotta voit käyttää chat-ominaisuutta!")</f>
        <v>Yhteystiedot kieltäytyi. Harkitse sen myöntämistä, jotta voit käyttää chat-ominaisuutta!</v>
      </c>
      <c r="M1206" s="1" t="s">
        <v>24868</v>
      </c>
      <c r="N1206" s="6" t="s">
        <v>132</v>
      </c>
      <c r="O1206" s="6" t="s">
        <v>132</v>
      </c>
      <c r="P1206" s="1" t="s">
        <v>24869</v>
      </c>
      <c r="Q1206" s="7" t="str">
        <f>IFERROR(__xludf.DUMMYFUNCTION("GOOGLETRANSLATE(C1206, ""en"", ""in"")"),"Izin kontak ditolak. Silakan pertimbangkan untuk memberikannya untuk mengakses fitur obrolan!")</f>
        <v>Izin kontak ditolak. Silakan pertimbangkan untuk memberikannya untuk mengakses fitur obrolan!</v>
      </c>
      <c r="R1206" s="7" t="str">
        <f>IFERROR(__xludf.DUMMYFUNCTION("GOOGLETRANSLATE(C1206, ""en"", ""it"")"),"Il permesso dei contatti è stato negato. Si prega di considerare di concederlo per accedere alla funzione di chat!")</f>
        <v>Il permesso dei contatti è stato negato. Si prega di considerare di concederlo per accedere alla funzione di chat!</v>
      </c>
      <c r="S1206" s="6" t="s">
        <v>132</v>
      </c>
      <c r="T1206" s="7" t="str">
        <f>IFERROR(__xludf.DUMMYFUNCTION("GOOGLETRANSLATE(C1206, ""en"", ""ja"")"),"連絡先許可が拒否されました。チャット機能にアクセスするためにそれを付与してください。")</f>
        <v>連絡先許可が拒否されました。チャット機能にアクセスするためにそれを付与してください。</v>
      </c>
      <c r="U1206" s="7" t="str">
        <f>IFERROR(__xludf.DUMMYFUNCTION("GOOGLETRANSLATE(C1206, ""en"", ""ko"")"),"접촉 허가가 거부되었습니다. 채팅 기능에 액세스하려면 허용하십시오.")</f>
        <v>접촉 허가가 거부되었습니다. 채팅 기능에 액세스하려면 허용하십시오.</v>
      </c>
      <c r="V1206" s="7" t="str">
        <f>IFERROR(__xludf.DUMMYFUNCTION("GOOGLETRANSLATE(C1206, ""en"", ""ms"")"),"Kebenaran kenalan ditolak. Sila pertimbangkan untuk memberikannya untuk mengakses ciri sembang!")</f>
        <v>Kebenaran kenalan ditolak. Sila pertimbangkan untuk memberikannya untuk mengakses ciri sembang!</v>
      </c>
      <c r="W1206" s="7" t="str">
        <f>IFERROR(__xludf.DUMMYFUNCTION("GOOGLETRANSLATE(C1206, ""en"", ""nl"")"),"Contacten Toestemming werd geweigerd. Overweeg om het te verlenen om toegang te krijgen tot de chatfunctie!")</f>
        <v>Contacten Toestemming werd geweigerd. Overweeg om het te verlenen om toegang te krijgen tot de chatfunctie!</v>
      </c>
      <c r="X1206" s="7" t="str">
        <f>IFERROR(__xludf.DUMMYFUNCTION("GOOGLETRANSLATE(C1206, ""en"", ""no"")"),"Kontakter Tillatelse ble nektet. Vennligst vurder å gi det for å få tilgang til chat-funksjonen!")</f>
        <v>Kontakter Tillatelse ble nektet. Vennligst vurder å gi det for å få tilgang til chat-funksjonen!</v>
      </c>
      <c r="Y1206" s="7" t="str">
        <f>IFERROR(__xludf.DUMMYFUNCTION("GOOGLETRANSLATE(C1206, ""en"", ""pl"")"),"Odmowa pozwolenia kontaktów. Rozważ przyznanie go w celu uzyskania dostępu do funkcji czatu!")</f>
        <v>Odmowa pozwolenia kontaktów. Rozważ przyznanie go w celu uzyskania dostępu do funkcji czatu!</v>
      </c>
      <c r="Z1206" s="7" t="str">
        <f>IFERROR(__xludf.DUMMYFUNCTION("GOOGLETRANSLATE(C1206, ""en"", ""pt"")"),"Permissão de contatos foi negada. Por favor, considere concedê-lo para acessar o recurso de bate-papo!")</f>
        <v>Permissão de contatos foi negada. Por favor, considere concedê-lo para acessar o recurso de bate-papo!</v>
      </c>
      <c r="AA1206" s="7" t="str">
        <f>IFERROR(__xludf.DUMMYFUNCTION("GOOGLETRANSLATE(C1206, ""en"", ""ro"")"),"Permisiunea de contact a fost respinsă. Vă rugăm să luați în considerare acordarea acestuia pentru a accesa funcția de chat!")</f>
        <v>Permisiunea de contact a fost respinsă. Vă rugăm să luați în considerare acordarea acestuia pentru a accesa funcția de chat!</v>
      </c>
      <c r="AB1206" s="1" t="s">
        <v>24870</v>
      </c>
      <c r="AC1206" s="7" t="str">
        <f>IFERROR(__xludf.DUMMYFUNCTION("GOOGLETRANSLATE(C1206, ""en"", ""sk"")"),"Povolenie kontaktov bolo zamietnuté. Prosím, zvážte udelenie, aby ste mohli pristupovať k funkcii chatu!")</f>
        <v>Povolenie kontaktov bolo zamietnuté. Prosím, zvážte udelenie, aby ste mohli pristupovať k funkcii chatu!</v>
      </c>
      <c r="AD1206" s="6" t="s">
        <v>132</v>
      </c>
      <c r="AE1206" s="1" t="s">
        <v>24871</v>
      </c>
      <c r="AF1206" s="7" t="str">
        <f>IFERROR(__xludf.DUMMYFUNCTION("GOOGLETRANSLATE(C1206, ""en"", ""sv"")"),"Kontakter Tillstånd nekades. Tänk på att bevilja det för att komma åt chattfunktionen!")</f>
        <v>Kontakter Tillstånd nekades. Tänk på att bevilja det för att komma åt chattfunktionen!</v>
      </c>
      <c r="AG1206" s="6" t="s">
        <v>132</v>
      </c>
      <c r="AH1206" s="7" t="str">
        <f>IFERROR(__xludf.DUMMYFUNCTION("GOOGLETRANSLATE(C1206, ""en"", ""tr"")"),"İletişim İzni reddedildi. Lütfen sohbet özelliğine erişmek için vermeyi düşünün!")</f>
        <v>İletişim İzni reddedildi. Lütfen sohbet özelliğine erişmek için vermeyi düşünün!</v>
      </c>
      <c r="AI1206" s="6" t="s">
        <v>132</v>
      </c>
      <c r="AJ1206" s="6" t="s">
        <v>132</v>
      </c>
      <c r="AK1206" s="7" t="str">
        <f>IFERROR(__xludf.DUMMYFUNCTION("GOOGLETRANSLATE(C1206, ""en"", ""zh"")"),"联系许可被拒绝。请考虑授予它才能访问聊天功能！")</f>
        <v>联系许可被拒绝。请考虑授予它才能访问聊天功能！</v>
      </c>
      <c r="AL1206" s="6" t="s">
        <v>132</v>
      </c>
    </row>
    <row r="1207" ht="15.75" customHeight="1">
      <c r="A1207" s="1" t="s">
        <v>127</v>
      </c>
      <c r="B1207" s="1" t="s">
        <v>24872</v>
      </c>
      <c r="C1207" s="1" t="s">
        <v>24873</v>
      </c>
      <c r="D1207" s="8" t="s">
        <v>24874</v>
      </c>
      <c r="E1207" s="1" t="s">
        <v>24875</v>
      </c>
      <c r="F1207" s="6" t="s">
        <v>132</v>
      </c>
      <c r="G1207" s="1" t="s">
        <v>24876</v>
      </c>
      <c r="H1207" s="1" t="s">
        <v>24877</v>
      </c>
      <c r="I1207" s="1" t="s">
        <v>24878</v>
      </c>
      <c r="J1207" s="6" t="s">
        <v>24879</v>
      </c>
      <c r="K1207" s="1" t="s">
        <v>24880</v>
      </c>
      <c r="L1207" s="1" t="s">
        <v>24881</v>
      </c>
      <c r="M1207" s="1" t="s">
        <v>24882</v>
      </c>
      <c r="N1207" s="6" t="s">
        <v>132</v>
      </c>
      <c r="O1207" s="6" t="s">
        <v>24883</v>
      </c>
      <c r="P1207" s="1" t="s">
        <v>24884</v>
      </c>
      <c r="Q1207" s="1" t="s">
        <v>24885</v>
      </c>
      <c r="R1207" s="1" t="s">
        <v>24886</v>
      </c>
      <c r="S1207" s="10" t="s">
        <v>24887</v>
      </c>
      <c r="T1207" s="1" t="s">
        <v>24888</v>
      </c>
      <c r="U1207" s="1" t="s">
        <v>24889</v>
      </c>
      <c r="V1207" s="1" t="s">
        <v>24890</v>
      </c>
      <c r="W1207" s="1" t="s">
        <v>4405</v>
      </c>
      <c r="X1207" s="1" t="s">
        <v>24891</v>
      </c>
      <c r="Y1207" s="1" t="s">
        <v>24892</v>
      </c>
      <c r="Z1207" s="1" t="s">
        <v>24880</v>
      </c>
      <c r="AA1207" s="1" t="s">
        <v>24893</v>
      </c>
      <c r="AB1207" s="1" t="s">
        <v>24894</v>
      </c>
      <c r="AC1207" s="1" t="s">
        <v>24895</v>
      </c>
      <c r="AD1207" s="6" t="s">
        <v>24896</v>
      </c>
      <c r="AE1207" s="1" t="s">
        <v>24897</v>
      </c>
      <c r="AF1207" s="1" t="s">
        <v>24898</v>
      </c>
      <c r="AG1207" s="6" t="s">
        <v>24899</v>
      </c>
      <c r="AH1207" s="1" t="s">
        <v>24900</v>
      </c>
      <c r="AI1207" s="6" t="s">
        <v>132</v>
      </c>
      <c r="AJ1207" s="6" t="s">
        <v>24901</v>
      </c>
      <c r="AK1207" s="1" t="s">
        <v>24902</v>
      </c>
      <c r="AL1207" s="6" t="s">
        <v>24903</v>
      </c>
    </row>
    <row r="1208" ht="15.75" hidden="1" customHeight="1">
      <c r="A1208" s="1" t="s">
        <v>38</v>
      </c>
      <c r="B1208" s="1" t="s">
        <v>24904</v>
      </c>
      <c r="C1208" s="1" t="s">
        <v>24905</v>
      </c>
      <c r="D1208" s="8" t="s">
        <v>24906</v>
      </c>
      <c r="E1208" s="1" t="s">
        <v>24907</v>
      </c>
      <c r="F1208" s="6" t="s">
        <v>24908</v>
      </c>
      <c r="G1208" s="7" t="str">
        <f>IFERROR(__xludf.DUMMYFUNCTION("GOOGLETRANSLATE(C1208, ""en"", ""cs"")"),"Klidné hodiny")</f>
        <v>Klidné hodiny</v>
      </c>
      <c r="H1208" s="7" t="str">
        <f>IFERROR(__xludf.DUMMYFUNCTION("GOOGLETRANSLATE(C1208, ""en"", ""da"")"),"Stille timer")</f>
        <v>Stille timer</v>
      </c>
      <c r="I1208" s="1" t="s">
        <v>24909</v>
      </c>
      <c r="J1208" s="6" t="s">
        <v>132</v>
      </c>
      <c r="K1208" s="1" t="s">
        <v>24910</v>
      </c>
      <c r="L1208" s="7" t="str">
        <f>IFERROR(__xludf.DUMMYFUNCTION("GOOGLETRANSLATE(C1208, ""en"", ""fi"")"),"Hiljaiset tuntia")</f>
        <v>Hiljaiset tuntia</v>
      </c>
      <c r="M1208" s="1" t="s">
        <v>24911</v>
      </c>
      <c r="N1208" s="6" t="s">
        <v>24912</v>
      </c>
      <c r="O1208" s="6" t="s">
        <v>132</v>
      </c>
      <c r="P1208" s="1" t="s">
        <v>24913</v>
      </c>
      <c r="Q1208" s="9" t="s">
        <v>24914</v>
      </c>
      <c r="R1208" s="1" t="s">
        <v>24915</v>
      </c>
      <c r="S1208" s="6" t="s">
        <v>132</v>
      </c>
      <c r="T1208" s="1" t="s">
        <v>24916</v>
      </c>
      <c r="U1208" s="1" t="s">
        <v>24917</v>
      </c>
      <c r="V1208" s="7" t="str">
        <f>IFERROR(__xludf.DUMMYFUNCTION("GOOGLETRANSLATE(C1208, ""en"", ""ms"")"),"Waktu yang tenang")</f>
        <v>Waktu yang tenang</v>
      </c>
      <c r="W1208" s="1" t="s">
        <v>24918</v>
      </c>
      <c r="X1208" s="7" t="str">
        <f>IFERROR(__xludf.DUMMYFUNCTION("GOOGLETRANSLATE(C1208, ""en"", ""no"")"),"Stille timer")</f>
        <v>Stille timer</v>
      </c>
      <c r="Y1208" s="1" t="s">
        <v>24919</v>
      </c>
      <c r="Z1208" s="1" t="s">
        <v>24920</v>
      </c>
      <c r="AA1208" s="7" t="str">
        <f>IFERROR(__xludf.DUMMYFUNCTION("GOOGLETRANSLATE(C1208, ""en"", ""ro"")"),"Ore liniștită")</f>
        <v>Ore liniștită</v>
      </c>
      <c r="AB1208" s="1" t="s">
        <v>24921</v>
      </c>
      <c r="AC1208" s="1" t="s">
        <v>24922</v>
      </c>
      <c r="AD1208" s="6" t="s">
        <v>132</v>
      </c>
      <c r="AE1208" s="1" t="s">
        <v>24923</v>
      </c>
      <c r="AF1208" s="1" t="s">
        <v>24924</v>
      </c>
      <c r="AG1208" s="6" t="s">
        <v>132</v>
      </c>
      <c r="AH1208" s="7" t="str">
        <f>IFERROR(__xludf.DUMMYFUNCTION("GOOGLETRANSLATE(C1208, ""en"", ""tr"")"),"Sessiz saatler")</f>
        <v>Sessiz saatler</v>
      </c>
      <c r="AI1208" s="6" t="s">
        <v>24925</v>
      </c>
      <c r="AJ1208" s="6" t="s">
        <v>24926</v>
      </c>
      <c r="AK1208" s="7" t="str">
        <f>IFERROR(__xludf.DUMMYFUNCTION("GOOGLETRANSLATE(C1208, ""en"", ""zh"")"),"安静的时间")</f>
        <v>安静的时间</v>
      </c>
      <c r="AL1208" s="6" t="s">
        <v>24927</v>
      </c>
    </row>
    <row r="1209" ht="15.75" hidden="1" customHeight="1">
      <c r="A1209" s="1" t="s">
        <v>38</v>
      </c>
      <c r="B1209" s="1" t="s">
        <v>24928</v>
      </c>
      <c r="C1209" s="1" t="s">
        <v>24929</v>
      </c>
      <c r="D1209" s="7" t="str">
        <f>IFERROR(__xludf.DUMMYFUNCTION("GOOGLETRANSLATE(C1209, ""en"", ""ar"")"),"سلوفاكيا")</f>
        <v>سلوفاكيا</v>
      </c>
      <c r="E1209" s="7" t="str">
        <f>IFERROR(__xludf.DUMMYFUNCTION("GOOGLETRANSLATE(C1209, ""en"", ""bg"")"),"Словакия")</f>
        <v>Словакия</v>
      </c>
      <c r="F1209" s="6" t="s">
        <v>132</v>
      </c>
      <c r="G1209" s="7" t="str">
        <f>IFERROR(__xludf.DUMMYFUNCTION("GOOGLETRANSLATE(C1209, ""en"", ""cs"")"),"Slovensko")</f>
        <v>Slovensko</v>
      </c>
      <c r="H1209" s="7" t="str">
        <f>IFERROR(__xludf.DUMMYFUNCTION("GOOGLETRANSLATE(C1209, ""en"", ""da"")"),"Slovakiet.")</f>
        <v>Slovakiet.</v>
      </c>
      <c r="I1209" s="1" t="s">
        <v>24930</v>
      </c>
      <c r="J1209" s="6" t="s">
        <v>132</v>
      </c>
      <c r="K1209" s="1" t="s">
        <v>24931</v>
      </c>
      <c r="L1209" s="7" t="str">
        <f>IFERROR(__xludf.DUMMYFUNCTION("GOOGLETRANSLATE(C1209, ""en"", ""fi"")"),"Slovakia")</f>
        <v>Slovakia</v>
      </c>
      <c r="M1209" s="1" t="s">
        <v>24932</v>
      </c>
      <c r="N1209" s="6" t="s">
        <v>132</v>
      </c>
      <c r="O1209" s="6" t="s">
        <v>132</v>
      </c>
      <c r="P1209" s="1" t="s">
        <v>24929</v>
      </c>
      <c r="Q1209" s="7" t="str">
        <f>IFERROR(__xludf.DUMMYFUNCTION("GOOGLETRANSLATE(C1209, ""en"", ""in"")"),"Slovakia.")</f>
        <v>Slovakia.</v>
      </c>
      <c r="R1209" s="7" t="str">
        <f>IFERROR(__xludf.DUMMYFUNCTION("GOOGLETRANSLATE(C1209, ""en"", ""it"")"),"Slovacchia")</f>
        <v>Slovacchia</v>
      </c>
      <c r="S1209" s="6" t="s">
        <v>132</v>
      </c>
      <c r="T1209" s="7" t="str">
        <f>IFERROR(__xludf.DUMMYFUNCTION("GOOGLETRANSLATE(C1209, ""en"", ""ja"")"),"スロバキア")</f>
        <v>スロバキア</v>
      </c>
      <c r="U1209" s="7" t="str">
        <f>IFERROR(__xludf.DUMMYFUNCTION("GOOGLETRANSLATE(C1209, ""en"", ""ko"")"),"슬로바키아")</f>
        <v>슬로바키아</v>
      </c>
      <c r="V1209" s="7" t="str">
        <f>IFERROR(__xludf.DUMMYFUNCTION("GOOGLETRANSLATE(C1209, ""en"", ""ms"")"),"Slovakia")</f>
        <v>Slovakia</v>
      </c>
      <c r="W1209" s="7" t="str">
        <f>IFERROR(__xludf.DUMMYFUNCTION("GOOGLETRANSLATE(C1209, ""en"", ""nl"")"),"Slowakije")</f>
        <v>Slowakije</v>
      </c>
      <c r="X1209" s="7" t="str">
        <f>IFERROR(__xludf.DUMMYFUNCTION("GOOGLETRANSLATE(C1209, ""en"", ""no"")"),"Slovakia")</f>
        <v>Slovakia</v>
      </c>
      <c r="Y1209" s="7" t="str">
        <f>IFERROR(__xludf.DUMMYFUNCTION("GOOGLETRANSLATE(C1209, ""en"", ""pl"")"),"Słowacja")</f>
        <v>Słowacja</v>
      </c>
      <c r="Z1209" s="7" t="str">
        <f>IFERROR(__xludf.DUMMYFUNCTION("GOOGLETRANSLATE(C1209, ""en"", ""pt"")"),"Eslováquia")</f>
        <v>Eslováquia</v>
      </c>
      <c r="AA1209" s="7" t="str">
        <f>IFERROR(__xludf.DUMMYFUNCTION("GOOGLETRANSLATE(C1209, ""en"", ""ro"")"),"Slovacia")</f>
        <v>Slovacia</v>
      </c>
      <c r="AB1209" s="1" t="s">
        <v>24933</v>
      </c>
      <c r="AC1209" s="7" t="str">
        <f>IFERROR(__xludf.DUMMYFUNCTION("GOOGLETRANSLATE(C1209, ""en"", ""sk"")"),"Slovensko")</f>
        <v>Slovensko</v>
      </c>
      <c r="AD1209" s="6" t="s">
        <v>132</v>
      </c>
      <c r="AE1209" s="1" t="s">
        <v>24934</v>
      </c>
      <c r="AF1209" s="7" t="str">
        <f>IFERROR(__xludf.DUMMYFUNCTION("GOOGLETRANSLATE(C1209, ""en"", ""sv"")"),"Slovakien")</f>
        <v>Slovakien</v>
      </c>
      <c r="AG1209" s="6" t="s">
        <v>132</v>
      </c>
      <c r="AH1209" s="7" t="str">
        <f>IFERROR(__xludf.DUMMYFUNCTION("GOOGLETRANSLATE(C1209, ""en"", ""tr"")"),"Slovakya")</f>
        <v>Slovakya</v>
      </c>
      <c r="AI1209" s="6" t="s">
        <v>132</v>
      </c>
      <c r="AJ1209" s="6" t="s">
        <v>132</v>
      </c>
      <c r="AK1209" s="7" t="str">
        <f>IFERROR(__xludf.DUMMYFUNCTION("GOOGLETRANSLATE(C1209, ""en"", ""zh"")"),"斯洛伐克")</f>
        <v>斯洛伐克</v>
      </c>
      <c r="AL1209" s="6" t="s">
        <v>132</v>
      </c>
    </row>
    <row r="1210" ht="15.75" customHeight="1">
      <c r="A1210" s="1" t="s">
        <v>127</v>
      </c>
      <c r="B1210" s="1" t="s">
        <v>24935</v>
      </c>
      <c r="C1210" s="1" t="s">
        <v>24936</v>
      </c>
      <c r="D1210" s="8" t="s">
        <v>24937</v>
      </c>
      <c r="E1210" s="1" t="s">
        <v>24938</v>
      </c>
      <c r="F1210" s="6" t="s">
        <v>132</v>
      </c>
      <c r="G1210" s="1" t="s">
        <v>24939</v>
      </c>
      <c r="H1210" s="1" t="s">
        <v>24936</v>
      </c>
      <c r="I1210" s="1" t="s">
        <v>24936</v>
      </c>
      <c r="J1210" s="6" t="s">
        <v>24940</v>
      </c>
      <c r="K1210" s="1" t="s">
        <v>24941</v>
      </c>
      <c r="L1210" s="1" t="s">
        <v>24942</v>
      </c>
      <c r="M1210" s="1" t="s">
        <v>24943</v>
      </c>
      <c r="N1210" s="6" t="s">
        <v>132</v>
      </c>
      <c r="O1210" s="6" t="s">
        <v>24944</v>
      </c>
      <c r="P1210" s="1" t="s">
        <v>24945</v>
      </c>
      <c r="Q1210" s="1" t="s">
        <v>24946</v>
      </c>
      <c r="R1210" s="1" t="s">
        <v>24938</v>
      </c>
      <c r="S1210" s="10" t="s">
        <v>24947</v>
      </c>
      <c r="T1210" s="1" t="s">
        <v>24948</v>
      </c>
      <c r="U1210" s="1" t="s">
        <v>24949</v>
      </c>
      <c r="V1210" s="1" t="s">
        <v>24946</v>
      </c>
      <c r="W1210" s="1" t="s">
        <v>24950</v>
      </c>
      <c r="X1210" s="1" t="s">
        <v>24951</v>
      </c>
      <c r="Y1210" s="1" t="s">
        <v>24938</v>
      </c>
      <c r="Z1210" s="1" t="s">
        <v>24952</v>
      </c>
      <c r="AA1210" s="1" t="s">
        <v>24953</v>
      </c>
      <c r="AB1210" s="1" t="s">
        <v>24954</v>
      </c>
      <c r="AC1210" s="1" t="s">
        <v>24955</v>
      </c>
      <c r="AD1210" s="6" t="s">
        <v>24956</v>
      </c>
      <c r="AE1210" s="1" t="s">
        <v>24957</v>
      </c>
      <c r="AF1210" s="1" t="s">
        <v>24958</v>
      </c>
      <c r="AG1210" s="6" t="s">
        <v>24959</v>
      </c>
      <c r="AH1210" s="1" t="s">
        <v>24960</v>
      </c>
      <c r="AI1210" s="6" t="s">
        <v>132</v>
      </c>
      <c r="AJ1210" s="6" t="s">
        <v>24961</v>
      </c>
      <c r="AK1210" s="1" t="s">
        <v>24962</v>
      </c>
      <c r="AL1210" s="6" t="s">
        <v>132</v>
      </c>
    </row>
    <row r="1211" ht="15.75" hidden="1" customHeight="1">
      <c r="A1211" s="1" t="s">
        <v>38</v>
      </c>
      <c r="B1211" s="1" t="s">
        <v>24963</v>
      </c>
      <c r="C1211" s="1" t="s">
        <v>24964</v>
      </c>
      <c r="D1211" s="1" t="s">
        <v>24964</v>
      </c>
      <c r="E1211" s="1" t="s">
        <v>24964</v>
      </c>
      <c r="F1211" s="6" t="s">
        <v>24964</v>
      </c>
      <c r="G1211" s="7" t="str">
        <f>IFERROR(__xludf.DUMMYFUNCTION("GOOGLETRANSLATE(C1211, ""en"", ""cs"")"),"OpenKeychain.")</f>
        <v>OpenKeychain.</v>
      </c>
      <c r="H1211" s="7" t="str">
        <f>IFERROR(__xludf.DUMMYFUNCTION("GOOGLETRANSLATE(C1211, ""en"", ""da"")"),"OpenKeyChain.")</f>
        <v>OpenKeyChain.</v>
      </c>
      <c r="I1211" s="1" t="s">
        <v>24964</v>
      </c>
      <c r="J1211" s="6" t="s">
        <v>132</v>
      </c>
      <c r="K1211" s="1" t="s">
        <v>24964</v>
      </c>
      <c r="L1211" s="7" t="str">
        <f>IFERROR(__xludf.DUMMYFUNCTION("GOOGLETRANSLATE(C1211, ""en"", ""fi"")"),"Openkeychain")</f>
        <v>Openkeychain</v>
      </c>
      <c r="M1211" s="1" t="s">
        <v>24964</v>
      </c>
      <c r="N1211" s="6" t="s">
        <v>24964</v>
      </c>
      <c r="O1211" s="6" t="s">
        <v>132</v>
      </c>
      <c r="P1211" s="1" t="s">
        <v>24964</v>
      </c>
      <c r="Q1211" s="9" t="s">
        <v>24964</v>
      </c>
      <c r="R1211" s="1" t="s">
        <v>24964</v>
      </c>
      <c r="S1211" s="6" t="s">
        <v>132</v>
      </c>
      <c r="T1211" s="1" t="s">
        <v>24964</v>
      </c>
      <c r="U1211" s="1" t="s">
        <v>24964</v>
      </c>
      <c r="V1211" s="7" t="str">
        <f>IFERROR(__xludf.DUMMYFUNCTION("GOOGLETRANSLATE(C1211, ""en"", ""ms"")"),"OpenKeychain.")</f>
        <v>OpenKeychain.</v>
      </c>
      <c r="W1211" s="1" t="s">
        <v>24964</v>
      </c>
      <c r="X1211" s="7" t="str">
        <f>IFERROR(__xludf.DUMMYFUNCTION("GOOGLETRANSLATE(C1211, ""en"", ""no"")"),"OpenKeyChain.")</f>
        <v>OpenKeyChain.</v>
      </c>
      <c r="Y1211" s="1" t="s">
        <v>24964</v>
      </c>
      <c r="Z1211" s="1" t="s">
        <v>24964</v>
      </c>
      <c r="AA1211" s="7" t="str">
        <f>IFERROR(__xludf.DUMMYFUNCTION("GOOGLETRANSLATE(C1211, ""en"", ""ro"")"),"Openkeychain.")</f>
        <v>Openkeychain.</v>
      </c>
      <c r="AB1211" s="1" t="s">
        <v>24965</v>
      </c>
      <c r="AC1211" s="1" t="s">
        <v>24964</v>
      </c>
      <c r="AD1211" s="6" t="s">
        <v>132</v>
      </c>
      <c r="AE1211" s="1" t="s">
        <v>24966</v>
      </c>
      <c r="AF1211" s="1" t="s">
        <v>24964</v>
      </c>
      <c r="AG1211" s="6" t="s">
        <v>132</v>
      </c>
      <c r="AH1211" s="7" t="str">
        <f>IFERROR(__xludf.DUMMYFUNCTION("GOOGLETRANSLATE(C1211, ""en"", ""tr"")"),"OpenKeychain")</f>
        <v>OpenKeychain</v>
      </c>
      <c r="AI1211" s="6" t="s">
        <v>24964</v>
      </c>
      <c r="AJ1211" s="6" t="s">
        <v>24964</v>
      </c>
      <c r="AK1211" s="7" t="str">
        <f>IFERROR(__xludf.DUMMYFUNCTION("GOOGLETRANSLATE(C1211, ""en"", ""zh"")"),"OpenKeychain.")</f>
        <v>OpenKeychain.</v>
      </c>
      <c r="AL1211" s="6" t="s">
        <v>24964</v>
      </c>
    </row>
    <row r="1212" ht="15.75" hidden="1" customHeight="1">
      <c r="A1212" s="1" t="s">
        <v>38</v>
      </c>
      <c r="B1212" s="1" t="s">
        <v>24967</v>
      </c>
      <c r="C1212" s="1" t="s">
        <v>24968</v>
      </c>
      <c r="D1212" s="7" t="str">
        <f>IFERROR(__xludf.DUMMYFUNCTION("GOOGLETRANSLATE(C1212, ""en"", ""ar"")"),"الدردشة")</f>
        <v>الدردشة</v>
      </c>
      <c r="E1212" s="7" t="str">
        <f>IFERROR(__xludf.DUMMYFUNCTION("GOOGLETRANSLATE(C1212, ""en"", ""bg"")"),"Чат")</f>
        <v>Чат</v>
      </c>
      <c r="F1212" s="6" t="s">
        <v>132</v>
      </c>
      <c r="G1212" s="7" t="str">
        <f>IFERROR(__xludf.DUMMYFUNCTION("GOOGLETRANSLATE(C1212, ""en"", ""cs"")"),"Chat")</f>
        <v>Chat</v>
      </c>
      <c r="H1212" s="7" t="str">
        <f>IFERROR(__xludf.DUMMYFUNCTION("GOOGLETRANSLATE(C1212, ""en"", ""da"")"),"Chats.")</f>
        <v>Chats.</v>
      </c>
      <c r="I1212" s="7" t="str">
        <f>IFERROR(__xludf.DUMMYFUNCTION("GOOGLETRANSLATE(C1212, ""en"", ""de"")"),"Chats")</f>
        <v>Chats</v>
      </c>
      <c r="J1212" s="6" t="s">
        <v>132</v>
      </c>
      <c r="K1212" s="7" t="str">
        <f>IFERROR(__xludf.DUMMYFUNCTION("GOOGLETRANSLATE(C1212, ""en"", ""es"")"),"Chats")</f>
        <v>Chats</v>
      </c>
      <c r="L1212" s="7" t="str">
        <f>IFERROR(__xludf.DUMMYFUNCTION("GOOGLETRANSLATE(C1212, ""en"", ""fi"")"),"Kiskot")</f>
        <v>Kiskot</v>
      </c>
      <c r="M1212" s="7" t="str">
        <f>IFERROR(__xludf.DUMMYFUNCTION("GOOGLETRANSLATE(C1212, ""en"", ""fr"")"),"Chats")</f>
        <v>Chats</v>
      </c>
      <c r="N1212" s="6" t="s">
        <v>132</v>
      </c>
      <c r="O1212" s="6" t="s">
        <v>132</v>
      </c>
      <c r="P1212" s="7" t="str">
        <f>IFERROR(__xludf.DUMMYFUNCTION("GOOGLETRANSLATE(C1212, ""en"", ""hu"")"),"Csevegés")</f>
        <v>Csevegés</v>
      </c>
      <c r="Q1212" s="7" t="str">
        <f>IFERROR(__xludf.DUMMYFUNCTION("GOOGLETRANSLATE(C1212, ""en"", ""in"")"),"Obrolan")</f>
        <v>Obrolan</v>
      </c>
      <c r="R1212" s="7" t="str">
        <f>IFERROR(__xludf.DUMMYFUNCTION("GOOGLETRANSLATE(C1212, ""en"", ""it"")"),"Chat.")</f>
        <v>Chat.</v>
      </c>
      <c r="S1212" s="6" t="s">
        <v>132</v>
      </c>
      <c r="T1212" s="7" t="str">
        <f>IFERROR(__xludf.DUMMYFUNCTION("GOOGLETRANSLATE(C1212, ""en"", ""ja"")"),"チャット")</f>
        <v>チャット</v>
      </c>
      <c r="U1212" s="7" t="str">
        <f>IFERROR(__xludf.DUMMYFUNCTION("GOOGLETRANSLATE(C1212, ""en"", ""ko"")"),"채팅")</f>
        <v>채팅</v>
      </c>
      <c r="V1212" s="7" t="str">
        <f>IFERROR(__xludf.DUMMYFUNCTION("GOOGLETRANSLATE(C1212, ""en"", ""ms"")"),"Berbual")</f>
        <v>Berbual</v>
      </c>
      <c r="W1212" s="7" t="str">
        <f>IFERROR(__xludf.DUMMYFUNCTION("GOOGLETRANSLATE(C1212, ""en"", ""nl"")"),"Chats")</f>
        <v>Chats</v>
      </c>
      <c r="X1212" s="7" t="str">
        <f>IFERROR(__xludf.DUMMYFUNCTION("GOOGLETRANSLATE(C1212, ""en"", ""no"")"),"Chats")</f>
        <v>Chats</v>
      </c>
      <c r="Y1212" s="7" t="str">
        <f>IFERROR(__xludf.DUMMYFUNCTION("GOOGLETRANSLATE(C1212, ""en"", ""pl"")"),"Czaty.")</f>
        <v>Czaty.</v>
      </c>
      <c r="Z1212" s="7" t="str">
        <f>IFERROR(__xludf.DUMMYFUNCTION("GOOGLETRANSLATE(C1212, ""en"", ""pt"")"),"Chats.")</f>
        <v>Chats.</v>
      </c>
      <c r="AA1212" s="7" t="str">
        <f>IFERROR(__xludf.DUMMYFUNCTION("GOOGLETRANSLATE(C1212, ""en"", ""ro"")"),"Chat-uri.")</f>
        <v>Chat-uri.</v>
      </c>
      <c r="AB1212" s="7" t="str">
        <f>IFERROR(__xludf.DUMMYFUNCTION("GOOGLETRANSLATE(C1212, ""en"", ""ru"")"),"Чаты")</f>
        <v>Чаты</v>
      </c>
      <c r="AC1212" s="7" t="str">
        <f>IFERROR(__xludf.DUMMYFUNCTION("GOOGLETRANSLATE(C1212, ""en"", ""sk"")"),"Chatovať")</f>
        <v>Chatovať</v>
      </c>
      <c r="AD1212" s="6" t="s">
        <v>132</v>
      </c>
      <c r="AE1212" s="7" t="str">
        <f>IFERROR(__xludf.DUMMYFUNCTION("GOOGLETRANSLATE(C1212, ""en"", ""sr"")"),"Чет")</f>
        <v>Чет</v>
      </c>
      <c r="AF1212" s="7" t="str">
        <f>IFERROR(__xludf.DUMMYFUNCTION("GOOGLETRANSLATE(C1212, ""en"", ""sv"")"),"Chattar")</f>
        <v>Chattar</v>
      </c>
      <c r="AG1212" s="6" t="s">
        <v>132</v>
      </c>
      <c r="AH1212" s="7" t="str">
        <f>IFERROR(__xludf.DUMMYFUNCTION("GOOGLETRANSLATE(C1212, ""en"", ""tr"")"),"Sohbet")</f>
        <v>Sohbet</v>
      </c>
      <c r="AI1212" s="6" t="s">
        <v>132</v>
      </c>
      <c r="AJ1212" s="6" t="s">
        <v>132</v>
      </c>
      <c r="AK1212" s="7" t="str">
        <f>IFERROR(__xludf.DUMMYFUNCTION("GOOGLETRANSLATE(C1212, ""en"", ""zh"")"),"聊天")</f>
        <v>聊天</v>
      </c>
      <c r="AL1212" s="6" t="s">
        <v>132</v>
      </c>
    </row>
    <row r="1213" ht="15.75" hidden="1" customHeight="1">
      <c r="A1213" s="1" t="s">
        <v>38</v>
      </c>
      <c r="B1213" s="1" t="s">
        <v>24969</v>
      </c>
      <c r="C1213" s="1" t="s">
        <v>24970</v>
      </c>
      <c r="D1213" s="7" t="str">
        <f>IFERROR(__xludf.DUMMYFUNCTION("GOOGLETRANSLATE(C1213, ""en"", ""ar"")"),"النيجر")</f>
        <v>النيجر</v>
      </c>
      <c r="E1213" s="7" t="str">
        <f>IFERROR(__xludf.DUMMYFUNCTION("GOOGLETRANSLATE(C1213, ""en"", ""bg"")"),"Нигер")</f>
        <v>Нигер</v>
      </c>
      <c r="F1213" s="6" t="s">
        <v>132</v>
      </c>
      <c r="G1213" s="7" t="str">
        <f>IFERROR(__xludf.DUMMYFUNCTION("GOOGLETRANSLATE(C1213, ""en"", ""cs"")"),"Niger")</f>
        <v>Niger</v>
      </c>
      <c r="H1213" s="7" t="str">
        <f>IFERROR(__xludf.DUMMYFUNCTION("GOOGLETRANSLATE(C1213, ""en"", ""da"")"),"Niger.")</f>
        <v>Niger.</v>
      </c>
      <c r="I1213" s="1" t="s">
        <v>24970</v>
      </c>
      <c r="J1213" s="6" t="s">
        <v>132</v>
      </c>
      <c r="K1213" s="1" t="s">
        <v>24970</v>
      </c>
      <c r="L1213" s="7" t="str">
        <f>IFERROR(__xludf.DUMMYFUNCTION("GOOGLETRANSLATE(C1213, ""en"", ""fi"")"),"Niger")</f>
        <v>Niger</v>
      </c>
      <c r="M1213" s="1" t="s">
        <v>24970</v>
      </c>
      <c r="N1213" s="6" t="s">
        <v>132</v>
      </c>
      <c r="O1213" s="6" t="s">
        <v>132</v>
      </c>
      <c r="P1213" s="1" t="s">
        <v>24970</v>
      </c>
      <c r="Q1213" s="7" t="str">
        <f>IFERROR(__xludf.DUMMYFUNCTION("GOOGLETRANSLATE(C1213, ""en"", ""in"")"),"Niger")</f>
        <v>Niger</v>
      </c>
      <c r="R1213" s="7" t="str">
        <f>IFERROR(__xludf.DUMMYFUNCTION("GOOGLETRANSLATE(C1213, ""en"", ""it"")"),"Niger")</f>
        <v>Niger</v>
      </c>
      <c r="S1213" s="6" t="s">
        <v>132</v>
      </c>
      <c r="T1213" s="7" t="str">
        <f>IFERROR(__xludf.DUMMYFUNCTION("GOOGLETRANSLATE(C1213, ""en"", ""ja"")"),"ニガー")</f>
        <v>ニガー</v>
      </c>
      <c r="U1213" s="7" t="str">
        <f>IFERROR(__xludf.DUMMYFUNCTION("GOOGLETRANSLATE(C1213, ""en"", ""ko"")"),"니제르")</f>
        <v>니제르</v>
      </c>
      <c r="V1213" s="7" t="str">
        <f>IFERROR(__xludf.DUMMYFUNCTION("GOOGLETRANSLATE(C1213, ""en"", ""ms"")"),"Niger.")</f>
        <v>Niger.</v>
      </c>
      <c r="W1213" s="7" t="str">
        <f>IFERROR(__xludf.DUMMYFUNCTION("GOOGLETRANSLATE(C1213, ""en"", ""nl"")"),"Niger")</f>
        <v>Niger</v>
      </c>
      <c r="X1213" s="7" t="str">
        <f>IFERROR(__xludf.DUMMYFUNCTION("GOOGLETRANSLATE(C1213, ""en"", ""no"")"),"Niger")</f>
        <v>Niger</v>
      </c>
      <c r="Y1213" s="7" t="str">
        <f>IFERROR(__xludf.DUMMYFUNCTION("GOOGLETRANSLATE(C1213, ""en"", ""pl"")"),"Niger.")</f>
        <v>Niger.</v>
      </c>
      <c r="Z1213" s="7" t="str">
        <f>IFERROR(__xludf.DUMMYFUNCTION("GOOGLETRANSLATE(C1213, ""en"", ""pt"")"),"Níger")</f>
        <v>Níger</v>
      </c>
      <c r="AA1213" s="7" t="str">
        <f>IFERROR(__xludf.DUMMYFUNCTION("GOOGLETRANSLATE(C1213, ""en"", ""ro"")"),"Niger.")</f>
        <v>Niger.</v>
      </c>
      <c r="AB1213" s="1" t="s">
        <v>24971</v>
      </c>
      <c r="AC1213" s="7" t="str">
        <f>IFERROR(__xludf.DUMMYFUNCTION("GOOGLETRANSLATE(C1213, ""en"", ""sk"")"),"Niger")</f>
        <v>Niger</v>
      </c>
      <c r="AD1213" s="6" t="s">
        <v>132</v>
      </c>
      <c r="AE1213" s="1" t="s">
        <v>24970</v>
      </c>
      <c r="AF1213" s="7" t="str">
        <f>IFERROR(__xludf.DUMMYFUNCTION("GOOGLETRANSLATE(C1213, ""en"", ""sv"")"),"Niger")</f>
        <v>Niger</v>
      </c>
      <c r="AG1213" s="6" t="s">
        <v>132</v>
      </c>
      <c r="AH1213" s="7" t="str">
        <f>IFERROR(__xludf.DUMMYFUNCTION("GOOGLETRANSLATE(C1213, ""en"", ""tr"")"),"Nijer")</f>
        <v>Nijer</v>
      </c>
      <c r="AI1213" s="6" t="s">
        <v>132</v>
      </c>
      <c r="AJ1213" s="6" t="s">
        <v>132</v>
      </c>
      <c r="AK1213" s="7" t="str">
        <f>IFERROR(__xludf.DUMMYFUNCTION("GOOGLETRANSLATE(C1213, ""en"", ""zh"")"),"尼日尔")</f>
        <v>尼日尔</v>
      </c>
      <c r="AL1213" s="6" t="s">
        <v>132</v>
      </c>
    </row>
    <row r="1214" ht="15.75" customHeight="1">
      <c r="A1214" s="1" t="s">
        <v>127</v>
      </c>
      <c r="B1214" s="1" t="s">
        <v>24972</v>
      </c>
      <c r="C1214" s="12" t="s">
        <v>132</v>
      </c>
      <c r="D1214" s="1" t="s">
        <v>24973</v>
      </c>
      <c r="E1214" s="7" t="str">
        <f>IFERROR(__xludf.DUMMYFUNCTION("GOOGLETRANSLATE(C1214, ""en"", ""bg"")"),"#VALUE!")</f>
        <v>#VALUE!</v>
      </c>
      <c r="F1214" s="6" t="s">
        <v>132</v>
      </c>
      <c r="G1214" s="7" t="str">
        <f>IFERROR(__xludf.DUMMYFUNCTION("GOOGLETRANSLATE(C1214, ""en"", ""cs"")"),"#VALUE!")</f>
        <v>#VALUE!</v>
      </c>
      <c r="H1214" s="7" t="str">
        <f>IFERROR(__xludf.DUMMYFUNCTION("GOOGLETRANSLATE(C1214, ""en"", ""da"")"),"#VALUE!")</f>
        <v>#VALUE!</v>
      </c>
      <c r="I1214" s="7" t="str">
        <f>IFERROR(__xludf.DUMMYFUNCTION("GOOGLETRANSLATE(C1214, ""en"", ""de"")"),"#VALUE!")</f>
        <v>#VALUE!</v>
      </c>
      <c r="J1214" s="6" t="s">
        <v>132</v>
      </c>
      <c r="K1214" s="7" t="str">
        <f>IFERROR(__xludf.DUMMYFUNCTION("GOOGLETRANSLATE(C1214, ""en"", ""es"")"),"#VALUE!")</f>
        <v>#VALUE!</v>
      </c>
      <c r="L1214" s="7" t="str">
        <f>IFERROR(__xludf.DUMMYFUNCTION("GOOGLETRANSLATE(C1214, ""en"", ""fi"")"),"#VALUE!")</f>
        <v>#VALUE!</v>
      </c>
      <c r="M1214" s="7" t="str">
        <f>IFERROR(__xludf.DUMMYFUNCTION("GOOGLETRANSLATE(C1214, ""en"", ""fr"")"),"#VALUE!")</f>
        <v>#VALUE!</v>
      </c>
      <c r="N1214" s="6" t="s">
        <v>132</v>
      </c>
      <c r="O1214" s="6" t="s">
        <v>132</v>
      </c>
      <c r="P1214" s="7" t="str">
        <f>IFERROR(__xludf.DUMMYFUNCTION("GOOGLETRANSLATE(C1214, ""en"", ""hu"")"),"#VALUE!")</f>
        <v>#VALUE!</v>
      </c>
      <c r="Q1214" s="7" t="str">
        <f>IFERROR(__xludf.DUMMYFUNCTION("GOOGLETRANSLATE(C1214, ""en"", ""in"")"),"#VALUE!")</f>
        <v>#VALUE!</v>
      </c>
      <c r="R1214" s="7" t="str">
        <f>IFERROR(__xludf.DUMMYFUNCTION("GOOGLETRANSLATE(C1214, ""en"", ""it"")"),"#VALUE!")</f>
        <v>#VALUE!</v>
      </c>
      <c r="S1214" s="6" t="s">
        <v>132</v>
      </c>
      <c r="T1214" s="7" t="str">
        <f>IFERROR(__xludf.DUMMYFUNCTION("GOOGLETRANSLATE(C1214, ""en"", ""ja"")"),"#VALUE!")</f>
        <v>#VALUE!</v>
      </c>
      <c r="U1214" s="1" t="s">
        <v>24973</v>
      </c>
      <c r="V1214" s="7" t="str">
        <f>IFERROR(__xludf.DUMMYFUNCTION("GOOGLETRANSLATE(C1214, ""en"", ""ms"")"),"#VALUE!")</f>
        <v>#VALUE!</v>
      </c>
      <c r="W1214" s="7" t="str">
        <f>IFERROR(__xludf.DUMMYFUNCTION("GOOGLETRANSLATE(C1214, ""en"", ""nl"")"),"#VALUE!")</f>
        <v>#VALUE!</v>
      </c>
      <c r="X1214" s="7" t="str">
        <f>IFERROR(__xludf.DUMMYFUNCTION("GOOGLETRANSLATE(C1214, ""en"", ""no"")"),"#VALUE!")</f>
        <v>#VALUE!</v>
      </c>
      <c r="Y1214" s="7" t="str">
        <f>IFERROR(__xludf.DUMMYFUNCTION("GOOGLETRANSLATE(C1214, ""en"", ""pl"")"),"#VALUE!")</f>
        <v>#VALUE!</v>
      </c>
      <c r="Z1214" s="7" t="str">
        <f>IFERROR(__xludf.DUMMYFUNCTION("GOOGLETRANSLATE(C1214, ""en"", ""pt"")"),"#VALUE!")</f>
        <v>#VALUE!</v>
      </c>
      <c r="AA1214" s="7" t="str">
        <f>IFERROR(__xludf.DUMMYFUNCTION("GOOGLETRANSLATE(C1214, ""en"", ""ro"")"),"#VALUE!")</f>
        <v>#VALUE!</v>
      </c>
      <c r="AB1214" s="7" t="str">
        <f>IFERROR(__xludf.DUMMYFUNCTION("GOOGLETRANSLATE(C1214, ""en"", ""ru"")"),"#VALUE!")</f>
        <v>#VALUE!</v>
      </c>
      <c r="AC1214" s="7" t="str">
        <f>IFERROR(__xludf.DUMMYFUNCTION("GOOGLETRANSLATE(C1214, ""en"", ""sk"")"),"#VALUE!")</f>
        <v>#VALUE!</v>
      </c>
      <c r="AD1214" s="6" t="s">
        <v>132</v>
      </c>
      <c r="AE1214" s="7" t="str">
        <f>IFERROR(__xludf.DUMMYFUNCTION("GOOGLETRANSLATE(C1214, ""en"", ""sr"")"),"#VALUE!")</f>
        <v>#VALUE!</v>
      </c>
      <c r="AF1214" s="7" t="str">
        <f>IFERROR(__xludf.DUMMYFUNCTION("GOOGLETRANSLATE(C1214, ""en"", ""sv"")"),"#VALUE!")</f>
        <v>#VALUE!</v>
      </c>
      <c r="AG1214" s="6" t="s">
        <v>132</v>
      </c>
      <c r="AH1214" s="7" t="str">
        <f>IFERROR(__xludf.DUMMYFUNCTION("GOOGLETRANSLATE(C1214, ""en"", ""tr"")"),"#VALUE!")</f>
        <v>#VALUE!</v>
      </c>
      <c r="AI1214" s="6" t="s">
        <v>132</v>
      </c>
      <c r="AJ1214" s="6" t="s">
        <v>132</v>
      </c>
      <c r="AK1214" s="7" t="str">
        <f>IFERROR(__xludf.DUMMYFUNCTION("GOOGLETRANSLATE(C1214, ""en"", ""zh"")"),"#VALUE!")</f>
        <v>#VALUE!</v>
      </c>
      <c r="AL1214" s="6" t="s">
        <v>132</v>
      </c>
    </row>
    <row r="1215" ht="15.75" hidden="1" customHeight="1">
      <c r="A1215" s="1" t="s">
        <v>38</v>
      </c>
      <c r="B1215" s="1" t="s">
        <v>24974</v>
      </c>
      <c r="C1215" s="1" t="s">
        <v>24975</v>
      </c>
      <c r="D1215" s="8" t="s">
        <v>24976</v>
      </c>
      <c r="E1215" s="1" t="s">
        <v>24977</v>
      </c>
      <c r="F1215" s="6" t="s">
        <v>24978</v>
      </c>
      <c r="G1215" s="7" t="str">
        <f>IFERROR(__xludf.DUMMYFUNCTION("GOOGLETRANSLATE(C1215, ""en"", ""cs"")"),"Zákaz teď")</f>
        <v>Zákaz teď</v>
      </c>
      <c r="H1215" s="7" t="str">
        <f>IFERROR(__xludf.DUMMYFUNCTION("GOOGLETRANSLATE(C1215, ""en"", ""da"")"),"Forbyde nu")</f>
        <v>Forbyde nu</v>
      </c>
      <c r="I1215" s="1" t="s">
        <v>24979</v>
      </c>
      <c r="J1215" s="6" t="s">
        <v>132</v>
      </c>
      <c r="K1215" s="1" t="s">
        <v>24980</v>
      </c>
      <c r="L1215" s="7" t="str">
        <f>IFERROR(__xludf.DUMMYFUNCTION("GOOGLETRANSLATE(C1215, ""en"", ""fi"")"),"Kieltää nyt")</f>
        <v>Kieltää nyt</v>
      </c>
      <c r="M1215" s="1" t="s">
        <v>24981</v>
      </c>
      <c r="N1215" s="6" t="s">
        <v>24982</v>
      </c>
      <c r="O1215" s="6" t="s">
        <v>132</v>
      </c>
      <c r="P1215" s="1" t="s">
        <v>24983</v>
      </c>
      <c r="Q1215" s="9" t="s">
        <v>24984</v>
      </c>
      <c r="R1215" s="1" t="s">
        <v>24985</v>
      </c>
      <c r="S1215" s="6" t="s">
        <v>132</v>
      </c>
      <c r="T1215" s="1" t="s">
        <v>24986</v>
      </c>
      <c r="U1215" s="1" t="s">
        <v>24987</v>
      </c>
      <c r="V1215" s="7" t="str">
        <f>IFERROR(__xludf.DUMMYFUNCTION("GOOGLETRANSLATE(C1215, ""en"", ""ms"")"),"Ban sekarang")</f>
        <v>Ban sekarang</v>
      </c>
      <c r="W1215" s="1" t="s">
        <v>24988</v>
      </c>
      <c r="X1215" s="7" t="str">
        <f>IFERROR(__xludf.DUMMYFUNCTION("GOOGLETRANSLATE(C1215, ""en"", ""no"")"),"Forbud nå")</f>
        <v>Forbud nå</v>
      </c>
      <c r="Y1215" s="1" t="s">
        <v>24989</v>
      </c>
      <c r="Z1215" s="1" t="s">
        <v>24990</v>
      </c>
      <c r="AA1215" s="7" t="str">
        <f>IFERROR(__xludf.DUMMYFUNCTION("GOOGLETRANSLATE(C1215, ""en"", ""ro"")"),"Interzice acum")</f>
        <v>Interzice acum</v>
      </c>
      <c r="AB1215" s="1" t="s">
        <v>24991</v>
      </c>
      <c r="AC1215" s="1" t="s">
        <v>24992</v>
      </c>
      <c r="AD1215" s="6" t="s">
        <v>132</v>
      </c>
      <c r="AE1215" s="1" t="s">
        <v>24993</v>
      </c>
      <c r="AF1215" s="1" t="s">
        <v>24994</v>
      </c>
      <c r="AG1215" s="6" t="s">
        <v>132</v>
      </c>
      <c r="AH1215" s="7" t="str">
        <f>IFERROR(__xludf.DUMMYFUNCTION("GOOGLETRANSLATE(C1215, ""en"", ""tr"")"),"Şimdi yasaklamak")</f>
        <v>Şimdi yasaklamak</v>
      </c>
      <c r="AI1215" s="6" t="s">
        <v>24995</v>
      </c>
      <c r="AJ1215" s="6" t="s">
        <v>24996</v>
      </c>
      <c r="AK1215" s="7" t="str">
        <f>IFERROR(__xludf.DUMMYFUNCTION("GOOGLETRANSLATE(C1215, ""en"", ""zh"")"),"禁止")</f>
        <v>禁止</v>
      </c>
      <c r="AL1215" s="6" t="s">
        <v>24997</v>
      </c>
    </row>
    <row r="1216" ht="15.75" hidden="1" customHeight="1">
      <c r="A1216" s="1" t="s">
        <v>38</v>
      </c>
      <c r="B1216" s="1" t="s">
        <v>24998</v>
      </c>
      <c r="C1216" s="1" t="s">
        <v>24999</v>
      </c>
      <c r="D1216" s="7" t="str">
        <f>IFERROR(__xludf.DUMMYFUNCTION("GOOGLETRANSLATE(C1216, ""en"", ""ar"")"),"بوركينا فاسو")</f>
        <v>بوركينا فاسو</v>
      </c>
      <c r="E1216" s="7" t="str">
        <f>IFERROR(__xludf.DUMMYFUNCTION("GOOGLETRANSLATE(C1216, ""en"", ""bg"")"),"Буркина Фасо")</f>
        <v>Буркина Фасо</v>
      </c>
      <c r="F1216" s="6" t="s">
        <v>132</v>
      </c>
      <c r="G1216" s="7" t="str">
        <f>IFERROR(__xludf.DUMMYFUNCTION("GOOGLETRANSLATE(C1216, ""en"", ""cs"")"),"Burkina Faso.")</f>
        <v>Burkina Faso.</v>
      </c>
      <c r="H1216" s="7" t="str">
        <f>IFERROR(__xludf.DUMMYFUNCTION("GOOGLETRANSLATE(C1216, ""en"", ""da"")"),"Burkina Faso.")</f>
        <v>Burkina Faso.</v>
      </c>
      <c r="I1216" s="1" t="s">
        <v>24999</v>
      </c>
      <c r="J1216" s="6" t="s">
        <v>132</v>
      </c>
      <c r="K1216" s="1" t="s">
        <v>24999</v>
      </c>
      <c r="L1216" s="7" t="str">
        <f>IFERROR(__xludf.DUMMYFUNCTION("GOOGLETRANSLATE(C1216, ""en"", ""fi"")"),"Burkina Faso")</f>
        <v>Burkina Faso</v>
      </c>
      <c r="M1216" s="1" t="s">
        <v>24999</v>
      </c>
      <c r="N1216" s="6" t="s">
        <v>132</v>
      </c>
      <c r="O1216" s="6" t="s">
        <v>132</v>
      </c>
      <c r="P1216" s="1" t="s">
        <v>24999</v>
      </c>
      <c r="Q1216" s="7" t="str">
        <f>IFERROR(__xludf.DUMMYFUNCTION("GOOGLETRANSLATE(C1216, ""en"", ""in"")"),"Burkina Faso")</f>
        <v>Burkina Faso</v>
      </c>
      <c r="R1216" s="7" t="str">
        <f>IFERROR(__xludf.DUMMYFUNCTION("GOOGLETRANSLATE(C1216, ""en"", ""it"")"),"Burkina Faso")</f>
        <v>Burkina Faso</v>
      </c>
      <c r="S1216" s="6" t="s">
        <v>132</v>
      </c>
      <c r="T1216" s="7" t="str">
        <f>IFERROR(__xludf.DUMMYFUNCTION("GOOGLETRANSLATE(C1216, ""en"", ""ja"")"),"ブルキナファソ")</f>
        <v>ブルキナファソ</v>
      </c>
      <c r="U1216" s="7" t="str">
        <f>IFERROR(__xludf.DUMMYFUNCTION("GOOGLETRANSLATE(C1216, ""en"", ""ko"")"),"부키 나 파소")</f>
        <v>부키 나 파소</v>
      </c>
      <c r="V1216" s="7" t="str">
        <f>IFERROR(__xludf.DUMMYFUNCTION("GOOGLETRANSLATE(C1216, ""en"", ""ms"")"),"Burkina Faso.")</f>
        <v>Burkina Faso.</v>
      </c>
      <c r="W1216" s="7" t="str">
        <f>IFERROR(__xludf.DUMMYFUNCTION("GOOGLETRANSLATE(C1216, ""en"", ""nl"")"),"Burkina Faso")</f>
        <v>Burkina Faso</v>
      </c>
      <c r="X1216" s="7" t="str">
        <f>IFERROR(__xludf.DUMMYFUNCTION("GOOGLETRANSLATE(C1216, ""en"", ""no"")"),"Burkina Faso")</f>
        <v>Burkina Faso</v>
      </c>
      <c r="Y1216" s="7" t="str">
        <f>IFERROR(__xludf.DUMMYFUNCTION("GOOGLETRANSLATE(C1216, ""en"", ""pl"")"),"Burkina Faso")</f>
        <v>Burkina Faso</v>
      </c>
      <c r="Z1216" s="7" t="str">
        <f>IFERROR(__xludf.DUMMYFUNCTION("GOOGLETRANSLATE(C1216, ""en"", ""pt"")"),"Burkina Faso")</f>
        <v>Burkina Faso</v>
      </c>
      <c r="AA1216" s="7" t="str">
        <f>IFERROR(__xludf.DUMMYFUNCTION("GOOGLETRANSLATE(C1216, ""en"", ""ro"")"),"Burkina Faso")</f>
        <v>Burkina Faso</v>
      </c>
      <c r="AB1216" s="1" t="s">
        <v>25000</v>
      </c>
      <c r="AC1216" s="7" t="str">
        <f>IFERROR(__xludf.DUMMYFUNCTION("GOOGLETRANSLATE(C1216, ""en"", ""sk"")"),"Burkina Faso")</f>
        <v>Burkina Faso</v>
      </c>
      <c r="AD1216" s="6" t="s">
        <v>132</v>
      </c>
      <c r="AE1216" s="1" t="s">
        <v>24999</v>
      </c>
      <c r="AF1216" s="7" t="str">
        <f>IFERROR(__xludf.DUMMYFUNCTION("GOOGLETRANSLATE(C1216, ""en"", ""sv"")"),"Burkina Faso")</f>
        <v>Burkina Faso</v>
      </c>
      <c r="AG1216" s="6" t="s">
        <v>132</v>
      </c>
      <c r="AH1216" s="7" t="str">
        <f>IFERROR(__xludf.DUMMYFUNCTION("GOOGLETRANSLATE(C1216, ""en"", ""tr"")"),"Burkina Faso")</f>
        <v>Burkina Faso</v>
      </c>
      <c r="AI1216" s="6" t="s">
        <v>132</v>
      </c>
      <c r="AJ1216" s="6" t="s">
        <v>132</v>
      </c>
      <c r="AK1216" s="7" t="str">
        <f>IFERROR(__xludf.DUMMYFUNCTION("GOOGLETRANSLATE(C1216, ""en"", ""zh"")"),"布基纳法索")</f>
        <v>布基纳法索</v>
      </c>
      <c r="AL1216" s="6" t="s">
        <v>132</v>
      </c>
    </row>
    <row r="1217" ht="15.75" customHeight="1">
      <c r="A1217" s="1" t="s">
        <v>127</v>
      </c>
      <c r="B1217" s="1" t="s">
        <v>25001</v>
      </c>
      <c r="C1217" s="1" t="s">
        <v>25002</v>
      </c>
      <c r="D1217" s="8" t="s">
        <v>8553</v>
      </c>
      <c r="E1217" s="1" t="s">
        <v>25002</v>
      </c>
      <c r="F1217" s="6" t="s">
        <v>132</v>
      </c>
      <c r="G1217" s="1" t="s">
        <v>25002</v>
      </c>
      <c r="H1217" s="1" t="s">
        <v>25002</v>
      </c>
      <c r="I1217" s="1" t="s">
        <v>25003</v>
      </c>
      <c r="J1217" s="6" t="s">
        <v>25002</v>
      </c>
      <c r="K1217" s="1" t="s">
        <v>25002</v>
      </c>
      <c r="L1217" s="1" t="s">
        <v>25002</v>
      </c>
      <c r="M1217" s="1" t="s">
        <v>25004</v>
      </c>
      <c r="N1217" s="6" t="s">
        <v>132</v>
      </c>
      <c r="O1217" s="6" t="s">
        <v>25005</v>
      </c>
      <c r="P1217" s="1" t="s">
        <v>8563</v>
      </c>
      <c r="Q1217" s="1" t="s">
        <v>25002</v>
      </c>
      <c r="R1217" s="1" t="s">
        <v>25002</v>
      </c>
      <c r="S1217" s="6" t="s">
        <v>25002</v>
      </c>
      <c r="T1217" s="1" t="s">
        <v>25002</v>
      </c>
      <c r="U1217" s="1" t="s">
        <v>25002</v>
      </c>
      <c r="V1217" s="1" t="s">
        <v>25002</v>
      </c>
      <c r="W1217" s="1" t="s">
        <v>25002</v>
      </c>
      <c r="X1217" s="1" t="s">
        <v>25002</v>
      </c>
      <c r="Y1217" s="1" t="s">
        <v>25002</v>
      </c>
      <c r="Z1217" s="1" t="s">
        <v>25002</v>
      </c>
      <c r="AA1217" s="1" t="s">
        <v>25002</v>
      </c>
      <c r="AB1217" s="1" t="s">
        <v>8571</v>
      </c>
      <c r="AC1217" s="1" t="s">
        <v>25002</v>
      </c>
      <c r="AD1217" s="6" t="s">
        <v>25002</v>
      </c>
      <c r="AE1217" s="1" t="s">
        <v>25006</v>
      </c>
      <c r="AF1217" s="1" t="s">
        <v>25002</v>
      </c>
      <c r="AG1217" s="6" t="s">
        <v>8575</v>
      </c>
      <c r="AH1217" s="1" t="s">
        <v>25002</v>
      </c>
      <c r="AI1217" s="6" t="s">
        <v>132</v>
      </c>
      <c r="AJ1217" s="6" t="s">
        <v>8577</v>
      </c>
      <c r="AK1217" s="1" t="s">
        <v>25007</v>
      </c>
      <c r="AL1217" s="6" t="s">
        <v>25008</v>
      </c>
    </row>
    <row r="1218" ht="15.75" customHeight="1">
      <c r="A1218" s="1" t="s">
        <v>127</v>
      </c>
      <c r="B1218" s="1" t="s">
        <v>25009</v>
      </c>
      <c r="C1218" s="1" t="s">
        <v>11697</v>
      </c>
      <c r="D1218" s="8" t="s">
        <v>11698</v>
      </c>
      <c r="E1218" s="1" t="s">
        <v>11699</v>
      </c>
      <c r="F1218" s="6" t="s">
        <v>132</v>
      </c>
      <c r="G1218" s="1" t="s">
        <v>11700</v>
      </c>
      <c r="H1218" s="1" t="s">
        <v>9181</v>
      </c>
      <c r="I1218" s="1" t="s">
        <v>25010</v>
      </c>
      <c r="J1218" s="6" t="s">
        <v>25011</v>
      </c>
      <c r="K1218" s="1" t="s">
        <v>11702</v>
      </c>
      <c r="L1218" s="1" t="s">
        <v>11703</v>
      </c>
      <c r="M1218" s="1" t="s">
        <v>25012</v>
      </c>
      <c r="N1218" s="6" t="s">
        <v>132</v>
      </c>
      <c r="O1218" s="6" t="s">
        <v>11705</v>
      </c>
      <c r="P1218" s="1" t="s">
        <v>11706</v>
      </c>
      <c r="Q1218" s="1" t="s">
        <v>11707</v>
      </c>
      <c r="R1218" s="1" t="s">
        <v>11708</v>
      </c>
      <c r="S1218" s="10" t="s">
        <v>11709</v>
      </c>
      <c r="T1218" s="1" t="s">
        <v>25013</v>
      </c>
      <c r="U1218" s="1" t="s">
        <v>11711</v>
      </c>
      <c r="V1218" s="1" t="s">
        <v>11707</v>
      </c>
      <c r="W1218" s="1" t="s">
        <v>25014</v>
      </c>
      <c r="X1218" s="1" t="s">
        <v>11700</v>
      </c>
      <c r="Y1218" s="1" t="s">
        <v>11713</v>
      </c>
      <c r="Z1218" s="1" t="s">
        <v>11714</v>
      </c>
      <c r="AA1218" s="1" t="s">
        <v>10132</v>
      </c>
      <c r="AB1218" s="1" t="s">
        <v>11715</v>
      </c>
      <c r="AC1218" s="1" t="s">
        <v>11716</v>
      </c>
      <c r="AD1218" s="6" t="s">
        <v>11717</v>
      </c>
      <c r="AE1218" s="1" t="s">
        <v>11700</v>
      </c>
      <c r="AF1218" s="1" t="s">
        <v>11718</v>
      </c>
      <c r="AG1218" s="6" t="s">
        <v>11719</v>
      </c>
      <c r="AH1218" s="1" t="s">
        <v>11720</v>
      </c>
      <c r="AI1218" s="6" t="s">
        <v>132</v>
      </c>
      <c r="AJ1218" s="6" t="s">
        <v>11721</v>
      </c>
      <c r="AK1218" s="1" t="s">
        <v>11722</v>
      </c>
      <c r="AL1218" s="6" t="s">
        <v>25015</v>
      </c>
    </row>
    <row r="1219" ht="15.75" hidden="1" customHeight="1">
      <c r="A1219" s="1" t="s">
        <v>38</v>
      </c>
      <c r="B1219" s="1" t="s">
        <v>25016</v>
      </c>
      <c r="C1219" s="1" t="s">
        <v>25017</v>
      </c>
      <c r="D1219" s="7" t="str">
        <f>IFERROR(__xludf.DUMMYFUNCTION("GOOGLETRANSLATE(C1219, ""en"", ""ar"")"),"عرض وسائل الإعلام")</f>
        <v>عرض وسائل الإعلام</v>
      </c>
      <c r="E1219" s="1" t="s">
        <v>25018</v>
      </c>
      <c r="F1219" s="6" t="s">
        <v>132</v>
      </c>
      <c r="G1219" s="7" t="str">
        <f>IFERROR(__xludf.DUMMYFUNCTION("GOOGLETRANSLATE(C1219, ""en"", ""cs"")"),"Zobrazit média")</f>
        <v>Zobrazit média</v>
      </c>
      <c r="H1219" s="7" t="str">
        <f>IFERROR(__xludf.DUMMYFUNCTION("GOOGLETRANSLATE(C1219, ""en"", ""da"")"),"Se Media.")</f>
        <v>Se Media.</v>
      </c>
      <c r="I1219" s="1" t="s">
        <v>25019</v>
      </c>
      <c r="J1219" s="6" t="s">
        <v>132</v>
      </c>
      <c r="K1219" s="1" t="s">
        <v>25020</v>
      </c>
      <c r="L1219" s="7" t="str">
        <f>IFERROR(__xludf.DUMMYFUNCTION("GOOGLETRANSLATE(C1219, ""en"", ""fi"")"),"Näytä media")</f>
        <v>Näytä media</v>
      </c>
      <c r="M1219" s="1" t="s">
        <v>25021</v>
      </c>
      <c r="N1219" s="6" t="s">
        <v>25022</v>
      </c>
      <c r="O1219" s="6" t="s">
        <v>132</v>
      </c>
      <c r="P1219" s="1" t="s">
        <v>25023</v>
      </c>
      <c r="Q1219" s="7" t="str">
        <f>IFERROR(__xludf.DUMMYFUNCTION("GOOGLETRANSLATE(C1219, ""en"", ""in"")"),"Lihat Media")</f>
        <v>Lihat Media</v>
      </c>
      <c r="R1219" s="1" t="s">
        <v>25024</v>
      </c>
      <c r="S1219" s="6" t="s">
        <v>132</v>
      </c>
      <c r="T1219" s="7" t="str">
        <f>IFERROR(__xludf.DUMMYFUNCTION("GOOGLETRANSLATE(C1219, ""en"", ""ja"")"),"メディアを見る")</f>
        <v>メディアを見る</v>
      </c>
      <c r="U1219" s="7" t="str">
        <f>IFERROR(__xludf.DUMMYFUNCTION("GOOGLETRANSLATE(C1219, ""en"", ""ko"")"),"미디어보기")</f>
        <v>미디어보기</v>
      </c>
      <c r="V1219" s="7" t="str">
        <f>IFERROR(__xludf.DUMMYFUNCTION("GOOGLETRANSLATE(C1219, ""en"", ""ms"")"),"Lihat media")</f>
        <v>Lihat media</v>
      </c>
      <c r="W1219" s="1" t="s">
        <v>25025</v>
      </c>
      <c r="X1219" s="7" t="str">
        <f>IFERROR(__xludf.DUMMYFUNCTION("GOOGLETRANSLATE(C1219, ""en"", ""no"")"),"Se media")</f>
        <v>Se media</v>
      </c>
      <c r="Y1219" s="1" t="s">
        <v>25026</v>
      </c>
      <c r="Z1219" s="7" t="str">
        <f>IFERROR(__xludf.DUMMYFUNCTION("GOOGLETRANSLATE(C1219, ""en"", ""pt"")"),"Ver mídia.")</f>
        <v>Ver mídia.</v>
      </c>
      <c r="AA1219" s="7" t="str">
        <f>IFERROR(__xludf.DUMMYFUNCTION("GOOGLETRANSLATE(C1219, ""en"", ""ro"")"),"Vizualizați media")</f>
        <v>Vizualizați media</v>
      </c>
      <c r="AB1219" s="7" t="str">
        <f>IFERROR(__xludf.DUMMYFUNCTION("GOOGLETRANSLATE(C1219, ""en"", ""ru"")"),"Просмотр медиа")</f>
        <v>Просмотр медиа</v>
      </c>
      <c r="AC1219" s="7" t="str">
        <f>IFERROR(__xludf.DUMMYFUNCTION("GOOGLETRANSLATE(C1219, ""en"", ""sk"")"),"Zobraziť médiá")</f>
        <v>Zobraziť médiá</v>
      </c>
      <c r="AD1219" s="6" t="s">
        <v>132</v>
      </c>
      <c r="AE1219" s="7" t="str">
        <f>IFERROR(__xludf.DUMMYFUNCTION("GOOGLETRANSLATE(C1219, ""en"", ""sr"")"),"Виев Медиа")</f>
        <v>Виев Медиа</v>
      </c>
      <c r="AF1219" s="7" t="str">
        <f>IFERROR(__xludf.DUMMYFUNCTION("GOOGLETRANSLATE(C1219, ""en"", ""sv"")"),"Visa media")</f>
        <v>Visa media</v>
      </c>
      <c r="AG1219" s="6" t="s">
        <v>132</v>
      </c>
      <c r="AH1219" s="7" t="str">
        <f>IFERROR(__xludf.DUMMYFUNCTION("GOOGLETRANSLATE(C1219, ""en"", ""tr"")"),"Medyayı Görüntüle")</f>
        <v>Medyayı Görüntüle</v>
      </c>
      <c r="AI1219" s="6" t="s">
        <v>132</v>
      </c>
      <c r="AJ1219" s="6" t="s">
        <v>132</v>
      </c>
      <c r="AK1219" s="7" t="str">
        <f>IFERROR(__xludf.DUMMYFUNCTION("GOOGLETRANSLATE(C1219, ""en"", ""zh"")"),"查看媒体")</f>
        <v>查看媒体</v>
      </c>
      <c r="AL1219" s="6" t="s">
        <v>132</v>
      </c>
    </row>
    <row r="1220" ht="15.75" hidden="1" customHeight="1">
      <c r="A1220" s="1" t="s">
        <v>38</v>
      </c>
      <c r="B1220" s="1" t="s">
        <v>25027</v>
      </c>
      <c r="C1220" s="1" t="s">
        <v>25028</v>
      </c>
      <c r="D1220" s="7" t="str">
        <f>IFERROR(__xludf.DUMMYFUNCTION("GOOGLETRANSLATE(C1220, ""en"", ""ar"")"),"٪ 1 $ s +٪ 2 $ d قد قراءة حتى هذه النقطة")</f>
        <v>٪ 1 $ s +٪ 2 $ d قد قراءة حتى هذه النقطة</v>
      </c>
      <c r="E1220" s="1" t="s">
        <v>25029</v>
      </c>
      <c r="F1220" s="6" t="s">
        <v>25030</v>
      </c>
      <c r="G1220" s="13" t="s">
        <v>25031</v>
      </c>
      <c r="H1220" s="13" t="s">
        <v>25032</v>
      </c>
      <c r="I1220" s="1" t="s">
        <v>25033</v>
      </c>
      <c r="J1220" s="6" t="s">
        <v>132</v>
      </c>
      <c r="K1220" s="1" t="s">
        <v>25034</v>
      </c>
      <c r="L1220" s="13" t="s">
        <v>25035</v>
      </c>
      <c r="M1220" s="1" t="s">
        <v>25036</v>
      </c>
      <c r="N1220" s="6" t="s">
        <v>25037</v>
      </c>
      <c r="O1220" s="6" t="s">
        <v>132</v>
      </c>
      <c r="P1220" s="13" t="s">
        <v>25038</v>
      </c>
      <c r="Q1220" s="13" t="s">
        <v>25039</v>
      </c>
      <c r="R1220" s="1" t="s">
        <v>25040</v>
      </c>
      <c r="S1220" s="6" t="s">
        <v>132</v>
      </c>
      <c r="T1220" s="7" t="str">
        <f>IFERROR(__xludf.DUMMYFUNCTION("GOOGLETRANSLATE(C1220, ""en"", ""ja"")"),"％1 $ S +％2 $ Dそのポイントまでもう読んで")</f>
        <v>％1 $ S +％2 $ Dそのポイントまでもう読んで</v>
      </c>
      <c r="U1220" s="7" t="str">
        <f>IFERROR(__xludf.DUMMYFUNCTION("GOOGLETRANSLATE(C1220, ""en"", ""ko"")"),"% 1 $ s + % 2 $ d이 지점까지 읽었습니다.")</f>
        <v>% 1 $ s + % 2 $ d이 지점까지 읽었습니다.</v>
      </c>
      <c r="V1220" s="7" t="str">
        <f>IFERROR(__xludf.DUMMYFUNCTION("GOOGLETRANSLATE(C1220, ""en"", ""ms"")"),"% 1 $ s +% 2 $ d lebih banyak telah membaca sehingga titik ini")</f>
        <v>% 1 $ s +% 2 $ d lebih banyak telah membaca sehingga titik ini</v>
      </c>
      <c r="W1220" s="1" t="s">
        <v>25041</v>
      </c>
      <c r="X1220" s="13" t="s">
        <v>25042</v>
      </c>
      <c r="Y1220" s="1" t="s">
        <v>25043</v>
      </c>
      <c r="Z1220" s="7" t="str">
        <f>IFERROR(__xludf.DUMMYFUNCTION("GOOGLETRANSLATE(C1220, ""en"", ""pt"")"),"% 1 $ s +% 2 $ D mais lerem até este ponto")</f>
        <v>% 1 $ s +% 2 $ D mais lerem até este ponto</v>
      </c>
      <c r="AA1220" s="7" t="str">
        <f>IFERROR(__xludf.DUMMYFUNCTION("GOOGLETRANSLATE(C1220, ""en"", ""ro"")"),"% 1 $ s +% 2 $ d Mai multe Citiți până la acest punct")</f>
        <v>% 1 $ s +% 2 $ d Mai multe Citiți până la acest punct</v>
      </c>
      <c r="AB1220" s="1" t="s">
        <v>25044</v>
      </c>
      <c r="AC1220" s="7" t="str">
        <f>IFERROR(__xludf.DUMMYFUNCTION("GOOGLETRANSLATE(C1220, ""en"", ""sk"")"),"% 1 $ S +% 2 $ D Viac prečítajte tento bod")</f>
        <v>% 1 $ S +% 2 $ D Viac prečítajte tento bod</v>
      </c>
      <c r="AD1220" s="6" t="s">
        <v>132</v>
      </c>
      <c r="AE1220" s="1" t="s">
        <v>25045</v>
      </c>
      <c r="AF1220" s="7" t="str">
        <f>IFERROR(__xludf.DUMMYFUNCTION("GOOGLETRANSLATE(C1220, ""en"", ""sv"")"),"% 1 $ s +% 2 $ d mer har läst upp till denna punkt")</f>
        <v>% 1 $ s +% 2 $ d mer har läst upp till denna punkt</v>
      </c>
      <c r="AG1220" s="6" t="s">
        <v>132</v>
      </c>
      <c r="AH1220" s="13" t="s">
        <v>25046</v>
      </c>
      <c r="AI1220" s="6" t="s">
        <v>132</v>
      </c>
      <c r="AJ1220" s="6" t="s">
        <v>132</v>
      </c>
      <c r="AK1220" s="7" t="str">
        <f>IFERROR(__xludf.DUMMYFUNCTION("GOOGLETRANSLATE(C1220, ""en"", ""zh"")"),"％1 $ s +％2 $ d更多已读到这一点")</f>
        <v>％1 $ s +％2 $ d更多已读到这一点</v>
      </c>
      <c r="AL1220" s="6" t="s">
        <v>132</v>
      </c>
    </row>
    <row r="1221" ht="15.75" customHeight="1">
      <c r="A1221" s="1" t="s">
        <v>127</v>
      </c>
      <c r="B1221" s="1" t="s">
        <v>25047</v>
      </c>
      <c r="C1221" s="1" t="s">
        <v>25048</v>
      </c>
      <c r="D1221" s="8" t="s">
        <v>25049</v>
      </c>
      <c r="E1221" s="1" t="s">
        <v>25050</v>
      </c>
      <c r="F1221" s="6" t="s">
        <v>132</v>
      </c>
      <c r="G1221" s="1" t="s">
        <v>25051</v>
      </c>
      <c r="H1221" s="1" t="s">
        <v>25052</v>
      </c>
      <c r="I1221" s="1" t="s">
        <v>25053</v>
      </c>
      <c r="J1221" s="6" t="s">
        <v>25054</v>
      </c>
      <c r="K1221" s="1" t="s">
        <v>25055</v>
      </c>
      <c r="L1221" s="1" t="s">
        <v>25056</v>
      </c>
      <c r="M1221" s="1" t="s">
        <v>25057</v>
      </c>
      <c r="N1221" s="6" t="s">
        <v>132</v>
      </c>
      <c r="O1221" s="6" t="s">
        <v>25058</v>
      </c>
      <c r="P1221" s="1" t="s">
        <v>25059</v>
      </c>
      <c r="Q1221" s="1" t="s">
        <v>25060</v>
      </c>
      <c r="R1221" s="1" t="s">
        <v>25061</v>
      </c>
      <c r="S1221" s="10" t="s">
        <v>25062</v>
      </c>
      <c r="T1221" s="1" t="s">
        <v>25063</v>
      </c>
      <c r="U1221" s="1" t="s">
        <v>25064</v>
      </c>
      <c r="V1221" s="1" t="s">
        <v>25065</v>
      </c>
      <c r="W1221" s="1" t="s">
        <v>25066</v>
      </c>
      <c r="X1221" s="1" t="s">
        <v>25052</v>
      </c>
      <c r="Y1221" s="1" t="s">
        <v>25067</v>
      </c>
      <c r="Z1221" s="1" t="s">
        <v>25068</v>
      </c>
      <c r="AA1221" s="1" t="s">
        <v>25069</v>
      </c>
      <c r="AB1221" s="1" t="s">
        <v>25070</v>
      </c>
      <c r="AC1221" s="1" t="s">
        <v>25051</v>
      </c>
      <c r="AD1221" s="6" t="s">
        <v>25071</v>
      </c>
      <c r="AE1221" s="1" t="s">
        <v>25072</v>
      </c>
      <c r="AF1221" s="1" t="s">
        <v>25073</v>
      </c>
      <c r="AG1221" s="6" t="s">
        <v>17691</v>
      </c>
      <c r="AH1221" s="1" t="s">
        <v>25074</v>
      </c>
      <c r="AI1221" s="6" t="s">
        <v>132</v>
      </c>
      <c r="AJ1221" s="6" t="s">
        <v>25075</v>
      </c>
      <c r="AK1221" s="1" t="s">
        <v>25076</v>
      </c>
      <c r="AL1221" s="6" t="s">
        <v>25077</v>
      </c>
    </row>
    <row r="1222" ht="15.75" customHeight="1">
      <c r="A1222" s="1" t="s">
        <v>127</v>
      </c>
      <c r="B1222" s="1" t="s">
        <v>25078</v>
      </c>
      <c r="C1222" s="1" t="s">
        <v>25079</v>
      </c>
      <c r="D1222" s="8" t="s">
        <v>25080</v>
      </c>
      <c r="E1222" s="1" t="s">
        <v>25081</v>
      </c>
      <c r="F1222" s="6" t="s">
        <v>132</v>
      </c>
      <c r="G1222" s="1" t="s">
        <v>25079</v>
      </c>
      <c r="H1222" s="1" t="s">
        <v>25079</v>
      </c>
      <c r="I1222" s="1" t="s">
        <v>25079</v>
      </c>
      <c r="J1222" s="6" t="s">
        <v>25082</v>
      </c>
      <c r="K1222" s="1" t="s">
        <v>25079</v>
      </c>
      <c r="L1222" s="1" t="s">
        <v>25079</v>
      </c>
      <c r="M1222" s="1" t="s">
        <v>25079</v>
      </c>
      <c r="N1222" s="6" t="s">
        <v>132</v>
      </c>
      <c r="O1222" s="6" t="s">
        <v>25083</v>
      </c>
      <c r="P1222" s="1" t="s">
        <v>21637</v>
      </c>
      <c r="Q1222" s="1" t="s">
        <v>25079</v>
      </c>
      <c r="R1222" s="1" t="s">
        <v>25079</v>
      </c>
      <c r="S1222" s="6" t="s">
        <v>25079</v>
      </c>
      <c r="T1222" s="1" t="s">
        <v>25079</v>
      </c>
      <c r="U1222" s="1" t="s">
        <v>25079</v>
      </c>
      <c r="V1222" s="1" t="s">
        <v>25079</v>
      </c>
      <c r="W1222" s="1" t="s">
        <v>25079</v>
      </c>
      <c r="X1222" s="1" t="s">
        <v>25079</v>
      </c>
      <c r="Y1222" s="1" t="s">
        <v>25079</v>
      </c>
      <c r="Z1222" s="1" t="s">
        <v>25079</v>
      </c>
      <c r="AA1222" s="1" t="s">
        <v>25079</v>
      </c>
      <c r="AB1222" s="1" t="s">
        <v>25084</v>
      </c>
      <c r="AC1222" s="1" t="s">
        <v>25079</v>
      </c>
      <c r="AD1222" s="6" t="s">
        <v>25079</v>
      </c>
      <c r="AE1222" s="1" t="s">
        <v>25085</v>
      </c>
      <c r="AF1222" s="1" t="s">
        <v>25079</v>
      </c>
      <c r="AG1222" s="6" t="s">
        <v>25086</v>
      </c>
      <c r="AH1222" s="1" t="s">
        <v>25079</v>
      </c>
      <c r="AI1222" s="6" t="s">
        <v>132</v>
      </c>
      <c r="AJ1222" s="6" t="s">
        <v>25087</v>
      </c>
      <c r="AK1222" s="1" t="s">
        <v>25088</v>
      </c>
      <c r="AL1222" s="6" t="s">
        <v>25089</v>
      </c>
    </row>
    <row r="1223" ht="15.75" customHeight="1">
      <c r="A1223" s="1" t="s">
        <v>127</v>
      </c>
      <c r="B1223" s="1" t="s">
        <v>25090</v>
      </c>
      <c r="C1223" s="1" t="s">
        <v>25091</v>
      </c>
      <c r="D1223" s="8" t="s">
        <v>25092</v>
      </c>
      <c r="E1223" s="1" t="s">
        <v>25093</v>
      </c>
      <c r="F1223" s="6" t="s">
        <v>132</v>
      </c>
      <c r="G1223" s="1" t="s">
        <v>25094</v>
      </c>
      <c r="H1223" s="1" t="s">
        <v>25095</v>
      </c>
      <c r="I1223" s="1" t="s">
        <v>25096</v>
      </c>
      <c r="J1223" s="6" t="s">
        <v>25097</v>
      </c>
      <c r="K1223" s="1" t="s">
        <v>25098</v>
      </c>
      <c r="L1223" s="1" t="s">
        <v>25099</v>
      </c>
      <c r="M1223" s="1" t="s">
        <v>25091</v>
      </c>
      <c r="N1223" s="6" t="s">
        <v>132</v>
      </c>
      <c r="O1223" s="6" t="s">
        <v>25100</v>
      </c>
      <c r="P1223" s="1" t="s">
        <v>25101</v>
      </c>
      <c r="Q1223" s="1" t="s">
        <v>25102</v>
      </c>
      <c r="R1223" s="1" t="s">
        <v>25103</v>
      </c>
      <c r="S1223" s="10" t="s">
        <v>25104</v>
      </c>
      <c r="T1223" s="1" t="s">
        <v>25105</v>
      </c>
      <c r="U1223" s="1" t="s">
        <v>25106</v>
      </c>
      <c r="V1223" s="1" t="s">
        <v>25107</v>
      </c>
      <c r="W1223" s="1" t="s">
        <v>25108</v>
      </c>
      <c r="X1223" s="1" t="s">
        <v>25109</v>
      </c>
      <c r="Y1223" s="1" t="s">
        <v>25110</v>
      </c>
      <c r="Z1223" s="1" t="s">
        <v>25111</v>
      </c>
      <c r="AA1223" s="1" t="s">
        <v>25112</v>
      </c>
      <c r="AB1223" s="1" t="s">
        <v>25113</v>
      </c>
      <c r="AC1223" s="1" t="s">
        <v>25114</v>
      </c>
      <c r="AD1223" s="6" t="s">
        <v>25115</v>
      </c>
      <c r="AE1223" s="1" t="s">
        <v>25096</v>
      </c>
      <c r="AF1223" s="1" t="s">
        <v>25116</v>
      </c>
      <c r="AG1223" s="6" t="s">
        <v>25117</v>
      </c>
      <c r="AH1223" s="1" t="s">
        <v>25118</v>
      </c>
      <c r="AI1223" s="6" t="s">
        <v>132</v>
      </c>
      <c r="AJ1223" s="6" t="s">
        <v>25119</v>
      </c>
      <c r="AK1223" s="1" t="s">
        <v>25120</v>
      </c>
      <c r="AL1223" s="6" t="s">
        <v>25121</v>
      </c>
    </row>
    <row r="1224" ht="15.75" customHeight="1">
      <c r="A1224" s="1" t="s">
        <v>127</v>
      </c>
      <c r="B1224" s="1" t="s">
        <v>25122</v>
      </c>
      <c r="C1224" s="1" t="s">
        <v>25123</v>
      </c>
      <c r="D1224" s="8" t="s">
        <v>25124</v>
      </c>
      <c r="E1224" s="1" t="s">
        <v>25125</v>
      </c>
      <c r="F1224" s="6" t="s">
        <v>132</v>
      </c>
      <c r="G1224" s="1" t="s">
        <v>25126</v>
      </c>
      <c r="H1224" s="1" t="s">
        <v>25127</v>
      </c>
      <c r="I1224" s="1" t="s">
        <v>25128</v>
      </c>
      <c r="J1224" s="6" t="s">
        <v>25129</v>
      </c>
      <c r="K1224" s="1" t="s">
        <v>25130</v>
      </c>
      <c r="L1224" s="1" t="s">
        <v>25131</v>
      </c>
      <c r="M1224" s="1" t="s">
        <v>25123</v>
      </c>
      <c r="N1224" s="6" t="s">
        <v>132</v>
      </c>
      <c r="O1224" s="6" t="s">
        <v>25132</v>
      </c>
      <c r="P1224" s="1" t="s">
        <v>25133</v>
      </c>
      <c r="Q1224" s="1" t="s">
        <v>25134</v>
      </c>
      <c r="R1224" s="1" t="s">
        <v>25135</v>
      </c>
      <c r="S1224" s="10" t="s">
        <v>25136</v>
      </c>
      <c r="T1224" s="1" t="s">
        <v>25137</v>
      </c>
      <c r="U1224" s="1" t="s">
        <v>25138</v>
      </c>
      <c r="V1224" s="1" t="s">
        <v>25134</v>
      </c>
      <c r="W1224" s="1" t="s">
        <v>25128</v>
      </c>
      <c r="X1224" s="1" t="s">
        <v>25127</v>
      </c>
      <c r="Y1224" s="1" t="s">
        <v>25139</v>
      </c>
      <c r="Z1224" s="1" t="s">
        <v>25140</v>
      </c>
      <c r="AA1224" s="1" t="s">
        <v>25141</v>
      </c>
      <c r="AB1224" s="1" t="s">
        <v>25142</v>
      </c>
      <c r="AC1224" s="1" t="s">
        <v>25143</v>
      </c>
      <c r="AD1224" s="6" t="s">
        <v>25144</v>
      </c>
      <c r="AE1224" s="1" t="s">
        <v>25145</v>
      </c>
      <c r="AF1224" s="1" t="s">
        <v>25127</v>
      </c>
      <c r="AG1224" s="6" t="s">
        <v>25146</v>
      </c>
      <c r="AH1224" s="1" t="s">
        <v>25147</v>
      </c>
      <c r="AI1224" s="6" t="s">
        <v>132</v>
      </c>
      <c r="AJ1224" s="6" t="s">
        <v>25148</v>
      </c>
      <c r="AK1224" s="1" t="s">
        <v>25149</v>
      </c>
      <c r="AL1224" s="6" t="s">
        <v>25150</v>
      </c>
    </row>
    <row r="1225" ht="15.75" hidden="1" customHeight="1">
      <c r="A1225" s="1" t="s">
        <v>38</v>
      </c>
      <c r="B1225" s="1" t="s">
        <v>25151</v>
      </c>
      <c r="C1225" s="1" t="s">
        <v>25152</v>
      </c>
      <c r="D1225" s="8" t="s">
        <v>25153</v>
      </c>
      <c r="E1225" s="1" t="s">
        <v>25154</v>
      </c>
      <c r="F1225" s="6" t="s">
        <v>25155</v>
      </c>
      <c r="G1225" s="7" t="str">
        <f>IFERROR(__xludf.DUMMYFUNCTION("GOOGLETRANSLATE(C1225, ""en"", ""cs"")"),"Tento skupinový chat je pouze členy")</f>
        <v>Tento skupinový chat je pouze členy</v>
      </c>
      <c r="H1225" s="7" t="str">
        <f>IFERROR(__xludf.DUMMYFUNCTION("GOOGLETRANSLATE(C1225, ""en"", ""da"")"),"Denne gruppe chat er kun medlemmer")</f>
        <v>Denne gruppe chat er kun medlemmer</v>
      </c>
      <c r="I1225" s="1" t="s">
        <v>25156</v>
      </c>
      <c r="J1225" s="6" t="s">
        <v>132</v>
      </c>
      <c r="K1225" s="1" t="s">
        <v>25157</v>
      </c>
      <c r="L1225" s="7" t="str">
        <f>IFERROR(__xludf.DUMMYFUNCTION("GOOGLETRANSLATE(C1225, ""en"", ""fi"")"),"Tämä ryhmäkeskustelu on vain jäseniä")</f>
        <v>Tämä ryhmäkeskustelu on vain jäseniä</v>
      </c>
      <c r="M1225" s="1" t="s">
        <v>25158</v>
      </c>
      <c r="N1225" s="6" t="s">
        <v>25159</v>
      </c>
      <c r="O1225" s="6" t="s">
        <v>132</v>
      </c>
      <c r="P1225" s="1" t="s">
        <v>25160</v>
      </c>
      <c r="Q1225" s="7" t="str">
        <f>IFERROR(__xludf.DUMMYFUNCTION("GOOGLETRANSLATE(C1225, ""en"", ""in"")"),"Obrolan grup ini hanya anggota")</f>
        <v>Obrolan grup ini hanya anggota</v>
      </c>
      <c r="R1225" s="1" t="s">
        <v>25161</v>
      </c>
      <c r="S1225" s="6" t="s">
        <v>132</v>
      </c>
      <c r="T1225" s="1" t="s">
        <v>25162</v>
      </c>
      <c r="U1225" s="7" t="str">
        <f>IFERROR(__xludf.DUMMYFUNCTION("GOOGLETRANSLATE(C1225, ""en"", ""ko"")"),"이 그룹 채팅은 회원 만 있습니다")</f>
        <v>이 그룹 채팅은 회원 만 있습니다</v>
      </c>
      <c r="V1225" s="7" t="str">
        <f>IFERROR(__xludf.DUMMYFUNCTION("GOOGLETRANSLATE(C1225, ""en"", ""ms"")"),"Sembang kumpulan ini hanya ahli")</f>
        <v>Sembang kumpulan ini hanya ahli</v>
      </c>
      <c r="W1225" s="1" t="s">
        <v>25163</v>
      </c>
      <c r="X1225" s="7" t="str">
        <f>IFERROR(__xludf.DUMMYFUNCTION("GOOGLETRANSLATE(C1225, ""en"", ""no"")"),"Denne gruppen chat er bare medlemmer")</f>
        <v>Denne gruppen chat er bare medlemmer</v>
      </c>
      <c r="Y1225" s="1" t="s">
        <v>25164</v>
      </c>
      <c r="Z1225" s="1" t="s">
        <v>25165</v>
      </c>
      <c r="AA1225" s="7" t="str">
        <f>IFERROR(__xludf.DUMMYFUNCTION("GOOGLETRANSLATE(C1225, ""en"", ""ro"")"),"Acest chat de grup este numai membrii")</f>
        <v>Acest chat de grup este numai membrii</v>
      </c>
      <c r="AB1225" s="1" t="s">
        <v>25166</v>
      </c>
      <c r="AC1225" s="7" t="str">
        <f>IFERROR(__xludf.DUMMYFUNCTION("GOOGLETRANSLATE(C1225, ""en"", ""sk"")"),"Táto skupina Chat je len členovia")</f>
        <v>Táto skupina Chat je len členovia</v>
      </c>
      <c r="AD1225" s="6" t="s">
        <v>132</v>
      </c>
      <c r="AE1225" s="1" t="s">
        <v>25167</v>
      </c>
      <c r="AF1225" s="7" t="str">
        <f>IFERROR(__xludf.DUMMYFUNCTION("GOOGLETRANSLATE(C1225, ""en"", ""sv"")"),"Denna gruppchatt är endast medlemmar")</f>
        <v>Denna gruppchatt är endast medlemmar</v>
      </c>
      <c r="AG1225" s="6" t="s">
        <v>132</v>
      </c>
      <c r="AH1225" s="7" t="str">
        <f>IFERROR(__xludf.DUMMYFUNCTION("GOOGLETRANSLATE(C1225, ""en"", ""tr"")"),"Bu grup sohbeti sadece üyelerdir")</f>
        <v>Bu grup sohbeti sadece üyelerdir</v>
      </c>
      <c r="AI1225" s="6" t="s">
        <v>132</v>
      </c>
      <c r="AJ1225" s="6" t="s">
        <v>132</v>
      </c>
      <c r="AK1225" s="7" t="str">
        <f>IFERROR(__xludf.DUMMYFUNCTION("GOOGLETRANSLATE(C1225, ""en"", ""zh"")"),"这个群组聊天仅是会员")</f>
        <v>这个群组聊天仅是会员</v>
      </c>
      <c r="AL1225" s="6" t="s">
        <v>132</v>
      </c>
    </row>
    <row r="1226" ht="15.75" customHeight="1">
      <c r="A1226" s="1" t="s">
        <v>127</v>
      </c>
      <c r="B1226" s="1" t="s">
        <v>25168</v>
      </c>
      <c r="C1226" s="1" t="s">
        <v>25169</v>
      </c>
      <c r="D1226" s="8" t="s">
        <v>25170</v>
      </c>
      <c r="E1226" s="1" t="s">
        <v>25171</v>
      </c>
      <c r="F1226" s="6" t="s">
        <v>132</v>
      </c>
      <c r="G1226" s="1" t="s">
        <v>25172</v>
      </c>
      <c r="H1226" s="1" t="s">
        <v>25173</v>
      </c>
      <c r="I1226" s="1" t="s">
        <v>25174</v>
      </c>
      <c r="J1226" s="6" t="s">
        <v>25175</v>
      </c>
      <c r="K1226" s="1" t="s">
        <v>25176</v>
      </c>
      <c r="L1226" s="1" t="s">
        <v>25177</v>
      </c>
      <c r="M1226" s="1" t="s">
        <v>25169</v>
      </c>
      <c r="N1226" s="6" t="s">
        <v>132</v>
      </c>
      <c r="O1226" s="6" t="s">
        <v>25178</v>
      </c>
      <c r="P1226" s="1" t="s">
        <v>25179</v>
      </c>
      <c r="Q1226" s="1" t="s">
        <v>25180</v>
      </c>
      <c r="R1226" s="1" t="s">
        <v>25181</v>
      </c>
      <c r="S1226" s="10" t="s">
        <v>25182</v>
      </c>
      <c r="T1226" s="1" t="s">
        <v>25183</v>
      </c>
      <c r="U1226" s="1" t="s">
        <v>25184</v>
      </c>
      <c r="V1226" s="1" t="s">
        <v>25185</v>
      </c>
      <c r="W1226" s="1" t="s">
        <v>25186</v>
      </c>
      <c r="X1226" s="1" t="s">
        <v>25173</v>
      </c>
      <c r="Y1226" s="1" t="s">
        <v>25187</v>
      </c>
      <c r="Z1226" s="1" t="s">
        <v>25188</v>
      </c>
      <c r="AA1226" s="1" t="s">
        <v>25189</v>
      </c>
      <c r="AB1226" s="1" t="s">
        <v>25190</v>
      </c>
      <c r="AC1226" s="1" t="s">
        <v>25191</v>
      </c>
      <c r="AD1226" s="6" t="s">
        <v>25192</v>
      </c>
      <c r="AE1226" s="1" t="s">
        <v>25193</v>
      </c>
      <c r="AF1226" s="1" t="s">
        <v>25173</v>
      </c>
      <c r="AG1226" s="6" t="s">
        <v>25194</v>
      </c>
      <c r="AH1226" s="1" t="s">
        <v>25195</v>
      </c>
      <c r="AI1226" s="6" t="s">
        <v>132</v>
      </c>
      <c r="AJ1226" s="6" t="s">
        <v>25196</v>
      </c>
      <c r="AK1226" s="1" t="s">
        <v>25197</v>
      </c>
      <c r="AL1226" s="6" t="s">
        <v>25198</v>
      </c>
    </row>
    <row r="1227" ht="15.75" customHeight="1">
      <c r="A1227" s="1" t="s">
        <v>127</v>
      </c>
      <c r="B1227" s="1" t="s">
        <v>25199</v>
      </c>
      <c r="C1227" s="1" t="s">
        <v>25200</v>
      </c>
      <c r="D1227" s="8" t="s">
        <v>25201</v>
      </c>
      <c r="E1227" s="1" t="s">
        <v>25202</v>
      </c>
      <c r="F1227" s="6" t="s">
        <v>132</v>
      </c>
      <c r="G1227" s="1" t="s">
        <v>25203</v>
      </c>
      <c r="H1227" s="1" t="s">
        <v>25204</v>
      </c>
      <c r="I1227" s="1" t="s">
        <v>25205</v>
      </c>
      <c r="J1227" s="6" t="s">
        <v>25206</v>
      </c>
      <c r="K1227" s="1" t="s">
        <v>25207</v>
      </c>
      <c r="L1227" s="1" t="s">
        <v>25208</v>
      </c>
      <c r="M1227" s="1" t="s">
        <v>25209</v>
      </c>
      <c r="N1227" s="6" t="s">
        <v>132</v>
      </c>
      <c r="O1227" s="6" t="s">
        <v>25210</v>
      </c>
      <c r="P1227" s="1" t="s">
        <v>25211</v>
      </c>
      <c r="Q1227" s="1" t="s">
        <v>25212</v>
      </c>
      <c r="R1227" s="1" t="s">
        <v>25213</v>
      </c>
      <c r="S1227" s="10" t="s">
        <v>25214</v>
      </c>
      <c r="T1227" s="1" t="s">
        <v>25215</v>
      </c>
      <c r="U1227" s="1" t="s">
        <v>25216</v>
      </c>
      <c r="V1227" s="1" t="s">
        <v>25217</v>
      </c>
      <c r="W1227" s="1" t="s">
        <v>25218</v>
      </c>
      <c r="X1227" s="1" t="s">
        <v>25219</v>
      </c>
      <c r="Y1227" s="1" t="s">
        <v>25220</v>
      </c>
      <c r="Z1227" s="1" t="s">
        <v>25221</v>
      </c>
      <c r="AA1227" s="1" t="s">
        <v>25222</v>
      </c>
      <c r="AB1227" s="1" t="s">
        <v>25223</v>
      </c>
      <c r="AC1227" s="1" t="s">
        <v>25224</v>
      </c>
      <c r="AD1227" s="6" t="s">
        <v>25225</v>
      </c>
      <c r="AE1227" s="1" t="s">
        <v>25226</v>
      </c>
      <c r="AF1227" s="1" t="s">
        <v>25227</v>
      </c>
      <c r="AG1227" s="6" t="s">
        <v>25228</v>
      </c>
      <c r="AH1227" s="1" t="s">
        <v>25229</v>
      </c>
      <c r="AI1227" s="6" t="s">
        <v>132</v>
      </c>
      <c r="AJ1227" s="6" t="s">
        <v>25230</v>
      </c>
      <c r="AK1227" s="1" t="s">
        <v>25231</v>
      </c>
      <c r="AL1227" s="6" t="s">
        <v>132</v>
      </c>
    </row>
    <row r="1228" ht="15.75" hidden="1" customHeight="1">
      <c r="A1228" s="1" t="s">
        <v>38</v>
      </c>
      <c r="B1228" s="1" t="s">
        <v>25232</v>
      </c>
      <c r="C1228" s="1" t="s">
        <v>25233</v>
      </c>
      <c r="D1228" s="8" t="s">
        <v>25234</v>
      </c>
      <c r="E1228" s="1" t="s">
        <v>25235</v>
      </c>
      <c r="F1228" s="6" t="s">
        <v>25236</v>
      </c>
      <c r="G1228" s="7" t="str">
        <f>IFERROR(__xludf.DUMMYFUNCTION("GOOGLETRANSLATE(C1228, ""en"", ""cs"")"),"Sledoval jsem tento odkaz z důvěryhodného zdroje")</f>
        <v>Sledoval jsem tento odkaz z důvěryhodného zdroje</v>
      </c>
      <c r="H1228" s="7" t="str">
        <f>IFERROR(__xludf.DUMMYFUNCTION("GOOGLETRANSLATE(C1228, ""en"", ""da"")"),"Jeg fulgte dette link fra en betroet kilde")</f>
        <v>Jeg fulgte dette link fra en betroet kilde</v>
      </c>
      <c r="I1228" s="1" t="s">
        <v>25237</v>
      </c>
      <c r="J1228" s="6" t="s">
        <v>132</v>
      </c>
      <c r="K1228" s="1" t="s">
        <v>25238</v>
      </c>
      <c r="L1228" s="7" t="str">
        <f>IFERROR(__xludf.DUMMYFUNCTION("GOOGLETRANSLATE(C1228, ""en"", ""fi"")"),"Seurasin tätä linkkiä luotettavasta lähteestä")</f>
        <v>Seurasin tätä linkkiä luotettavasta lähteestä</v>
      </c>
      <c r="M1228" s="1" t="s">
        <v>25239</v>
      </c>
      <c r="N1228" s="6" t="s">
        <v>25240</v>
      </c>
      <c r="O1228" s="6" t="s">
        <v>132</v>
      </c>
      <c r="P1228" s="1" t="s">
        <v>25241</v>
      </c>
      <c r="Q1228" s="7" t="str">
        <f>IFERROR(__xludf.DUMMYFUNCTION("GOOGLETRANSLATE(C1228, ""en"", ""in"")"),"Saya mengikuti tautan ini dari sumber tepercaya")</f>
        <v>Saya mengikuti tautan ini dari sumber tepercaya</v>
      </c>
      <c r="R1228" s="1" t="s">
        <v>25242</v>
      </c>
      <c r="S1228" s="6" t="s">
        <v>132</v>
      </c>
      <c r="T1228" s="1" t="s">
        <v>25243</v>
      </c>
      <c r="U1228" s="1" t="s">
        <v>25244</v>
      </c>
      <c r="V1228" s="7" t="str">
        <f>IFERROR(__xludf.DUMMYFUNCTION("GOOGLETRANSLATE(C1228, ""en"", ""ms"")"),"Saya mengikuti pautan ini dari sumber yang dipercayai")</f>
        <v>Saya mengikuti pautan ini dari sumber yang dipercayai</v>
      </c>
      <c r="W1228" s="1" t="s">
        <v>25245</v>
      </c>
      <c r="X1228" s="7" t="str">
        <f>IFERROR(__xludf.DUMMYFUNCTION("GOOGLETRANSLATE(C1228, ""en"", ""no"")"),"Jeg fulgte denne lenken fra en pålitelig kilde")</f>
        <v>Jeg fulgte denne lenken fra en pålitelig kilde</v>
      </c>
      <c r="Y1228" s="1" t="s">
        <v>25246</v>
      </c>
      <c r="Z1228" s="7" t="str">
        <f>IFERROR(__xludf.DUMMYFUNCTION("GOOGLETRANSLATE(C1228, ""en"", ""pt"")"),"Eu segui este link de uma fonte confiável")</f>
        <v>Eu segui este link de uma fonte confiável</v>
      </c>
      <c r="AA1228" s="7" t="str">
        <f>IFERROR(__xludf.DUMMYFUNCTION("GOOGLETRANSLATE(C1228, ""en"", ""ro"")"),"Am urmat acest link de la o sursă de încredere")</f>
        <v>Am urmat acest link de la o sursă de încredere</v>
      </c>
      <c r="AB1228" s="1" t="s">
        <v>25247</v>
      </c>
      <c r="AC1228" s="7" t="str">
        <f>IFERROR(__xludf.DUMMYFUNCTION("GOOGLETRANSLATE(C1228, ""en"", ""sk"")"),"Sledoval som tento odkaz z dôveryhodného zdroja")</f>
        <v>Sledoval som tento odkaz z dôveryhodného zdroja</v>
      </c>
      <c r="AD1228" s="6" t="s">
        <v>132</v>
      </c>
      <c r="AE1228" s="7" t="str">
        <f>IFERROR(__xludf.DUMMYFUNCTION("GOOGLETRANSLATE(C1228, ""en"", ""sr"")"),"Пратио сам ову везу из поузданог извора")</f>
        <v>Пратио сам ову везу из поузданог извора</v>
      </c>
      <c r="AF1228" s="1" t="s">
        <v>25248</v>
      </c>
      <c r="AG1228" s="6" t="s">
        <v>132</v>
      </c>
      <c r="AH1228" s="7" t="str">
        <f>IFERROR(__xludf.DUMMYFUNCTION("GOOGLETRANSLATE(C1228, ""en"", ""tr"")"),"Bu bağlantıyı güvenilir bir kaynaktan takip ettim.")</f>
        <v>Bu bağlantıyı güvenilir bir kaynaktan takip ettim.</v>
      </c>
      <c r="AI1228" s="6" t="s">
        <v>25249</v>
      </c>
      <c r="AJ1228" s="6" t="s">
        <v>132</v>
      </c>
      <c r="AK1228" s="7" t="str">
        <f>IFERROR(__xludf.DUMMYFUNCTION("GOOGLETRANSLATE(C1228, ""en"", ""zh"")"),"我从受信任的来源遵循这个链接")</f>
        <v>我从受信任的来源遵循这个链接</v>
      </c>
      <c r="AL1228" s="6" t="s">
        <v>25250</v>
      </c>
    </row>
    <row r="1229" ht="15.75" customHeight="1">
      <c r="A1229" s="1" t="s">
        <v>127</v>
      </c>
      <c r="B1229" s="1" t="s">
        <v>25251</v>
      </c>
      <c r="C1229" s="1" t="s">
        <v>2354</v>
      </c>
      <c r="D1229" s="8" t="s">
        <v>25252</v>
      </c>
      <c r="E1229" s="1" t="s">
        <v>2356</v>
      </c>
      <c r="F1229" s="6" t="s">
        <v>132</v>
      </c>
      <c r="G1229" s="1" t="s">
        <v>2357</v>
      </c>
      <c r="H1229" s="1" t="s">
        <v>25253</v>
      </c>
      <c r="I1229" s="1" t="s">
        <v>2359</v>
      </c>
      <c r="J1229" s="6" t="s">
        <v>2360</v>
      </c>
      <c r="K1229" s="1" t="s">
        <v>2361</v>
      </c>
      <c r="L1229" s="1" t="s">
        <v>2362</v>
      </c>
      <c r="M1229" s="1" t="s">
        <v>2363</v>
      </c>
      <c r="N1229" s="6" t="s">
        <v>132</v>
      </c>
      <c r="O1229" s="6" t="s">
        <v>2364</v>
      </c>
      <c r="P1229" s="1" t="s">
        <v>2354</v>
      </c>
      <c r="Q1229" s="1" t="s">
        <v>2366</v>
      </c>
      <c r="R1229" s="1" t="s">
        <v>2367</v>
      </c>
      <c r="S1229" s="10" t="s">
        <v>2368</v>
      </c>
      <c r="T1229" s="1" t="s">
        <v>25254</v>
      </c>
      <c r="U1229" s="1" t="s">
        <v>2370</v>
      </c>
      <c r="V1229" s="1" t="s">
        <v>2366</v>
      </c>
      <c r="W1229" s="1" t="s">
        <v>25255</v>
      </c>
      <c r="X1229" s="1" t="s">
        <v>2372</v>
      </c>
      <c r="Y1229" s="1" t="s">
        <v>2373</v>
      </c>
      <c r="Z1229" s="1" t="s">
        <v>2374</v>
      </c>
      <c r="AA1229" s="1" t="s">
        <v>2375</v>
      </c>
      <c r="AB1229" s="1" t="s">
        <v>25256</v>
      </c>
      <c r="AC1229" s="1" t="s">
        <v>2377</v>
      </c>
      <c r="AD1229" s="6" t="s">
        <v>25257</v>
      </c>
      <c r="AE1229" s="1" t="s">
        <v>2379</v>
      </c>
      <c r="AF1229" s="1" t="s">
        <v>2380</v>
      </c>
      <c r="AG1229" s="6" t="s">
        <v>2381</v>
      </c>
      <c r="AH1229" s="1" t="s">
        <v>2382</v>
      </c>
      <c r="AI1229" s="6" t="s">
        <v>132</v>
      </c>
      <c r="AJ1229" s="6" t="s">
        <v>2383</v>
      </c>
      <c r="AK1229" s="1" t="s">
        <v>25258</v>
      </c>
      <c r="AL1229" s="6" t="s">
        <v>132</v>
      </c>
    </row>
    <row r="1230" ht="15.75" hidden="1" customHeight="1">
      <c r="A1230" s="1" t="s">
        <v>38</v>
      </c>
      <c r="B1230" s="1" t="s">
        <v>25259</v>
      </c>
      <c r="C1230" s="1" t="s">
        <v>9177</v>
      </c>
      <c r="D1230" s="8" t="s">
        <v>25260</v>
      </c>
      <c r="E1230" s="1" t="s">
        <v>25261</v>
      </c>
      <c r="F1230" s="6" t="s">
        <v>25262</v>
      </c>
      <c r="G1230" s="7" t="str">
        <f>IFERROR(__xludf.DUMMYFUNCTION("GOOGLETRANSLATE(C1230, ""en"", ""cs"")"),"Umožnit")</f>
        <v>Umožnit</v>
      </c>
      <c r="H1230" s="7" t="str">
        <f>IFERROR(__xludf.DUMMYFUNCTION("GOOGLETRANSLATE(C1230, ""en"", ""da"")"),"Aktivér.")</f>
        <v>Aktivér.</v>
      </c>
      <c r="I1230" s="1" t="s">
        <v>9182</v>
      </c>
      <c r="J1230" s="6" t="s">
        <v>132</v>
      </c>
      <c r="K1230" s="1" t="s">
        <v>22434</v>
      </c>
      <c r="L1230" s="7" t="str">
        <f>IFERROR(__xludf.DUMMYFUNCTION("GOOGLETRANSLATE(C1230, ""en"", ""fi"")"),"ota käyttöön")</f>
        <v>ota käyttöön</v>
      </c>
      <c r="M1230" s="1" t="s">
        <v>21492</v>
      </c>
      <c r="N1230" s="6" t="s">
        <v>22434</v>
      </c>
      <c r="O1230" s="6" t="s">
        <v>132</v>
      </c>
      <c r="P1230" s="1" t="s">
        <v>25263</v>
      </c>
      <c r="Q1230" s="9" t="s">
        <v>25264</v>
      </c>
      <c r="R1230" s="1" t="s">
        <v>25265</v>
      </c>
      <c r="S1230" s="6" t="s">
        <v>132</v>
      </c>
      <c r="T1230" s="1" t="s">
        <v>25266</v>
      </c>
      <c r="U1230" s="1" t="s">
        <v>9193</v>
      </c>
      <c r="V1230" s="7" t="str">
        <f>IFERROR(__xludf.DUMMYFUNCTION("GOOGLETRANSLATE(C1230, ""en"", ""ms"")"),"Membolehkannya")</f>
        <v>Membolehkannya</v>
      </c>
      <c r="W1230" s="1" t="s">
        <v>25267</v>
      </c>
      <c r="X1230" s="7" t="str">
        <f>IFERROR(__xludf.DUMMYFUNCTION("GOOGLETRANSLATE(C1230, ""en"", ""no"")"),"Muliggjøre")</f>
        <v>Muliggjøre</v>
      </c>
      <c r="Y1230" s="1" t="s">
        <v>9196</v>
      </c>
      <c r="Z1230" s="1" t="s">
        <v>25268</v>
      </c>
      <c r="AA1230" s="7" t="str">
        <f>IFERROR(__xludf.DUMMYFUNCTION("GOOGLETRANSLATE(C1230, ""en"", ""ro"")"),"Permite")</f>
        <v>Permite</v>
      </c>
      <c r="AB1230" s="1" t="s">
        <v>9198</v>
      </c>
      <c r="AC1230" s="1" t="s">
        <v>9199</v>
      </c>
      <c r="AD1230" s="6" t="s">
        <v>132</v>
      </c>
      <c r="AE1230" s="1" t="s">
        <v>25269</v>
      </c>
      <c r="AF1230" s="1" t="s">
        <v>9202</v>
      </c>
      <c r="AG1230" s="6" t="s">
        <v>132</v>
      </c>
      <c r="AH1230" s="7" t="str">
        <f>IFERROR(__xludf.DUMMYFUNCTION("GOOGLETRANSLATE(C1230, ""en"", ""tr"")"),"etkinleştirme")</f>
        <v>etkinleştirme</v>
      </c>
      <c r="AI1230" s="6" t="s">
        <v>25270</v>
      </c>
      <c r="AJ1230" s="6" t="s">
        <v>25271</v>
      </c>
      <c r="AK1230" s="7" t="str">
        <f>IFERROR(__xludf.DUMMYFUNCTION("GOOGLETRANSLATE(C1230, ""en"", ""zh"")"),"使能够")</f>
        <v>使能够</v>
      </c>
      <c r="AL1230" s="6" t="s">
        <v>25272</v>
      </c>
    </row>
    <row r="1231" ht="15.75" hidden="1" customHeight="1">
      <c r="A1231" s="1" t="s">
        <v>38</v>
      </c>
      <c r="B1231" s="1" t="s">
        <v>25273</v>
      </c>
      <c r="C1231" s="1" t="s">
        <v>25274</v>
      </c>
      <c r="D1231" s="7" t="str">
        <f>IFERROR(__xludf.DUMMYFUNCTION("GOOGLETRANSLATE(C1231, ""en"", ""ar"")"),"سيتم إرسال رمز إلى SMS قريبا")</f>
        <v>سيتم إرسال رمز إلى SMS قريبا</v>
      </c>
      <c r="E1231" s="7" t="str">
        <f>IFERROR(__xludf.DUMMYFUNCTION("GOOGLETRANSLATE(C1231, ""en"", ""bg"")"),"Скоро ще бъде изпратен код")</f>
        <v>Скоро ще бъде изпратен код</v>
      </c>
      <c r="F1231" s="6" t="s">
        <v>132</v>
      </c>
      <c r="G1231" s="7" t="str">
        <f>IFERROR(__xludf.DUMMYFUNCTION("GOOGLETRANSLATE(C1231, ""en"", ""cs"")"),"Kód bude odeslán do SMS krátce")</f>
        <v>Kód bude odeslán do SMS krátce</v>
      </c>
      <c r="H1231" s="7" t="str">
        <f>IFERROR(__xludf.DUMMYFUNCTION("GOOGLETRANSLATE(C1231, ""en"", ""da"")"),"En kode vil blive sendt til SMS inden for kort tid")</f>
        <v>En kode vil blive sendt til SMS inden for kort tid</v>
      </c>
      <c r="I1231" s="7" t="str">
        <f>IFERROR(__xludf.DUMMYFUNCTION("GOOGLETRANSLATE(C1231, ""en"", ""de"")"),"Ein Code wird in Kürze an SMS gesendet")</f>
        <v>Ein Code wird in Kürze an SMS gesendet</v>
      </c>
      <c r="J1231" s="6" t="s">
        <v>132</v>
      </c>
      <c r="K1231" s="7" t="str">
        <f>IFERROR(__xludf.DUMMYFUNCTION("GOOGLETRANSLATE(C1231, ""en"", ""es"")"),"Se enviará un código a SMS en breve.")</f>
        <v>Se enviará un código a SMS en breve.</v>
      </c>
      <c r="L1231" s="7" t="str">
        <f>IFERROR(__xludf.DUMMYFUNCTION("GOOGLETRANSLATE(C1231, ""en"", ""fi"")"),"Koodi lähetetään SMS: lle pian")</f>
        <v>Koodi lähetetään SMS: lle pian</v>
      </c>
      <c r="M1231" s="7" t="str">
        <f>IFERROR(__xludf.DUMMYFUNCTION("GOOGLETRANSLATE(C1231, ""en"", ""fr"")"),"Un code sera envoyé à SMS sous peu")</f>
        <v>Un code sera envoyé à SMS sous peu</v>
      </c>
      <c r="N1231" s="6" t="s">
        <v>132</v>
      </c>
      <c r="O1231" s="6" t="s">
        <v>132</v>
      </c>
      <c r="P1231" s="7" t="str">
        <f>IFERROR(__xludf.DUMMYFUNCTION("GOOGLETRANSLATE(C1231, ""en"", ""hu"")"),"A kódot hamarosan elküldjük az SMS-nek")</f>
        <v>A kódot hamarosan elküldjük az SMS-nek</v>
      </c>
      <c r="Q1231" s="7" t="str">
        <f>IFERROR(__xludf.DUMMYFUNCTION("GOOGLETRANSLATE(C1231, ""en"", ""in"")"),"Kode akan dikirim ke SMS segera")</f>
        <v>Kode akan dikirim ke SMS segera</v>
      </c>
      <c r="R1231" s="7" t="str">
        <f>IFERROR(__xludf.DUMMYFUNCTION("GOOGLETRANSLATE(C1231, ""en"", ""it"")"),"Un codice verrà inviato a SMS a breve")</f>
        <v>Un codice verrà inviato a SMS a breve</v>
      </c>
      <c r="S1231" s="6" t="s">
        <v>132</v>
      </c>
      <c r="T1231" s="7" t="str">
        <f>IFERROR(__xludf.DUMMYFUNCTION("GOOGLETRANSLATE(C1231, ""en"", ""ja"")"),"コードはまもなくSMSに送信されます")</f>
        <v>コードはまもなくSMSに送信されます</v>
      </c>
      <c r="U1231" s="7" t="str">
        <f>IFERROR(__xludf.DUMMYFUNCTION("GOOGLETRANSLATE(C1231, ""en"", ""ko"")"),"코드는 SMS로 전송됩니다")</f>
        <v>코드는 SMS로 전송됩니다</v>
      </c>
      <c r="V1231" s="7" t="str">
        <f>IFERROR(__xludf.DUMMYFUNCTION("GOOGLETRANSLATE(C1231, ""en"", ""ms"")"),"Kod akan dihantar ke SMS tidak lama lagi")</f>
        <v>Kod akan dihantar ke SMS tidak lama lagi</v>
      </c>
      <c r="W1231" s="7" t="str">
        <f>IFERROR(__xludf.DUMMYFUNCTION("GOOGLETRANSLATE(C1231, ""en"", ""nl"")"),"Een code wordt binnenkort naar SMS verzonden")</f>
        <v>Een code wordt binnenkort naar SMS verzonden</v>
      </c>
      <c r="X1231" s="7" t="str">
        <f>IFERROR(__xludf.DUMMYFUNCTION("GOOGLETRANSLATE(C1231, ""en"", ""no"")"),"En kode vil bli sendt til SMS snart")</f>
        <v>En kode vil bli sendt til SMS snart</v>
      </c>
      <c r="Y1231" s="7" t="str">
        <f>IFERROR(__xludf.DUMMYFUNCTION("GOOGLETRANSLATE(C1231, ""en"", ""pl"")"),"Kod zostanie wkrótce wysłany do SMS")</f>
        <v>Kod zostanie wkrótce wysłany do SMS</v>
      </c>
      <c r="Z1231" s="7" t="str">
        <f>IFERROR(__xludf.DUMMYFUNCTION("GOOGLETRANSLATE(C1231, ""en"", ""pt"")"),"Um código será enviado para SMS em breve")</f>
        <v>Um código será enviado para SMS em breve</v>
      </c>
      <c r="AA1231" s="7" t="str">
        <f>IFERROR(__xludf.DUMMYFUNCTION("GOOGLETRANSLATE(C1231, ""en"", ""ro"")"),"Un cod va fi trimis la SMS în scurt timp")</f>
        <v>Un cod va fi trimis la SMS în scurt timp</v>
      </c>
      <c r="AB1231" s="7" t="str">
        <f>IFERROR(__xludf.DUMMYFUNCTION("GOOGLETRANSLATE(C1231, ""en"", ""ru"")"),"Код будет отправлен на SMS в ближайшее время")</f>
        <v>Код будет отправлен на SMS в ближайшее время</v>
      </c>
      <c r="AC1231" s="7" t="str">
        <f>IFERROR(__xludf.DUMMYFUNCTION("GOOGLETRANSLATE(C1231, ""en"", ""sk"")"),"Kód bude odoslaný na SMS krátko")</f>
        <v>Kód bude odoslaný na SMS krátko</v>
      </c>
      <c r="AD1231" s="6" t="s">
        <v>132</v>
      </c>
      <c r="AE1231" s="7" t="str">
        <f>IFERROR(__xludf.DUMMYFUNCTION("GOOGLETRANSLATE(C1231, ""en"", ""sr"")"),"Убрзо ће бити послат код СМС-а")</f>
        <v>Убрзо ће бити послат код СМС-а</v>
      </c>
      <c r="AF1231" s="7" t="str">
        <f>IFERROR(__xludf.DUMMYFUNCTION("GOOGLETRANSLATE(C1231, ""en"", ""sv"")"),"En kod kommer snart att skickas till SMS")</f>
        <v>En kod kommer snart att skickas till SMS</v>
      </c>
      <c r="AG1231" s="6" t="s">
        <v>132</v>
      </c>
      <c r="AH1231" s="13" t="s">
        <v>25275</v>
      </c>
      <c r="AI1231" s="6" t="s">
        <v>132</v>
      </c>
      <c r="AJ1231" s="6" t="s">
        <v>132</v>
      </c>
      <c r="AK1231" s="7" t="str">
        <f>IFERROR(__xludf.DUMMYFUNCTION("GOOGLETRANSLATE(C1231, ""en"", ""zh"")"),"代码将不久将发送给SMS")</f>
        <v>代码将不久将发送给SMS</v>
      </c>
      <c r="AL1231" s="6" t="s">
        <v>132</v>
      </c>
    </row>
    <row r="1232" ht="15.75" hidden="1" customHeight="1">
      <c r="A1232" s="1" t="s">
        <v>38</v>
      </c>
      <c r="B1232" s="1" t="s">
        <v>25276</v>
      </c>
      <c r="C1232" s="1" t="s">
        <v>25277</v>
      </c>
      <c r="D1232" s="7" t="str">
        <f>IFERROR(__xludf.DUMMYFUNCTION("GOOGLETRANSLATE(C1232, ""en"", ""ar"")"),"تحقق٪ s.")</f>
        <v>تحقق٪ s.</v>
      </c>
      <c r="E1232" s="1" t="s">
        <v>25278</v>
      </c>
      <c r="F1232" s="6" t="s">
        <v>132</v>
      </c>
      <c r="G1232" s="7" t="str">
        <f>IFERROR(__xludf.DUMMYFUNCTION("GOOGLETRANSLATE(C1232, ""en"", ""cs"")"),"Ověřte% S.")</f>
        <v>Ověřte% S.</v>
      </c>
      <c r="H1232" s="7" t="str">
        <f>IFERROR(__xludf.DUMMYFUNCTION("GOOGLETRANSLATE(C1232, ""en"", ""da"")"),"Bekræft% S.")</f>
        <v>Bekræft% S.</v>
      </c>
      <c r="I1232" s="1" t="s">
        <v>25279</v>
      </c>
      <c r="J1232" s="6" t="s">
        <v>132</v>
      </c>
      <c r="K1232" s="1" t="s">
        <v>25280</v>
      </c>
      <c r="L1232" s="7" t="str">
        <f>IFERROR(__xludf.DUMMYFUNCTION("GOOGLETRANSLATE(C1232, ""en"", ""fi"")"),"Vahvista% s")</f>
        <v>Vahvista% s</v>
      </c>
      <c r="M1232" s="1" t="s">
        <v>25281</v>
      </c>
      <c r="N1232" s="6" t="s">
        <v>25282</v>
      </c>
      <c r="O1232" s="6" t="s">
        <v>132</v>
      </c>
      <c r="P1232" s="1" t="s">
        <v>25283</v>
      </c>
      <c r="Q1232" s="7" t="str">
        <f>IFERROR(__xludf.DUMMYFUNCTION("GOOGLETRANSLATE(C1232, ""en"", ""in"")"),"Verifikasi% S.")</f>
        <v>Verifikasi% S.</v>
      </c>
      <c r="R1232" s="1" t="s">
        <v>25284</v>
      </c>
      <c r="S1232" s="6" t="s">
        <v>132</v>
      </c>
      <c r="T1232" s="7" t="str">
        <f>IFERROR(__xludf.DUMMYFUNCTION("GOOGLETRANSLATE(C1232, ""en"", ""ja"")"),"％Sを確認してください")</f>
        <v>％Sを確認してください</v>
      </c>
      <c r="U1232" s="7" t="str">
        <f>IFERROR(__xludf.DUMMYFUNCTION("GOOGLETRANSLATE(C1232, ""en"", ""ko"")"),"% S.")</f>
        <v>% S.</v>
      </c>
      <c r="V1232" s="7" t="str">
        <f>IFERROR(__xludf.DUMMYFUNCTION("GOOGLETRANSLATE(C1232, ""en"", ""ms"")"),"Sahkan% S.")</f>
        <v>Sahkan% S.</v>
      </c>
      <c r="W1232" s="1" t="s">
        <v>25285</v>
      </c>
      <c r="X1232" s="7" t="str">
        <f>IFERROR(__xludf.DUMMYFUNCTION("GOOGLETRANSLATE(C1232, ""en"", ""no"")"),"Bekreft% S.")</f>
        <v>Bekreft% S.</v>
      </c>
      <c r="Y1232" s="1" t="s">
        <v>25286</v>
      </c>
      <c r="Z1232" s="7" t="str">
        <f>IFERROR(__xludf.DUMMYFUNCTION("GOOGLETRANSLATE(C1232, ""en"", ""pt"")"),"Verifique% S.")</f>
        <v>Verifique% S.</v>
      </c>
      <c r="AA1232" s="7" t="str">
        <f>IFERROR(__xludf.DUMMYFUNCTION("GOOGLETRANSLATE(C1232, ""en"", ""ro"")"),"Verificați% S.")</f>
        <v>Verificați% S.</v>
      </c>
      <c r="AB1232" s="7" t="str">
        <f>IFERROR(__xludf.DUMMYFUNCTION("GOOGLETRANSLATE(C1232, ""en"", ""ru"")"),"Проверьте% s.")</f>
        <v>Проверьте% s.</v>
      </c>
      <c r="AC1232" s="7" t="str">
        <f>IFERROR(__xludf.DUMMYFUNCTION("GOOGLETRANSLATE(C1232, ""en"", ""sk"")"),"Overiť% s")</f>
        <v>Overiť% s</v>
      </c>
      <c r="AD1232" s="6" t="s">
        <v>132</v>
      </c>
      <c r="AE1232" s="7" t="str">
        <f>IFERROR(__xludf.DUMMYFUNCTION("GOOGLETRANSLATE(C1232, ""en"", ""sr"")"),"Верифи% с")</f>
        <v>Верифи% с</v>
      </c>
      <c r="AF1232" s="7" t="str">
        <f>IFERROR(__xludf.DUMMYFUNCTION("GOOGLETRANSLATE(C1232, ""en"", ""sv"")"),"Verifiera% s")</f>
        <v>Verifiera% s</v>
      </c>
      <c r="AG1232" s="6" t="s">
        <v>132</v>
      </c>
      <c r="AH1232" s="7" t="str">
        <f>IFERROR(__xludf.DUMMYFUNCTION("GOOGLETRANSLATE(C1232, ""en"", ""tr"")"),"% S doğrulamak")</f>
        <v>% S doğrulamak</v>
      </c>
      <c r="AI1232" s="6" t="s">
        <v>132</v>
      </c>
      <c r="AJ1232" s="6" t="s">
        <v>132</v>
      </c>
      <c r="AK1232" s="7" t="str">
        <f>IFERROR(__xludf.DUMMYFUNCTION("GOOGLETRANSLATE(C1232, ""en"", ""zh"")"),"验证％s")</f>
        <v>验证％s</v>
      </c>
      <c r="AL1232" s="6" t="s">
        <v>132</v>
      </c>
    </row>
    <row r="1233" ht="15.75" customHeight="1">
      <c r="A1233" s="1" t="s">
        <v>127</v>
      </c>
      <c r="B1233" s="1" t="s">
        <v>25287</v>
      </c>
      <c r="C1233" s="1" t="s">
        <v>11680</v>
      </c>
      <c r="D1233" s="8" t="s">
        <v>11681</v>
      </c>
      <c r="E1233" s="1" t="s">
        <v>11682</v>
      </c>
      <c r="F1233" s="6" t="s">
        <v>132</v>
      </c>
      <c r="G1233" s="1" t="s">
        <v>11680</v>
      </c>
      <c r="H1233" s="1" t="s">
        <v>11680</v>
      </c>
      <c r="I1233" s="1" t="s">
        <v>11683</v>
      </c>
      <c r="J1233" s="6" t="s">
        <v>11680</v>
      </c>
      <c r="K1233" s="1" t="s">
        <v>11680</v>
      </c>
      <c r="L1233" s="1" t="s">
        <v>11684</v>
      </c>
      <c r="M1233" s="1" t="s">
        <v>11680</v>
      </c>
      <c r="N1233" s="6" t="s">
        <v>132</v>
      </c>
      <c r="O1233" s="6" t="s">
        <v>11686</v>
      </c>
      <c r="P1233" s="1" t="s">
        <v>11680</v>
      </c>
      <c r="Q1233" s="1" t="s">
        <v>11685</v>
      </c>
      <c r="R1233" s="1" t="s">
        <v>11680</v>
      </c>
      <c r="S1233" s="10" t="s">
        <v>11687</v>
      </c>
      <c r="T1233" s="1" t="s">
        <v>11688</v>
      </c>
      <c r="U1233" s="1" t="s">
        <v>11689</v>
      </c>
      <c r="V1233" s="1" t="s">
        <v>11690</v>
      </c>
      <c r="W1233" s="1" t="s">
        <v>11680</v>
      </c>
      <c r="X1233" s="1" t="s">
        <v>11691</v>
      </c>
      <c r="Y1233" s="1" t="s">
        <v>11680</v>
      </c>
      <c r="Z1233" s="1" t="s">
        <v>11680</v>
      </c>
      <c r="AA1233" s="1" t="s">
        <v>11680</v>
      </c>
      <c r="AB1233" s="1" t="s">
        <v>11680</v>
      </c>
      <c r="AC1233" s="1" t="s">
        <v>11680</v>
      </c>
      <c r="AD1233" s="6" t="s">
        <v>11692</v>
      </c>
      <c r="AE1233" s="1" t="s">
        <v>11680</v>
      </c>
      <c r="AF1233" s="1" t="s">
        <v>11691</v>
      </c>
      <c r="AG1233" s="6" t="s">
        <v>3384</v>
      </c>
      <c r="AH1233" s="1" t="s">
        <v>11693</v>
      </c>
      <c r="AI1233" s="6" t="s">
        <v>132</v>
      </c>
      <c r="AJ1233" s="6" t="s">
        <v>11685</v>
      </c>
      <c r="AK1233" s="1" t="s">
        <v>11694</v>
      </c>
      <c r="AL1233" s="6" t="s">
        <v>11695</v>
      </c>
    </row>
    <row r="1234" ht="15.75" customHeight="1">
      <c r="A1234" s="1" t="s">
        <v>127</v>
      </c>
      <c r="B1234" s="1" t="s">
        <v>25288</v>
      </c>
      <c r="C1234" s="1" t="s">
        <v>25289</v>
      </c>
      <c r="D1234" s="8" t="s">
        <v>25290</v>
      </c>
      <c r="E1234" s="1" t="s">
        <v>25291</v>
      </c>
      <c r="F1234" s="6" t="s">
        <v>132</v>
      </c>
      <c r="G1234" s="1" t="s">
        <v>25292</v>
      </c>
      <c r="H1234" s="1" t="s">
        <v>25293</v>
      </c>
      <c r="I1234" s="1" t="s">
        <v>25294</v>
      </c>
      <c r="J1234" s="6" t="s">
        <v>25289</v>
      </c>
      <c r="K1234" s="1" t="s">
        <v>25295</v>
      </c>
      <c r="L1234" s="1" t="s">
        <v>25296</v>
      </c>
      <c r="M1234" s="1" t="s">
        <v>25297</v>
      </c>
      <c r="N1234" s="6" t="s">
        <v>132</v>
      </c>
      <c r="O1234" s="6" t="s">
        <v>25298</v>
      </c>
      <c r="P1234" s="1" t="s">
        <v>25299</v>
      </c>
      <c r="Q1234" s="1" t="s">
        <v>25300</v>
      </c>
      <c r="R1234" s="1" t="s">
        <v>25301</v>
      </c>
      <c r="S1234" s="10" t="s">
        <v>25302</v>
      </c>
      <c r="T1234" s="1" t="s">
        <v>25303</v>
      </c>
      <c r="U1234" s="1" t="s">
        <v>25304</v>
      </c>
      <c r="V1234" s="1" t="s">
        <v>25305</v>
      </c>
      <c r="W1234" s="1" t="s">
        <v>25306</v>
      </c>
      <c r="X1234" s="1" t="s">
        <v>25307</v>
      </c>
      <c r="Y1234" s="1" t="s">
        <v>25308</v>
      </c>
      <c r="Z1234" s="1" t="s">
        <v>25309</v>
      </c>
      <c r="AA1234" s="1" t="s">
        <v>25310</v>
      </c>
      <c r="AB1234" s="1" t="s">
        <v>25311</v>
      </c>
      <c r="AC1234" s="1" t="s">
        <v>25312</v>
      </c>
      <c r="AD1234" s="6" t="s">
        <v>25313</v>
      </c>
      <c r="AE1234" s="1" t="s">
        <v>25314</v>
      </c>
      <c r="AF1234" s="1" t="s">
        <v>25315</v>
      </c>
      <c r="AG1234" s="6" t="s">
        <v>25316</v>
      </c>
      <c r="AH1234" s="1" t="s">
        <v>25317</v>
      </c>
      <c r="AI1234" s="6" t="s">
        <v>132</v>
      </c>
      <c r="AJ1234" s="6" t="s">
        <v>25318</v>
      </c>
      <c r="AK1234" s="1" t="s">
        <v>25319</v>
      </c>
      <c r="AL1234" s="6" t="s">
        <v>132</v>
      </c>
    </row>
    <row r="1235" ht="15.75" customHeight="1">
      <c r="A1235" s="1" t="s">
        <v>127</v>
      </c>
      <c r="B1235" s="1" t="s">
        <v>25320</v>
      </c>
      <c r="C1235" s="13" t="s">
        <v>25321</v>
      </c>
      <c r="D1235" s="8" t="s">
        <v>25322</v>
      </c>
      <c r="E1235" s="13" t="s">
        <v>25323</v>
      </c>
      <c r="F1235" s="6" t="s">
        <v>132</v>
      </c>
      <c r="G1235" s="13" t="s">
        <v>25324</v>
      </c>
      <c r="H1235" s="13" t="s">
        <v>25325</v>
      </c>
      <c r="I1235" s="1" t="s">
        <v>25326</v>
      </c>
      <c r="J1235" s="6" t="s">
        <v>25327</v>
      </c>
      <c r="K1235" s="1" t="s">
        <v>25328</v>
      </c>
      <c r="L1235" s="1" t="s">
        <v>25329</v>
      </c>
      <c r="M1235" s="1" t="s">
        <v>25330</v>
      </c>
      <c r="N1235" s="6" t="s">
        <v>132</v>
      </c>
      <c r="O1235" s="6" t="s">
        <v>25331</v>
      </c>
      <c r="P1235" s="1" t="s">
        <v>25332</v>
      </c>
      <c r="Q1235" s="1" t="s">
        <v>25333</v>
      </c>
      <c r="R1235" s="1" t="s">
        <v>25334</v>
      </c>
      <c r="S1235" s="10" t="s">
        <v>25335</v>
      </c>
      <c r="T1235" s="1" t="s">
        <v>25336</v>
      </c>
      <c r="U1235" s="1" t="s">
        <v>25337</v>
      </c>
      <c r="V1235" s="1" t="s">
        <v>25338</v>
      </c>
      <c r="W1235" s="1" t="s">
        <v>25339</v>
      </c>
      <c r="X1235" s="1" t="s">
        <v>25340</v>
      </c>
      <c r="Y1235" s="1" t="s">
        <v>25341</v>
      </c>
      <c r="Z1235" s="1" t="s">
        <v>25342</v>
      </c>
      <c r="AA1235" s="1" t="s">
        <v>25343</v>
      </c>
      <c r="AB1235" s="1" t="s">
        <v>25344</v>
      </c>
      <c r="AC1235" s="1" t="s">
        <v>25345</v>
      </c>
      <c r="AD1235" s="6" t="s">
        <v>25346</v>
      </c>
      <c r="AE1235" s="1" t="s">
        <v>25347</v>
      </c>
      <c r="AF1235" s="1" t="s">
        <v>25348</v>
      </c>
      <c r="AG1235" s="6" t="s">
        <v>25349</v>
      </c>
      <c r="AH1235" s="1" t="s">
        <v>25350</v>
      </c>
      <c r="AI1235" s="6" t="s">
        <v>132</v>
      </c>
      <c r="AJ1235" s="6" t="s">
        <v>25351</v>
      </c>
      <c r="AK1235" s="1" t="s">
        <v>25352</v>
      </c>
      <c r="AL1235" s="6" t="s">
        <v>25353</v>
      </c>
    </row>
    <row r="1236" ht="15.75" customHeight="1">
      <c r="A1236" s="1" t="s">
        <v>127</v>
      </c>
      <c r="B1236" s="1" t="s">
        <v>25354</v>
      </c>
      <c r="C1236" s="1" t="s">
        <v>25355</v>
      </c>
      <c r="D1236" s="7" t="str">
        <f>IFERROR(__xludf.DUMMYFUNCTION("GOOGLETRANSLATE(C1236, ""en"", ""ar"")"),"مقالات الرأي إخطارات")</f>
        <v>مقالات الرأي إخطارات</v>
      </c>
      <c r="E1236" s="7" t="str">
        <f>IFERROR(__xludf.DUMMYFUNCTION("GOOGLETRANSLATE(C1236, ""en"", ""bg"")"),"Становище Статии")</f>
        <v>Становище Статии</v>
      </c>
      <c r="F1236" s="6" t="s">
        <v>132</v>
      </c>
      <c r="G1236" s="7" t="str">
        <f>IFERROR(__xludf.DUMMYFUNCTION("GOOGLETRANSLATE(C1236, ""en"", ""cs"")"),"Stanovisko Články oznámení")</f>
        <v>Stanovisko Články oznámení</v>
      </c>
      <c r="H1236" s="1" t="s">
        <v>25356</v>
      </c>
      <c r="I1236" s="1" t="s">
        <v>25357</v>
      </c>
      <c r="J1236" s="6" t="s">
        <v>132</v>
      </c>
      <c r="K1236" s="1" t="s">
        <v>25358</v>
      </c>
      <c r="L1236" s="1" t="s">
        <v>25359</v>
      </c>
      <c r="M1236" s="1" t="s">
        <v>25360</v>
      </c>
      <c r="N1236" s="6" t="s">
        <v>132</v>
      </c>
      <c r="O1236" s="6" t="s">
        <v>132</v>
      </c>
      <c r="P1236" s="1" t="s">
        <v>25361</v>
      </c>
      <c r="Q1236" s="1" t="s">
        <v>25362</v>
      </c>
      <c r="R1236" s="1" t="s">
        <v>25363</v>
      </c>
      <c r="S1236" s="6" t="s">
        <v>132</v>
      </c>
      <c r="T1236" s="1" t="s">
        <v>25364</v>
      </c>
      <c r="U1236" s="1" t="s">
        <v>25365</v>
      </c>
      <c r="V1236" s="1" t="s">
        <v>25366</v>
      </c>
      <c r="W1236" s="1" t="s">
        <v>25367</v>
      </c>
      <c r="X1236" s="1" t="s">
        <v>25368</v>
      </c>
      <c r="Y1236" s="1" t="s">
        <v>25369</v>
      </c>
      <c r="Z1236" s="1" t="s">
        <v>25370</v>
      </c>
      <c r="AA1236" s="7" t="str">
        <f>IFERROR(__xludf.DUMMYFUNCTION("GOOGLETRANSLATE(C1236, ""en"", ""ro"")"),"Articole de aviz Notificări")</f>
        <v>Articole de aviz Notificări</v>
      </c>
      <c r="AB1236" s="1" t="s">
        <v>25371</v>
      </c>
      <c r="AC1236" s="7" t="str">
        <f>IFERROR(__xludf.DUMMYFUNCTION("GOOGLETRANSLATE(C1236, ""en"", ""sk"")"),"NÁVRHY ÚLOHY UPOZORNENIA")</f>
        <v>NÁVRHY ÚLOHY UPOZORNENIA</v>
      </c>
      <c r="AD1236" s="6" t="s">
        <v>132</v>
      </c>
      <c r="AE1236" s="1" t="s">
        <v>25372</v>
      </c>
      <c r="AF1236" s="1" t="s">
        <v>25373</v>
      </c>
      <c r="AG1236" s="6" t="s">
        <v>132</v>
      </c>
      <c r="AH1236" s="1" t="s">
        <v>25374</v>
      </c>
      <c r="AI1236" s="6" t="s">
        <v>132</v>
      </c>
      <c r="AJ1236" s="6" t="s">
        <v>132</v>
      </c>
      <c r="AK1236" s="1" t="s">
        <v>25375</v>
      </c>
      <c r="AL1236" s="6" t="s">
        <v>132</v>
      </c>
    </row>
    <row r="1237" ht="15.75" hidden="1" customHeight="1">
      <c r="A1237" s="1" t="s">
        <v>38</v>
      </c>
      <c r="B1237" s="1" t="s">
        <v>25376</v>
      </c>
      <c r="C1237" s="1" t="s">
        <v>25377</v>
      </c>
      <c r="D1237" s="8" t="s">
        <v>25378</v>
      </c>
      <c r="E1237" s="1" t="s">
        <v>25379</v>
      </c>
      <c r="F1237" s="6" t="s">
        <v>25380</v>
      </c>
      <c r="G1237" s="7" t="str">
        <f>IFERROR(__xludf.DUMMYFUNCTION("GOOGLETRANSLATE(C1237, ""en"", ""cs"")"),"Certifikát serveru není podepsán známým certifikačním orgánem.")</f>
        <v>Certifikát serveru není podepsán známým certifikačním orgánem.</v>
      </c>
      <c r="H1237" s="7" t="str">
        <f>IFERROR(__xludf.DUMMYFUNCTION("GOOGLETRANSLATE(C1237, ""en"", ""da"")"),"Servercertifikatet er ikke underskrevet af en kendt certifikatmyndighed.")</f>
        <v>Servercertifikatet er ikke underskrevet af en kendt certifikatmyndighed.</v>
      </c>
      <c r="I1237" s="1" t="s">
        <v>25381</v>
      </c>
      <c r="J1237" s="6" t="s">
        <v>132</v>
      </c>
      <c r="K1237" s="1" t="s">
        <v>25382</v>
      </c>
      <c r="L1237" s="7" t="str">
        <f>IFERROR(__xludf.DUMMYFUNCTION("GOOGLETRANSLATE(C1237, ""en"", ""fi"")"),"Tunnettu varmenneviranomainen ei allekirjoita palvelintodistusta.")</f>
        <v>Tunnettu varmenneviranomainen ei allekirjoita palvelintodistusta.</v>
      </c>
      <c r="M1237" s="1" t="s">
        <v>25383</v>
      </c>
      <c r="N1237" s="6" t="s">
        <v>25384</v>
      </c>
      <c r="O1237" s="6" t="s">
        <v>132</v>
      </c>
      <c r="P1237" s="1" t="s">
        <v>25385</v>
      </c>
      <c r="Q1237" s="7" t="str">
        <f>IFERROR(__xludf.DUMMYFUNCTION("GOOGLETRANSLATE(C1237, ""en"", ""in"")"),"Sertifikat server tidak ditandatangani oleh otoritas sertifikat yang diketahui.")</f>
        <v>Sertifikat server tidak ditandatangani oleh otoritas sertifikat yang diketahui.</v>
      </c>
      <c r="R1237" s="1" t="s">
        <v>25386</v>
      </c>
      <c r="S1237" s="6" t="s">
        <v>132</v>
      </c>
      <c r="T1237" s="7" t="str">
        <f>IFERROR(__xludf.DUMMYFUNCTION("GOOGLETRANSLATE(C1237, ""en"", ""ja"")"),"サーバー証明書は、既知の認証局によって署名されていません。")</f>
        <v>サーバー証明書は、既知の認証局によって署名されていません。</v>
      </c>
      <c r="U1237" s="7" t="str">
        <f>IFERROR(__xludf.DUMMYFUNCTION("GOOGLETRANSLATE(C1237, ""en"", ""ko"")"),"서버 인증서는 알려진 인증 기관이 서명하지 않습니다.")</f>
        <v>서버 인증서는 알려진 인증 기관이 서명하지 않습니다.</v>
      </c>
      <c r="V1237" s="7" t="str">
        <f>IFERROR(__xludf.DUMMYFUNCTION("GOOGLETRANSLATE(C1237, ""en"", ""ms"")"),"Sijil pelayan tidak ditandatangani oleh pihak berkuasa sijil yang diketahui.")</f>
        <v>Sijil pelayan tidak ditandatangani oleh pihak berkuasa sijil yang diketahui.</v>
      </c>
      <c r="W1237" s="1" t="s">
        <v>25387</v>
      </c>
      <c r="X1237" s="7" t="str">
        <f>IFERROR(__xludf.DUMMYFUNCTION("GOOGLETRANSLATE(C1237, ""en"", ""no"")"),"Serversertifikatet er ikke signert av en kjent sertifikatmyndighet.")</f>
        <v>Serversertifikatet er ikke signert av en kjent sertifikatmyndighet.</v>
      </c>
      <c r="Y1237" s="1" t="s">
        <v>25388</v>
      </c>
      <c r="Z1237" s="7" t="str">
        <f>IFERROR(__xludf.DUMMYFUNCTION("GOOGLETRANSLATE(C1237, ""en"", ""pt"")"),"O certificado do servidor não é assinado por uma autoridade de certificação conhecida.")</f>
        <v>O certificado do servidor não é assinado por uma autoridade de certificação conhecida.</v>
      </c>
      <c r="AA1237" s="7" t="str">
        <f>IFERROR(__xludf.DUMMYFUNCTION("GOOGLETRANSLATE(C1237, ""en"", ""ro"")"),"Certificatul de server nu este semnat de o autoritate cunoscută de certificare.")</f>
        <v>Certificatul de server nu este semnat de o autoritate cunoscută de certificare.</v>
      </c>
      <c r="AB1237" s="7" t="str">
        <f>IFERROR(__xludf.DUMMYFUNCTION("GOOGLETRANSLATE(C1237, ""en"", ""ru"")"),"Сертификат сервера не подписан известным органом сертификата.")</f>
        <v>Сертификат сервера не подписан известным органом сертификата.</v>
      </c>
      <c r="AC1237" s="7" t="str">
        <f>IFERROR(__xludf.DUMMYFUNCTION("GOOGLETRANSLATE(C1237, ""en"", ""sk"")"),"Certifikát servera nie je podpísaný známym certifikačným orgánom.")</f>
        <v>Certifikát servera nie je podpísaný známym certifikačným orgánom.</v>
      </c>
      <c r="AD1237" s="6" t="s">
        <v>132</v>
      </c>
      <c r="AE1237" s="7" t="str">
        <f>IFERROR(__xludf.DUMMYFUNCTION("GOOGLETRANSLATE(C1237, ""en"", ""sr"")"),"Сертификат сервера не потписује познати ауторитет сертификата.")</f>
        <v>Сертификат сервера не потписује познати ауторитет сертификата.</v>
      </c>
      <c r="AF1237" s="7" t="str">
        <f>IFERROR(__xludf.DUMMYFUNCTION("GOOGLETRANSLATE(C1237, ""en"", ""sv"")"),"Servercertifikatet är inte undertecknat av en känd certifikatmyndighet.")</f>
        <v>Servercertifikatet är inte undertecknat av en känd certifikatmyndighet.</v>
      </c>
      <c r="AG1237" s="6" t="s">
        <v>132</v>
      </c>
      <c r="AH1237" s="7" t="str">
        <f>IFERROR(__xludf.DUMMYFUNCTION("GOOGLETRANSLATE(C1237, ""en"", ""tr"")"),"Sunucu sertifikası bilinen bir sertifika yetkilisi tarafından imzalanmadı.")</f>
        <v>Sunucu sertifikası bilinen bir sertifika yetkilisi tarafından imzalanmadı.</v>
      </c>
      <c r="AI1237" s="6" t="s">
        <v>132</v>
      </c>
      <c r="AJ1237" s="6" t="s">
        <v>132</v>
      </c>
      <c r="AK1237" s="7" t="str">
        <f>IFERROR(__xludf.DUMMYFUNCTION("GOOGLETRANSLATE(C1237, ""en"", ""zh"")"),"服务器证书未被已知的证书颁发机构签名。")</f>
        <v>服务器证书未被已知的证书颁发机构签名。</v>
      </c>
      <c r="AL1237" s="6" t="s">
        <v>132</v>
      </c>
    </row>
    <row r="1238" ht="15.75" customHeight="1">
      <c r="A1238" s="1" t="s">
        <v>127</v>
      </c>
      <c r="B1238" s="1" t="s">
        <v>25389</v>
      </c>
      <c r="C1238" s="1" t="s">
        <v>25390</v>
      </c>
      <c r="D1238" s="8" t="s">
        <v>25391</v>
      </c>
      <c r="E1238" s="1" t="s">
        <v>25392</v>
      </c>
      <c r="F1238" s="6" t="s">
        <v>132</v>
      </c>
      <c r="G1238" s="1" t="s">
        <v>25393</v>
      </c>
      <c r="H1238" s="1" t="s">
        <v>25394</v>
      </c>
      <c r="I1238" s="1" t="s">
        <v>25395</v>
      </c>
      <c r="J1238" s="6" t="s">
        <v>25396</v>
      </c>
      <c r="K1238" s="1" t="s">
        <v>25397</v>
      </c>
      <c r="L1238" s="1" t="s">
        <v>25398</v>
      </c>
      <c r="M1238" s="1" t="s">
        <v>25399</v>
      </c>
      <c r="N1238" s="6" t="s">
        <v>132</v>
      </c>
      <c r="O1238" s="6" t="s">
        <v>25400</v>
      </c>
      <c r="P1238" s="1" t="s">
        <v>25401</v>
      </c>
      <c r="Q1238" s="1" t="s">
        <v>25402</v>
      </c>
      <c r="R1238" s="1" t="s">
        <v>25403</v>
      </c>
      <c r="S1238" s="10" t="s">
        <v>25404</v>
      </c>
      <c r="T1238" s="1" t="s">
        <v>25405</v>
      </c>
      <c r="U1238" s="1" t="s">
        <v>25406</v>
      </c>
      <c r="V1238" s="1" t="s">
        <v>25407</v>
      </c>
      <c r="W1238" s="1" t="s">
        <v>25408</v>
      </c>
      <c r="X1238" s="1" t="s">
        <v>25409</v>
      </c>
      <c r="Y1238" s="1" t="s">
        <v>25410</v>
      </c>
      <c r="Z1238" s="1" t="s">
        <v>25411</v>
      </c>
      <c r="AA1238" s="1" t="s">
        <v>25412</v>
      </c>
      <c r="AB1238" s="1" t="s">
        <v>25413</v>
      </c>
      <c r="AC1238" s="1" t="s">
        <v>25393</v>
      </c>
      <c r="AD1238" s="6" t="s">
        <v>25414</v>
      </c>
      <c r="AE1238" s="1" t="s">
        <v>25415</v>
      </c>
      <c r="AF1238" s="1" t="s">
        <v>25409</v>
      </c>
      <c r="AG1238" s="6" t="s">
        <v>25416</v>
      </c>
      <c r="AH1238" s="1" t="s">
        <v>25417</v>
      </c>
      <c r="AI1238" s="6" t="s">
        <v>132</v>
      </c>
      <c r="AJ1238" s="6" t="s">
        <v>25418</v>
      </c>
      <c r="AK1238" s="1" t="s">
        <v>25419</v>
      </c>
      <c r="AL1238" s="6" t="s">
        <v>25420</v>
      </c>
    </row>
    <row r="1239" ht="15.75" hidden="1" customHeight="1">
      <c r="A1239" s="1" t="s">
        <v>38</v>
      </c>
      <c r="B1239" s="1" t="s">
        <v>25421</v>
      </c>
      <c r="C1239" s="1" t="s">
        <v>25422</v>
      </c>
      <c r="D1239" s="7" t="str">
        <f>IFERROR(__xludf.DUMMYFUNCTION("GOOGLETRANSLATE(C1239, ""en"", ""ar"")"),"يرجى طلب تحديثات التواجد من جهة الاتصال الخاصة بك أولا. \ n \ n")</f>
        <v>يرجى طلب تحديثات التواجد من جهة الاتصال الخاصة بك أولا. \ n \ n</v>
      </c>
      <c r="E1239" s="1" t="s">
        <v>25423</v>
      </c>
      <c r="F1239" s="6" t="s">
        <v>25424</v>
      </c>
      <c r="G1239" s="20" t="s">
        <v>25425</v>
      </c>
      <c r="H1239" s="7" t="str">
        <f>IFERROR(__xludf.DUMMYFUNCTION("GOOGLETRANSLATE(C1239, ""en"", ""da"")"),"Venligst anmode til tilstedeværelsesopdateringer fra din kontakt først. \ N \ n")</f>
        <v>Venligst anmode til tilstedeværelsesopdateringer fra din kontakt først. \ N \ n</v>
      </c>
      <c r="I1239" s="1" t="s">
        <v>25426</v>
      </c>
      <c r="J1239" s="6" t="s">
        <v>132</v>
      </c>
      <c r="K1239" s="1" t="s">
        <v>25427</v>
      </c>
      <c r="L1239" s="7" t="str">
        <f>IFERROR(__xludf.DUMMYFUNCTION("GOOGLETRANSLATE(C1239, ""en"", ""fi"")"),"Pyydä läsnäolo päivitykset yhteystietosi ensin. \ N \ n")</f>
        <v>Pyydä läsnäolo päivitykset yhteystietosi ensin. \ N \ n</v>
      </c>
      <c r="M1239" s="1" t="s">
        <v>25428</v>
      </c>
      <c r="N1239" s="6" t="s">
        <v>25429</v>
      </c>
      <c r="O1239" s="6" t="s">
        <v>132</v>
      </c>
      <c r="P1239" s="1" t="s">
        <v>25430</v>
      </c>
      <c r="Q1239" s="9" t="s">
        <v>25431</v>
      </c>
      <c r="R1239" s="1" t="s">
        <v>25432</v>
      </c>
      <c r="S1239" s="6" t="s">
        <v>132</v>
      </c>
      <c r="T1239" s="1" t="s">
        <v>25433</v>
      </c>
      <c r="U1239" s="1" t="s">
        <v>25434</v>
      </c>
      <c r="V1239" s="7" t="str">
        <f>IFERROR(__xludf.DUMMYFUNCTION("GOOGLETRANSLATE(C1239, ""en"", ""ms"")"),"Sila minta kemas kini kehadiran dari kenalan anda terlebih dahulu. \ N \ n")</f>
        <v>Sila minta kemas kini kehadiran dari kenalan anda terlebih dahulu. \ N \ n</v>
      </c>
      <c r="W1239" s="1" t="s">
        <v>25435</v>
      </c>
      <c r="X1239" s="7" t="str">
        <f>IFERROR(__xludf.DUMMYFUNCTION("GOOGLETRANSLATE(C1239, ""en"", ""no"")"),"Vennligst be om tilstedeværelsesoppdateringer fra din kontakt først. \ N \ n")</f>
        <v>Vennligst be om tilstedeværelsesoppdateringer fra din kontakt først. \ N \ n</v>
      </c>
      <c r="Y1239" s="1" t="s">
        <v>25436</v>
      </c>
      <c r="Z1239" s="1" t="s">
        <v>25437</v>
      </c>
      <c r="AA1239" s="7" t="str">
        <f>IFERROR(__xludf.DUMMYFUNCTION("GOOGLETRANSLATE(C1239, ""en"", ""ro"")"),"Vă rugăm să solicitați actualizări de prezență de la contactul dvs. în primul rând. \ N \ n")</f>
        <v>Vă rugăm să solicitați actualizări de prezență de la contactul dvs. în primul rând. \ N \ n</v>
      </c>
      <c r="AB1239" s="1" t="s">
        <v>25438</v>
      </c>
      <c r="AC1239" s="1" t="s">
        <v>25439</v>
      </c>
      <c r="AD1239" s="6" t="s">
        <v>132</v>
      </c>
      <c r="AE1239" s="1" t="s">
        <v>25440</v>
      </c>
      <c r="AF1239" s="1" t="s">
        <v>25441</v>
      </c>
      <c r="AG1239" s="6" t="s">
        <v>132</v>
      </c>
      <c r="AH1239" s="7" t="str">
        <f>IFERROR(__xludf.DUMMYFUNCTION("GOOGLETRANSLATE(C1239, ""en"", ""tr"")"),"Lütfen önce iletişiminizden varlık güncellemeleri isteyin. \ N \ n")</f>
        <v>Lütfen önce iletişiminizden varlık güncellemeleri isteyin. \ N \ n</v>
      </c>
      <c r="AI1239" s="6" t="s">
        <v>25442</v>
      </c>
      <c r="AJ1239" s="6" t="s">
        <v>25443</v>
      </c>
      <c r="AK1239" s="7" t="str">
        <f>IFERROR(__xludf.DUMMYFUNCTION("GOOGLETRANSLATE(C1239, ""en"", ""zh"")"),"请先请求您的联系人的状态更新。\ n \ n")</f>
        <v>请先请求您的联系人的状态更新。\ n \ n</v>
      </c>
      <c r="AL1239" s="6" t="s">
        <v>25444</v>
      </c>
    </row>
    <row r="1240" ht="15.75" hidden="1" customHeight="1">
      <c r="A1240" s="1" t="s">
        <v>38</v>
      </c>
      <c r="B1240" s="1" t="s">
        <v>25445</v>
      </c>
      <c r="C1240" s="1" t="s">
        <v>25446</v>
      </c>
      <c r="D1240" s="7" t="str">
        <f>IFERROR(__xludf.DUMMYFUNCTION("GOOGLETRANSLATE(C1240, ""en"", ""ar"")"),"الرجاء إدخال بادئة هاتفك.")</f>
        <v>الرجاء إدخال بادئة هاتفك.</v>
      </c>
      <c r="E1240" s="7" t="str">
        <f>IFERROR(__xludf.DUMMYFUNCTION("GOOGLETRANSLATE(C1240, ""en"", ""bg"")"),"Моля, въведете вашия телефонен префикс.")</f>
        <v>Моля, въведете вашия телефонен префикс.</v>
      </c>
      <c r="F1240" s="6" t="s">
        <v>132</v>
      </c>
      <c r="G1240" s="1" t="str">
        <f>IFERROR(__xludf.DUMMYFUNCTION("GOOGLETRANSLATE(C1240, ""en"", ""cs"")"),"Zadejte prosím předponu telefonu.")</f>
        <v>Zadejte prosím předponu telefonu.</v>
      </c>
      <c r="H1240" s="7" t="str">
        <f>IFERROR(__xludf.DUMMYFUNCTION("GOOGLETRANSLATE(C1240, ""en"", ""da"")"),"Indtast venligst dit telefon præfiks.")</f>
        <v>Indtast venligst dit telefon præfiks.</v>
      </c>
      <c r="I1240" s="1" t="s">
        <v>25447</v>
      </c>
      <c r="J1240" s="6" t="s">
        <v>132</v>
      </c>
      <c r="K1240" s="1" t="s">
        <v>25448</v>
      </c>
      <c r="L1240" s="7" t="str">
        <f>IFERROR(__xludf.DUMMYFUNCTION("GOOGLETRANSLATE(C1240, ""en"", ""fi"")"),"Anna puhelimen etuliite.")</f>
        <v>Anna puhelimen etuliite.</v>
      </c>
      <c r="M1240" s="1" t="s">
        <v>25449</v>
      </c>
      <c r="N1240" s="6" t="s">
        <v>132</v>
      </c>
      <c r="O1240" s="6" t="s">
        <v>132</v>
      </c>
      <c r="P1240" s="1" t="s">
        <v>25450</v>
      </c>
      <c r="Q1240" s="7" t="str">
        <f>IFERROR(__xludf.DUMMYFUNCTION("GOOGLETRANSLATE(C1240, ""en"", ""in"")"),"Silakan masukkan awalan ponsel Anda.")</f>
        <v>Silakan masukkan awalan ponsel Anda.</v>
      </c>
      <c r="R1240" s="7" t="str">
        <f>IFERROR(__xludf.DUMMYFUNCTION("GOOGLETRANSLATE(C1240, ""en"", ""it"")"),"Si prega di inserire il prefisso del telefono.")</f>
        <v>Si prega di inserire il prefisso del telefono.</v>
      </c>
      <c r="S1240" s="6" t="s">
        <v>132</v>
      </c>
      <c r="T1240" s="7" t="str">
        <f>IFERROR(__xludf.DUMMYFUNCTION("GOOGLETRANSLATE(C1240, ""en"", ""ja"")"),"電話プレフィックスを入力してください。")</f>
        <v>電話プレフィックスを入力してください。</v>
      </c>
      <c r="U1240" s="7" t="str">
        <f>IFERROR(__xludf.DUMMYFUNCTION("GOOGLETRANSLATE(C1240, ""en"", ""ko"")"),"전화 접두어를 입력하십시오.")</f>
        <v>전화 접두어를 입력하십시오.</v>
      </c>
      <c r="V1240" s="7" t="str">
        <f>IFERROR(__xludf.DUMMYFUNCTION("GOOGLETRANSLATE(C1240, ""en"", ""ms"")"),"Sila masukkan awalan telefon anda.")</f>
        <v>Sila masukkan awalan telefon anda.</v>
      </c>
      <c r="W1240" s="7" t="str">
        <f>IFERROR(__xludf.DUMMYFUNCTION("GOOGLETRANSLATE(C1240, ""en"", ""nl"")"),"Voer het voorvoegsel van uw telefoon in.")</f>
        <v>Voer het voorvoegsel van uw telefoon in.</v>
      </c>
      <c r="X1240" s="7" t="str">
        <f>IFERROR(__xludf.DUMMYFUNCTION("GOOGLETRANSLATE(C1240, ""en"", ""no"")"),"Vennligst skriv inn telefonens prefiks.")</f>
        <v>Vennligst skriv inn telefonens prefiks.</v>
      </c>
      <c r="Y1240" s="7" t="str">
        <f>IFERROR(__xludf.DUMMYFUNCTION("GOOGLETRANSLATE(C1240, ""en"", ""pl"")"),"Wpisz prefiks telefonu.")</f>
        <v>Wpisz prefiks telefonu.</v>
      </c>
      <c r="Z1240" s="7" t="str">
        <f>IFERROR(__xludf.DUMMYFUNCTION("GOOGLETRANSLATE(C1240, ""en"", ""pt"")"),"Por favor, digite seu prefixo de telefone.")</f>
        <v>Por favor, digite seu prefixo de telefone.</v>
      </c>
      <c r="AA1240" s="7" t="str">
        <f>IFERROR(__xludf.DUMMYFUNCTION("GOOGLETRANSLATE(C1240, ""en"", ""ro"")"),"Introduceți prefixul telefonului.")</f>
        <v>Introduceți prefixul telefonului.</v>
      </c>
      <c r="AB1240" s="1" t="s">
        <v>25451</v>
      </c>
      <c r="AC1240" s="7" t="str">
        <f>IFERROR(__xludf.DUMMYFUNCTION("GOOGLETRANSLATE(C1240, ""en"", ""sk"")"),"Zadajte predponu telefónu.")</f>
        <v>Zadajte predponu telefónu.</v>
      </c>
      <c r="AD1240" s="6" t="s">
        <v>132</v>
      </c>
      <c r="AE1240" s="1" t="s">
        <v>25452</v>
      </c>
      <c r="AF1240" s="7" t="str">
        <f>IFERROR(__xludf.DUMMYFUNCTION("GOOGLETRANSLATE(C1240, ""en"", ""sv"")"),"Vänligen ange ditt telefonprefix.")</f>
        <v>Vänligen ange ditt telefonprefix.</v>
      </c>
      <c r="AG1240" s="6" t="s">
        <v>132</v>
      </c>
      <c r="AH1240" s="13" t="s">
        <v>25453</v>
      </c>
      <c r="AI1240" s="6" t="s">
        <v>132</v>
      </c>
      <c r="AJ1240" s="6" t="s">
        <v>132</v>
      </c>
      <c r="AK1240" s="7" t="str">
        <f>IFERROR(__xludf.DUMMYFUNCTION("GOOGLETRANSLATE(C1240, ""en"", ""zh"")"),"请输入您的电话前缀。")</f>
        <v>请输入您的电话前缀。</v>
      </c>
      <c r="AL1240" s="6" t="s">
        <v>132</v>
      </c>
    </row>
    <row r="1241" ht="15.75" customHeight="1">
      <c r="A1241" s="1" t="s">
        <v>127</v>
      </c>
      <c r="B1241" s="1" t="s">
        <v>25454</v>
      </c>
      <c r="C1241" s="1" t="s">
        <v>25455</v>
      </c>
      <c r="D1241" s="8" t="s">
        <v>25456</v>
      </c>
      <c r="E1241" s="1" t="s">
        <v>25457</v>
      </c>
      <c r="F1241" s="6" t="s">
        <v>132</v>
      </c>
      <c r="G1241" s="1" t="s">
        <v>25458</v>
      </c>
      <c r="H1241" s="1" t="s">
        <v>25459</v>
      </c>
      <c r="I1241" s="1" t="s">
        <v>25460</v>
      </c>
      <c r="J1241" s="6" t="s">
        <v>25461</v>
      </c>
      <c r="K1241" s="1" t="s">
        <v>25462</v>
      </c>
      <c r="L1241" s="1" t="s">
        <v>25463</v>
      </c>
      <c r="M1241" s="1" t="s">
        <v>25464</v>
      </c>
      <c r="N1241" s="6" t="s">
        <v>132</v>
      </c>
      <c r="O1241" s="6" t="s">
        <v>25465</v>
      </c>
      <c r="P1241" s="1" t="s">
        <v>25466</v>
      </c>
      <c r="Q1241" s="1" t="s">
        <v>25467</v>
      </c>
      <c r="R1241" s="1" t="s">
        <v>25468</v>
      </c>
      <c r="S1241" s="10" t="s">
        <v>25469</v>
      </c>
      <c r="T1241" s="1" t="s">
        <v>25455</v>
      </c>
      <c r="U1241" s="1" t="s">
        <v>25470</v>
      </c>
      <c r="V1241" s="1" t="s">
        <v>25471</v>
      </c>
      <c r="W1241" s="1" t="s">
        <v>25472</v>
      </c>
      <c r="X1241" s="1" t="s">
        <v>25473</v>
      </c>
      <c r="Y1241" s="1" t="s">
        <v>25474</v>
      </c>
      <c r="Z1241" s="1" t="s">
        <v>25475</v>
      </c>
      <c r="AA1241" s="1" t="s">
        <v>25476</v>
      </c>
      <c r="AB1241" s="1" t="s">
        <v>25477</v>
      </c>
      <c r="AC1241" s="1" t="s">
        <v>25478</v>
      </c>
      <c r="AD1241" s="6" t="s">
        <v>25479</v>
      </c>
      <c r="AE1241" s="1" t="s">
        <v>25480</v>
      </c>
      <c r="AF1241" s="1" t="s">
        <v>25455</v>
      </c>
      <c r="AG1241" s="6" t="s">
        <v>25481</v>
      </c>
      <c r="AH1241" s="1" t="s">
        <v>25455</v>
      </c>
      <c r="AI1241" s="6" t="s">
        <v>132</v>
      </c>
      <c r="AJ1241" s="6" t="s">
        <v>25482</v>
      </c>
      <c r="AK1241" s="1" t="s">
        <v>25483</v>
      </c>
      <c r="AL1241" s="6" t="s">
        <v>25484</v>
      </c>
    </row>
    <row r="1242" ht="15.75" customHeight="1">
      <c r="A1242" s="1" t="s">
        <v>127</v>
      </c>
      <c r="B1242" s="1" t="s">
        <v>25485</v>
      </c>
      <c r="C1242" s="1" t="s">
        <v>25486</v>
      </c>
      <c r="D1242" s="8" t="s">
        <v>25487</v>
      </c>
      <c r="E1242" s="1" t="s">
        <v>25488</v>
      </c>
      <c r="F1242" s="6" t="s">
        <v>132</v>
      </c>
      <c r="G1242" s="1" t="s">
        <v>25489</v>
      </c>
      <c r="H1242" s="1" t="s">
        <v>25490</v>
      </c>
      <c r="I1242" s="1" t="s">
        <v>25491</v>
      </c>
      <c r="J1242" s="6" t="s">
        <v>25492</v>
      </c>
      <c r="K1242" s="1" t="s">
        <v>25486</v>
      </c>
      <c r="L1242" s="1" t="s">
        <v>25493</v>
      </c>
      <c r="M1242" s="1" t="s">
        <v>25494</v>
      </c>
      <c r="N1242" s="6" t="s">
        <v>132</v>
      </c>
      <c r="O1242" s="6" t="s">
        <v>25495</v>
      </c>
      <c r="P1242" s="1" t="s">
        <v>10069</v>
      </c>
      <c r="Q1242" s="1" t="s">
        <v>25496</v>
      </c>
      <c r="R1242" s="1" t="s">
        <v>25486</v>
      </c>
      <c r="S1242" s="10" t="s">
        <v>10072</v>
      </c>
      <c r="T1242" s="1" t="s">
        <v>25497</v>
      </c>
      <c r="U1242" s="1" t="s">
        <v>25498</v>
      </c>
      <c r="V1242" s="1" t="s">
        <v>25496</v>
      </c>
      <c r="W1242" s="1" t="s">
        <v>25499</v>
      </c>
      <c r="X1242" s="1" t="s">
        <v>25500</v>
      </c>
      <c r="Y1242" s="1" t="s">
        <v>25501</v>
      </c>
      <c r="Z1242" s="1" t="s">
        <v>25486</v>
      </c>
      <c r="AA1242" s="1" t="s">
        <v>25502</v>
      </c>
      <c r="AB1242" s="1" t="s">
        <v>25503</v>
      </c>
      <c r="AC1242" s="1" t="s">
        <v>25504</v>
      </c>
      <c r="AD1242" s="6" t="s">
        <v>25505</v>
      </c>
      <c r="AE1242" s="1" t="s">
        <v>25506</v>
      </c>
      <c r="AF1242" s="1" t="s">
        <v>25507</v>
      </c>
      <c r="AG1242" s="6" t="s">
        <v>25508</v>
      </c>
      <c r="AH1242" s="1" t="s">
        <v>25509</v>
      </c>
      <c r="AI1242" s="6" t="s">
        <v>132</v>
      </c>
      <c r="AJ1242" s="6" t="s">
        <v>10086</v>
      </c>
      <c r="AK1242" s="1" t="s">
        <v>10087</v>
      </c>
      <c r="AL1242" s="6" t="s">
        <v>10088</v>
      </c>
    </row>
    <row r="1243" ht="15.75" hidden="1" customHeight="1">
      <c r="A1243" s="1" t="s">
        <v>38</v>
      </c>
      <c r="B1243" s="1" t="s">
        <v>25510</v>
      </c>
      <c r="C1243" s="1" t="s">
        <v>25511</v>
      </c>
      <c r="D1243" s="8" t="s">
        <v>25512</v>
      </c>
      <c r="E1243" s="1" t="s">
        <v>25513</v>
      </c>
      <c r="F1243" s="6" t="s">
        <v>25514</v>
      </c>
      <c r="G1243" s="7" t="str">
        <f>IFERROR(__xludf.DUMMYFUNCTION("GOOGLETRANSLATE(C1243, ""en"", ""cs"")"),"Žádná konektivita")</f>
        <v>Žádná konektivita</v>
      </c>
      <c r="H1243" s="7" t="str">
        <f>IFERROR(__xludf.DUMMYFUNCTION("GOOGLETRANSLATE(C1243, ""en"", ""da"")"),"Ingen tilslutning")</f>
        <v>Ingen tilslutning</v>
      </c>
      <c r="I1243" s="1" t="s">
        <v>25515</v>
      </c>
      <c r="J1243" s="6" t="s">
        <v>132</v>
      </c>
      <c r="K1243" s="1" t="s">
        <v>25516</v>
      </c>
      <c r="L1243" s="7" t="str">
        <f>IFERROR(__xludf.DUMMYFUNCTION("GOOGLETRANSLATE(C1243, ""en"", ""fi"")"),"Ei yhteyttä")</f>
        <v>Ei yhteyttä</v>
      </c>
      <c r="M1243" s="1" t="s">
        <v>25517</v>
      </c>
      <c r="N1243" s="6" t="s">
        <v>25518</v>
      </c>
      <c r="O1243" s="6" t="s">
        <v>132</v>
      </c>
      <c r="P1243" s="1" t="s">
        <v>25519</v>
      </c>
      <c r="Q1243" s="9" t="s">
        <v>25520</v>
      </c>
      <c r="R1243" s="1" t="s">
        <v>25521</v>
      </c>
      <c r="S1243" s="6" t="s">
        <v>132</v>
      </c>
      <c r="T1243" s="1" t="s">
        <v>25522</v>
      </c>
      <c r="U1243" s="1" t="s">
        <v>25523</v>
      </c>
      <c r="V1243" s="7" t="str">
        <f>IFERROR(__xludf.DUMMYFUNCTION("GOOGLETRANSLATE(C1243, ""en"", ""ms"")"),"Tiada sambungan")</f>
        <v>Tiada sambungan</v>
      </c>
      <c r="W1243" s="1" t="s">
        <v>25524</v>
      </c>
      <c r="X1243" s="7" t="str">
        <f>IFERROR(__xludf.DUMMYFUNCTION("GOOGLETRANSLATE(C1243, ""en"", ""no"")"),"Ingen tilkobling")</f>
        <v>Ingen tilkobling</v>
      </c>
      <c r="Y1243" s="1" t="s">
        <v>25525</v>
      </c>
      <c r="Z1243" s="1" t="s">
        <v>25526</v>
      </c>
      <c r="AA1243" s="7" t="str">
        <f>IFERROR(__xludf.DUMMYFUNCTION("GOOGLETRANSLATE(C1243, ""en"", ""ro"")"),"Nici o conectivitate")</f>
        <v>Nici o conectivitate</v>
      </c>
      <c r="AB1243" s="1" t="s">
        <v>25527</v>
      </c>
      <c r="AC1243" s="1" t="s">
        <v>25528</v>
      </c>
      <c r="AD1243" s="6" t="s">
        <v>132</v>
      </c>
      <c r="AE1243" s="1" t="s">
        <v>25529</v>
      </c>
      <c r="AF1243" s="1" t="s">
        <v>25530</v>
      </c>
      <c r="AG1243" s="6" t="s">
        <v>132</v>
      </c>
      <c r="AH1243" s="7" t="str">
        <f>IFERROR(__xludf.DUMMYFUNCTION("GOOGLETRANSLATE(C1243, ""en"", ""tr"")"),"Bağlantı yok")</f>
        <v>Bağlantı yok</v>
      </c>
      <c r="AI1243" s="6" t="s">
        <v>25531</v>
      </c>
      <c r="AJ1243" s="6" t="s">
        <v>25532</v>
      </c>
      <c r="AK1243" s="7" t="str">
        <f>IFERROR(__xludf.DUMMYFUNCTION("GOOGLETRANSLATE(C1243, ""en"", ""zh"")"),"没有连接")</f>
        <v>没有连接</v>
      </c>
      <c r="AL1243" s="6" t="s">
        <v>25533</v>
      </c>
    </row>
    <row r="1244" ht="15.75" hidden="1" customHeight="1">
      <c r="A1244" s="1" t="s">
        <v>38</v>
      </c>
      <c r="B1244" s="1" t="s">
        <v>25534</v>
      </c>
      <c r="C1244" s="1" t="s">
        <v>25535</v>
      </c>
      <c r="D1244" s="7" t="str">
        <f>IFERROR(__xludf.DUMMYFUNCTION("GOOGLETRANSLATE(C1244, ""en"", ""ar"")"),"حوالي٪ S.")</f>
        <v>حوالي٪ S.</v>
      </c>
      <c r="E1244" s="1" t="s">
        <v>25536</v>
      </c>
      <c r="F1244" s="6" t="s">
        <v>25537</v>
      </c>
      <c r="G1244" s="7" t="str">
        <f>IFERROR(__xludf.DUMMYFUNCTION("GOOGLETRANSLATE(C1244, ""en"", ""cs"")"),"O% S.")</f>
        <v>O% S.</v>
      </c>
      <c r="H1244" s="7" t="str">
        <f>IFERROR(__xludf.DUMMYFUNCTION("GOOGLETRANSLATE(C1244, ""en"", ""da"")"),"Omkring% S.")</f>
        <v>Omkring% S.</v>
      </c>
      <c r="I1244" s="1" t="s">
        <v>25538</v>
      </c>
      <c r="J1244" s="6" t="s">
        <v>132</v>
      </c>
      <c r="K1244" s="1" t="s">
        <v>25539</v>
      </c>
      <c r="L1244" s="7" t="str">
        <f>IFERROR(__xludf.DUMMYFUNCTION("GOOGLETRANSLATE(C1244, ""en"", ""fi"")"),"Noin% s")</f>
        <v>Noin% s</v>
      </c>
      <c r="M1244" s="7" t="str">
        <f>IFERROR(__xludf.DUMMYFUNCTION("GOOGLETRANSLATE(C1244, ""en"", ""fr"")"),"Environ% s")</f>
        <v>Environ% s</v>
      </c>
      <c r="N1244" s="6" t="s">
        <v>25539</v>
      </c>
      <c r="O1244" s="6" t="s">
        <v>132</v>
      </c>
      <c r="P1244" s="1" t="s">
        <v>25540</v>
      </c>
      <c r="Q1244" s="7" t="str">
        <f>IFERROR(__xludf.DUMMYFUNCTION("GOOGLETRANSLATE(C1244, ""en"", ""in"")"),"Tentang% S.")</f>
        <v>Tentang% S.</v>
      </c>
      <c r="R1244" s="1" t="s">
        <v>25541</v>
      </c>
      <c r="S1244" s="6" t="s">
        <v>132</v>
      </c>
      <c r="T1244" s="7" t="str">
        <f>IFERROR(__xludf.DUMMYFUNCTION("GOOGLETRANSLATE(C1244, ""en"", ""ja"")"),"約％S")</f>
        <v>約％S</v>
      </c>
      <c r="U1244" s="7" t="str">
        <f>IFERROR(__xludf.DUMMYFUNCTION("GOOGLETRANSLATE(C1244, ""en"", ""ko"")"),"약 % S.")</f>
        <v>약 % S.</v>
      </c>
      <c r="V1244" s="7" t="str">
        <f>IFERROR(__xludf.DUMMYFUNCTION("GOOGLETRANSLATE(C1244, ""en"", ""ms"")"),"Kira-kira% S.")</f>
        <v>Kira-kira% S.</v>
      </c>
      <c r="W1244" s="1" t="s">
        <v>25542</v>
      </c>
      <c r="X1244" s="7" t="str">
        <f>IFERROR(__xludf.DUMMYFUNCTION("GOOGLETRANSLATE(C1244, ""en"", ""no"")"),"Omtrent% S.")</f>
        <v>Omtrent% S.</v>
      </c>
      <c r="Y1244" s="1" t="s">
        <v>25543</v>
      </c>
      <c r="Z1244" s="7" t="str">
        <f>IFERROR(__xludf.DUMMYFUNCTION("GOOGLETRANSLATE(C1244, ""en"", ""pt"")"),"Sobre")</f>
        <v>Sobre</v>
      </c>
      <c r="AA1244" s="7" t="str">
        <f>IFERROR(__xludf.DUMMYFUNCTION("GOOGLETRANSLATE(C1244, ""en"", ""ro"")"),"Aproximativ% S.")</f>
        <v>Aproximativ% S.</v>
      </c>
      <c r="AB1244" s="7" t="str">
        <f>IFERROR(__xludf.DUMMYFUNCTION("GOOGLETRANSLATE(C1244, ""en"", ""ru"")"),"О% С.")</f>
        <v>О% С.</v>
      </c>
      <c r="AC1244" s="7" t="str">
        <f>IFERROR(__xludf.DUMMYFUNCTION("GOOGLETRANSLATE(C1244, ""en"", ""sk"")"),"O%")</f>
        <v>O%</v>
      </c>
      <c r="AD1244" s="6" t="s">
        <v>132</v>
      </c>
      <c r="AE1244" s="7" t="str">
        <f>IFERROR(__xludf.DUMMYFUNCTION("GOOGLETRANSLATE(C1244, ""en"", ""sr"")"),"Око% с")</f>
        <v>Око% с</v>
      </c>
      <c r="AF1244" s="7" t="str">
        <f>IFERROR(__xludf.DUMMYFUNCTION("GOOGLETRANSLATE(C1244, ""en"", ""sv"")"),"Om% s")</f>
        <v>Om% s</v>
      </c>
      <c r="AG1244" s="6" t="s">
        <v>132</v>
      </c>
      <c r="AH1244" s="7" t="str">
        <f>IFERROR(__xludf.DUMMYFUNCTION("GOOGLETRANSLATE(C1244, ""en"", ""tr"")"),"Hakkında")</f>
        <v>Hakkında</v>
      </c>
      <c r="AI1244" s="6" t="s">
        <v>132</v>
      </c>
      <c r="AJ1244" s="6" t="s">
        <v>132</v>
      </c>
      <c r="AK1244" s="7" t="str">
        <f>IFERROR(__xludf.DUMMYFUNCTION("GOOGLETRANSLATE(C1244, ""en"", ""zh"")"),"约％S.")</f>
        <v>约％S.</v>
      </c>
      <c r="AL1244" s="6" t="s">
        <v>132</v>
      </c>
    </row>
    <row r="1245" ht="15.75" customHeight="1">
      <c r="A1245" s="1" t="s">
        <v>127</v>
      </c>
      <c r="B1245" s="1" t="s">
        <v>25544</v>
      </c>
      <c r="C1245" s="1" t="s">
        <v>25545</v>
      </c>
      <c r="D1245" s="8" t="s">
        <v>25546</v>
      </c>
      <c r="E1245" s="1" t="s">
        <v>25547</v>
      </c>
      <c r="F1245" s="6" t="s">
        <v>132</v>
      </c>
      <c r="G1245" s="1" t="s">
        <v>25548</v>
      </c>
      <c r="H1245" s="1" t="s">
        <v>25549</v>
      </c>
      <c r="I1245" s="1" t="s">
        <v>25545</v>
      </c>
      <c r="J1245" s="6" t="s">
        <v>25550</v>
      </c>
      <c r="K1245" s="1" t="s">
        <v>25551</v>
      </c>
      <c r="L1245" s="1" t="s">
        <v>25552</v>
      </c>
      <c r="M1245" s="1" t="s">
        <v>25553</v>
      </c>
      <c r="N1245" s="6" t="s">
        <v>132</v>
      </c>
      <c r="O1245" s="6" t="s">
        <v>25554</v>
      </c>
      <c r="P1245" s="1" t="s">
        <v>25555</v>
      </c>
      <c r="Q1245" s="1" t="s">
        <v>25556</v>
      </c>
      <c r="R1245" s="1" t="s">
        <v>25545</v>
      </c>
      <c r="S1245" s="10" t="s">
        <v>25557</v>
      </c>
      <c r="T1245" s="1" t="s">
        <v>25558</v>
      </c>
      <c r="U1245" s="1" t="s">
        <v>25559</v>
      </c>
      <c r="V1245" s="1" t="s">
        <v>25560</v>
      </c>
      <c r="W1245" s="1" t="s">
        <v>25545</v>
      </c>
      <c r="X1245" s="1" t="s">
        <v>25561</v>
      </c>
      <c r="Y1245" s="1" t="s">
        <v>25548</v>
      </c>
      <c r="Z1245" s="1" t="s">
        <v>25562</v>
      </c>
      <c r="AA1245" s="1" t="s">
        <v>25563</v>
      </c>
      <c r="AB1245" s="1" t="s">
        <v>25564</v>
      </c>
      <c r="AC1245" s="1" t="s">
        <v>25565</v>
      </c>
      <c r="AD1245" s="6" t="s">
        <v>25566</v>
      </c>
      <c r="AE1245" s="1" t="s">
        <v>25545</v>
      </c>
      <c r="AF1245" s="1" t="s">
        <v>25567</v>
      </c>
      <c r="AG1245" s="6" t="s">
        <v>25568</v>
      </c>
      <c r="AH1245" s="1" t="s">
        <v>25569</v>
      </c>
      <c r="AI1245" s="6" t="s">
        <v>132</v>
      </c>
      <c r="AJ1245" s="6" t="s">
        <v>25570</v>
      </c>
      <c r="AK1245" s="1" t="s">
        <v>25571</v>
      </c>
      <c r="AL1245" s="6" t="s">
        <v>132</v>
      </c>
    </row>
    <row r="1246" ht="15.75" hidden="1" customHeight="1">
      <c r="A1246" s="1" t="s">
        <v>38</v>
      </c>
      <c r="B1246" s="1" t="s">
        <v>25572</v>
      </c>
      <c r="C1246" s="1" t="s">
        <v>25573</v>
      </c>
      <c r="D1246" s="7" t="str">
        <f>IFERROR(__xludf.DUMMYFUNCTION("GOOGLETRANSLATE(C1246, ""en"", ""ar"")"),"الهند")</f>
        <v>الهند</v>
      </c>
      <c r="E1246" s="7" t="str">
        <f>IFERROR(__xludf.DUMMYFUNCTION("GOOGLETRANSLATE(C1246, ""en"", ""bg"")"),"Индия")</f>
        <v>Индия</v>
      </c>
      <c r="F1246" s="6" t="s">
        <v>132</v>
      </c>
      <c r="G1246" s="7" t="str">
        <f>IFERROR(__xludf.DUMMYFUNCTION("GOOGLETRANSLATE(C1246, ""en"", ""cs"")"),"Indie")</f>
        <v>Indie</v>
      </c>
      <c r="H1246" s="7" t="str">
        <f>IFERROR(__xludf.DUMMYFUNCTION("GOOGLETRANSLATE(C1246, ""en"", ""da"")"),"Indien.")</f>
        <v>Indien.</v>
      </c>
      <c r="I1246" s="1" t="s">
        <v>25574</v>
      </c>
      <c r="J1246" s="6" t="s">
        <v>132</v>
      </c>
      <c r="K1246" s="1" t="s">
        <v>25573</v>
      </c>
      <c r="L1246" s="7" t="str">
        <f>IFERROR(__xludf.DUMMYFUNCTION("GOOGLETRANSLATE(C1246, ""en"", ""fi"")"),"Intia")</f>
        <v>Intia</v>
      </c>
      <c r="M1246" s="1" t="s">
        <v>25575</v>
      </c>
      <c r="N1246" s="6" t="s">
        <v>132</v>
      </c>
      <c r="O1246" s="6" t="s">
        <v>132</v>
      </c>
      <c r="P1246" s="1" t="s">
        <v>25573</v>
      </c>
      <c r="Q1246" s="7" t="str">
        <f>IFERROR(__xludf.DUMMYFUNCTION("GOOGLETRANSLATE(C1246, ""en"", ""in"")"),"India")</f>
        <v>India</v>
      </c>
      <c r="R1246" s="7" t="str">
        <f>IFERROR(__xludf.DUMMYFUNCTION("GOOGLETRANSLATE(C1246, ""en"", ""it"")"),"India")</f>
        <v>India</v>
      </c>
      <c r="S1246" s="6" t="s">
        <v>132</v>
      </c>
      <c r="T1246" s="7" t="str">
        <f>IFERROR(__xludf.DUMMYFUNCTION("GOOGLETRANSLATE(C1246, ""en"", ""ja"")"),"インド")</f>
        <v>インド</v>
      </c>
      <c r="U1246" s="7" t="str">
        <f>IFERROR(__xludf.DUMMYFUNCTION("GOOGLETRANSLATE(C1246, ""en"", ""ko"")"),"인도")</f>
        <v>인도</v>
      </c>
      <c r="V1246" s="7" t="str">
        <f>IFERROR(__xludf.DUMMYFUNCTION("GOOGLETRANSLATE(C1246, ""en"", ""ms"")"),"India")</f>
        <v>India</v>
      </c>
      <c r="W1246" s="7" t="str">
        <f>IFERROR(__xludf.DUMMYFUNCTION("GOOGLETRANSLATE(C1246, ""en"", ""nl"")"),"India")</f>
        <v>India</v>
      </c>
      <c r="X1246" s="7" t="str">
        <f>IFERROR(__xludf.DUMMYFUNCTION("GOOGLETRANSLATE(C1246, ""en"", ""no"")"),"India")</f>
        <v>India</v>
      </c>
      <c r="Y1246" s="7" t="str">
        <f>IFERROR(__xludf.DUMMYFUNCTION("GOOGLETRANSLATE(C1246, ""en"", ""pl"")"),"Indie")</f>
        <v>Indie</v>
      </c>
      <c r="Z1246" s="7" t="str">
        <f>IFERROR(__xludf.DUMMYFUNCTION("GOOGLETRANSLATE(C1246, ""en"", ""pt"")"),"Índia")</f>
        <v>Índia</v>
      </c>
      <c r="AA1246" s="7" t="str">
        <f>IFERROR(__xludf.DUMMYFUNCTION("GOOGLETRANSLATE(C1246, ""en"", ""ro"")"),"India")</f>
        <v>India</v>
      </c>
      <c r="AB1246" s="1" t="s">
        <v>25576</v>
      </c>
      <c r="AC1246" s="7" t="str">
        <f>IFERROR(__xludf.DUMMYFUNCTION("GOOGLETRANSLATE(C1246, ""en"", ""sk"")"),"India")</f>
        <v>India</v>
      </c>
      <c r="AD1246" s="6" t="s">
        <v>132</v>
      </c>
      <c r="AE1246" s="1" t="s">
        <v>25577</v>
      </c>
      <c r="AF1246" s="7" t="str">
        <f>IFERROR(__xludf.DUMMYFUNCTION("GOOGLETRANSLATE(C1246, ""en"", ""sv"")"),"Indi")</f>
        <v>Indi</v>
      </c>
      <c r="AG1246" s="6" t="s">
        <v>132</v>
      </c>
      <c r="AH1246" s="7" t="str">
        <f>IFERROR(__xludf.DUMMYFUNCTION("GOOGLETRANSLATE(C1246, ""en"", ""tr"")"),"Hindistan")</f>
        <v>Hindistan</v>
      </c>
      <c r="AI1246" s="6" t="s">
        <v>132</v>
      </c>
      <c r="AJ1246" s="6" t="s">
        <v>132</v>
      </c>
      <c r="AK1246" s="7" t="str">
        <f>IFERROR(__xludf.DUMMYFUNCTION("GOOGLETRANSLATE(C1246, ""en"", ""zh"")"),"印度")</f>
        <v>印度</v>
      </c>
      <c r="AL1246" s="6" t="s">
        <v>132</v>
      </c>
    </row>
    <row r="1247" ht="15.75" hidden="1" customHeight="1">
      <c r="A1247" s="1" t="s">
        <v>38</v>
      </c>
      <c r="B1247" s="1" t="s">
        <v>25578</v>
      </c>
      <c r="C1247" s="1" t="s">
        <v>25579</v>
      </c>
      <c r="D1247" s="7" t="str">
        <f>IFERROR(__xludf.DUMMYFUNCTION("GOOGLETRANSLATE(C1247, ""en"", ""ar"")"),"ساموا")</f>
        <v>ساموا</v>
      </c>
      <c r="E1247" s="7" t="str">
        <f>IFERROR(__xludf.DUMMYFUNCTION("GOOGLETRANSLATE(C1247, ""en"", ""bg"")"),"Самоа")</f>
        <v>Самоа</v>
      </c>
      <c r="F1247" s="6" t="s">
        <v>132</v>
      </c>
      <c r="G1247" s="7" t="str">
        <f>IFERROR(__xludf.DUMMYFUNCTION("GOOGLETRANSLATE(C1247, ""en"", ""cs"")"),"Samoa.")</f>
        <v>Samoa.</v>
      </c>
      <c r="H1247" s="7" t="str">
        <f>IFERROR(__xludf.DUMMYFUNCTION("GOOGLETRANSLATE(C1247, ""en"", ""da"")"),"Samoa.")</f>
        <v>Samoa.</v>
      </c>
      <c r="I1247" s="1" t="s">
        <v>25579</v>
      </c>
      <c r="J1247" s="6" t="s">
        <v>132</v>
      </c>
      <c r="K1247" s="1" t="s">
        <v>25579</v>
      </c>
      <c r="L1247" s="7" t="str">
        <f>IFERROR(__xludf.DUMMYFUNCTION("GOOGLETRANSLATE(C1247, ""en"", ""fi"")"),"Samoa")</f>
        <v>Samoa</v>
      </c>
      <c r="M1247" s="1" t="s">
        <v>25579</v>
      </c>
      <c r="N1247" s="6" t="s">
        <v>132</v>
      </c>
      <c r="O1247" s="6" t="s">
        <v>132</v>
      </c>
      <c r="P1247" s="1" t="s">
        <v>25579</v>
      </c>
      <c r="Q1247" s="7" t="str">
        <f>IFERROR(__xludf.DUMMYFUNCTION("GOOGLETRANSLATE(C1247, ""en"", ""in"")"),"Samoa")</f>
        <v>Samoa</v>
      </c>
      <c r="R1247" s="7" t="str">
        <f>IFERROR(__xludf.DUMMYFUNCTION("GOOGLETRANSLATE(C1247, ""en"", ""it"")"),"Samoa.")</f>
        <v>Samoa.</v>
      </c>
      <c r="S1247" s="6" t="s">
        <v>132</v>
      </c>
      <c r="T1247" s="7" t="str">
        <f>IFERROR(__xludf.DUMMYFUNCTION("GOOGLETRANSLATE(C1247, ""en"", ""ja"")"),"サモア")</f>
        <v>サモア</v>
      </c>
      <c r="U1247" s="7" t="str">
        <f>IFERROR(__xludf.DUMMYFUNCTION("GOOGLETRANSLATE(C1247, ""en"", ""ko"")"),"사모아")</f>
        <v>사모아</v>
      </c>
      <c r="V1247" s="7" t="str">
        <f>IFERROR(__xludf.DUMMYFUNCTION("GOOGLETRANSLATE(C1247, ""en"", ""ms"")"),"Samoa.")</f>
        <v>Samoa.</v>
      </c>
      <c r="W1247" s="7" t="str">
        <f>IFERROR(__xludf.DUMMYFUNCTION("GOOGLETRANSLATE(C1247, ""en"", ""nl"")"),"Samoa")</f>
        <v>Samoa</v>
      </c>
      <c r="X1247" s="7" t="str">
        <f>IFERROR(__xludf.DUMMYFUNCTION("GOOGLETRANSLATE(C1247, ""en"", ""no"")"),"Samoa.")</f>
        <v>Samoa.</v>
      </c>
      <c r="Y1247" s="7" t="str">
        <f>IFERROR(__xludf.DUMMYFUNCTION("GOOGLETRANSLATE(C1247, ""en"", ""pl"")"),"Samoa.")</f>
        <v>Samoa.</v>
      </c>
      <c r="Z1247" s="7" t="str">
        <f>IFERROR(__xludf.DUMMYFUNCTION("GOOGLETRANSLATE(C1247, ""en"", ""pt"")"),"Samoa.")</f>
        <v>Samoa.</v>
      </c>
      <c r="AA1247" s="7" t="str">
        <f>IFERROR(__xludf.DUMMYFUNCTION("GOOGLETRANSLATE(C1247, ""en"", ""ro"")"),"Samoa.")</f>
        <v>Samoa.</v>
      </c>
      <c r="AB1247" s="1" t="s">
        <v>25580</v>
      </c>
      <c r="AC1247" s="7" t="str">
        <f>IFERROR(__xludf.DUMMYFUNCTION("GOOGLETRANSLATE(C1247, ""en"", ""sk"")"),"Sama")</f>
        <v>Sama</v>
      </c>
      <c r="AD1247" s="6" t="s">
        <v>132</v>
      </c>
      <c r="AE1247" s="1" t="s">
        <v>25579</v>
      </c>
      <c r="AF1247" s="7" t="str">
        <f>IFERROR(__xludf.DUMMYFUNCTION("GOOGLETRANSLATE(C1247, ""en"", ""sv"")"),"Samoa")</f>
        <v>Samoa</v>
      </c>
      <c r="AG1247" s="6" t="s">
        <v>132</v>
      </c>
      <c r="AH1247" s="7" t="str">
        <f>IFERROR(__xludf.DUMMYFUNCTION("GOOGLETRANSLATE(C1247, ""en"", ""tr"")"),"Samoa")</f>
        <v>Samoa</v>
      </c>
      <c r="AI1247" s="6" t="s">
        <v>132</v>
      </c>
      <c r="AJ1247" s="6" t="s">
        <v>132</v>
      </c>
      <c r="AK1247" s="7" t="str">
        <f>IFERROR(__xludf.DUMMYFUNCTION("GOOGLETRANSLATE(C1247, ""en"", ""zh"")"),"萨摩亚")</f>
        <v>萨摩亚</v>
      </c>
      <c r="AL1247" s="6" t="s">
        <v>132</v>
      </c>
    </row>
    <row r="1248" ht="15.75" hidden="1" customHeight="1">
      <c r="A1248" s="1" t="s">
        <v>38</v>
      </c>
      <c r="B1248" s="1" t="s">
        <v>25581</v>
      </c>
      <c r="C1248" s="1" t="s">
        <v>25582</v>
      </c>
      <c r="D1248" s="7" t="str">
        <f>IFERROR(__xludf.DUMMYFUNCTION("GOOGLETRANSLATE(C1248, ""en"", ""ar"")"),"Tokelau.")</f>
        <v>Tokelau.</v>
      </c>
      <c r="E1248" s="7" t="str">
        <f>IFERROR(__xludf.DUMMYFUNCTION("GOOGLETRANSLATE(C1248, ""en"", ""bg"")"),"Токелау")</f>
        <v>Токелау</v>
      </c>
      <c r="F1248" s="6" t="s">
        <v>132</v>
      </c>
      <c r="G1248" s="7" t="str">
        <f>IFERROR(__xludf.DUMMYFUNCTION("GOOGLETRANSLATE(C1248, ""en"", ""cs"")"),"Tokelau.")</f>
        <v>Tokelau.</v>
      </c>
      <c r="H1248" s="7" t="str">
        <f>IFERROR(__xludf.DUMMYFUNCTION("GOOGLETRANSLATE(C1248, ""en"", ""da"")"),"Tokelau")</f>
        <v>Tokelau</v>
      </c>
      <c r="I1248" s="1" t="s">
        <v>25582</v>
      </c>
      <c r="J1248" s="6" t="s">
        <v>132</v>
      </c>
      <c r="K1248" s="1" t="s">
        <v>25582</v>
      </c>
      <c r="L1248" s="7" t="str">
        <f>IFERROR(__xludf.DUMMYFUNCTION("GOOGLETRANSLATE(C1248, ""en"", ""fi"")"),"Tokelau")</f>
        <v>Tokelau</v>
      </c>
      <c r="M1248" s="1" t="s">
        <v>25583</v>
      </c>
      <c r="N1248" s="6" t="s">
        <v>132</v>
      </c>
      <c r="O1248" s="6" t="s">
        <v>132</v>
      </c>
      <c r="P1248" s="1" t="s">
        <v>25582</v>
      </c>
      <c r="Q1248" s="7" t="str">
        <f>IFERROR(__xludf.DUMMYFUNCTION("GOOGLETRANSLATE(C1248, ""en"", ""in"")"),"Tokelau.")</f>
        <v>Tokelau.</v>
      </c>
      <c r="R1248" s="7" t="str">
        <f>IFERROR(__xludf.DUMMYFUNCTION("GOOGLETRANSLATE(C1248, ""en"", ""it"")"),"Tokelau.")</f>
        <v>Tokelau.</v>
      </c>
      <c r="S1248" s="6" t="s">
        <v>132</v>
      </c>
      <c r="T1248" s="7" t="str">
        <f>IFERROR(__xludf.DUMMYFUNCTION("GOOGLETRANSLATE(C1248, ""en"", ""ja"")"),"トークラウ")</f>
        <v>トークラウ</v>
      </c>
      <c r="U1248" s="7" t="str">
        <f>IFERROR(__xludf.DUMMYFUNCTION("GOOGLETRANSLATE(C1248, ""en"", ""ko"")"),"tokelau.")</f>
        <v>tokelau.</v>
      </c>
      <c r="V1248" s="7" t="str">
        <f>IFERROR(__xludf.DUMMYFUNCTION("GOOGLETRANSLATE(C1248, ""en"", ""ms"")"),"Tokelau.")</f>
        <v>Tokelau.</v>
      </c>
      <c r="W1248" s="7" t="str">
        <f>IFERROR(__xludf.DUMMYFUNCTION("GOOGLETRANSLATE(C1248, ""en"", ""nl"")"),"Tokelau")</f>
        <v>Tokelau</v>
      </c>
      <c r="X1248" s="7" t="str">
        <f>IFERROR(__xludf.DUMMYFUNCTION("GOOGLETRANSLATE(C1248, ""en"", ""no"")"),"Tokelau.")</f>
        <v>Tokelau.</v>
      </c>
      <c r="Y1248" s="7" t="str">
        <f>IFERROR(__xludf.DUMMYFUNCTION("GOOGLETRANSLATE(C1248, ""en"", ""pl"")"),"Tokelau.")</f>
        <v>Tokelau.</v>
      </c>
      <c r="Z1248" s="7" t="str">
        <f>IFERROR(__xludf.DUMMYFUNCTION("GOOGLETRANSLATE(C1248, ""en"", ""pt"")"),"Tokelau.")</f>
        <v>Tokelau.</v>
      </c>
      <c r="AA1248" s="7" t="str">
        <f>IFERROR(__xludf.DUMMYFUNCTION("GOOGLETRANSLATE(C1248, ""en"", ""ro"")"),"Tokelau.")</f>
        <v>Tokelau.</v>
      </c>
      <c r="AB1248" s="1" t="s">
        <v>25584</v>
      </c>
      <c r="AC1248" s="7" t="str">
        <f>IFERROR(__xludf.DUMMYFUNCTION("GOOGLETRANSLATE(C1248, ""en"", ""sk"")"),"Toklau")</f>
        <v>Toklau</v>
      </c>
      <c r="AD1248" s="6" t="s">
        <v>132</v>
      </c>
      <c r="AE1248" s="1" t="s">
        <v>25582</v>
      </c>
      <c r="AF1248" s="7" t="str">
        <f>IFERROR(__xludf.DUMMYFUNCTION("GOOGLETRANSLATE(C1248, ""en"", ""sv"")"),"Tokelau")</f>
        <v>Tokelau</v>
      </c>
      <c r="AG1248" s="6" t="s">
        <v>132</v>
      </c>
      <c r="AH1248" s="7" t="str">
        <f>IFERROR(__xludf.DUMMYFUNCTION("GOOGLETRANSLATE(C1248, ""en"", ""tr"")"),"Tokelau")</f>
        <v>Tokelau</v>
      </c>
      <c r="AI1248" s="6" t="s">
        <v>132</v>
      </c>
      <c r="AJ1248" s="6" t="s">
        <v>132</v>
      </c>
      <c r="AK1248" s="7" t="str">
        <f>IFERROR(__xludf.DUMMYFUNCTION("GOOGLETRANSLATE(C1248, ""en"", ""zh"")"),"Tokelau.")</f>
        <v>Tokelau.</v>
      </c>
      <c r="AL1248" s="6" t="s">
        <v>132</v>
      </c>
    </row>
    <row r="1249" ht="15.75" customHeight="1">
      <c r="A1249" s="1" t="s">
        <v>127</v>
      </c>
      <c r="B1249" s="1" t="s">
        <v>25585</v>
      </c>
      <c r="C1249" s="1" t="s">
        <v>25586</v>
      </c>
      <c r="D1249" s="8" t="s">
        <v>25587</v>
      </c>
      <c r="E1249" s="1" t="s">
        <v>25588</v>
      </c>
      <c r="F1249" s="6" t="s">
        <v>132</v>
      </c>
      <c r="G1249" s="1" t="s">
        <v>25589</v>
      </c>
      <c r="H1249" s="1" t="s">
        <v>25590</v>
      </c>
      <c r="I1249" s="1" t="s">
        <v>25591</v>
      </c>
      <c r="J1249" s="6" t="s">
        <v>25592</v>
      </c>
      <c r="K1249" s="1" t="s">
        <v>25593</v>
      </c>
      <c r="L1249" s="1" t="s">
        <v>25594</v>
      </c>
      <c r="M1249" s="1" t="s">
        <v>25595</v>
      </c>
      <c r="N1249" s="6" t="s">
        <v>132</v>
      </c>
      <c r="O1249" s="6" t="s">
        <v>25596</v>
      </c>
      <c r="P1249" s="1" t="s">
        <v>25597</v>
      </c>
      <c r="Q1249" s="1" t="s">
        <v>25598</v>
      </c>
      <c r="R1249" s="1" t="s">
        <v>25599</v>
      </c>
      <c r="S1249" s="10" t="s">
        <v>25600</v>
      </c>
      <c r="T1249" s="1" t="s">
        <v>25601</v>
      </c>
      <c r="U1249" s="1" t="s">
        <v>25602</v>
      </c>
      <c r="V1249" s="1" t="s">
        <v>25603</v>
      </c>
      <c r="W1249" s="1" t="s">
        <v>25604</v>
      </c>
      <c r="X1249" s="1" t="s">
        <v>25605</v>
      </c>
      <c r="Y1249" s="1" t="s">
        <v>25606</v>
      </c>
      <c r="Z1249" s="1" t="s">
        <v>25607</v>
      </c>
      <c r="AA1249" s="1" t="s">
        <v>25608</v>
      </c>
      <c r="AB1249" s="1" t="s">
        <v>25609</v>
      </c>
      <c r="AC1249" s="1" t="s">
        <v>25610</v>
      </c>
      <c r="AD1249" s="6" t="s">
        <v>25611</v>
      </c>
      <c r="AE1249" s="1" t="s">
        <v>25612</v>
      </c>
      <c r="AF1249" s="1" t="s">
        <v>25613</v>
      </c>
      <c r="AG1249" s="6" t="s">
        <v>25614</v>
      </c>
      <c r="AH1249" s="1" t="s">
        <v>25615</v>
      </c>
      <c r="AI1249" s="6" t="s">
        <v>132</v>
      </c>
      <c r="AJ1249" s="6" t="s">
        <v>25616</v>
      </c>
      <c r="AK1249" s="1" t="s">
        <v>25617</v>
      </c>
      <c r="AL1249" s="6" t="s">
        <v>25618</v>
      </c>
    </row>
    <row r="1250" ht="15.75" hidden="1" customHeight="1">
      <c r="A1250" s="1" t="s">
        <v>38</v>
      </c>
      <c r="B1250" s="1" t="s">
        <v>25619</v>
      </c>
      <c r="C1250" s="1" t="s">
        <v>25620</v>
      </c>
      <c r="D1250" s="7" t="str">
        <f>IFERROR(__xludf.DUMMYFUNCTION("GOOGLETRANSLATE(C1250, ""en"", ""ar"")"),"يتم استخدام مجموعة الإعلام هذه لعرض الإخطارات التي لا ينبغي أن تؤدي إلى أي صوت. على سبيل المثال عندما تكون نشطا على جهاز آخر (فترة سماح).")</f>
        <v>يتم استخدام مجموعة الإعلام هذه لعرض الإخطارات التي لا ينبغي أن تؤدي إلى أي صوت. على سبيل المثال عندما تكون نشطا على جهاز آخر (فترة سماح).</v>
      </c>
      <c r="E1250" s="1" t="s">
        <v>25621</v>
      </c>
      <c r="F1250" s="6" t="s">
        <v>132</v>
      </c>
      <c r="G1250" s="7" t="str">
        <f>IFERROR(__xludf.DUMMYFUNCTION("GOOGLETRANSLATE(C1250, ""en"", ""cs"")"),"Tato skupina oznámení se používá k zobrazení oznámení, která by neměla spustit žádný zvuk. Například při aktivaci na jiném zařízení (období odkladu).")</f>
        <v>Tato skupina oznámení se používá k zobrazení oznámení, která by neměla spustit žádný zvuk. Například při aktivaci na jiném zařízení (období odkladu).</v>
      </c>
      <c r="H1250" s="7" t="str">
        <f>IFERROR(__xludf.DUMMYFUNCTION("GOOGLETRANSLATE(C1250, ""en"", ""da"")"),"Denne notifikationsgruppe bruges til at vise meddelelser, der ikke bør udløse nogen lyd. For eksempel når det er aktivt på en anden enhed (grace periode).")</f>
        <v>Denne notifikationsgruppe bruges til at vise meddelelser, der ikke bør udløse nogen lyd. For eksempel når det er aktivt på en anden enhed (grace periode).</v>
      </c>
      <c r="I1250" s="1" t="s">
        <v>25622</v>
      </c>
      <c r="J1250" s="6" t="s">
        <v>132</v>
      </c>
      <c r="K1250" s="1" t="s">
        <v>25623</v>
      </c>
      <c r="L1250" s="7" t="str">
        <f>IFERROR(__xludf.DUMMYFUNCTION("GOOGLETRANSLATE(C1250, ""en"", ""fi"")"),"Tätä ilmoitustaryhmää käytetään näyttämään ilmoituksia, jotka eivät saisi laukaista mitään ääntä. Esimerkiksi kun se on aktiivinen toisella laitteella (gracejakso).")</f>
        <v>Tätä ilmoitustaryhmää käytetään näyttämään ilmoituksia, jotka eivät saisi laukaista mitään ääntä. Esimerkiksi kun se on aktiivinen toisella laitteella (gracejakso).</v>
      </c>
      <c r="M1250" s="1" t="s">
        <v>25624</v>
      </c>
      <c r="N1250" s="6" t="s">
        <v>25625</v>
      </c>
      <c r="O1250" s="6" t="s">
        <v>132</v>
      </c>
      <c r="P1250" s="1" t="s">
        <v>25626</v>
      </c>
      <c r="Q1250" s="7" t="str">
        <f>IFERROR(__xludf.DUMMYFUNCTION("GOOGLETRANSLATE(C1250, ""en"", ""in"")"),"Grup pemberitahuan ini digunakan untuk menampilkan pemberitahuan yang seharusnya tidak memicu suara. Misalnya ketika aktif di perangkat lain (masa tenggang).")</f>
        <v>Grup pemberitahuan ini digunakan untuk menampilkan pemberitahuan yang seharusnya tidak memicu suara. Misalnya ketika aktif di perangkat lain (masa tenggang).</v>
      </c>
      <c r="R1250" s="1" t="s">
        <v>25627</v>
      </c>
      <c r="S1250" s="6" t="s">
        <v>132</v>
      </c>
      <c r="T1250" s="7" t="str">
        <f>IFERROR(__xludf.DUMMYFUNCTION("GOOGLETRANSLATE(C1250, ""en"", ""ja"")"),"この通知グループは、サウンドを引き起こさないであろう通知を表示するために使用されます。たとえば、別のデバイスでアクティブになっている場合（猶予期間）。")</f>
        <v>この通知グループは、サウンドを引き起こさないであろう通知を表示するために使用されます。たとえば、別のデバイスでアクティブになっている場合（猶予期間）。</v>
      </c>
      <c r="U1250" s="7" t="str">
        <f>IFERROR(__xludf.DUMMYFUNCTION("GOOGLETRANSLATE(C1250, ""en"", ""ko"")"),"이 알림 그룹은 모든 소리를 트리거해서는 안되는 알림을 표시하는 데 사용됩니다. 예를 들어 다른 장치 (유예 기간)에서 활성화 할 때.")</f>
        <v>이 알림 그룹은 모든 소리를 트리거해서는 안되는 알림을 표시하는 데 사용됩니다. 예를 들어 다른 장치 (유예 기간)에서 활성화 할 때.</v>
      </c>
      <c r="V1250" s="7" t="str">
        <f>IFERROR(__xludf.DUMMYFUNCTION("GOOGLETRANSLATE(C1250, ""en"", ""ms"")"),"Kumpulan pemberitahuan ini digunakan untuk memaparkan pemberitahuan yang tidak boleh mencetuskan sebarang bunyi. Sebagai contoh apabila aktif pada peranti lain (tempoh tangguh).")</f>
        <v>Kumpulan pemberitahuan ini digunakan untuk memaparkan pemberitahuan yang tidak boleh mencetuskan sebarang bunyi. Sebagai contoh apabila aktif pada peranti lain (tempoh tangguh).</v>
      </c>
      <c r="W1250" s="1" t="s">
        <v>25628</v>
      </c>
      <c r="X1250" s="7" t="str">
        <f>IFERROR(__xludf.DUMMYFUNCTION("GOOGLETRANSLATE(C1250, ""en"", ""no"")"),"Denne varslingsgruppen brukes til å vise varsler som ikke bør utløse noen lyd. For eksempel når du er aktiv på en annen enhet (grace periode).")</f>
        <v>Denne varslingsgruppen brukes til å vise varsler som ikke bør utløse noen lyd. For eksempel når du er aktiv på en annen enhet (grace periode).</v>
      </c>
      <c r="Y1250" s="1" t="s">
        <v>25629</v>
      </c>
      <c r="Z1250" s="7" t="str">
        <f>IFERROR(__xludf.DUMMYFUNCTION("GOOGLETRANSLATE(C1250, ""en"", ""pt"")"),"Este grupo de notificação é usado para exibir notificações que não devem acionar nenhum som. Por exemplo, ao estar ativo em outro dispositivo (período de graça).")</f>
        <v>Este grupo de notificação é usado para exibir notificações que não devem acionar nenhum som. Por exemplo, ao estar ativo em outro dispositivo (período de graça).</v>
      </c>
      <c r="AA1250" s="7" t="str">
        <f>IFERROR(__xludf.DUMMYFUNCTION("GOOGLETRANSLATE(C1250, ""en"", ""ro"")"),"Acest grup de notificări este utilizat pentru a afișa notificări care nu ar trebui să declanșeze niciun sunet. De exemplu, atunci când sunteți activi pe un alt dispozitiv (perioada de grație).")</f>
        <v>Acest grup de notificări este utilizat pentru a afișa notificări care nu ar trebui să declanșeze niciun sunet. De exemplu, atunci când sunteți activi pe un alt dispozitiv (perioada de grație).</v>
      </c>
      <c r="AB1250" s="7" t="str">
        <f>IFERROR(__xludf.DUMMYFUNCTION("GOOGLETRANSLATE(C1250, ""en"", ""ru"")"),"Эта группа уведомлений используется для отображения уведомлений, которые не должны запускать любой звук. Например, при активном использовании на другом устройстве (льготный период).")</f>
        <v>Эта группа уведомлений используется для отображения уведомлений, которые не должны запускать любой звук. Например, при активном использовании на другом устройстве (льготный период).</v>
      </c>
      <c r="AC1250" s="7" t="str">
        <f>IFERROR(__xludf.DUMMYFUNCTION("GOOGLETRANSLATE(C1250, ""en"", ""sk"")"),"Táto skupina oznámení sa používa na zobrazenie oznámení, ktoré by nemali spustiť žiadny zvuk. Napríklad pri aktívnom na inom zariadení (obdobie Grace).")</f>
        <v>Táto skupina oznámení sa používa na zobrazenie oznámení, ktoré by nemali spustiť žiadny zvuk. Napríklad pri aktívnom na inom zariadení (obdobie Grace).</v>
      </c>
      <c r="AD1250" s="6" t="s">
        <v>132</v>
      </c>
      <c r="AE1250" s="7" t="str">
        <f>IFERROR(__xludf.DUMMYFUNCTION("GOOGLETRANSLATE(C1250, ""en"", ""sr"")"),"Ова група за нотификацију користи се за приказивање обавештења које не би требало да покрећу ниједан звук. На пример, када будете активни на другом уређају (грејс период).")</f>
        <v>Ова група за нотификацију користи се за приказивање обавештења које не би требало да покрећу ниједан звук. На пример, када будете активни на другом уређају (грејс период).</v>
      </c>
      <c r="AF1250" s="7" t="str">
        <f>IFERROR(__xludf.DUMMYFUNCTION("GOOGLETRANSLATE(C1250, ""en"", ""sv"")"),"Denna anmälningsgrupp används för att visa meddelanden som inte bör utlösa något ljud. Till exempel när du är aktiv på en annan enhet (grace period).")</f>
        <v>Denna anmälningsgrupp används för att visa meddelanden som inte bör utlösa något ljud. Till exempel när du är aktiv på en annan enhet (grace period).</v>
      </c>
      <c r="AG1250" s="6" t="s">
        <v>132</v>
      </c>
      <c r="AH1250" s="7" t="str">
        <f>IFERROR(__xludf.DUMMYFUNCTION("GOOGLETRANSLATE(C1250, ""en"", ""tr"")"),"Bu bildirim grubu, herhangi bir sesi tetiklememesi gereken bildirimleri görüntülemek için kullanılır. Örneğin, başka bir cihazda aktif olduğunda (Grace Dönemi).")</f>
        <v>Bu bildirim grubu, herhangi bir sesi tetiklememesi gereken bildirimleri görüntülemek için kullanılır. Örneğin, başka bir cihazda aktif olduğunda (Grace Dönemi).</v>
      </c>
      <c r="AI1250" s="6" t="s">
        <v>132</v>
      </c>
      <c r="AJ1250" s="6" t="s">
        <v>132</v>
      </c>
      <c r="AK1250" s="7" t="str">
        <f>IFERROR(__xludf.DUMMYFUNCTION("GOOGLETRANSLATE(C1250, ""en"", ""zh"")"),"此通知组用于显示不触发任何声音的通知。例如，在另一个设备（宽限期）上处于活动状态时。")</f>
        <v>此通知组用于显示不触发任何声音的通知。例如，在另一个设备（宽限期）上处于活动状态时。</v>
      </c>
      <c r="AL1250" s="6" t="s">
        <v>132</v>
      </c>
    </row>
    <row r="1251" ht="15.75" customHeight="1">
      <c r="A1251" s="1" t="s">
        <v>127</v>
      </c>
      <c r="B1251" s="1" t="s">
        <v>25630</v>
      </c>
      <c r="C1251" s="1" t="s">
        <v>25631</v>
      </c>
      <c r="D1251" s="8" t="s">
        <v>25632</v>
      </c>
      <c r="E1251" s="1" t="s">
        <v>25633</v>
      </c>
      <c r="F1251" s="6" t="s">
        <v>132</v>
      </c>
      <c r="G1251" s="1" t="s">
        <v>25634</v>
      </c>
      <c r="H1251" s="1" t="s">
        <v>25635</v>
      </c>
      <c r="I1251" s="1" t="s">
        <v>25636</v>
      </c>
      <c r="J1251" s="6" t="s">
        <v>25637</v>
      </c>
      <c r="K1251" s="1" t="s">
        <v>25638</v>
      </c>
      <c r="L1251" s="1" t="s">
        <v>25639</v>
      </c>
      <c r="M1251" s="1" t="s">
        <v>25640</v>
      </c>
      <c r="N1251" s="6" t="s">
        <v>132</v>
      </c>
      <c r="O1251" s="6" t="s">
        <v>25641</v>
      </c>
      <c r="P1251" s="1" t="s">
        <v>25631</v>
      </c>
      <c r="Q1251" s="1" t="s">
        <v>23291</v>
      </c>
      <c r="R1251" s="1" t="s">
        <v>20540</v>
      </c>
      <c r="S1251" s="10" t="s">
        <v>25642</v>
      </c>
      <c r="T1251" s="1" t="s">
        <v>25643</v>
      </c>
      <c r="U1251" s="1" t="s">
        <v>25644</v>
      </c>
      <c r="V1251" s="1" t="s">
        <v>23291</v>
      </c>
      <c r="W1251" s="1" t="s">
        <v>25645</v>
      </c>
      <c r="X1251" s="1" t="s">
        <v>25646</v>
      </c>
      <c r="Y1251" s="1" t="s">
        <v>20546</v>
      </c>
      <c r="Z1251" s="1" t="s">
        <v>25647</v>
      </c>
      <c r="AA1251" s="1" t="s">
        <v>25648</v>
      </c>
      <c r="AB1251" s="1" t="s">
        <v>25649</v>
      </c>
      <c r="AC1251" s="1" t="s">
        <v>25634</v>
      </c>
      <c r="AD1251" s="6" t="s">
        <v>25650</v>
      </c>
      <c r="AE1251" s="1" t="s">
        <v>25651</v>
      </c>
      <c r="AF1251" s="1" t="s">
        <v>25652</v>
      </c>
      <c r="AG1251" s="6" t="s">
        <v>25653</v>
      </c>
      <c r="AH1251" s="1" t="s">
        <v>25654</v>
      </c>
      <c r="AI1251" s="6" t="s">
        <v>132</v>
      </c>
      <c r="AJ1251" s="6" t="s">
        <v>25655</v>
      </c>
      <c r="AK1251" s="1" t="s">
        <v>25656</v>
      </c>
      <c r="AL1251" s="6" t="s">
        <v>132</v>
      </c>
    </row>
    <row r="1252" ht="15.75" hidden="1" customHeight="1">
      <c r="A1252" s="1" t="s">
        <v>38</v>
      </c>
      <c r="B1252" s="1" t="s">
        <v>25657</v>
      </c>
      <c r="C1252" s="1" t="s">
        <v>25658</v>
      </c>
      <c r="D1252" s="7" t="str">
        <f>IFERROR(__xludf.DUMMYFUNCTION("GOOGLETRANSLATE(C1252, ""en"", ""ar"")"),"لم يتم العثور على طلب لعرض الاتصال")</f>
        <v>لم يتم العثور على طلب لعرض الاتصال</v>
      </c>
      <c r="E1252" s="1" t="s">
        <v>25659</v>
      </c>
      <c r="F1252" s="6" t="s">
        <v>25660</v>
      </c>
      <c r="G1252" s="7" t="str">
        <f>IFERROR(__xludf.DUMMYFUNCTION("GOOGLETRANSLATE(C1252, ""en"", ""cs"")"),"Nebyla nalezena žádná žádost pro zobrazení kontaktu")</f>
        <v>Nebyla nalezena žádná žádost pro zobrazení kontaktu</v>
      </c>
      <c r="H1252" s="7" t="str">
        <f>IFERROR(__xludf.DUMMYFUNCTION("GOOGLETRANSLATE(C1252, ""en"", ""da"")"),"Ingen ansøgning fundet for at se kontakt")</f>
        <v>Ingen ansøgning fundet for at se kontakt</v>
      </c>
      <c r="I1252" s="1" t="s">
        <v>25661</v>
      </c>
      <c r="J1252" s="6" t="s">
        <v>132</v>
      </c>
      <c r="K1252" s="1" t="s">
        <v>25662</v>
      </c>
      <c r="L1252" s="7" t="str">
        <f>IFERROR(__xludf.DUMMYFUNCTION("GOOGLETRANSLATE(C1252, ""en"", ""fi"")"),"Sovellusta ei havaittu katsomaan yhteyttä")</f>
        <v>Sovellusta ei havaittu katsomaan yhteyttä</v>
      </c>
      <c r="M1252" s="1" t="s">
        <v>25663</v>
      </c>
      <c r="N1252" s="6" t="s">
        <v>25664</v>
      </c>
      <c r="O1252" s="6" t="s">
        <v>132</v>
      </c>
      <c r="P1252" s="1" t="s">
        <v>25665</v>
      </c>
      <c r="Q1252" s="7" t="str">
        <f>IFERROR(__xludf.DUMMYFUNCTION("GOOGLETRANSLATE(C1252, ""en"", ""in"")"),"Tidak ditemukan aplikasi untuk melihat kontak")</f>
        <v>Tidak ditemukan aplikasi untuk melihat kontak</v>
      </c>
      <c r="R1252" s="1" t="s">
        <v>25666</v>
      </c>
      <c r="S1252" s="6" t="s">
        <v>132</v>
      </c>
      <c r="T1252" s="7" t="str">
        <f>IFERROR(__xludf.DUMMYFUNCTION("GOOGLETRANSLATE(C1252, ""en"", ""ja"")"),"連絡先を表示するアプリケーションは見つかりませんでした")</f>
        <v>連絡先を表示するアプリケーションは見つかりませんでした</v>
      </c>
      <c r="U1252" s="7" t="str">
        <f>IFERROR(__xludf.DUMMYFUNCTION("GOOGLETRANSLATE(C1252, ""en"", ""ko"")"),"연락처를 볼 수있는 응용 프로그램이 없습니다")</f>
        <v>연락처를 볼 수있는 응용 프로그램이 없습니다</v>
      </c>
      <c r="V1252" s="7" t="str">
        <f>IFERROR(__xludf.DUMMYFUNCTION("GOOGLETRANSLATE(C1252, ""en"", ""ms"")"),"Tiada permohonan didapati untuk melihat kenalan")</f>
        <v>Tiada permohonan didapati untuk melihat kenalan</v>
      </c>
      <c r="W1252" s="1" t="s">
        <v>25667</v>
      </c>
      <c r="X1252" s="7" t="str">
        <f>IFERROR(__xludf.DUMMYFUNCTION("GOOGLETRANSLATE(C1252, ""en"", ""no"")"),"Ingen søknad funnet å vise kontakt")</f>
        <v>Ingen søknad funnet å vise kontakt</v>
      </c>
      <c r="Y1252" s="1" t="s">
        <v>25668</v>
      </c>
      <c r="Z1252" s="1" t="s">
        <v>25669</v>
      </c>
      <c r="AA1252" s="7" t="str">
        <f>IFERROR(__xludf.DUMMYFUNCTION("GOOGLETRANSLATE(C1252, ""en"", ""ro"")"),"Nici o aplicație găsită pentru a vizualiza contactul")</f>
        <v>Nici o aplicație găsită pentru a vizualiza contactul</v>
      </c>
      <c r="AB1252" s="1" t="s">
        <v>25670</v>
      </c>
      <c r="AC1252" s="7" t="str">
        <f>IFERROR(__xludf.DUMMYFUNCTION("GOOGLETRANSLATE(C1252, ""en"", ""sk"")"),"Žiadna aplikácia nájdená na zobrazenie kontaktu")</f>
        <v>Žiadna aplikácia nájdená na zobrazenie kontaktu</v>
      </c>
      <c r="AD1252" s="6" t="s">
        <v>132</v>
      </c>
      <c r="AE1252" s="1" t="s">
        <v>25671</v>
      </c>
      <c r="AF1252" s="7" t="str">
        <f>IFERROR(__xludf.DUMMYFUNCTION("GOOGLETRANSLATE(C1252, ""en"", ""sv"")"),"Ingen ansökan visade sig visa kontakt")</f>
        <v>Ingen ansökan visade sig visa kontakt</v>
      </c>
      <c r="AG1252" s="6" t="s">
        <v>132</v>
      </c>
      <c r="AH1252" s="7" t="str">
        <f>IFERROR(__xludf.DUMMYFUNCTION("GOOGLETRANSLATE(C1252, ""en"", ""tr"")"),"İrtibat görüntülemek için hiçbir uygulama bulunamadı")</f>
        <v>İrtibat görüntülemek için hiçbir uygulama bulunamadı</v>
      </c>
      <c r="AI1252" s="6" t="s">
        <v>132</v>
      </c>
      <c r="AJ1252" s="6" t="s">
        <v>132</v>
      </c>
      <c r="AK1252" s="7" t="str">
        <f>IFERROR(__xludf.DUMMYFUNCTION("GOOGLETRANSLATE(C1252, ""en"", ""zh"")"),"没有发现申请查看联系人")</f>
        <v>没有发现申请查看联系人</v>
      </c>
      <c r="AL1252" s="6" t="s">
        <v>132</v>
      </c>
    </row>
    <row r="1253" ht="15.75" hidden="1" customHeight="1">
      <c r="A1253" s="1" t="s">
        <v>38</v>
      </c>
      <c r="B1253" s="1" t="s">
        <v>25672</v>
      </c>
      <c r="C1253" s="1" t="s">
        <v>25673</v>
      </c>
      <c r="D1253" s="8" t="s">
        <v>25674</v>
      </c>
      <c r="E1253" s="1" t="s">
        <v>25675</v>
      </c>
      <c r="F1253" s="6" t="s">
        <v>25676</v>
      </c>
      <c r="G1253" s="7" t="str">
        <f>IFERROR(__xludf.DUMMYFUNCTION("GOOGLETRANSLATE(C1253, ""en"", ""cs"")"),"Příprava snímků pro přenos")</f>
        <v>Příprava snímků pro přenos</v>
      </c>
      <c r="H1253" s="7" t="str">
        <f>IFERROR(__xludf.DUMMYFUNCTION("GOOGLETRANSLATE(C1253, ""en"", ""da"")"),"Forbereder billeder til transmission")</f>
        <v>Forbereder billeder til transmission</v>
      </c>
      <c r="I1253" s="1" t="s">
        <v>25677</v>
      </c>
      <c r="J1253" s="6" t="s">
        <v>132</v>
      </c>
      <c r="K1253" s="1" t="s">
        <v>25678</v>
      </c>
      <c r="L1253" s="7" t="str">
        <f>IFERROR(__xludf.DUMMYFUNCTION("GOOGLETRANSLATE(C1253, ""en"", ""fi"")"),"Kuvien valmistelu lähetykseen")</f>
        <v>Kuvien valmistelu lähetykseen</v>
      </c>
      <c r="M1253" s="1" t="s">
        <v>25679</v>
      </c>
      <c r="N1253" s="6" t="s">
        <v>25680</v>
      </c>
      <c r="O1253" s="6" t="s">
        <v>132</v>
      </c>
      <c r="P1253" s="1" t="s">
        <v>25681</v>
      </c>
      <c r="Q1253" s="9" t="s">
        <v>24680</v>
      </c>
      <c r="R1253" s="1" t="s">
        <v>25682</v>
      </c>
      <c r="S1253" s="6" t="s">
        <v>132</v>
      </c>
      <c r="T1253" s="1" t="s">
        <v>24682</v>
      </c>
      <c r="U1253" s="1" t="s">
        <v>24683</v>
      </c>
      <c r="V1253" s="7" t="str">
        <f>IFERROR(__xludf.DUMMYFUNCTION("GOOGLETRANSLATE(C1253, ""en"", ""ms"")"),"Menyediakan imej untuk penghantaran")</f>
        <v>Menyediakan imej untuk penghantaran</v>
      </c>
      <c r="W1253" s="1" t="s">
        <v>25683</v>
      </c>
      <c r="X1253" s="7" t="str">
        <f>IFERROR(__xludf.DUMMYFUNCTION("GOOGLETRANSLATE(C1253, ""en"", ""no"")"),"Forbereder bilder for overføring")</f>
        <v>Forbereder bilder for overføring</v>
      </c>
      <c r="Y1253" s="1" t="s">
        <v>25684</v>
      </c>
      <c r="Z1253" s="1" t="s">
        <v>25685</v>
      </c>
      <c r="AA1253" s="7" t="str">
        <f>IFERROR(__xludf.DUMMYFUNCTION("GOOGLETRANSLATE(C1253, ""en"", ""ro"")"),"Pregătirea imaginilor pentru transmisie")</f>
        <v>Pregătirea imaginilor pentru transmisie</v>
      </c>
      <c r="AB1253" s="1" t="s">
        <v>25686</v>
      </c>
      <c r="AC1253" s="7" t="str">
        <f>IFERROR(__xludf.DUMMYFUNCTION("GOOGLETRANSLATE(C1253, ""en"", ""sk"")"),"Príprava obrázkov na prenos")</f>
        <v>Príprava obrázkov na prenos</v>
      </c>
      <c r="AD1253" s="6" t="s">
        <v>132</v>
      </c>
      <c r="AE1253" s="1" t="s">
        <v>25687</v>
      </c>
      <c r="AF1253" s="1" t="s">
        <v>25688</v>
      </c>
      <c r="AG1253" s="6" t="s">
        <v>132</v>
      </c>
      <c r="AH1253" s="7" t="str">
        <f>IFERROR(__xludf.DUMMYFUNCTION("GOOGLETRANSLATE(C1253, ""en"", ""tr"")"),"İletim için Görüntü Hazırlama")</f>
        <v>İletim için Görüntü Hazırlama</v>
      </c>
      <c r="AI1253" s="6" t="s">
        <v>25689</v>
      </c>
      <c r="AJ1253" s="6" t="s">
        <v>24692</v>
      </c>
      <c r="AK1253" s="7" t="str">
        <f>IFERROR(__xludf.DUMMYFUNCTION("GOOGLETRANSLATE(C1253, ""en"", ""zh"")"),"准备图像以进行传输")</f>
        <v>准备图像以进行传输</v>
      </c>
      <c r="AL1253" s="6" t="s">
        <v>25690</v>
      </c>
    </row>
    <row r="1254" ht="15.75" hidden="1" customHeight="1">
      <c r="A1254" s="1" t="s">
        <v>38</v>
      </c>
      <c r="B1254" s="1" t="s">
        <v>25691</v>
      </c>
      <c r="C1254" s="1" t="s">
        <v>25692</v>
      </c>
      <c r="D1254" s="8" t="s">
        <v>25693</v>
      </c>
      <c r="E1254" s="1" t="s">
        <v>25694</v>
      </c>
      <c r="F1254" s="6" t="s">
        <v>25695</v>
      </c>
      <c r="G1254" s="7" t="str">
        <f>IFERROR(__xludf.DUMMYFUNCTION("GOOGLETRANSLATE(C1254, ""en"", ""cs"")"),"Download Failed: Nelze napsat soubor")</f>
        <v>Download Failed: Nelze napsat soubor</v>
      </c>
      <c r="H1254" s="7" t="str">
        <f>IFERROR(__xludf.DUMMYFUNCTION("GOOGLETRANSLATE(C1254, ""en"", ""da"")"),"Download mislykkedes: Kunne ikke skrive filen")</f>
        <v>Download mislykkedes: Kunne ikke skrive filen</v>
      </c>
      <c r="I1254" s="1" t="s">
        <v>25696</v>
      </c>
      <c r="J1254" s="6" t="s">
        <v>132</v>
      </c>
      <c r="K1254" s="1" t="s">
        <v>25697</v>
      </c>
      <c r="L1254" s="7" t="str">
        <f>IFERROR(__xludf.DUMMYFUNCTION("GOOGLETRANSLATE(C1254, ""en"", ""fi"")"),"Lataa epäonnistui: ei voinut kirjoittaa tiedostoa")</f>
        <v>Lataa epäonnistui: ei voinut kirjoittaa tiedostoa</v>
      </c>
      <c r="M1254" s="1" t="s">
        <v>25698</v>
      </c>
      <c r="N1254" s="6" t="s">
        <v>25699</v>
      </c>
      <c r="O1254" s="6" t="s">
        <v>132</v>
      </c>
      <c r="P1254" s="1" t="s">
        <v>25700</v>
      </c>
      <c r="Q1254" s="7" t="str">
        <f>IFERROR(__xludf.DUMMYFUNCTION("GOOGLETRANSLATE(C1254, ""en"", ""in"")"),"Unduhan Gagal: Tidak dapat menulis file")</f>
        <v>Unduhan Gagal: Tidak dapat menulis file</v>
      </c>
      <c r="R1254" s="1" t="s">
        <v>25701</v>
      </c>
      <c r="S1254" s="6" t="s">
        <v>132</v>
      </c>
      <c r="T1254" s="1" t="s">
        <v>25702</v>
      </c>
      <c r="U1254" s="1" t="s">
        <v>25703</v>
      </c>
      <c r="V1254" s="7" t="str">
        <f>IFERROR(__xludf.DUMMYFUNCTION("GOOGLETRANSLATE(C1254, ""en"", ""ms"")"),"Muat turun gagal: Tidak dapat menulis fail")</f>
        <v>Muat turun gagal: Tidak dapat menulis fail</v>
      </c>
      <c r="W1254" s="1" t="s">
        <v>25704</v>
      </c>
      <c r="X1254" s="7" t="str">
        <f>IFERROR(__xludf.DUMMYFUNCTION("GOOGLETRANSLATE(C1254, ""en"", ""no"")"),"Last ned mislyktes: Kunne ikke skrive fil")</f>
        <v>Last ned mislyktes: Kunne ikke skrive fil</v>
      </c>
      <c r="Y1254" s="1" t="s">
        <v>25705</v>
      </c>
      <c r="Z1254" s="1" t="s">
        <v>25706</v>
      </c>
      <c r="AA1254" s="7" t="str">
        <f>IFERROR(__xludf.DUMMYFUNCTION("GOOGLETRANSLATE(C1254, ""en"", ""ro"")"),"Descărcarea a eșuat: nu a putut scrie fișierul")</f>
        <v>Descărcarea a eșuat: nu a putut scrie fișierul</v>
      </c>
      <c r="AB1254" s="1" t="s">
        <v>25707</v>
      </c>
      <c r="AC1254" s="7" t="str">
        <f>IFERROR(__xludf.DUMMYFUNCTION("GOOGLETRANSLATE(C1254, ""en"", ""sk"")"),"Stiahnutie zlyhalo: Nepodarilo sa zapísať súbor")</f>
        <v>Stiahnutie zlyhalo: Nepodarilo sa zapísať súbor</v>
      </c>
      <c r="AD1254" s="6" t="s">
        <v>132</v>
      </c>
      <c r="AE1254" s="1" t="s">
        <v>25708</v>
      </c>
      <c r="AF1254" s="1" t="s">
        <v>25709</v>
      </c>
      <c r="AG1254" s="6" t="s">
        <v>132</v>
      </c>
      <c r="AH1254" s="7" t="str">
        <f>IFERROR(__xludf.DUMMYFUNCTION("GOOGLETRANSLATE(C1254, ""en"", ""tr"")"),"İndirme başarısız oldu: Dosya yazamadı")</f>
        <v>İndirme başarısız oldu: Dosya yazamadı</v>
      </c>
      <c r="AI1254" s="6" t="s">
        <v>25710</v>
      </c>
      <c r="AJ1254" s="6" t="s">
        <v>132</v>
      </c>
      <c r="AK1254" s="7" t="str">
        <f>IFERROR(__xludf.DUMMYFUNCTION("GOOGLETRANSLATE(C1254, ""en"", ""zh"")"),"下载失败：无法写入文件")</f>
        <v>下载失败：无法写入文件</v>
      </c>
      <c r="AL1254" s="6" t="s">
        <v>25711</v>
      </c>
    </row>
    <row r="1255" ht="15.75" hidden="1" customHeight="1">
      <c r="A1255" s="1" t="s">
        <v>38</v>
      </c>
      <c r="B1255" s="1" t="s">
        <v>25712</v>
      </c>
      <c r="C1255" s="1" t="s">
        <v>25713</v>
      </c>
      <c r="D1255" s="8" t="s">
        <v>25714</v>
      </c>
      <c r="E1255" s="1" t="s">
        <v>25715</v>
      </c>
      <c r="F1255" s="6" t="s">
        <v>25716</v>
      </c>
      <c r="G1255" s="7" t="str">
        <f>IFERROR(__xludf.DUMMYFUNCTION("GOOGLETRANSLATE(C1255, ""en"", ""cs"")"),"Připojení U2026.")</f>
        <v>Připojení U2026.</v>
      </c>
      <c r="H1255" s="7" t="str">
        <f>IFERROR(__xludf.DUMMYFUNCTION("GOOGLETRANSLATE(C1255, ""en"", ""da"")"),"Tilslutning \ U2026.")</f>
        <v>Tilslutning \ U2026.</v>
      </c>
      <c r="I1255" s="1" t="s">
        <v>25717</v>
      </c>
      <c r="J1255" s="6" t="s">
        <v>132</v>
      </c>
      <c r="K1255" s="1" t="s">
        <v>25718</v>
      </c>
      <c r="L1255" s="7" t="str">
        <f>IFERROR(__xludf.DUMMYFUNCTION("GOOGLETRANSLATE(C1255, ""en"", ""fi"")"),"Yhdistäminen \ U2026")</f>
        <v>Yhdistäminen \ U2026</v>
      </c>
      <c r="M1255" s="1" t="s">
        <v>25719</v>
      </c>
      <c r="N1255" s="6" t="s">
        <v>25718</v>
      </c>
      <c r="O1255" s="6" t="s">
        <v>132</v>
      </c>
      <c r="P1255" s="1" t="s">
        <v>25720</v>
      </c>
      <c r="Q1255" s="9" t="s">
        <v>25721</v>
      </c>
      <c r="R1255" s="1" t="s">
        <v>25722</v>
      </c>
      <c r="S1255" s="6" t="s">
        <v>132</v>
      </c>
      <c r="T1255" s="1" t="s">
        <v>25723</v>
      </c>
      <c r="U1255" s="1" t="s">
        <v>25724</v>
      </c>
      <c r="V1255" s="7" t="str">
        <f>IFERROR(__xludf.DUMMYFUNCTION("GOOGLETRANSLATE(C1255, ""en"", ""ms"")"),"Menyambung \ u2026.")</f>
        <v>Menyambung \ u2026.</v>
      </c>
      <c r="W1255" s="1" t="s">
        <v>25725</v>
      </c>
      <c r="X1255" s="7" t="str">
        <f>IFERROR(__xludf.DUMMYFUNCTION("GOOGLETRANSLATE(C1255, ""en"", ""no"")"),"Koble til \ u2026.")</f>
        <v>Koble til \ u2026.</v>
      </c>
      <c r="Y1255" s="1" t="s">
        <v>25726</v>
      </c>
      <c r="Z1255" s="1" t="s">
        <v>25718</v>
      </c>
      <c r="AA1255" s="7" t="str">
        <f>IFERROR(__xludf.DUMMYFUNCTION("GOOGLETRANSLATE(C1255, ""en"", ""ro"")"),"Conectarea \ U2026.")</f>
        <v>Conectarea \ U2026.</v>
      </c>
      <c r="AB1255" s="1" t="s">
        <v>25727</v>
      </c>
      <c r="AC1255" s="1" t="s">
        <v>25728</v>
      </c>
      <c r="AD1255" s="6" t="s">
        <v>132</v>
      </c>
      <c r="AE1255" s="1" t="s">
        <v>25729</v>
      </c>
      <c r="AF1255" s="1" t="s">
        <v>25730</v>
      </c>
      <c r="AG1255" s="6" t="s">
        <v>132</v>
      </c>
      <c r="AH1255" s="7" t="str">
        <f>IFERROR(__xludf.DUMMYFUNCTION("GOOGLETRANSLATE(C1255, ""en"", ""tr"")"),"Bağlantı \ u2026")</f>
        <v>Bağlantı \ u2026</v>
      </c>
      <c r="AI1255" s="6" t="s">
        <v>25731</v>
      </c>
      <c r="AJ1255" s="6" t="s">
        <v>25732</v>
      </c>
      <c r="AK1255" s="7" t="str">
        <f>IFERROR(__xludf.DUMMYFUNCTION("GOOGLETRANSLATE(C1255, ""en"", ""zh"")"),"连接\ u2026.")</f>
        <v>连接\ u2026.</v>
      </c>
      <c r="AL1255" s="6" t="s">
        <v>25733</v>
      </c>
    </row>
    <row r="1256" ht="15.75" hidden="1" customHeight="1">
      <c r="A1256" s="1" t="s">
        <v>38</v>
      </c>
      <c r="B1256" s="1" t="s">
        <v>25734</v>
      </c>
      <c r="C1256" s="1" t="s">
        <v>25735</v>
      </c>
      <c r="D1256" s="7" t="str">
        <f>IFERROR(__xludf.DUMMYFUNCTION("GOOGLETRANSLATE(C1256, ""en"", ""ar"")"),"حدث خطأ ما في معالجة طلبك.")</f>
        <v>حدث خطأ ما في معالجة طلبك.</v>
      </c>
      <c r="E1256" s="1" t="s">
        <v>25736</v>
      </c>
      <c r="F1256" s="6" t="s">
        <v>132</v>
      </c>
      <c r="G1256" s="7" t="str">
        <f>IFERROR(__xludf.DUMMYFUNCTION("GOOGLETRANSLATE(C1256, ""en"", ""cs"")"),"Něco se pokazilo zpracování vašeho požadavku.")</f>
        <v>Něco se pokazilo zpracování vašeho požadavku.</v>
      </c>
      <c r="H1256" s="7" t="str">
        <f>IFERROR(__xludf.DUMMYFUNCTION("GOOGLETRANSLATE(C1256, ""en"", ""da"")"),"Noget gik galt behandling af din anmodning.")</f>
        <v>Noget gik galt behandling af din anmodning.</v>
      </c>
      <c r="I1256" s="1" t="s">
        <v>25737</v>
      </c>
      <c r="J1256" s="6" t="s">
        <v>132</v>
      </c>
      <c r="K1256" s="1" t="s">
        <v>25738</v>
      </c>
      <c r="L1256" s="7" t="str">
        <f>IFERROR(__xludf.DUMMYFUNCTION("GOOGLETRANSLATE(C1256, ""en"", ""fi"")"),"Jotain meni pieleen käsittelyyn pyyntösi.")</f>
        <v>Jotain meni pieleen käsittelyyn pyyntösi.</v>
      </c>
      <c r="M1256" s="7" t="str">
        <f>IFERROR(__xludf.DUMMYFUNCTION("GOOGLETRANSLATE(C1256, ""en"", ""fr"")"),"Quelque chose a mal tourné le traitement de votre demande.")</f>
        <v>Quelque chose a mal tourné le traitement de votre demande.</v>
      </c>
      <c r="N1256" s="6" t="s">
        <v>25739</v>
      </c>
      <c r="O1256" s="6" t="s">
        <v>132</v>
      </c>
      <c r="P1256" s="1" t="s">
        <v>25740</v>
      </c>
      <c r="Q1256" s="7" t="str">
        <f>IFERROR(__xludf.DUMMYFUNCTION("GOOGLETRANSLATE(C1256, ""en"", ""in"")"),"Ada yang salah memproses permintaan Anda.")</f>
        <v>Ada yang salah memproses permintaan Anda.</v>
      </c>
      <c r="R1256" s="1" t="s">
        <v>25741</v>
      </c>
      <c r="S1256" s="6" t="s">
        <v>132</v>
      </c>
      <c r="T1256" s="1" t="s">
        <v>25742</v>
      </c>
      <c r="U1256" s="7" t="str">
        <f>IFERROR(__xludf.DUMMYFUNCTION("GOOGLETRANSLATE(C1256, ""en"", ""ko"")"),"귀하의 요청을 처리하는 것 뭔가 잘못되었습니다.")</f>
        <v>귀하의 요청을 처리하는 것 뭔가 잘못되었습니다.</v>
      </c>
      <c r="V1256" s="7" t="str">
        <f>IFERROR(__xludf.DUMMYFUNCTION("GOOGLETRANSLATE(C1256, ""en"", ""ms"")"),"Sesuatu yang salah memproses permintaan anda.")</f>
        <v>Sesuatu yang salah memproses permintaan anda.</v>
      </c>
      <c r="W1256" s="1" t="s">
        <v>25743</v>
      </c>
      <c r="X1256" s="7" t="str">
        <f>IFERROR(__xludf.DUMMYFUNCTION("GOOGLETRANSLATE(C1256, ""en"", ""no"")"),"Noe gikk galt å behandle forespørselen din.")</f>
        <v>Noe gikk galt å behandle forespørselen din.</v>
      </c>
      <c r="Y1256" s="1" t="s">
        <v>25744</v>
      </c>
      <c r="Z1256" s="7" t="str">
        <f>IFERROR(__xludf.DUMMYFUNCTION("GOOGLETRANSLATE(C1256, ""en"", ""pt"")"),"Algo deu errado processando sua solicitação.")</f>
        <v>Algo deu errado processando sua solicitação.</v>
      </c>
      <c r="AA1256" s="7" t="str">
        <f>IFERROR(__xludf.DUMMYFUNCTION("GOOGLETRANSLATE(C1256, ""en"", ""ro"")"),"Ceva a mers prost procesând cererea dvs.")</f>
        <v>Ceva a mers prost procesând cererea dvs.</v>
      </c>
      <c r="AB1256" s="7" t="str">
        <f>IFERROR(__xludf.DUMMYFUNCTION("GOOGLETRANSLATE(C1256, ""en"", ""ru"")"),"Что-то пошло не так, обработает ваш запрос.")</f>
        <v>Что-то пошло не так, обработает ваш запрос.</v>
      </c>
      <c r="AC1256" s="7" t="str">
        <f>IFERROR(__xludf.DUMMYFUNCTION("GOOGLETRANSLATE(C1256, ""en"", ""sk"")"),"Niečo pokazilo spracovanie vašej žiadosti.")</f>
        <v>Niečo pokazilo spracovanie vašej žiadosti.</v>
      </c>
      <c r="AD1256" s="6" t="s">
        <v>132</v>
      </c>
      <c r="AE1256" s="7" t="str">
        <f>IFERROR(__xludf.DUMMYFUNCTION("GOOGLETRANSLATE(C1256, ""en"", ""sr"")"),"Нешто је пошло по злу да обрађује ваш захтев.")</f>
        <v>Нешто је пошло по злу да обрађује ваш захтев.</v>
      </c>
      <c r="AF1256" s="7" t="str">
        <f>IFERROR(__xludf.DUMMYFUNCTION("GOOGLETRANSLATE(C1256, ""en"", ""sv"")"),"Något gick fel bearbeta din förfrågan.")</f>
        <v>Något gick fel bearbeta din förfrågan.</v>
      </c>
      <c r="AG1256" s="6" t="s">
        <v>132</v>
      </c>
      <c r="AH1256" s="7" t="str">
        <f>IFERROR(__xludf.DUMMYFUNCTION("GOOGLETRANSLATE(C1256, ""en"", ""tr"")"),"İsteğinizin işlenmesi yanlış gitti.")</f>
        <v>İsteğinizin işlenmesi yanlış gitti.</v>
      </c>
      <c r="AI1256" s="6" t="s">
        <v>132</v>
      </c>
      <c r="AJ1256" s="6" t="s">
        <v>132</v>
      </c>
      <c r="AK1256" s="7" t="str">
        <f>IFERROR(__xludf.DUMMYFUNCTION("GOOGLETRANSLATE(C1256, ""en"", ""zh"")"),"处理您的请求时出现了问题。")</f>
        <v>处理您的请求时出现了问题。</v>
      </c>
      <c r="AL1256" s="6" t="s">
        <v>132</v>
      </c>
    </row>
    <row r="1257" ht="15.75" customHeight="1">
      <c r="A1257" s="1" t="s">
        <v>127</v>
      </c>
      <c r="B1257" s="1" t="s">
        <v>25745</v>
      </c>
      <c r="C1257" s="1" t="s">
        <v>25746</v>
      </c>
      <c r="D1257" s="8" t="s">
        <v>25747</v>
      </c>
      <c r="E1257" s="1" t="s">
        <v>25748</v>
      </c>
      <c r="F1257" s="6" t="s">
        <v>132</v>
      </c>
      <c r="G1257" s="1" t="s">
        <v>25749</v>
      </c>
      <c r="H1257" s="1" t="s">
        <v>25750</v>
      </c>
      <c r="I1257" s="1" t="s">
        <v>25751</v>
      </c>
      <c r="J1257" s="6" t="s">
        <v>25752</v>
      </c>
      <c r="K1257" s="1" t="s">
        <v>25753</v>
      </c>
      <c r="L1257" s="1" t="s">
        <v>17800</v>
      </c>
      <c r="M1257" s="1" t="s">
        <v>6991</v>
      </c>
      <c r="N1257" s="6" t="s">
        <v>132</v>
      </c>
      <c r="O1257" s="6" t="s">
        <v>25754</v>
      </c>
      <c r="P1257" s="1" t="s">
        <v>25755</v>
      </c>
      <c r="Q1257" s="1" t="s">
        <v>25746</v>
      </c>
      <c r="R1257" s="1" t="s">
        <v>25756</v>
      </c>
      <c r="S1257" s="10" t="s">
        <v>25757</v>
      </c>
      <c r="T1257" s="1" t="s">
        <v>16447</v>
      </c>
      <c r="U1257" s="1" t="s">
        <v>25758</v>
      </c>
      <c r="V1257" s="1" t="s">
        <v>25759</v>
      </c>
      <c r="W1257" s="1" t="s">
        <v>25760</v>
      </c>
      <c r="X1257" s="1" t="s">
        <v>25761</v>
      </c>
      <c r="Y1257" s="1" t="s">
        <v>25762</v>
      </c>
      <c r="Z1257" s="1" t="s">
        <v>25753</v>
      </c>
      <c r="AA1257" s="1" t="s">
        <v>25763</v>
      </c>
      <c r="AB1257" s="1" t="s">
        <v>25764</v>
      </c>
      <c r="AC1257" s="1" t="s">
        <v>25765</v>
      </c>
      <c r="AD1257" s="6" t="s">
        <v>25766</v>
      </c>
      <c r="AE1257" s="1" t="s">
        <v>25767</v>
      </c>
      <c r="AF1257" s="1" t="s">
        <v>25768</v>
      </c>
      <c r="AG1257" s="6" t="s">
        <v>25769</v>
      </c>
      <c r="AH1257" s="1" t="s">
        <v>25770</v>
      </c>
      <c r="AI1257" s="6" t="s">
        <v>132</v>
      </c>
      <c r="AJ1257" s="6" t="s">
        <v>25771</v>
      </c>
      <c r="AK1257" s="1" t="s">
        <v>25772</v>
      </c>
      <c r="AL1257" s="6" t="s">
        <v>25773</v>
      </c>
    </row>
    <row r="1258" ht="15.75" customHeight="1">
      <c r="A1258" s="1" t="s">
        <v>127</v>
      </c>
      <c r="B1258" s="1" t="s">
        <v>25774</v>
      </c>
      <c r="C1258" s="1" t="s">
        <v>25775</v>
      </c>
      <c r="D1258" s="8" t="s">
        <v>25776</v>
      </c>
      <c r="E1258" s="1" t="s">
        <v>25777</v>
      </c>
      <c r="F1258" s="6" t="s">
        <v>132</v>
      </c>
      <c r="G1258" s="1" t="s">
        <v>25778</v>
      </c>
      <c r="H1258" s="1" t="s">
        <v>25779</v>
      </c>
      <c r="I1258" s="1" t="s">
        <v>25780</v>
      </c>
      <c r="J1258" s="6" t="s">
        <v>25781</v>
      </c>
      <c r="K1258" s="1" t="s">
        <v>25782</v>
      </c>
      <c r="L1258" s="1" t="s">
        <v>25783</v>
      </c>
      <c r="M1258" s="1" t="s">
        <v>25784</v>
      </c>
      <c r="N1258" s="6" t="s">
        <v>132</v>
      </c>
      <c r="O1258" s="6" t="s">
        <v>25785</v>
      </c>
      <c r="P1258" s="1" t="s">
        <v>25786</v>
      </c>
      <c r="Q1258" s="1" t="s">
        <v>25787</v>
      </c>
      <c r="R1258" s="1" t="s">
        <v>25788</v>
      </c>
      <c r="S1258" s="10" t="s">
        <v>25789</v>
      </c>
      <c r="T1258" s="1" t="s">
        <v>25790</v>
      </c>
      <c r="U1258" s="1" t="s">
        <v>25791</v>
      </c>
      <c r="V1258" s="1" t="s">
        <v>25792</v>
      </c>
      <c r="W1258" s="1" t="s">
        <v>25793</v>
      </c>
      <c r="X1258" s="1" t="s">
        <v>25794</v>
      </c>
      <c r="Y1258" s="1" t="s">
        <v>25795</v>
      </c>
      <c r="Z1258" s="1" t="s">
        <v>25796</v>
      </c>
      <c r="AA1258" s="1" t="s">
        <v>25797</v>
      </c>
      <c r="AB1258" s="1" t="s">
        <v>25798</v>
      </c>
      <c r="AC1258" s="1" t="s">
        <v>25799</v>
      </c>
      <c r="AD1258" s="6" t="s">
        <v>25800</v>
      </c>
      <c r="AE1258" s="1" t="s">
        <v>25801</v>
      </c>
      <c r="AF1258" s="1" t="s">
        <v>25802</v>
      </c>
      <c r="AG1258" s="6" t="s">
        <v>25803</v>
      </c>
      <c r="AH1258" s="1" t="s">
        <v>25804</v>
      </c>
      <c r="AI1258" s="6" t="s">
        <v>132</v>
      </c>
      <c r="AJ1258" s="6" t="s">
        <v>25805</v>
      </c>
      <c r="AK1258" s="1" t="s">
        <v>25806</v>
      </c>
      <c r="AL1258" s="6" t="s">
        <v>132</v>
      </c>
    </row>
    <row r="1259" ht="15.75" hidden="1" customHeight="1">
      <c r="A1259" s="1" t="s">
        <v>38</v>
      </c>
      <c r="B1259" s="1" t="s">
        <v>25807</v>
      </c>
      <c r="C1259" s="1" t="s">
        <v>25808</v>
      </c>
      <c r="D1259" s="7" t="str">
        <f>IFERROR(__xludf.DUMMYFUNCTION("GOOGLETRANSLATE(C1259, ""en"", ""ar"")"),"مستخدم محضور")</f>
        <v>مستخدم محضور</v>
      </c>
      <c r="E1259" s="7" t="str">
        <f>IFERROR(__xludf.DUMMYFUNCTION("GOOGLETRANSLATE(C1259, ""en"", ""bg"")"),"Блок потребител")</f>
        <v>Блок потребител</v>
      </c>
      <c r="F1259" s="6" t="s">
        <v>132</v>
      </c>
      <c r="G1259" s="7" t="str">
        <f>IFERROR(__xludf.DUMMYFUNCTION("GOOGLETRANSLATE(C1259, ""en"", ""cs"")"),"Zablokovat uživatele")</f>
        <v>Zablokovat uživatele</v>
      </c>
      <c r="H1259" s="7" t="str">
        <f>IFERROR(__xludf.DUMMYFUNCTION("GOOGLETRANSLATE(C1259, ""en"", ""da"")"),"Bloker bruger")</f>
        <v>Bloker bruger</v>
      </c>
      <c r="I1259" s="1" t="s">
        <v>25809</v>
      </c>
      <c r="J1259" s="6" t="s">
        <v>132</v>
      </c>
      <c r="K1259" s="1" t="s">
        <v>25810</v>
      </c>
      <c r="L1259" s="7" t="str">
        <f>IFERROR(__xludf.DUMMYFUNCTION("GOOGLETRANSLATE(C1259, ""en"", ""fi"")"),"Estä käyttäjä")</f>
        <v>Estä käyttäjä</v>
      </c>
      <c r="M1259" s="1" t="s">
        <v>25811</v>
      </c>
      <c r="N1259" s="6" t="s">
        <v>132</v>
      </c>
      <c r="O1259" s="6" t="s">
        <v>132</v>
      </c>
      <c r="P1259" s="1" t="s">
        <v>25812</v>
      </c>
      <c r="Q1259" s="7" t="str">
        <f>IFERROR(__xludf.DUMMYFUNCTION("GOOGLETRANSLATE(C1259, ""en"", ""in"")"),"Blokir Pengguna")</f>
        <v>Blokir Pengguna</v>
      </c>
      <c r="R1259" s="7" t="str">
        <f>IFERROR(__xludf.DUMMYFUNCTION("GOOGLETRANSLATE(C1259, ""en"", ""it"")"),"Blocca utente")</f>
        <v>Blocca utente</v>
      </c>
      <c r="S1259" s="6" t="s">
        <v>132</v>
      </c>
      <c r="T1259" s="7" t="str">
        <f>IFERROR(__xludf.DUMMYFUNCTION("GOOGLETRANSLATE(C1259, ""en"", ""ja"")"),"ユーザをブロックする")</f>
        <v>ユーザをブロックする</v>
      </c>
      <c r="U1259" s="7" t="str">
        <f>IFERROR(__xludf.DUMMYFUNCTION("GOOGLETRANSLATE(C1259, ""en"", ""ko"")"),"사용자를 차단합니다")</f>
        <v>사용자를 차단합니다</v>
      </c>
      <c r="V1259" s="7" t="str">
        <f>IFERROR(__xludf.DUMMYFUNCTION("GOOGLETRANSLATE(C1259, ""en"", ""ms"")"),"Blok pengguna")</f>
        <v>Blok pengguna</v>
      </c>
      <c r="W1259" s="7" t="str">
        <f>IFERROR(__xludf.DUMMYFUNCTION("GOOGLETRANSLATE(C1259, ""en"", ""nl"")"),"Blokkeer gebruiker")</f>
        <v>Blokkeer gebruiker</v>
      </c>
      <c r="X1259" s="7" t="str">
        <f>IFERROR(__xludf.DUMMYFUNCTION("GOOGLETRANSLATE(C1259, ""en"", ""no"")"),"Blokker bruker")</f>
        <v>Blokker bruker</v>
      </c>
      <c r="Y1259" s="7" t="str">
        <f>IFERROR(__xludf.DUMMYFUNCTION("GOOGLETRANSLATE(C1259, ""en"", ""pl"")"),"Zablokować użytkownika")</f>
        <v>Zablokować użytkownika</v>
      </c>
      <c r="Z1259" s="7" t="str">
        <f>IFERROR(__xludf.DUMMYFUNCTION("GOOGLETRANSLATE(C1259, ""en"", ""pt"")"),"Bloquear usuário")</f>
        <v>Bloquear usuário</v>
      </c>
      <c r="AA1259" s="7" t="str">
        <f>IFERROR(__xludf.DUMMYFUNCTION("GOOGLETRANSLATE(C1259, ""en"", ""ro"")"),"Blocați utilizatorul")</f>
        <v>Blocați utilizatorul</v>
      </c>
      <c r="AB1259" s="1" t="s">
        <v>25813</v>
      </c>
      <c r="AC1259" s="7" t="str">
        <f>IFERROR(__xludf.DUMMYFUNCTION("GOOGLETRANSLATE(C1259, ""en"", ""sk"")"),"Blokovať používateľa")</f>
        <v>Blokovať používateľa</v>
      </c>
      <c r="AD1259" s="6" t="s">
        <v>132</v>
      </c>
      <c r="AE1259" s="1" t="s">
        <v>25814</v>
      </c>
      <c r="AF1259" s="7" t="str">
        <f>IFERROR(__xludf.DUMMYFUNCTION("GOOGLETRANSLATE(C1259, ""en"", ""sv"")"),"Blockera användare")</f>
        <v>Blockera användare</v>
      </c>
      <c r="AG1259" s="6" t="s">
        <v>132</v>
      </c>
      <c r="AH1259" s="7" t="str">
        <f>IFERROR(__xludf.DUMMYFUNCTION("GOOGLETRANSLATE(C1259, ""en"", ""tr"")"),"Kullanıcıyı engelle")</f>
        <v>Kullanıcıyı engelle</v>
      </c>
      <c r="AI1259" s="6" t="s">
        <v>132</v>
      </c>
      <c r="AJ1259" s="6" t="s">
        <v>132</v>
      </c>
      <c r="AK1259" s="7" t="str">
        <f>IFERROR(__xludf.DUMMYFUNCTION("GOOGLETRANSLATE(C1259, ""en"", ""zh"")"),"阻止用户")</f>
        <v>阻止用户</v>
      </c>
      <c r="AL1259" s="6" t="s">
        <v>132</v>
      </c>
    </row>
    <row r="1260" ht="15.75" hidden="1" customHeight="1">
      <c r="A1260" s="1" t="s">
        <v>38</v>
      </c>
      <c r="B1260" s="1" t="s">
        <v>25815</v>
      </c>
      <c r="C1260" s="1" t="s">
        <v>25816</v>
      </c>
      <c r="D1260" s="8" t="s">
        <v>25817</v>
      </c>
      <c r="E1260" s="1" t="s">
        <v>25818</v>
      </c>
      <c r="F1260" s="6" t="s">
        <v>25819</v>
      </c>
      <c r="G1260" s="7" t="str">
        <f>IFERROR(__xludf.DUMMYFUNCTION("GOOGLETRANSLATE(C1260, ""en"", ""cs"")"),"Odpověď")</f>
        <v>Odpověď</v>
      </c>
      <c r="H1260" s="7" t="str">
        <f>IFERROR(__xludf.DUMMYFUNCTION("GOOGLETRANSLATE(C1260, ""en"", ""da"")"),"Svar")</f>
        <v>Svar</v>
      </c>
      <c r="I1260" s="1" t="s">
        <v>25820</v>
      </c>
      <c r="J1260" s="6" t="s">
        <v>132</v>
      </c>
      <c r="K1260" s="1" t="s">
        <v>25821</v>
      </c>
      <c r="L1260" s="7" t="str">
        <f>IFERROR(__xludf.DUMMYFUNCTION("GOOGLETRANSLATE(C1260, ""en"", ""fi"")"),"Vastaa")</f>
        <v>Vastaa</v>
      </c>
      <c r="M1260" s="1" t="s">
        <v>25822</v>
      </c>
      <c r="N1260" s="6" t="s">
        <v>25823</v>
      </c>
      <c r="O1260" s="6" t="s">
        <v>132</v>
      </c>
      <c r="P1260" s="1" t="s">
        <v>25824</v>
      </c>
      <c r="Q1260" s="7" t="str">
        <f>IFERROR(__xludf.DUMMYFUNCTION("GOOGLETRANSLATE(C1260, ""en"", ""in"")"),"Balasan")</f>
        <v>Balasan</v>
      </c>
      <c r="R1260" s="1" t="s">
        <v>25825</v>
      </c>
      <c r="S1260" s="6" t="s">
        <v>132</v>
      </c>
      <c r="T1260" s="1" t="s">
        <v>25826</v>
      </c>
      <c r="U1260" s="7" t="str">
        <f>IFERROR(__xludf.DUMMYFUNCTION("GOOGLETRANSLATE(C1260, ""en"", ""ko"")"),"댓글")</f>
        <v>댓글</v>
      </c>
      <c r="V1260" s="7" t="str">
        <f>IFERROR(__xludf.DUMMYFUNCTION("GOOGLETRANSLATE(C1260, ""en"", ""ms"")"),"Balas")</f>
        <v>Balas</v>
      </c>
      <c r="W1260" s="1" t="s">
        <v>25827</v>
      </c>
      <c r="X1260" s="7" t="str">
        <f>IFERROR(__xludf.DUMMYFUNCTION("GOOGLETRANSLATE(C1260, ""en"", ""no"")"),"Svare")</f>
        <v>Svare</v>
      </c>
      <c r="Y1260" s="1" t="s">
        <v>25828</v>
      </c>
      <c r="Z1260" s="1" t="s">
        <v>25821</v>
      </c>
      <c r="AA1260" s="7" t="str">
        <f>IFERROR(__xludf.DUMMYFUNCTION("GOOGLETRANSLATE(C1260, ""en"", ""ro"")"),"Răspuns")</f>
        <v>Răspuns</v>
      </c>
      <c r="AB1260" s="1" t="s">
        <v>25829</v>
      </c>
      <c r="AC1260" s="7" t="str">
        <f>IFERROR(__xludf.DUMMYFUNCTION("GOOGLETRANSLATE(C1260, ""en"", ""sk"")"),"Odpovedať")</f>
        <v>Odpovedať</v>
      </c>
      <c r="AD1260" s="6" t="s">
        <v>132</v>
      </c>
      <c r="AE1260" s="1" t="s">
        <v>25830</v>
      </c>
      <c r="AF1260" s="7" t="str">
        <f>IFERROR(__xludf.DUMMYFUNCTION("GOOGLETRANSLATE(C1260, ""en"", ""sv"")"),"Svar")</f>
        <v>Svar</v>
      </c>
      <c r="AG1260" s="6" t="s">
        <v>132</v>
      </c>
      <c r="AH1260" s="7" t="str">
        <f>IFERROR(__xludf.DUMMYFUNCTION("GOOGLETRANSLATE(C1260, ""en"", ""tr"")"),"Cevap vermek")</f>
        <v>Cevap vermek</v>
      </c>
      <c r="AI1260" s="6" t="s">
        <v>132</v>
      </c>
      <c r="AJ1260" s="6" t="s">
        <v>132</v>
      </c>
      <c r="AK1260" s="7" t="str">
        <f>IFERROR(__xludf.DUMMYFUNCTION("GOOGLETRANSLATE(C1260, ""en"", ""zh"")"),"回复")</f>
        <v>回复</v>
      </c>
      <c r="AL1260" s="6" t="s">
        <v>132</v>
      </c>
    </row>
    <row r="1261" ht="15.75" customHeight="1">
      <c r="A1261" s="1" t="s">
        <v>127</v>
      </c>
      <c r="B1261" s="1" t="s">
        <v>25831</v>
      </c>
      <c r="C1261" s="1" t="s">
        <v>25832</v>
      </c>
      <c r="D1261" s="8" t="s">
        <v>25833</v>
      </c>
      <c r="E1261" s="1" t="s">
        <v>25834</v>
      </c>
      <c r="F1261" s="6" t="s">
        <v>132</v>
      </c>
      <c r="G1261" s="1" t="s">
        <v>25835</v>
      </c>
      <c r="H1261" s="1" t="s">
        <v>25836</v>
      </c>
      <c r="I1261" s="1" t="s">
        <v>25837</v>
      </c>
      <c r="J1261" s="6" t="s">
        <v>25838</v>
      </c>
      <c r="K1261" s="1" t="s">
        <v>25839</v>
      </c>
      <c r="L1261" s="1" t="s">
        <v>25840</v>
      </c>
      <c r="M1261" s="1" t="s">
        <v>25841</v>
      </c>
      <c r="N1261" s="6" t="s">
        <v>132</v>
      </c>
      <c r="O1261" s="6" t="s">
        <v>25842</v>
      </c>
      <c r="P1261" s="1" t="s">
        <v>25843</v>
      </c>
      <c r="Q1261" s="1" t="s">
        <v>25844</v>
      </c>
      <c r="R1261" s="1" t="s">
        <v>25845</v>
      </c>
      <c r="S1261" s="10" t="s">
        <v>25846</v>
      </c>
      <c r="T1261" s="1" t="s">
        <v>25847</v>
      </c>
      <c r="U1261" s="1" t="s">
        <v>25848</v>
      </c>
      <c r="V1261" s="1" t="s">
        <v>25844</v>
      </c>
      <c r="W1261" s="1" t="s">
        <v>25849</v>
      </c>
      <c r="X1261" s="1" t="s">
        <v>25850</v>
      </c>
      <c r="Y1261" s="1" t="s">
        <v>25851</v>
      </c>
      <c r="Z1261" s="1" t="s">
        <v>25852</v>
      </c>
      <c r="AA1261" s="1" t="s">
        <v>25853</v>
      </c>
      <c r="AB1261" s="1" t="s">
        <v>25854</v>
      </c>
      <c r="AC1261" s="1" t="s">
        <v>25855</v>
      </c>
      <c r="AD1261" s="6" t="s">
        <v>25856</v>
      </c>
      <c r="AE1261" s="1" t="s">
        <v>25856</v>
      </c>
      <c r="AF1261" s="1" t="s">
        <v>25837</v>
      </c>
      <c r="AG1261" s="6" t="s">
        <v>25857</v>
      </c>
      <c r="AH1261" s="1" t="s">
        <v>25858</v>
      </c>
      <c r="AI1261" s="6" t="s">
        <v>132</v>
      </c>
      <c r="AJ1261" s="6" t="s">
        <v>25859</v>
      </c>
      <c r="AK1261" s="1" t="s">
        <v>25860</v>
      </c>
      <c r="AL1261" s="6" t="s">
        <v>132</v>
      </c>
    </row>
    <row r="1262" ht="15.75" customHeight="1">
      <c r="A1262" s="1" t="s">
        <v>127</v>
      </c>
      <c r="B1262" s="1" t="s">
        <v>25861</v>
      </c>
      <c r="C1262" s="1" t="s">
        <v>25862</v>
      </c>
      <c r="D1262" s="8" t="s">
        <v>25863</v>
      </c>
      <c r="E1262" s="1" t="s">
        <v>25864</v>
      </c>
      <c r="F1262" s="6" t="s">
        <v>132</v>
      </c>
      <c r="G1262" s="1" t="s">
        <v>25865</v>
      </c>
      <c r="H1262" s="1" t="s">
        <v>25866</v>
      </c>
      <c r="I1262" s="1" t="s">
        <v>25867</v>
      </c>
      <c r="J1262" s="6" t="s">
        <v>25868</v>
      </c>
      <c r="K1262" s="1" t="s">
        <v>25869</v>
      </c>
      <c r="L1262" s="1" t="s">
        <v>25870</v>
      </c>
      <c r="M1262" s="1" t="s">
        <v>25871</v>
      </c>
      <c r="N1262" s="6" t="s">
        <v>132</v>
      </c>
      <c r="O1262" s="6" t="s">
        <v>25872</v>
      </c>
      <c r="P1262" s="1" t="s">
        <v>25873</v>
      </c>
      <c r="Q1262" s="1" t="s">
        <v>25874</v>
      </c>
      <c r="R1262" s="1" t="s">
        <v>25875</v>
      </c>
      <c r="S1262" s="10" t="s">
        <v>25876</v>
      </c>
      <c r="T1262" s="1" t="s">
        <v>25877</v>
      </c>
      <c r="U1262" s="1" t="s">
        <v>25878</v>
      </c>
      <c r="V1262" s="1" t="s">
        <v>25879</v>
      </c>
      <c r="W1262" s="1" t="s">
        <v>25880</v>
      </c>
      <c r="X1262" s="1" t="s">
        <v>25881</v>
      </c>
      <c r="Y1262" s="1" t="s">
        <v>25866</v>
      </c>
      <c r="Z1262" s="1" t="s">
        <v>25882</v>
      </c>
      <c r="AA1262" s="1" t="s">
        <v>25866</v>
      </c>
      <c r="AB1262" s="1" t="s">
        <v>25864</v>
      </c>
      <c r="AC1262" s="1" t="s">
        <v>25883</v>
      </c>
      <c r="AD1262" s="6" t="s">
        <v>25884</v>
      </c>
      <c r="AE1262" s="1" t="s">
        <v>25885</v>
      </c>
      <c r="AF1262" s="1" t="s">
        <v>25866</v>
      </c>
      <c r="AG1262" s="6" t="s">
        <v>25886</v>
      </c>
      <c r="AH1262" s="1" t="s">
        <v>25887</v>
      </c>
      <c r="AI1262" s="6" t="s">
        <v>132</v>
      </c>
      <c r="AJ1262" s="6" t="s">
        <v>25888</v>
      </c>
      <c r="AK1262" s="1" t="s">
        <v>25889</v>
      </c>
      <c r="AL1262" s="6" t="s">
        <v>25890</v>
      </c>
    </row>
    <row r="1263" ht="15.75" customHeight="1">
      <c r="A1263" s="1" t="s">
        <v>127</v>
      </c>
      <c r="B1263" s="1" t="s">
        <v>25891</v>
      </c>
      <c r="C1263" s="1" t="s">
        <v>25892</v>
      </c>
      <c r="D1263" s="8" t="s">
        <v>25893</v>
      </c>
      <c r="E1263" s="1" t="s">
        <v>25894</v>
      </c>
      <c r="F1263" s="6" t="s">
        <v>132</v>
      </c>
      <c r="G1263" s="1" t="s">
        <v>25895</v>
      </c>
      <c r="H1263" s="1" t="s">
        <v>25896</v>
      </c>
      <c r="I1263" s="1" t="s">
        <v>25897</v>
      </c>
      <c r="J1263" s="6" t="s">
        <v>25898</v>
      </c>
      <c r="K1263" s="1" t="s">
        <v>25899</v>
      </c>
      <c r="L1263" s="1" t="s">
        <v>25900</v>
      </c>
      <c r="M1263" s="1" t="s">
        <v>25901</v>
      </c>
      <c r="N1263" s="6" t="s">
        <v>132</v>
      </c>
      <c r="O1263" s="6" t="s">
        <v>25902</v>
      </c>
      <c r="P1263" s="1" t="s">
        <v>25892</v>
      </c>
      <c r="Q1263" s="1" t="s">
        <v>25903</v>
      </c>
      <c r="R1263" s="1" t="s">
        <v>25904</v>
      </c>
      <c r="S1263" s="10" t="s">
        <v>25905</v>
      </c>
      <c r="T1263" s="1" t="s">
        <v>25906</v>
      </c>
      <c r="U1263" s="1" t="s">
        <v>25907</v>
      </c>
      <c r="V1263" s="1" t="s">
        <v>25903</v>
      </c>
      <c r="W1263" s="1" t="s">
        <v>25908</v>
      </c>
      <c r="X1263" s="1" t="s">
        <v>25909</v>
      </c>
      <c r="Y1263" s="1" t="s">
        <v>25910</v>
      </c>
      <c r="Z1263" s="1" t="s">
        <v>25911</v>
      </c>
      <c r="AA1263" s="1" t="s">
        <v>25912</v>
      </c>
      <c r="AB1263" s="1" t="s">
        <v>25913</v>
      </c>
      <c r="AC1263" s="1" t="s">
        <v>25914</v>
      </c>
      <c r="AD1263" s="6" t="s">
        <v>25915</v>
      </c>
      <c r="AE1263" s="1" t="s">
        <v>25916</v>
      </c>
      <c r="AF1263" s="1" t="s">
        <v>25917</v>
      </c>
      <c r="AG1263" s="6" t="s">
        <v>25918</v>
      </c>
      <c r="AH1263" s="1" t="s">
        <v>25919</v>
      </c>
      <c r="AI1263" s="6" t="s">
        <v>132</v>
      </c>
      <c r="AJ1263" s="6" t="s">
        <v>25920</v>
      </c>
      <c r="AK1263" s="1" t="s">
        <v>25921</v>
      </c>
      <c r="AL1263" s="6" t="s">
        <v>132</v>
      </c>
    </row>
    <row r="1264" ht="15.75" hidden="1" customHeight="1">
      <c r="A1264" s="1" t="s">
        <v>38</v>
      </c>
      <c r="B1264" s="1" t="s">
        <v>25922</v>
      </c>
      <c r="C1264" s="1" t="s">
        <v>25923</v>
      </c>
      <c r="D1264" s="8" t="s">
        <v>25924</v>
      </c>
      <c r="E1264" s="1" t="s">
        <v>25925</v>
      </c>
      <c r="F1264" s="6" t="s">
        <v>25926</v>
      </c>
      <c r="G1264" s="7" t="str">
        <f>IFERROR(__xludf.DUMMYFUNCTION("GOOGLETRANSLATE(C1264, ""en"", ""cs"")"),"Vaše full Jabber ID bude:% s")</f>
        <v>Vaše full Jabber ID bude:% s</v>
      </c>
      <c r="H1264" s="7" t="str">
        <f>IFERROR(__xludf.DUMMYFUNCTION("GOOGLETRANSLATE(C1264, ""en"", ""da"")"),"Dit fulde Jabber ID vil være:% s")</f>
        <v>Dit fulde Jabber ID vil være:% s</v>
      </c>
      <c r="I1264" s="1" t="s">
        <v>25927</v>
      </c>
      <c r="J1264" s="6" t="s">
        <v>132</v>
      </c>
      <c r="K1264" s="1" t="s">
        <v>25928</v>
      </c>
      <c r="L1264" s="7" t="str">
        <f>IFERROR(__xludf.DUMMYFUNCTION("GOOGLETRANSLATE(C1264, ""en"", ""fi"")"),"Koko jabber-tunnus on:% s")</f>
        <v>Koko jabber-tunnus on:% s</v>
      </c>
      <c r="M1264" s="1" t="s">
        <v>25929</v>
      </c>
      <c r="N1264" s="6" t="s">
        <v>25930</v>
      </c>
      <c r="O1264" s="6" t="s">
        <v>132</v>
      </c>
      <c r="P1264" s="1" t="s">
        <v>25931</v>
      </c>
      <c r="Q1264" s="9" t="s">
        <v>25932</v>
      </c>
      <c r="R1264" s="1" t="s">
        <v>25933</v>
      </c>
      <c r="S1264" s="6" t="s">
        <v>132</v>
      </c>
      <c r="T1264" s="1" t="s">
        <v>25934</v>
      </c>
      <c r="U1264" s="1" t="s">
        <v>25935</v>
      </c>
      <c r="V1264" s="7" t="str">
        <f>IFERROR(__xludf.DUMMYFUNCTION("GOOGLETRANSLATE(C1264, ""en"", ""ms"")"),"ID Jabber penuh anda akan menjadi:% s")</f>
        <v>ID Jabber penuh anda akan menjadi:% s</v>
      </c>
      <c r="W1264" s="1" t="s">
        <v>25936</v>
      </c>
      <c r="X1264" s="7" t="str">
        <f>IFERROR(__xludf.DUMMYFUNCTION("GOOGLETRANSLATE(C1264, ""en"", ""no"")"),"Din Full Jabber ID vil være:% s")</f>
        <v>Din Full Jabber ID vil være:% s</v>
      </c>
      <c r="Y1264" s="1" t="s">
        <v>25937</v>
      </c>
      <c r="Z1264" s="1" t="s">
        <v>25938</v>
      </c>
      <c r="AA1264" s="7" t="str">
        <f>IFERROR(__xludf.DUMMYFUNCTION("GOOGLETRANSLATE(C1264, ""en"", ""ro"")"),"ID-ul tău plin de jabber va fi:% s")</f>
        <v>ID-ul tău plin de jabber va fi:% s</v>
      </c>
      <c r="AB1264" s="1" t="s">
        <v>25939</v>
      </c>
      <c r="AC1264" s="7" t="str">
        <f>IFERROR(__xludf.DUMMYFUNCTION("GOOGLETRANSLATE(C1264, ""en"", ""sk"")"),"Vaše ID jabber bude:% s")</f>
        <v>Vaše ID jabber bude:% s</v>
      </c>
      <c r="AD1264" s="6" t="s">
        <v>132</v>
      </c>
      <c r="AE1264" s="1" t="s">
        <v>25940</v>
      </c>
      <c r="AF1264" s="1" t="s">
        <v>25941</v>
      </c>
      <c r="AG1264" s="6" t="s">
        <v>132</v>
      </c>
      <c r="AH1264" s="13" t="s">
        <v>25942</v>
      </c>
      <c r="AI1264" s="6" t="s">
        <v>25943</v>
      </c>
      <c r="AJ1264" s="6" t="s">
        <v>132</v>
      </c>
      <c r="AK1264" s="7" t="str">
        <f>IFERROR(__xludf.DUMMYFUNCTION("GOOGLETRANSLATE(C1264, ""en"", ""zh"")"),"您的完整jabber ID将是：％s")</f>
        <v>您的完整jabber ID将是：％s</v>
      </c>
      <c r="AL1264" s="6" t="s">
        <v>25944</v>
      </c>
    </row>
    <row r="1265" ht="15.75" customHeight="1">
      <c r="A1265" s="1" t="s">
        <v>127</v>
      </c>
      <c r="B1265" s="1" t="s">
        <v>25945</v>
      </c>
      <c r="C1265" s="1" t="s">
        <v>2236</v>
      </c>
      <c r="D1265" s="8" t="s">
        <v>2237</v>
      </c>
      <c r="E1265" s="1" t="s">
        <v>2238</v>
      </c>
      <c r="F1265" s="6" t="s">
        <v>132</v>
      </c>
      <c r="G1265" s="1" t="s">
        <v>25946</v>
      </c>
      <c r="H1265" s="1" t="s">
        <v>25947</v>
      </c>
      <c r="I1265" s="1" t="s">
        <v>2240</v>
      </c>
      <c r="J1265" s="6" t="s">
        <v>25948</v>
      </c>
      <c r="K1265" s="1" t="s">
        <v>2241</v>
      </c>
      <c r="L1265" s="1" t="s">
        <v>25949</v>
      </c>
      <c r="M1265" s="1" t="s">
        <v>2242</v>
      </c>
      <c r="N1265" s="6" t="s">
        <v>132</v>
      </c>
      <c r="O1265" s="6" t="s">
        <v>25950</v>
      </c>
      <c r="P1265" s="1" t="s">
        <v>2244</v>
      </c>
      <c r="Q1265" s="1" t="s">
        <v>2245</v>
      </c>
      <c r="R1265" s="1" t="s">
        <v>2246</v>
      </c>
      <c r="S1265" s="10" t="s">
        <v>25951</v>
      </c>
      <c r="T1265" s="1" t="s">
        <v>2247</v>
      </c>
      <c r="U1265" s="1" t="s">
        <v>2248</v>
      </c>
      <c r="V1265" s="1" t="s">
        <v>2245</v>
      </c>
      <c r="W1265" s="1" t="s">
        <v>2249</v>
      </c>
      <c r="X1265" s="1" t="s">
        <v>25952</v>
      </c>
      <c r="Y1265" s="1" t="s">
        <v>25953</v>
      </c>
      <c r="Z1265" s="1" t="s">
        <v>11504</v>
      </c>
      <c r="AA1265" s="1" t="s">
        <v>25954</v>
      </c>
      <c r="AB1265" s="1" t="s">
        <v>2238</v>
      </c>
      <c r="AC1265" s="1" t="s">
        <v>25946</v>
      </c>
      <c r="AD1265" s="6" t="s">
        <v>25955</v>
      </c>
      <c r="AE1265" s="13" t="s">
        <v>5125</v>
      </c>
      <c r="AF1265" s="1" t="s">
        <v>25956</v>
      </c>
      <c r="AG1265" s="6" t="s">
        <v>25957</v>
      </c>
      <c r="AH1265" s="1" t="s">
        <v>25958</v>
      </c>
      <c r="AI1265" s="6" t="s">
        <v>132</v>
      </c>
      <c r="AJ1265" s="6" t="s">
        <v>2255</v>
      </c>
      <c r="AK1265" s="1" t="s">
        <v>2256</v>
      </c>
      <c r="AL1265" s="6" t="s">
        <v>25959</v>
      </c>
    </row>
    <row r="1266" ht="15.75" hidden="1" customHeight="1">
      <c r="A1266" s="1" t="s">
        <v>38</v>
      </c>
      <c r="B1266" s="1" t="s">
        <v>25960</v>
      </c>
      <c r="C1266" s="1" t="s">
        <v>25961</v>
      </c>
      <c r="D1266" s="8" t="s">
        <v>25962</v>
      </c>
      <c r="E1266" s="1" t="s">
        <v>25963</v>
      </c>
      <c r="F1266" s="6" t="s">
        <v>25964</v>
      </c>
      <c r="G1266" s="7" t="str">
        <f>IFERROR(__xludf.DUMMYFUNCTION("GOOGLETRANSLATE(C1266, ""en"", ""cs"")"),"Odeslat nyní")</f>
        <v>Odeslat nyní</v>
      </c>
      <c r="H1266" s="7" t="str">
        <f>IFERROR(__xludf.DUMMYFUNCTION("GOOGLETRANSLATE(C1266, ""en"", ""da"")"),"Send nu")</f>
        <v>Send nu</v>
      </c>
      <c r="I1266" s="1" t="s">
        <v>25965</v>
      </c>
      <c r="J1266" s="6" t="s">
        <v>132</v>
      </c>
      <c r="K1266" s="1" t="s">
        <v>25966</v>
      </c>
      <c r="L1266" s="7" t="str">
        <f>IFERROR(__xludf.DUMMYFUNCTION("GOOGLETRANSLATE(C1266, ""en"", ""fi"")"),"Lähetä nyt")</f>
        <v>Lähetä nyt</v>
      </c>
      <c r="M1266" s="1" t="s">
        <v>18801</v>
      </c>
      <c r="N1266" s="6" t="s">
        <v>25967</v>
      </c>
      <c r="O1266" s="6" t="s">
        <v>132</v>
      </c>
      <c r="P1266" s="1" t="s">
        <v>25968</v>
      </c>
      <c r="Q1266" s="9" t="s">
        <v>25969</v>
      </c>
      <c r="R1266" s="1" t="s">
        <v>25970</v>
      </c>
      <c r="S1266" s="6" t="s">
        <v>132</v>
      </c>
      <c r="T1266" s="1" t="s">
        <v>25971</v>
      </c>
      <c r="U1266" s="1" t="s">
        <v>25972</v>
      </c>
      <c r="V1266" s="7" t="str">
        <f>IFERROR(__xludf.DUMMYFUNCTION("GOOGLETRANSLATE(C1266, ""en"", ""ms"")"),"Hantar sekarang")</f>
        <v>Hantar sekarang</v>
      </c>
      <c r="W1266" s="1" t="s">
        <v>25973</v>
      </c>
      <c r="X1266" s="7" t="str">
        <f>IFERROR(__xludf.DUMMYFUNCTION("GOOGLETRANSLATE(C1266, ""en"", ""no"")"),"Send nå")</f>
        <v>Send nå</v>
      </c>
      <c r="Y1266" s="1" t="s">
        <v>25974</v>
      </c>
      <c r="Z1266" s="1" t="s">
        <v>25967</v>
      </c>
      <c r="AA1266" s="7" t="str">
        <f>IFERROR(__xludf.DUMMYFUNCTION("GOOGLETRANSLATE(C1266, ""en"", ""ro"")"),"Trimite acum")</f>
        <v>Trimite acum</v>
      </c>
      <c r="AB1266" s="1" t="s">
        <v>25975</v>
      </c>
      <c r="AC1266" s="1" t="s">
        <v>25976</v>
      </c>
      <c r="AD1266" s="6" t="s">
        <v>132</v>
      </c>
      <c r="AE1266" s="1" t="s">
        <v>25977</v>
      </c>
      <c r="AF1266" s="1" t="s">
        <v>25978</v>
      </c>
      <c r="AG1266" s="6" t="s">
        <v>132</v>
      </c>
      <c r="AH1266" s="7" t="str">
        <f>IFERROR(__xludf.DUMMYFUNCTION("GOOGLETRANSLATE(C1266, ""en"", ""tr"")"),"Şimdi gönder")</f>
        <v>Şimdi gönder</v>
      </c>
      <c r="AI1266" s="6" t="s">
        <v>25979</v>
      </c>
      <c r="AJ1266" s="6" t="s">
        <v>25980</v>
      </c>
      <c r="AK1266" s="7" t="str">
        <f>IFERROR(__xludf.DUMMYFUNCTION("GOOGLETRANSLATE(C1266, ""en"", ""zh"")"),"立即发送")</f>
        <v>立即发送</v>
      </c>
      <c r="AL1266" s="6" t="s">
        <v>25981</v>
      </c>
    </row>
    <row r="1267" ht="15.75" customHeight="1">
      <c r="A1267" s="1" t="s">
        <v>127</v>
      </c>
      <c r="B1267" s="1" t="s">
        <v>25982</v>
      </c>
      <c r="C1267" s="1" t="s">
        <v>25983</v>
      </c>
      <c r="D1267" s="8" t="s">
        <v>25984</v>
      </c>
      <c r="E1267" s="1" t="s">
        <v>25985</v>
      </c>
      <c r="F1267" s="6" t="s">
        <v>132</v>
      </c>
      <c r="G1267" s="1" t="s">
        <v>25986</v>
      </c>
      <c r="H1267" s="1" t="s">
        <v>25987</v>
      </c>
      <c r="I1267" s="1" t="s">
        <v>25988</v>
      </c>
      <c r="J1267" s="6" t="s">
        <v>25989</v>
      </c>
      <c r="K1267" s="1" t="s">
        <v>25990</v>
      </c>
      <c r="L1267" s="1" t="s">
        <v>25991</v>
      </c>
      <c r="M1267" s="1" t="s">
        <v>25992</v>
      </c>
      <c r="N1267" s="6" t="s">
        <v>132</v>
      </c>
      <c r="O1267" s="6" t="s">
        <v>25993</v>
      </c>
      <c r="P1267" s="1" t="s">
        <v>25994</v>
      </c>
      <c r="Q1267" s="1" t="s">
        <v>25995</v>
      </c>
      <c r="R1267" s="1" t="s">
        <v>25996</v>
      </c>
      <c r="S1267" s="10" t="s">
        <v>25997</v>
      </c>
      <c r="T1267" s="1" t="s">
        <v>25998</v>
      </c>
      <c r="U1267" s="1" t="s">
        <v>25999</v>
      </c>
      <c r="V1267" s="1" t="s">
        <v>26000</v>
      </c>
      <c r="W1267" s="1" t="s">
        <v>26001</v>
      </c>
      <c r="X1267" s="1" t="s">
        <v>26002</v>
      </c>
      <c r="Y1267" s="1" t="s">
        <v>26003</v>
      </c>
      <c r="Z1267" s="1" t="s">
        <v>26004</v>
      </c>
      <c r="AA1267" s="1" t="s">
        <v>26005</v>
      </c>
      <c r="AB1267" s="1" t="s">
        <v>26006</v>
      </c>
      <c r="AC1267" s="1" t="s">
        <v>26007</v>
      </c>
      <c r="AD1267" s="6" t="s">
        <v>26008</v>
      </c>
      <c r="AE1267" s="1" t="s">
        <v>26008</v>
      </c>
      <c r="AF1267" s="1" t="s">
        <v>26009</v>
      </c>
      <c r="AG1267" s="6" t="s">
        <v>26010</v>
      </c>
      <c r="AH1267" s="1" t="s">
        <v>26011</v>
      </c>
      <c r="AI1267" s="6" t="s">
        <v>132</v>
      </c>
      <c r="AJ1267" s="6" t="s">
        <v>26012</v>
      </c>
      <c r="AK1267" s="1" t="s">
        <v>4617</v>
      </c>
      <c r="AL1267" s="6" t="s">
        <v>26013</v>
      </c>
    </row>
    <row r="1268" ht="15.75" hidden="1" customHeight="1">
      <c r="A1268" s="1" t="s">
        <v>38</v>
      </c>
      <c r="B1268" s="1" t="s">
        <v>26014</v>
      </c>
      <c r="C1268" s="1" t="s">
        <v>26015</v>
      </c>
      <c r="D1268" s="7" t="str">
        <f>IFERROR(__xludf.DUMMYFUNCTION("GOOGLETRANSLATE(C1268, ""en"", ""ar"")"),"ميكرونيزيا، ولايات الفيدرذ")</f>
        <v>ميكرونيزيا، ولايات الفيدرذ</v>
      </c>
      <c r="E1268" s="7" t="str">
        <f>IFERROR(__xludf.DUMMYFUNCTION("GOOGLETRANSLATE(C1268, ""en"", ""bg"")"),"Микронезия, федерални състояния")</f>
        <v>Микронезия, федерални състояния</v>
      </c>
      <c r="F1268" s="6" t="s">
        <v>132</v>
      </c>
      <c r="G1268" s="7" t="str">
        <f>IFERROR(__xludf.DUMMYFUNCTION("GOOGLETRANSLATE(C1268, ""en"", ""cs"")"),"Mikronésie, federativní stavy")</f>
        <v>Mikronésie, federativní stavy</v>
      </c>
      <c r="H1268" s="7" t="str">
        <f>IFERROR(__xludf.DUMMYFUNCTION("GOOGLETRANSLATE(C1268, ""en"", ""da"")"),"Micronesia, fødererede stater af")</f>
        <v>Micronesia, fødererede stater af</v>
      </c>
      <c r="I1268" s="1" t="s">
        <v>26016</v>
      </c>
      <c r="J1268" s="6" t="s">
        <v>132</v>
      </c>
      <c r="K1268" s="1" t="s">
        <v>26017</v>
      </c>
      <c r="L1268" s="7" t="str">
        <f>IFERROR(__xludf.DUMMYFUNCTION("GOOGLETRANSLATE(C1268, ""en"", ""fi"")"),"Mikronesia, liittovaltiot")</f>
        <v>Mikronesia, liittovaltiot</v>
      </c>
      <c r="M1268" s="1" t="s">
        <v>26018</v>
      </c>
      <c r="N1268" s="6" t="s">
        <v>132</v>
      </c>
      <c r="O1268" s="6" t="s">
        <v>132</v>
      </c>
      <c r="P1268" s="1" t="s">
        <v>26015</v>
      </c>
      <c r="Q1268" s="7" t="str">
        <f>IFERROR(__xludf.DUMMYFUNCTION("GOOGLETRANSLATE(C1268, ""en"", ""in"")"),"Mikronesia, negara federasi")</f>
        <v>Mikronesia, negara federasi</v>
      </c>
      <c r="R1268" s="7" t="str">
        <f>IFERROR(__xludf.DUMMYFUNCTION("GOOGLETRANSLATE(C1268, ""en"", ""it"")"),"Micronesia, Stati federati di")</f>
        <v>Micronesia, Stati federati di</v>
      </c>
      <c r="S1268" s="6" t="s">
        <v>132</v>
      </c>
      <c r="T1268" s="7" t="str">
        <f>IFERROR(__xludf.DUMMYFUNCTION("GOOGLETRANSLATE(C1268, ""en"", ""ja"")"),"ミクロネシア、の連合国家")</f>
        <v>ミクロネシア、の連合国家</v>
      </c>
      <c r="U1268" s="7" t="str">
        <f>IFERROR(__xludf.DUMMYFUNCTION("GOOGLETRANSLATE(C1268, ""en"", ""ko"")"),"미크로네시아, 연합 국가")</f>
        <v>미크로네시아, 연합 국가</v>
      </c>
      <c r="V1268" s="7" t="str">
        <f>IFERROR(__xludf.DUMMYFUNCTION("GOOGLETRANSLATE(C1268, ""en"", ""ms"")"),"Micronesia, Negara Persekutuan")</f>
        <v>Micronesia, Negara Persekutuan</v>
      </c>
      <c r="W1268" s="7" t="str">
        <f>IFERROR(__xludf.DUMMYFUNCTION("GOOGLETRANSLATE(C1268, ""en"", ""nl"")"),"Micronesië, federale staten van")</f>
        <v>Micronesië, federale staten van</v>
      </c>
      <c r="X1268" s="7" t="str">
        <f>IFERROR(__xludf.DUMMYFUNCTION("GOOGLETRANSLATE(C1268, ""en"", ""no"")"),"Mikronesia, føderte stater av")</f>
        <v>Mikronesia, føderte stater av</v>
      </c>
      <c r="Y1268" s="7" t="str">
        <f>IFERROR(__xludf.DUMMYFUNCTION("GOOGLETRANSLATE(C1268, ""en"", ""pl"")"),"Mikronezja, stany stowarzyszone")</f>
        <v>Mikronezja, stany stowarzyszone</v>
      </c>
      <c r="Z1268" s="7" t="str">
        <f>IFERROR(__xludf.DUMMYFUNCTION("GOOGLETRANSLATE(C1268, ""en"", ""pt"")"),"Micronésia, estados federados de")</f>
        <v>Micronésia, estados federados de</v>
      </c>
      <c r="AA1268" s="7" t="str">
        <f>IFERROR(__xludf.DUMMYFUNCTION("GOOGLETRANSLATE(C1268, ""en"", ""ro"")"),"Micronesia, state federate")</f>
        <v>Micronesia, state federate</v>
      </c>
      <c r="AB1268" s="1" t="s">
        <v>26019</v>
      </c>
      <c r="AC1268" s="7" t="str">
        <f>IFERROR(__xludf.DUMMYFUNCTION("GOOGLETRANSLATE(C1268, ""en"", ""sk"")"),"Mikronézia, federatívne štáty")</f>
        <v>Mikronézia, federatívne štáty</v>
      </c>
      <c r="AD1268" s="6" t="s">
        <v>132</v>
      </c>
      <c r="AE1268" s="1" t="s">
        <v>26020</v>
      </c>
      <c r="AF1268" s="7" t="str">
        <f>IFERROR(__xludf.DUMMYFUNCTION("GOOGLETRANSLATE(C1268, ""en"", ""sv"")"),"Mikronesien, federerade stater av")</f>
        <v>Mikronesien, federerade stater av</v>
      </c>
      <c r="AG1268" s="6" t="s">
        <v>132</v>
      </c>
      <c r="AH1268" s="7" t="str">
        <f>IFERROR(__xludf.DUMMYFUNCTION("GOOGLETRANSLATE(C1268, ""en"", ""tr"")"),"Mikronezya, Federal Devletler")</f>
        <v>Mikronezya, Federal Devletler</v>
      </c>
      <c r="AI1268" s="6" t="s">
        <v>132</v>
      </c>
      <c r="AJ1268" s="6" t="s">
        <v>132</v>
      </c>
      <c r="AK1268" s="7" t="str">
        <f>IFERROR(__xludf.DUMMYFUNCTION("GOOGLETRANSLATE(C1268, ""en"", ""zh"")"),"密克罗尼西亚，联邦州")</f>
        <v>密克罗尼西亚，联邦州</v>
      </c>
      <c r="AL1268" s="6" t="s">
        <v>132</v>
      </c>
    </row>
    <row r="1269" ht="15.75" hidden="1" customHeight="1">
      <c r="A1269" s="1" t="s">
        <v>38</v>
      </c>
      <c r="B1269" s="1" t="s">
        <v>26021</v>
      </c>
      <c r="C1269" s="1" t="s">
        <v>26022</v>
      </c>
      <c r="D1269" s="7" t="str">
        <f>IFERROR(__xludf.DUMMYFUNCTION("GOOGLETRANSLATE(C1269, ""en"", ""ar"")"),"غير قادر على بدء التسجيل")</f>
        <v>غير قادر على بدء التسجيل</v>
      </c>
      <c r="E1269" s="1" t="s">
        <v>26023</v>
      </c>
      <c r="F1269" s="6" t="s">
        <v>26024</v>
      </c>
      <c r="G1269" s="7" t="str">
        <f>IFERROR(__xludf.DUMMYFUNCTION("GOOGLETRANSLATE(C1269, ""en"", ""cs"")"),"Nelze začít nahrávat")</f>
        <v>Nelze začít nahrávat</v>
      </c>
      <c r="H1269" s="7" t="str">
        <f>IFERROR(__xludf.DUMMYFUNCTION("GOOGLETRANSLATE(C1269, ""en"", ""da"")"),"Kan ikke starte optagelsen")</f>
        <v>Kan ikke starte optagelsen</v>
      </c>
      <c r="I1269" s="1" t="s">
        <v>26025</v>
      </c>
      <c r="J1269" s="6" t="s">
        <v>132</v>
      </c>
      <c r="K1269" s="1" t="s">
        <v>26026</v>
      </c>
      <c r="L1269" s="7" t="str">
        <f>IFERROR(__xludf.DUMMYFUNCTION("GOOGLETRANSLATE(C1269, ""en"", ""fi"")"),"Tallennusta ei voi aloittaa")</f>
        <v>Tallennusta ei voi aloittaa</v>
      </c>
      <c r="M1269" s="1" t="s">
        <v>26027</v>
      </c>
      <c r="N1269" s="6" t="s">
        <v>26028</v>
      </c>
      <c r="O1269" s="6" t="s">
        <v>132</v>
      </c>
      <c r="P1269" s="1" t="s">
        <v>26029</v>
      </c>
      <c r="Q1269" s="7" t="str">
        <f>IFERROR(__xludf.DUMMYFUNCTION("GOOGLETRANSLATE(C1269, ""en"", ""in"")"),"Tidak dapat mulai merekam")</f>
        <v>Tidak dapat mulai merekam</v>
      </c>
      <c r="R1269" s="1" t="s">
        <v>26030</v>
      </c>
      <c r="S1269" s="6" t="s">
        <v>132</v>
      </c>
      <c r="T1269" s="7" t="str">
        <f>IFERROR(__xludf.DUMMYFUNCTION("GOOGLETRANSLATE(C1269, ""en"", ""ja"")"),"録音を開始できません")</f>
        <v>録音を開始できません</v>
      </c>
      <c r="U1269" s="7" t="str">
        <f>IFERROR(__xludf.DUMMYFUNCTION("GOOGLETRANSLATE(C1269, ""en"", ""ko"")"),"녹음을 시작할 수 없습니다")</f>
        <v>녹음을 시작할 수 없습니다</v>
      </c>
      <c r="V1269" s="7" t="str">
        <f>IFERROR(__xludf.DUMMYFUNCTION("GOOGLETRANSLATE(C1269, ""en"", ""ms"")"),"Tidak dapat memulakan rakaman")</f>
        <v>Tidak dapat memulakan rakaman</v>
      </c>
      <c r="W1269" s="1" t="s">
        <v>26031</v>
      </c>
      <c r="X1269" s="7" t="str">
        <f>IFERROR(__xludf.DUMMYFUNCTION("GOOGLETRANSLATE(C1269, ""en"", ""no"")"),"Kan ikke starte opptak")</f>
        <v>Kan ikke starte opptak</v>
      </c>
      <c r="Y1269" s="1" t="s">
        <v>26032</v>
      </c>
      <c r="Z1269" s="7" t="str">
        <f>IFERROR(__xludf.DUMMYFUNCTION("GOOGLETRANSLATE(C1269, ""en"", ""pt"")"),"Não é possível iniciar a gravação")</f>
        <v>Não é possível iniciar a gravação</v>
      </c>
      <c r="AA1269" s="7" t="str">
        <f>IFERROR(__xludf.DUMMYFUNCTION("GOOGLETRANSLATE(C1269, ""en"", ""ro"")"),"Imposibil de pornit înregistrarea")</f>
        <v>Imposibil de pornit înregistrarea</v>
      </c>
      <c r="AB1269" s="7" t="str">
        <f>IFERROR(__xludf.DUMMYFUNCTION("GOOGLETRANSLATE(C1269, ""en"", ""ru"")"),"Невозможно начать запись")</f>
        <v>Невозможно начать запись</v>
      </c>
      <c r="AC1269" s="7" t="str">
        <f>IFERROR(__xludf.DUMMYFUNCTION("GOOGLETRANSLATE(C1269, ""en"", ""sk"")"),"Nie je možné spustiť nahrávanie")</f>
        <v>Nie je možné spustiť nahrávanie</v>
      </c>
      <c r="AD1269" s="6" t="s">
        <v>132</v>
      </c>
      <c r="AE1269" s="7" t="str">
        <f>IFERROR(__xludf.DUMMYFUNCTION("GOOGLETRANSLATE(C1269, ""en"", ""sr"")"),"Није могуће започети снимање")</f>
        <v>Није могуће започети снимање</v>
      </c>
      <c r="AF1269" s="7" t="str">
        <f>IFERROR(__xludf.DUMMYFUNCTION("GOOGLETRANSLATE(C1269, ""en"", ""sv"")"),"Det gick inte att börja spela in")</f>
        <v>Det gick inte att börja spela in</v>
      </c>
      <c r="AG1269" s="6" t="s">
        <v>132</v>
      </c>
      <c r="AH1269" s="7" t="str">
        <f>IFERROR(__xludf.DUMMYFUNCTION("GOOGLETRANSLATE(C1269, ""en"", ""tr"")"),"Kayıt başlatılamıyor")</f>
        <v>Kayıt başlatılamıyor</v>
      </c>
      <c r="AI1269" s="6" t="s">
        <v>132</v>
      </c>
      <c r="AJ1269" s="6" t="s">
        <v>132</v>
      </c>
      <c r="AK1269" s="7" t="str">
        <f>IFERROR(__xludf.DUMMYFUNCTION("GOOGLETRANSLATE(C1269, ""en"", ""zh"")"),"无法开始录制")</f>
        <v>无法开始录制</v>
      </c>
      <c r="AL1269" s="6" t="s">
        <v>132</v>
      </c>
    </row>
    <row r="1270" ht="15.75" hidden="1" customHeight="1">
      <c r="A1270" s="1" t="s">
        <v>38</v>
      </c>
      <c r="B1270" s="1" t="s">
        <v>26033</v>
      </c>
      <c r="C1270" s="1" t="s">
        <v>26034</v>
      </c>
      <c r="D1270" s="8" t="s">
        <v>26035</v>
      </c>
      <c r="E1270" s="1" t="s">
        <v>26036</v>
      </c>
      <c r="F1270" s="6" t="s">
        <v>26037</v>
      </c>
      <c r="G1270" s="7" t="str">
        <f>IFERROR(__xludf.DUMMYFUNCTION("GOOGLETRANSLATE(C1270, ""en"", ""cs"")"),"Přidat")</f>
        <v>Přidat</v>
      </c>
      <c r="H1270" s="7" t="str">
        <f>IFERROR(__xludf.DUMMYFUNCTION("GOOGLETRANSLATE(C1270, ""en"", ""da"")"),"Tilføje")</f>
        <v>Tilføje</v>
      </c>
      <c r="I1270" s="1" t="s">
        <v>26038</v>
      </c>
      <c r="J1270" s="6" t="s">
        <v>132</v>
      </c>
      <c r="K1270" s="1" t="s">
        <v>26039</v>
      </c>
      <c r="L1270" s="7" t="str">
        <f>IFERROR(__xludf.DUMMYFUNCTION("GOOGLETRANSLATE(C1270, ""en"", ""fi"")"),"Lisätä")</f>
        <v>Lisätä</v>
      </c>
      <c r="M1270" s="1" t="s">
        <v>26040</v>
      </c>
      <c r="N1270" s="6" t="s">
        <v>26041</v>
      </c>
      <c r="O1270" s="6" t="s">
        <v>132</v>
      </c>
      <c r="P1270" s="1" t="s">
        <v>26042</v>
      </c>
      <c r="Q1270" s="9" t="s">
        <v>26043</v>
      </c>
      <c r="R1270" s="1" t="s">
        <v>26044</v>
      </c>
      <c r="S1270" s="6" t="s">
        <v>132</v>
      </c>
      <c r="T1270" s="1" t="s">
        <v>26045</v>
      </c>
      <c r="U1270" s="1" t="s">
        <v>26046</v>
      </c>
      <c r="V1270" s="7" t="str">
        <f>IFERROR(__xludf.DUMMYFUNCTION("GOOGLETRANSLATE(C1270, ""en"", ""ms"")"),"Tambah")</f>
        <v>Tambah</v>
      </c>
      <c r="W1270" s="1" t="s">
        <v>26047</v>
      </c>
      <c r="X1270" s="7" t="str">
        <f>IFERROR(__xludf.DUMMYFUNCTION("GOOGLETRANSLATE(C1270, ""en"", ""no"")"),"Legge til")</f>
        <v>Legge til</v>
      </c>
      <c r="Y1270" s="1" t="s">
        <v>26048</v>
      </c>
      <c r="Z1270" s="1" t="s">
        <v>26049</v>
      </c>
      <c r="AA1270" s="7" t="str">
        <f>IFERROR(__xludf.DUMMYFUNCTION("GOOGLETRANSLATE(C1270, ""en"", ""ro"")"),"Adăuga")</f>
        <v>Adăuga</v>
      </c>
      <c r="AB1270" s="1" t="s">
        <v>26050</v>
      </c>
      <c r="AC1270" s="1" t="s">
        <v>26051</v>
      </c>
      <c r="AD1270" s="6" t="s">
        <v>132</v>
      </c>
      <c r="AE1270" s="1" t="s">
        <v>26052</v>
      </c>
      <c r="AF1270" s="1" t="s">
        <v>26053</v>
      </c>
      <c r="AG1270" s="6" t="s">
        <v>132</v>
      </c>
      <c r="AH1270" s="7" t="str">
        <f>IFERROR(__xludf.DUMMYFUNCTION("GOOGLETRANSLATE(C1270, ""en"", ""tr"")"),"Ekle")</f>
        <v>Ekle</v>
      </c>
      <c r="AI1270" s="6" t="s">
        <v>26054</v>
      </c>
      <c r="AJ1270" s="6" t="s">
        <v>26055</v>
      </c>
      <c r="AK1270" s="7" t="str">
        <f>IFERROR(__xludf.DUMMYFUNCTION("GOOGLETRANSLATE(C1270, ""en"", ""zh"")"),"添加")</f>
        <v>添加</v>
      </c>
      <c r="AL1270" s="6" t="s">
        <v>26056</v>
      </c>
    </row>
    <row r="1271" ht="15.75" hidden="1" customHeight="1">
      <c r="A1271" s="1" t="s">
        <v>38</v>
      </c>
      <c r="B1271" s="1" t="s">
        <v>26057</v>
      </c>
      <c r="C1271" s="1" t="s">
        <v>26058</v>
      </c>
      <c r="D1271" s="8" t="s">
        <v>26059</v>
      </c>
      <c r="E1271" s="1" t="s">
        <v>26060</v>
      </c>
      <c r="F1271" s="6" t="s">
        <v>26061</v>
      </c>
      <c r="G1271" s="7" t="str">
        <f>IFERROR(__xludf.DUMMYFUNCTION("GOOGLETRANSLATE(C1271, ""en"", ""cs"")"),"Odblokovat doménu")</f>
        <v>Odblokovat doménu</v>
      </c>
      <c r="H1271" s="7" t="str">
        <f>IFERROR(__xludf.DUMMYFUNCTION("GOOGLETRANSLATE(C1271, ""en"", ""da"")"),"Unblock Domain.")</f>
        <v>Unblock Domain.</v>
      </c>
      <c r="I1271" s="1" t="s">
        <v>26062</v>
      </c>
      <c r="J1271" s="6" t="s">
        <v>132</v>
      </c>
      <c r="K1271" s="1" t="s">
        <v>26063</v>
      </c>
      <c r="L1271" s="7" t="str">
        <f>IFERROR(__xludf.DUMMYFUNCTION("GOOGLETRANSLATE(C1271, ""en"", ""fi"")"),"Unblock Domain")</f>
        <v>Unblock Domain</v>
      </c>
      <c r="M1271" s="1" t="s">
        <v>26064</v>
      </c>
      <c r="N1271" s="6" t="s">
        <v>26063</v>
      </c>
      <c r="O1271" s="6" t="s">
        <v>132</v>
      </c>
      <c r="P1271" s="1" t="s">
        <v>26065</v>
      </c>
      <c r="Q1271" s="9" t="s">
        <v>26066</v>
      </c>
      <c r="R1271" s="1" t="s">
        <v>26067</v>
      </c>
      <c r="S1271" s="6" t="s">
        <v>132</v>
      </c>
      <c r="T1271" s="1" t="s">
        <v>26068</v>
      </c>
      <c r="U1271" s="1" t="s">
        <v>26069</v>
      </c>
      <c r="V1271" s="7" t="str">
        <f>IFERROR(__xludf.DUMMYFUNCTION("GOOGLETRANSLATE(C1271, ""en"", ""ms"")"),"Unblock domain.")</f>
        <v>Unblock domain.</v>
      </c>
      <c r="W1271" s="1" t="s">
        <v>26070</v>
      </c>
      <c r="X1271" s="7" t="str">
        <f>IFERROR(__xludf.DUMMYFUNCTION("GOOGLETRANSLATE(C1271, ""en"", ""no"")"),"Unblock Domain.")</f>
        <v>Unblock Domain.</v>
      </c>
      <c r="Y1271" s="1" t="s">
        <v>26071</v>
      </c>
      <c r="Z1271" s="1" t="s">
        <v>26072</v>
      </c>
      <c r="AA1271" s="7" t="str">
        <f>IFERROR(__xludf.DUMMYFUNCTION("GOOGLETRANSLATE(C1271, ""en"", ""ro"")"),"Deblocați domeniul")</f>
        <v>Deblocați domeniul</v>
      </c>
      <c r="AB1271" s="1" t="s">
        <v>26073</v>
      </c>
      <c r="AC1271" s="1" t="s">
        <v>26074</v>
      </c>
      <c r="AD1271" s="6" t="s">
        <v>132</v>
      </c>
      <c r="AE1271" s="1" t="s">
        <v>26075</v>
      </c>
      <c r="AF1271" s="1" t="s">
        <v>26076</v>
      </c>
      <c r="AG1271" s="6" t="s">
        <v>132</v>
      </c>
      <c r="AH1271" s="7" t="str">
        <f>IFERROR(__xludf.DUMMYFUNCTION("GOOGLETRANSLATE(C1271, ""en"", ""tr"")"),"Domain engeli kaldırın")</f>
        <v>Domain engeli kaldırın</v>
      </c>
      <c r="AI1271" s="6" t="s">
        <v>26077</v>
      </c>
      <c r="AJ1271" s="6" t="s">
        <v>26078</v>
      </c>
      <c r="AK1271" s="7" t="str">
        <f>IFERROR(__xludf.DUMMYFUNCTION("GOOGLETRANSLATE(C1271, ""en"", ""zh"")"),"解锁域名")</f>
        <v>解锁域名</v>
      </c>
      <c r="AL1271" s="6" t="s">
        <v>26079</v>
      </c>
    </row>
    <row r="1272" ht="15.75" hidden="1" customHeight="1">
      <c r="A1272" s="1" t="s">
        <v>38</v>
      </c>
      <c r="B1272" s="1" t="s">
        <v>26080</v>
      </c>
      <c r="C1272" s="1" t="s">
        <v>26081</v>
      </c>
      <c r="D1272" s="7" t="str">
        <f>IFERROR(__xludf.DUMMYFUNCTION("GOOGLETRANSLATE(C1272, ""en"", ""ar"")"),"إعدادات الإشعار")</f>
        <v>إعدادات الإشعار</v>
      </c>
      <c r="E1272" s="1" t="s">
        <v>26082</v>
      </c>
      <c r="F1272" s="6" t="s">
        <v>132</v>
      </c>
      <c r="G1272" s="7" t="str">
        <f>IFERROR(__xludf.DUMMYFUNCTION("GOOGLETRANSLATE(C1272, ""en"", ""cs"")"),"Nastavení upozornění")</f>
        <v>Nastavení upozornění</v>
      </c>
      <c r="H1272" s="7" t="str">
        <f>IFERROR(__xludf.DUMMYFUNCTION("GOOGLETRANSLATE(C1272, ""en"", ""da"")"),"Meddelelsesindstillinger.")</f>
        <v>Meddelelsesindstillinger.</v>
      </c>
      <c r="I1272" s="1" t="s">
        <v>26083</v>
      </c>
      <c r="J1272" s="6" t="s">
        <v>132</v>
      </c>
      <c r="K1272" s="1" t="s">
        <v>26084</v>
      </c>
      <c r="L1272" s="7" t="str">
        <f>IFERROR(__xludf.DUMMYFUNCTION("GOOGLETRANSLATE(C1272, ""en"", ""fi"")"),"Ilmoitusasetukset")</f>
        <v>Ilmoitusasetukset</v>
      </c>
      <c r="M1272" s="1" t="s">
        <v>26085</v>
      </c>
      <c r="N1272" s="6" t="s">
        <v>26086</v>
      </c>
      <c r="O1272" s="6" t="s">
        <v>132</v>
      </c>
      <c r="P1272" s="1" t="s">
        <v>26087</v>
      </c>
      <c r="Q1272" s="7" t="str">
        <f>IFERROR(__xludf.DUMMYFUNCTION("GOOGLETRANSLATE(C1272, ""en"", ""in"")"),"Pengaturan pemberitahuan")</f>
        <v>Pengaturan pemberitahuan</v>
      </c>
      <c r="R1272" s="1" t="s">
        <v>26088</v>
      </c>
      <c r="S1272" s="6" t="s">
        <v>132</v>
      </c>
      <c r="T1272" s="7" t="str">
        <f>IFERROR(__xludf.DUMMYFUNCTION("GOOGLETRANSLATE(C1272, ""en"", ""ja"")"),"通知設定")</f>
        <v>通知設定</v>
      </c>
      <c r="U1272" s="7" t="str">
        <f>IFERROR(__xludf.DUMMYFUNCTION("GOOGLETRANSLATE(C1272, ""en"", ""ko"")"),"알림 설정")</f>
        <v>알림 설정</v>
      </c>
      <c r="V1272" s="7" t="str">
        <f>IFERROR(__xludf.DUMMYFUNCTION("GOOGLETRANSLATE(C1272, ""en"", ""ms"")"),"Tetapan pemberitahuan.")</f>
        <v>Tetapan pemberitahuan.</v>
      </c>
      <c r="W1272" s="1" t="s">
        <v>26089</v>
      </c>
      <c r="X1272" s="7" t="str">
        <f>IFERROR(__xludf.DUMMYFUNCTION("GOOGLETRANSLATE(C1272, ""en"", ""no"")"),"Varslingsinnstillinger")</f>
        <v>Varslingsinnstillinger</v>
      </c>
      <c r="Y1272" s="1" t="s">
        <v>26090</v>
      </c>
      <c r="Z1272" s="7" t="str">
        <f>IFERROR(__xludf.DUMMYFUNCTION("GOOGLETRANSLATE(C1272, ""en"", ""pt"")"),"Configurações de notificação")</f>
        <v>Configurações de notificação</v>
      </c>
      <c r="AA1272" s="7" t="str">
        <f>IFERROR(__xludf.DUMMYFUNCTION("GOOGLETRANSLATE(C1272, ""en"", ""ro"")"),"Setări de notificare")</f>
        <v>Setări de notificare</v>
      </c>
      <c r="AB1272" s="7" t="str">
        <f>IFERROR(__xludf.DUMMYFUNCTION("GOOGLETRANSLATE(C1272, ""en"", ""ru"")"),"Настройки уведомлений")</f>
        <v>Настройки уведомлений</v>
      </c>
      <c r="AC1272" s="7" t="str">
        <f>IFERROR(__xludf.DUMMYFUNCTION("GOOGLETRANSLATE(C1272, ""en"", ""sk"")"),"Nastavenia upozornení")</f>
        <v>Nastavenia upozornení</v>
      </c>
      <c r="AD1272" s="6" t="s">
        <v>132</v>
      </c>
      <c r="AE1272" s="1" t="s">
        <v>26091</v>
      </c>
      <c r="AF1272" s="7" t="str">
        <f>IFERROR(__xludf.DUMMYFUNCTION("GOOGLETRANSLATE(C1272, ""en"", ""sv"")"),"Anmälningsinställningar")</f>
        <v>Anmälningsinställningar</v>
      </c>
      <c r="AG1272" s="6" t="s">
        <v>132</v>
      </c>
      <c r="AH1272" s="7" t="str">
        <f>IFERROR(__xludf.DUMMYFUNCTION("GOOGLETRANSLATE(C1272, ""en"", ""tr"")"),"Bildirim ayarları")</f>
        <v>Bildirim ayarları</v>
      </c>
      <c r="AI1272" s="6" t="s">
        <v>132</v>
      </c>
      <c r="AJ1272" s="6" t="s">
        <v>132</v>
      </c>
      <c r="AK1272" s="7" t="str">
        <f>IFERROR(__xludf.DUMMYFUNCTION("GOOGLETRANSLATE(C1272, ""en"", ""zh"")"),"通知设置")</f>
        <v>通知设置</v>
      </c>
      <c r="AL1272" s="6" t="s">
        <v>132</v>
      </c>
    </row>
    <row r="1273" ht="15.75" customHeight="1">
      <c r="A1273" s="1" t="s">
        <v>127</v>
      </c>
      <c r="B1273" s="1" t="s">
        <v>26092</v>
      </c>
      <c r="C1273" s="1" t="s">
        <v>26093</v>
      </c>
      <c r="D1273" s="8" t="s">
        <v>26094</v>
      </c>
      <c r="E1273" s="1" t="s">
        <v>26095</v>
      </c>
      <c r="F1273" s="6" t="s">
        <v>132</v>
      </c>
      <c r="G1273" s="1" t="s">
        <v>26096</v>
      </c>
      <c r="H1273" s="1" t="s">
        <v>26097</v>
      </c>
      <c r="I1273" s="1" t="s">
        <v>26098</v>
      </c>
      <c r="J1273" s="6" t="s">
        <v>26099</v>
      </c>
      <c r="K1273" s="1" t="s">
        <v>26100</v>
      </c>
      <c r="L1273" s="1" t="s">
        <v>26101</v>
      </c>
      <c r="M1273" s="1" t="s">
        <v>26102</v>
      </c>
      <c r="N1273" s="6" t="s">
        <v>132</v>
      </c>
      <c r="O1273" s="6" t="s">
        <v>26103</v>
      </c>
      <c r="P1273" s="1" t="s">
        <v>26104</v>
      </c>
      <c r="Q1273" s="1" t="s">
        <v>26105</v>
      </c>
      <c r="R1273" s="1" t="s">
        <v>26106</v>
      </c>
      <c r="S1273" s="10" t="s">
        <v>26107</v>
      </c>
      <c r="T1273" s="1" t="s">
        <v>26108</v>
      </c>
      <c r="U1273" s="1" t="s">
        <v>26109</v>
      </c>
      <c r="V1273" s="1" t="s">
        <v>26110</v>
      </c>
      <c r="W1273" s="1" t="s">
        <v>26111</v>
      </c>
      <c r="X1273" s="1" t="s">
        <v>26112</v>
      </c>
      <c r="Y1273" s="1" t="s">
        <v>26113</v>
      </c>
      <c r="Z1273" s="1" t="s">
        <v>26114</v>
      </c>
      <c r="AA1273" s="1" t="s">
        <v>26115</v>
      </c>
      <c r="AB1273" s="1" t="s">
        <v>26116</v>
      </c>
      <c r="AC1273" s="1" t="s">
        <v>26117</v>
      </c>
      <c r="AD1273" s="6" t="s">
        <v>26118</v>
      </c>
      <c r="AE1273" s="1" t="s">
        <v>26119</v>
      </c>
      <c r="AF1273" s="1" t="s">
        <v>26120</v>
      </c>
      <c r="AG1273" s="6" t="s">
        <v>26121</v>
      </c>
      <c r="AH1273" s="1" t="s">
        <v>26122</v>
      </c>
      <c r="AI1273" s="6" t="s">
        <v>132</v>
      </c>
      <c r="AJ1273" s="6" t="s">
        <v>26123</v>
      </c>
      <c r="AK1273" s="1" t="s">
        <v>26124</v>
      </c>
      <c r="AL1273" s="6" t="s">
        <v>132</v>
      </c>
    </row>
    <row r="1274" ht="15.75" customHeight="1">
      <c r="A1274" s="1" t="s">
        <v>127</v>
      </c>
      <c r="B1274" s="1" t="s">
        <v>26125</v>
      </c>
      <c r="C1274" s="1" t="s">
        <v>26126</v>
      </c>
      <c r="D1274" s="8" t="s">
        <v>26127</v>
      </c>
      <c r="E1274" s="1" t="s">
        <v>26128</v>
      </c>
      <c r="F1274" s="6" t="s">
        <v>132</v>
      </c>
      <c r="G1274" s="1" t="s">
        <v>26129</v>
      </c>
      <c r="H1274" s="1" t="s">
        <v>26130</v>
      </c>
      <c r="I1274" s="1" t="s">
        <v>26131</v>
      </c>
      <c r="J1274" s="6" t="s">
        <v>26132</v>
      </c>
      <c r="K1274" s="1" t="s">
        <v>26133</v>
      </c>
      <c r="L1274" s="1" t="s">
        <v>26134</v>
      </c>
      <c r="M1274" s="1" t="s">
        <v>26135</v>
      </c>
      <c r="N1274" s="6" t="s">
        <v>132</v>
      </c>
      <c r="O1274" s="6" t="s">
        <v>26136</v>
      </c>
      <c r="P1274" s="1" t="s">
        <v>26137</v>
      </c>
      <c r="Q1274" s="1" t="s">
        <v>26138</v>
      </c>
      <c r="R1274" s="1" t="s">
        <v>26139</v>
      </c>
      <c r="S1274" s="10" t="s">
        <v>26140</v>
      </c>
      <c r="T1274" s="1" t="s">
        <v>26141</v>
      </c>
      <c r="U1274" s="1" t="s">
        <v>26142</v>
      </c>
      <c r="V1274" s="1" t="s">
        <v>26143</v>
      </c>
      <c r="W1274" s="1" t="s">
        <v>26144</v>
      </c>
      <c r="X1274" s="1" t="s">
        <v>26145</v>
      </c>
      <c r="Y1274" s="1" t="s">
        <v>26146</v>
      </c>
      <c r="Z1274" s="1" t="s">
        <v>26147</v>
      </c>
      <c r="AA1274" s="1" t="s">
        <v>26148</v>
      </c>
      <c r="AB1274" s="1" t="s">
        <v>26149</v>
      </c>
      <c r="AC1274" s="1" t="s">
        <v>26150</v>
      </c>
      <c r="AD1274" s="6" t="s">
        <v>26151</v>
      </c>
      <c r="AE1274" s="1" t="s">
        <v>26126</v>
      </c>
      <c r="AF1274" s="1" t="s">
        <v>26152</v>
      </c>
      <c r="AG1274" s="6" t="s">
        <v>26153</v>
      </c>
      <c r="AH1274" s="1" t="s">
        <v>26154</v>
      </c>
      <c r="AI1274" s="6" t="s">
        <v>132</v>
      </c>
      <c r="AJ1274" s="6" t="s">
        <v>26155</v>
      </c>
      <c r="AK1274" s="1" t="s">
        <v>26156</v>
      </c>
      <c r="AL1274" s="6" t="s">
        <v>26157</v>
      </c>
    </row>
    <row r="1275" ht="15.75" hidden="1" customHeight="1">
      <c r="A1275" s="1" t="s">
        <v>38</v>
      </c>
      <c r="B1275" s="1" t="s">
        <v>26158</v>
      </c>
      <c r="C1275" s="1" t="s">
        <v>26159</v>
      </c>
      <c r="D1275" s="8" t="s">
        <v>26160</v>
      </c>
      <c r="E1275" s="1" t="s">
        <v>26161</v>
      </c>
      <c r="F1275" s="6" t="s">
        <v>26162</v>
      </c>
      <c r="G1275" s="7" t="str">
        <f>IFERROR(__xludf.DUMMYFUNCTION("GOOGLETRANSLATE(C1275, ""en"", ""cs"")"),"Kontakt blokován")</f>
        <v>Kontakt blokován</v>
      </c>
      <c r="H1275" s="7" t="str">
        <f>IFERROR(__xludf.DUMMYFUNCTION("GOOGLETRANSLATE(C1275, ""en"", ""da"")"),"Kontakt blokeret")</f>
        <v>Kontakt blokeret</v>
      </c>
      <c r="I1275" s="1" t="s">
        <v>26163</v>
      </c>
      <c r="J1275" s="6" t="s">
        <v>132</v>
      </c>
      <c r="K1275" s="1" t="s">
        <v>26164</v>
      </c>
      <c r="L1275" s="7" t="str">
        <f>IFERROR(__xludf.DUMMYFUNCTION("GOOGLETRANSLATE(C1275, ""en"", ""fi"")"),"Ota yhteyttä estetty")</f>
        <v>Ota yhteyttä estetty</v>
      </c>
      <c r="M1275" s="1" t="s">
        <v>26165</v>
      </c>
      <c r="N1275" s="6" t="s">
        <v>26164</v>
      </c>
      <c r="O1275" s="6" t="s">
        <v>132</v>
      </c>
      <c r="P1275" s="1" t="s">
        <v>26166</v>
      </c>
      <c r="Q1275" s="9" t="s">
        <v>26167</v>
      </c>
      <c r="R1275" s="1" t="s">
        <v>26168</v>
      </c>
      <c r="S1275" s="6" t="s">
        <v>132</v>
      </c>
      <c r="T1275" s="1" t="s">
        <v>26169</v>
      </c>
      <c r="U1275" s="1" t="s">
        <v>26170</v>
      </c>
      <c r="V1275" s="7" t="str">
        <f>IFERROR(__xludf.DUMMYFUNCTION("GOOGLETRANSLATE(C1275, ""en"", ""ms"")"),"Hubungi disekat")</f>
        <v>Hubungi disekat</v>
      </c>
      <c r="W1275" s="1" t="s">
        <v>26171</v>
      </c>
      <c r="X1275" s="7" t="str">
        <f>IFERROR(__xludf.DUMMYFUNCTION("GOOGLETRANSLATE(C1275, ""en"", ""no"")"),"Kontakt blokkert")</f>
        <v>Kontakt blokkert</v>
      </c>
      <c r="Y1275" s="1" t="s">
        <v>26172</v>
      </c>
      <c r="Z1275" s="1" t="s">
        <v>26164</v>
      </c>
      <c r="AA1275" s="7" t="str">
        <f>IFERROR(__xludf.DUMMYFUNCTION("GOOGLETRANSLATE(C1275, ""en"", ""ro"")"),"Contact blocat")</f>
        <v>Contact blocat</v>
      </c>
      <c r="AB1275" s="1" t="s">
        <v>26173</v>
      </c>
      <c r="AC1275" s="1" t="s">
        <v>26174</v>
      </c>
      <c r="AD1275" s="6" t="s">
        <v>132</v>
      </c>
      <c r="AE1275" s="1" t="s">
        <v>26175</v>
      </c>
      <c r="AF1275" s="1" t="s">
        <v>26176</v>
      </c>
      <c r="AG1275" s="6" t="s">
        <v>132</v>
      </c>
      <c r="AH1275" s="7" t="str">
        <f>IFERROR(__xludf.DUMMYFUNCTION("GOOGLETRANSLATE(C1275, ""en"", ""tr"")"),"Temas engellendi")</f>
        <v>Temas engellendi</v>
      </c>
      <c r="AI1275" s="6" t="s">
        <v>26177</v>
      </c>
      <c r="AJ1275" s="6" t="s">
        <v>26178</v>
      </c>
      <c r="AK1275" s="7" t="str">
        <f>IFERROR(__xludf.DUMMYFUNCTION("GOOGLETRANSLATE(C1275, ""en"", ""zh"")"),"联系被封锁")</f>
        <v>联系被封锁</v>
      </c>
      <c r="AL1275" s="6" t="s">
        <v>26179</v>
      </c>
    </row>
    <row r="1276" ht="15.75" hidden="1" customHeight="1">
      <c r="A1276" s="1" t="s">
        <v>38</v>
      </c>
      <c r="B1276" s="1" t="s">
        <v>26180</v>
      </c>
      <c r="C1276" s="1" t="s">
        <v>26181</v>
      </c>
      <c r="D1276" s="8" t="s">
        <v>26182</v>
      </c>
      <c r="E1276" s="1" t="s">
        <v>26183</v>
      </c>
      <c r="F1276" s="6" t="s">
        <v>26184</v>
      </c>
      <c r="G1276" s="7" t="str">
        <f>IFERROR(__xludf.DUMMYFUNCTION("GOOGLETRANSLATE(C1276, ""en"", ""cs"")"),"Podrobnosti o certifikátu:")</f>
        <v>Podrobnosti o certifikátu:</v>
      </c>
      <c r="H1276" s="7" t="str">
        <f>IFERROR(__xludf.DUMMYFUNCTION("GOOGLETRANSLATE(C1276, ""en"", ""da"")"),"Certifikatdetaljer:")</f>
        <v>Certifikatdetaljer:</v>
      </c>
      <c r="I1276" s="1" t="s">
        <v>26185</v>
      </c>
      <c r="J1276" s="6" t="s">
        <v>132</v>
      </c>
      <c r="K1276" s="1" t="s">
        <v>26186</v>
      </c>
      <c r="L1276" s="7" t="str">
        <f>IFERROR(__xludf.DUMMYFUNCTION("GOOGLETRANSLATE(C1276, ""en"", ""fi"")"),"Varmenteen tiedot:")</f>
        <v>Varmenteen tiedot:</v>
      </c>
      <c r="M1276" s="1" t="s">
        <v>26187</v>
      </c>
      <c r="N1276" s="6" t="s">
        <v>26188</v>
      </c>
      <c r="O1276" s="6" t="s">
        <v>132</v>
      </c>
      <c r="P1276" s="1" t="s">
        <v>26189</v>
      </c>
      <c r="Q1276" s="7" t="str">
        <f>IFERROR(__xludf.DUMMYFUNCTION("GOOGLETRANSLATE(C1276, ""en"", ""in"")"),"Detail Sertifikat:")</f>
        <v>Detail Sertifikat:</v>
      </c>
      <c r="R1276" s="1" t="s">
        <v>26190</v>
      </c>
      <c r="S1276" s="6" t="s">
        <v>132</v>
      </c>
      <c r="T1276" s="1" t="s">
        <v>26191</v>
      </c>
      <c r="U1276" s="7" t="str">
        <f>IFERROR(__xludf.DUMMYFUNCTION("GOOGLETRANSLATE(C1276, ""en"", ""ko"")"),"인증서 세부 정보 :")</f>
        <v>인증서 세부 정보 :</v>
      </c>
      <c r="V1276" s="7" t="str">
        <f>IFERROR(__xludf.DUMMYFUNCTION("GOOGLETRANSLATE(C1276, ""en"", ""ms"")"),"Butiran Sijil:")</f>
        <v>Butiran Sijil:</v>
      </c>
      <c r="W1276" s="1" t="s">
        <v>26192</v>
      </c>
      <c r="X1276" s="7" t="str">
        <f>IFERROR(__xludf.DUMMYFUNCTION("GOOGLETRANSLATE(C1276, ""en"", ""no"")"),"Sertifikatdetaljer:")</f>
        <v>Sertifikatdetaljer:</v>
      </c>
      <c r="Y1276" s="1" t="s">
        <v>26193</v>
      </c>
      <c r="Z1276" s="7" t="str">
        <f>IFERROR(__xludf.DUMMYFUNCTION("GOOGLETRANSLATE(C1276, ""en"", ""pt"")"),"Detalhes do certificado:")</f>
        <v>Detalhes do certificado:</v>
      </c>
      <c r="AA1276" s="7" t="str">
        <f>IFERROR(__xludf.DUMMYFUNCTION("GOOGLETRANSLATE(C1276, ""en"", ""ro"")"),"Detalii certificate:")</f>
        <v>Detalii certificate:</v>
      </c>
      <c r="AB1276" s="7" t="str">
        <f>IFERROR(__xludf.DUMMYFUNCTION("GOOGLETRANSLATE(C1276, ""en"", ""ru"")"),"Детали сертификата:")</f>
        <v>Детали сертификата:</v>
      </c>
      <c r="AC1276" s="7" t="str">
        <f>IFERROR(__xludf.DUMMYFUNCTION("GOOGLETRANSLATE(C1276, ""en"", ""sk"")"),"Podrobnosti o osvedčení:")</f>
        <v>Podrobnosti o osvedčení:</v>
      </c>
      <c r="AD1276" s="6" t="s">
        <v>132</v>
      </c>
      <c r="AE1276" s="7" t="str">
        <f>IFERROR(__xludf.DUMMYFUNCTION("GOOGLETRANSLATE(C1276, ""en"", ""sr"")"),"Детаљи сертификата:")</f>
        <v>Детаљи сертификата:</v>
      </c>
      <c r="AF1276" s="7" t="str">
        <f>IFERROR(__xludf.DUMMYFUNCTION("GOOGLETRANSLATE(C1276, ""en"", ""sv"")"),"Certifikatdetaljer:")</f>
        <v>Certifikatdetaljer:</v>
      </c>
      <c r="AG1276" s="6" t="s">
        <v>132</v>
      </c>
      <c r="AH1276" s="7" t="str">
        <f>IFERROR(__xludf.DUMMYFUNCTION("GOOGLETRANSLATE(C1276, ""en"", ""tr"")"),"Sertifika detayları:")</f>
        <v>Sertifika detayları:</v>
      </c>
      <c r="AI1276" s="6" t="s">
        <v>132</v>
      </c>
      <c r="AJ1276" s="6" t="s">
        <v>132</v>
      </c>
      <c r="AK1276" s="7" t="str">
        <f>IFERROR(__xludf.DUMMYFUNCTION("GOOGLETRANSLATE(C1276, ""en"", ""zh"")"),"证书详细信息：")</f>
        <v>证书详细信息：</v>
      </c>
      <c r="AL1276" s="6" t="s">
        <v>132</v>
      </c>
    </row>
    <row r="1277" ht="15.75" customHeight="1">
      <c r="A1277" s="1" t="s">
        <v>127</v>
      </c>
      <c r="B1277" s="1" t="s">
        <v>26194</v>
      </c>
      <c r="C1277" s="1" t="s">
        <v>5007</v>
      </c>
      <c r="D1277" s="8" t="s">
        <v>5008</v>
      </c>
      <c r="E1277" s="1" t="s">
        <v>5009</v>
      </c>
      <c r="F1277" s="6" t="s">
        <v>132</v>
      </c>
      <c r="G1277" s="1" t="s">
        <v>5010</v>
      </c>
      <c r="H1277" s="1" t="s">
        <v>5011</v>
      </c>
      <c r="I1277" s="1" t="s">
        <v>5012</v>
      </c>
      <c r="J1277" s="6" t="s">
        <v>5013</v>
      </c>
      <c r="K1277" s="1" t="s">
        <v>5014</v>
      </c>
      <c r="L1277" s="1" t="s">
        <v>5015</v>
      </c>
      <c r="M1277" s="1" t="s">
        <v>5016</v>
      </c>
      <c r="N1277" s="6" t="s">
        <v>132</v>
      </c>
      <c r="O1277" s="6" t="s">
        <v>5017</v>
      </c>
      <c r="P1277" s="1" t="s">
        <v>5018</v>
      </c>
      <c r="Q1277" s="1" t="s">
        <v>5019</v>
      </c>
      <c r="R1277" s="1" t="s">
        <v>5020</v>
      </c>
      <c r="S1277" s="10" t="s">
        <v>5021</v>
      </c>
      <c r="T1277" s="1" t="s">
        <v>5022</v>
      </c>
      <c r="U1277" s="1" t="s">
        <v>5023</v>
      </c>
      <c r="V1277" s="1" t="s">
        <v>5019</v>
      </c>
      <c r="W1277" s="1" t="s">
        <v>5024</v>
      </c>
      <c r="X1277" s="1" t="s">
        <v>5025</v>
      </c>
      <c r="Y1277" s="1" t="s">
        <v>5026</v>
      </c>
      <c r="Z1277" s="1" t="s">
        <v>5027</v>
      </c>
      <c r="AA1277" s="1" t="s">
        <v>5028</v>
      </c>
      <c r="AB1277" s="1" t="s">
        <v>5029</v>
      </c>
      <c r="AC1277" s="1" t="s">
        <v>5010</v>
      </c>
      <c r="AD1277" s="6" t="s">
        <v>5030</v>
      </c>
      <c r="AE1277" s="1" t="s">
        <v>5031</v>
      </c>
      <c r="AF1277" s="1" t="s">
        <v>5011</v>
      </c>
      <c r="AG1277" s="6" t="s">
        <v>5032</v>
      </c>
      <c r="AH1277" s="1" t="s">
        <v>26195</v>
      </c>
      <c r="AI1277" s="6" t="s">
        <v>132</v>
      </c>
      <c r="AJ1277" s="6" t="s">
        <v>5034</v>
      </c>
      <c r="AK1277" s="1" t="s">
        <v>5035</v>
      </c>
      <c r="AL1277" s="6" t="s">
        <v>5036</v>
      </c>
    </row>
    <row r="1278" ht="15.75" hidden="1" customHeight="1">
      <c r="A1278" s="1" t="s">
        <v>38</v>
      </c>
      <c r="B1278" s="1" t="s">
        <v>26196</v>
      </c>
      <c r="C1278" s="1" t="s">
        <v>26197</v>
      </c>
      <c r="D1278" s="8" t="s">
        <v>26198</v>
      </c>
      <c r="E1278" s="1" t="s">
        <v>26199</v>
      </c>
      <c r="F1278" s="6" t="s">
        <v>26200</v>
      </c>
      <c r="G1278" s="7" t="str">
        <f>IFERROR(__xludf.DUMMYFUNCTION("GOOGLETRANSLATE(C1278, ""en"", ""cs"")"),"Nelze se připojit k více účtům")</f>
        <v>Nelze se připojit k více účtům</v>
      </c>
      <c r="H1278" s="7" t="str">
        <f>IFERROR(__xludf.DUMMYFUNCTION("GOOGLETRANSLATE(C1278, ""en"", ""da"")"),"Kan ikke oprette forbindelse til flere konti")</f>
        <v>Kan ikke oprette forbindelse til flere konti</v>
      </c>
      <c r="I1278" s="1" t="s">
        <v>26201</v>
      </c>
      <c r="J1278" s="6" t="s">
        <v>132</v>
      </c>
      <c r="K1278" s="1" t="s">
        <v>26202</v>
      </c>
      <c r="L1278" s="7" t="str">
        <f>IFERROR(__xludf.DUMMYFUNCTION("GOOGLETRANSLATE(C1278, ""en"", ""fi"")"),"Useita tilejä ei voi muodostaa yhteyttä")</f>
        <v>Useita tilejä ei voi muodostaa yhteyttä</v>
      </c>
      <c r="M1278" s="1" t="s">
        <v>26203</v>
      </c>
      <c r="N1278" s="6" t="s">
        <v>26204</v>
      </c>
      <c r="O1278" s="6" t="s">
        <v>132</v>
      </c>
      <c r="P1278" s="1" t="s">
        <v>26205</v>
      </c>
      <c r="Q1278" s="9" t="s">
        <v>26206</v>
      </c>
      <c r="R1278" s="1" t="s">
        <v>26207</v>
      </c>
      <c r="S1278" s="6" t="s">
        <v>132</v>
      </c>
      <c r="T1278" s="1" t="s">
        <v>26208</v>
      </c>
      <c r="U1278" s="1" t="s">
        <v>26209</v>
      </c>
      <c r="V1278" s="7" t="str">
        <f>IFERROR(__xludf.DUMMYFUNCTION("GOOGLETRANSLATE(C1278, ""en"", ""ms"")"),"Tidak dapat menyambung ke berbilang akaun")</f>
        <v>Tidak dapat menyambung ke berbilang akaun</v>
      </c>
      <c r="W1278" s="1" t="s">
        <v>26210</v>
      </c>
      <c r="X1278" s="7" t="str">
        <f>IFERROR(__xludf.DUMMYFUNCTION("GOOGLETRANSLATE(C1278, ""en"", ""no"")"),"Kan ikke koble til flere kontoer")</f>
        <v>Kan ikke koble til flere kontoer</v>
      </c>
      <c r="Y1278" s="1" t="s">
        <v>26211</v>
      </c>
      <c r="Z1278" s="1" t="s">
        <v>26212</v>
      </c>
      <c r="AA1278" s="7" t="str">
        <f>IFERROR(__xludf.DUMMYFUNCTION("GOOGLETRANSLATE(C1278, ""en"", ""ro"")"),"Imposibil de conectat la mai multe conturi")</f>
        <v>Imposibil de conectat la mai multe conturi</v>
      </c>
      <c r="AB1278" s="1" t="s">
        <v>26213</v>
      </c>
      <c r="AC1278" s="1" t="s">
        <v>26214</v>
      </c>
      <c r="AD1278" s="6" t="s">
        <v>132</v>
      </c>
      <c r="AE1278" s="1" t="s">
        <v>26215</v>
      </c>
      <c r="AF1278" s="1" t="s">
        <v>26216</v>
      </c>
      <c r="AG1278" s="6" t="s">
        <v>132</v>
      </c>
      <c r="AH1278" s="7" t="str">
        <f>IFERROR(__xludf.DUMMYFUNCTION("GOOGLETRANSLATE(C1278, ""en"", ""tr"")"),"Birden fazla hesaba bağlanılamıyor")</f>
        <v>Birden fazla hesaba bağlanılamıyor</v>
      </c>
      <c r="AI1278" s="6" t="s">
        <v>26217</v>
      </c>
      <c r="AJ1278" s="6" t="s">
        <v>26218</v>
      </c>
      <c r="AK1278" s="7" t="str">
        <f>IFERROR(__xludf.DUMMYFUNCTION("GOOGLETRANSLATE(C1278, ""en"", ""zh"")"),"无法连接到多个帐户")</f>
        <v>无法连接到多个帐户</v>
      </c>
      <c r="AL1278" s="6" t="s">
        <v>26219</v>
      </c>
    </row>
    <row r="1279" ht="15.75" hidden="1" customHeight="1">
      <c r="A1279" s="1" t="s">
        <v>38</v>
      </c>
      <c r="B1279" s="1" t="s">
        <v>26220</v>
      </c>
      <c r="C1279" s="1" t="s">
        <v>26221</v>
      </c>
      <c r="D1279" s="8" t="s">
        <v>26222</v>
      </c>
      <c r="E1279" s="1" t="s">
        <v>26223</v>
      </c>
      <c r="F1279" s="6" t="s">
        <v>26224</v>
      </c>
      <c r="G1279" s="7" t="str">
        <f>IFERROR(__xludf.DUMMYFUNCTION("GOOGLETRANSLATE(C1279, ""en"", ""cs"")"),"Vytvořit skupinový chat")</f>
        <v>Vytvořit skupinový chat</v>
      </c>
      <c r="H1279" s="7" t="str">
        <f>IFERROR(__xludf.DUMMYFUNCTION("GOOGLETRANSLATE(C1279, ""en"", ""da"")"),"Opret gruppe chat")</f>
        <v>Opret gruppe chat</v>
      </c>
      <c r="I1279" s="1" t="s">
        <v>26225</v>
      </c>
      <c r="J1279" s="6" t="s">
        <v>132</v>
      </c>
      <c r="K1279" s="1" t="s">
        <v>26226</v>
      </c>
      <c r="L1279" s="7" t="str">
        <f>IFERROR(__xludf.DUMMYFUNCTION("GOOGLETRANSLATE(C1279, ""en"", ""fi"")"),"Luo ryhmäkeskustelu")</f>
        <v>Luo ryhmäkeskustelu</v>
      </c>
      <c r="M1279" s="1" t="s">
        <v>26227</v>
      </c>
      <c r="N1279" s="6" t="s">
        <v>26228</v>
      </c>
      <c r="O1279" s="6" t="s">
        <v>132</v>
      </c>
      <c r="P1279" s="1" t="s">
        <v>26229</v>
      </c>
      <c r="Q1279" s="7" t="str">
        <f>IFERROR(__xludf.DUMMYFUNCTION("GOOGLETRANSLATE(C1279, ""en"", ""in"")"),"Buat Obrolan Grup")</f>
        <v>Buat Obrolan Grup</v>
      </c>
      <c r="R1279" s="1" t="s">
        <v>26230</v>
      </c>
      <c r="S1279" s="6" t="s">
        <v>132</v>
      </c>
      <c r="T1279" s="1" t="s">
        <v>26231</v>
      </c>
      <c r="U1279" s="7" t="str">
        <f>IFERROR(__xludf.DUMMYFUNCTION("GOOGLETRANSLATE(C1279, ""en"", ""ko"")"),"그룹 채팅을 만듭니다")</f>
        <v>그룹 채팅을 만듭니다</v>
      </c>
      <c r="V1279" s="7" t="str">
        <f>IFERROR(__xludf.DUMMYFUNCTION("GOOGLETRANSLATE(C1279, ""en"", ""ms"")"),"Buat sembang kumpulan")</f>
        <v>Buat sembang kumpulan</v>
      </c>
      <c r="W1279" s="1" t="s">
        <v>26232</v>
      </c>
      <c r="X1279" s="7" t="str">
        <f>IFERROR(__xludf.DUMMYFUNCTION("GOOGLETRANSLATE(C1279, ""en"", ""no"")"),"Opprett gruppechatt")</f>
        <v>Opprett gruppechatt</v>
      </c>
      <c r="Y1279" s="1" t="s">
        <v>26233</v>
      </c>
      <c r="Z1279" s="1" t="s">
        <v>26234</v>
      </c>
      <c r="AA1279" s="7" t="str">
        <f>IFERROR(__xludf.DUMMYFUNCTION("GOOGLETRANSLATE(C1279, ""en"", ""ro"")"),"Creați un grup de chat")</f>
        <v>Creați un grup de chat</v>
      </c>
      <c r="AB1279" s="1" t="s">
        <v>26235</v>
      </c>
      <c r="AC1279" s="7" t="str">
        <f>IFERROR(__xludf.DUMMYFUNCTION("GOOGLETRANSLATE(C1279, ""en"", ""sk"")"),"Vytvorte skupinový chat")</f>
        <v>Vytvorte skupinový chat</v>
      </c>
      <c r="AD1279" s="6" t="s">
        <v>132</v>
      </c>
      <c r="AE1279" s="1" t="s">
        <v>26236</v>
      </c>
      <c r="AF1279" s="7" t="str">
        <f>IFERROR(__xludf.DUMMYFUNCTION("GOOGLETRANSLATE(C1279, ""en"", ""sv"")"),"Skapa gruppchatt")</f>
        <v>Skapa gruppchatt</v>
      </c>
      <c r="AG1279" s="6" t="s">
        <v>132</v>
      </c>
      <c r="AH1279" s="7" t="str">
        <f>IFERROR(__xludf.DUMMYFUNCTION("GOOGLETRANSLATE(C1279, ""en"", ""tr"")"),"Grup sohbeti oluştur")</f>
        <v>Grup sohbeti oluştur</v>
      </c>
      <c r="AI1279" s="6" t="s">
        <v>132</v>
      </c>
      <c r="AJ1279" s="6" t="s">
        <v>132</v>
      </c>
      <c r="AK1279" s="7" t="str">
        <f>IFERROR(__xludf.DUMMYFUNCTION("GOOGLETRANSLATE(C1279, ""en"", ""zh"")"),"创建组聊天")</f>
        <v>创建组聊天</v>
      </c>
      <c r="AL1279" s="6" t="s">
        <v>132</v>
      </c>
    </row>
    <row r="1280" ht="15.75" hidden="1" customHeight="1">
      <c r="A1280" s="1" t="s">
        <v>38</v>
      </c>
      <c r="B1280" s="1" t="s">
        <v>26237</v>
      </c>
      <c r="C1280" s="1" t="s">
        <v>26238</v>
      </c>
      <c r="D1280" s="8" t="s">
        <v>26239</v>
      </c>
      <c r="E1280" s="1" t="s">
        <v>26240</v>
      </c>
      <c r="F1280" s="6" t="s">
        <v>26241</v>
      </c>
      <c r="G1280" s="7" t="str">
        <f>IFERROR(__xludf.DUMMYFUNCTION("GOOGLETRANSLATE(C1280, ""en"", ""cs"")"),"Skenovat 2D čárový kód")</f>
        <v>Skenovat 2D čárový kód</v>
      </c>
      <c r="H1280" s="7" t="str">
        <f>IFERROR(__xludf.DUMMYFUNCTION("GOOGLETRANSLATE(C1280, ""en"", ""da"")"),"Scan 2D stregkode.")</f>
        <v>Scan 2D stregkode.</v>
      </c>
      <c r="I1280" s="1" t="s">
        <v>26242</v>
      </c>
      <c r="J1280" s="6" t="s">
        <v>132</v>
      </c>
      <c r="K1280" s="1" t="s">
        <v>26243</v>
      </c>
      <c r="L1280" s="7" t="str">
        <f>IFERROR(__xludf.DUMMYFUNCTION("GOOGLETRANSLATE(C1280, ""en"", ""fi"")"),"Skannaa 2D-viivakoodi")</f>
        <v>Skannaa 2D-viivakoodi</v>
      </c>
      <c r="M1280" s="1" t="s">
        <v>26244</v>
      </c>
      <c r="N1280" s="6" t="s">
        <v>26245</v>
      </c>
      <c r="O1280" s="6" t="s">
        <v>132</v>
      </c>
      <c r="P1280" s="1" t="s">
        <v>26246</v>
      </c>
      <c r="Q1280" s="7" t="str">
        <f>IFERROR(__xludf.DUMMYFUNCTION("GOOGLETRANSLATE(C1280, ""en"", ""in"")"),"Pindai barcode 2D.")</f>
        <v>Pindai barcode 2D.</v>
      </c>
      <c r="R1280" s="1" t="s">
        <v>26247</v>
      </c>
      <c r="S1280" s="6" t="s">
        <v>132</v>
      </c>
      <c r="T1280" s="1" t="s">
        <v>26248</v>
      </c>
      <c r="U1280" s="1" t="s">
        <v>26249</v>
      </c>
      <c r="V1280" s="7" t="str">
        <f>IFERROR(__xludf.DUMMYFUNCTION("GOOGLETRANSLATE(C1280, ""en"", ""ms"")"),"Imbas kod bar 2D.")</f>
        <v>Imbas kod bar 2D.</v>
      </c>
      <c r="W1280" s="1" t="s">
        <v>26250</v>
      </c>
      <c r="X1280" s="7" t="str">
        <f>IFERROR(__xludf.DUMMYFUNCTION("GOOGLETRANSLATE(C1280, ""en"", ""no"")"),"Skann 2D strekkode")</f>
        <v>Skann 2D strekkode</v>
      </c>
      <c r="Y1280" s="1" t="s">
        <v>26251</v>
      </c>
      <c r="Z1280" s="1" t="s">
        <v>26252</v>
      </c>
      <c r="AA1280" s="7" t="str">
        <f>IFERROR(__xludf.DUMMYFUNCTION("GOOGLETRANSLATE(C1280, ""en"", ""ro"")"),"Scanați codul de bare 2D")</f>
        <v>Scanați codul de bare 2D</v>
      </c>
      <c r="AB1280" s="1" t="s">
        <v>26253</v>
      </c>
      <c r="AC1280" s="7" t="str">
        <f>IFERROR(__xludf.DUMMYFUNCTION("GOOGLETRANSLATE(C1280, ""en"", ""sk"")"),"Skenovanie 2D čiarového kódu")</f>
        <v>Skenovanie 2D čiarového kódu</v>
      </c>
      <c r="AD1280" s="6" t="s">
        <v>132</v>
      </c>
      <c r="AE1280" s="1" t="s">
        <v>26254</v>
      </c>
      <c r="AF1280" s="1" t="s">
        <v>26255</v>
      </c>
      <c r="AG1280" s="6" t="s">
        <v>132</v>
      </c>
      <c r="AH1280" s="7" t="str">
        <f>IFERROR(__xludf.DUMMYFUNCTION("GOOGLETRANSLATE(C1280, ""en"", ""tr"")"),"Tarama 2D Barkod")</f>
        <v>Tarama 2D Barkod</v>
      </c>
      <c r="AI1280" s="6" t="s">
        <v>26256</v>
      </c>
      <c r="AJ1280" s="6" t="s">
        <v>132</v>
      </c>
      <c r="AK1280" s="7" t="str">
        <f>IFERROR(__xludf.DUMMYFUNCTION("GOOGLETRANSLATE(C1280, ""en"", ""zh"")"),"扫描2D条形码")</f>
        <v>扫描2D条形码</v>
      </c>
      <c r="AL1280" s="6" t="s">
        <v>26257</v>
      </c>
    </row>
    <row r="1281" ht="15.75" hidden="1" customHeight="1">
      <c r="A1281" s="1" t="s">
        <v>38</v>
      </c>
      <c r="B1281" s="1" t="s">
        <v>26258</v>
      </c>
      <c r="C1281" s="1" t="s">
        <v>26259</v>
      </c>
      <c r="D1281" s="7" t="str">
        <f>IFERROR(__xludf.DUMMYFUNCTION("GOOGLETRANSLATE(C1281, ""en"", ""ar"")"),"نيبال")</f>
        <v>نيبال</v>
      </c>
      <c r="E1281" s="7" t="str">
        <f>IFERROR(__xludf.DUMMYFUNCTION("GOOGLETRANSLATE(C1281, ""en"", ""bg"")"),"Непъл")</f>
        <v>Непъл</v>
      </c>
      <c r="F1281" s="6" t="s">
        <v>132</v>
      </c>
      <c r="G1281" s="7" t="str">
        <f>IFERROR(__xludf.DUMMYFUNCTION("GOOGLETRANSLATE(C1281, ""en"", ""cs"")"),"Nepál")</f>
        <v>Nepál</v>
      </c>
      <c r="H1281" s="7" t="str">
        <f>IFERROR(__xludf.DUMMYFUNCTION("GOOGLETRANSLATE(C1281, ""en"", ""da"")"),"Nepal.")</f>
        <v>Nepal.</v>
      </c>
      <c r="I1281" s="1" t="s">
        <v>26259</v>
      </c>
      <c r="J1281" s="6" t="s">
        <v>132</v>
      </c>
      <c r="K1281" s="1" t="s">
        <v>26259</v>
      </c>
      <c r="L1281" s="7" t="str">
        <f>IFERROR(__xludf.DUMMYFUNCTION("GOOGLETRANSLATE(C1281, ""en"", ""fi"")"),"Nepal")</f>
        <v>Nepal</v>
      </c>
      <c r="M1281" s="1" t="s">
        <v>26260</v>
      </c>
      <c r="N1281" s="6" t="s">
        <v>132</v>
      </c>
      <c r="O1281" s="6" t="s">
        <v>132</v>
      </c>
      <c r="P1281" s="1" t="s">
        <v>26259</v>
      </c>
      <c r="Q1281" s="7" t="str">
        <f>IFERROR(__xludf.DUMMYFUNCTION("GOOGLETRANSLATE(C1281, ""en"", ""in"")"),"Nepal")</f>
        <v>Nepal</v>
      </c>
      <c r="R1281" s="7" t="str">
        <f>IFERROR(__xludf.DUMMYFUNCTION("GOOGLETRANSLATE(C1281, ""en"", ""it"")"),"Nepal")</f>
        <v>Nepal</v>
      </c>
      <c r="S1281" s="6" t="s">
        <v>132</v>
      </c>
      <c r="T1281" s="7" t="str">
        <f>IFERROR(__xludf.DUMMYFUNCTION("GOOGLETRANSLATE(C1281, ""en"", ""ja"")"),"ネパール")</f>
        <v>ネパール</v>
      </c>
      <c r="U1281" s="7" t="str">
        <f>IFERROR(__xludf.DUMMYFUNCTION("GOOGLETRANSLATE(C1281, ""en"", ""ko"")"),"네팔")</f>
        <v>네팔</v>
      </c>
      <c r="V1281" s="7" t="str">
        <f>IFERROR(__xludf.DUMMYFUNCTION("GOOGLETRANSLATE(C1281, ""en"", ""ms"")"),"Nepal.")</f>
        <v>Nepal.</v>
      </c>
      <c r="W1281" s="7" t="str">
        <f>IFERROR(__xludf.DUMMYFUNCTION("GOOGLETRANSLATE(C1281, ""en"", ""nl"")"),"Nepal")</f>
        <v>Nepal</v>
      </c>
      <c r="X1281" s="7" t="str">
        <f>IFERROR(__xludf.DUMMYFUNCTION("GOOGLETRANSLATE(C1281, ""en"", ""no"")"),"Nepal")</f>
        <v>Nepal</v>
      </c>
      <c r="Y1281" s="7" t="str">
        <f>IFERROR(__xludf.DUMMYFUNCTION("GOOGLETRANSLATE(C1281, ""en"", ""pl"")"),"Nepal")</f>
        <v>Nepal</v>
      </c>
      <c r="Z1281" s="7" t="str">
        <f>IFERROR(__xludf.DUMMYFUNCTION("GOOGLETRANSLATE(C1281, ""en"", ""pt"")"),"Nepal")</f>
        <v>Nepal</v>
      </c>
      <c r="AA1281" s="7" t="str">
        <f>IFERROR(__xludf.DUMMYFUNCTION("GOOGLETRANSLATE(C1281, ""en"", ""ro"")"),"Nepal")</f>
        <v>Nepal</v>
      </c>
      <c r="AB1281" s="1" t="s">
        <v>26261</v>
      </c>
      <c r="AC1281" s="7" t="str">
        <f>IFERROR(__xludf.DUMMYFUNCTION("GOOGLETRANSLATE(C1281, ""en"", ""sk"")"),"Nepalista")</f>
        <v>Nepalista</v>
      </c>
      <c r="AD1281" s="6" t="s">
        <v>132</v>
      </c>
      <c r="AE1281" s="1" t="s">
        <v>26259</v>
      </c>
      <c r="AF1281" s="7" t="str">
        <f>IFERROR(__xludf.DUMMYFUNCTION("GOOGLETRANSLATE(C1281, ""en"", ""sv"")"),"Nepal")</f>
        <v>Nepal</v>
      </c>
      <c r="AG1281" s="6" t="s">
        <v>132</v>
      </c>
      <c r="AH1281" s="7" t="str">
        <f>IFERROR(__xludf.DUMMYFUNCTION("GOOGLETRANSLATE(C1281, ""en"", ""tr"")"),"Nepal")</f>
        <v>Nepal</v>
      </c>
      <c r="AI1281" s="6" t="s">
        <v>132</v>
      </c>
      <c r="AJ1281" s="6" t="s">
        <v>132</v>
      </c>
      <c r="AK1281" s="7" t="str">
        <f>IFERROR(__xludf.DUMMYFUNCTION("GOOGLETRANSLATE(C1281, ""en"", ""zh"")"),"尼泊尔")</f>
        <v>尼泊尔</v>
      </c>
      <c r="AL1281" s="6" t="s">
        <v>132</v>
      </c>
    </row>
    <row r="1282" ht="15.75" hidden="1" customHeight="1">
      <c r="A1282" s="1" t="s">
        <v>38</v>
      </c>
      <c r="B1282" s="1" t="s">
        <v>26262</v>
      </c>
      <c r="C1282" s="1" t="s">
        <v>26263</v>
      </c>
      <c r="D1282" s="8" t="s">
        <v>26264</v>
      </c>
      <c r="E1282" s="1" t="s">
        <v>26265</v>
      </c>
      <c r="F1282" s="6" t="s">
        <v>26266</v>
      </c>
      <c r="G1282" s="7" t="str">
        <f>IFERROR(__xludf.DUMMYFUNCTION("GOOGLETRANSLATE(C1282, ""en"", ""cs"")"),"Kontakt blokován.")</f>
        <v>Kontakt blokován.</v>
      </c>
      <c r="H1282" s="7" t="str">
        <f>IFERROR(__xludf.DUMMYFUNCTION("GOOGLETRANSLATE(C1282, ""en"", ""da"")"),"Kontakt blokeret.")</f>
        <v>Kontakt blokeret.</v>
      </c>
      <c r="I1282" s="1" t="s">
        <v>26267</v>
      </c>
      <c r="J1282" s="6" t="s">
        <v>132</v>
      </c>
      <c r="K1282" s="1" t="s">
        <v>26268</v>
      </c>
      <c r="L1282" s="7" t="str">
        <f>IFERROR(__xludf.DUMMYFUNCTION("GOOGLETRANSLATE(C1282, ""en"", ""fi"")"),"Ota yhteyttä.")</f>
        <v>Ota yhteyttä.</v>
      </c>
      <c r="M1282" s="1" t="s">
        <v>26269</v>
      </c>
      <c r="N1282" s="6" t="s">
        <v>26268</v>
      </c>
      <c r="O1282" s="6" t="s">
        <v>132</v>
      </c>
      <c r="P1282" s="1" t="s">
        <v>26270</v>
      </c>
      <c r="Q1282" s="7" t="str">
        <f>IFERROR(__xludf.DUMMYFUNCTION("GOOGLETRANSLATE(C1282, ""en"", ""in"")"),"Kontak diblokir.")</f>
        <v>Kontak diblokir.</v>
      </c>
      <c r="R1282" s="1" t="s">
        <v>26271</v>
      </c>
      <c r="S1282" s="6" t="s">
        <v>132</v>
      </c>
      <c r="T1282" s="1" t="s">
        <v>26169</v>
      </c>
      <c r="U1282" s="7" t="str">
        <f>IFERROR(__xludf.DUMMYFUNCTION("GOOGLETRANSLATE(C1282, ""en"", ""ko"")"),"연락처가 차단되었습니다.")</f>
        <v>연락처가 차단되었습니다.</v>
      </c>
      <c r="V1282" s="7" t="str">
        <f>IFERROR(__xludf.DUMMYFUNCTION("GOOGLETRANSLATE(C1282, ""en"", ""ms"")"),"Hubungi disekat.")</f>
        <v>Hubungi disekat.</v>
      </c>
      <c r="W1282" s="1" t="s">
        <v>26272</v>
      </c>
      <c r="X1282" s="7" t="str">
        <f>IFERROR(__xludf.DUMMYFUNCTION("GOOGLETRANSLATE(C1282, ""en"", ""no"")"),"Kontakt blokkert.")</f>
        <v>Kontakt blokkert.</v>
      </c>
      <c r="Y1282" s="1" t="s">
        <v>26172</v>
      </c>
      <c r="Z1282" s="7" t="str">
        <f>IFERROR(__xludf.DUMMYFUNCTION("GOOGLETRANSLATE(C1282, ""en"", ""pt"")"),"Contato bloqueado.")</f>
        <v>Contato bloqueado.</v>
      </c>
      <c r="AA1282" s="7" t="str">
        <f>IFERROR(__xludf.DUMMYFUNCTION("GOOGLETRANSLATE(C1282, ""en"", ""ro"")"),"Contactul blocat.")</f>
        <v>Contactul blocat.</v>
      </c>
      <c r="AB1282" s="1" t="s">
        <v>26173</v>
      </c>
      <c r="AC1282" s="7" t="str">
        <f>IFERROR(__xludf.DUMMYFUNCTION("GOOGLETRANSLATE(C1282, ""en"", ""sk"")"),"Kontakt zablokovaný.")</f>
        <v>Kontakt zablokovaný.</v>
      </c>
      <c r="AD1282" s="6" t="s">
        <v>132</v>
      </c>
      <c r="AE1282" s="1" t="s">
        <v>26273</v>
      </c>
      <c r="AF1282" s="1" t="s">
        <v>26274</v>
      </c>
      <c r="AG1282" s="6" t="s">
        <v>132</v>
      </c>
      <c r="AH1282" s="7" t="str">
        <f>IFERROR(__xludf.DUMMYFUNCTION("GOOGLETRANSLATE(C1282, ""en"", ""tr"")"),"Temas engellendi.")</f>
        <v>Temas engellendi.</v>
      </c>
      <c r="AI1282" s="6" t="s">
        <v>26275</v>
      </c>
      <c r="AJ1282" s="6" t="s">
        <v>132</v>
      </c>
      <c r="AK1282" s="7" t="str">
        <f>IFERROR(__xludf.DUMMYFUNCTION("GOOGLETRANSLATE(C1282, ""en"", ""zh"")"),"触点堵塞。")</f>
        <v>触点堵塞。</v>
      </c>
      <c r="AL1282" s="6" t="s">
        <v>26276</v>
      </c>
    </row>
    <row r="1283" ht="15.75" hidden="1" customHeight="1">
      <c r="A1283" s="1" t="s">
        <v>38</v>
      </c>
      <c r="B1283" s="1" t="s">
        <v>26277</v>
      </c>
      <c r="C1283" s="1" t="s">
        <v>26278</v>
      </c>
      <c r="D1283" s="8" t="s">
        <v>26279</v>
      </c>
      <c r="E1283" s="1" t="s">
        <v>26280</v>
      </c>
      <c r="F1283" s="6" t="s">
        <v>26281</v>
      </c>
      <c r="G1283" s="7" t="str">
        <f>IFERROR(__xludf.DUMMYFUNCTION("GOOGLETRANSLATE(C1283, ""en"", ""cs"")"),"Přidat zpět")</f>
        <v>Přidat zpět</v>
      </c>
      <c r="H1283" s="7" t="str">
        <f>IFERROR(__xludf.DUMMYFUNCTION("GOOGLETRANSLATE(C1283, ""en"", ""da"")"),"Tilføj tilbage")</f>
        <v>Tilføj tilbage</v>
      </c>
      <c r="I1283" s="1" t="s">
        <v>26282</v>
      </c>
      <c r="J1283" s="6" t="s">
        <v>132</v>
      </c>
      <c r="K1283" s="1" t="s">
        <v>2335</v>
      </c>
      <c r="L1283" s="7" t="str">
        <f>IFERROR(__xludf.DUMMYFUNCTION("GOOGLETRANSLATE(C1283, ""en"", ""fi"")"),"Lisää takaisin")</f>
        <v>Lisää takaisin</v>
      </c>
      <c r="M1283" s="1" t="s">
        <v>26283</v>
      </c>
      <c r="N1283" s="6" t="s">
        <v>26284</v>
      </c>
      <c r="O1283" s="6" t="s">
        <v>132</v>
      </c>
      <c r="P1283" s="1" t="s">
        <v>26285</v>
      </c>
      <c r="Q1283" s="9" t="s">
        <v>26286</v>
      </c>
      <c r="R1283" s="1" t="s">
        <v>26287</v>
      </c>
      <c r="S1283" s="6" t="s">
        <v>132</v>
      </c>
      <c r="T1283" s="1" t="s">
        <v>26288</v>
      </c>
      <c r="U1283" s="1" t="s">
        <v>26278</v>
      </c>
      <c r="V1283" s="7" t="str">
        <f>IFERROR(__xludf.DUMMYFUNCTION("GOOGLETRANSLATE(C1283, ""en"", ""ms"")"),"Tambah Back.")</f>
        <v>Tambah Back.</v>
      </c>
      <c r="W1283" s="1" t="s">
        <v>26289</v>
      </c>
      <c r="X1283" s="7" t="str">
        <f>IFERROR(__xludf.DUMMYFUNCTION("GOOGLETRANSLATE(C1283, ""en"", ""no"")"),"Legg til baksiden")</f>
        <v>Legg til baksiden</v>
      </c>
      <c r="Y1283" s="1" t="s">
        <v>26290</v>
      </c>
      <c r="Z1283" s="1" t="s">
        <v>26291</v>
      </c>
      <c r="AA1283" s="7" t="str">
        <f>IFERROR(__xludf.DUMMYFUNCTION("GOOGLETRANSLATE(C1283, ""en"", ""ro"")"),"Adaugă înapoi")</f>
        <v>Adaugă înapoi</v>
      </c>
      <c r="AB1283" s="1" t="s">
        <v>26292</v>
      </c>
      <c r="AC1283" s="1" t="s">
        <v>26293</v>
      </c>
      <c r="AD1283" s="6" t="s">
        <v>132</v>
      </c>
      <c r="AE1283" s="1" t="s">
        <v>26294</v>
      </c>
      <c r="AF1283" s="1" t="s">
        <v>26295</v>
      </c>
      <c r="AG1283" s="6" t="s">
        <v>132</v>
      </c>
      <c r="AH1283" s="7" t="str">
        <f>IFERROR(__xludf.DUMMYFUNCTION("GOOGLETRANSLATE(C1283, ""en"", ""tr"")"),"Geri ekle")</f>
        <v>Geri ekle</v>
      </c>
      <c r="AI1283" s="6" t="s">
        <v>26296</v>
      </c>
      <c r="AJ1283" s="6" t="s">
        <v>26297</v>
      </c>
      <c r="AK1283" s="7" t="str">
        <f>IFERROR(__xludf.DUMMYFUNCTION("GOOGLETRANSLATE(C1283, ""en"", ""zh"")"),"加回")</f>
        <v>加回</v>
      </c>
      <c r="AL1283" s="6" t="s">
        <v>26298</v>
      </c>
    </row>
    <row r="1284" ht="15.75" hidden="1" customHeight="1">
      <c r="A1284" s="1" t="s">
        <v>38</v>
      </c>
      <c r="B1284" s="1" t="s">
        <v>26299</v>
      </c>
      <c r="C1284" s="1" t="s">
        <v>26300</v>
      </c>
      <c r="D1284" s="7" t="str">
        <f>IFERROR(__xludf.DUMMYFUNCTION("GOOGLETRANSLATE(C1284, ""en"", ""ar"")"),"فرنسا")</f>
        <v>فرنسا</v>
      </c>
      <c r="E1284" s="7" t="str">
        <f>IFERROR(__xludf.DUMMYFUNCTION("GOOGLETRANSLATE(C1284, ""en"", ""bg"")"),"Франция")</f>
        <v>Франция</v>
      </c>
      <c r="F1284" s="6" t="s">
        <v>132</v>
      </c>
      <c r="G1284" s="7" t="str">
        <f>IFERROR(__xludf.DUMMYFUNCTION("GOOGLETRANSLATE(C1284, ""en"", ""cs"")"),"Francie")</f>
        <v>Francie</v>
      </c>
      <c r="H1284" s="7" t="str">
        <f>IFERROR(__xludf.DUMMYFUNCTION("GOOGLETRANSLATE(C1284, ""en"", ""da"")"),"Frankrig.")</f>
        <v>Frankrig.</v>
      </c>
      <c r="I1284" s="1" t="s">
        <v>26301</v>
      </c>
      <c r="J1284" s="6" t="s">
        <v>132</v>
      </c>
      <c r="K1284" s="1" t="s">
        <v>26302</v>
      </c>
      <c r="L1284" s="7" t="str">
        <f>IFERROR(__xludf.DUMMYFUNCTION("GOOGLETRANSLATE(C1284, ""en"", ""fi"")"),"Ranska")</f>
        <v>Ranska</v>
      </c>
      <c r="M1284" s="1" t="s">
        <v>26300</v>
      </c>
      <c r="N1284" s="6" t="s">
        <v>132</v>
      </c>
      <c r="O1284" s="6" t="s">
        <v>132</v>
      </c>
      <c r="P1284" s="1" t="s">
        <v>26300</v>
      </c>
      <c r="Q1284" s="7" t="str">
        <f>IFERROR(__xludf.DUMMYFUNCTION("GOOGLETRANSLATE(C1284, ""en"", ""in"")"),"Perancis")</f>
        <v>Perancis</v>
      </c>
      <c r="R1284" s="7" t="str">
        <f>IFERROR(__xludf.DUMMYFUNCTION("GOOGLETRANSLATE(C1284, ""en"", ""it"")"),"Francia")</f>
        <v>Francia</v>
      </c>
      <c r="S1284" s="6" t="s">
        <v>132</v>
      </c>
      <c r="T1284" s="7" t="str">
        <f>IFERROR(__xludf.DUMMYFUNCTION("GOOGLETRANSLATE(C1284, ""en"", ""ja"")"),"フランス")</f>
        <v>フランス</v>
      </c>
      <c r="U1284" s="7" t="str">
        <f>IFERROR(__xludf.DUMMYFUNCTION("GOOGLETRANSLATE(C1284, ""en"", ""ko"")"),"프랑스")</f>
        <v>프랑스</v>
      </c>
      <c r="V1284" s="7" t="str">
        <f>IFERROR(__xludf.DUMMYFUNCTION("GOOGLETRANSLATE(C1284, ""en"", ""ms"")"),"Perancis.")</f>
        <v>Perancis.</v>
      </c>
      <c r="W1284" s="7" t="str">
        <f>IFERROR(__xludf.DUMMYFUNCTION("GOOGLETRANSLATE(C1284, ""en"", ""nl"")"),"Frankrijk")</f>
        <v>Frankrijk</v>
      </c>
      <c r="X1284" s="7" t="str">
        <f>IFERROR(__xludf.DUMMYFUNCTION("GOOGLETRANSLATE(C1284, ""en"", ""no"")"),"Frankrike")</f>
        <v>Frankrike</v>
      </c>
      <c r="Y1284" s="7" t="str">
        <f>IFERROR(__xludf.DUMMYFUNCTION("GOOGLETRANSLATE(C1284, ""en"", ""pl"")"),"Francja")</f>
        <v>Francja</v>
      </c>
      <c r="Z1284" s="7" t="str">
        <f>IFERROR(__xludf.DUMMYFUNCTION("GOOGLETRANSLATE(C1284, ""en"", ""pt"")"),"França")</f>
        <v>França</v>
      </c>
      <c r="AA1284" s="7" t="str">
        <f>IFERROR(__xludf.DUMMYFUNCTION("GOOGLETRANSLATE(C1284, ""en"", ""ro"")"),"Franţa")</f>
        <v>Franţa</v>
      </c>
      <c r="AB1284" s="1" t="s">
        <v>26303</v>
      </c>
      <c r="AC1284" s="7" t="str">
        <f>IFERROR(__xludf.DUMMYFUNCTION("GOOGLETRANSLATE(C1284, ""en"", ""sk"")"),"Francúzsko")</f>
        <v>Francúzsko</v>
      </c>
      <c r="AD1284" s="6" t="s">
        <v>132</v>
      </c>
      <c r="AE1284" s="1" t="s">
        <v>26304</v>
      </c>
      <c r="AF1284" s="7" t="str">
        <f>IFERROR(__xludf.DUMMYFUNCTION("GOOGLETRANSLATE(C1284, ""en"", ""sv"")"),"Frankrike")</f>
        <v>Frankrike</v>
      </c>
      <c r="AG1284" s="6" t="s">
        <v>132</v>
      </c>
      <c r="AH1284" s="7" t="str">
        <f>IFERROR(__xludf.DUMMYFUNCTION("GOOGLETRANSLATE(C1284, ""en"", ""tr"")"),"Fransa")</f>
        <v>Fransa</v>
      </c>
      <c r="AI1284" s="6" t="s">
        <v>132</v>
      </c>
      <c r="AJ1284" s="6" t="s">
        <v>132</v>
      </c>
      <c r="AK1284" s="7" t="str">
        <f>IFERROR(__xludf.DUMMYFUNCTION("GOOGLETRANSLATE(C1284, ""en"", ""zh"")"),"法国")</f>
        <v>法国</v>
      </c>
      <c r="AL1284" s="6" t="s">
        <v>132</v>
      </c>
    </row>
    <row r="1285" ht="15.75" customHeight="1">
      <c r="A1285" s="1" t="s">
        <v>127</v>
      </c>
      <c r="B1285" s="1" t="s">
        <v>26305</v>
      </c>
      <c r="C1285" s="1" t="s">
        <v>26306</v>
      </c>
      <c r="D1285" s="8" t="s">
        <v>26307</v>
      </c>
      <c r="E1285" s="1" t="s">
        <v>26308</v>
      </c>
      <c r="F1285" s="6" t="s">
        <v>132</v>
      </c>
      <c r="G1285" s="1" t="s">
        <v>26309</v>
      </c>
      <c r="H1285" s="1" t="s">
        <v>26310</v>
      </c>
      <c r="I1285" s="1" t="s">
        <v>26311</v>
      </c>
      <c r="J1285" s="6" t="s">
        <v>26312</v>
      </c>
      <c r="K1285" s="1" t="s">
        <v>26313</v>
      </c>
      <c r="L1285" s="1" t="s">
        <v>26314</v>
      </c>
      <c r="M1285" s="1" t="s">
        <v>26315</v>
      </c>
      <c r="N1285" s="6" t="s">
        <v>132</v>
      </c>
      <c r="O1285" s="6" t="s">
        <v>26316</v>
      </c>
      <c r="P1285" s="1" t="s">
        <v>26306</v>
      </c>
      <c r="Q1285" s="1" t="s">
        <v>26317</v>
      </c>
      <c r="R1285" s="1" t="s">
        <v>26318</v>
      </c>
      <c r="S1285" s="10" t="s">
        <v>26319</v>
      </c>
      <c r="T1285" s="1" t="s">
        <v>26320</v>
      </c>
      <c r="U1285" s="1" t="s">
        <v>26321</v>
      </c>
      <c r="V1285" s="1" t="s">
        <v>26322</v>
      </c>
      <c r="W1285" s="1" t="s">
        <v>26323</v>
      </c>
      <c r="X1285" s="1" t="s">
        <v>26324</v>
      </c>
      <c r="Y1285" s="1" t="s">
        <v>26325</v>
      </c>
      <c r="Z1285" s="1" t="s">
        <v>26326</v>
      </c>
      <c r="AA1285" s="1" t="s">
        <v>26327</v>
      </c>
      <c r="AB1285" s="1" t="s">
        <v>26328</v>
      </c>
      <c r="AC1285" s="1" t="s">
        <v>26329</v>
      </c>
      <c r="AD1285" s="6" t="s">
        <v>26330</v>
      </c>
      <c r="AE1285" s="1" t="s">
        <v>26331</v>
      </c>
      <c r="AF1285" s="1" t="s">
        <v>26332</v>
      </c>
      <c r="AG1285" s="6" t="s">
        <v>26333</v>
      </c>
      <c r="AH1285" s="1" t="s">
        <v>26334</v>
      </c>
      <c r="AI1285" s="6" t="s">
        <v>132</v>
      </c>
      <c r="AJ1285" s="6" t="s">
        <v>26335</v>
      </c>
      <c r="AK1285" s="1" t="s">
        <v>26336</v>
      </c>
      <c r="AL1285" s="6" t="s">
        <v>132</v>
      </c>
    </row>
    <row r="1286" ht="15.75" hidden="1" customHeight="1">
      <c r="A1286" s="1" t="s">
        <v>38</v>
      </c>
      <c r="B1286" s="1" t="s">
        <v>26337</v>
      </c>
      <c r="C1286" s="1" t="s">
        <v>26338</v>
      </c>
      <c r="D1286" s="8" t="s">
        <v>26339</v>
      </c>
      <c r="E1286" s="1" t="s">
        <v>26340</v>
      </c>
      <c r="F1286" s="6" t="s">
        <v>26341</v>
      </c>
      <c r="G1286" s="7" t="str">
        <f>IFERROR(__xludf.DUMMYFUNCTION("GOOGLETRANSLATE(C1286, ""en"", ""cs"")"),"Tento účet již existuje")</f>
        <v>Tento účet již existuje</v>
      </c>
      <c r="H1286" s="7" t="str">
        <f>IFERROR(__xludf.DUMMYFUNCTION("GOOGLETRANSLATE(C1286, ""en"", ""da"")"),"Denne konto eksisterer allerede")</f>
        <v>Denne konto eksisterer allerede</v>
      </c>
      <c r="I1286" s="1" t="s">
        <v>26342</v>
      </c>
      <c r="J1286" s="6" t="s">
        <v>132</v>
      </c>
      <c r="K1286" s="1" t="s">
        <v>26343</v>
      </c>
      <c r="L1286" s="7" t="str">
        <f>IFERROR(__xludf.DUMMYFUNCTION("GOOGLETRANSLATE(C1286, ""en"", ""fi"")"),"Tämä tili on jo olemassa")</f>
        <v>Tämä tili on jo olemassa</v>
      </c>
      <c r="M1286" s="1" t="s">
        <v>26344</v>
      </c>
      <c r="N1286" s="6" t="s">
        <v>26345</v>
      </c>
      <c r="O1286" s="6" t="s">
        <v>132</v>
      </c>
      <c r="P1286" s="1" t="s">
        <v>26346</v>
      </c>
      <c r="Q1286" s="9" t="s">
        <v>26347</v>
      </c>
      <c r="R1286" s="1" t="s">
        <v>26348</v>
      </c>
      <c r="S1286" s="6" t="s">
        <v>132</v>
      </c>
      <c r="T1286" s="1" t="s">
        <v>26349</v>
      </c>
      <c r="U1286" s="1" t="s">
        <v>26350</v>
      </c>
      <c r="V1286" s="7" t="str">
        <f>IFERROR(__xludf.DUMMYFUNCTION("GOOGLETRANSLATE(C1286, ""en"", ""ms"")"),"Akaun ini telah wujud")</f>
        <v>Akaun ini telah wujud</v>
      </c>
      <c r="W1286" s="1" t="s">
        <v>26351</v>
      </c>
      <c r="X1286" s="7" t="str">
        <f>IFERROR(__xludf.DUMMYFUNCTION("GOOGLETRANSLATE(C1286, ""en"", ""no"")"),"Denne kontoen eksisterer allerede")</f>
        <v>Denne kontoen eksisterer allerede</v>
      </c>
      <c r="Y1286" s="1" t="s">
        <v>26352</v>
      </c>
      <c r="Z1286" s="1" t="s">
        <v>26353</v>
      </c>
      <c r="AA1286" s="7" t="str">
        <f>IFERROR(__xludf.DUMMYFUNCTION("GOOGLETRANSLATE(C1286, ""en"", ""ro"")"),"acest cont există deja")</f>
        <v>acest cont există deja</v>
      </c>
      <c r="AB1286" s="1" t="s">
        <v>26354</v>
      </c>
      <c r="AC1286" s="1" t="s">
        <v>26355</v>
      </c>
      <c r="AD1286" s="6" t="s">
        <v>132</v>
      </c>
      <c r="AE1286" s="1" t="s">
        <v>26356</v>
      </c>
      <c r="AF1286" s="1" t="s">
        <v>26357</v>
      </c>
      <c r="AG1286" s="6" t="s">
        <v>132</v>
      </c>
      <c r="AH1286" s="7" t="str">
        <f>IFERROR(__xludf.DUMMYFUNCTION("GOOGLETRANSLATE(C1286, ""en"", ""tr"")"),"Bu hesap zaten mevcut")</f>
        <v>Bu hesap zaten mevcut</v>
      </c>
      <c r="AI1286" s="6" t="s">
        <v>26358</v>
      </c>
      <c r="AJ1286" s="6" t="s">
        <v>26359</v>
      </c>
      <c r="AK1286" s="7" t="str">
        <f>IFERROR(__xludf.DUMMYFUNCTION("GOOGLETRANSLATE(C1286, ""en"", ""zh"")"),"此帐户已经存在")</f>
        <v>此帐户已经存在</v>
      </c>
      <c r="AL1286" s="6" t="s">
        <v>26360</v>
      </c>
    </row>
    <row r="1287" ht="15.75" hidden="1" customHeight="1">
      <c r="A1287" s="1" t="s">
        <v>38</v>
      </c>
      <c r="B1287" s="1" t="s">
        <v>26361</v>
      </c>
      <c r="C1287" s="1" t="s">
        <v>26362</v>
      </c>
      <c r="D1287" s="8" t="s">
        <v>26363</v>
      </c>
      <c r="E1287" s="1" t="s">
        <v>26364</v>
      </c>
      <c r="F1287" s="6" t="s">
        <v>26365</v>
      </c>
      <c r="G1287" s="7" t="str">
        <f>IFERROR(__xludf.DUMMYFUNCTION("GOOGLETRANSLATE(C1287, ""en"", ""cs"")"),"Pokročilý mód")</f>
        <v>Pokročilý mód</v>
      </c>
      <c r="H1287" s="7" t="str">
        <f>IFERROR(__xludf.DUMMYFUNCTION("GOOGLETRANSLATE(C1287, ""en"", ""da"")"),"Avanceret tilstand")</f>
        <v>Avanceret tilstand</v>
      </c>
      <c r="I1287" s="1" t="s">
        <v>26366</v>
      </c>
      <c r="J1287" s="6" t="s">
        <v>132</v>
      </c>
      <c r="K1287" s="1" t="s">
        <v>26367</v>
      </c>
      <c r="L1287" s="7" t="str">
        <f>IFERROR(__xludf.DUMMYFUNCTION("GOOGLETRANSLATE(C1287, ""en"", ""fi"")"),"Kehittynyt tila")</f>
        <v>Kehittynyt tila</v>
      </c>
      <c r="M1287" s="1" t="s">
        <v>26368</v>
      </c>
      <c r="N1287" s="6" t="s">
        <v>26367</v>
      </c>
      <c r="O1287" s="6" t="s">
        <v>132</v>
      </c>
      <c r="P1287" s="1" t="s">
        <v>26369</v>
      </c>
      <c r="Q1287" s="9" t="s">
        <v>26370</v>
      </c>
      <c r="R1287" s="1" t="s">
        <v>26371</v>
      </c>
      <c r="S1287" s="6" t="s">
        <v>132</v>
      </c>
      <c r="T1287" s="1" t="s">
        <v>26372</v>
      </c>
      <c r="U1287" s="1" t="s">
        <v>26373</v>
      </c>
      <c r="V1287" s="7" t="str">
        <f>IFERROR(__xludf.DUMMYFUNCTION("GOOGLETRANSLATE(C1287, ""en"", ""ms"")"),"Mod lanjutan")</f>
        <v>Mod lanjutan</v>
      </c>
      <c r="W1287" s="1" t="s">
        <v>26374</v>
      </c>
      <c r="X1287" s="7" t="str">
        <f>IFERROR(__xludf.DUMMYFUNCTION("GOOGLETRANSLATE(C1287, ""en"", ""no"")"),"Avansert modus")</f>
        <v>Avansert modus</v>
      </c>
      <c r="Y1287" s="1" t="s">
        <v>26375</v>
      </c>
      <c r="Z1287" s="1" t="s">
        <v>26376</v>
      </c>
      <c r="AA1287" s="7" t="str">
        <f>IFERROR(__xludf.DUMMYFUNCTION("GOOGLETRANSLATE(C1287, ""en"", ""ro"")"),"Mod avansat")</f>
        <v>Mod avansat</v>
      </c>
      <c r="AB1287" s="1" t="s">
        <v>26377</v>
      </c>
      <c r="AC1287" s="1" t="s">
        <v>26378</v>
      </c>
      <c r="AD1287" s="6" t="s">
        <v>132</v>
      </c>
      <c r="AE1287" s="1" t="s">
        <v>26379</v>
      </c>
      <c r="AF1287" s="1" t="s">
        <v>26380</v>
      </c>
      <c r="AG1287" s="6" t="s">
        <v>132</v>
      </c>
      <c r="AH1287" s="7" t="str">
        <f>IFERROR(__xludf.DUMMYFUNCTION("GOOGLETRANSLATE(C1287, ""en"", ""tr"")"),"Gelişmiş mod")</f>
        <v>Gelişmiş mod</v>
      </c>
      <c r="AI1287" s="6" t="s">
        <v>26381</v>
      </c>
      <c r="AJ1287" s="6" t="s">
        <v>26382</v>
      </c>
      <c r="AK1287" s="7" t="str">
        <f>IFERROR(__xludf.DUMMYFUNCTION("GOOGLETRANSLATE(C1287, ""en"", ""zh"")"),"高级模式")</f>
        <v>高级模式</v>
      </c>
      <c r="AL1287" s="6" t="s">
        <v>26383</v>
      </c>
    </row>
    <row r="1288" ht="15.75" customHeight="1">
      <c r="A1288" s="1" t="s">
        <v>127</v>
      </c>
      <c r="B1288" s="1" t="s">
        <v>26384</v>
      </c>
      <c r="C1288" s="1" t="s">
        <v>26385</v>
      </c>
      <c r="D1288" s="8" t="s">
        <v>26386</v>
      </c>
      <c r="E1288" s="1" t="s">
        <v>26387</v>
      </c>
      <c r="F1288" s="6" t="s">
        <v>132</v>
      </c>
      <c r="G1288" s="1" t="s">
        <v>26388</v>
      </c>
      <c r="H1288" s="1" t="s">
        <v>26389</v>
      </c>
      <c r="I1288" s="1" t="s">
        <v>26390</v>
      </c>
      <c r="J1288" s="6" t="s">
        <v>26391</v>
      </c>
      <c r="K1288" s="1" t="s">
        <v>26392</v>
      </c>
      <c r="L1288" s="1" t="s">
        <v>26393</v>
      </c>
      <c r="M1288" s="1" t="s">
        <v>26394</v>
      </c>
      <c r="N1288" s="6" t="s">
        <v>132</v>
      </c>
      <c r="O1288" s="6" t="s">
        <v>26395</v>
      </c>
      <c r="P1288" s="1" t="s">
        <v>26396</v>
      </c>
      <c r="Q1288" s="1" t="s">
        <v>26397</v>
      </c>
      <c r="R1288" s="1" t="s">
        <v>26398</v>
      </c>
      <c r="S1288" s="10" t="s">
        <v>26399</v>
      </c>
      <c r="T1288" s="1" t="s">
        <v>26400</v>
      </c>
      <c r="U1288" s="1" t="s">
        <v>26401</v>
      </c>
      <c r="V1288" s="1" t="s">
        <v>26402</v>
      </c>
      <c r="W1288" s="1" t="s">
        <v>26403</v>
      </c>
      <c r="X1288" s="1" t="s">
        <v>26404</v>
      </c>
      <c r="Y1288" s="1" t="s">
        <v>26405</v>
      </c>
      <c r="Z1288" s="1" t="s">
        <v>26406</v>
      </c>
      <c r="AA1288" s="1" t="s">
        <v>26407</v>
      </c>
      <c r="AB1288" s="1" t="s">
        <v>26408</v>
      </c>
      <c r="AC1288" s="1" t="s">
        <v>26409</v>
      </c>
      <c r="AD1288" s="6" t="s">
        <v>26410</v>
      </c>
      <c r="AE1288" s="1" t="s">
        <v>26410</v>
      </c>
      <c r="AF1288" s="1" t="s">
        <v>26411</v>
      </c>
      <c r="AG1288" s="6" t="s">
        <v>26412</v>
      </c>
      <c r="AH1288" s="1" t="s">
        <v>26413</v>
      </c>
      <c r="AI1288" s="6" t="s">
        <v>132</v>
      </c>
      <c r="AJ1288" s="6" t="s">
        <v>26414</v>
      </c>
      <c r="AK1288" s="1" t="s">
        <v>26415</v>
      </c>
      <c r="AL1288" s="6" t="s">
        <v>132</v>
      </c>
    </row>
    <row r="1289" ht="15.75" hidden="1" customHeight="1">
      <c r="A1289" s="1" t="s">
        <v>38</v>
      </c>
      <c r="B1289" s="1" t="s">
        <v>26416</v>
      </c>
      <c r="C1289" s="1" t="s">
        <v>26417</v>
      </c>
      <c r="D1289" s="8" t="s">
        <v>26418</v>
      </c>
      <c r="E1289" s="1" t="s">
        <v>26419</v>
      </c>
      <c r="F1289" s="6" t="s">
        <v>26420</v>
      </c>
      <c r="G1289" s="7" t="str">
        <f>IFERROR(__xludf.DUMMYFUNCTION("GOOGLETRANSLATE(C1289, ""en"", ""cs"")"),"Jasná zařízení")</f>
        <v>Jasná zařízení</v>
      </c>
      <c r="H1289" s="7" t="str">
        <f>IFERROR(__xludf.DUMMYFUNCTION("GOOGLETRANSLATE(C1289, ""en"", ""da"")"),"Klare enheder")</f>
        <v>Klare enheder</v>
      </c>
      <c r="I1289" s="1" t="s">
        <v>26421</v>
      </c>
      <c r="J1289" s="6" t="s">
        <v>132</v>
      </c>
      <c r="K1289" s="1" t="s">
        <v>26422</v>
      </c>
      <c r="L1289" s="7" t="str">
        <f>IFERROR(__xludf.DUMMYFUNCTION("GOOGLETRANSLATE(C1289, ""en"", ""fi"")"),"Tyhjennä laitteet")</f>
        <v>Tyhjennä laitteet</v>
      </c>
      <c r="M1289" s="1" t="s">
        <v>26423</v>
      </c>
      <c r="N1289" s="6" t="s">
        <v>26424</v>
      </c>
      <c r="O1289" s="6" t="s">
        <v>132</v>
      </c>
      <c r="P1289" s="1" t="s">
        <v>26425</v>
      </c>
      <c r="Q1289" s="9" t="s">
        <v>26426</v>
      </c>
      <c r="R1289" s="1" t="s">
        <v>26427</v>
      </c>
      <c r="S1289" s="6" t="s">
        <v>132</v>
      </c>
      <c r="T1289" s="1" t="s">
        <v>26428</v>
      </c>
      <c r="U1289" s="1" t="s">
        <v>26429</v>
      </c>
      <c r="V1289" s="7" t="str">
        <f>IFERROR(__xludf.DUMMYFUNCTION("GOOGLETRANSLATE(C1289, ""en"", ""ms"")"),"Alat yang jelas")</f>
        <v>Alat yang jelas</v>
      </c>
      <c r="W1289" s="1" t="s">
        <v>26430</v>
      </c>
      <c r="X1289" s="7" t="str">
        <f>IFERROR(__xludf.DUMMYFUNCTION("GOOGLETRANSLATE(C1289, ""en"", ""no"")"),"Klare enheter")</f>
        <v>Klare enheter</v>
      </c>
      <c r="Y1289" s="1" t="s">
        <v>26431</v>
      </c>
      <c r="Z1289" s="1" t="s">
        <v>26432</v>
      </c>
      <c r="AA1289" s="7" t="str">
        <f>IFERROR(__xludf.DUMMYFUNCTION("GOOGLETRANSLATE(C1289, ""en"", ""ro"")"),"Dispozitive clare")</f>
        <v>Dispozitive clare</v>
      </c>
      <c r="AB1289" s="1" t="s">
        <v>26433</v>
      </c>
      <c r="AC1289" s="7" t="str">
        <f>IFERROR(__xludf.DUMMYFUNCTION("GOOGLETRANSLATE(C1289, ""en"", ""sk"")"),"Jasné zariadenia")</f>
        <v>Jasné zariadenia</v>
      </c>
      <c r="AD1289" s="6" t="s">
        <v>132</v>
      </c>
      <c r="AE1289" s="1" t="s">
        <v>26434</v>
      </c>
      <c r="AF1289" s="1" t="s">
        <v>26435</v>
      </c>
      <c r="AG1289" s="6" t="s">
        <v>132</v>
      </c>
      <c r="AH1289" s="7" t="str">
        <f>IFERROR(__xludf.DUMMYFUNCTION("GOOGLETRANSLATE(C1289, ""en"", ""tr"")"),"Cihazları temizle")</f>
        <v>Cihazları temizle</v>
      </c>
      <c r="AI1289" s="6" t="s">
        <v>26436</v>
      </c>
      <c r="AJ1289" s="6" t="s">
        <v>26437</v>
      </c>
      <c r="AK1289" s="7" t="str">
        <f>IFERROR(__xludf.DUMMYFUNCTION("GOOGLETRANSLATE(C1289, ""en"", ""zh"")"),"清晰的设备")</f>
        <v>清晰的设备</v>
      </c>
      <c r="AL1289" s="6" t="s">
        <v>26438</v>
      </c>
    </row>
    <row r="1290" ht="15.75" customHeight="1">
      <c r="A1290" s="1" t="s">
        <v>127</v>
      </c>
      <c r="B1290" s="1" t="s">
        <v>26439</v>
      </c>
      <c r="C1290" s="1" t="s">
        <v>26440</v>
      </c>
      <c r="D1290" s="8" t="s">
        <v>26441</v>
      </c>
      <c r="E1290" s="1" t="s">
        <v>24730</v>
      </c>
      <c r="F1290" s="6" t="s">
        <v>132</v>
      </c>
      <c r="G1290" s="1" t="s">
        <v>24750</v>
      </c>
      <c r="H1290" s="1" t="s">
        <v>24732</v>
      </c>
      <c r="I1290" s="1" t="s">
        <v>26442</v>
      </c>
      <c r="J1290" s="6" t="s">
        <v>26443</v>
      </c>
      <c r="K1290" s="1" t="s">
        <v>24735</v>
      </c>
      <c r="L1290" s="1" t="s">
        <v>24736</v>
      </c>
      <c r="M1290" s="1" t="s">
        <v>24737</v>
      </c>
      <c r="N1290" s="6" t="s">
        <v>132</v>
      </c>
      <c r="O1290" s="6" t="s">
        <v>26444</v>
      </c>
      <c r="P1290" s="1" t="s">
        <v>24739</v>
      </c>
      <c r="Q1290" s="1" t="s">
        <v>24740</v>
      </c>
      <c r="R1290" s="1" t="s">
        <v>24741</v>
      </c>
      <c r="S1290" s="10" t="s">
        <v>24742</v>
      </c>
      <c r="T1290" s="1" t="s">
        <v>24743</v>
      </c>
      <c r="U1290" s="1" t="s">
        <v>24744</v>
      </c>
      <c r="V1290" s="1" t="s">
        <v>24740</v>
      </c>
      <c r="W1290" s="1" t="s">
        <v>24745</v>
      </c>
      <c r="X1290" s="1" t="s">
        <v>24746</v>
      </c>
      <c r="Y1290" s="1" t="s">
        <v>24747</v>
      </c>
      <c r="Z1290" s="1" t="s">
        <v>24748</v>
      </c>
      <c r="AA1290" s="1" t="s">
        <v>26445</v>
      </c>
      <c r="AB1290" s="1" t="s">
        <v>24730</v>
      </c>
      <c r="AC1290" s="1" t="s">
        <v>26446</v>
      </c>
      <c r="AD1290" s="6" t="s">
        <v>26447</v>
      </c>
      <c r="AE1290" s="1" t="s">
        <v>24752</v>
      </c>
      <c r="AF1290" s="1" t="s">
        <v>24732</v>
      </c>
      <c r="AG1290" s="6" t="s">
        <v>24753</v>
      </c>
      <c r="AH1290" s="1" t="s">
        <v>26448</v>
      </c>
      <c r="AI1290" s="6" t="s">
        <v>132</v>
      </c>
      <c r="AJ1290" s="6" t="s">
        <v>24755</v>
      </c>
      <c r="AK1290" s="1" t="s">
        <v>26449</v>
      </c>
      <c r="AL1290" s="6" t="s">
        <v>26450</v>
      </c>
    </row>
    <row r="1291" ht="15.75" hidden="1" customHeight="1">
      <c r="A1291" s="1" t="s">
        <v>38</v>
      </c>
      <c r="B1291" s="1" t="s">
        <v>26451</v>
      </c>
      <c r="C1291" s="1" t="s">
        <v>26452</v>
      </c>
      <c r="D1291" s="7" t="str">
        <f>IFERROR(__xludf.DUMMYFUNCTION("GOOGLETRANSLATE(C1291, ""en"", ""ar"")"),"تحميل مشكلة الصورة.")</f>
        <v>تحميل مشكلة الصورة.</v>
      </c>
      <c r="E1291" s="7" t="str">
        <f>IFERROR(__xludf.DUMMYFUNCTION("GOOGLETRANSLATE(C1291, ""en"", ""bg"")"),"Изтеглете проблема с изображението.")</f>
        <v>Изтеглете проблема с изображението.</v>
      </c>
      <c r="F1291" s="6" t="s">
        <v>132</v>
      </c>
      <c r="G1291" s="7" t="str">
        <f>IFERROR(__xludf.DUMMYFUNCTION("GOOGLETRANSLATE(C1291, ""en"", ""cs"")"),"Stáhnout obrázek problém.")</f>
        <v>Stáhnout obrázek problém.</v>
      </c>
      <c r="H1291" s="7" t="str">
        <f>IFERROR(__xludf.DUMMYFUNCTION("GOOGLETRANSLATE(C1291, ""en"", ""da"")"),"Download billedproblemer.")</f>
        <v>Download billedproblemer.</v>
      </c>
      <c r="I1291" s="1" t="s">
        <v>26453</v>
      </c>
      <c r="J1291" s="6" t="s">
        <v>132</v>
      </c>
      <c r="K1291" s="1" t="s">
        <v>26454</v>
      </c>
      <c r="L1291" s="7" t="str">
        <f>IFERROR(__xludf.DUMMYFUNCTION("GOOGLETRANSLATE(C1291, ""en"", ""fi"")"),"Lataa kuva ongelma.")</f>
        <v>Lataa kuva ongelma.</v>
      </c>
      <c r="M1291" s="1" t="s">
        <v>26455</v>
      </c>
      <c r="N1291" s="6" t="s">
        <v>132</v>
      </c>
      <c r="O1291" s="6" t="s">
        <v>132</v>
      </c>
      <c r="P1291" s="1" t="s">
        <v>26456</v>
      </c>
      <c r="Q1291" s="7" t="str">
        <f>IFERROR(__xludf.DUMMYFUNCTION("GOOGLETRANSLATE(C1291, ""en"", ""in"")"),"Unduh masalah gambar.")</f>
        <v>Unduh masalah gambar.</v>
      </c>
      <c r="R1291" s="13" t="s">
        <v>26457</v>
      </c>
      <c r="S1291" s="6" t="s">
        <v>132</v>
      </c>
      <c r="T1291" s="7" t="str">
        <f>IFERROR(__xludf.DUMMYFUNCTION("GOOGLETRANSLATE(C1291, ""en"", ""ja"")"),"画像問題をダウンロードしてください。")</f>
        <v>画像問題をダウンロードしてください。</v>
      </c>
      <c r="U1291" s="7" t="str">
        <f>IFERROR(__xludf.DUMMYFUNCTION("GOOGLETRANSLATE(C1291, ""en"", ""ko"")"),"이미지 문제를 다운로드하십시오.")</f>
        <v>이미지 문제를 다운로드하십시오.</v>
      </c>
      <c r="V1291" s="7" t="str">
        <f>IFERROR(__xludf.DUMMYFUNCTION("GOOGLETRANSLATE(C1291, ""en"", ""ms"")"),"Muat turun masalah imej.")</f>
        <v>Muat turun masalah imej.</v>
      </c>
      <c r="W1291" s="7" t="str">
        <f>IFERROR(__xludf.DUMMYFUNCTION("GOOGLETRANSLATE(C1291, ""en"", ""nl"")"),"Download beeldprobleem.")</f>
        <v>Download beeldprobleem.</v>
      </c>
      <c r="X1291" s="7" t="str">
        <f>IFERROR(__xludf.DUMMYFUNCTION("GOOGLETRANSLATE(C1291, ""en"", ""no"")"),"Last ned bildeproblemet.")</f>
        <v>Last ned bildeproblemet.</v>
      </c>
      <c r="Y1291" s="7" t="str">
        <f>IFERROR(__xludf.DUMMYFUNCTION("GOOGLETRANSLATE(C1291, ""en"", ""pl"")"),"Pobierz problem z obrazem.")</f>
        <v>Pobierz problem z obrazem.</v>
      </c>
      <c r="Z1291" s="7" t="str">
        <f>IFERROR(__xludf.DUMMYFUNCTION("GOOGLETRANSLATE(C1291, ""en"", ""pt"")"),"Baixe o problema da imagem.")</f>
        <v>Baixe o problema da imagem.</v>
      </c>
      <c r="AA1291" s="7" t="str">
        <f>IFERROR(__xludf.DUMMYFUNCTION("GOOGLETRANSLATE(C1291, ""en"", ""ro"")"),"Descărcați problema imaginii.")</f>
        <v>Descărcați problema imaginii.</v>
      </c>
      <c r="AB1291" s="1" t="s">
        <v>26458</v>
      </c>
      <c r="AC1291" s="7" t="str">
        <f>IFERROR(__xludf.DUMMYFUNCTION("GOOGLETRANSLATE(C1291, ""en"", ""sk"")"),"Stiahnite si problém s obrázkami.")</f>
        <v>Stiahnite si problém s obrázkami.</v>
      </c>
      <c r="AD1291" s="6" t="s">
        <v>132</v>
      </c>
      <c r="AE1291" s="1" t="s">
        <v>26459</v>
      </c>
      <c r="AF1291" s="7" t="str">
        <f>IFERROR(__xludf.DUMMYFUNCTION("GOOGLETRANSLATE(C1291, ""en"", ""sv"")"),"Ladda ner bildproblem.")</f>
        <v>Ladda ner bildproblem.</v>
      </c>
      <c r="AG1291" s="6" t="s">
        <v>132</v>
      </c>
      <c r="AH1291" s="7" t="str">
        <f>IFERROR(__xludf.DUMMYFUNCTION("GOOGLETRANSLATE(C1291, ""en"", ""tr"")"),"Görüntü sorunu indirin.")</f>
        <v>Görüntü sorunu indirin.</v>
      </c>
      <c r="AI1291" s="6" t="s">
        <v>132</v>
      </c>
      <c r="AJ1291" s="6" t="s">
        <v>132</v>
      </c>
      <c r="AK1291" s="7" t="str">
        <f>IFERROR(__xludf.DUMMYFUNCTION("GOOGLETRANSLATE(C1291, ""en"", ""zh"")"),"下载图像问题。")</f>
        <v>下载图像问题。</v>
      </c>
      <c r="AL1291" s="6" t="s">
        <v>132</v>
      </c>
    </row>
    <row r="1292" ht="15.75" hidden="1" customHeight="1">
      <c r="A1292" s="1" t="s">
        <v>38</v>
      </c>
      <c r="B1292" s="1" t="s">
        <v>26460</v>
      </c>
      <c r="C1292" s="12" t="s">
        <v>132</v>
      </c>
      <c r="D1292" s="7" t="str">
        <f>IFERROR(__xludf.DUMMYFUNCTION("GOOGLETRANSLATE(C1292, ""en"", ""ar"")"),"#VALUE!")</f>
        <v>#VALUE!</v>
      </c>
      <c r="E1292" s="7" t="str">
        <f>IFERROR(__xludf.DUMMYFUNCTION("GOOGLETRANSLATE(C1292, ""en"", ""bg"")"),"#VALUE!")</f>
        <v>#VALUE!</v>
      </c>
      <c r="F1292" s="6" t="s">
        <v>132</v>
      </c>
      <c r="G1292" s="7" t="str">
        <f>IFERROR(__xludf.DUMMYFUNCTION("GOOGLETRANSLATE(C1292, ""en"", ""cs"")"),"#VALUE!")</f>
        <v>#VALUE!</v>
      </c>
      <c r="H1292" s="7" t="str">
        <f>IFERROR(__xludf.DUMMYFUNCTION("GOOGLETRANSLATE(C1292, ""en"", ""da"")"),"#VALUE!")</f>
        <v>#VALUE!</v>
      </c>
      <c r="I1292" s="7" t="str">
        <f>IFERROR(__xludf.DUMMYFUNCTION("GOOGLETRANSLATE(C1292, ""en"", ""de"")"),"#VALUE!")</f>
        <v>#VALUE!</v>
      </c>
      <c r="J1292" s="6" t="s">
        <v>132</v>
      </c>
      <c r="K1292" s="7" t="str">
        <f>IFERROR(__xludf.DUMMYFUNCTION("GOOGLETRANSLATE(C1292, ""en"", ""es"")"),"#VALUE!")</f>
        <v>#VALUE!</v>
      </c>
      <c r="L1292" s="7" t="str">
        <f>IFERROR(__xludf.DUMMYFUNCTION("GOOGLETRANSLATE(C1292, ""en"", ""fi"")"),"#VALUE!")</f>
        <v>#VALUE!</v>
      </c>
      <c r="M1292" s="7" t="str">
        <f>IFERROR(__xludf.DUMMYFUNCTION("GOOGLETRANSLATE(C1292, ""en"", ""fr"")"),"#VALUE!")</f>
        <v>#VALUE!</v>
      </c>
      <c r="N1292" s="6" t="s">
        <v>132</v>
      </c>
      <c r="O1292" s="6" t="s">
        <v>132</v>
      </c>
      <c r="P1292" s="7" t="str">
        <f>IFERROR(__xludf.DUMMYFUNCTION("GOOGLETRANSLATE(C1292, ""en"", ""hu"")"),"#VALUE!")</f>
        <v>#VALUE!</v>
      </c>
      <c r="Q1292" s="7" t="str">
        <f>IFERROR(__xludf.DUMMYFUNCTION("GOOGLETRANSLATE(C1292, ""en"", ""in"")"),"#VALUE!")</f>
        <v>#VALUE!</v>
      </c>
      <c r="R1292" s="7" t="str">
        <f>IFERROR(__xludf.DUMMYFUNCTION("GOOGLETRANSLATE(C1292, ""en"", ""it"")"),"#VALUE!")</f>
        <v>#VALUE!</v>
      </c>
      <c r="S1292" s="6" t="s">
        <v>132</v>
      </c>
      <c r="T1292" s="7" t="str">
        <f>IFERROR(__xludf.DUMMYFUNCTION("GOOGLETRANSLATE(C1292, ""en"", ""ja"")"),"#VALUE!")</f>
        <v>#VALUE!</v>
      </c>
      <c r="U1292" s="7" t="str">
        <f>IFERROR(__xludf.DUMMYFUNCTION("GOOGLETRANSLATE(C1292, ""en"", ""ko"")"),"#VALUE!")</f>
        <v>#VALUE!</v>
      </c>
      <c r="V1292" s="7" t="str">
        <f>IFERROR(__xludf.DUMMYFUNCTION("GOOGLETRANSLATE(C1292, ""en"", ""ms"")"),"#VALUE!")</f>
        <v>#VALUE!</v>
      </c>
      <c r="W1292" s="7" t="str">
        <f>IFERROR(__xludf.DUMMYFUNCTION("GOOGLETRANSLATE(C1292, ""en"", ""nl"")"),"#VALUE!")</f>
        <v>#VALUE!</v>
      </c>
      <c r="X1292" s="7" t="str">
        <f>IFERROR(__xludf.DUMMYFUNCTION("GOOGLETRANSLATE(C1292, ""en"", ""no"")"),"#VALUE!")</f>
        <v>#VALUE!</v>
      </c>
      <c r="Y1292" s="7" t="str">
        <f>IFERROR(__xludf.DUMMYFUNCTION("GOOGLETRANSLATE(C1292, ""en"", ""pl"")"),"#VALUE!")</f>
        <v>#VALUE!</v>
      </c>
      <c r="Z1292" s="7" t="str">
        <f>IFERROR(__xludf.DUMMYFUNCTION("GOOGLETRANSLATE(C1292, ""en"", ""pt"")"),"#VALUE!")</f>
        <v>#VALUE!</v>
      </c>
      <c r="AA1292" s="7" t="str">
        <f>IFERROR(__xludf.DUMMYFUNCTION("GOOGLETRANSLATE(C1292, ""en"", ""ro"")"),"#VALUE!")</f>
        <v>#VALUE!</v>
      </c>
      <c r="AB1292" s="7" t="str">
        <f>IFERROR(__xludf.DUMMYFUNCTION("GOOGLETRANSLATE(C1292, ""en"", ""ru"")"),"#VALUE!")</f>
        <v>#VALUE!</v>
      </c>
      <c r="AC1292" s="7" t="str">
        <f>IFERROR(__xludf.DUMMYFUNCTION("GOOGLETRANSLATE(C1292, ""en"", ""sk"")"),"#VALUE!")</f>
        <v>#VALUE!</v>
      </c>
      <c r="AD1292" s="6" t="s">
        <v>132</v>
      </c>
      <c r="AE1292" s="7" t="str">
        <f>IFERROR(__xludf.DUMMYFUNCTION("GOOGLETRANSLATE(C1292, ""en"", ""sr"")"),"#VALUE!")</f>
        <v>#VALUE!</v>
      </c>
      <c r="AF1292" s="7" t="str">
        <f>IFERROR(__xludf.DUMMYFUNCTION("GOOGLETRANSLATE(C1292, ""en"", ""sv"")"),"#VALUE!")</f>
        <v>#VALUE!</v>
      </c>
      <c r="AG1292" s="6" t="s">
        <v>132</v>
      </c>
      <c r="AH1292" s="7" t="str">
        <f>IFERROR(__xludf.DUMMYFUNCTION("GOOGLETRANSLATE(C1292, ""en"", ""tr"")"),"#VALUE!")</f>
        <v>#VALUE!</v>
      </c>
      <c r="AI1292" s="6" t="s">
        <v>132</v>
      </c>
      <c r="AJ1292" s="6" t="s">
        <v>132</v>
      </c>
      <c r="AK1292" s="7" t="str">
        <f>IFERROR(__xludf.DUMMYFUNCTION("GOOGLETRANSLATE(C1292, ""en"", ""zh"")"),"#VALUE!")</f>
        <v>#VALUE!</v>
      </c>
      <c r="AL1292" s="6" t="s">
        <v>132</v>
      </c>
    </row>
    <row r="1293" ht="15.75" customHeight="1">
      <c r="A1293" s="1" t="s">
        <v>127</v>
      </c>
      <c r="B1293" s="1" t="s">
        <v>26461</v>
      </c>
      <c r="C1293" s="1" t="s">
        <v>5555</v>
      </c>
      <c r="D1293" s="8" t="s">
        <v>5556</v>
      </c>
      <c r="E1293" s="1" t="s">
        <v>5557</v>
      </c>
      <c r="F1293" s="6" t="s">
        <v>132</v>
      </c>
      <c r="G1293" s="1" t="s">
        <v>5558</v>
      </c>
      <c r="H1293" s="1" t="s">
        <v>5559</v>
      </c>
      <c r="I1293" s="1" t="s">
        <v>5560</v>
      </c>
      <c r="J1293" s="6" t="s">
        <v>26462</v>
      </c>
      <c r="K1293" s="1" t="s">
        <v>5562</v>
      </c>
      <c r="L1293" s="1" t="s">
        <v>5563</v>
      </c>
      <c r="M1293" s="1" t="s">
        <v>5564</v>
      </c>
      <c r="N1293" s="6" t="s">
        <v>132</v>
      </c>
      <c r="O1293" s="6" t="s">
        <v>5565</v>
      </c>
      <c r="P1293" s="1" t="s">
        <v>5566</v>
      </c>
      <c r="Q1293" s="1" t="s">
        <v>5567</v>
      </c>
      <c r="R1293" s="1" t="s">
        <v>5568</v>
      </c>
      <c r="S1293" s="10" t="s">
        <v>5569</v>
      </c>
      <c r="T1293" s="1" t="s">
        <v>5570</v>
      </c>
      <c r="U1293" s="1" t="s">
        <v>5571</v>
      </c>
      <c r="V1293" s="1" t="s">
        <v>5567</v>
      </c>
      <c r="W1293" s="1" t="s">
        <v>5572</v>
      </c>
      <c r="X1293" s="1" t="s">
        <v>5559</v>
      </c>
      <c r="Y1293" s="1" t="s">
        <v>5573</v>
      </c>
      <c r="Z1293" s="1" t="s">
        <v>5574</v>
      </c>
      <c r="AA1293" s="1" t="s">
        <v>5575</v>
      </c>
      <c r="AB1293" s="1" t="s">
        <v>5576</v>
      </c>
      <c r="AC1293" s="1" t="s">
        <v>5577</v>
      </c>
      <c r="AD1293" s="6" t="s">
        <v>5578</v>
      </c>
      <c r="AE1293" s="1" t="s">
        <v>5578</v>
      </c>
      <c r="AF1293" s="1" t="s">
        <v>5579</v>
      </c>
      <c r="AG1293" s="6" t="s">
        <v>5580</v>
      </c>
      <c r="AH1293" s="1" t="s">
        <v>5581</v>
      </c>
      <c r="AI1293" s="6" t="s">
        <v>132</v>
      </c>
      <c r="AJ1293" s="6" t="s">
        <v>5582</v>
      </c>
      <c r="AK1293" s="1" t="s">
        <v>5583</v>
      </c>
      <c r="AL1293" s="6" t="s">
        <v>5584</v>
      </c>
    </row>
    <row r="1294" ht="15.75" customHeight="1">
      <c r="A1294" s="1" t="s">
        <v>127</v>
      </c>
      <c r="B1294" s="1" t="s">
        <v>26463</v>
      </c>
      <c r="C1294" s="1" t="s">
        <v>26464</v>
      </c>
      <c r="D1294" s="8" t="s">
        <v>26465</v>
      </c>
      <c r="E1294" s="1" t="s">
        <v>26466</v>
      </c>
      <c r="F1294" s="6" t="s">
        <v>132</v>
      </c>
      <c r="G1294" s="1" t="s">
        <v>26467</v>
      </c>
      <c r="H1294" s="1" t="s">
        <v>26468</v>
      </c>
      <c r="I1294" s="1" t="s">
        <v>26469</v>
      </c>
      <c r="J1294" s="6" t="s">
        <v>26470</v>
      </c>
      <c r="K1294" s="1" t="s">
        <v>26471</v>
      </c>
      <c r="L1294" s="1" t="s">
        <v>26472</v>
      </c>
      <c r="M1294" s="1" t="s">
        <v>26473</v>
      </c>
      <c r="N1294" s="6" t="s">
        <v>132</v>
      </c>
      <c r="O1294" s="6" t="s">
        <v>26474</v>
      </c>
      <c r="P1294" s="1" t="s">
        <v>26475</v>
      </c>
      <c r="Q1294" s="1" t="s">
        <v>26476</v>
      </c>
      <c r="R1294" s="1" t="s">
        <v>26477</v>
      </c>
      <c r="S1294" s="10" t="s">
        <v>26478</v>
      </c>
      <c r="T1294" s="1" t="s">
        <v>26479</v>
      </c>
      <c r="U1294" s="1" t="s">
        <v>26480</v>
      </c>
      <c r="V1294" s="1" t="s">
        <v>26481</v>
      </c>
      <c r="W1294" s="1" t="s">
        <v>26482</v>
      </c>
      <c r="X1294" s="1" t="s">
        <v>26483</v>
      </c>
      <c r="Y1294" s="1" t="s">
        <v>26484</v>
      </c>
      <c r="Z1294" s="1" t="s">
        <v>26485</v>
      </c>
      <c r="AA1294" s="1" t="s">
        <v>26486</v>
      </c>
      <c r="AB1294" s="1" t="s">
        <v>26487</v>
      </c>
      <c r="AC1294" s="1" t="s">
        <v>26488</v>
      </c>
      <c r="AD1294" s="6" t="s">
        <v>26489</v>
      </c>
      <c r="AE1294" s="1" t="s">
        <v>26490</v>
      </c>
      <c r="AF1294" s="1" t="s">
        <v>26491</v>
      </c>
      <c r="AG1294" s="6" t="s">
        <v>26492</v>
      </c>
      <c r="AH1294" s="1" t="s">
        <v>26493</v>
      </c>
      <c r="AI1294" s="6" t="s">
        <v>132</v>
      </c>
      <c r="AJ1294" s="6" t="s">
        <v>26494</v>
      </c>
      <c r="AK1294" s="1" t="s">
        <v>26495</v>
      </c>
      <c r="AL1294" s="6" t="s">
        <v>132</v>
      </c>
    </row>
    <row r="1295" ht="15.75" hidden="1" customHeight="1">
      <c r="A1295" s="1" t="s">
        <v>38</v>
      </c>
      <c r="B1295" s="1" t="s">
        <v>26496</v>
      </c>
      <c r="C1295" s="1" t="s">
        <v>26497</v>
      </c>
      <c r="D1295" s="8" t="s">
        <v>26498</v>
      </c>
      <c r="E1295" s="1" t="s">
        <v>26499</v>
      </c>
      <c r="F1295" s="6" t="s">
        <v>26500</v>
      </c>
      <c r="G1295" s="7" t="str">
        <f>IFERROR(__xludf.DUMMYFUNCTION("GOOGLETRANSLATE(C1295, ""en"", ""cs"")"),"Podrobnosti o chatu skupiny")</f>
        <v>Podrobnosti o chatu skupiny</v>
      </c>
      <c r="H1295" s="7" t="str">
        <f>IFERROR(__xludf.DUMMYFUNCTION("GOOGLETRANSLATE(C1295, ""en"", ""da"")"),"Gruppe Chat Detaljer.")</f>
        <v>Gruppe Chat Detaljer.</v>
      </c>
      <c r="I1295" s="1" t="s">
        <v>26501</v>
      </c>
      <c r="J1295" s="6" t="s">
        <v>132</v>
      </c>
      <c r="K1295" s="1" t="s">
        <v>26502</v>
      </c>
      <c r="L1295" s="7" t="str">
        <f>IFERROR(__xludf.DUMMYFUNCTION("GOOGLETRANSLATE(C1295, ""en"", ""fi"")"),"Ryhmäkohtaiset tiedot")</f>
        <v>Ryhmäkohtaiset tiedot</v>
      </c>
      <c r="M1295" s="1" t="s">
        <v>26503</v>
      </c>
      <c r="N1295" s="6" t="s">
        <v>26504</v>
      </c>
      <c r="O1295" s="6" t="s">
        <v>132</v>
      </c>
      <c r="P1295" s="1" t="s">
        <v>26505</v>
      </c>
      <c r="Q1295" s="7" t="str">
        <f>IFERROR(__xludf.DUMMYFUNCTION("GOOGLETRANSLATE(C1295, ""en"", ""in"")"),"Rincian obrolan grup")</f>
        <v>Rincian obrolan grup</v>
      </c>
      <c r="R1295" s="1" t="s">
        <v>26506</v>
      </c>
      <c r="S1295" s="6" t="s">
        <v>132</v>
      </c>
      <c r="T1295" s="1" t="s">
        <v>26507</v>
      </c>
      <c r="U1295" s="7" t="str">
        <f>IFERROR(__xludf.DUMMYFUNCTION("GOOGLETRANSLATE(C1295, ""en"", ""ko"")"),"그룹 채팅 상세 정보")</f>
        <v>그룹 채팅 상세 정보</v>
      </c>
      <c r="V1295" s="7" t="str">
        <f>IFERROR(__xludf.DUMMYFUNCTION("GOOGLETRANSLATE(C1295, ""en"", ""ms"")"),"Butiran sembang kumpulan.")</f>
        <v>Butiran sembang kumpulan.</v>
      </c>
      <c r="W1295" s="1" t="s">
        <v>26508</v>
      </c>
      <c r="X1295" s="7" t="str">
        <f>IFERROR(__xludf.DUMMYFUNCTION("GOOGLETRANSLATE(C1295, ""en"", ""no"")"),"GROUP CHAT DETALJER")</f>
        <v>GROUP CHAT DETALJER</v>
      </c>
      <c r="Y1295" s="1" t="s">
        <v>26509</v>
      </c>
      <c r="Z1295" s="7" t="str">
        <f>IFERROR(__xludf.DUMMYFUNCTION("GOOGLETRANSLATE(C1295, ""en"", ""pt"")"),"Detalhes do bate-papo em grupo")</f>
        <v>Detalhes do bate-papo em grupo</v>
      </c>
      <c r="AA1295" s="7" t="str">
        <f>IFERROR(__xludf.DUMMYFUNCTION("GOOGLETRANSLATE(C1295, ""en"", ""ro"")"),"Detalii de chat de grup")</f>
        <v>Detalii de chat de grup</v>
      </c>
      <c r="AB1295" s="1" t="s">
        <v>26510</v>
      </c>
      <c r="AC1295" s="7" t="str">
        <f>IFERROR(__xludf.DUMMYFUNCTION("GOOGLETRANSLATE(C1295, ""en"", ""sk"")"),"Podrobnosti skupiny Chat")</f>
        <v>Podrobnosti skupiny Chat</v>
      </c>
      <c r="AD1295" s="6" t="s">
        <v>132</v>
      </c>
      <c r="AE1295" s="1" t="s">
        <v>26511</v>
      </c>
      <c r="AF1295" s="7" t="str">
        <f>IFERROR(__xludf.DUMMYFUNCTION("GOOGLETRANSLATE(C1295, ""en"", ""sv"")"),"Gruppchattdetaljer")</f>
        <v>Gruppchattdetaljer</v>
      </c>
      <c r="AG1295" s="6" t="s">
        <v>132</v>
      </c>
      <c r="AH1295" s="7" t="str">
        <f>IFERROR(__xludf.DUMMYFUNCTION("GOOGLETRANSLATE(C1295, ""en"", ""tr"")"),"Grup sohbet detayları")</f>
        <v>Grup sohbet detayları</v>
      </c>
      <c r="AI1295" s="6" t="s">
        <v>132</v>
      </c>
      <c r="AJ1295" s="6" t="s">
        <v>132</v>
      </c>
      <c r="AK1295" s="7" t="str">
        <f>IFERROR(__xludf.DUMMYFUNCTION("GOOGLETRANSLATE(C1295, ""en"", ""zh"")"),"小组聊天细节")</f>
        <v>小组聊天细节</v>
      </c>
      <c r="AL1295" s="6" t="s">
        <v>132</v>
      </c>
    </row>
    <row r="1296" ht="15.75" customHeight="1">
      <c r="A1296" s="1" t="s">
        <v>127</v>
      </c>
      <c r="B1296" s="1" t="s">
        <v>26512</v>
      </c>
      <c r="C1296" s="1" t="s">
        <v>26513</v>
      </c>
      <c r="D1296" s="8" t="s">
        <v>26514</v>
      </c>
      <c r="E1296" s="1" t="s">
        <v>26515</v>
      </c>
      <c r="F1296" s="6" t="s">
        <v>132</v>
      </c>
      <c r="G1296" s="1" t="s">
        <v>26516</v>
      </c>
      <c r="H1296" s="1" t="s">
        <v>26517</v>
      </c>
      <c r="I1296" s="1" t="s">
        <v>26518</v>
      </c>
      <c r="J1296" s="6" t="s">
        <v>26519</v>
      </c>
      <c r="K1296" s="1" t="s">
        <v>26520</v>
      </c>
      <c r="L1296" s="1" t="s">
        <v>26521</v>
      </c>
      <c r="M1296" s="1" t="s">
        <v>26513</v>
      </c>
      <c r="N1296" s="6" t="s">
        <v>132</v>
      </c>
      <c r="O1296" s="6" t="s">
        <v>26522</v>
      </c>
      <c r="P1296" s="1" t="s">
        <v>26523</v>
      </c>
      <c r="Q1296" s="1" t="s">
        <v>26524</v>
      </c>
      <c r="R1296" s="1" t="s">
        <v>26525</v>
      </c>
      <c r="S1296" s="10" t="s">
        <v>26526</v>
      </c>
      <c r="T1296" s="1" t="s">
        <v>26527</v>
      </c>
      <c r="U1296" s="1" t="s">
        <v>26528</v>
      </c>
      <c r="V1296" s="1" t="s">
        <v>26529</v>
      </c>
      <c r="W1296" s="1" t="s">
        <v>26513</v>
      </c>
      <c r="X1296" s="1" t="s">
        <v>26530</v>
      </c>
      <c r="Y1296" s="1" t="s">
        <v>26531</v>
      </c>
      <c r="Z1296" s="1" t="s">
        <v>26532</v>
      </c>
      <c r="AA1296" s="1" t="s">
        <v>26533</v>
      </c>
      <c r="AB1296" s="1" t="s">
        <v>26534</v>
      </c>
      <c r="AC1296" s="1" t="s">
        <v>26535</v>
      </c>
      <c r="AD1296" s="6" t="s">
        <v>26536</v>
      </c>
      <c r="AE1296" s="1" t="s">
        <v>26518</v>
      </c>
      <c r="AF1296" s="1" t="s">
        <v>26537</v>
      </c>
      <c r="AG1296" s="6" t="s">
        <v>26538</v>
      </c>
      <c r="AH1296" s="1" t="s">
        <v>26539</v>
      </c>
      <c r="AI1296" s="6" t="s">
        <v>132</v>
      </c>
      <c r="AJ1296" s="6" t="s">
        <v>26540</v>
      </c>
      <c r="AK1296" s="1" t="s">
        <v>26541</v>
      </c>
      <c r="AL1296" s="6" t="s">
        <v>26542</v>
      </c>
    </row>
    <row r="1297" ht="15.75" hidden="1" customHeight="1">
      <c r="A1297" s="1" t="s">
        <v>38</v>
      </c>
      <c r="B1297" s="1" t="s">
        <v>26543</v>
      </c>
      <c r="C1297" s="1" t="s">
        <v>26544</v>
      </c>
      <c r="D1297" s="7" t="str">
        <f>IFERROR(__xludf.DUMMYFUNCTION("GOOGLETRANSLATE(C1297, ""en"", ""ar"")"),"فانواتو")</f>
        <v>فانواتو</v>
      </c>
      <c r="E1297" s="7" t="str">
        <f>IFERROR(__xludf.DUMMYFUNCTION("GOOGLETRANSLATE(C1297, ""en"", ""bg"")"),"Вануату")</f>
        <v>Вануату</v>
      </c>
      <c r="F1297" s="6" t="s">
        <v>132</v>
      </c>
      <c r="G1297" s="7" t="str">
        <f>IFERROR(__xludf.DUMMYFUNCTION("GOOGLETRANSLATE(C1297, ""en"", ""cs"")"),"Vanuatu")</f>
        <v>Vanuatu</v>
      </c>
      <c r="H1297" s="7" t="str">
        <f>IFERROR(__xludf.DUMMYFUNCTION("GOOGLETRANSLATE(C1297, ""en"", ""da"")"),"Vanuatu.")</f>
        <v>Vanuatu.</v>
      </c>
      <c r="I1297" s="1" t="s">
        <v>26544</v>
      </c>
      <c r="J1297" s="6" t="s">
        <v>132</v>
      </c>
      <c r="K1297" s="1" t="s">
        <v>26545</v>
      </c>
      <c r="L1297" s="7" t="str">
        <f>IFERROR(__xludf.DUMMYFUNCTION("GOOGLETRANSLATE(C1297, ""en"", ""fi"")"),"Vanuatu")</f>
        <v>Vanuatu</v>
      </c>
      <c r="M1297" s="1" t="s">
        <v>26544</v>
      </c>
      <c r="N1297" s="6" t="s">
        <v>132</v>
      </c>
      <c r="O1297" s="6" t="s">
        <v>132</v>
      </c>
      <c r="P1297" s="1" t="s">
        <v>26544</v>
      </c>
      <c r="Q1297" s="7" t="str">
        <f>IFERROR(__xludf.DUMMYFUNCTION("GOOGLETRANSLATE(C1297, ""en"", ""in"")"),"Vanuatu")</f>
        <v>Vanuatu</v>
      </c>
      <c r="R1297" s="7" t="str">
        <f>IFERROR(__xludf.DUMMYFUNCTION("GOOGLETRANSLATE(C1297, ""en"", ""it"")"),"Vanuatu.")</f>
        <v>Vanuatu.</v>
      </c>
      <c r="S1297" s="6" t="s">
        <v>132</v>
      </c>
      <c r="T1297" s="7" t="str">
        <f>IFERROR(__xludf.DUMMYFUNCTION("GOOGLETRANSLATE(C1297, ""en"", ""ja"")"),"バヌツァ")</f>
        <v>バヌツァ</v>
      </c>
      <c r="U1297" s="7" t="str">
        <f>IFERROR(__xludf.DUMMYFUNCTION("GOOGLETRANSLATE(C1297, ""en"", ""ko"")"),"바누아투")</f>
        <v>바누아투</v>
      </c>
      <c r="V1297" s="7" t="str">
        <f>IFERROR(__xludf.DUMMYFUNCTION("GOOGLETRANSLATE(C1297, ""en"", ""ms"")"),"Vanuatu.")</f>
        <v>Vanuatu.</v>
      </c>
      <c r="W1297" s="7" t="str">
        <f>IFERROR(__xludf.DUMMYFUNCTION("GOOGLETRANSLATE(C1297, ""en"", ""nl"")"),"Vanuatu")</f>
        <v>Vanuatu</v>
      </c>
      <c r="X1297" s="7" t="str">
        <f>IFERROR(__xludf.DUMMYFUNCTION("GOOGLETRANSLATE(C1297, ""en"", ""no"")"),"Vanuatu.")</f>
        <v>Vanuatu.</v>
      </c>
      <c r="Y1297" s="7" t="str">
        <f>IFERROR(__xludf.DUMMYFUNCTION("GOOGLETRANSLATE(C1297, ""en"", ""pl"")"),"Vanuatu.")</f>
        <v>Vanuatu.</v>
      </c>
      <c r="Z1297" s="7" t="str">
        <f>IFERROR(__xludf.DUMMYFUNCTION("GOOGLETRANSLATE(C1297, ""en"", ""pt"")"),"Vanuatu")</f>
        <v>Vanuatu</v>
      </c>
      <c r="AA1297" s="7" t="str">
        <f>IFERROR(__xludf.DUMMYFUNCTION("GOOGLETRANSLATE(C1297, ""en"", ""ro"")"),"Vanuatu.")</f>
        <v>Vanuatu.</v>
      </c>
      <c r="AB1297" s="1" t="s">
        <v>26546</v>
      </c>
      <c r="AC1297" s="7" t="str">
        <f>IFERROR(__xludf.DUMMYFUNCTION("GOOGLETRANSLATE(C1297, ""en"", ""sk"")"),"Vanátu")</f>
        <v>Vanátu</v>
      </c>
      <c r="AD1297" s="6" t="s">
        <v>132</v>
      </c>
      <c r="AE1297" s="1" t="s">
        <v>26544</v>
      </c>
      <c r="AF1297" s="7" t="str">
        <f>IFERROR(__xludf.DUMMYFUNCTION("GOOGLETRANSLATE(C1297, ""en"", ""sv"")"),"Vanuatu")</f>
        <v>Vanuatu</v>
      </c>
      <c r="AG1297" s="6" t="s">
        <v>132</v>
      </c>
      <c r="AH1297" s="7" t="str">
        <f>IFERROR(__xludf.DUMMYFUNCTION("GOOGLETRANSLATE(C1297, ""en"", ""tr"")"),"Vanuatu")</f>
        <v>Vanuatu</v>
      </c>
      <c r="AI1297" s="6" t="s">
        <v>132</v>
      </c>
      <c r="AJ1297" s="6" t="s">
        <v>132</v>
      </c>
      <c r="AK1297" s="7" t="str">
        <f>IFERROR(__xludf.DUMMYFUNCTION("GOOGLETRANSLATE(C1297, ""en"", ""zh"")"),"瓦努阿图")</f>
        <v>瓦努阿图</v>
      </c>
      <c r="AL1297" s="6" t="s">
        <v>132</v>
      </c>
    </row>
    <row r="1298" ht="15.75" customHeight="1">
      <c r="A1298" s="1" t="s">
        <v>127</v>
      </c>
      <c r="B1298" s="1" t="s">
        <v>26547</v>
      </c>
      <c r="C1298" s="1" t="s">
        <v>26548</v>
      </c>
      <c r="D1298" s="1" t="s">
        <v>26548</v>
      </c>
      <c r="E1298" s="1" t="s">
        <v>26548</v>
      </c>
      <c r="F1298" s="6" t="s">
        <v>132</v>
      </c>
      <c r="G1298" s="1" t="s">
        <v>26549</v>
      </c>
      <c r="H1298" s="1" t="s">
        <v>26548</v>
      </c>
      <c r="I1298" s="1" t="s">
        <v>26548</v>
      </c>
      <c r="J1298" s="6" t="s">
        <v>26548</v>
      </c>
      <c r="K1298" s="1" t="s">
        <v>26548</v>
      </c>
      <c r="L1298" s="1" t="s">
        <v>26548</v>
      </c>
      <c r="M1298" s="1" t="s">
        <v>26548</v>
      </c>
      <c r="N1298" s="6" t="s">
        <v>132</v>
      </c>
      <c r="O1298" s="6" t="s">
        <v>26550</v>
      </c>
      <c r="P1298" s="1" t="s">
        <v>26548</v>
      </c>
      <c r="Q1298" s="1" t="s">
        <v>26548</v>
      </c>
      <c r="R1298" s="1" t="s">
        <v>26551</v>
      </c>
      <c r="S1298" s="10" t="s">
        <v>26552</v>
      </c>
      <c r="T1298" s="1" t="s">
        <v>26553</v>
      </c>
      <c r="U1298" s="1" t="s">
        <v>26554</v>
      </c>
      <c r="V1298" s="1" t="s">
        <v>26548</v>
      </c>
      <c r="W1298" s="1" t="s">
        <v>26548</v>
      </c>
      <c r="X1298" s="1" t="s">
        <v>26548</v>
      </c>
      <c r="Y1298" s="1" t="s">
        <v>26555</v>
      </c>
      <c r="Z1298" s="1" t="s">
        <v>26556</v>
      </c>
      <c r="AA1298" s="1" t="s">
        <v>26557</v>
      </c>
      <c r="AB1298" s="1" t="s">
        <v>26548</v>
      </c>
      <c r="AC1298" s="1" t="s">
        <v>26548</v>
      </c>
      <c r="AD1298" s="6" t="s">
        <v>26548</v>
      </c>
      <c r="AE1298" s="1" t="s">
        <v>26548</v>
      </c>
      <c r="AF1298" s="1" t="s">
        <v>26558</v>
      </c>
      <c r="AG1298" s="6" t="s">
        <v>26548</v>
      </c>
      <c r="AH1298" s="1" t="s">
        <v>26559</v>
      </c>
      <c r="AI1298" s="6" t="s">
        <v>132</v>
      </c>
      <c r="AJ1298" s="6" t="s">
        <v>26560</v>
      </c>
      <c r="AK1298" s="1" t="s">
        <v>26561</v>
      </c>
      <c r="AL1298" s="6" t="s">
        <v>26562</v>
      </c>
    </row>
    <row r="1299" ht="15.75" hidden="1" customHeight="1">
      <c r="A1299" s="1" t="s">
        <v>38</v>
      </c>
      <c r="B1299" s="1" t="s">
        <v>26563</v>
      </c>
      <c r="C1299" s="1" t="s">
        <v>26564</v>
      </c>
      <c r="D1299" s="7" t="str">
        <f>IFERROR(__xludf.DUMMYFUNCTION("GOOGLETRANSLATE(C1299, ""en"", ""ar"")"),"السلفادور")</f>
        <v>السلفادور</v>
      </c>
      <c r="E1299" s="7" t="str">
        <f>IFERROR(__xludf.DUMMYFUNCTION("GOOGLETRANSLATE(C1299, ""en"", ""bg"")"),"Ел Салвадор")</f>
        <v>Ел Салвадор</v>
      </c>
      <c r="F1299" s="6" t="s">
        <v>132</v>
      </c>
      <c r="G1299" s="7" t="str">
        <f>IFERROR(__xludf.DUMMYFUNCTION("GOOGLETRANSLATE(C1299, ""en"", ""cs"")"),"El Salvador")</f>
        <v>El Salvador</v>
      </c>
      <c r="H1299" s="7" t="str">
        <f>IFERROR(__xludf.DUMMYFUNCTION("GOOGLETRANSLATE(C1299, ""en"", ""da"")"),"El Salvador")</f>
        <v>El Salvador</v>
      </c>
      <c r="I1299" s="1" t="s">
        <v>26564</v>
      </c>
      <c r="J1299" s="6" t="s">
        <v>132</v>
      </c>
      <c r="K1299" s="1" t="s">
        <v>26564</v>
      </c>
      <c r="L1299" s="7" t="str">
        <f>IFERROR(__xludf.DUMMYFUNCTION("GOOGLETRANSLATE(C1299, ""en"", ""fi"")"),"El Salvador")</f>
        <v>El Salvador</v>
      </c>
      <c r="M1299" s="1" t="s">
        <v>26565</v>
      </c>
      <c r="N1299" s="6" t="s">
        <v>132</v>
      </c>
      <c r="O1299" s="6" t="s">
        <v>132</v>
      </c>
      <c r="P1299" s="1" t="s">
        <v>26564</v>
      </c>
      <c r="Q1299" s="7" t="str">
        <f>IFERROR(__xludf.DUMMYFUNCTION("GOOGLETRANSLATE(C1299, ""en"", ""in"")"),"El Salvador")</f>
        <v>El Salvador</v>
      </c>
      <c r="R1299" s="7" t="str">
        <f>IFERROR(__xludf.DUMMYFUNCTION("GOOGLETRANSLATE(C1299, ""en"", ""it"")"),"El Salvador")</f>
        <v>El Salvador</v>
      </c>
      <c r="S1299" s="6" t="s">
        <v>132</v>
      </c>
      <c r="T1299" s="7" t="str">
        <f>IFERROR(__xludf.DUMMYFUNCTION("GOOGLETRANSLATE(C1299, ""en"", ""ja"")"),"エルサルバドル")</f>
        <v>エルサルバドル</v>
      </c>
      <c r="U1299" s="7" t="str">
        <f>IFERROR(__xludf.DUMMYFUNCTION("GOOGLETRANSLATE(C1299, ""en"", ""ko"")"),"엘살바도르")</f>
        <v>엘살바도르</v>
      </c>
      <c r="V1299" s="7" t="str">
        <f>IFERROR(__xludf.DUMMYFUNCTION("GOOGLETRANSLATE(C1299, ""en"", ""ms"")"),"El Salvador")</f>
        <v>El Salvador</v>
      </c>
      <c r="W1299" s="7" t="str">
        <f>IFERROR(__xludf.DUMMYFUNCTION("GOOGLETRANSLATE(C1299, ""en"", ""nl"")"),"El Salvador")</f>
        <v>El Salvador</v>
      </c>
      <c r="X1299" s="7" t="str">
        <f>IFERROR(__xludf.DUMMYFUNCTION("GOOGLETRANSLATE(C1299, ""en"", ""no"")"),"El Salvador")</f>
        <v>El Salvador</v>
      </c>
      <c r="Y1299" s="7" t="str">
        <f>IFERROR(__xludf.DUMMYFUNCTION("GOOGLETRANSLATE(C1299, ""en"", ""pl"")"),"Salwador")</f>
        <v>Salwador</v>
      </c>
      <c r="Z1299" s="7" t="str">
        <f>IFERROR(__xludf.DUMMYFUNCTION("GOOGLETRANSLATE(C1299, ""en"", ""pt"")"),"El Salvador")</f>
        <v>El Salvador</v>
      </c>
      <c r="AA1299" s="7" t="str">
        <f>IFERROR(__xludf.DUMMYFUNCTION("GOOGLETRANSLATE(C1299, ""en"", ""ro"")"),"El Salvador.")</f>
        <v>El Salvador.</v>
      </c>
      <c r="AB1299" s="1" t="s">
        <v>26566</v>
      </c>
      <c r="AC1299" s="7" t="str">
        <f>IFERROR(__xludf.DUMMYFUNCTION("GOOGLETRANSLATE(C1299, ""en"", ""sk"")"),"El Salvador")</f>
        <v>El Salvador</v>
      </c>
      <c r="AD1299" s="6" t="s">
        <v>132</v>
      </c>
      <c r="AE1299" s="1" t="s">
        <v>26564</v>
      </c>
      <c r="AF1299" s="7" t="str">
        <f>IFERROR(__xludf.DUMMYFUNCTION("GOOGLETRANSLATE(C1299, ""en"", ""sv"")"),"El Salvador")</f>
        <v>El Salvador</v>
      </c>
      <c r="AG1299" s="6" t="s">
        <v>132</v>
      </c>
      <c r="AH1299" s="7" t="str">
        <f>IFERROR(__xludf.DUMMYFUNCTION("GOOGLETRANSLATE(C1299, ""en"", ""tr"")"),"El salvador")</f>
        <v>El salvador</v>
      </c>
      <c r="AI1299" s="6" t="s">
        <v>132</v>
      </c>
      <c r="AJ1299" s="6" t="s">
        <v>132</v>
      </c>
      <c r="AK1299" s="7" t="str">
        <f>IFERROR(__xludf.DUMMYFUNCTION("GOOGLETRANSLATE(C1299, ""en"", ""zh"")"),"萨尔瓦多")</f>
        <v>萨尔瓦多</v>
      </c>
      <c r="AL1299" s="6" t="s">
        <v>132</v>
      </c>
    </row>
    <row r="1300" ht="15.75" customHeight="1">
      <c r="A1300" s="1" t="s">
        <v>127</v>
      </c>
      <c r="B1300" s="1" t="s">
        <v>26567</v>
      </c>
      <c r="C1300" s="1" t="s">
        <v>26568</v>
      </c>
      <c r="D1300" s="8" t="s">
        <v>26569</v>
      </c>
      <c r="E1300" s="1" t="s">
        <v>26570</v>
      </c>
      <c r="F1300" s="6" t="s">
        <v>132</v>
      </c>
      <c r="G1300" s="1" t="s">
        <v>26571</v>
      </c>
      <c r="H1300" s="1" t="s">
        <v>26572</v>
      </c>
      <c r="I1300" s="1" t="s">
        <v>26573</v>
      </c>
      <c r="J1300" s="6" t="s">
        <v>26574</v>
      </c>
      <c r="K1300" s="1" t="s">
        <v>26575</v>
      </c>
      <c r="L1300" s="1" t="s">
        <v>26576</v>
      </c>
      <c r="M1300" s="1" t="s">
        <v>26577</v>
      </c>
      <c r="N1300" s="6" t="s">
        <v>132</v>
      </c>
      <c r="O1300" s="6" t="s">
        <v>26578</v>
      </c>
      <c r="P1300" s="1" t="s">
        <v>26579</v>
      </c>
      <c r="Q1300" s="1" t="s">
        <v>26580</v>
      </c>
      <c r="R1300" s="1" t="s">
        <v>26581</v>
      </c>
      <c r="S1300" s="10" t="s">
        <v>26582</v>
      </c>
      <c r="T1300" s="1" t="s">
        <v>26583</v>
      </c>
      <c r="U1300" s="1" t="s">
        <v>26584</v>
      </c>
      <c r="V1300" s="1" t="s">
        <v>26585</v>
      </c>
      <c r="W1300" s="1" t="s">
        <v>26586</v>
      </c>
      <c r="X1300" s="1" t="s">
        <v>26587</v>
      </c>
      <c r="Y1300" s="1" t="s">
        <v>26588</v>
      </c>
      <c r="Z1300" s="1" t="s">
        <v>26589</v>
      </c>
      <c r="AA1300" s="1" t="s">
        <v>26590</v>
      </c>
      <c r="AB1300" s="1" t="s">
        <v>26591</v>
      </c>
      <c r="AC1300" s="1" t="s">
        <v>26592</v>
      </c>
      <c r="AD1300" s="6" t="s">
        <v>26593</v>
      </c>
      <c r="AE1300" s="1" t="s">
        <v>26594</v>
      </c>
      <c r="AF1300" s="1" t="s">
        <v>26595</v>
      </c>
      <c r="AG1300" s="6" t="s">
        <v>26596</v>
      </c>
      <c r="AH1300" s="1" t="s">
        <v>26597</v>
      </c>
      <c r="AI1300" s="6" t="s">
        <v>132</v>
      </c>
      <c r="AJ1300" s="6" t="s">
        <v>26598</v>
      </c>
      <c r="AK1300" s="1" t="s">
        <v>26599</v>
      </c>
      <c r="AL1300" s="6" t="s">
        <v>26600</v>
      </c>
    </row>
    <row r="1301" ht="15.75" hidden="1" customHeight="1">
      <c r="A1301" s="1" t="s">
        <v>38</v>
      </c>
      <c r="B1301" s="1" t="s">
        <v>26601</v>
      </c>
      <c r="C1301" s="1" t="s">
        <v>26602</v>
      </c>
      <c r="D1301" s="8" t="s">
        <v>26603</v>
      </c>
      <c r="E1301" s="1" t="s">
        <v>26602</v>
      </c>
      <c r="F1301" s="6" t="s">
        <v>26602</v>
      </c>
      <c r="G1301" s="7" t="str">
        <f>IFERROR(__xludf.DUMMYFUNCTION("GOOGLETRANSLATE(C1301, ""en"", ""cs"")"),"Omemo.")</f>
        <v>Omemo.</v>
      </c>
      <c r="H1301" s="7" t="str">
        <f>IFERROR(__xludf.DUMMYFUNCTION("GOOGLETRANSLATE(C1301, ""en"", ""da"")"),"Omemo.")</f>
        <v>Omemo.</v>
      </c>
      <c r="I1301" s="1" t="s">
        <v>26602</v>
      </c>
      <c r="J1301" s="6" t="s">
        <v>132</v>
      </c>
      <c r="K1301" s="1" t="s">
        <v>26602</v>
      </c>
      <c r="L1301" s="7" t="str">
        <f>IFERROR(__xludf.DUMMYFUNCTION("GOOGLETRANSLATE(C1301, ""en"", ""fi"")"),"Omemo")</f>
        <v>Omemo</v>
      </c>
      <c r="M1301" s="1" t="s">
        <v>26602</v>
      </c>
      <c r="N1301" s="6" t="s">
        <v>26602</v>
      </c>
      <c r="O1301" s="6" t="s">
        <v>132</v>
      </c>
      <c r="P1301" s="1" t="s">
        <v>26602</v>
      </c>
      <c r="Q1301" s="9" t="s">
        <v>26602</v>
      </c>
      <c r="R1301" s="1" t="s">
        <v>26602</v>
      </c>
      <c r="S1301" s="6" t="s">
        <v>132</v>
      </c>
      <c r="T1301" s="1" t="s">
        <v>26602</v>
      </c>
      <c r="U1301" s="1" t="s">
        <v>26602</v>
      </c>
      <c r="V1301" s="7" t="str">
        <f>IFERROR(__xludf.DUMMYFUNCTION("GOOGLETRANSLATE(C1301, ""en"", ""ms"")"),"Omemo.")</f>
        <v>Omemo.</v>
      </c>
      <c r="W1301" s="1" t="s">
        <v>26602</v>
      </c>
      <c r="X1301" s="7" t="str">
        <f>IFERROR(__xludf.DUMMYFUNCTION("GOOGLETRANSLATE(C1301, ""en"", ""no"")"),"OMEMO.")</f>
        <v>OMEMO.</v>
      </c>
      <c r="Y1301" s="1" t="s">
        <v>26602</v>
      </c>
      <c r="Z1301" s="1" t="s">
        <v>26602</v>
      </c>
      <c r="AA1301" s="7" t="str">
        <f>IFERROR(__xludf.DUMMYFUNCTION("GOOGLETRANSLATE(C1301, ""en"", ""ro"")"),"Omemo.")</f>
        <v>Omemo.</v>
      </c>
      <c r="AB1301" s="1" t="s">
        <v>26602</v>
      </c>
      <c r="AC1301" s="1" t="s">
        <v>26602</v>
      </c>
      <c r="AD1301" s="6" t="s">
        <v>132</v>
      </c>
      <c r="AE1301" s="1" t="s">
        <v>26604</v>
      </c>
      <c r="AF1301" s="1" t="s">
        <v>26602</v>
      </c>
      <c r="AG1301" s="6" t="s">
        <v>132</v>
      </c>
      <c r="AH1301" s="7" t="str">
        <f>IFERROR(__xludf.DUMMYFUNCTION("GOOGLETRANSLATE(C1301, ""en"", ""tr"")"),"Omemo")</f>
        <v>Omemo</v>
      </c>
      <c r="AI1301" s="6" t="s">
        <v>26602</v>
      </c>
      <c r="AJ1301" s="6" t="s">
        <v>26602</v>
      </c>
      <c r="AK1301" s="7" t="str">
        <f>IFERROR(__xludf.DUMMYFUNCTION("GOOGLETRANSLATE(C1301, ""en"", ""zh"")"),"omemo")</f>
        <v>omemo</v>
      </c>
      <c r="AL1301" s="6" t="s">
        <v>26602</v>
      </c>
    </row>
    <row r="1302" ht="15.75" customHeight="1">
      <c r="A1302" s="1" t="s">
        <v>127</v>
      </c>
      <c r="B1302" s="1" t="s">
        <v>26605</v>
      </c>
      <c r="C1302" s="1" t="s">
        <v>26606</v>
      </c>
      <c r="D1302" s="8" t="s">
        <v>26607</v>
      </c>
      <c r="E1302" s="1" t="s">
        <v>26608</v>
      </c>
      <c r="F1302" s="6" t="s">
        <v>132</v>
      </c>
      <c r="G1302" s="1" t="s">
        <v>26609</v>
      </c>
      <c r="H1302" s="1" t="s">
        <v>2619</v>
      </c>
      <c r="I1302" s="1" t="s">
        <v>2623</v>
      </c>
      <c r="J1302" s="6" t="s">
        <v>26610</v>
      </c>
      <c r="K1302" s="1" t="s">
        <v>2624</v>
      </c>
      <c r="L1302" s="1" t="s">
        <v>26611</v>
      </c>
      <c r="M1302" s="1" t="s">
        <v>26612</v>
      </c>
      <c r="N1302" s="6" t="s">
        <v>132</v>
      </c>
      <c r="O1302" s="6" t="s">
        <v>26613</v>
      </c>
      <c r="P1302" s="1" t="s">
        <v>26614</v>
      </c>
      <c r="Q1302" s="1" t="s">
        <v>26615</v>
      </c>
      <c r="R1302" s="1" t="s">
        <v>26616</v>
      </c>
      <c r="S1302" s="10" t="s">
        <v>26617</v>
      </c>
      <c r="T1302" s="1" t="s">
        <v>26618</v>
      </c>
      <c r="U1302" s="1" t="s">
        <v>26619</v>
      </c>
      <c r="V1302" s="1" t="s">
        <v>26620</v>
      </c>
      <c r="W1302" s="1" t="s">
        <v>26621</v>
      </c>
      <c r="X1302" s="1" t="s">
        <v>26606</v>
      </c>
      <c r="Y1302" s="1" t="s">
        <v>26622</v>
      </c>
      <c r="Z1302" s="1" t="s">
        <v>26623</v>
      </c>
      <c r="AA1302" s="1" t="s">
        <v>26624</v>
      </c>
      <c r="AB1302" s="1" t="s">
        <v>26625</v>
      </c>
      <c r="AC1302" s="1" t="s">
        <v>26626</v>
      </c>
      <c r="AD1302" s="6" t="s">
        <v>26627</v>
      </c>
      <c r="AE1302" s="1" t="s">
        <v>26606</v>
      </c>
      <c r="AF1302" s="1" t="s">
        <v>26628</v>
      </c>
      <c r="AG1302" s="6" t="s">
        <v>26629</v>
      </c>
      <c r="AH1302" s="1" t="s">
        <v>26630</v>
      </c>
      <c r="AI1302" s="6" t="s">
        <v>132</v>
      </c>
      <c r="AJ1302" s="6" t="s">
        <v>26631</v>
      </c>
      <c r="AK1302" s="1" t="s">
        <v>26632</v>
      </c>
      <c r="AL1302" s="6" t="s">
        <v>132</v>
      </c>
    </row>
    <row r="1303" ht="15.75" customHeight="1">
      <c r="A1303" s="1" t="s">
        <v>127</v>
      </c>
      <c r="B1303" s="1" t="s">
        <v>26633</v>
      </c>
      <c r="C1303" s="1" t="s">
        <v>26634</v>
      </c>
      <c r="D1303" s="1" t="s">
        <v>26635</v>
      </c>
      <c r="E1303" s="1" t="s">
        <v>26636</v>
      </c>
      <c r="F1303" s="6" t="s">
        <v>132</v>
      </c>
      <c r="G1303" s="1" t="s">
        <v>26637</v>
      </c>
      <c r="H1303" s="1" t="s">
        <v>26638</v>
      </c>
      <c r="I1303" s="1" t="s">
        <v>26634</v>
      </c>
      <c r="J1303" s="6" t="s">
        <v>26639</v>
      </c>
      <c r="K1303" s="1" t="s">
        <v>26636</v>
      </c>
      <c r="L1303" s="1" t="s">
        <v>26640</v>
      </c>
      <c r="M1303" s="1" t="s">
        <v>26636</v>
      </c>
      <c r="N1303" s="6" t="s">
        <v>132</v>
      </c>
      <c r="O1303" s="6" t="s">
        <v>26641</v>
      </c>
      <c r="P1303" s="1" t="s">
        <v>26636</v>
      </c>
      <c r="Q1303" s="1" t="s">
        <v>26642</v>
      </c>
      <c r="R1303" s="1" t="s">
        <v>26636</v>
      </c>
      <c r="S1303" s="10" t="s">
        <v>26643</v>
      </c>
      <c r="T1303" s="1" t="s">
        <v>26636</v>
      </c>
      <c r="U1303" s="1" t="s">
        <v>22666</v>
      </c>
      <c r="V1303" s="1" t="s">
        <v>26642</v>
      </c>
      <c r="W1303" s="1" t="s">
        <v>26636</v>
      </c>
      <c r="X1303" s="1" t="s">
        <v>26638</v>
      </c>
      <c r="Y1303" s="1" t="s">
        <v>26636</v>
      </c>
      <c r="Z1303" s="1" t="s">
        <v>26636</v>
      </c>
      <c r="AA1303" s="1" t="s">
        <v>26644</v>
      </c>
      <c r="AB1303" s="1" t="s">
        <v>26645</v>
      </c>
      <c r="AC1303" s="1" t="s">
        <v>26646</v>
      </c>
      <c r="AD1303" s="6" t="s">
        <v>26636</v>
      </c>
      <c r="AE1303" s="1" t="s">
        <v>26636</v>
      </c>
      <c r="AF1303" s="1" t="s">
        <v>26638</v>
      </c>
      <c r="AG1303" s="6" t="s">
        <v>26647</v>
      </c>
      <c r="AH1303" s="1" t="s">
        <v>26648</v>
      </c>
      <c r="AI1303" s="6" t="s">
        <v>132</v>
      </c>
      <c r="AJ1303" s="6" t="s">
        <v>26649</v>
      </c>
      <c r="AK1303" s="1" t="s">
        <v>26650</v>
      </c>
      <c r="AL1303" s="6" t="s">
        <v>26651</v>
      </c>
    </row>
    <row r="1304" ht="15.75" customHeight="1">
      <c r="A1304" s="1" t="s">
        <v>127</v>
      </c>
      <c r="B1304" s="1" t="s">
        <v>26652</v>
      </c>
      <c r="C1304" s="1" t="s">
        <v>26653</v>
      </c>
      <c r="D1304" s="8" t="s">
        <v>19350</v>
      </c>
      <c r="E1304" s="1" t="s">
        <v>26654</v>
      </c>
      <c r="F1304" s="6" t="s">
        <v>132</v>
      </c>
      <c r="G1304" s="1" t="s">
        <v>26655</v>
      </c>
      <c r="H1304" s="1" t="s">
        <v>26656</v>
      </c>
      <c r="I1304" s="1" t="s">
        <v>26653</v>
      </c>
      <c r="J1304" s="6" t="s">
        <v>26657</v>
      </c>
      <c r="K1304" s="1" t="s">
        <v>19356</v>
      </c>
      <c r="L1304" s="1" t="s">
        <v>19357</v>
      </c>
      <c r="M1304" s="1" t="s">
        <v>19358</v>
      </c>
      <c r="N1304" s="6" t="s">
        <v>132</v>
      </c>
      <c r="O1304" s="6" t="s">
        <v>26658</v>
      </c>
      <c r="P1304" s="1" t="s">
        <v>26659</v>
      </c>
      <c r="Q1304" s="1" t="s">
        <v>26660</v>
      </c>
      <c r="R1304" s="1" t="s">
        <v>26653</v>
      </c>
      <c r="S1304" s="10" t="s">
        <v>26661</v>
      </c>
      <c r="T1304" s="1" t="s">
        <v>26662</v>
      </c>
      <c r="U1304" s="1" t="s">
        <v>26663</v>
      </c>
      <c r="V1304" s="1" t="s">
        <v>26660</v>
      </c>
      <c r="W1304" s="1" t="s">
        <v>26664</v>
      </c>
      <c r="X1304" s="1" t="s">
        <v>26665</v>
      </c>
      <c r="Y1304" s="1" t="s">
        <v>26653</v>
      </c>
      <c r="Z1304" s="1" t="s">
        <v>19356</v>
      </c>
      <c r="AA1304" s="1" t="s">
        <v>26666</v>
      </c>
      <c r="AB1304" s="1" t="s">
        <v>26667</v>
      </c>
      <c r="AC1304" s="1" t="s">
        <v>26668</v>
      </c>
      <c r="AD1304" s="6" t="s">
        <v>26669</v>
      </c>
      <c r="AE1304" s="1" t="s">
        <v>26653</v>
      </c>
      <c r="AF1304" s="1" t="s">
        <v>26670</v>
      </c>
      <c r="AG1304" s="6" t="s">
        <v>26671</v>
      </c>
      <c r="AH1304" s="1" t="s">
        <v>26672</v>
      </c>
      <c r="AI1304" s="6" t="s">
        <v>132</v>
      </c>
      <c r="AJ1304" s="6" t="s">
        <v>19375</v>
      </c>
      <c r="AK1304" s="1" t="s">
        <v>19376</v>
      </c>
      <c r="AL1304" s="6" t="s">
        <v>19377</v>
      </c>
    </row>
    <row r="1305" ht="15.75" hidden="1" customHeight="1">
      <c r="A1305" s="1" t="s">
        <v>38</v>
      </c>
      <c r="B1305" s="1" t="s">
        <v>26673</v>
      </c>
      <c r="C1305" s="1" t="s">
        <v>26674</v>
      </c>
      <c r="D1305" s="8" t="s">
        <v>26675</v>
      </c>
      <c r="E1305" s="1" t="s">
        <v>26676</v>
      </c>
      <c r="F1305" s="6" t="s">
        <v>26677</v>
      </c>
      <c r="G1305" s="7" t="str">
        <f>IFERROR(__xludf.DUMMYFUNCTION("GOOGLETRANSLATE(C1305, ""en"", ""cs"")"),"Zobrazit zadejte klíč")</f>
        <v>Zobrazit zadejte klíč</v>
      </c>
      <c r="H1305" s="7" t="str">
        <f>IFERROR(__xludf.DUMMYFUNCTION("GOOGLETRANSLATE(C1305, ""en"", ""da"")"),"Vis indtastningstasten")</f>
        <v>Vis indtastningstasten</v>
      </c>
      <c r="I1305" s="1" t="s">
        <v>26678</v>
      </c>
      <c r="J1305" s="6" t="s">
        <v>132</v>
      </c>
      <c r="K1305" s="1" t="s">
        <v>26679</v>
      </c>
      <c r="L1305" s="7" t="str">
        <f>IFERROR(__xludf.DUMMYFUNCTION("GOOGLETRANSLATE(C1305, ""en"", ""fi"")"),"Näytä Enter-näppäin")</f>
        <v>Näytä Enter-näppäin</v>
      </c>
      <c r="M1305" s="1" t="s">
        <v>26680</v>
      </c>
      <c r="N1305" s="6" t="s">
        <v>26681</v>
      </c>
      <c r="O1305" s="6" t="s">
        <v>132</v>
      </c>
      <c r="P1305" s="1" t="s">
        <v>26682</v>
      </c>
      <c r="Q1305" s="9" t="s">
        <v>26683</v>
      </c>
      <c r="R1305" s="1" t="s">
        <v>26684</v>
      </c>
      <c r="S1305" s="6" t="s">
        <v>132</v>
      </c>
      <c r="T1305" s="1" t="s">
        <v>26685</v>
      </c>
      <c r="U1305" s="1" t="s">
        <v>26686</v>
      </c>
      <c r="V1305" s="7" t="str">
        <f>IFERROR(__xludf.DUMMYFUNCTION("GOOGLETRANSLATE(C1305, ""en"", ""ms"")"),"Tunjukkan Enter Key.")</f>
        <v>Tunjukkan Enter Key.</v>
      </c>
      <c r="W1305" s="1" t="s">
        <v>26687</v>
      </c>
      <c r="X1305" s="7" t="str">
        <f>IFERROR(__xludf.DUMMYFUNCTION("GOOGLETRANSLATE(C1305, ""en"", ""no"")"),"Vis Enter-tasten")</f>
        <v>Vis Enter-tasten</v>
      </c>
      <c r="Y1305" s="1" t="s">
        <v>26688</v>
      </c>
      <c r="Z1305" s="1" t="s">
        <v>26689</v>
      </c>
      <c r="AA1305" s="7" t="str">
        <f>IFERROR(__xludf.DUMMYFUNCTION("GOOGLETRANSLATE(C1305, ""en"", ""ro"")"),"Afișați tasta Introducere")</f>
        <v>Afișați tasta Introducere</v>
      </c>
      <c r="AB1305" s="1" t="s">
        <v>26690</v>
      </c>
      <c r="AC1305" s="1" t="s">
        <v>26691</v>
      </c>
      <c r="AD1305" s="6" t="s">
        <v>132</v>
      </c>
      <c r="AE1305" s="1" t="s">
        <v>26692</v>
      </c>
      <c r="AF1305" s="1" t="s">
        <v>26693</v>
      </c>
      <c r="AG1305" s="6" t="s">
        <v>132</v>
      </c>
      <c r="AH1305" s="7" t="str">
        <f>IFERROR(__xludf.DUMMYFUNCTION("GOOGLETRANSLATE(C1305, ""en"", ""tr"")"),"Enter tuşunu göster")</f>
        <v>Enter tuşunu göster</v>
      </c>
      <c r="AI1305" s="6" t="s">
        <v>26694</v>
      </c>
      <c r="AJ1305" s="6" t="s">
        <v>26695</v>
      </c>
      <c r="AK1305" s="7" t="str">
        <f>IFERROR(__xludf.DUMMYFUNCTION("GOOGLETRANSLATE(C1305, ""en"", ""zh"")"),"显示输入键")</f>
        <v>显示输入键</v>
      </c>
      <c r="AL1305" s="6" t="s">
        <v>26696</v>
      </c>
    </row>
    <row r="1306" ht="15.75" customHeight="1">
      <c r="A1306" s="1" t="s">
        <v>127</v>
      </c>
      <c r="B1306" s="1" t="s">
        <v>26697</v>
      </c>
      <c r="C1306" s="1" t="s">
        <v>26698</v>
      </c>
      <c r="D1306" s="8" t="s">
        <v>26699</v>
      </c>
      <c r="E1306" s="1" t="s">
        <v>26700</v>
      </c>
      <c r="F1306" s="6" t="s">
        <v>132</v>
      </c>
      <c r="G1306" s="1" t="s">
        <v>26701</v>
      </c>
      <c r="H1306" s="1" t="s">
        <v>26702</v>
      </c>
      <c r="I1306" s="1" t="s">
        <v>26703</v>
      </c>
      <c r="J1306" s="6" t="s">
        <v>26704</v>
      </c>
      <c r="K1306" s="1" t="s">
        <v>26705</v>
      </c>
      <c r="L1306" s="1" t="s">
        <v>26706</v>
      </c>
      <c r="M1306" s="1" t="s">
        <v>26707</v>
      </c>
      <c r="N1306" s="6" t="s">
        <v>132</v>
      </c>
      <c r="O1306" s="6" t="s">
        <v>26708</v>
      </c>
      <c r="P1306" s="1" t="s">
        <v>26709</v>
      </c>
      <c r="Q1306" s="1" t="s">
        <v>26710</v>
      </c>
      <c r="R1306" s="1" t="s">
        <v>26711</v>
      </c>
      <c r="S1306" s="10" t="s">
        <v>26712</v>
      </c>
      <c r="T1306" s="1" t="s">
        <v>26713</v>
      </c>
      <c r="U1306" s="1" t="s">
        <v>26714</v>
      </c>
      <c r="V1306" s="1" t="s">
        <v>26710</v>
      </c>
      <c r="W1306" s="1" t="s">
        <v>26715</v>
      </c>
      <c r="X1306" s="1" t="s">
        <v>26702</v>
      </c>
      <c r="Y1306" s="1" t="s">
        <v>26716</v>
      </c>
      <c r="Z1306" s="1" t="s">
        <v>26717</v>
      </c>
      <c r="AA1306" s="1" t="s">
        <v>26718</v>
      </c>
      <c r="AB1306" s="1" t="s">
        <v>26719</v>
      </c>
      <c r="AC1306" s="1" t="s">
        <v>26720</v>
      </c>
      <c r="AD1306" s="6" t="s">
        <v>26721</v>
      </c>
      <c r="AE1306" s="1" t="s">
        <v>26722</v>
      </c>
      <c r="AF1306" s="1" t="s">
        <v>26702</v>
      </c>
      <c r="AG1306" s="6" t="s">
        <v>26723</v>
      </c>
      <c r="AH1306" s="1" t="s">
        <v>26724</v>
      </c>
      <c r="AI1306" s="6" t="s">
        <v>132</v>
      </c>
      <c r="AJ1306" s="6" t="s">
        <v>26725</v>
      </c>
      <c r="AK1306" s="1" t="s">
        <v>26726</v>
      </c>
      <c r="AL1306" s="6" t="s">
        <v>132</v>
      </c>
    </row>
    <row r="1307" ht="15.75" customHeight="1">
      <c r="A1307" s="1" t="s">
        <v>127</v>
      </c>
      <c r="B1307" s="1" t="s">
        <v>26727</v>
      </c>
      <c r="C1307" s="1" t="s">
        <v>26728</v>
      </c>
      <c r="D1307" s="8" t="s">
        <v>26729</v>
      </c>
      <c r="E1307" s="1" t="s">
        <v>26730</v>
      </c>
      <c r="F1307" s="6" t="s">
        <v>132</v>
      </c>
      <c r="G1307" s="1" t="s">
        <v>26731</v>
      </c>
      <c r="H1307" s="1" t="s">
        <v>26732</v>
      </c>
      <c r="I1307" s="1" t="s">
        <v>26733</v>
      </c>
      <c r="J1307" s="6" t="s">
        <v>26734</v>
      </c>
      <c r="K1307" s="1" t="s">
        <v>26735</v>
      </c>
      <c r="L1307" s="1" t="s">
        <v>26736</v>
      </c>
      <c r="M1307" s="1" t="s">
        <v>26737</v>
      </c>
      <c r="N1307" s="6" t="s">
        <v>132</v>
      </c>
      <c r="O1307" s="6" t="s">
        <v>26738</v>
      </c>
      <c r="P1307" s="1" t="s">
        <v>26739</v>
      </c>
      <c r="Q1307" s="1" t="s">
        <v>26740</v>
      </c>
      <c r="R1307" s="1" t="s">
        <v>26741</v>
      </c>
      <c r="S1307" s="10" t="s">
        <v>26742</v>
      </c>
      <c r="T1307" s="1" t="s">
        <v>26743</v>
      </c>
      <c r="U1307" s="1" t="s">
        <v>26744</v>
      </c>
      <c r="V1307" s="1" t="s">
        <v>26745</v>
      </c>
      <c r="W1307" s="1" t="s">
        <v>26746</v>
      </c>
      <c r="X1307" s="1" t="s">
        <v>26747</v>
      </c>
      <c r="Y1307" s="1" t="s">
        <v>26748</v>
      </c>
      <c r="Z1307" s="1" t="s">
        <v>26749</v>
      </c>
      <c r="AA1307" s="1" t="s">
        <v>26750</v>
      </c>
      <c r="AB1307" s="1" t="s">
        <v>26751</v>
      </c>
      <c r="AC1307" s="1" t="s">
        <v>26752</v>
      </c>
      <c r="AD1307" s="6" t="s">
        <v>26753</v>
      </c>
      <c r="AE1307" s="1" t="s">
        <v>26754</v>
      </c>
      <c r="AF1307" s="1" t="s">
        <v>26755</v>
      </c>
      <c r="AG1307" s="6" t="s">
        <v>26756</v>
      </c>
      <c r="AH1307" s="1" t="s">
        <v>26757</v>
      </c>
      <c r="AI1307" s="6" t="s">
        <v>132</v>
      </c>
      <c r="AJ1307" s="6" t="s">
        <v>26758</v>
      </c>
      <c r="AK1307" s="1" t="s">
        <v>26759</v>
      </c>
      <c r="AL1307" s="6" t="s">
        <v>26760</v>
      </c>
    </row>
    <row r="1308" ht="15.75" hidden="1" customHeight="1">
      <c r="A1308" s="1" t="s">
        <v>38</v>
      </c>
      <c r="B1308" s="1" t="s">
        <v>26761</v>
      </c>
      <c r="C1308" s="1" t="s">
        <v>26762</v>
      </c>
      <c r="D1308" s="8" t="s">
        <v>26763</v>
      </c>
      <c r="E1308" s="1" t="s">
        <v>26764</v>
      </c>
      <c r="F1308" s="6" t="s">
        <v>26765</v>
      </c>
      <c r="G1308" s="7" t="str">
        <f>IFERROR(__xludf.DUMMYFUNCTION("GOOGLETRANSLATE(C1308, ""en"", ""cs"")"),"Stiskněte avatar vyberte obrázek z galerie")</f>
        <v>Stiskněte avatar vyberte obrázek z galerie</v>
      </c>
      <c r="H1308" s="7" t="str">
        <f>IFERROR(__xludf.DUMMYFUNCTION("GOOGLETRANSLATE(C1308, ""en"", ""da"")"),"Tryk på Avatar for at vælge Billede fra Galleri")</f>
        <v>Tryk på Avatar for at vælge Billede fra Galleri</v>
      </c>
      <c r="I1308" s="1" t="s">
        <v>26766</v>
      </c>
      <c r="J1308" s="6" t="s">
        <v>132</v>
      </c>
      <c r="K1308" s="1" t="s">
        <v>26767</v>
      </c>
      <c r="L1308" s="7" t="str">
        <f>IFERROR(__xludf.DUMMYFUNCTION("GOOGLETRANSLATE(C1308, ""en"", ""fi"")"),"Valitse kuva galleriasta")</f>
        <v>Valitse kuva galleriasta</v>
      </c>
      <c r="M1308" s="1" t="s">
        <v>26768</v>
      </c>
      <c r="N1308" s="6" t="s">
        <v>26769</v>
      </c>
      <c r="O1308" s="6" t="s">
        <v>132</v>
      </c>
      <c r="P1308" s="1" t="s">
        <v>26770</v>
      </c>
      <c r="Q1308" s="9" t="s">
        <v>26771</v>
      </c>
      <c r="R1308" s="1" t="s">
        <v>26772</v>
      </c>
      <c r="S1308" s="6" t="s">
        <v>132</v>
      </c>
      <c r="T1308" s="1" t="s">
        <v>26773</v>
      </c>
      <c r="U1308" s="1" t="s">
        <v>26774</v>
      </c>
      <c r="V1308" s="7" t="str">
        <f>IFERROR(__xludf.DUMMYFUNCTION("GOOGLETRANSLATE(C1308, ""en"", ""ms"")"),"Sentuh Avatar untuk memilih gambar dari galeri")</f>
        <v>Sentuh Avatar untuk memilih gambar dari galeri</v>
      </c>
      <c r="W1308" s="1" t="s">
        <v>26775</v>
      </c>
      <c r="X1308" s="7" t="str">
        <f>IFERROR(__xludf.DUMMYFUNCTION("GOOGLETRANSLATE(C1308, ""en"", ""no"")"),"Trykk på Avatar for å velge bilde fra galleriet")</f>
        <v>Trykk på Avatar for å velge bilde fra galleriet</v>
      </c>
      <c r="Y1308" s="1" t="s">
        <v>26776</v>
      </c>
      <c r="Z1308" s="1" t="s">
        <v>26777</v>
      </c>
      <c r="AA1308" s="7" t="str">
        <f>IFERROR(__xludf.DUMMYFUNCTION("GOOGLETRANSLATE(C1308, ""en"", ""ro"")"),"Atingeți Avatar pentru a selecta Imagine din Galerie")</f>
        <v>Atingeți Avatar pentru a selecta Imagine din Galerie</v>
      </c>
      <c r="AB1308" s="1" t="s">
        <v>26778</v>
      </c>
      <c r="AC1308" s="1" t="s">
        <v>26779</v>
      </c>
      <c r="AD1308" s="6" t="s">
        <v>132</v>
      </c>
      <c r="AE1308" s="1" t="s">
        <v>26780</v>
      </c>
      <c r="AF1308" s="1" t="s">
        <v>26781</v>
      </c>
      <c r="AG1308" s="6" t="s">
        <v>132</v>
      </c>
      <c r="AH1308" s="13" t="s">
        <v>26782</v>
      </c>
      <c r="AI1308" s="6" t="s">
        <v>26783</v>
      </c>
      <c r="AJ1308" s="6" t="s">
        <v>26784</v>
      </c>
      <c r="AK1308" s="7" t="str">
        <f>IFERROR(__xludf.DUMMYFUNCTION("GOOGLETRANSLATE(C1308, ""en"", ""zh"")"),"触摸头像从图库中选择图片")</f>
        <v>触摸头像从图库中选择图片</v>
      </c>
      <c r="AL1308" s="6" t="s">
        <v>26785</v>
      </c>
    </row>
    <row r="1309" ht="15.75" hidden="1" customHeight="1">
      <c r="A1309" s="1" t="s">
        <v>38</v>
      </c>
      <c r="B1309" s="1" t="s">
        <v>26786</v>
      </c>
      <c r="C1309" s="1" t="s">
        <v>24873</v>
      </c>
      <c r="D1309" s="8" t="s">
        <v>24874</v>
      </c>
      <c r="E1309" s="1" t="s">
        <v>26787</v>
      </c>
      <c r="F1309" s="6" t="s">
        <v>24880</v>
      </c>
      <c r="G1309" s="7" t="str">
        <f>IFERROR(__xludf.DUMMYFUNCTION("GOOGLETRANSLATE(C1309, ""en"", ""cs"")"),"Potvrdit")</f>
        <v>Potvrdit</v>
      </c>
      <c r="H1309" s="7" t="str">
        <f>IFERROR(__xludf.DUMMYFUNCTION("GOOGLETRANSLATE(C1309, ""en"", ""da"")"),"Bekræfte")</f>
        <v>Bekræfte</v>
      </c>
      <c r="I1309" s="1" t="s">
        <v>24878</v>
      </c>
      <c r="J1309" s="6" t="s">
        <v>132</v>
      </c>
      <c r="K1309" s="1" t="s">
        <v>24880</v>
      </c>
      <c r="L1309" s="7" t="str">
        <f>IFERROR(__xludf.DUMMYFUNCTION("GOOGLETRANSLATE(C1309, ""en"", ""fi"")"),"Vahvistaa")</f>
        <v>Vahvistaa</v>
      </c>
      <c r="M1309" s="1" t="s">
        <v>24882</v>
      </c>
      <c r="N1309" s="6" t="s">
        <v>24880</v>
      </c>
      <c r="O1309" s="6" t="s">
        <v>132</v>
      </c>
      <c r="P1309" s="1" t="s">
        <v>26788</v>
      </c>
      <c r="Q1309" s="9" t="s">
        <v>24885</v>
      </c>
      <c r="R1309" s="1" t="s">
        <v>26789</v>
      </c>
      <c r="S1309" s="6" t="s">
        <v>132</v>
      </c>
      <c r="T1309" s="1" t="s">
        <v>26790</v>
      </c>
      <c r="U1309" s="1" t="s">
        <v>24889</v>
      </c>
      <c r="V1309" s="7" t="str">
        <f>IFERROR(__xludf.DUMMYFUNCTION("GOOGLETRANSLATE(C1309, ""en"", ""ms"")"),"Sahkan")</f>
        <v>Sahkan</v>
      </c>
      <c r="W1309" s="1" t="s">
        <v>26791</v>
      </c>
      <c r="X1309" s="7" t="str">
        <f>IFERROR(__xludf.DUMMYFUNCTION("GOOGLETRANSLATE(C1309, ""en"", ""no"")"),"Bekrefte")</f>
        <v>Bekrefte</v>
      </c>
      <c r="Y1309" s="1" t="s">
        <v>24892</v>
      </c>
      <c r="Z1309" s="1" t="s">
        <v>24880</v>
      </c>
      <c r="AA1309" s="7" t="str">
        <f>IFERROR(__xludf.DUMMYFUNCTION("GOOGLETRANSLATE(C1309, ""en"", ""ro"")"),"A confirma")</f>
        <v>A confirma</v>
      </c>
      <c r="AB1309" s="1" t="s">
        <v>24894</v>
      </c>
      <c r="AC1309" s="1" t="s">
        <v>24895</v>
      </c>
      <c r="AD1309" s="6" t="s">
        <v>132</v>
      </c>
      <c r="AE1309" s="1" t="s">
        <v>26792</v>
      </c>
      <c r="AF1309" s="1" t="s">
        <v>24898</v>
      </c>
      <c r="AG1309" s="6" t="s">
        <v>132</v>
      </c>
      <c r="AH1309" s="7" t="str">
        <f>IFERROR(__xludf.DUMMYFUNCTION("GOOGLETRANSLATE(C1309, ""en"", ""tr"")"),"Onaylamak")</f>
        <v>Onaylamak</v>
      </c>
      <c r="AI1309" s="6" t="s">
        <v>26793</v>
      </c>
      <c r="AJ1309" s="6" t="s">
        <v>24901</v>
      </c>
      <c r="AK1309" s="7" t="str">
        <f>IFERROR(__xludf.DUMMYFUNCTION("GOOGLETRANSLATE(C1309, ""en"", ""zh"")"),"确认")</f>
        <v>确认</v>
      </c>
      <c r="AL1309" s="6" t="s">
        <v>26790</v>
      </c>
    </row>
    <row r="1310" ht="15.75" hidden="1" customHeight="1">
      <c r="A1310" s="1" t="s">
        <v>38</v>
      </c>
      <c r="B1310" s="1" t="s">
        <v>26794</v>
      </c>
      <c r="C1310" s="1" t="s">
        <v>26795</v>
      </c>
      <c r="D1310" s="7" t="str">
        <f>IFERROR(__xludf.DUMMYFUNCTION("GOOGLETRANSLATE(C1310, ""en"", ""ar"")"),"سيستخدم OMEMO دائما في دردشات مجموعة فردية ومجموعة خاصة.")</f>
        <v>سيستخدم OMEMO دائما في دردشات مجموعة فردية ومجموعة خاصة.</v>
      </c>
      <c r="E1310" s="1" t="s">
        <v>26796</v>
      </c>
      <c r="F1310" s="6" t="s">
        <v>26797</v>
      </c>
      <c r="G1310" s="7" t="str">
        <f>IFERROR(__xludf.DUMMYFUNCTION("GOOGLETRANSLATE(C1310, ""en"", ""cs"")"),"Omemo bude vždy použito pro jednorázové a soukromé skupinové chaty.")</f>
        <v>Omemo bude vždy použito pro jednorázové a soukromé skupinové chaty.</v>
      </c>
      <c r="H1310" s="7" t="str">
        <f>IFERROR(__xludf.DUMMYFUNCTION("GOOGLETRANSLATE(C1310, ""en"", ""da"")"),"Omemo vil altid blive brugt til en-til-en og privat gruppe chats.")</f>
        <v>Omemo vil altid blive brugt til en-til-en og privat gruppe chats.</v>
      </c>
      <c r="I1310" s="1" t="s">
        <v>26798</v>
      </c>
      <c r="J1310" s="6" t="s">
        <v>132</v>
      </c>
      <c r="K1310" s="1" t="s">
        <v>26799</v>
      </c>
      <c r="L1310" s="7" t="str">
        <f>IFERROR(__xludf.DUMMYFUNCTION("GOOGLETRANSLATE(C1310, ""en"", ""fi"")"),"Omemoa käytetään aina yhden ja yksityisen ryhmän keskusteluihin.")</f>
        <v>Omemoa käytetään aina yhden ja yksityisen ryhmän keskusteluihin.</v>
      </c>
      <c r="M1310" s="1" t="s">
        <v>26800</v>
      </c>
      <c r="N1310" s="6" t="s">
        <v>26801</v>
      </c>
      <c r="O1310" s="6" t="s">
        <v>132</v>
      </c>
      <c r="P1310" s="1" t="s">
        <v>26802</v>
      </c>
      <c r="Q1310" s="7" t="str">
        <f>IFERROR(__xludf.DUMMYFUNCTION("GOOGLETRANSLATE(C1310, ""en"", ""in"")"),"Omemo akan selalu digunakan untuk obrolan grup satu lawan satu dan pribadi.")</f>
        <v>Omemo akan selalu digunakan untuk obrolan grup satu lawan satu dan pribadi.</v>
      </c>
      <c r="R1310" s="1" t="s">
        <v>26803</v>
      </c>
      <c r="S1310" s="6" t="s">
        <v>132</v>
      </c>
      <c r="T1310" s="1" t="s">
        <v>26804</v>
      </c>
      <c r="U1310" s="7" t="str">
        <f>IFERROR(__xludf.DUMMYFUNCTION("GOOGLETRANSLATE(C1310, ""en"", ""ko"")"),"Omemo는 일대일 및 개인 그룹 채팅에 항상 사용됩니다.")</f>
        <v>Omemo는 일대일 및 개인 그룹 채팅에 항상 사용됩니다.</v>
      </c>
      <c r="V1310" s="7" t="str">
        <f>IFERROR(__xludf.DUMMYFUNCTION("GOOGLETRANSLATE(C1310, ""en"", ""ms"")"),"Omemo akan sentiasa digunakan untuk sembang kumpulan satu-satu dan persendirian.")</f>
        <v>Omemo akan sentiasa digunakan untuk sembang kumpulan satu-satu dan persendirian.</v>
      </c>
      <c r="W1310" s="1" t="s">
        <v>26805</v>
      </c>
      <c r="X1310" s="7" t="str">
        <f>IFERROR(__xludf.DUMMYFUNCTION("GOOGLETRANSLATE(C1310, ""en"", ""no"")"),"OMEMO vil alltid brukes til en-mot-en og private gruppechatt.")</f>
        <v>OMEMO vil alltid brukes til en-mot-en og private gruppechatt.</v>
      </c>
      <c r="Y1310" s="1" t="s">
        <v>26806</v>
      </c>
      <c r="Z1310" s="7" t="str">
        <f>IFERROR(__xludf.DUMMYFUNCTION("GOOGLETRANSLATE(C1310, ""en"", ""pt"")"),"OMEMO será sempre usado para chats de grupo individuais e privados.")</f>
        <v>OMEMO será sempre usado para chats de grupo individuais e privados.</v>
      </c>
      <c r="AA1310" s="7" t="str">
        <f>IFERROR(__xludf.DUMMYFUNCTION("GOOGLETRANSLATE(C1310, ""en"", ""ro"")"),"Omemo va fi întotdeauna folosit pentru chat-uri unu-la-una și private.")</f>
        <v>Omemo va fi întotdeauna folosit pentru chat-uri unu-la-una și private.</v>
      </c>
      <c r="AB1310" s="7" t="str">
        <f>IFERROR(__xludf.DUMMYFUNCTION("GOOGLETRANSLATE(C1310, ""en"", ""ru"")"),"OMEMO всегда будет использоваться для однонаправленных и частных групповых чатов.")</f>
        <v>OMEMO всегда будет использоваться для однонаправленных и частных групповых чатов.</v>
      </c>
      <c r="AC1310" s="7" t="str">
        <f>IFERROR(__xludf.DUMMYFUNCTION("GOOGLETRANSLATE(C1310, ""en"", ""sk"")"),"OMEMO sa bude vždy používať na one-on-one a súkromné ​​skupiny.")</f>
        <v>OMEMO sa bude vždy používať na one-on-one a súkromné ​​skupiny.</v>
      </c>
      <c r="AD1310" s="6" t="s">
        <v>132</v>
      </c>
      <c r="AE1310" s="1" t="s">
        <v>26807</v>
      </c>
      <c r="AF1310" s="7" t="str">
        <f>IFERROR(__xludf.DUMMYFUNCTION("GOOGLETRANSLATE(C1310, ""en"", ""sv"")"),"Omemo kommer alltid att användas för en-mot-en och privat gruppchatt.")</f>
        <v>Omemo kommer alltid att användas för en-mot-en och privat gruppchatt.</v>
      </c>
      <c r="AG1310" s="6" t="s">
        <v>132</v>
      </c>
      <c r="AH1310" s="7" t="str">
        <f>IFERROR(__xludf.DUMMYFUNCTION("GOOGLETRANSLATE(C1310, ""en"", ""tr"")"),"Omemo her zaman bire bire bir ve özel grup sohbetleri için kullanılabilir.")</f>
        <v>Omemo her zaman bire bire bir ve özel grup sohbetleri için kullanılabilir.</v>
      </c>
      <c r="AI1310" s="6" t="s">
        <v>132</v>
      </c>
      <c r="AJ1310" s="6" t="s">
        <v>132</v>
      </c>
      <c r="AK1310" s="7" t="str">
        <f>IFERROR(__xludf.DUMMYFUNCTION("GOOGLETRANSLATE(C1310, ""en"", ""zh"")"),"Omemo将始终用于一对一和私人小组聊天。")</f>
        <v>Omemo将始终用于一对一和私人小组聊天。</v>
      </c>
      <c r="AL1310" s="6" t="s">
        <v>26808</v>
      </c>
    </row>
    <row r="1311" ht="15.75" hidden="1" customHeight="1">
      <c r="A1311" s="1" t="s">
        <v>38</v>
      </c>
      <c r="B1311" s="1" t="s">
        <v>26809</v>
      </c>
      <c r="C1311" s="1" t="s">
        <v>26810</v>
      </c>
      <c r="D1311" s="7" t="str">
        <f>IFERROR(__xludf.DUMMYFUNCTION("GOOGLETRANSLATE(C1311, ""en"", ""ar"")"),"منح استيعاد طلب الاشتراك")</f>
        <v>منح استيعاد طلب الاشتراك</v>
      </c>
      <c r="E1311" s="1" t="s">
        <v>26811</v>
      </c>
      <c r="F1311" s="6" t="s">
        <v>26812</v>
      </c>
      <c r="G1311" s="7" t="str">
        <f>IFERROR(__xludf.DUMMYFUNCTION("GOOGLETRANSLATE(C1311, ""en"", ""cs"")"),"Prevedně grantová žádost o předplatné")</f>
        <v>Prevedně grantová žádost o předplatné</v>
      </c>
      <c r="H1311" s="7" t="str">
        <f>IFERROR(__xludf.DUMMYFUNCTION("GOOGLETRANSLATE(C1311, ""en"", ""da"")"),"Præemptively give abonnement anmodning")</f>
        <v>Præemptively give abonnement anmodning</v>
      </c>
      <c r="I1311" s="1" t="s">
        <v>26813</v>
      </c>
      <c r="J1311" s="6" t="s">
        <v>132</v>
      </c>
      <c r="K1311" s="1" t="s">
        <v>26814</v>
      </c>
      <c r="L1311" s="7" t="str">
        <f>IFERROR(__xludf.DUMMYFUNCTION("GOOGLETRANSLATE(C1311, ""en"", ""fi"")"),"Greative Apt -tilauspyyntö")</f>
        <v>Greative Apt -tilauspyyntö</v>
      </c>
      <c r="M1311" s="1" t="s">
        <v>26815</v>
      </c>
      <c r="N1311" s="6" t="s">
        <v>26816</v>
      </c>
      <c r="O1311" s="6" t="s">
        <v>132</v>
      </c>
      <c r="P1311" s="1" t="s">
        <v>26817</v>
      </c>
      <c r="Q1311" s="9" t="s">
        <v>26818</v>
      </c>
      <c r="R1311" s="1" t="s">
        <v>26819</v>
      </c>
      <c r="S1311" s="6" t="s">
        <v>132</v>
      </c>
      <c r="T1311" s="1" t="s">
        <v>26820</v>
      </c>
      <c r="U1311" s="1" t="s">
        <v>26821</v>
      </c>
      <c r="V1311" s="7" t="str">
        <f>IFERROR(__xludf.DUMMYFUNCTION("GOOGLETRANSLATE(C1311, ""en"", ""ms"")"),"Permintaan langganan preemptively Geran")</f>
        <v>Permintaan langganan preemptively Geran</v>
      </c>
      <c r="W1311" s="1" t="s">
        <v>26822</v>
      </c>
      <c r="X1311" s="7" t="str">
        <f>IFERROR(__xludf.DUMMYFUNCTION("GOOGLETRANSLATE(C1311, ""en"", ""no"")"),"Preemptively tilskudd abonnementsforespørsel")</f>
        <v>Preemptively tilskudd abonnementsforespørsel</v>
      </c>
      <c r="Y1311" s="1" t="s">
        <v>26823</v>
      </c>
      <c r="Z1311" s="1" t="s">
        <v>26824</v>
      </c>
      <c r="AA1311" s="7" t="str">
        <f>IFERROR(__xludf.DUMMYFUNCTION("GOOGLETRANSLATE(C1311, ""en"", ""ro"")"),"Preemptive Solicitare de abonament")</f>
        <v>Preemptive Solicitare de abonament</v>
      </c>
      <c r="AB1311" s="1" t="s">
        <v>26825</v>
      </c>
      <c r="AC1311" s="1" t="s">
        <v>26826</v>
      </c>
      <c r="AD1311" s="6" t="s">
        <v>132</v>
      </c>
      <c r="AE1311" s="1" t="s">
        <v>26827</v>
      </c>
      <c r="AF1311" s="1" t="s">
        <v>26828</v>
      </c>
      <c r="AG1311" s="6" t="s">
        <v>132</v>
      </c>
      <c r="AH1311" s="7" t="str">
        <f>IFERROR(__xludf.DUMMYFUNCTION("GOOGLETRANSLATE(C1311, ""en"", ""tr"")"),"Abonelik talebini öngelendirir")</f>
        <v>Abonelik talebini öngelendirir</v>
      </c>
      <c r="AI1311" s="6" t="s">
        <v>26829</v>
      </c>
      <c r="AJ1311" s="6" t="s">
        <v>26830</v>
      </c>
      <c r="AK1311" s="7" t="str">
        <f>IFERROR(__xludf.DUMMYFUNCTION("GOOGLETRANSLATE(C1311, ""en"", ""zh"")"),"先发制人授予订阅请求")</f>
        <v>先发制人授予订阅请求</v>
      </c>
      <c r="AL1311" s="6" t="s">
        <v>26831</v>
      </c>
    </row>
    <row r="1312" ht="15.75" customHeight="1">
      <c r="A1312" s="1" t="s">
        <v>127</v>
      </c>
      <c r="B1312" s="1" t="s">
        <v>26832</v>
      </c>
      <c r="C1312" s="1" t="s">
        <v>26833</v>
      </c>
      <c r="D1312" s="8" t="s">
        <v>26834</v>
      </c>
      <c r="E1312" s="1" t="s">
        <v>26835</v>
      </c>
      <c r="F1312" s="6" t="s">
        <v>132</v>
      </c>
      <c r="G1312" s="1" t="s">
        <v>26836</v>
      </c>
      <c r="H1312" s="1" t="s">
        <v>26837</v>
      </c>
      <c r="I1312" s="1" t="s">
        <v>26838</v>
      </c>
      <c r="J1312" s="6" t="s">
        <v>26839</v>
      </c>
      <c r="K1312" s="1" t="s">
        <v>26840</v>
      </c>
      <c r="L1312" s="1" t="s">
        <v>26841</v>
      </c>
      <c r="M1312" s="1" t="s">
        <v>26842</v>
      </c>
      <c r="N1312" s="6" t="s">
        <v>132</v>
      </c>
      <c r="O1312" s="6" t="s">
        <v>26843</v>
      </c>
      <c r="P1312" s="1" t="s">
        <v>26844</v>
      </c>
      <c r="Q1312" s="1" t="s">
        <v>26845</v>
      </c>
      <c r="R1312" s="1" t="s">
        <v>26846</v>
      </c>
      <c r="S1312" s="10" t="s">
        <v>26847</v>
      </c>
      <c r="T1312" s="1" t="s">
        <v>26848</v>
      </c>
      <c r="U1312" s="1" t="s">
        <v>26849</v>
      </c>
      <c r="V1312" s="1" t="s">
        <v>26850</v>
      </c>
      <c r="W1312" s="1" t="s">
        <v>26851</v>
      </c>
      <c r="X1312" s="1" t="s">
        <v>26852</v>
      </c>
      <c r="Y1312" s="1" t="s">
        <v>26853</v>
      </c>
      <c r="Z1312" s="1" t="s">
        <v>26854</v>
      </c>
      <c r="AA1312" s="1" t="s">
        <v>26855</v>
      </c>
      <c r="AB1312" s="1" t="s">
        <v>26856</v>
      </c>
      <c r="AC1312" s="1" t="s">
        <v>26857</v>
      </c>
      <c r="AD1312" s="6" t="s">
        <v>26858</v>
      </c>
      <c r="AE1312" s="1" t="s">
        <v>26859</v>
      </c>
      <c r="AF1312" s="1" t="s">
        <v>26860</v>
      </c>
      <c r="AG1312" s="6" t="s">
        <v>26861</v>
      </c>
      <c r="AH1312" s="1" t="s">
        <v>26862</v>
      </c>
      <c r="AI1312" s="6" t="s">
        <v>132</v>
      </c>
      <c r="AJ1312" s="6" t="s">
        <v>26863</v>
      </c>
      <c r="AK1312" s="1" t="s">
        <v>26864</v>
      </c>
      <c r="AL1312" s="6" t="s">
        <v>132</v>
      </c>
    </row>
    <row r="1313" ht="15.75" customHeight="1">
      <c r="A1313" s="1" t="s">
        <v>127</v>
      </c>
      <c r="B1313" s="1" t="s">
        <v>26865</v>
      </c>
      <c r="C1313" s="1" t="s">
        <v>26866</v>
      </c>
      <c r="D1313" s="8" t="s">
        <v>26867</v>
      </c>
      <c r="E1313" s="1" t="s">
        <v>26868</v>
      </c>
      <c r="F1313" s="6" t="s">
        <v>132</v>
      </c>
      <c r="G1313" s="1" t="s">
        <v>26869</v>
      </c>
      <c r="H1313" s="1" t="s">
        <v>26870</v>
      </c>
      <c r="I1313" s="1" t="s">
        <v>26866</v>
      </c>
      <c r="J1313" s="6" t="s">
        <v>26871</v>
      </c>
      <c r="K1313" s="1" t="s">
        <v>26866</v>
      </c>
      <c r="L1313" s="1" t="s">
        <v>26872</v>
      </c>
      <c r="M1313" s="1" t="s">
        <v>26866</v>
      </c>
      <c r="N1313" s="6" t="s">
        <v>132</v>
      </c>
      <c r="O1313" s="6" t="s">
        <v>26873</v>
      </c>
      <c r="P1313" s="1" t="s">
        <v>26866</v>
      </c>
      <c r="Q1313" s="1" t="s">
        <v>26874</v>
      </c>
      <c r="R1313" s="1" t="s">
        <v>26866</v>
      </c>
      <c r="S1313" s="10" t="s">
        <v>26875</v>
      </c>
      <c r="T1313" s="1" t="s">
        <v>26876</v>
      </c>
      <c r="U1313" s="1" t="s">
        <v>26877</v>
      </c>
      <c r="V1313" s="1" t="s">
        <v>26878</v>
      </c>
      <c r="W1313" s="1" t="s">
        <v>26879</v>
      </c>
      <c r="X1313" s="1" t="s">
        <v>26880</v>
      </c>
      <c r="Y1313" s="1" t="s">
        <v>26866</v>
      </c>
      <c r="Z1313" s="1" t="s">
        <v>26881</v>
      </c>
      <c r="AA1313" s="1" t="s">
        <v>26882</v>
      </c>
      <c r="AB1313" s="1" t="s">
        <v>26883</v>
      </c>
      <c r="AC1313" s="1" t="s">
        <v>26884</v>
      </c>
      <c r="AD1313" s="6" t="s">
        <v>26885</v>
      </c>
      <c r="AE1313" s="1" t="s">
        <v>26866</v>
      </c>
      <c r="AF1313" s="1" t="s">
        <v>26866</v>
      </c>
      <c r="AG1313" s="6" t="s">
        <v>26886</v>
      </c>
      <c r="AH1313" s="1" t="s">
        <v>26887</v>
      </c>
      <c r="AI1313" s="6" t="s">
        <v>132</v>
      </c>
      <c r="AJ1313" s="6" t="s">
        <v>26888</v>
      </c>
      <c r="AK1313" s="1" t="s">
        <v>26889</v>
      </c>
      <c r="AL1313" s="6" t="s">
        <v>26890</v>
      </c>
    </row>
    <row r="1314" ht="15.75" customHeight="1">
      <c r="A1314" s="1" t="s">
        <v>127</v>
      </c>
      <c r="B1314" s="1" t="s">
        <v>26891</v>
      </c>
      <c r="C1314" s="1" t="s">
        <v>26892</v>
      </c>
      <c r="D1314" s="8" t="s">
        <v>26893</v>
      </c>
      <c r="E1314" s="1" t="s">
        <v>26894</v>
      </c>
      <c r="F1314" s="6" t="s">
        <v>132</v>
      </c>
      <c r="G1314" s="1" t="s">
        <v>26895</v>
      </c>
      <c r="H1314" s="1" t="s">
        <v>26896</v>
      </c>
      <c r="I1314" s="1" t="s">
        <v>26897</v>
      </c>
      <c r="J1314" s="6" t="s">
        <v>26898</v>
      </c>
      <c r="K1314" s="1" t="s">
        <v>26899</v>
      </c>
      <c r="L1314" s="1" t="s">
        <v>26900</v>
      </c>
      <c r="M1314" s="1" t="s">
        <v>26901</v>
      </c>
      <c r="N1314" s="6" t="s">
        <v>132</v>
      </c>
      <c r="O1314" s="6" t="s">
        <v>26902</v>
      </c>
      <c r="P1314" s="1" t="s">
        <v>26903</v>
      </c>
      <c r="Q1314" s="1" t="s">
        <v>26904</v>
      </c>
      <c r="R1314" s="1" t="s">
        <v>26905</v>
      </c>
      <c r="S1314" s="10" t="s">
        <v>26906</v>
      </c>
      <c r="T1314" s="1" t="s">
        <v>26907</v>
      </c>
      <c r="U1314" s="1" t="s">
        <v>26908</v>
      </c>
      <c r="V1314" s="1" t="s">
        <v>26904</v>
      </c>
      <c r="W1314" s="1" t="s">
        <v>26909</v>
      </c>
      <c r="X1314" s="1" t="s">
        <v>26910</v>
      </c>
      <c r="Y1314" s="1" t="s">
        <v>26911</v>
      </c>
      <c r="Z1314" s="1" t="s">
        <v>26912</v>
      </c>
      <c r="AA1314" s="1" t="s">
        <v>26913</v>
      </c>
      <c r="AB1314" s="1" t="s">
        <v>26914</v>
      </c>
      <c r="AC1314" s="1" t="s">
        <v>26915</v>
      </c>
      <c r="AD1314" s="6" t="s">
        <v>26916</v>
      </c>
      <c r="AE1314" s="1" t="s">
        <v>26917</v>
      </c>
      <c r="AF1314" s="1" t="s">
        <v>26918</v>
      </c>
      <c r="AG1314" s="6" t="s">
        <v>26919</v>
      </c>
      <c r="AH1314" s="1" t="s">
        <v>26920</v>
      </c>
      <c r="AI1314" s="6" t="s">
        <v>132</v>
      </c>
      <c r="AJ1314" s="6" t="s">
        <v>26921</v>
      </c>
      <c r="AK1314" s="1" t="s">
        <v>26922</v>
      </c>
      <c r="AL1314" s="6" t="s">
        <v>26923</v>
      </c>
    </row>
    <row r="1315" ht="15.75" hidden="1" customHeight="1">
      <c r="A1315" s="1" t="s">
        <v>38</v>
      </c>
      <c r="B1315" s="1" t="s">
        <v>26924</v>
      </c>
      <c r="C1315" s="1" t="s">
        <v>26925</v>
      </c>
      <c r="D1315" s="8" t="s">
        <v>26926</v>
      </c>
      <c r="E1315" s="1" t="s">
        <v>26927</v>
      </c>
      <c r="F1315" s="6" t="s">
        <v>26928</v>
      </c>
      <c r="G1315" s="7" t="str">
        <f>IFERROR(__xludf.DUMMYFUNCTION("GOOGLETRANSLATE(C1315, ""en"", ""cs"")"),"Naposledy viděl% d dní")</f>
        <v>Naposledy viděl% d dní</v>
      </c>
      <c r="H1315" s="7" t="str">
        <f>IFERROR(__xludf.DUMMYFUNCTION("GOOGLETRANSLATE(C1315, ""en"", ""da"")"),"sidst set% d dage siden")</f>
        <v>sidst set% d dage siden</v>
      </c>
      <c r="I1315" s="1" t="s">
        <v>26929</v>
      </c>
      <c r="J1315" s="6" t="s">
        <v>132</v>
      </c>
      <c r="K1315" s="1" t="s">
        <v>26930</v>
      </c>
      <c r="L1315" s="7" t="str">
        <f>IFERROR(__xludf.DUMMYFUNCTION("GOOGLETRANSLATE(C1315, ""en"", ""fi"")"),"Viimeinen nähty% D päivää sitten")</f>
        <v>Viimeinen nähty% D päivää sitten</v>
      </c>
      <c r="M1315" s="1" t="s">
        <v>26931</v>
      </c>
      <c r="N1315" s="6" t="s">
        <v>26932</v>
      </c>
      <c r="O1315" s="6" t="s">
        <v>132</v>
      </c>
      <c r="P1315" s="1" t="s">
        <v>26933</v>
      </c>
      <c r="Q1315" s="9" t="s">
        <v>26934</v>
      </c>
      <c r="R1315" s="1" t="s">
        <v>26935</v>
      </c>
      <c r="S1315" s="6" t="s">
        <v>132</v>
      </c>
      <c r="T1315" s="1" t="s">
        <v>26936</v>
      </c>
      <c r="U1315" s="1" t="s">
        <v>26937</v>
      </c>
      <c r="V1315" s="7" t="str">
        <f>IFERROR(__xludf.DUMMYFUNCTION("GOOGLETRANSLATE(C1315, ""en"", ""ms"")"),"terakhir dilihat% d hari yang lalu")</f>
        <v>terakhir dilihat% d hari yang lalu</v>
      </c>
      <c r="W1315" s="1" t="s">
        <v>26938</v>
      </c>
      <c r="X1315" s="7" t="str">
        <f>IFERROR(__xludf.DUMMYFUNCTION("GOOGLETRANSLATE(C1315, ""en"", ""no"")"),"Sist sett% d dager siden")</f>
        <v>Sist sett% d dager siden</v>
      </c>
      <c r="Y1315" s="1" t="s">
        <v>26939</v>
      </c>
      <c r="Z1315" s="1" t="s">
        <v>26940</v>
      </c>
      <c r="AA1315" s="7" t="str">
        <f>IFERROR(__xludf.DUMMYFUNCTION("GOOGLETRANSLATE(C1315, ""en"", ""ro"")"),"Ultima dată în urmă")</f>
        <v>Ultima dată în urmă</v>
      </c>
      <c r="AB1315" s="1" t="s">
        <v>26941</v>
      </c>
      <c r="AC1315" s="1" t="s">
        <v>26942</v>
      </c>
      <c r="AD1315" s="6" t="s">
        <v>132</v>
      </c>
      <c r="AE1315" s="1" t="s">
        <v>26943</v>
      </c>
      <c r="AF1315" s="1" t="s">
        <v>26944</v>
      </c>
      <c r="AG1315" s="6" t="s">
        <v>132</v>
      </c>
      <c r="AH1315" s="7" t="str">
        <f>IFERROR(__xludf.DUMMYFUNCTION("GOOGLETRANSLATE(C1315, ""en"", ""tr"")"),"Son görülen% d gün önce")</f>
        <v>Son görülen% d gün önce</v>
      </c>
      <c r="AI1315" s="6" t="s">
        <v>26945</v>
      </c>
      <c r="AJ1315" s="6" t="s">
        <v>26946</v>
      </c>
      <c r="AK1315" s="7" t="str">
        <f>IFERROR(__xludf.DUMMYFUNCTION("GOOGLETRANSLATE(C1315, ""en"", ""zh"")"),"最后一次看到％d日前")</f>
        <v>最后一次看到％d日前</v>
      </c>
      <c r="AL1315" s="6" t="s">
        <v>26947</v>
      </c>
    </row>
    <row r="1316" ht="15.75" customHeight="1">
      <c r="A1316" s="1" t="s">
        <v>127</v>
      </c>
      <c r="B1316" s="1" t="s">
        <v>26948</v>
      </c>
      <c r="C1316" s="1" t="s">
        <v>26949</v>
      </c>
      <c r="D1316" s="8" t="s">
        <v>26950</v>
      </c>
      <c r="E1316" s="1" t="s">
        <v>26951</v>
      </c>
      <c r="F1316" s="6" t="s">
        <v>132</v>
      </c>
      <c r="G1316" s="1" t="s">
        <v>26952</v>
      </c>
      <c r="H1316" s="1" t="s">
        <v>26953</v>
      </c>
      <c r="I1316" s="1" t="s">
        <v>26949</v>
      </c>
      <c r="J1316" s="6" t="s">
        <v>26954</v>
      </c>
      <c r="K1316" s="1" t="s">
        <v>26949</v>
      </c>
      <c r="L1316" s="1" t="s">
        <v>26955</v>
      </c>
      <c r="M1316" s="1" t="s">
        <v>26949</v>
      </c>
      <c r="N1316" s="6" t="s">
        <v>132</v>
      </c>
      <c r="O1316" s="6" t="s">
        <v>26956</v>
      </c>
      <c r="P1316" s="1" t="s">
        <v>26949</v>
      </c>
      <c r="Q1316" s="1" t="s">
        <v>26957</v>
      </c>
      <c r="R1316" s="1" t="s">
        <v>26949</v>
      </c>
      <c r="S1316" s="10" t="s">
        <v>26958</v>
      </c>
      <c r="T1316" s="1" t="s">
        <v>26959</v>
      </c>
      <c r="U1316" s="1" t="s">
        <v>26960</v>
      </c>
      <c r="V1316" s="1" t="s">
        <v>26961</v>
      </c>
      <c r="W1316" s="1" t="s">
        <v>26962</v>
      </c>
      <c r="X1316" s="1" t="s">
        <v>26963</v>
      </c>
      <c r="Y1316" s="1" t="s">
        <v>26949</v>
      </c>
      <c r="Z1316" s="1" t="s">
        <v>26964</v>
      </c>
      <c r="AA1316" s="1" t="s">
        <v>26965</v>
      </c>
      <c r="AB1316" s="1" t="s">
        <v>26966</v>
      </c>
      <c r="AC1316" s="1" t="s">
        <v>26967</v>
      </c>
      <c r="AD1316" s="6" t="s">
        <v>26968</v>
      </c>
      <c r="AE1316" s="1" t="s">
        <v>26949</v>
      </c>
      <c r="AF1316" s="1" t="s">
        <v>26949</v>
      </c>
      <c r="AG1316" s="6" t="s">
        <v>26969</v>
      </c>
      <c r="AH1316" s="1" t="s">
        <v>26970</v>
      </c>
      <c r="AI1316" s="6" t="s">
        <v>132</v>
      </c>
      <c r="AJ1316" s="6" t="s">
        <v>26971</v>
      </c>
      <c r="AK1316" s="1" t="s">
        <v>26972</v>
      </c>
      <c r="AL1316" s="6" t="s">
        <v>26973</v>
      </c>
    </row>
    <row r="1317" ht="15.75" hidden="1" customHeight="1">
      <c r="A1317" s="1" t="s">
        <v>38</v>
      </c>
      <c r="B1317" s="1" t="s">
        <v>26974</v>
      </c>
      <c r="C1317" s="1" t="s">
        <v>26975</v>
      </c>
      <c r="D1317" s="7" t="str">
        <f>IFERROR(__xludf.DUMMYFUNCTION("GOOGLETRANSLATE(C1317, ""en"", ""ar"")"),"مولدافيا")</f>
        <v>مولدافيا</v>
      </c>
      <c r="E1317" s="7" t="str">
        <f>IFERROR(__xludf.DUMMYFUNCTION("GOOGLETRANSLATE(C1317, ""en"", ""bg"")"),"Молдова")</f>
        <v>Молдова</v>
      </c>
      <c r="F1317" s="6" t="s">
        <v>132</v>
      </c>
      <c r="G1317" s="7" t="str">
        <f>IFERROR(__xludf.DUMMYFUNCTION("GOOGLETRANSLATE(C1317, ""en"", ""cs"")"),"Moldavsko")</f>
        <v>Moldavsko</v>
      </c>
      <c r="H1317" s="7" t="str">
        <f>IFERROR(__xludf.DUMMYFUNCTION("GOOGLETRANSLATE(C1317, ""en"", ""da"")"),"Moldova.")</f>
        <v>Moldova.</v>
      </c>
      <c r="I1317" s="1" t="s">
        <v>26976</v>
      </c>
      <c r="J1317" s="6" t="s">
        <v>132</v>
      </c>
      <c r="K1317" s="1" t="s">
        <v>26977</v>
      </c>
      <c r="L1317" s="7" t="str">
        <f>IFERROR(__xludf.DUMMYFUNCTION("GOOGLETRANSLATE(C1317, ""en"", ""fi"")"),"Moldova")</f>
        <v>Moldova</v>
      </c>
      <c r="M1317" s="1" t="s">
        <v>26978</v>
      </c>
      <c r="N1317" s="6" t="s">
        <v>132</v>
      </c>
      <c r="O1317" s="6" t="s">
        <v>132</v>
      </c>
      <c r="P1317" s="1" t="s">
        <v>26975</v>
      </c>
      <c r="Q1317" s="7" t="str">
        <f>IFERROR(__xludf.DUMMYFUNCTION("GOOGLETRANSLATE(C1317, ""en"", ""in"")"),"Moldova.")</f>
        <v>Moldova.</v>
      </c>
      <c r="R1317" s="7" t="str">
        <f>IFERROR(__xludf.DUMMYFUNCTION("GOOGLETRANSLATE(C1317, ""en"", ""it"")"),"Moldova")</f>
        <v>Moldova</v>
      </c>
      <c r="S1317" s="6" t="s">
        <v>132</v>
      </c>
      <c r="T1317" s="7" t="str">
        <f>IFERROR(__xludf.DUMMYFUNCTION("GOOGLETRANSLATE(C1317, ""en"", ""ja"")"),"モルドバ")</f>
        <v>モルドバ</v>
      </c>
      <c r="U1317" s="7" t="str">
        <f>IFERROR(__xludf.DUMMYFUNCTION("GOOGLETRANSLATE(C1317, ""en"", ""ko"")"),"몰도바")</f>
        <v>몰도바</v>
      </c>
      <c r="V1317" s="7" t="str">
        <f>IFERROR(__xludf.DUMMYFUNCTION("GOOGLETRANSLATE(C1317, ""en"", ""ms"")"),"Moldova.")</f>
        <v>Moldova.</v>
      </c>
      <c r="W1317" s="7" t="str">
        <f>IFERROR(__xludf.DUMMYFUNCTION("GOOGLETRANSLATE(C1317, ""en"", ""nl"")"),"Moldavië")</f>
        <v>Moldavië</v>
      </c>
      <c r="X1317" s="7" t="str">
        <f>IFERROR(__xludf.DUMMYFUNCTION("GOOGLETRANSLATE(C1317, ""en"", ""no"")"),"Moldova.")</f>
        <v>Moldova.</v>
      </c>
      <c r="Y1317" s="7" t="str">
        <f>IFERROR(__xludf.DUMMYFUNCTION("GOOGLETRANSLATE(C1317, ""en"", ""pl"")"),"Moldova")</f>
        <v>Moldova</v>
      </c>
      <c r="Z1317" s="7" t="str">
        <f>IFERROR(__xludf.DUMMYFUNCTION("GOOGLETRANSLATE(C1317, ""en"", ""pt"")"),"Moldávia")</f>
        <v>Moldávia</v>
      </c>
      <c r="AA1317" s="7" t="str">
        <f>IFERROR(__xludf.DUMMYFUNCTION("GOOGLETRANSLATE(C1317, ""en"", ""ro"")"),"Moldova")</f>
        <v>Moldova</v>
      </c>
      <c r="AB1317" s="1" t="s">
        <v>26979</v>
      </c>
      <c r="AC1317" s="7" t="str">
        <f>IFERROR(__xludf.DUMMYFUNCTION("GOOGLETRANSLATE(C1317, ""en"", ""sk"")"),"Molova")</f>
        <v>Molova</v>
      </c>
      <c r="AD1317" s="6" t="s">
        <v>132</v>
      </c>
      <c r="AE1317" s="1" t="s">
        <v>26980</v>
      </c>
      <c r="AF1317" s="7" t="str">
        <f>IFERROR(__xludf.DUMMYFUNCTION("GOOGLETRANSLATE(C1317, ""en"", ""sv"")"),"Moldavien")</f>
        <v>Moldavien</v>
      </c>
      <c r="AG1317" s="6" t="s">
        <v>132</v>
      </c>
      <c r="AH1317" s="7" t="str">
        <f>IFERROR(__xludf.DUMMYFUNCTION("GOOGLETRANSLATE(C1317, ""en"", ""tr"")"),"Moldova")</f>
        <v>Moldova</v>
      </c>
      <c r="AI1317" s="6" t="s">
        <v>132</v>
      </c>
      <c r="AJ1317" s="6" t="s">
        <v>132</v>
      </c>
      <c r="AK1317" s="7" t="str">
        <f>IFERROR(__xludf.DUMMYFUNCTION("GOOGLETRANSLATE(C1317, ""en"", ""zh"")"),"摩尔多瓦")</f>
        <v>摩尔多瓦</v>
      </c>
      <c r="AL1317" s="6" t="s">
        <v>132</v>
      </c>
    </row>
    <row r="1318" ht="15.75" customHeight="1">
      <c r="A1318" s="1" t="s">
        <v>127</v>
      </c>
      <c r="B1318" s="1" t="s">
        <v>26981</v>
      </c>
      <c r="C1318" s="1" t="s">
        <v>26982</v>
      </c>
      <c r="D1318" s="8" t="s">
        <v>26983</v>
      </c>
      <c r="E1318" s="1" t="s">
        <v>26982</v>
      </c>
      <c r="F1318" s="6" t="s">
        <v>132</v>
      </c>
      <c r="G1318" s="1" t="s">
        <v>26984</v>
      </c>
      <c r="H1318" s="1" t="s">
        <v>26985</v>
      </c>
      <c r="I1318" s="1" t="s">
        <v>26982</v>
      </c>
      <c r="J1318" s="6" t="s">
        <v>26984</v>
      </c>
      <c r="K1318" s="1" t="s">
        <v>26982</v>
      </c>
      <c r="L1318" s="1" t="s">
        <v>26986</v>
      </c>
      <c r="M1318" s="1" t="s">
        <v>26982</v>
      </c>
      <c r="N1318" s="6" t="s">
        <v>132</v>
      </c>
      <c r="O1318" s="6" t="s">
        <v>26987</v>
      </c>
      <c r="P1318" s="1" t="s">
        <v>26982</v>
      </c>
      <c r="Q1318" s="1" t="s">
        <v>26984</v>
      </c>
      <c r="R1318" s="1" t="s">
        <v>26984</v>
      </c>
      <c r="S1318" s="10" t="s">
        <v>26988</v>
      </c>
      <c r="T1318" s="1" t="s">
        <v>26982</v>
      </c>
      <c r="U1318" s="1" t="s">
        <v>26984</v>
      </c>
      <c r="V1318" s="1" t="s">
        <v>26984</v>
      </c>
      <c r="W1318" s="1" t="s">
        <v>26982</v>
      </c>
      <c r="X1318" s="1" t="s">
        <v>26984</v>
      </c>
      <c r="Y1318" s="1" t="s">
        <v>26982</v>
      </c>
      <c r="Z1318" s="1" t="s">
        <v>26982</v>
      </c>
      <c r="AA1318" s="1" t="s">
        <v>26989</v>
      </c>
      <c r="AB1318" s="1" t="s">
        <v>26982</v>
      </c>
      <c r="AC1318" s="1" t="s">
        <v>26984</v>
      </c>
      <c r="AD1318" s="6" t="s">
        <v>26990</v>
      </c>
      <c r="AE1318" s="1" t="s">
        <v>26982</v>
      </c>
      <c r="AF1318" s="1" t="s">
        <v>26991</v>
      </c>
      <c r="AG1318" s="6" t="s">
        <v>26982</v>
      </c>
      <c r="AH1318" s="1" t="s">
        <v>26992</v>
      </c>
      <c r="AI1318" s="6" t="s">
        <v>132</v>
      </c>
      <c r="AJ1318" s="6" t="s">
        <v>26984</v>
      </c>
      <c r="AK1318" s="1" t="s">
        <v>26993</v>
      </c>
      <c r="AL1318" s="6" t="s">
        <v>26994</v>
      </c>
    </row>
    <row r="1319" ht="15.75" hidden="1" customHeight="1">
      <c r="A1319" s="1" t="s">
        <v>38</v>
      </c>
      <c r="B1319" s="1" t="s">
        <v>26995</v>
      </c>
      <c r="C1319" s="1" t="s">
        <v>26996</v>
      </c>
      <c r="D1319" s="7" t="str">
        <f>IFERROR(__xludf.DUMMYFUNCTION("GOOGLETRANSLATE(C1319, ""en"", ""ar"")"),"تايوان، جمهورية الصين")</f>
        <v>تايوان، جمهورية الصين</v>
      </c>
      <c r="E1319" s="7" t="str">
        <f>IFERROR(__xludf.DUMMYFUNCTION("GOOGLETRANSLATE(C1319, ""en"", ""bg"")"),"Тайван, Република Китай")</f>
        <v>Тайван, Република Китай</v>
      </c>
      <c r="F1319" s="6" t="s">
        <v>132</v>
      </c>
      <c r="G1319" s="7" t="str">
        <f>IFERROR(__xludf.DUMMYFUNCTION("GOOGLETRANSLATE(C1319, ""en"", ""cs"")"),"Tchaj-wan, Čínská republika")</f>
        <v>Tchaj-wan, Čínská republika</v>
      </c>
      <c r="H1319" s="7" t="str">
        <f>IFERROR(__xludf.DUMMYFUNCTION("GOOGLETRANSLATE(C1319, ""en"", ""da"")"),"Taiwan, Republikken Kina")</f>
        <v>Taiwan, Republikken Kina</v>
      </c>
      <c r="I1319" s="1" t="s">
        <v>26997</v>
      </c>
      <c r="J1319" s="6" t="s">
        <v>132</v>
      </c>
      <c r="K1319" s="1" t="s">
        <v>26997</v>
      </c>
      <c r="L1319" s="7" t="str">
        <f>IFERROR(__xludf.DUMMYFUNCTION("GOOGLETRANSLATE(C1319, ""en"", ""fi"")"),"Taiwan, Kiinan tasavalta")</f>
        <v>Taiwan, Kiinan tasavalta</v>
      </c>
      <c r="M1319" s="1" t="s">
        <v>26998</v>
      </c>
      <c r="N1319" s="6" t="s">
        <v>132</v>
      </c>
      <c r="O1319" s="6" t="s">
        <v>132</v>
      </c>
      <c r="P1319" s="1" t="s">
        <v>26996</v>
      </c>
      <c r="Q1319" s="7" t="str">
        <f>IFERROR(__xludf.DUMMYFUNCTION("GOOGLETRANSLATE(C1319, ""en"", ""in"")"),"Taiwan, Republik Tiongkok")</f>
        <v>Taiwan, Republik Tiongkok</v>
      </c>
      <c r="R1319" s="7" t="str">
        <f>IFERROR(__xludf.DUMMYFUNCTION("GOOGLETRANSLATE(C1319, ""en"", ""it"")"),"Taiwan, Repubblica di Cina")</f>
        <v>Taiwan, Repubblica di Cina</v>
      </c>
      <c r="S1319" s="6" t="s">
        <v>132</v>
      </c>
      <c r="T1319" s="7" t="str">
        <f>IFERROR(__xludf.DUMMYFUNCTION("GOOGLETRANSLATE(C1319, ""en"", ""ja"")"),"中国共和国、台湾")</f>
        <v>中国共和国、台湾</v>
      </c>
      <c r="U1319" s="7" t="str">
        <f>IFERROR(__xludf.DUMMYFUNCTION("GOOGLETRANSLATE(C1319, ""en"", ""ko"")"),"대만, 중화 공화국")</f>
        <v>대만, 중화 공화국</v>
      </c>
      <c r="V1319" s="7" t="str">
        <f>IFERROR(__xludf.DUMMYFUNCTION("GOOGLETRANSLATE(C1319, ""en"", ""ms"")"),"Taiwan, Republik China")</f>
        <v>Taiwan, Republik China</v>
      </c>
      <c r="W1319" s="7" t="str">
        <f>IFERROR(__xludf.DUMMYFUNCTION("GOOGLETRANSLATE(C1319, ""en"", ""nl"")"),"Taiwan, Republiek China")</f>
        <v>Taiwan, Republiek China</v>
      </c>
      <c r="X1319" s="7" t="str">
        <f>IFERROR(__xludf.DUMMYFUNCTION("GOOGLETRANSLATE(C1319, ""en"", ""no"")"),"Taiwan, Republikken Kina")</f>
        <v>Taiwan, Republikken Kina</v>
      </c>
      <c r="Y1319" s="7" t="str">
        <f>IFERROR(__xludf.DUMMYFUNCTION("GOOGLETRANSLATE(C1319, ""en"", ""pl"")"),"Tajwan, Republika Chińska")</f>
        <v>Tajwan, Republika Chińska</v>
      </c>
      <c r="Z1319" s="7" t="str">
        <f>IFERROR(__xludf.DUMMYFUNCTION("GOOGLETRANSLATE(C1319, ""en"", ""pt"")"),"Taiwan, República da China")</f>
        <v>Taiwan, República da China</v>
      </c>
      <c r="AA1319" s="7" t="str">
        <f>IFERROR(__xludf.DUMMYFUNCTION("GOOGLETRANSLATE(C1319, ""en"", ""ro"")"),"Taiwan, Republica China")</f>
        <v>Taiwan, Republica China</v>
      </c>
      <c r="AB1319" s="1" t="s">
        <v>26999</v>
      </c>
      <c r="AC1319" s="7" t="str">
        <f>IFERROR(__xludf.DUMMYFUNCTION("GOOGLETRANSLATE(C1319, ""en"", ""sk"")"),"Taiwan, Čínska republika")</f>
        <v>Taiwan, Čínska republika</v>
      </c>
      <c r="AD1319" s="6" t="s">
        <v>132</v>
      </c>
      <c r="AE1319" s="1" t="s">
        <v>27000</v>
      </c>
      <c r="AF1319" s="7" t="str">
        <f>IFERROR(__xludf.DUMMYFUNCTION("GOOGLETRANSLATE(C1319, ""en"", ""sv"")"),"Taiwan, Republiken Kina")</f>
        <v>Taiwan, Republiken Kina</v>
      </c>
      <c r="AG1319" s="6" t="s">
        <v>132</v>
      </c>
      <c r="AH1319" s="7" t="str">
        <f>IFERROR(__xludf.DUMMYFUNCTION("GOOGLETRANSLATE(C1319, ""en"", ""tr"")"),"Tayvan, Çin Cumhuriyeti")</f>
        <v>Tayvan, Çin Cumhuriyeti</v>
      </c>
      <c r="AI1319" s="6" t="s">
        <v>132</v>
      </c>
      <c r="AJ1319" s="6" t="s">
        <v>132</v>
      </c>
      <c r="AK1319" s="7" t="str">
        <f>IFERROR(__xludf.DUMMYFUNCTION("GOOGLETRANSLATE(C1319, ""en"", ""zh"")"),"台湾，中华民国")</f>
        <v>台湾，中华民国</v>
      </c>
      <c r="AL1319" s="6" t="s">
        <v>132</v>
      </c>
    </row>
    <row r="1320" ht="15.75" hidden="1" customHeight="1">
      <c r="A1320" s="1" t="s">
        <v>38</v>
      </c>
      <c r="B1320" s="1" t="s">
        <v>27001</v>
      </c>
      <c r="C1320" s="1" t="s">
        <v>27002</v>
      </c>
      <c r="D1320" s="8" t="s">
        <v>27003</v>
      </c>
      <c r="E1320" s="1" t="s">
        <v>27004</v>
      </c>
      <c r="F1320" s="6" t="s">
        <v>27005</v>
      </c>
      <c r="G1320" s="7" t="str">
        <f>IFERROR(__xludf.DUMMYFUNCTION("GOOGLETRANSLATE(C1320, ""en"", ""cs"")"),"Odstranit Omemo Identity.")</f>
        <v>Odstranit Omemo Identity.</v>
      </c>
      <c r="H1320" s="7" t="str">
        <f>IFERROR(__xludf.DUMMYFUNCTION("GOOGLETRANSLATE(C1320, ""en"", ""da"")"),"Slet Omemo-identiteter")</f>
        <v>Slet Omemo-identiteter</v>
      </c>
      <c r="I1320" s="1" t="s">
        <v>27006</v>
      </c>
      <c r="J1320" s="6" t="s">
        <v>132</v>
      </c>
      <c r="K1320" s="1" t="s">
        <v>27007</v>
      </c>
      <c r="L1320" s="7" t="str">
        <f>IFERROR(__xludf.DUMMYFUNCTION("GOOGLETRANSLATE(C1320, ""en"", ""fi"")"),"Poista omemon identiteettiteet")</f>
        <v>Poista omemon identiteettiteet</v>
      </c>
      <c r="M1320" s="1" t="s">
        <v>27008</v>
      </c>
      <c r="N1320" s="6" t="s">
        <v>27009</v>
      </c>
      <c r="O1320" s="6" t="s">
        <v>132</v>
      </c>
      <c r="P1320" s="1" t="s">
        <v>27010</v>
      </c>
      <c r="Q1320" s="7" t="str">
        <f>IFERROR(__xludf.DUMMYFUNCTION("GOOGLETRANSLATE(C1320, ""en"", ""in"")"),"Hapus identitas Omemo.")</f>
        <v>Hapus identitas Omemo.</v>
      </c>
      <c r="R1320" s="1" t="s">
        <v>27011</v>
      </c>
      <c r="S1320" s="6" t="s">
        <v>132</v>
      </c>
      <c r="T1320" s="1" t="s">
        <v>27012</v>
      </c>
      <c r="U1320" s="1" t="s">
        <v>27013</v>
      </c>
      <c r="V1320" s="7" t="str">
        <f>IFERROR(__xludf.DUMMYFUNCTION("GOOGLETRANSLATE(C1320, ""en"", ""ms"")"),"Padamkan identiti omemo.")</f>
        <v>Padamkan identiti omemo.</v>
      </c>
      <c r="W1320" s="1" t="s">
        <v>27014</v>
      </c>
      <c r="X1320" s="7" t="str">
        <f>IFERROR(__xludf.DUMMYFUNCTION("GOOGLETRANSLATE(C1320, ""en"", ""no"")"),"Slett OMEMO-identiteter")</f>
        <v>Slett OMEMO-identiteter</v>
      </c>
      <c r="Y1320" s="1" t="s">
        <v>27015</v>
      </c>
      <c r="Z1320" s="1" t="s">
        <v>27016</v>
      </c>
      <c r="AA1320" s="7" t="str">
        <f>IFERROR(__xludf.DUMMYFUNCTION("GOOGLETRANSLATE(C1320, ""en"", ""ro"")"),"Ștergeți identitățile omemo")</f>
        <v>Ștergeți identitățile omemo</v>
      </c>
      <c r="AB1320" s="1" t="s">
        <v>27017</v>
      </c>
      <c r="AC1320" s="7" t="str">
        <f>IFERROR(__xludf.DUMMYFUNCTION("GOOGLETRANSLATE(C1320, ""en"", ""sk"")"),"Delete Omemo identity")</f>
        <v>Delete Omemo identity</v>
      </c>
      <c r="AD1320" s="6" t="s">
        <v>132</v>
      </c>
      <c r="AE1320" s="1" t="s">
        <v>27018</v>
      </c>
      <c r="AF1320" s="1" t="s">
        <v>27019</v>
      </c>
      <c r="AG1320" s="6" t="s">
        <v>132</v>
      </c>
      <c r="AH1320" s="7" t="str">
        <f>IFERROR(__xludf.DUMMYFUNCTION("GOOGLETRANSLATE(C1320, ""en"", ""tr"")"),"OMEMO Kimliklerini Sil")</f>
        <v>OMEMO Kimliklerini Sil</v>
      </c>
      <c r="AI1320" s="6" t="s">
        <v>27020</v>
      </c>
      <c r="AJ1320" s="6" t="s">
        <v>132</v>
      </c>
      <c r="AK1320" s="7" t="str">
        <f>IFERROR(__xludf.DUMMYFUNCTION("GOOGLETRANSLATE(C1320, ""en"", ""zh"")"),"删除omemo身份")</f>
        <v>删除omemo身份</v>
      </c>
      <c r="AL1320" s="6" t="s">
        <v>27021</v>
      </c>
    </row>
    <row r="1321" ht="15.75" hidden="1" customHeight="1">
      <c r="A1321" s="1" t="s">
        <v>38</v>
      </c>
      <c r="B1321" s="1" t="s">
        <v>27022</v>
      </c>
      <c r="C1321" s="1" t="s">
        <v>27023</v>
      </c>
      <c r="D1321" s="8" t="s">
        <v>27024</v>
      </c>
      <c r="E1321" s="1" t="s">
        <v>27025</v>
      </c>
      <c r="F1321" s="6" t="s">
        <v>27026</v>
      </c>
      <c r="G1321" s="7" t="str">
        <f>IFERROR(__xludf.DUMMYFUNCTION("GOOGLETRANSLATE(C1321, ""en"", ""cs"")"),"Nenašla žádná žádost o zobrazení umístění")</f>
        <v>Nenašla žádná žádost o zobrazení umístění</v>
      </c>
      <c r="H1321" s="7" t="str">
        <f>IFERROR(__xludf.DUMMYFUNCTION("GOOGLETRANSLATE(C1321, ""en"", ""da"")"),"Ingen ansøgning fundet for at vise placering")</f>
        <v>Ingen ansøgning fundet for at vise placering</v>
      </c>
      <c r="I1321" s="1" t="s">
        <v>27027</v>
      </c>
      <c r="J1321" s="6" t="s">
        <v>132</v>
      </c>
      <c r="K1321" s="1" t="s">
        <v>27028</v>
      </c>
      <c r="L1321" s="7" t="str">
        <f>IFERROR(__xludf.DUMMYFUNCTION("GOOGLETRANSLATE(C1321, ""en"", ""fi"")"),"Sovellusta ei havaittu näyttämään sijaintia")</f>
        <v>Sovellusta ei havaittu näyttämään sijaintia</v>
      </c>
      <c r="M1321" s="1" t="s">
        <v>27029</v>
      </c>
      <c r="N1321" s="6" t="s">
        <v>27030</v>
      </c>
      <c r="O1321" s="6" t="s">
        <v>132</v>
      </c>
      <c r="P1321" s="1" t="s">
        <v>27031</v>
      </c>
      <c r="Q1321" s="9" t="s">
        <v>27032</v>
      </c>
      <c r="R1321" s="1" t="s">
        <v>27033</v>
      </c>
      <c r="S1321" s="6" t="s">
        <v>132</v>
      </c>
      <c r="T1321" s="1" t="s">
        <v>27034</v>
      </c>
      <c r="U1321" s="1" t="s">
        <v>27035</v>
      </c>
      <c r="V1321" s="7" t="str">
        <f>IFERROR(__xludf.DUMMYFUNCTION("GOOGLETRANSLATE(C1321, ""en"", ""ms"")"),"Tiada permohonan yang terdapat untuk memaparkan lokasi")</f>
        <v>Tiada permohonan yang terdapat untuk memaparkan lokasi</v>
      </c>
      <c r="W1321" s="1" t="s">
        <v>27036</v>
      </c>
      <c r="X1321" s="7" t="str">
        <f>IFERROR(__xludf.DUMMYFUNCTION("GOOGLETRANSLATE(C1321, ""en"", ""no"")"),"Ingen applikasjon funnet å vise sted")</f>
        <v>Ingen applikasjon funnet å vise sted</v>
      </c>
      <c r="Y1321" s="1" t="s">
        <v>27037</v>
      </c>
      <c r="Z1321" s="1" t="s">
        <v>27038</v>
      </c>
      <c r="AA1321" s="7" t="str">
        <f>IFERROR(__xludf.DUMMYFUNCTION("GOOGLETRANSLATE(C1321, ""en"", ""ro"")"),"Nici o aplicație nu a fost găsită pentru a afișa locația")</f>
        <v>Nici o aplicație nu a fost găsită pentru a afișa locația</v>
      </c>
      <c r="AB1321" s="1" t="s">
        <v>27039</v>
      </c>
      <c r="AC1321" s="1" t="s">
        <v>27040</v>
      </c>
      <c r="AD1321" s="6" t="s">
        <v>132</v>
      </c>
      <c r="AE1321" s="1" t="s">
        <v>27041</v>
      </c>
      <c r="AF1321" s="1" t="s">
        <v>27042</v>
      </c>
      <c r="AG1321" s="6" t="s">
        <v>132</v>
      </c>
      <c r="AH1321" s="7" t="str">
        <f>IFERROR(__xludf.DUMMYFUNCTION("GOOGLETRANSLATE(C1321, ""en"", ""tr"")"),"Konum görüntülemek için hiçbir uygulama bulunamadı")</f>
        <v>Konum görüntülemek için hiçbir uygulama bulunamadı</v>
      </c>
      <c r="AI1321" s="6" t="s">
        <v>27043</v>
      </c>
      <c r="AJ1321" s="6" t="s">
        <v>27044</v>
      </c>
      <c r="AK1321" s="7" t="str">
        <f>IFERROR(__xludf.DUMMYFUNCTION("GOOGLETRANSLATE(C1321, ""en"", ""zh"")"),"没有发现应用程序显示位置")</f>
        <v>没有发现应用程序显示位置</v>
      </c>
      <c r="AL1321" s="6" t="s">
        <v>27045</v>
      </c>
    </row>
    <row r="1322" ht="15.75" hidden="1" customHeight="1">
      <c r="A1322" s="1" t="s">
        <v>38</v>
      </c>
      <c r="B1322" s="1" t="s">
        <v>27046</v>
      </c>
      <c r="C1322" s="1" t="s">
        <v>27047</v>
      </c>
      <c r="D1322" s="8" t="s">
        <v>27048</v>
      </c>
      <c r="E1322" s="1" t="s">
        <v>27049</v>
      </c>
      <c r="F1322" s="6" t="s">
        <v>27050</v>
      </c>
      <c r="G1322" s="7" t="str">
        <f>IFERROR(__xludf.DUMMYFUNCTION("GOOGLETRANSLATE(C1322, ""en"", ""cs"")"),"Váš server nepodporuje publikaci avatarů")</f>
        <v>Váš server nepodporuje publikaci avatarů</v>
      </c>
      <c r="H1322" s="7" t="str">
        <f>IFERROR(__xludf.DUMMYFUNCTION("GOOGLETRANSLATE(C1322, ""en"", ""da"")"),"Din server understøtter ikke offentliggørelsen af ​​avatarer")</f>
        <v>Din server understøtter ikke offentliggørelsen af ​​avatarer</v>
      </c>
      <c r="I1322" s="1" t="s">
        <v>27051</v>
      </c>
      <c r="J1322" s="6" t="s">
        <v>132</v>
      </c>
      <c r="K1322" s="1" t="s">
        <v>27052</v>
      </c>
      <c r="L1322" s="7" t="str">
        <f>IFERROR(__xludf.DUMMYFUNCTION("GOOGLETRANSLATE(C1322, ""en"", ""fi"")"),"Palvelimesi ei tue Avatarsin julkaisemista")</f>
        <v>Palvelimesi ei tue Avatarsin julkaisemista</v>
      </c>
      <c r="M1322" s="1" t="s">
        <v>27053</v>
      </c>
      <c r="N1322" s="6" t="s">
        <v>27054</v>
      </c>
      <c r="O1322" s="6" t="s">
        <v>132</v>
      </c>
      <c r="P1322" s="1" t="s">
        <v>27055</v>
      </c>
      <c r="Q1322" s="9" t="s">
        <v>27056</v>
      </c>
      <c r="R1322" s="1" t="s">
        <v>27057</v>
      </c>
      <c r="S1322" s="6" t="s">
        <v>132</v>
      </c>
      <c r="T1322" s="1" t="s">
        <v>27058</v>
      </c>
      <c r="U1322" s="1" t="s">
        <v>27059</v>
      </c>
      <c r="V1322" s="7" t="str">
        <f>IFERROR(__xludf.DUMMYFUNCTION("GOOGLETRANSLATE(C1322, ""en"", ""ms"")"),"Pelayan anda tidak menyokong penerbitan avatar")</f>
        <v>Pelayan anda tidak menyokong penerbitan avatar</v>
      </c>
      <c r="W1322" s="1" t="s">
        <v>27060</v>
      </c>
      <c r="X1322" s="7" t="str">
        <f>IFERROR(__xludf.DUMMYFUNCTION("GOOGLETRANSLATE(C1322, ""en"", ""no"")"),"Serveren din støtter ikke publikasjonen av avatarer")</f>
        <v>Serveren din støtter ikke publikasjonen av avatarer</v>
      </c>
      <c r="Y1322" s="1" t="s">
        <v>27061</v>
      </c>
      <c r="Z1322" s="1" t="s">
        <v>27062</v>
      </c>
      <c r="AA1322" s="7" t="str">
        <f>IFERROR(__xludf.DUMMYFUNCTION("GOOGLETRANSLATE(C1322, ""en"", ""ro"")"),"Serverul dvs. nu acceptă publicarea avatarilor")</f>
        <v>Serverul dvs. nu acceptă publicarea avatarilor</v>
      </c>
      <c r="AB1322" s="1" t="s">
        <v>27063</v>
      </c>
      <c r="AC1322" s="1" t="s">
        <v>27064</v>
      </c>
      <c r="AD1322" s="6" t="s">
        <v>132</v>
      </c>
      <c r="AE1322" s="1" t="s">
        <v>27065</v>
      </c>
      <c r="AF1322" s="1" t="s">
        <v>27066</v>
      </c>
      <c r="AG1322" s="6" t="s">
        <v>132</v>
      </c>
      <c r="AH1322" s="7" t="str">
        <f>IFERROR(__xludf.DUMMYFUNCTION("GOOGLETRANSLATE(C1322, ""en"", ""tr"")"),"Sunucunuz avatarların yayınlanmasını desteklemiyor")</f>
        <v>Sunucunuz avatarların yayınlanmasını desteklemiyor</v>
      </c>
      <c r="AI1322" s="6" t="s">
        <v>27067</v>
      </c>
      <c r="AJ1322" s="6" t="s">
        <v>27068</v>
      </c>
      <c r="AK1322" s="7" t="str">
        <f>IFERROR(__xludf.DUMMYFUNCTION("GOOGLETRANSLATE(C1322, ""en"", ""zh"")"),"您的服务器不支持发布头像")</f>
        <v>您的服务器不支持发布头像</v>
      </c>
      <c r="AL1322" s="6" t="s">
        <v>27069</v>
      </c>
    </row>
    <row r="1323" ht="15.75" customHeight="1">
      <c r="A1323" s="1" t="s">
        <v>127</v>
      </c>
      <c r="B1323" s="1" t="s">
        <v>27070</v>
      </c>
      <c r="C1323" s="1" t="s">
        <v>19803</v>
      </c>
      <c r="D1323" s="8" t="s">
        <v>19804</v>
      </c>
      <c r="E1323" s="1" t="s">
        <v>19805</v>
      </c>
      <c r="F1323" s="6" t="s">
        <v>132</v>
      </c>
      <c r="G1323" s="1" t="s">
        <v>19806</v>
      </c>
      <c r="H1323" s="1" t="s">
        <v>19803</v>
      </c>
      <c r="I1323" s="1" t="s">
        <v>19806</v>
      </c>
      <c r="J1323" s="6" t="s">
        <v>19807</v>
      </c>
      <c r="K1323" s="1" t="s">
        <v>19808</v>
      </c>
      <c r="L1323" s="1" t="s">
        <v>19809</v>
      </c>
      <c r="M1323" s="1" t="s">
        <v>19803</v>
      </c>
      <c r="N1323" s="6" t="s">
        <v>132</v>
      </c>
      <c r="O1323" s="6" t="s">
        <v>19810</v>
      </c>
      <c r="P1323" s="1" t="s">
        <v>19811</v>
      </c>
      <c r="Q1323" s="1" t="s">
        <v>19812</v>
      </c>
      <c r="R1323" s="1" t="s">
        <v>19808</v>
      </c>
      <c r="S1323" s="10" t="s">
        <v>19813</v>
      </c>
      <c r="T1323" s="1" t="s">
        <v>19814</v>
      </c>
      <c r="U1323" s="1" t="s">
        <v>19815</v>
      </c>
      <c r="V1323" s="1" t="s">
        <v>19812</v>
      </c>
      <c r="W1323" s="1" t="s">
        <v>19803</v>
      </c>
      <c r="X1323" s="1" t="s">
        <v>19803</v>
      </c>
      <c r="Y1323" s="1" t="s">
        <v>19806</v>
      </c>
      <c r="Z1323" s="1" t="s">
        <v>19808</v>
      </c>
      <c r="AA1323" s="1" t="s">
        <v>19816</v>
      </c>
      <c r="AB1323" s="1" t="s">
        <v>19805</v>
      </c>
      <c r="AC1323" s="1" t="s">
        <v>19806</v>
      </c>
      <c r="AD1323" s="6" t="s">
        <v>19817</v>
      </c>
      <c r="AE1323" s="1" t="s">
        <v>19803</v>
      </c>
      <c r="AF1323" s="1" t="s">
        <v>19806</v>
      </c>
      <c r="AG1323" s="6" t="s">
        <v>19818</v>
      </c>
      <c r="AH1323" s="1" t="s">
        <v>19819</v>
      </c>
      <c r="AI1323" s="6" t="s">
        <v>132</v>
      </c>
      <c r="AJ1323" s="6" t="s">
        <v>19820</v>
      </c>
      <c r="AK1323" s="1" t="s">
        <v>19821</v>
      </c>
      <c r="AL1323" s="6" t="s">
        <v>27071</v>
      </c>
    </row>
    <row r="1324" ht="15.75" customHeight="1">
      <c r="A1324" s="1" t="s">
        <v>127</v>
      </c>
      <c r="B1324" s="1" t="s">
        <v>27072</v>
      </c>
      <c r="C1324" s="1" t="s">
        <v>27073</v>
      </c>
      <c r="D1324" s="8" t="s">
        <v>27074</v>
      </c>
      <c r="E1324" s="1" t="s">
        <v>27075</v>
      </c>
      <c r="F1324" s="6" t="s">
        <v>132</v>
      </c>
      <c r="G1324" s="1" t="s">
        <v>27076</v>
      </c>
      <c r="H1324" s="1" t="s">
        <v>27077</v>
      </c>
      <c r="I1324" s="1" t="s">
        <v>27078</v>
      </c>
      <c r="J1324" s="6" t="s">
        <v>27079</v>
      </c>
      <c r="K1324" s="1" t="s">
        <v>27080</v>
      </c>
      <c r="L1324" s="1" t="s">
        <v>27081</v>
      </c>
      <c r="M1324" s="1" t="s">
        <v>27082</v>
      </c>
      <c r="N1324" s="6" t="s">
        <v>132</v>
      </c>
      <c r="O1324" s="6" t="s">
        <v>27083</v>
      </c>
      <c r="P1324" s="1" t="s">
        <v>27084</v>
      </c>
      <c r="Q1324" s="1" t="s">
        <v>27085</v>
      </c>
      <c r="R1324" s="1" t="s">
        <v>27086</v>
      </c>
      <c r="S1324" s="10" t="s">
        <v>27087</v>
      </c>
      <c r="T1324" s="1" t="s">
        <v>27088</v>
      </c>
      <c r="U1324" s="1" t="s">
        <v>27089</v>
      </c>
      <c r="V1324" s="1" t="s">
        <v>27085</v>
      </c>
      <c r="W1324" s="1" t="s">
        <v>27090</v>
      </c>
      <c r="X1324" s="1" t="s">
        <v>27091</v>
      </c>
      <c r="Y1324" s="1" t="s">
        <v>27092</v>
      </c>
      <c r="Z1324" s="1" t="s">
        <v>27093</v>
      </c>
      <c r="AA1324" s="1" t="s">
        <v>27094</v>
      </c>
      <c r="AB1324" s="1" t="s">
        <v>27095</v>
      </c>
      <c r="AC1324" s="1" t="s">
        <v>27096</v>
      </c>
      <c r="AD1324" s="6" t="s">
        <v>27097</v>
      </c>
      <c r="AE1324" s="1" t="s">
        <v>27098</v>
      </c>
      <c r="AF1324" s="1" t="s">
        <v>27099</v>
      </c>
      <c r="AG1324" s="6" t="s">
        <v>27100</v>
      </c>
      <c r="AH1324" s="1" t="s">
        <v>27101</v>
      </c>
      <c r="AI1324" s="6" t="s">
        <v>132</v>
      </c>
      <c r="AJ1324" s="6" t="s">
        <v>27102</v>
      </c>
      <c r="AK1324" s="1" t="s">
        <v>27103</v>
      </c>
      <c r="AL1324" s="6" t="s">
        <v>132</v>
      </c>
    </row>
    <row r="1325" ht="15.75" hidden="1" customHeight="1">
      <c r="A1325" s="1" t="s">
        <v>38</v>
      </c>
      <c r="B1325" s="1" t="s">
        <v>27104</v>
      </c>
      <c r="C1325" s="1" t="s">
        <v>27105</v>
      </c>
      <c r="D1325" s="8" t="s">
        <v>27106</v>
      </c>
      <c r="E1325" s="1" t="s">
        <v>27107</v>
      </c>
      <c r="F1325" s="6" t="s">
        <v>27108</v>
      </c>
      <c r="G1325" s="7" t="str">
        <f>IFERROR(__xludf.DUMMYFUNCTION("GOOGLETRANSLATE(C1325, ""en"", ""cs"")"),"Download Failed: Server nebyl nalezen")</f>
        <v>Download Failed: Server nebyl nalezen</v>
      </c>
      <c r="H1325" s="7" t="str">
        <f>IFERROR(__xludf.DUMMYFUNCTION("GOOGLETRANSLATE(C1325, ""en"", ""da"")"),"Download mislykkedes: Server ikke fundet")</f>
        <v>Download mislykkedes: Server ikke fundet</v>
      </c>
      <c r="I1325" s="1" t="s">
        <v>27109</v>
      </c>
      <c r="J1325" s="6" t="s">
        <v>132</v>
      </c>
      <c r="K1325" s="1" t="s">
        <v>27110</v>
      </c>
      <c r="L1325" s="7" t="str">
        <f>IFERROR(__xludf.DUMMYFUNCTION("GOOGLETRANSLATE(C1325, ""en"", ""fi"")"),"Lataa epäonnistui: palvelinta ei löydy")</f>
        <v>Lataa epäonnistui: palvelinta ei löydy</v>
      </c>
      <c r="M1325" s="1" t="s">
        <v>27111</v>
      </c>
      <c r="N1325" s="6" t="s">
        <v>27112</v>
      </c>
      <c r="O1325" s="6" t="s">
        <v>132</v>
      </c>
      <c r="P1325" s="1" t="s">
        <v>27113</v>
      </c>
      <c r="Q1325" s="9" t="s">
        <v>27114</v>
      </c>
      <c r="R1325" s="1" t="s">
        <v>27115</v>
      </c>
      <c r="S1325" s="6" t="s">
        <v>132</v>
      </c>
      <c r="T1325" s="1" t="s">
        <v>27116</v>
      </c>
      <c r="U1325" s="1" t="s">
        <v>27117</v>
      </c>
      <c r="V1325" s="7" t="str">
        <f>IFERROR(__xludf.DUMMYFUNCTION("GOOGLETRANSLATE(C1325, ""en"", ""ms"")"),"Muat turun Gagal: Server tidak dijumpai")</f>
        <v>Muat turun Gagal: Server tidak dijumpai</v>
      </c>
      <c r="W1325" s="1" t="s">
        <v>27118</v>
      </c>
      <c r="X1325" s="7" t="str">
        <f>IFERROR(__xludf.DUMMYFUNCTION("GOOGLETRANSLATE(C1325, ""en"", ""no"")"),"Last ned Mislyktes: Server ikke funnet")</f>
        <v>Last ned Mislyktes: Server ikke funnet</v>
      </c>
      <c r="Y1325" s="1" t="s">
        <v>27119</v>
      </c>
      <c r="Z1325" s="1" t="s">
        <v>27120</v>
      </c>
      <c r="AA1325" s="7" t="str">
        <f>IFERROR(__xludf.DUMMYFUNCTION("GOOGLETRANSLATE(C1325, ""en"", ""ro"")"),"Descărcarea a eșuat: Serverul nu a fost găsit")</f>
        <v>Descărcarea a eșuat: Serverul nu a fost găsit</v>
      </c>
      <c r="AB1325" s="1" t="s">
        <v>27121</v>
      </c>
      <c r="AC1325" s="7" t="str">
        <f>IFERROR(__xludf.DUMMYFUNCTION("GOOGLETRANSLATE(C1325, ""en"", ""sk"")"),"Stiahnite si zlyhal: Server nebol nájdený")</f>
        <v>Stiahnite si zlyhal: Server nebol nájdený</v>
      </c>
      <c r="AD1325" s="6" t="s">
        <v>132</v>
      </c>
      <c r="AE1325" s="1" t="s">
        <v>27122</v>
      </c>
      <c r="AF1325" s="1" t="s">
        <v>27123</v>
      </c>
      <c r="AG1325" s="6" t="s">
        <v>132</v>
      </c>
      <c r="AH1325" s="7" t="str">
        <f>IFERROR(__xludf.DUMMYFUNCTION("GOOGLETRANSLATE(C1325, ""en"", ""tr"")"),"İndirme başarısız: Sunucu bulunamadı")</f>
        <v>İndirme başarısız: Sunucu bulunamadı</v>
      </c>
      <c r="AI1325" s="6" t="s">
        <v>27124</v>
      </c>
      <c r="AJ1325" s="6" t="s">
        <v>27125</v>
      </c>
      <c r="AK1325" s="7" t="str">
        <f>IFERROR(__xludf.DUMMYFUNCTION("GOOGLETRANSLATE(C1325, ""en"", ""zh"")"),"下载失败：找不到服务器")</f>
        <v>下载失败：找不到服务器</v>
      </c>
      <c r="AL1325" s="6" t="s">
        <v>27126</v>
      </c>
    </row>
    <row r="1326" ht="15.75" customHeight="1">
      <c r="A1326" s="1" t="s">
        <v>127</v>
      </c>
      <c r="B1326" s="1" t="s">
        <v>27127</v>
      </c>
      <c r="C1326" s="1" t="s">
        <v>27128</v>
      </c>
      <c r="D1326" s="8" t="s">
        <v>27129</v>
      </c>
      <c r="E1326" s="1" t="s">
        <v>27130</v>
      </c>
      <c r="F1326" s="6" t="s">
        <v>132</v>
      </c>
      <c r="G1326" s="1" t="s">
        <v>27131</v>
      </c>
      <c r="H1326" s="1" t="s">
        <v>27132</v>
      </c>
      <c r="I1326" s="1" t="s">
        <v>27133</v>
      </c>
      <c r="J1326" s="6" t="s">
        <v>27134</v>
      </c>
      <c r="K1326" s="1" t="s">
        <v>27135</v>
      </c>
      <c r="L1326" s="1" t="s">
        <v>27136</v>
      </c>
      <c r="M1326" s="1" t="s">
        <v>27137</v>
      </c>
      <c r="N1326" s="6" t="s">
        <v>132</v>
      </c>
      <c r="O1326" s="6" t="s">
        <v>27138</v>
      </c>
      <c r="P1326" s="1" t="s">
        <v>27139</v>
      </c>
      <c r="Q1326" s="1" t="s">
        <v>27140</v>
      </c>
      <c r="R1326" s="1" t="s">
        <v>27141</v>
      </c>
      <c r="S1326" s="10" t="s">
        <v>27142</v>
      </c>
      <c r="T1326" s="1" t="s">
        <v>27143</v>
      </c>
      <c r="U1326" s="1" t="s">
        <v>27144</v>
      </c>
      <c r="V1326" s="1" t="s">
        <v>27140</v>
      </c>
      <c r="W1326" s="1" t="s">
        <v>27145</v>
      </c>
      <c r="X1326" s="1" t="s">
        <v>27132</v>
      </c>
      <c r="Y1326" s="1" t="s">
        <v>27146</v>
      </c>
      <c r="Z1326" s="1" t="s">
        <v>27147</v>
      </c>
      <c r="AA1326" s="1" t="s">
        <v>27148</v>
      </c>
      <c r="AB1326" s="1" t="s">
        <v>27149</v>
      </c>
      <c r="AC1326" s="1" t="s">
        <v>27150</v>
      </c>
      <c r="AD1326" s="6" t="s">
        <v>27151</v>
      </c>
      <c r="AE1326" s="1" t="s">
        <v>27152</v>
      </c>
      <c r="AF1326" s="1" t="s">
        <v>27153</v>
      </c>
      <c r="AG1326" s="6" t="s">
        <v>27154</v>
      </c>
      <c r="AH1326" s="1" t="s">
        <v>27155</v>
      </c>
      <c r="AI1326" s="6" t="s">
        <v>132</v>
      </c>
      <c r="AJ1326" s="6" t="s">
        <v>27156</v>
      </c>
      <c r="AK1326" s="1" t="s">
        <v>27157</v>
      </c>
      <c r="AL1326" s="6" t="s">
        <v>27158</v>
      </c>
    </row>
    <row r="1327" ht="15.75" customHeight="1">
      <c r="A1327" s="1" t="s">
        <v>127</v>
      </c>
      <c r="B1327" s="1" t="s">
        <v>27159</v>
      </c>
      <c r="C1327" s="1" t="s">
        <v>17183</v>
      </c>
      <c r="D1327" s="8" t="s">
        <v>17184</v>
      </c>
      <c r="E1327" s="1" t="s">
        <v>17185</v>
      </c>
      <c r="F1327" s="6" t="s">
        <v>132</v>
      </c>
      <c r="G1327" s="1" t="s">
        <v>17200</v>
      </c>
      <c r="H1327" s="1" t="s">
        <v>27160</v>
      </c>
      <c r="I1327" s="1" t="s">
        <v>17187</v>
      </c>
      <c r="J1327" s="6" t="s">
        <v>27161</v>
      </c>
      <c r="K1327" s="1" t="s">
        <v>17188</v>
      </c>
      <c r="L1327" s="1" t="s">
        <v>27162</v>
      </c>
      <c r="M1327" s="1" t="s">
        <v>17189</v>
      </c>
      <c r="N1327" s="6" t="s">
        <v>132</v>
      </c>
      <c r="O1327" s="6" t="s">
        <v>27163</v>
      </c>
      <c r="P1327" s="1" t="s">
        <v>17191</v>
      </c>
      <c r="Q1327" s="1" t="s">
        <v>27164</v>
      </c>
      <c r="R1327" s="1" t="s">
        <v>27165</v>
      </c>
      <c r="S1327" s="10" t="s">
        <v>27166</v>
      </c>
      <c r="T1327" s="1" t="s">
        <v>27167</v>
      </c>
      <c r="U1327" s="1" t="s">
        <v>27168</v>
      </c>
      <c r="V1327" s="1" t="s">
        <v>27169</v>
      </c>
      <c r="W1327" s="1" t="s">
        <v>27170</v>
      </c>
      <c r="X1327" s="1" t="s">
        <v>27171</v>
      </c>
      <c r="Y1327" s="1" t="s">
        <v>17197</v>
      </c>
      <c r="Z1327" s="1" t="s">
        <v>27172</v>
      </c>
      <c r="AA1327" s="1" t="s">
        <v>27173</v>
      </c>
      <c r="AB1327" s="1" t="s">
        <v>17199</v>
      </c>
      <c r="AC1327" s="1" t="s">
        <v>17200</v>
      </c>
      <c r="AD1327" s="6" t="s">
        <v>27174</v>
      </c>
      <c r="AE1327" s="1" t="s">
        <v>27175</v>
      </c>
      <c r="AF1327" s="1" t="s">
        <v>17202</v>
      </c>
      <c r="AG1327" s="6" t="s">
        <v>27176</v>
      </c>
      <c r="AH1327" s="1" t="s">
        <v>27177</v>
      </c>
      <c r="AI1327" s="6" t="s">
        <v>132</v>
      </c>
      <c r="AJ1327" s="6" t="s">
        <v>17204</v>
      </c>
      <c r="AK1327" s="1" t="s">
        <v>27178</v>
      </c>
      <c r="AL1327" s="6" t="s">
        <v>27179</v>
      </c>
    </row>
    <row r="1328" ht="15.75" hidden="1" customHeight="1">
      <c r="A1328" s="1" t="s">
        <v>38</v>
      </c>
      <c r="B1328" s="1" t="s">
        <v>27180</v>
      </c>
      <c r="C1328" s="1" t="s">
        <v>27181</v>
      </c>
      <c r="D1328" s="7" t="str">
        <f>IFERROR(__xludf.DUMMYFUNCTION("GOOGLETRANSLATE(C1328, ""en"", ""ar"")"),"مشكلة إرسال الصورة.")</f>
        <v>مشكلة إرسال الصورة.</v>
      </c>
      <c r="E1328" s="7" t="str">
        <f>IFERROR(__xludf.DUMMYFUNCTION("GOOGLETRANSLATE(C1328, ""en"", ""bg"")"),"Изпращане на проблеми.")</f>
        <v>Изпращане на проблеми.</v>
      </c>
      <c r="F1328" s="6" t="s">
        <v>132</v>
      </c>
      <c r="G1328" s="7" t="str">
        <f>IFERROR(__xludf.DUMMYFUNCTION("GOOGLETRANSLATE(C1328, ""en"", ""cs"")"),"Problém Odeslání obrázku.")</f>
        <v>Problém Odeslání obrázku.</v>
      </c>
      <c r="H1328" s="7" t="str">
        <f>IFERROR(__xludf.DUMMYFUNCTION("GOOGLETRANSLATE(C1328, ""en"", ""da"")"),"Problem at sende billede.")</f>
        <v>Problem at sende billede.</v>
      </c>
      <c r="I1328" s="1" t="s">
        <v>27182</v>
      </c>
      <c r="J1328" s="6" t="s">
        <v>132</v>
      </c>
      <c r="K1328" s="1" t="s">
        <v>27183</v>
      </c>
      <c r="L1328" s="7" t="str">
        <f>IFERROR(__xludf.DUMMYFUNCTION("GOOGLETRANSLATE(C1328, ""en"", ""fi"")"),"Ongelman lähettäminen kuva.")</f>
        <v>Ongelman lähettäminen kuva.</v>
      </c>
      <c r="M1328" s="1" t="s">
        <v>27184</v>
      </c>
      <c r="N1328" s="6" t="s">
        <v>132</v>
      </c>
      <c r="O1328" s="6" t="s">
        <v>132</v>
      </c>
      <c r="P1328" s="1" t="s">
        <v>27185</v>
      </c>
      <c r="Q1328" s="7" t="str">
        <f>IFERROR(__xludf.DUMMYFUNCTION("GOOGLETRANSLATE(C1328, ""en"", ""in"")"),"Masalah pengiriman gambar.")</f>
        <v>Masalah pengiriman gambar.</v>
      </c>
      <c r="R1328" s="13" t="s">
        <v>27186</v>
      </c>
      <c r="S1328" s="6" t="s">
        <v>132</v>
      </c>
      <c r="T1328" s="7" t="str">
        <f>IFERROR(__xludf.DUMMYFUNCTION("GOOGLETRANSLATE(C1328, ""en"", ""ja"")"),"問題の送信画像。")</f>
        <v>問題の送信画像。</v>
      </c>
      <c r="U1328" s="7" t="str">
        <f>IFERROR(__xludf.DUMMYFUNCTION("GOOGLETRANSLATE(C1328, ""en"", ""ko"")"),"이미지를 보내는 문제.")</f>
        <v>이미지를 보내는 문제.</v>
      </c>
      <c r="V1328" s="7" t="str">
        <f>IFERROR(__xludf.DUMMYFUNCTION("GOOGLETRANSLATE(C1328, ""en"", ""ms"")"),"Masalah menghantar imej.")</f>
        <v>Masalah menghantar imej.</v>
      </c>
      <c r="W1328" s="7" t="str">
        <f>IFERROR(__xludf.DUMMYFUNCTION("GOOGLETRANSLATE(C1328, ""en"", ""nl"")"),"Probleem met het verzenden van beeld.")</f>
        <v>Probleem met het verzenden van beeld.</v>
      </c>
      <c r="X1328" s="7" t="str">
        <f>IFERROR(__xludf.DUMMYFUNCTION("GOOGLETRANSLATE(C1328, ""en"", ""no"")"),"Problem Sende bilde.")</f>
        <v>Problem Sende bilde.</v>
      </c>
      <c r="Y1328" s="7" t="str">
        <f>IFERROR(__xludf.DUMMYFUNCTION("GOOGLETRANSLATE(C1328, ""en"", ""pl"")"),"Problem wysyłający obraz.")</f>
        <v>Problem wysyłający obraz.</v>
      </c>
      <c r="Z1328" s="7" t="str">
        <f>IFERROR(__xludf.DUMMYFUNCTION("GOOGLETRANSLATE(C1328, ""en"", ""pt"")"),"Problema de envio de imagem.")</f>
        <v>Problema de envio de imagem.</v>
      </c>
      <c r="AA1328" s="7" t="str">
        <f>IFERROR(__xludf.DUMMYFUNCTION("GOOGLETRANSLATE(C1328, ""en"", ""ro"")"),"Problema trimiterea imaginii.")</f>
        <v>Problema trimiterea imaginii.</v>
      </c>
      <c r="AB1328" s="1" t="s">
        <v>27187</v>
      </c>
      <c r="AC1328" s="7" t="str">
        <f>IFERROR(__xludf.DUMMYFUNCTION("GOOGLETRANSLATE(C1328, ""en"", ""sk"")"),"Problém odosielajúci obrázok.")</f>
        <v>Problém odosielajúci obrázok.</v>
      </c>
      <c r="AD1328" s="6" t="s">
        <v>132</v>
      </c>
      <c r="AE1328" s="1" t="s">
        <v>27188</v>
      </c>
      <c r="AF1328" s="7" t="str">
        <f>IFERROR(__xludf.DUMMYFUNCTION("GOOGLETRANSLATE(C1328, ""en"", ""sv"")"),"Problem med att skicka bild.")</f>
        <v>Problem med att skicka bild.</v>
      </c>
      <c r="AG1328" s="6" t="s">
        <v>132</v>
      </c>
      <c r="AH1328" s="7" t="str">
        <f>IFERROR(__xludf.DUMMYFUNCTION("GOOGLETRANSLATE(C1328, ""en"", ""tr"")"),"Görüntü gönderme sorun.")</f>
        <v>Görüntü gönderme sorun.</v>
      </c>
      <c r="AI1328" s="6" t="s">
        <v>132</v>
      </c>
      <c r="AJ1328" s="6" t="s">
        <v>132</v>
      </c>
      <c r="AK1328" s="7" t="str">
        <f>IFERROR(__xludf.DUMMYFUNCTION("GOOGLETRANSLATE(C1328, ""en"", ""zh"")"),"发送图像问题。")</f>
        <v>发送图像问题。</v>
      </c>
      <c r="AL1328" s="6" t="s">
        <v>132</v>
      </c>
    </row>
    <row r="1329" ht="15.75" customHeight="1">
      <c r="A1329" s="1" t="s">
        <v>127</v>
      </c>
      <c r="B1329" s="1" t="s">
        <v>27189</v>
      </c>
      <c r="C1329" s="1" t="s">
        <v>27190</v>
      </c>
      <c r="D1329" s="8" t="s">
        <v>27191</v>
      </c>
      <c r="E1329" s="1" t="s">
        <v>27192</v>
      </c>
      <c r="F1329" s="6" t="s">
        <v>132</v>
      </c>
      <c r="G1329" s="1" t="s">
        <v>27193</v>
      </c>
      <c r="H1329" s="1" t="s">
        <v>27194</v>
      </c>
      <c r="I1329" s="1" t="s">
        <v>27195</v>
      </c>
      <c r="J1329" s="6" t="s">
        <v>27196</v>
      </c>
      <c r="K1329" s="1" t="s">
        <v>27197</v>
      </c>
      <c r="L1329" s="1" t="s">
        <v>27198</v>
      </c>
      <c r="M1329" s="1" t="s">
        <v>27199</v>
      </c>
      <c r="N1329" s="6" t="s">
        <v>132</v>
      </c>
      <c r="O1329" s="6" t="s">
        <v>27200</v>
      </c>
      <c r="P1329" s="1" t="s">
        <v>27201</v>
      </c>
      <c r="Q1329" s="1" t="s">
        <v>27202</v>
      </c>
      <c r="R1329" s="1" t="s">
        <v>27203</v>
      </c>
      <c r="S1329" s="10" t="s">
        <v>27204</v>
      </c>
      <c r="T1329" s="1" t="s">
        <v>27205</v>
      </c>
      <c r="U1329" s="1" t="s">
        <v>27206</v>
      </c>
      <c r="V1329" s="1" t="s">
        <v>27202</v>
      </c>
      <c r="W1329" s="1" t="s">
        <v>10075</v>
      </c>
      <c r="X1329" s="1" t="s">
        <v>27207</v>
      </c>
      <c r="Y1329" s="1" t="s">
        <v>27208</v>
      </c>
      <c r="Z1329" s="1" t="s">
        <v>27209</v>
      </c>
      <c r="AA1329" s="1" t="s">
        <v>27210</v>
      </c>
      <c r="AB1329" s="1" t="s">
        <v>27211</v>
      </c>
      <c r="AC1329" s="1" t="s">
        <v>27212</v>
      </c>
      <c r="AD1329" s="6" t="s">
        <v>27213</v>
      </c>
      <c r="AE1329" s="1" t="s">
        <v>27214</v>
      </c>
      <c r="AF1329" s="1" t="s">
        <v>27215</v>
      </c>
      <c r="AG1329" s="6" t="s">
        <v>27216</v>
      </c>
      <c r="AH1329" s="1" t="s">
        <v>27217</v>
      </c>
      <c r="AI1329" s="6" t="s">
        <v>132</v>
      </c>
      <c r="AJ1329" s="6" t="s">
        <v>27218</v>
      </c>
      <c r="AK1329" s="1" t="s">
        <v>27219</v>
      </c>
      <c r="AL1329" s="6" t="s">
        <v>27220</v>
      </c>
    </row>
    <row r="1330" ht="15.75" hidden="1" customHeight="1">
      <c r="A1330" s="1" t="s">
        <v>38</v>
      </c>
      <c r="B1330" s="1" t="s">
        <v>27221</v>
      </c>
      <c r="C1330" s="1" t="s">
        <v>27222</v>
      </c>
      <c r="D1330" s="7" t="str">
        <f>IFERROR(__xludf.DUMMYFUNCTION("GOOGLETRANSLATE(C1330, ""en"", ""ar"")"),"غير قادر على حفظ التسجيل")</f>
        <v>غير قادر على حفظ التسجيل</v>
      </c>
      <c r="E1330" s="1" t="s">
        <v>27223</v>
      </c>
      <c r="F1330" s="6" t="s">
        <v>132</v>
      </c>
      <c r="G1330" s="7" t="str">
        <f>IFERROR(__xludf.DUMMYFUNCTION("GOOGLETRANSLATE(C1330, ""en"", ""cs"")"),"Nelze uložit nahrávání")</f>
        <v>Nelze uložit nahrávání</v>
      </c>
      <c r="H1330" s="7" t="str">
        <f>IFERROR(__xludf.DUMMYFUNCTION("GOOGLETRANSLATE(C1330, ""en"", ""da"")"),"Kan ikke gemme optagelse")</f>
        <v>Kan ikke gemme optagelse</v>
      </c>
      <c r="I1330" s="1" t="s">
        <v>27224</v>
      </c>
      <c r="J1330" s="6" t="s">
        <v>132</v>
      </c>
      <c r="K1330" s="1" t="s">
        <v>27225</v>
      </c>
      <c r="L1330" s="7" t="str">
        <f>IFERROR(__xludf.DUMMYFUNCTION("GOOGLETRANSLATE(C1330, ""en"", ""fi"")"),"Tallennusta ei voi tallentaa")</f>
        <v>Tallennusta ei voi tallentaa</v>
      </c>
      <c r="M1330" s="1" t="s">
        <v>27226</v>
      </c>
      <c r="N1330" s="6" t="s">
        <v>27227</v>
      </c>
      <c r="O1330" s="6" t="s">
        <v>132</v>
      </c>
      <c r="P1330" s="1" t="s">
        <v>27228</v>
      </c>
      <c r="Q1330" s="7" t="str">
        <f>IFERROR(__xludf.DUMMYFUNCTION("GOOGLETRANSLATE(C1330, ""en"", ""in"")"),"Tidak dapat menyimpan perekaman")</f>
        <v>Tidak dapat menyimpan perekaman</v>
      </c>
      <c r="R1330" s="1" t="s">
        <v>27229</v>
      </c>
      <c r="S1330" s="6" t="s">
        <v>132</v>
      </c>
      <c r="T1330" s="7" t="str">
        <f>IFERROR(__xludf.DUMMYFUNCTION("GOOGLETRANSLATE(C1330, ""en"", ""ja"")"),"録音を保存できません")</f>
        <v>録音を保存できません</v>
      </c>
      <c r="U1330" s="7" t="str">
        <f>IFERROR(__xludf.DUMMYFUNCTION("GOOGLETRANSLATE(C1330, ""en"", ""ko"")"),"녹음을 저장할 수 없습니다")</f>
        <v>녹음을 저장할 수 없습니다</v>
      </c>
      <c r="V1330" s="7" t="str">
        <f>IFERROR(__xludf.DUMMYFUNCTION("GOOGLETRANSLATE(C1330, ""en"", ""ms"")"),"Tidak dapat menyimpan rakaman")</f>
        <v>Tidak dapat menyimpan rakaman</v>
      </c>
      <c r="W1330" s="1" t="s">
        <v>27230</v>
      </c>
      <c r="X1330" s="7" t="str">
        <f>IFERROR(__xludf.DUMMYFUNCTION("GOOGLETRANSLATE(C1330, ""en"", ""no"")"),"Kan ikke lagre opptak")</f>
        <v>Kan ikke lagre opptak</v>
      </c>
      <c r="Y1330" s="1" t="s">
        <v>27231</v>
      </c>
      <c r="Z1330" s="7" t="str">
        <f>IFERROR(__xludf.DUMMYFUNCTION("GOOGLETRANSLATE(C1330, ""en"", ""pt"")"),"Não é possível economizar gravação")</f>
        <v>Não é possível economizar gravação</v>
      </c>
      <c r="AA1330" s="7" t="str">
        <f>IFERROR(__xludf.DUMMYFUNCTION("GOOGLETRANSLATE(C1330, ""en"", ""ro"")"),"Imposibil de salvat înregistrarea")</f>
        <v>Imposibil de salvat înregistrarea</v>
      </c>
      <c r="AB1330" s="7" t="str">
        <f>IFERROR(__xludf.DUMMYFUNCTION("GOOGLETRANSLATE(C1330, ""en"", ""ru"")"),"Невозможно сохранить запись")</f>
        <v>Невозможно сохранить запись</v>
      </c>
      <c r="AC1330" s="7" t="str">
        <f>IFERROR(__xludf.DUMMYFUNCTION("GOOGLETRANSLATE(C1330, ""en"", ""sk"")"),"Nie je možné uložiť nahrávanie")</f>
        <v>Nie je možné uložiť nahrávanie</v>
      </c>
      <c r="AD1330" s="6" t="s">
        <v>132</v>
      </c>
      <c r="AE1330" s="7" t="str">
        <f>IFERROR(__xludf.DUMMYFUNCTION("GOOGLETRANSLATE(C1330, ""en"", ""sr"")"),"Није могуће сачувати снимање")</f>
        <v>Није могуће сачувати снимање</v>
      </c>
      <c r="AF1330" s="7" t="str">
        <f>IFERROR(__xludf.DUMMYFUNCTION("GOOGLETRANSLATE(C1330, ""en"", ""sv"")"),"Det gick inte att spara inspelning")</f>
        <v>Det gick inte att spara inspelning</v>
      </c>
      <c r="AG1330" s="6" t="s">
        <v>132</v>
      </c>
      <c r="AH1330" s="7" t="str">
        <f>IFERROR(__xludf.DUMMYFUNCTION("GOOGLETRANSLATE(C1330, ""en"", ""tr"")"),"Kayıttan kaydedilemiyor")</f>
        <v>Kayıttan kaydedilemiyor</v>
      </c>
      <c r="AI1330" s="6" t="s">
        <v>132</v>
      </c>
      <c r="AJ1330" s="6" t="s">
        <v>132</v>
      </c>
      <c r="AK1330" s="7" t="str">
        <f>IFERROR(__xludf.DUMMYFUNCTION("GOOGLETRANSLATE(C1330, ""en"", ""zh"")"),"无法保存录制")</f>
        <v>无法保存录制</v>
      </c>
      <c r="AL1330" s="6" t="s">
        <v>132</v>
      </c>
    </row>
    <row r="1331" ht="15.75" customHeight="1">
      <c r="A1331" s="1" t="s">
        <v>127</v>
      </c>
      <c r="B1331" s="1" t="s">
        <v>27232</v>
      </c>
      <c r="C1331" s="1" t="s">
        <v>3098</v>
      </c>
      <c r="D1331" s="8" t="s">
        <v>3099</v>
      </c>
      <c r="E1331" s="1" t="s">
        <v>3100</v>
      </c>
      <c r="F1331" s="6" t="s">
        <v>132</v>
      </c>
      <c r="G1331" s="1" t="s">
        <v>3101</v>
      </c>
      <c r="H1331" s="1" t="s">
        <v>3102</v>
      </c>
      <c r="I1331" s="1" t="s">
        <v>3103</v>
      </c>
      <c r="J1331" s="6" t="s">
        <v>3104</v>
      </c>
      <c r="K1331" s="1" t="s">
        <v>3105</v>
      </c>
      <c r="L1331" s="1" t="s">
        <v>3106</v>
      </c>
      <c r="M1331" s="1" t="s">
        <v>3107</v>
      </c>
      <c r="N1331" s="6" t="s">
        <v>132</v>
      </c>
      <c r="O1331" s="6" t="s">
        <v>3108</v>
      </c>
      <c r="P1331" s="1" t="s">
        <v>3109</v>
      </c>
      <c r="Q1331" s="1" t="s">
        <v>3110</v>
      </c>
      <c r="R1331" s="1" t="s">
        <v>3111</v>
      </c>
      <c r="S1331" s="10" t="s">
        <v>3112</v>
      </c>
      <c r="T1331" s="1" t="s">
        <v>3113</v>
      </c>
      <c r="U1331" s="1" t="s">
        <v>3114</v>
      </c>
      <c r="V1331" s="1" t="s">
        <v>3110</v>
      </c>
      <c r="W1331" s="1" t="s">
        <v>3115</v>
      </c>
      <c r="X1331" s="1" t="s">
        <v>3116</v>
      </c>
      <c r="Y1331" s="1" t="s">
        <v>3117</v>
      </c>
      <c r="Z1331" s="1" t="s">
        <v>3118</v>
      </c>
      <c r="AA1331" s="1" t="s">
        <v>3119</v>
      </c>
      <c r="AB1331" s="1" t="s">
        <v>3120</v>
      </c>
      <c r="AC1331" s="1" t="s">
        <v>3121</v>
      </c>
      <c r="AD1331" s="6" t="s">
        <v>3122</v>
      </c>
      <c r="AE1331" s="1" t="s">
        <v>3123</v>
      </c>
      <c r="AF1331" s="1" t="s">
        <v>3124</v>
      </c>
      <c r="AG1331" s="6" t="s">
        <v>3125</v>
      </c>
      <c r="AH1331" s="1" t="s">
        <v>27233</v>
      </c>
      <c r="AI1331" s="6" t="s">
        <v>132</v>
      </c>
      <c r="AJ1331" s="6" t="s">
        <v>3127</v>
      </c>
      <c r="AK1331" s="1" t="s">
        <v>3128</v>
      </c>
      <c r="AL1331" s="6" t="s">
        <v>3129</v>
      </c>
    </row>
    <row r="1332" ht="15.75" hidden="1" customHeight="1">
      <c r="A1332" s="1" t="s">
        <v>38</v>
      </c>
      <c r="B1332" s="1" t="s">
        <v>27234</v>
      </c>
      <c r="C1332" s="1" t="s">
        <v>27235</v>
      </c>
      <c r="D1332" s="7" t="str">
        <f>IFERROR(__xludf.DUMMYFUNCTION("GOOGLETRANSLATE(C1332, ""en"", ""ar"")"),"هل هذا رقم هاتفك؟")</f>
        <v>هل هذا رقم هاتفك؟</v>
      </c>
      <c r="E1332" s="7" t="str">
        <f>IFERROR(__xludf.DUMMYFUNCTION("GOOGLETRANSLATE(C1332, ""en"", ""bg"")"),"Това ли е телефонният ви номер?")</f>
        <v>Това ли е телефонният ви номер?</v>
      </c>
      <c r="F1332" s="6" t="s">
        <v>132</v>
      </c>
      <c r="G1332" s="7" t="str">
        <f>IFERROR(__xludf.DUMMYFUNCTION("GOOGLETRANSLATE(C1332, ""en"", ""cs"")"),"Je to vaše telefonní číslo?")</f>
        <v>Je to vaše telefonní číslo?</v>
      </c>
      <c r="H1332" s="7" t="str">
        <f>IFERROR(__xludf.DUMMYFUNCTION("GOOGLETRANSLATE(C1332, ""en"", ""da"")"),"Er dette dit telefonnummer?")</f>
        <v>Er dette dit telefonnummer?</v>
      </c>
      <c r="I1332" s="7" t="str">
        <f>IFERROR(__xludf.DUMMYFUNCTION("GOOGLETRANSLATE(C1332, ""en"", ""de"")"),"Ist das Ihre Telefonnummer?")</f>
        <v>Ist das Ihre Telefonnummer?</v>
      </c>
      <c r="J1332" s="6" t="s">
        <v>132</v>
      </c>
      <c r="K1332" s="7" t="str">
        <f>IFERROR(__xludf.DUMMYFUNCTION("GOOGLETRANSLATE(C1332, ""en"", ""es"")"),"¿Es este tu número de teléfono?")</f>
        <v>¿Es este tu número de teléfono?</v>
      </c>
      <c r="L1332" s="7" t="str">
        <f>IFERROR(__xludf.DUMMYFUNCTION("GOOGLETRANSLATE(C1332, ""en"", ""fi"")"),"Onko tämä puhelinnumero?")</f>
        <v>Onko tämä puhelinnumero?</v>
      </c>
      <c r="M1332" s="7" t="str">
        <f>IFERROR(__xludf.DUMMYFUNCTION("GOOGLETRANSLATE(C1332, ""en"", ""fr"")"),"Est-ce votre numéro de téléphone?")</f>
        <v>Est-ce votre numéro de téléphone?</v>
      </c>
      <c r="N1332" s="6" t="s">
        <v>132</v>
      </c>
      <c r="O1332" s="6" t="s">
        <v>132</v>
      </c>
      <c r="P1332" s="7" t="str">
        <f>IFERROR(__xludf.DUMMYFUNCTION("GOOGLETRANSLATE(C1332, ""en"", ""hu"")"),"Ez a telefonszáma?")</f>
        <v>Ez a telefonszáma?</v>
      </c>
      <c r="Q1332" s="7" t="str">
        <f>IFERROR(__xludf.DUMMYFUNCTION("GOOGLETRANSLATE(C1332, ""en"", ""in"")"),"Apakah ini nomor telepon Anda?")</f>
        <v>Apakah ini nomor telepon Anda?</v>
      </c>
      <c r="R1332" s="7" t="str">
        <f>IFERROR(__xludf.DUMMYFUNCTION("GOOGLETRANSLATE(C1332, ""en"", ""it"")"),"È il tuo numero di telefono?")</f>
        <v>È il tuo numero di telefono?</v>
      </c>
      <c r="S1332" s="6" t="s">
        <v>132</v>
      </c>
      <c r="T1332" s="7" t="str">
        <f>IFERROR(__xludf.DUMMYFUNCTION("GOOGLETRANSLATE(C1332, ""en"", ""ja"")"),"これはあなたの電話番号ですか？")</f>
        <v>これはあなたの電話番号ですか？</v>
      </c>
      <c r="U1332" s="7" t="str">
        <f>IFERROR(__xludf.DUMMYFUNCTION("GOOGLETRANSLATE(C1332, ""en"", ""ko"")"),"이게 전화 번호입니까?")</f>
        <v>이게 전화 번호입니까?</v>
      </c>
      <c r="V1332" s="7" t="str">
        <f>IFERROR(__xludf.DUMMYFUNCTION("GOOGLETRANSLATE(C1332, ""en"", ""ms"")"),"Adakah ini nombor telefon anda?")</f>
        <v>Adakah ini nombor telefon anda?</v>
      </c>
      <c r="W1332" s="7" t="str">
        <f>IFERROR(__xludf.DUMMYFUNCTION("GOOGLETRANSLATE(C1332, ""en"", ""nl"")"),"Is dit uw telefoonnummer?")</f>
        <v>Is dit uw telefoonnummer?</v>
      </c>
      <c r="X1332" s="7" t="str">
        <f>IFERROR(__xludf.DUMMYFUNCTION("GOOGLETRANSLATE(C1332, ""en"", ""no"")"),"Er dette ditt telefonnummer?")</f>
        <v>Er dette ditt telefonnummer?</v>
      </c>
      <c r="Y1332" s="7" t="str">
        <f>IFERROR(__xludf.DUMMYFUNCTION("GOOGLETRANSLATE(C1332, ""en"", ""pl"")"),"Czy to twój numer telefonu?")</f>
        <v>Czy to twój numer telefonu?</v>
      </c>
      <c r="Z1332" s="7" t="str">
        <f>IFERROR(__xludf.DUMMYFUNCTION("GOOGLETRANSLATE(C1332, ""en"", ""pt"")"),"Este é o seu número de telefone?")</f>
        <v>Este é o seu número de telefone?</v>
      </c>
      <c r="AA1332" s="7" t="str">
        <f>IFERROR(__xludf.DUMMYFUNCTION("GOOGLETRANSLATE(C1332, ""en"", ""ro"")"),"Este numărul dvs. de telefon?")</f>
        <v>Este numărul dvs. de telefon?</v>
      </c>
      <c r="AB1332" s="7" t="str">
        <f>IFERROR(__xludf.DUMMYFUNCTION("GOOGLETRANSLATE(C1332, ""en"", ""ru"")"),"Это ваш номер телефона?")</f>
        <v>Это ваш номер телефона?</v>
      </c>
      <c r="AC1332" s="7" t="str">
        <f>IFERROR(__xludf.DUMMYFUNCTION("GOOGLETRANSLATE(C1332, ""en"", ""sk"")"),"Je toto vaše telefónne číslo?")</f>
        <v>Je toto vaše telefónne číslo?</v>
      </c>
      <c r="AD1332" s="6" t="s">
        <v>132</v>
      </c>
      <c r="AE1332" s="7" t="str">
        <f>IFERROR(__xludf.DUMMYFUNCTION("GOOGLETRANSLATE(C1332, ""en"", ""sr"")"),"Да ли је ово ваш број телефона?")</f>
        <v>Да ли је ово ваш број телефона?</v>
      </c>
      <c r="AF1332" s="7" t="str">
        <f>IFERROR(__xludf.DUMMYFUNCTION("GOOGLETRANSLATE(C1332, ""en"", ""sv"")"),"Är det ditt telefonnummer?")</f>
        <v>Är det ditt telefonnummer?</v>
      </c>
      <c r="AG1332" s="6" t="s">
        <v>132</v>
      </c>
      <c r="AH1332" s="7" t="str">
        <f>IFERROR(__xludf.DUMMYFUNCTION("GOOGLETRANSLATE(C1332, ""en"", ""tr"")"),"Bu telefon numaranız mı?")</f>
        <v>Bu telefon numaranız mı?</v>
      </c>
      <c r="AI1332" s="6" t="s">
        <v>132</v>
      </c>
      <c r="AJ1332" s="6" t="s">
        <v>132</v>
      </c>
      <c r="AK1332" s="7" t="str">
        <f>IFERROR(__xludf.DUMMYFUNCTION("GOOGLETRANSLATE(C1332, ""en"", ""zh"")"),"这是你的电话号码吗？")</f>
        <v>这是你的电话号码吗？</v>
      </c>
      <c r="AL1332" s="6" t="s">
        <v>132</v>
      </c>
    </row>
    <row r="1333" ht="15.75" hidden="1" customHeight="1">
      <c r="A1333" s="1" t="s">
        <v>38</v>
      </c>
      <c r="B1333" s="1" t="s">
        <v>27236</v>
      </c>
      <c r="C1333" s="1" t="s">
        <v>27237</v>
      </c>
      <c r="D1333" s="7" t="str">
        <f>IFERROR(__xludf.DUMMYFUNCTION("GOOGLETRANSLATE(C1333, ""en"", ""ar"")"),"ليسوتو")</f>
        <v>ليسوتو</v>
      </c>
      <c r="E1333" s="7" t="str">
        <f>IFERROR(__xludf.DUMMYFUNCTION("GOOGLETRANSLATE(C1333, ""en"", ""bg"")"),"Лесото")</f>
        <v>Лесото</v>
      </c>
      <c r="F1333" s="6" t="s">
        <v>132</v>
      </c>
      <c r="G1333" s="7" t="str">
        <f>IFERROR(__xludf.DUMMYFUNCTION("GOOGLETRANSLATE(C1333, ""en"", ""cs"")"),"Lesotho.")</f>
        <v>Lesotho.</v>
      </c>
      <c r="H1333" s="7" t="str">
        <f>IFERROR(__xludf.DUMMYFUNCTION("GOOGLETRANSLATE(C1333, ""en"", ""da"")"),"Lesotho.")</f>
        <v>Lesotho.</v>
      </c>
      <c r="I1333" s="1" t="s">
        <v>27237</v>
      </c>
      <c r="J1333" s="6" t="s">
        <v>132</v>
      </c>
      <c r="K1333" s="1" t="s">
        <v>27238</v>
      </c>
      <c r="L1333" s="7" t="str">
        <f>IFERROR(__xludf.DUMMYFUNCTION("GOOGLETRANSLATE(C1333, ""en"", ""fi"")"),"Lesotho")</f>
        <v>Lesotho</v>
      </c>
      <c r="M1333" s="1" t="s">
        <v>27237</v>
      </c>
      <c r="N1333" s="6" t="s">
        <v>132</v>
      </c>
      <c r="O1333" s="6" t="s">
        <v>132</v>
      </c>
      <c r="P1333" s="1" t="s">
        <v>27237</v>
      </c>
      <c r="Q1333" s="7" t="str">
        <f>IFERROR(__xludf.DUMMYFUNCTION("GOOGLETRANSLATE(C1333, ""en"", ""in"")"),"Lesotho.")</f>
        <v>Lesotho.</v>
      </c>
      <c r="R1333" s="7" t="str">
        <f>IFERROR(__xludf.DUMMYFUNCTION("GOOGLETRANSLATE(C1333, ""en"", ""it"")"),"Lesotho.")</f>
        <v>Lesotho.</v>
      </c>
      <c r="S1333" s="6" t="s">
        <v>132</v>
      </c>
      <c r="T1333" s="7" t="str">
        <f>IFERROR(__xludf.DUMMYFUNCTION("GOOGLETRANSLATE(C1333, ""en"", ""ja"")"),"レソト")</f>
        <v>レソト</v>
      </c>
      <c r="U1333" s="7" t="str">
        <f>IFERROR(__xludf.DUMMYFUNCTION("GOOGLETRANSLATE(C1333, ""en"", ""ko"")"),"레소토")</f>
        <v>레소토</v>
      </c>
      <c r="V1333" s="7" t="str">
        <f>IFERROR(__xludf.DUMMYFUNCTION("GOOGLETRANSLATE(C1333, ""en"", ""ms"")"),"Lesotho.")</f>
        <v>Lesotho.</v>
      </c>
      <c r="W1333" s="7" t="str">
        <f>IFERROR(__xludf.DUMMYFUNCTION("GOOGLETRANSLATE(C1333, ""en"", ""nl"")"),"Lesotho")</f>
        <v>Lesotho</v>
      </c>
      <c r="X1333" s="7" t="str">
        <f>IFERROR(__xludf.DUMMYFUNCTION("GOOGLETRANSLATE(C1333, ""en"", ""no"")"),"Lesotho")</f>
        <v>Lesotho</v>
      </c>
      <c r="Y1333" s="7" t="str">
        <f>IFERROR(__xludf.DUMMYFUNCTION("GOOGLETRANSLATE(C1333, ""en"", ""pl"")"),"Lesotho.")</f>
        <v>Lesotho.</v>
      </c>
      <c r="Z1333" s="7" t="str">
        <f>IFERROR(__xludf.DUMMYFUNCTION("GOOGLETRANSLATE(C1333, ""en"", ""pt"")"),"Lesoto")</f>
        <v>Lesoto</v>
      </c>
      <c r="AA1333" s="7" t="str">
        <f>IFERROR(__xludf.DUMMYFUNCTION("GOOGLETRANSLATE(C1333, ""en"", ""ro"")"),"Lesotho.")</f>
        <v>Lesotho.</v>
      </c>
      <c r="AB1333" s="1" t="s">
        <v>27239</v>
      </c>
      <c r="AC1333" s="7" t="str">
        <f>IFERROR(__xludf.DUMMYFUNCTION("GOOGLETRANSLATE(C1333, ""en"", ""sk"")"),"Lesotho")</f>
        <v>Lesotho</v>
      </c>
      <c r="AD1333" s="6" t="s">
        <v>132</v>
      </c>
      <c r="AE1333" s="1" t="s">
        <v>27238</v>
      </c>
      <c r="AF1333" s="7" t="str">
        <f>IFERROR(__xludf.DUMMYFUNCTION("GOOGLETRANSLATE(C1333, ""en"", ""sv"")"),"Lesotho")</f>
        <v>Lesotho</v>
      </c>
      <c r="AG1333" s="6" t="s">
        <v>132</v>
      </c>
      <c r="AH1333" s="7" t="str">
        <f>IFERROR(__xludf.DUMMYFUNCTION("GOOGLETRANSLATE(C1333, ""en"", ""tr"")"),"Lesoto")</f>
        <v>Lesoto</v>
      </c>
      <c r="AI1333" s="6" t="s">
        <v>132</v>
      </c>
      <c r="AJ1333" s="6" t="s">
        <v>132</v>
      </c>
      <c r="AK1333" s="7" t="str">
        <f>IFERROR(__xludf.DUMMYFUNCTION("GOOGLETRANSLATE(C1333, ""en"", ""zh"")"),"莱索托")</f>
        <v>莱索托</v>
      </c>
      <c r="AL1333" s="6" t="s">
        <v>132</v>
      </c>
    </row>
    <row r="1334" ht="15.75" customHeight="1">
      <c r="A1334" s="1" t="s">
        <v>127</v>
      </c>
      <c r="B1334" s="1" t="s">
        <v>27240</v>
      </c>
      <c r="C1334" s="1" t="s">
        <v>27241</v>
      </c>
      <c r="D1334" s="8" t="s">
        <v>27242</v>
      </c>
      <c r="E1334" s="1" t="s">
        <v>27243</v>
      </c>
      <c r="F1334" s="6" t="s">
        <v>132</v>
      </c>
      <c r="G1334" s="1" t="s">
        <v>27244</v>
      </c>
      <c r="H1334" s="1" t="s">
        <v>27245</v>
      </c>
      <c r="I1334" s="1" t="s">
        <v>27246</v>
      </c>
      <c r="J1334" s="6" t="s">
        <v>27247</v>
      </c>
      <c r="K1334" s="1" t="s">
        <v>27248</v>
      </c>
      <c r="L1334" s="1" t="s">
        <v>27249</v>
      </c>
      <c r="M1334" s="1" t="s">
        <v>27250</v>
      </c>
      <c r="N1334" s="6" t="s">
        <v>132</v>
      </c>
      <c r="O1334" s="6" t="s">
        <v>27251</v>
      </c>
      <c r="P1334" s="1" t="s">
        <v>27252</v>
      </c>
      <c r="Q1334" s="1" t="s">
        <v>27253</v>
      </c>
      <c r="R1334" s="1" t="s">
        <v>27254</v>
      </c>
      <c r="S1334" s="10" t="s">
        <v>27255</v>
      </c>
      <c r="T1334" s="1" t="s">
        <v>27256</v>
      </c>
      <c r="U1334" s="1" t="s">
        <v>17367</v>
      </c>
      <c r="V1334" s="1" t="s">
        <v>27257</v>
      </c>
      <c r="W1334" s="1" t="s">
        <v>27241</v>
      </c>
      <c r="X1334" s="1" t="s">
        <v>27258</v>
      </c>
      <c r="Y1334" s="1" t="s">
        <v>27259</v>
      </c>
      <c r="Z1334" s="1" t="s">
        <v>27260</v>
      </c>
      <c r="AA1334" s="1" t="s">
        <v>27261</v>
      </c>
      <c r="AB1334" s="1" t="s">
        <v>27262</v>
      </c>
      <c r="AC1334" s="1" t="s">
        <v>27259</v>
      </c>
      <c r="AD1334" s="6" t="s">
        <v>27263</v>
      </c>
      <c r="AE1334" s="1" t="s">
        <v>27264</v>
      </c>
      <c r="AF1334" s="1" t="s">
        <v>27265</v>
      </c>
      <c r="AG1334" s="6" t="s">
        <v>27266</v>
      </c>
      <c r="AH1334" s="1" t="s">
        <v>27267</v>
      </c>
      <c r="AI1334" s="6" t="s">
        <v>132</v>
      </c>
      <c r="AJ1334" s="6" t="s">
        <v>27268</v>
      </c>
      <c r="AK1334" s="1" t="s">
        <v>27269</v>
      </c>
      <c r="AL1334" s="6" t="s">
        <v>27270</v>
      </c>
    </row>
    <row r="1335" ht="15.75" customHeight="1">
      <c r="A1335" s="1" t="s">
        <v>127</v>
      </c>
      <c r="B1335" s="1" t="s">
        <v>27271</v>
      </c>
      <c r="C1335" s="1" t="s">
        <v>27272</v>
      </c>
      <c r="D1335" s="8" t="s">
        <v>27273</v>
      </c>
      <c r="E1335" s="1" t="s">
        <v>27274</v>
      </c>
      <c r="F1335" s="6" t="s">
        <v>132</v>
      </c>
      <c r="G1335" s="1" t="s">
        <v>27275</v>
      </c>
      <c r="H1335" s="1" t="s">
        <v>27275</v>
      </c>
      <c r="I1335" s="1" t="s">
        <v>27275</v>
      </c>
      <c r="J1335" s="6" t="s">
        <v>27276</v>
      </c>
      <c r="K1335" s="1" t="s">
        <v>27272</v>
      </c>
      <c r="L1335" s="1" t="s">
        <v>27277</v>
      </c>
      <c r="M1335" s="1" t="s">
        <v>27278</v>
      </c>
      <c r="N1335" s="6" t="s">
        <v>132</v>
      </c>
      <c r="O1335" s="6" t="s">
        <v>27279</v>
      </c>
      <c r="P1335" s="1" t="s">
        <v>8823</v>
      </c>
      <c r="Q1335" s="1" t="s">
        <v>27275</v>
      </c>
      <c r="R1335" s="1" t="s">
        <v>27280</v>
      </c>
      <c r="S1335" s="10" t="s">
        <v>27281</v>
      </c>
      <c r="T1335" s="1" t="s">
        <v>27282</v>
      </c>
      <c r="U1335" s="1" t="s">
        <v>27283</v>
      </c>
      <c r="V1335" s="1" t="s">
        <v>27275</v>
      </c>
      <c r="W1335" s="1" t="s">
        <v>27272</v>
      </c>
      <c r="X1335" s="1" t="s">
        <v>27275</v>
      </c>
      <c r="Y1335" s="1" t="s">
        <v>27275</v>
      </c>
      <c r="Z1335" s="1" t="s">
        <v>27284</v>
      </c>
      <c r="AA1335" s="1" t="s">
        <v>27272</v>
      </c>
      <c r="AB1335" s="1" t="s">
        <v>27274</v>
      </c>
      <c r="AC1335" s="1" t="s">
        <v>27275</v>
      </c>
      <c r="AD1335" s="6" t="s">
        <v>27275</v>
      </c>
      <c r="AE1335" s="1" t="s">
        <v>27275</v>
      </c>
      <c r="AF1335" s="1" t="s">
        <v>27275</v>
      </c>
      <c r="AG1335" s="6" t="s">
        <v>27285</v>
      </c>
      <c r="AH1335" s="1" t="s">
        <v>27286</v>
      </c>
      <c r="AI1335" s="6" t="s">
        <v>132</v>
      </c>
      <c r="AJ1335" s="6" t="s">
        <v>27287</v>
      </c>
      <c r="AK1335" s="1" t="s">
        <v>27288</v>
      </c>
      <c r="AL1335" s="6" t="s">
        <v>27289</v>
      </c>
    </row>
    <row r="1336" ht="15.75" hidden="1" customHeight="1">
      <c r="A1336" s="1" t="s">
        <v>38</v>
      </c>
      <c r="B1336" s="1" t="s">
        <v>27290</v>
      </c>
      <c r="C1336" s="1" t="s">
        <v>27291</v>
      </c>
      <c r="D1336" s="7" t="str">
        <f>IFERROR(__xludf.DUMMYFUNCTION("GOOGLETRANSLATE(C1336, ""en"", ""ar"")"),"بيلاروسيا")</f>
        <v>بيلاروسيا</v>
      </c>
      <c r="E1336" s="7" t="str">
        <f>IFERROR(__xludf.DUMMYFUNCTION("GOOGLETRANSLATE(C1336, ""en"", ""bg"")"),"Беларус")</f>
        <v>Беларус</v>
      </c>
      <c r="F1336" s="6" t="s">
        <v>132</v>
      </c>
      <c r="G1336" s="7" t="str">
        <f>IFERROR(__xludf.DUMMYFUNCTION("GOOGLETRANSLATE(C1336, ""en"", ""cs"")"),"Bělorusko")</f>
        <v>Bělorusko</v>
      </c>
      <c r="H1336" s="7" t="str">
        <f>IFERROR(__xludf.DUMMYFUNCTION("GOOGLETRANSLATE(C1336, ""en"", ""da"")"),"Hviderusland.")</f>
        <v>Hviderusland.</v>
      </c>
      <c r="I1336" s="1" t="s">
        <v>27292</v>
      </c>
      <c r="J1336" s="6" t="s">
        <v>132</v>
      </c>
      <c r="K1336" s="1" t="s">
        <v>27293</v>
      </c>
      <c r="L1336" s="7" t="str">
        <f>IFERROR(__xludf.DUMMYFUNCTION("GOOGLETRANSLATE(C1336, ""en"", ""fi"")"),"Valko-Venäjä")</f>
        <v>Valko-Venäjä</v>
      </c>
      <c r="M1336" s="1" t="s">
        <v>27294</v>
      </c>
      <c r="N1336" s="6" t="s">
        <v>132</v>
      </c>
      <c r="O1336" s="6" t="s">
        <v>132</v>
      </c>
      <c r="P1336" s="1" t="s">
        <v>27291</v>
      </c>
      <c r="Q1336" s="7" t="str">
        <f>IFERROR(__xludf.DUMMYFUNCTION("GOOGLETRANSLATE(C1336, ""en"", ""in"")"),"Belarus")</f>
        <v>Belarus</v>
      </c>
      <c r="R1336" s="7" t="str">
        <f>IFERROR(__xludf.DUMMYFUNCTION("GOOGLETRANSLATE(C1336, ""en"", ""it"")"),"Bielorussia")</f>
        <v>Bielorussia</v>
      </c>
      <c r="S1336" s="6" t="s">
        <v>132</v>
      </c>
      <c r="T1336" s="7" t="str">
        <f>IFERROR(__xludf.DUMMYFUNCTION("GOOGLETRANSLATE(C1336, ""en"", ""ja"")"),"ベラルーシ")</f>
        <v>ベラルーシ</v>
      </c>
      <c r="U1336" s="7" t="str">
        <f>IFERROR(__xludf.DUMMYFUNCTION("GOOGLETRANSLATE(C1336, ""en"", ""ko"")"),"벨라루스")</f>
        <v>벨라루스</v>
      </c>
      <c r="V1336" s="7" t="str">
        <f>IFERROR(__xludf.DUMMYFUNCTION("GOOGLETRANSLATE(C1336, ""en"", ""ms"")"),"Belarus.")</f>
        <v>Belarus.</v>
      </c>
      <c r="W1336" s="7" t="str">
        <f>IFERROR(__xludf.DUMMYFUNCTION("GOOGLETRANSLATE(C1336, ""en"", ""nl"")"),"Wit-Rusland")</f>
        <v>Wit-Rusland</v>
      </c>
      <c r="X1336" s="7" t="str">
        <f>IFERROR(__xludf.DUMMYFUNCTION("GOOGLETRANSLATE(C1336, ""en"", ""no"")"),"Hviterussland")</f>
        <v>Hviterussland</v>
      </c>
      <c r="Y1336" s="7" t="str">
        <f>IFERROR(__xludf.DUMMYFUNCTION("GOOGLETRANSLATE(C1336, ""en"", ""pl"")"),"Białoruś")</f>
        <v>Białoruś</v>
      </c>
      <c r="Z1336" s="7" t="str">
        <f>IFERROR(__xludf.DUMMYFUNCTION("GOOGLETRANSLATE(C1336, ""en"", ""pt"")"),"Bielorrússia")</f>
        <v>Bielorrússia</v>
      </c>
      <c r="AA1336" s="7" t="str">
        <f>IFERROR(__xludf.DUMMYFUNCTION("GOOGLETRANSLATE(C1336, ""en"", ""ro"")"),"Bielorusia")</f>
        <v>Bielorusia</v>
      </c>
      <c r="AB1336" s="1" t="s">
        <v>27295</v>
      </c>
      <c r="AC1336" s="7" t="str">
        <f>IFERROR(__xludf.DUMMYFUNCTION("GOOGLETRANSLATE(C1336, ""en"", ""sk"")"),"Bielorusko")</f>
        <v>Bielorusko</v>
      </c>
      <c r="AD1336" s="6" t="s">
        <v>132</v>
      </c>
      <c r="AE1336" s="1" t="s">
        <v>27296</v>
      </c>
      <c r="AF1336" s="7" t="str">
        <f>IFERROR(__xludf.DUMMYFUNCTION("GOOGLETRANSLATE(C1336, ""en"", ""sv"")"),"Vitryssland")</f>
        <v>Vitryssland</v>
      </c>
      <c r="AG1336" s="6" t="s">
        <v>132</v>
      </c>
      <c r="AH1336" s="7" t="str">
        <f>IFERROR(__xludf.DUMMYFUNCTION("GOOGLETRANSLATE(C1336, ""en"", ""tr"")"),"Belarus")</f>
        <v>Belarus</v>
      </c>
      <c r="AI1336" s="6" t="s">
        <v>132</v>
      </c>
      <c r="AJ1336" s="6" t="s">
        <v>132</v>
      </c>
      <c r="AK1336" s="7" t="str">
        <f>IFERROR(__xludf.DUMMYFUNCTION("GOOGLETRANSLATE(C1336, ""en"", ""zh"")"),"白俄罗斯")</f>
        <v>白俄罗斯</v>
      </c>
      <c r="AL1336" s="6" t="s">
        <v>132</v>
      </c>
    </row>
    <row r="1337" ht="15.75" customHeight="1">
      <c r="A1337" s="1" t="s">
        <v>127</v>
      </c>
      <c r="B1337" s="1" t="s">
        <v>27297</v>
      </c>
      <c r="C1337" s="1" t="s">
        <v>27298</v>
      </c>
      <c r="D1337" s="8" t="s">
        <v>27299</v>
      </c>
      <c r="E1337" s="1" t="s">
        <v>27300</v>
      </c>
      <c r="F1337" s="6" t="s">
        <v>132</v>
      </c>
      <c r="G1337" s="1" t="s">
        <v>27301</v>
      </c>
      <c r="H1337" s="1" t="s">
        <v>27298</v>
      </c>
      <c r="I1337" s="1" t="s">
        <v>27298</v>
      </c>
      <c r="J1337" s="6" t="s">
        <v>27298</v>
      </c>
      <c r="K1337" s="1" t="s">
        <v>27298</v>
      </c>
      <c r="L1337" s="1" t="s">
        <v>27298</v>
      </c>
      <c r="M1337" s="1" t="s">
        <v>27302</v>
      </c>
      <c r="N1337" s="6" t="s">
        <v>132</v>
      </c>
      <c r="O1337" s="6" t="s">
        <v>27303</v>
      </c>
      <c r="P1337" s="1" t="s">
        <v>17867</v>
      </c>
      <c r="Q1337" s="1" t="s">
        <v>27304</v>
      </c>
      <c r="R1337" s="1" t="s">
        <v>27298</v>
      </c>
      <c r="S1337" s="10" t="s">
        <v>27305</v>
      </c>
      <c r="T1337" s="1" t="s">
        <v>27306</v>
      </c>
      <c r="U1337" s="1" t="s">
        <v>27307</v>
      </c>
      <c r="V1337" s="1" t="s">
        <v>27304</v>
      </c>
      <c r="W1337" s="1" t="s">
        <v>27308</v>
      </c>
      <c r="X1337" s="1" t="s">
        <v>27309</v>
      </c>
      <c r="Y1337" s="1" t="s">
        <v>27310</v>
      </c>
      <c r="Z1337" s="1" t="s">
        <v>27298</v>
      </c>
      <c r="AA1337" s="1" t="s">
        <v>27298</v>
      </c>
      <c r="AB1337" s="1" t="s">
        <v>27300</v>
      </c>
      <c r="AC1337" s="1" t="s">
        <v>27311</v>
      </c>
      <c r="AD1337" s="6" t="s">
        <v>27308</v>
      </c>
      <c r="AE1337" s="1" t="s">
        <v>27298</v>
      </c>
      <c r="AF1337" s="1" t="s">
        <v>27309</v>
      </c>
      <c r="AG1337" s="6" t="s">
        <v>27298</v>
      </c>
      <c r="AH1337" s="1" t="s">
        <v>27312</v>
      </c>
      <c r="AI1337" s="6" t="s">
        <v>132</v>
      </c>
      <c r="AJ1337" s="6" t="s">
        <v>8716</v>
      </c>
      <c r="AK1337" s="1" t="s">
        <v>27313</v>
      </c>
      <c r="AL1337" s="6" t="s">
        <v>132</v>
      </c>
    </row>
    <row r="1338" ht="15.75" hidden="1" customHeight="1">
      <c r="A1338" s="1" t="s">
        <v>38</v>
      </c>
      <c r="B1338" s="1" t="s">
        <v>27314</v>
      </c>
      <c r="C1338" s="1" t="s">
        <v>27315</v>
      </c>
      <c r="D1338" s="8" t="s">
        <v>27316</v>
      </c>
      <c r="E1338" s="1" t="s">
        <v>27317</v>
      </c>
      <c r="F1338" s="6" t="s">
        <v>27318</v>
      </c>
      <c r="G1338" s="7" t="str">
        <f>IFERROR(__xludf.DUMMYFUNCTION("GOOGLETRANSLATE(C1338, ""en"", ""cs"")"),"Už nejste v tomto skupinovém chatu")</f>
        <v>Už nejste v tomto skupinovém chatu</v>
      </c>
      <c r="H1338" s="7" t="str">
        <f>IFERROR(__xludf.DUMMYFUNCTION("GOOGLETRANSLATE(C1338, ""en"", ""da"")"),"Du er ikke længere i denne gruppe chat")</f>
        <v>Du er ikke længere i denne gruppe chat</v>
      </c>
      <c r="I1338" s="1" t="s">
        <v>27319</v>
      </c>
      <c r="J1338" s="6" t="s">
        <v>132</v>
      </c>
      <c r="K1338" s="1" t="s">
        <v>27320</v>
      </c>
      <c r="L1338" s="7" t="str">
        <f>IFERROR(__xludf.DUMMYFUNCTION("GOOGLETRANSLATE(C1338, ""en"", ""fi"")"),"Et ole enää tässä ryhmässä chat")</f>
        <v>Et ole enää tässä ryhmässä chat</v>
      </c>
      <c r="M1338" s="1" t="s">
        <v>27321</v>
      </c>
      <c r="N1338" s="6" t="s">
        <v>27322</v>
      </c>
      <c r="O1338" s="6" t="s">
        <v>132</v>
      </c>
      <c r="P1338" s="1" t="s">
        <v>27323</v>
      </c>
      <c r="Q1338" s="7" t="str">
        <f>IFERROR(__xludf.DUMMYFUNCTION("GOOGLETRANSLATE(C1338, ""en"", ""in"")"),"Anda tidak lagi dalam obrolan grup ini")</f>
        <v>Anda tidak lagi dalam obrolan grup ini</v>
      </c>
      <c r="R1338" s="1" t="s">
        <v>27324</v>
      </c>
      <c r="S1338" s="6" t="s">
        <v>132</v>
      </c>
      <c r="T1338" s="1" t="s">
        <v>27325</v>
      </c>
      <c r="U1338" s="7" t="str">
        <f>IFERROR(__xludf.DUMMYFUNCTION("GOOGLETRANSLATE(C1338, ""en"", ""ko"")"),"당신은 더 이상이 그룹 채팅이 아닙니다")</f>
        <v>당신은 더 이상이 그룹 채팅이 아닙니다</v>
      </c>
      <c r="V1338" s="7" t="str">
        <f>IFERROR(__xludf.DUMMYFUNCTION("GOOGLETRANSLATE(C1338, ""en"", ""ms"")"),"Anda tidak lagi dalam sembang kumpulan ini")</f>
        <v>Anda tidak lagi dalam sembang kumpulan ini</v>
      </c>
      <c r="W1338" s="1" t="s">
        <v>27326</v>
      </c>
      <c r="X1338" s="7" t="str">
        <f>IFERROR(__xludf.DUMMYFUNCTION("GOOGLETRANSLATE(C1338, ""en"", ""no"")"),"Du er ikke lenger i denne gruppen Chat")</f>
        <v>Du er ikke lenger i denne gruppen Chat</v>
      </c>
      <c r="Y1338" s="1" t="s">
        <v>27327</v>
      </c>
      <c r="Z1338" s="7" t="str">
        <f>IFERROR(__xludf.DUMMYFUNCTION("GOOGLETRANSLATE(C1338, ""en"", ""pt"")"),"Você não está mais nesse grupo de bate-papo")</f>
        <v>Você não está mais nesse grupo de bate-papo</v>
      </c>
      <c r="AA1338" s="7" t="str">
        <f>IFERROR(__xludf.DUMMYFUNCTION("GOOGLETRANSLATE(C1338, ""en"", ""ro"")"),"Nu mai sunteți în acest grup de chat")</f>
        <v>Nu mai sunteți în acest grup de chat</v>
      </c>
      <c r="AB1338" s="1" t="s">
        <v>27328</v>
      </c>
      <c r="AC1338" s="7" t="str">
        <f>IFERROR(__xludf.DUMMYFUNCTION("GOOGLETRANSLATE(C1338, ""en"", ""sk"")"),"Už nie ste v tejto skupinovej chate")</f>
        <v>Už nie ste v tejto skupinovej chate</v>
      </c>
      <c r="AD1338" s="6" t="s">
        <v>132</v>
      </c>
      <c r="AE1338" s="1" t="s">
        <v>27329</v>
      </c>
      <c r="AF1338" s="7" t="str">
        <f>IFERROR(__xludf.DUMMYFUNCTION("GOOGLETRANSLATE(C1338, ""en"", ""sv"")"),"Du är inte längre i den här gruppen chatt")</f>
        <v>Du är inte längre i den här gruppen chatt</v>
      </c>
      <c r="AG1338" s="6" t="s">
        <v>132</v>
      </c>
      <c r="AH1338" s="7" t="str">
        <f>IFERROR(__xludf.DUMMYFUNCTION("GOOGLETRANSLATE(C1338, ""en"", ""tr"")"),"Artık bu grup sohbetinde değilsin")</f>
        <v>Artık bu grup sohbetinde değilsin</v>
      </c>
      <c r="AI1338" s="6" t="s">
        <v>132</v>
      </c>
      <c r="AJ1338" s="6" t="s">
        <v>132</v>
      </c>
      <c r="AK1338" s="7" t="str">
        <f>IFERROR(__xludf.DUMMYFUNCTION("GOOGLETRANSLATE(C1338, ""en"", ""zh"")"),"你不再在这个群组聊天")</f>
        <v>你不再在这个群组聊天</v>
      </c>
      <c r="AL1338" s="6" t="s">
        <v>132</v>
      </c>
    </row>
    <row r="1339" ht="15.75" hidden="1" customHeight="1">
      <c r="A1339" s="1" t="s">
        <v>38</v>
      </c>
      <c r="B1339" s="1" t="s">
        <v>27330</v>
      </c>
      <c r="C1339" s="1" t="s">
        <v>27331</v>
      </c>
      <c r="D1339" s="7" t="str">
        <f>IFERROR(__xludf.DUMMYFUNCTION("GOOGLETRANSLATE(C1339, ""en"", ""ar"")"),"كولومبيا")</f>
        <v>كولومبيا</v>
      </c>
      <c r="E1339" s="7" t="str">
        <f>IFERROR(__xludf.DUMMYFUNCTION("GOOGLETRANSLATE(C1339, ""en"", ""bg"")"),"Колумбия")</f>
        <v>Колумбия</v>
      </c>
      <c r="F1339" s="6" t="s">
        <v>132</v>
      </c>
      <c r="G1339" s="7" t="str">
        <f>IFERROR(__xludf.DUMMYFUNCTION("GOOGLETRANSLATE(C1339, ""en"", ""cs"")"),"Kolumbie")</f>
        <v>Kolumbie</v>
      </c>
      <c r="H1339" s="7" t="str">
        <f>IFERROR(__xludf.DUMMYFUNCTION("GOOGLETRANSLATE(C1339, ""en"", ""da"")"),"Colombia.")</f>
        <v>Colombia.</v>
      </c>
      <c r="I1339" s="1" t="s">
        <v>27332</v>
      </c>
      <c r="J1339" s="6" t="s">
        <v>132</v>
      </c>
      <c r="K1339" s="1" t="s">
        <v>27331</v>
      </c>
      <c r="L1339" s="7" t="str">
        <f>IFERROR(__xludf.DUMMYFUNCTION("GOOGLETRANSLATE(C1339, ""en"", ""fi"")"),"Kolumbia")</f>
        <v>Kolumbia</v>
      </c>
      <c r="M1339" s="1" t="s">
        <v>27333</v>
      </c>
      <c r="N1339" s="6" t="s">
        <v>132</v>
      </c>
      <c r="O1339" s="6" t="s">
        <v>132</v>
      </c>
      <c r="P1339" s="1" t="s">
        <v>27331</v>
      </c>
      <c r="Q1339" s="7" t="str">
        <f>IFERROR(__xludf.DUMMYFUNCTION("GOOGLETRANSLATE(C1339, ""en"", ""in"")"),"Kolumbia")</f>
        <v>Kolumbia</v>
      </c>
      <c r="R1339" s="7" t="str">
        <f>IFERROR(__xludf.DUMMYFUNCTION("GOOGLETRANSLATE(C1339, ""en"", ""it"")"),"Colombia")</f>
        <v>Colombia</v>
      </c>
      <c r="S1339" s="6" t="s">
        <v>132</v>
      </c>
      <c r="T1339" s="7" t="str">
        <f>IFERROR(__xludf.DUMMYFUNCTION("GOOGLETRANSLATE(C1339, ""en"", ""ja"")"),"コロンビア")</f>
        <v>コロンビア</v>
      </c>
      <c r="U1339" s="7" t="str">
        <f>IFERROR(__xludf.DUMMYFUNCTION("GOOGLETRANSLATE(C1339, ""en"", ""ko"")"),"콜롬비아")</f>
        <v>콜롬비아</v>
      </c>
      <c r="V1339" s="7" t="str">
        <f>IFERROR(__xludf.DUMMYFUNCTION("GOOGLETRANSLATE(C1339, ""en"", ""ms"")"),"Colombia")</f>
        <v>Colombia</v>
      </c>
      <c r="W1339" s="7" t="str">
        <f>IFERROR(__xludf.DUMMYFUNCTION("GOOGLETRANSLATE(C1339, ""en"", ""nl"")"),"Colombia")</f>
        <v>Colombia</v>
      </c>
      <c r="X1339" s="7" t="str">
        <f>IFERROR(__xludf.DUMMYFUNCTION("GOOGLETRANSLATE(C1339, ""en"", ""no"")"),"Colombia.")</f>
        <v>Colombia.</v>
      </c>
      <c r="Y1339" s="7" t="str">
        <f>IFERROR(__xludf.DUMMYFUNCTION("GOOGLETRANSLATE(C1339, ""en"", ""pl"")"),"Kolumbia")</f>
        <v>Kolumbia</v>
      </c>
      <c r="Z1339" s="7" t="str">
        <f>IFERROR(__xludf.DUMMYFUNCTION("GOOGLETRANSLATE(C1339, ""en"", ""pt"")"),"Colômbia")</f>
        <v>Colômbia</v>
      </c>
      <c r="AA1339" s="7" t="str">
        <f>IFERROR(__xludf.DUMMYFUNCTION("GOOGLETRANSLATE(C1339, ""en"", ""ro"")"),"Columbia")</f>
        <v>Columbia</v>
      </c>
      <c r="AB1339" s="1" t="s">
        <v>27334</v>
      </c>
      <c r="AC1339" s="7" t="str">
        <f>IFERROR(__xludf.DUMMYFUNCTION("GOOGLETRANSLATE(C1339, ""en"", ""sk"")"),"Kolumbia")</f>
        <v>Kolumbia</v>
      </c>
      <c r="AD1339" s="6" t="s">
        <v>132</v>
      </c>
      <c r="AE1339" s="1" t="s">
        <v>27335</v>
      </c>
      <c r="AF1339" s="7" t="str">
        <f>IFERROR(__xludf.DUMMYFUNCTION("GOOGLETRANSLATE(C1339, ""en"", ""sv"")"),"Colombia")</f>
        <v>Colombia</v>
      </c>
      <c r="AG1339" s="6" t="s">
        <v>132</v>
      </c>
      <c r="AH1339" s="7" t="str">
        <f>IFERROR(__xludf.DUMMYFUNCTION("GOOGLETRANSLATE(C1339, ""en"", ""tr"")"),"Kolombiya")</f>
        <v>Kolombiya</v>
      </c>
      <c r="AI1339" s="6" t="s">
        <v>132</v>
      </c>
      <c r="AJ1339" s="6" t="s">
        <v>132</v>
      </c>
      <c r="AK1339" s="7" t="str">
        <f>IFERROR(__xludf.DUMMYFUNCTION("GOOGLETRANSLATE(C1339, ""en"", ""zh"")"),"哥伦比亚")</f>
        <v>哥伦比亚</v>
      </c>
      <c r="AL1339" s="6" t="s">
        <v>132</v>
      </c>
    </row>
    <row r="1340" ht="15.75" hidden="1" customHeight="1">
      <c r="A1340" s="1" t="s">
        <v>5830</v>
      </c>
      <c r="B1340" s="1" t="s">
        <v>27336</v>
      </c>
      <c r="C1340" s="12" t="s">
        <v>132</v>
      </c>
      <c r="D1340" s="7" t="str">
        <f>IFERROR(__xludf.DUMMYFUNCTION("GOOGLETRANSLATE(C1340, ""en"", ""ar"")"),"#VALUE!")</f>
        <v>#VALUE!</v>
      </c>
      <c r="E1340" s="7" t="str">
        <f>IFERROR(__xludf.DUMMYFUNCTION("GOOGLETRANSLATE(C1340, ""en"", ""bg"")"),"#VALUE!")</f>
        <v>#VALUE!</v>
      </c>
      <c r="F1340" s="6" t="s">
        <v>132</v>
      </c>
      <c r="G1340" s="7" t="str">
        <f>IFERROR(__xludf.DUMMYFUNCTION("GOOGLETRANSLATE(C1340, ""en"", ""cs"")"),"#VALUE!")</f>
        <v>#VALUE!</v>
      </c>
      <c r="H1340" s="7" t="str">
        <f>IFERROR(__xludf.DUMMYFUNCTION("GOOGLETRANSLATE(C1340, ""en"", ""da"")"),"#VALUE!")</f>
        <v>#VALUE!</v>
      </c>
      <c r="I1340" s="7" t="str">
        <f>IFERROR(__xludf.DUMMYFUNCTION("GOOGLETRANSLATE(C1340, ""en"", ""de"")"),"#VALUE!")</f>
        <v>#VALUE!</v>
      </c>
      <c r="J1340" s="6" t="s">
        <v>132</v>
      </c>
      <c r="K1340" s="7" t="str">
        <f>IFERROR(__xludf.DUMMYFUNCTION("GOOGLETRANSLATE(C1340, ""en"", ""es"")"),"#VALUE!")</f>
        <v>#VALUE!</v>
      </c>
      <c r="L1340" s="7" t="str">
        <f>IFERROR(__xludf.DUMMYFUNCTION("GOOGLETRANSLATE(C1340, ""en"", ""fi"")"),"#VALUE!")</f>
        <v>#VALUE!</v>
      </c>
      <c r="M1340" s="7" t="str">
        <f>IFERROR(__xludf.DUMMYFUNCTION("GOOGLETRANSLATE(C1340, ""en"", ""fr"")"),"#VALUE!")</f>
        <v>#VALUE!</v>
      </c>
      <c r="N1340" s="6" t="s">
        <v>132</v>
      </c>
      <c r="O1340" s="6" t="s">
        <v>132</v>
      </c>
      <c r="P1340" s="7" t="str">
        <f>IFERROR(__xludf.DUMMYFUNCTION("GOOGLETRANSLATE(C1340, ""en"", ""hu"")"),"#VALUE!")</f>
        <v>#VALUE!</v>
      </c>
      <c r="Q1340" s="7" t="str">
        <f>IFERROR(__xludf.DUMMYFUNCTION("GOOGLETRANSLATE(C1340, ""en"", ""in"")"),"#VALUE!")</f>
        <v>#VALUE!</v>
      </c>
      <c r="R1340" s="7" t="str">
        <f>IFERROR(__xludf.DUMMYFUNCTION("GOOGLETRANSLATE(C1340, ""en"", ""it"")"),"#VALUE!")</f>
        <v>#VALUE!</v>
      </c>
      <c r="S1340" s="6" t="s">
        <v>132</v>
      </c>
      <c r="T1340" s="7" t="str">
        <f>IFERROR(__xludf.DUMMYFUNCTION("GOOGLETRANSLATE(C1340, ""en"", ""ja"")"),"#VALUE!")</f>
        <v>#VALUE!</v>
      </c>
      <c r="U1340" s="7" t="str">
        <f>IFERROR(__xludf.DUMMYFUNCTION("GOOGLETRANSLATE(C1340, ""en"", ""ko"")"),"#VALUE!")</f>
        <v>#VALUE!</v>
      </c>
      <c r="V1340" s="7" t="str">
        <f>IFERROR(__xludf.DUMMYFUNCTION("GOOGLETRANSLATE(C1340, ""en"", ""ms"")"),"#VALUE!")</f>
        <v>#VALUE!</v>
      </c>
      <c r="W1340" s="7" t="str">
        <f>IFERROR(__xludf.DUMMYFUNCTION("GOOGLETRANSLATE(C1340, ""en"", ""nl"")"),"#VALUE!")</f>
        <v>#VALUE!</v>
      </c>
      <c r="X1340" s="7" t="str">
        <f>IFERROR(__xludf.DUMMYFUNCTION("GOOGLETRANSLATE(C1340, ""en"", ""no"")"),"#VALUE!")</f>
        <v>#VALUE!</v>
      </c>
      <c r="Y1340" s="7" t="str">
        <f>IFERROR(__xludf.DUMMYFUNCTION("GOOGLETRANSLATE(C1340, ""en"", ""pl"")"),"#VALUE!")</f>
        <v>#VALUE!</v>
      </c>
      <c r="Z1340" s="7" t="str">
        <f>IFERROR(__xludf.DUMMYFUNCTION("GOOGLETRANSLATE(C1340, ""en"", ""pt"")"),"#VALUE!")</f>
        <v>#VALUE!</v>
      </c>
      <c r="AA1340" s="7" t="str">
        <f>IFERROR(__xludf.DUMMYFUNCTION("GOOGLETRANSLATE(C1340, ""en"", ""ro"")"),"#VALUE!")</f>
        <v>#VALUE!</v>
      </c>
      <c r="AB1340" s="7" t="str">
        <f>IFERROR(__xludf.DUMMYFUNCTION("GOOGLETRANSLATE(C1340, ""en"", ""ru"")"),"#VALUE!")</f>
        <v>#VALUE!</v>
      </c>
      <c r="AC1340" s="7" t="str">
        <f>IFERROR(__xludf.DUMMYFUNCTION("GOOGLETRANSLATE(C1340, ""en"", ""sk"")"),"#VALUE!")</f>
        <v>#VALUE!</v>
      </c>
      <c r="AD1340" s="6" t="s">
        <v>132</v>
      </c>
      <c r="AE1340" s="7" t="str">
        <f>IFERROR(__xludf.DUMMYFUNCTION("GOOGLETRANSLATE(C1340, ""en"", ""sr"")"),"#VALUE!")</f>
        <v>#VALUE!</v>
      </c>
      <c r="AF1340" s="7" t="str">
        <f>IFERROR(__xludf.DUMMYFUNCTION("GOOGLETRANSLATE(C1340, ""en"", ""sv"")"),"#VALUE!")</f>
        <v>#VALUE!</v>
      </c>
      <c r="AG1340" s="6" t="s">
        <v>132</v>
      </c>
      <c r="AH1340" s="7" t="str">
        <f>IFERROR(__xludf.DUMMYFUNCTION("GOOGLETRANSLATE(C1340, ""en"", ""tr"")"),"#VALUE!")</f>
        <v>#VALUE!</v>
      </c>
      <c r="AI1340" s="6" t="s">
        <v>132</v>
      </c>
      <c r="AJ1340" s="6" t="s">
        <v>132</v>
      </c>
      <c r="AK1340" s="7" t="str">
        <f>IFERROR(__xludf.DUMMYFUNCTION("GOOGLETRANSLATE(C1340, ""en"", ""zh"")"),"#VALUE!")</f>
        <v>#VALUE!</v>
      </c>
      <c r="AL1340" s="6" t="s">
        <v>13037</v>
      </c>
    </row>
    <row r="1341" ht="15.75" customHeight="1">
      <c r="A1341" s="1" t="s">
        <v>127</v>
      </c>
      <c r="B1341" s="1" t="s">
        <v>27337</v>
      </c>
      <c r="C1341" s="1" t="s">
        <v>27338</v>
      </c>
      <c r="D1341" s="8" t="s">
        <v>27339</v>
      </c>
      <c r="E1341" s="1" t="s">
        <v>27340</v>
      </c>
      <c r="F1341" s="6" t="s">
        <v>132</v>
      </c>
      <c r="G1341" s="1" t="s">
        <v>27341</v>
      </c>
      <c r="H1341" s="1" t="s">
        <v>27342</v>
      </c>
      <c r="I1341" s="1" t="s">
        <v>27343</v>
      </c>
      <c r="J1341" s="6" t="s">
        <v>27344</v>
      </c>
      <c r="K1341" s="1" t="s">
        <v>27345</v>
      </c>
      <c r="L1341" s="1" t="s">
        <v>27346</v>
      </c>
      <c r="M1341" s="1" t="s">
        <v>27347</v>
      </c>
      <c r="N1341" s="6" t="s">
        <v>132</v>
      </c>
      <c r="O1341" s="6" t="s">
        <v>27348</v>
      </c>
      <c r="P1341" s="1" t="s">
        <v>27349</v>
      </c>
      <c r="Q1341" s="1" t="s">
        <v>27350</v>
      </c>
      <c r="R1341" s="1" t="s">
        <v>27351</v>
      </c>
      <c r="S1341" s="10" t="s">
        <v>27352</v>
      </c>
      <c r="T1341" s="1" t="s">
        <v>27353</v>
      </c>
      <c r="U1341" s="1" t="s">
        <v>27354</v>
      </c>
      <c r="V1341" s="1" t="s">
        <v>27355</v>
      </c>
      <c r="W1341" s="1" t="s">
        <v>27356</v>
      </c>
      <c r="X1341" s="1" t="s">
        <v>27357</v>
      </c>
      <c r="Y1341" s="1" t="s">
        <v>27358</v>
      </c>
      <c r="Z1341" s="1" t="s">
        <v>27359</v>
      </c>
      <c r="AA1341" s="1" t="s">
        <v>27360</v>
      </c>
      <c r="AB1341" s="1" t="s">
        <v>27361</v>
      </c>
      <c r="AC1341" s="1" t="s">
        <v>27362</v>
      </c>
      <c r="AD1341" s="6" t="s">
        <v>27363</v>
      </c>
      <c r="AE1341" s="1" t="s">
        <v>27364</v>
      </c>
      <c r="AF1341" s="1" t="s">
        <v>27365</v>
      </c>
      <c r="AG1341" s="6" t="s">
        <v>27366</v>
      </c>
      <c r="AH1341" s="1" t="s">
        <v>27367</v>
      </c>
      <c r="AI1341" s="6" t="s">
        <v>132</v>
      </c>
      <c r="AJ1341" s="6" t="s">
        <v>27368</v>
      </c>
      <c r="AK1341" s="1" t="s">
        <v>27369</v>
      </c>
      <c r="AL1341" s="6" t="s">
        <v>132</v>
      </c>
    </row>
    <row r="1342" ht="15.75" hidden="1" customHeight="1">
      <c r="A1342" s="1" t="s">
        <v>38</v>
      </c>
      <c r="B1342" s="1" t="s">
        <v>27370</v>
      </c>
      <c r="C1342" s="1" t="s">
        <v>27371</v>
      </c>
      <c r="D1342" s="8" t="s">
        <v>27372</v>
      </c>
      <c r="E1342" s="1" t="s">
        <v>27373</v>
      </c>
      <c r="F1342" s="6" t="s">
        <v>27374</v>
      </c>
      <c r="G1342" s="7" t="str">
        <f>IFERROR(__xludf.DUMMYFUNCTION("GOOGLETRANSLATE(C1342, ""en"", ""cs"")"),"Vaše ID chatu BAHA bude:")</f>
        <v>Vaše ID chatu BAHA bude:</v>
      </c>
      <c r="H1342" s="7" t="str">
        <f>IFERROR(__xludf.DUMMYFUNCTION("GOOGLETRANSLATE(C1342, ""en"", ""da"")"),"Dit Baha Chat ID vil være:")</f>
        <v>Dit Baha Chat ID vil være:</v>
      </c>
      <c r="I1342" s="1" t="s">
        <v>27375</v>
      </c>
      <c r="J1342" s="6" t="s">
        <v>132</v>
      </c>
      <c r="K1342" s="1" t="s">
        <v>27376</v>
      </c>
      <c r="L1342" s="7" t="str">
        <f>IFERROR(__xludf.DUMMYFUNCTION("GOOGLETRANSLATE(C1342, ""en"", ""fi"")"),"Baha Chat-tunnuksesi on:")</f>
        <v>Baha Chat-tunnuksesi on:</v>
      </c>
      <c r="M1342" s="1" t="s">
        <v>5941</v>
      </c>
      <c r="N1342" s="6" t="s">
        <v>27377</v>
      </c>
      <c r="O1342" s="6" t="s">
        <v>132</v>
      </c>
      <c r="P1342" s="1" t="s">
        <v>27378</v>
      </c>
      <c r="Q1342" s="9" t="s">
        <v>27379</v>
      </c>
      <c r="R1342" s="1" t="s">
        <v>27377</v>
      </c>
      <c r="S1342" s="6" t="s">
        <v>132</v>
      </c>
      <c r="T1342" s="1" t="s">
        <v>27379</v>
      </c>
      <c r="U1342" s="1" t="s">
        <v>27379</v>
      </c>
      <c r="V1342" s="7" t="str">
        <f>IFERROR(__xludf.DUMMYFUNCTION("GOOGLETRANSLATE(C1342, ""en"", ""ms"")"),"ID Chat Baha anda akan:")</f>
        <v>ID Chat Baha anda akan:</v>
      </c>
      <c r="W1342" s="1" t="s">
        <v>27380</v>
      </c>
      <c r="X1342" s="7" t="str">
        <f>IFERROR(__xludf.DUMMYFUNCTION("GOOGLETRANSLATE(C1342, ""en"", ""no"")"),"Baha-chat-IDen din vil være:")</f>
        <v>Baha-chat-IDen din vil være:</v>
      </c>
      <c r="Y1342" s="1" t="s">
        <v>27379</v>
      </c>
      <c r="Z1342" s="1" t="s">
        <v>27377</v>
      </c>
      <c r="AA1342" s="7" t="str">
        <f>IFERROR(__xludf.DUMMYFUNCTION("GOOGLETRANSLATE(C1342, ""en"", ""ro"")"),"ID-ul dvs. de chat Baha va fi:")</f>
        <v>ID-ul dvs. de chat Baha va fi:</v>
      </c>
      <c r="AB1342" s="1" t="s">
        <v>27379</v>
      </c>
      <c r="AC1342" s="1" t="s">
        <v>27379</v>
      </c>
      <c r="AD1342" s="6" t="s">
        <v>132</v>
      </c>
      <c r="AE1342" s="1" t="s">
        <v>27381</v>
      </c>
      <c r="AF1342" s="1" t="s">
        <v>27375</v>
      </c>
      <c r="AG1342" s="6" t="s">
        <v>132</v>
      </c>
      <c r="AH1342" s="7" t="str">
        <f>IFERROR(__xludf.DUMMYFUNCTION("GOOGLETRANSLATE(C1342, ""en"", ""tr"")"),"BAHA Sohbet Kimliğiniz:")</f>
        <v>BAHA Sohbet Kimliğiniz:</v>
      </c>
      <c r="AI1342" s="6" t="s">
        <v>27379</v>
      </c>
      <c r="AJ1342" s="6" t="s">
        <v>27377</v>
      </c>
      <c r="AK1342" s="7" t="str">
        <f>IFERROR(__xludf.DUMMYFUNCTION("GOOGLETRANSLATE(C1342, ""en"", ""zh"")"),"您的巴哈聊天ID将是：")</f>
        <v>您的巴哈聊天ID将是：</v>
      </c>
      <c r="AL1342" s="6" t="s">
        <v>27379</v>
      </c>
    </row>
    <row r="1343" ht="15.75" hidden="1" customHeight="1">
      <c r="A1343" s="1" t="s">
        <v>38</v>
      </c>
      <c r="B1343" s="1" t="s">
        <v>27382</v>
      </c>
      <c r="C1343" s="1" t="s">
        <v>27383</v>
      </c>
      <c r="D1343" s="8" t="s">
        <v>27384</v>
      </c>
      <c r="E1343" s="1" t="s">
        <v>27385</v>
      </c>
      <c r="F1343" s="6" t="s">
        <v>27386</v>
      </c>
      <c r="G1343" s="7" t="str">
        <f>IFERROR(__xludf.DUMMYFUNCTION("GOOGLETRANSLATE(C1343, ""en"", ""cs"")"),"Odebrat veřejný klíč OpenPGP")</f>
        <v>Odebrat veřejný klíč OpenPGP</v>
      </c>
      <c r="H1343" s="7" t="str">
        <f>IFERROR(__xludf.DUMMYFUNCTION("GOOGLETRANSLATE(C1343, ""en"", ""da"")"),"Fjern OpenPGP Public Key")</f>
        <v>Fjern OpenPGP Public Key</v>
      </c>
      <c r="I1343" s="1" t="s">
        <v>27387</v>
      </c>
      <c r="J1343" s="6" t="s">
        <v>132</v>
      </c>
      <c r="K1343" s="1" t="s">
        <v>27388</v>
      </c>
      <c r="L1343" s="7" t="str">
        <f>IFERROR(__xludf.DUMMYFUNCTION("GOOGLETRANSLATE(C1343, ""en"", ""fi"")"),"Poista OPENPGP Public Key")</f>
        <v>Poista OPENPGP Public Key</v>
      </c>
      <c r="M1343" s="1" t="s">
        <v>27389</v>
      </c>
      <c r="N1343" s="6" t="s">
        <v>27390</v>
      </c>
      <c r="O1343" s="6" t="s">
        <v>132</v>
      </c>
      <c r="P1343" s="1" t="s">
        <v>27391</v>
      </c>
      <c r="Q1343" s="7" t="str">
        <f>IFERROR(__xludf.DUMMYFUNCTION("GOOGLETRANSLATE(C1343, ""en"", ""in"")"),"Hapus kunci publik OpenPGP")</f>
        <v>Hapus kunci publik OpenPGP</v>
      </c>
      <c r="R1343" s="1" t="s">
        <v>27392</v>
      </c>
      <c r="S1343" s="6" t="s">
        <v>132</v>
      </c>
      <c r="T1343" s="1" t="s">
        <v>27393</v>
      </c>
      <c r="U1343" s="7" t="str">
        <f>IFERROR(__xludf.DUMMYFUNCTION("GOOGLETRANSLATE(C1343, ""en"", ""ko"")"),"OpenPGP 공개 키를 제거하십시오")</f>
        <v>OpenPGP 공개 키를 제거하십시오</v>
      </c>
      <c r="V1343" s="7" t="str">
        <f>IFERROR(__xludf.DUMMYFUNCTION("GOOGLETRANSLATE(C1343, ""en"", ""ms"")"),"Keluarkan kunci awam OpenPGP")</f>
        <v>Keluarkan kunci awam OpenPGP</v>
      </c>
      <c r="W1343" s="1" t="s">
        <v>27394</v>
      </c>
      <c r="X1343" s="7" t="str">
        <f>IFERROR(__xludf.DUMMYFUNCTION("GOOGLETRANSLATE(C1343, ""en"", ""no"")"),"Fjern OpenPGP Public Key")</f>
        <v>Fjern OpenPGP Public Key</v>
      </c>
      <c r="Y1343" s="1" t="s">
        <v>27395</v>
      </c>
      <c r="Z1343" s="1" t="s">
        <v>27396</v>
      </c>
      <c r="AA1343" s="7" t="str">
        <f>IFERROR(__xludf.DUMMYFUNCTION("GOOGLETRANSLATE(C1343, ""en"", ""ro"")"),"Eliminați cheia publică OpenPGP")</f>
        <v>Eliminați cheia publică OpenPGP</v>
      </c>
      <c r="AB1343" s="1" t="s">
        <v>27397</v>
      </c>
      <c r="AC1343" s="7" t="str">
        <f>IFERROR(__xludf.DUMMYFUNCTION("GOOGLETRANSLATE(C1343, ""en"", ""sk"")"),"Odstrániť Verejný kľúč OpenPGP")</f>
        <v>Odstrániť Verejný kľúč OpenPGP</v>
      </c>
      <c r="AD1343" s="6" t="s">
        <v>132</v>
      </c>
      <c r="AE1343" s="1" t="s">
        <v>27398</v>
      </c>
      <c r="AF1343" s="1" t="s">
        <v>27399</v>
      </c>
      <c r="AG1343" s="6" t="s">
        <v>132</v>
      </c>
      <c r="AH1343" s="7" t="str">
        <f>IFERROR(__xludf.DUMMYFUNCTION("GOOGLETRANSLATE(C1343, ""en"", ""tr"")"),"OpenPGP ortak anahtarını kaldırın")</f>
        <v>OpenPGP ortak anahtarını kaldırın</v>
      </c>
      <c r="AI1343" s="6" t="s">
        <v>27400</v>
      </c>
      <c r="AJ1343" s="6" t="s">
        <v>132</v>
      </c>
      <c r="AK1343" s="7" t="str">
        <f>IFERROR(__xludf.DUMMYFUNCTION("GOOGLETRANSLATE(C1343, ""en"", ""zh"")"),"删除OpenPGP公钥")</f>
        <v>删除OpenPGP公钥</v>
      </c>
      <c r="AL1343" s="6" t="s">
        <v>27401</v>
      </c>
    </row>
    <row r="1344" ht="15.75" customHeight="1">
      <c r="A1344" s="1" t="s">
        <v>127</v>
      </c>
      <c r="B1344" s="1" t="s">
        <v>27402</v>
      </c>
      <c r="C1344" s="1" t="s">
        <v>27403</v>
      </c>
      <c r="D1344" s="8" t="s">
        <v>3334</v>
      </c>
      <c r="E1344" s="1" t="s">
        <v>27404</v>
      </c>
      <c r="F1344" s="6" t="s">
        <v>132</v>
      </c>
      <c r="G1344" s="1" t="s">
        <v>27405</v>
      </c>
      <c r="H1344" s="1" t="s">
        <v>27406</v>
      </c>
      <c r="I1344" s="1" t="s">
        <v>27407</v>
      </c>
      <c r="J1344" s="6" t="s">
        <v>27408</v>
      </c>
      <c r="K1344" s="1" t="s">
        <v>27409</v>
      </c>
      <c r="L1344" s="1" t="s">
        <v>27410</v>
      </c>
      <c r="M1344" s="1" t="s">
        <v>27411</v>
      </c>
      <c r="N1344" s="6" t="s">
        <v>132</v>
      </c>
      <c r="O1344" s="6" t="s">
        <v>27412</v>
      </c>
      <c r="P1344" s="1" t="s">
        <v>3932</v>
      </c>
      <c r="Q1344" s="1" t="s">
        <v>3342</v>
      </c>
      <c r="R1344" s="1" t="s">
        <v>3343</v>
      </c>
      <c r="S1344" s="10" t="s">
        <v>27413</v>
      </c>
      <c r="T1344" s="1" t="s">
        <v>27414</v>
      </c>
      <c r="U1344" s="1" t="s">
        <v>3935</v>
      </c>
      <c r="V1344" s="1" t="s">
        <v>3342</v>
      </c>
      <c r="W1344" s="1" t="s">
        <v>3346</v>
      </c>
      <c r="X1344" s="1" t="s">
        <v>27415</v>
      </c>
      <c r="Y1344" s="1" t="s">
        <v>27416</v>
      </c>
      <c r="Z1344" s="1" t="s">
        <v>3938</v>
      </c>
      <c r="AA1344" s="1" t="s">
        <v>27417</v>
      </c>
      <c r="AB1344" s="1" t="s">
        <v>3349</v>
      </c>
      <c r="AC1344" s="1" t="s">
        <v>3350</v>
      </c>
      <c r="AD1344" s="6" t="s">
        <v>27418</v>
      </c>
      <c r="AE1344" s="1" t="s">
        <v>27419</v>
      </c>
      <c r="AF1344" s="1" t="s">
        <v>27420</v>
      </c>
      <c r="AG1344" s="6" t="s">
        <v>27421</v>
      </c>
      <c r="AH1344" s="1" t="s">
        <v>27422</v>
      </c>
      <c r="AI1344" s="6" t="s">
        <v>132</v>
      </c>
      <c r="AJ1344" s="6" t="s">
        <v>27423</v>
      </c>
      <c r="AK1344" s="1" t="s">
        <v>27424</v>
      </c>
      <c r="AL1344" s="6" t="s">
        <v>27425</v>
      </c>
    </row>
    <row r="1345" ht="15.75" customHeight="1">
      <c r="A1345" s="1" t="s">
        <v>127</v>
      </c>
      <c r="B1345" s="1" t="s">
        <v>27426</v>
      </c>
      <c r="C1345" s="1" t="s">
        <v>4836</v>
      </c>
      <c r="D1345" s="8" t="s">
        <v>27427</v>
      </c>
      <c r="E1345" s="1" t="s">
        <v>4838</v>
      </c>
      <c r="F1345" s="6" t="s">
        <v>132</v>
      </c>
      <c r="G1345" s="1" t="s">
        <v>4839</v>
      </c>
      <c r="H1345" s="1" t="s">
        <v>4836</v>
      </c>
      <c r="I1345" s="1" t="s">
        <v>4836</v>
      </c>
      <c r="J1345" s="6" t="s">
        <v>4840</v>
      </c>
      <c r="K1345" s="1" t="s">
        <v>4841</v>
      </c>
      <c r="L1345" s="1" t="s">
        <v>4842</v>
      </c>
      <c r="M1345" s="1" t="s">
        <v>27428</v>
      </c>
      <c r="N1345" s="6" t="s">
        <v>132</v>
      </c>
      <c r="O1345" s="6" t="s">
        <v>4843</v>
      </c>
      <c r="P1345" s="1" t="s">
        <v>4844</v>
      </c>
      <c r="Q1345" s="1" t="s">
        <v>4845</v>
      </c>
      <c r="R1345" s="1" t="s">
        <v>4846</v>
      </c>
      <c r="S1345" s="10" t="s">
        <v>27429</v>
      </c>
      <c r="T1345" s="1" t="s">
        <v>4848</v>
      </c>
      <c r="U1345" s="1" t="s">
        <v>4849</v>
      </c>
      <c r="V1345" s="1" t="s">
        <v>27430</v>
      </c>
      <c r="W1345" s="1" t="s">
        <v>4850</v>
      </c>
      <c r="X1345" s="1" t="s">
        <v>4851</v>
      </c>
      <c r="Y1345" s="1" t="s">
        <v>4852</v>
      </c>
      <c r="Z1345" s="1" t="s">
        <v>4853</v>
      </c>
      <c r="AA1345" s="1" t="s">
        <v>4854</v>
      </c>
      <c r="AB1345" s="1" t="s">
        <v>4838</v>
      </c>
      <c r="AC1345" s="1" t="s">
        <v>4855</v>
      </c>
      <c r="AD1345" s="6" t="s">
        <v>4856</v>
      </c>
      <c r="AE1345" s="1" t="s">
        <v>4857</v>
      </c>
      <c r="AF1345" s="1" t="s">
        <v>4836</v>
      </c>
      <c r="AG1345" s="6" t="s">
        <v>4858</v>
      </c>
      <c r="AH1345" s="1" t="s">
        <v>4859</v>
      </c>
      <c r="AI1345" s="6" t="s">
        <v>132</v>
      </c>
      <c r="AJ1345" s="6" t="s">
        <v>4860</v>
      </c>
      <c r="AK1345" s="1" t="s">
        <v>4861</v>
      </c>
      <c r="AL1345" s="6" t="s">
        <v>132</v>
      </c>
    </row>
    <row r="1346" ht="15.75" hidden="1" customHeight="1">
      <c r="A1346" s="1" t="s">
        <v>38</v>
      </c>
      <c r="B1346" s="1" t="s">
        <v>27431</v>
      </c>
      <c r="C1346" s="1" t="s">
        <v>27432</v>
      </c>
      <c r="D1346" s="7" t="str">
        <f>IFERROR(__xludf.DUMMYFUNCTION("GOOGLETRANSLATE(C1346, ""en"", ""ar"")"),"الاتصال بالدردشة.")</f>
        <v>الاتصال بالدردشة.</v>
      </c>
      <c r="E1346" s="7" t="str">
        <f>IFERROR(__xludf.DUMMYFUNCTION("GOOGLETRANSLATE(C1346, ""en"", ""bg"")"),"Свързване към чат.")</f>
        <v>Свързване към чат.</v>
      </c>
      <c r="F1346" s="6" t="s">
        <v>132</v>
      </c>
      <c r="G1346" s="7" t="str">
        <f>IFERROR(__xludf.DUMMYFUNCTION("GOOGLETRANSLATE(C1346, ""en"", ""cs"")"),"Připojení k chatu.")</f>
        <v>Připojení k chatu.</v>
      </c>
      <c r="H1346" s="7" t="str">
        <f>IFERROR(__xludf.DUMMYFUNCTION("GOOGLETRANSLATE(C1346, ""en"", ""da"")"),"Tilslutning til chat.")</f>
        <v>Tilslutning til chat.</v>
      </c>
      <c r="I1346" s="1" t="s">
        <v>27433</v>
      </c>
      <c r="J1346" s="6" t="s">
        <v>132</v>
      </c>
      <c r="K1346" s="1" t="s">
        <v>27434</v>
      </c>
      <c r="L1346" s="7" t="str">
        <f>IFERROR(__xludf.DUMMYFUNCTION("GOOGLETRANSLATE(C1346, ""en"", ""fi"")"),"Yhteyden muodostaminen keskusteluun.")</f>
        <v>Yhteyden muodostaminen keskusteluun.</v>
      </c>
      <c r="M1346" s="1" t="s">
        <v>27435</v>
      </c>
      <c r="N1346" s="6" t="s">
        <v>132</v>
      </c>
      <c r="O1346" s="6" t="s">
        <v>132</v>
      </c>
      <c r="P1346" s="1" t="s">
        <v>27436</v>
      </c>
      <c r="Q1346" s="7" t="str">
        <f>IFERROR(__xludf.DUMMYFUNCTION("GOOGLETRANSLATE(C1346, ""en"", ""in"")"),"Menghubungkan ke Obrolan.")</f>
        <v>Menghubungkan ke Obrolan.</v>
      </c>
      <c r="R1346" s="7" t="str">
        <f>IFERROR(__xludf.DUMMYFUNCTION("GOOGLETRANSLATE(C1346, ""en"", ""it"")"),"Connessione alla chat.")</f>
        <v>Connessione alla chat.</v>
      </c>
      <c r="S1346" s="6" t="s">
        <v>132</v>
      </c>
      <c r="T1346" s="7" t="str">
        <f>IFERROR(__xludf.DUMMYFUNCTION("GOOGLETRANSLATE(C1346, ""en"", ""ja"")"),"チャットに接続します。")</f>
        <v>チャットに接続します。</v>
      </c>
      <c r="U1346" s="7" t="str">
        <f>IFERROR(__xludf.DUMMYFUNCTION("GOOGLETRANSLATE(C1346, ""en"", ""ko"")"),"채팅에 연결합니다.")</f>
        <v>채팅에 연결합니다.</v>
      </c>
      <c r="V1346" s="7" t="str">
        <f>IFERROR(__xludf.DUMMYFUNCTION("GOOGLETRANSLATE(C1346, ""en"", ""ms"")"),"Menyambung ke sembang.")</f>
        <v>Menyambung ke sembang.</v>
      </c>
      <c r="W1346" s="7" t="str">
        <f>IFERROR(__xludf.DUMMYFUNCTION("GOOGLETRANSLATE(C1346, ""en"", ""nl"")"),"Verbinding maken met chat.")</f>
        <v>Verbinding maken met chat.</v>
      </c>
      <c r="X1346" s="7" t="str">
        <f>IFERROR(__xludf.DUMMYFUNCTION("GOOGLETRANSLATE(C1346, ""en"", ""no"")"),"Koble til chat.")</f>
        <v>Koble til chat.</v>
      </c>
      <c r="Y1346" s="7" t="str">
        <f>IFERROR(__xludf.DUMMYFUNCTION("GOOGLETRANSLATE(C1346, ""en"", ""pl"")"),"Łączenie do czatu.")</f>
        <v>Łączenie do czatu.</v>
      </c>
      <c r="Z1346" s="7" t="str">
        <f>IFERROR(__xludf.DUMMYFUNCTION("GOOGLETRANSLATE(C1346, ""en"", ""pt"")"),"Conectando-se ao bate-papo.")</f>
        <v>Conectando-se ao bate-papo.</v>
      </c>
      <c r="AA1346" s="7" t="str">
        <f>IFERROR(__xludf.DUMMYFUNCTION("GOOGLETRANSLATE(C1346, ""en"", ""ro"")"),"Conectarea la chat.")</f>
        <v>Conectarea la chat.</v>
      </c>
      <c r="AB1346" s="1" t="s">
        <v>27437</v>
      </c>
      <c r="AC1346" s="7" t="str">
        <f>IFERROR(__xludf.DUMMYFUNCTION("GOOGLETRANSLATE(C1346, ""en"", ""sk"")"),"Pripojenie k chatu.")</f>
        <v>Pripojenie k chatu.</v>
      </c>
      <c r="AD1346" s="6" t="s">
        <v>132</v>
      </c>
      <c r="AE1346" s="1" t="s">
        <v>27438</v>
      </c>
      <c r="AF1346" s="7" t="str">
        <f>IFERROR(__xludf.DUMMYFUNCTION("GOOGLETRANSLATE(C1346, ""en"", ""sv"")"),"Anslutning till chatt.")</f>
        <v>Anslutning till chatt.</v>
      </c>
      <c r="AG1346" s="6" t="s">
        <v>132</v>
      </c>
      <c r="AH1346" s="7" t="str">
        <f>IFERROR(__xludf.DUMMYFUNCTION("GOOGLETRANSLATE(C1346, ""en"", ""tr"")"),"Sohbete bağlanma.")</f>
        <v>Sohbete bağlanma.</v>
      </c>
      <c r="AI1346" s="6" t="s">
        <v>132</v>
      </c>
      <c r="AJ1346" s="6" t="s">
        <v>132</v>
      </c>
      <c r="AK1346" s="7" t="str">
        <f>IFERROR(__xludf.DUMMYFUNCTION("GOOGLETRANSLATE(C1346, ""en"", ""zh"")"),"连接到聊天。")</f>
        <v>连接到聊天。</v>
      </c>
      <c r="AL1346" s="6" t="s">
        <v>132</v>
      </c>
    </row>
    <row r="1347" ht="15.75" hidden="1" customHeight="1">
      <c r="A1347" s="1" t="s">
        <v>38</v>
      </c>
      <c r="B1347" s="13" t="s">
        <v>27439</v>
      </c>
      <c r="C1347" s="1" t="s">
        <v>27440</v>
      </c>
      <c r="D1347" s="7" t="str">
        <f>IFERROR(__xludf.DUMMYFUNCTION("GOOGLETRANSLATE(C1347, ""en"", ""ar"")"),"المحادثات تريد مطابقة قائمة جهات الاتصال الجانبية للخادم مع دفتر العناوين المحلي الخاص بك لإظهار جهات الاتصال الخاصة بك والأسماء الكاملة والألائح والحفر. \ n \ Nconversations سوف تقرأ جهات الاتصال الخاصة بك فقط ومطابقةها محليا دون تحميلها إلى الخادم الخاص"&amp;" بك. \ n \ Nyou سوف الآن يطلب من منح إذن للوصول إلى جهات الاتصال الخاصة بك.")</f>
        <v>المحادثات تريد مطابقة قائمة جهات الاتصال الجانبية للخادم مع دفتر العناوين المحلي الخاص بك لإظهار جهات الاتصال الخاصة بك والأسماء الكاملة والألائح والحفر. \ n \ Nconversations سوف تقرأ جهات الاتصال الخاصة بك فقط ومطابقةها محليا دون تحميلها إلى الخادم الخاص بك. \ n \ Nyou سوف الآن يطلب من منح إذن للوصول إلى جهات الاتصال الخاصة بك.</v>
      </c>
      <c r="E1347" s="1" t="s">
        <v>27441</v>
      </c>
      <c r="F1347" s="6" t="s">
        <v>27442</v>
      </c>
      <c r="G1347" s="7" t="str">
        <f>IFERROR(__xludf.DUMMYFUNCTION("GOOGLETRANSLATE(C1347, ""en"", ""cs"")"),"Konverzace chtějí odpovídat vašemu seznamu kontaktů serveru s místními adresářovými knihy, aby se zobrazily úplné názvy kontaktů a avatary. požádat o udělení povolení k přístupu ke svým kontaktům.")</f>
        <v>Konverzace chtějí odpovídat vašemu seznamu kontaktů serveru s místními adresářovými knihy, aby se zobrazily úplné názvy kontaktů a avatary. požádat o udělení povolení k přístupu ke svým kontaktům.</v>
      </c>
      <c r="H1347" s="13" t="s">
        <v>27443</v>
      </c>
      <c r="I1347" s="1" t="s">
        <v>27444</v>
      </c>
      <c r="J1347" s="6" t="s">
        <v>132</v>
      </c>
      <c r="K1347" s="1" t="s">
        <v>27445</v>
      </c>
      <c r="L1347" s="7" t="str">
        <f>IFERROR(__xludf.DUMMYFUNCTION("GOOGLETRANSLATE(C1347, ""en"", ""fi"")"),"Keskustelut haluavat sovittaa palvelinpuolen yhteystietoluettelosi paikalliseen osoitekirjaan, jotta voit näyttää yhteystietosi täydelliset nimet ja avatarit. pyydetään antamaan lupa käyttää yhteystietoja.")</f>
        <v>Keskustelut haluavat sovittaa palvelinpuolen yhteystietoluettelosi paikalliseen osoitekirjaan, jotta voit näyttää yhteystietosi täydelliset nimet ja avatarit. pyydetään antamaan lupa käyttää yhteystietoja.</v>
      </c>
      <c r="M1347" s="13" t="s">
        <v>27446</v>
      </c>
      <c r="N1347" s="6" t="s">
        <v>27447</v>
      </c>
      <c r="O1347" s="6" t="s">
        <v>132</v>
      </c>
      <c r="P1347" s="1" t="s">
        <v>27448</v>
      </c>
      <c r="Q1347" s="7" t="str">
        <f>IFERROR(__xludf.DUMMYFUNCTION("GOOGLETRANSLATE(C1347, ""en"", ""in"")"),"Percakapan ingin mencocokkan daftar kontak sisi server Anda dengan buku alamat lokal Anda untuk menampilkan nama dan avatar kontak kontak Anda. \ N \ nconversations hanya akan membaca kontak Anda dan mencocokkannya secara lokal tanpa mengunggahnya ke serv"&amp;"er Anda. \ N \ NAnda akan sekarang diminta untuk memberikan izin untuk mengakses kontak Anda.")</f>
        <v>Percakapan ingin mencocokkan daftar kontak sisi server Anda dengan buku alamat lokal Anda untuk menampilkan nama dan avatar kontak kontak Anda. \ N \ nconversations hanya akan membaca kontak Anda dan mencocokkannya secara lokal tanpa mengunggahnya ke server Anda. \ N \ NAnda akan sekarang diminta untuk memberikan izin untuk mengakses kontak Anda.</v>
      </c>
      <c r="R1347" s="1" t="s">
        <v>27449</v>
      </c>
      <c r="S1347" s="6" t="s">
        <v>132</v>
      </c>
      <c r="T1347" s="7" t="str">
        <f>IFERROR(__xludf.DUMMYFUNCTION("GOOGLETRANSLATE(C1347, ""en"", ""ja"")"),"会話はあなたの連絡先の氏名とアバターを表示するためにあなたのサーバーサイドの連絡先リストと一致したいと思っており、あなたの連絡先とアバターを表示したいと思っています。連絡先にアクセスする権限を付与するように求められます。")</f>
        <v>会話はあなたの連絡先の氏名とアバターを表示するためにあなたのサーバーサイドの連絡先リストと一致したいと思っており、あなたの連絡先とアバターを表示したいと思っています。連絡先にアクセスする権限を付与するように求められます。</v>
      </c>
      <c r="U1347" s="7" t="str">
        <f>IFERROR(__xludf.DUMMYFUNCTION("GOOGLETRANSLATE(C1347, ""en"", ""ko"")"),"대화는 서버 측 대화 상대 목록을 로컬 주소록과 일치시켜 주소록의 전체 이름과 아바타를 보여주고 싶습니다. \ n \ nconversations는 귀하의 연락처 만 읽고 서버에 업로드하지 않고도 로컬로 일치합니다. \ n \ n \ n 이제 연락처에 액세스 할 수있는 권한을 부여하도록 요청하십시오.")</f>
        <v>대화는 서버 측 대화 상대 목록을 로컬 주소록과 일치시켜 주소록의 전체 이름과 아바타를 보여주고 싶습니다. \ n \ nconversations는 귀하의 연락처 만 읽고 서버에 업로드하지 않고도 로컬로 일치합니다. \ n \ n \ n 이제 연락처에 액세스 할 수있는 권한을 부여하도록 요청하십시오.</v>
      </c>
      <c r="V1347" s="7" t="str">
        <f>IFERROR(__xludf.DUMMYFUNCTION("GOOGLETRANSLATE(C1347, ""en"", ""ms"")"),"Perbualan ingin memadankan senarai kenalan sisi pelayan anda dengan buku alamat tempatan anda untuk menunjukkan nama dan avatar lengkap anda. \ N \ nConversations hanya akan membaca kenalan anda dan sepadan dengan mereka secara tempatan tanpa memuat naikn"&amp;"ya ke pelayan anda. \ N \ nAnda sekarang Dituntut untuk memberi kebenaran untuk mengakses kenalan anda.")</f>
        <v>Perbualan ingin memadankan senarai kenalan sisi pelayan anda dengan buku alamat tempatan anda untuk menunjukkan nama dan avatar lengkap anda. \ N \ nConversations hanya akan membaca kenalan anda dan sepadan dengan mereka secara tempatan tanpa memuat naiknya ke pelayan anda. \ N \ nAnda sekarang Dituntut untuk memberi kebenaran untuk mengakses kenalan anda.</v>
      </c>
      <c r="W1347" s="7" t="str">
        <f>IFERROR(__xludf.DUMMYFUNCTION("GOOGLETRANSLATE(C1347, ""en"", ""nl"")"),"Gesprekken wil uw Server Side Contact-lijst overeenkomen met uw lokale adresboek om de volledige namen en avatars van uw contacten weer te geven. \ N \ NConversations zal alleen uw contacten lezen en deze lokaal matchen zonder ze naar uw server te uploade"&amp;"n. \ N \ NYou. wordt gevraagd om toestemming te verlenen om toegang te krijgen tot uw contacten.")</f>
        <v>Gesprekken wil uw Server Side Contact-lijst overeenkomen met uw lokale adresboek om de volledige namen en avatars van uw contacten weer te geven. \ N \ NConversations zal alleen uw contacten lezen en deze lokaal matchen zonder ze naar uw server te uploaden. \ N \ NYou. wordt gevraagd om toestemming te verlenen om toegang te krijgen tot uw contacten.</v>
      </c>
      <c r="X1347" s="13" t="s">
        <v>27450</v>
      </c>
      <c r="Y1347" s="1" t="s">
        <v>27451</v>
      </c>
      <c r="Z1347" s="7" t="str">
        <f>IFERROR(__xludf.DUMMYFUNCTION("GOOGLETRANSLATE(C1347, ""en"", ""pt"")"),"As conversas querem corresponder à sua lista de contatos do lado do servidor com o seu catálogo de endereços local para mostrar os nomes completos e avatares de seus contatos. \ N \ NConversations só lerá seus contatos e corresponderá a eles localmente se"&amp;"m carregá-los ao seu servidor. \ N \ n \ n \ n \ n \ nwyou Seja solicitado a conceder permissão para acessar seus contatos.")</f>
        <v>As conversas querem corresponder à sua lista de contatos do lado do servidor com o seu catálogo de endereços local para mostrar os nomes completos e avatares de seus contatos. \ N \ NConversations só lerá seus contatos e corresponderá a eles localmente sem carregá-los ao seu servidor. \ N \ n \ n \ n \ n \ nwyou Seja solicitado a conceder permissão para acessar seus contatos.</v>
      </c>
      <c r="AA1347" s="7" t="str">
        <f>IFERROR(__xludf.DUMMYFUNCTION("GOOGLETRANSLATE(C1347, ""en"", ""ro"")"),"Conversațiile dorește să se potrivească cu lista dvs. de contacte din serverul dvs. cu agenda locală pentru a afișa numele dvs. complet și avatarele dvs. să fie rugați să acorde permisiunea de a accesa contactele dvs.")</f>
        <v>Conversațiile dorește să se potrivească cu lista dvs. de contacte din serverul dvs. cu agenda locală pentru a afișa numele dvs. complet și avatarele dvs. să fie rugați să acorde permisiunea de a accesa contactele dvs.</v>
      </c>
      <c r="AB1347" s="7" t="str">
        <f>IFERROR(__xludf.DUMMYFUNCTION("GOOGLETRANSLATE(C1347, ""en"", ""ru"")"),"Разговоры хотят сопоставить свой список контактов на стороне сервера с помощью своей локальной адресной книги, чтобы показать свои контакты «Полные имена и аватары». \ N \ NConversations будут читать только ваши контакты и соответствовать их локально, не "&amp;"загружая их на свой сервер. \ N \ Nyou сейчас попросить предоставить разрешение на доступ к вашим контактам.")</f>
        <v>Разговоры хотят сопоставить свой список контактов на стороне сервера с помощью своей локальной адресной книги, чтобы показать свои контакты «Полные имена и аватары». \ N \ NConversations будут читать только ваши контакты и соответствовать их локально, не загружая их на свой сервер. \ N \ Nyou сейчас попросить предоставить разрешение на доступ к вашим контактам.</v>
      </c>
      <c r="AC1347" s="7" t="str">
        <f>IFERROR(__xludf.DUMMYFUNCTION("GOOGLETRANSLATE(C1347, ""en"", ""sk"")"),"Konverzácie sa chcú zhodovať so svojím serverom bočným kontaktným zoznamom s miestnym adresárom, aby ste ukázali úplné mená a avatary kontaktov. \ T byť požiadaný o udelenie povolenia na prístup k kontaktom.")</f>
        <v>Konverzácie sa chcú zhodovať so svojím serverom bočným kontaktným zoznamom s miestnym adresárom, aby ste ukázali úplné mená a avatary kontaktov. \ T byť požiadaný o udelenie povolenia na prístup k kontaktom.</v>
      </c>
      <c r="AD1347" s="6" t="s">
        <v>132</v>
      </c>
      <c r="AE1347" s="7" t="str">
        <f>IFERROR(__xludf.DUMMYFUNCTION("GOOGLETRANSLATE(C1347, ""en"", ""sr"")"),"Разговори желе да одговарају вашем листу контаката на страни сервера са локалним адресаром да бисте приказали пуна имена и аватаре. \ Н \ Нццонстионс прочитаће ваше контакте и само их ме подударају без преношења на ваш сервер. \ Н \ НИоу ће сада да их пре"&amp;"носите. Од вас се тражи да одобрите дозволу за приступ вашим контактима.")</f>
        <v>Разговори желе да одговарају вашем листу контаката на страни сервера са локалним адресаром да бисте приказали пуна имена и аватаре. \ Н \ Нццонстионс прочитаће ваше контакте и само их ме подударају без преношења на ваш сервер. \ Н \ НИоу ће сада да их преносите. Од вас се тражи да одобрите дозволу за приступ вашим контактима.</v>
      </c>
      <c r="AF1347" s="7" t="str">
        <f>IFERROR(__xludf.DUMMYFUNCTION("GOOGLETRANSLATE(C1347, ""en"", ""sv"")"),"Samtalet vill matcha din Server Side-kontaktlista med din lokala adressbok för att visa dina kontakter ""fullständiga namn och avatarer. \ N \ Nconversations kommer bara läsa dina kontakter och matcha dem lokalt utan att ladda upp dem till din server. \ N"&amp;" \ Nyou kommer nu bli ombedd att bevilja tillstånd att komma åt dina kontakter.")</f>
        <v>Samtalet vill matcha din Server Side-kontaktlista med din lokala adressbok för att visa dina kontakter "fullständiga namn och avatarer. \ N \ Nconversations kommer bara läsa dina kontakter och matcha dem lokalt utan att ladda upp dem till din server. \ N \ Nyou kommer nu bli ombedd att bevilja tillstånd att komma åt dina kontakter.</v>
      </c>
      <c r="AG1347" s="6" t="s">
        <v>132</v>
      </c>
      <c r="AH1347" s="7" t="str">
        <f>IFERROR(__xludf.DUMMYFUNCTION("GOOGLETRANSLATE(C1347, ""en"", ""tr"")"),"Konuşmalar, kişilerinizin tam adlarınızı ve avatarlarınızı göstermek için yerel adres defterinizle birlikte sunucu tarafı iletişim listenizle eşleştirmek istiyor. \ N \ ngonversations sadece rehberlerinizi okuyacak ve bunları yerel olarak sunucunuza yükle"&amp;"meden eşleştirir. \ N \ nyou şimdi Kişilerinize erişmek için izin vermeniz istenecektir.")</f>
        <v>Konuşmalar, kişilerinizin tam adlarınızı ve avatarlarınızı göstermek için yerel adres defterinizle birlikte sunucu tarafı iletişim listenizle eşleştirmek istiyor. \ N \ ngonversations sadece rehberlerinizi okuyacak ve bunları yerel olarak sunucunuza yüklemeden eşleştirir. \ N \ nyou şimdi Kişilerinize erişmek için izin vermeniz istenecektir.</v>
      </c>
      <c r="AI1347" s="6" t="s">
        <v>132</v>
      </c>
      <c r="AJ1347" s="6" t="s">
        <v>132</v>
      </c>
      <c r="AK1347" s="7" t="str">
        <f>IFERROR(__xludf.DUMMYFUNCTION("GOOGLETRANSLATE(C1347, ""en"", ""zh"")"),"对话希望将您的服务器侧联系人列表与本地地址簿匹配以显示您的联系人的全名和头像。\ n \ nconverations只会读取您的联系人并在本地匹配它们而不将其上传到您的服务器。\ n \ nyou现在将被要求授予访问您的联系人的许可。")</f>
        <v>对话希望将您的服务器侧联系人列表与本地地址簿匹配以显示您的联系人的全名和头像。\ n \ nconverations只会读取您的联系人并在本地匹配它们而不将其上传到您的服务器。\ n \ nyou现在将被要求授予访问您的联系人的许可。</v>
      </c>
      <c r="AL1347" s="6" t="s">
        <v>132</v>
      </c>
    </row>
    <row r="1348" ht="15.75" hidden="1" customHeight="1">
      <c r="A1348" s="1" t="s">
        <v>38</v>
      </c>
      <c r="B1348" s="1" t="s">
        <v>27452</v>
      </c>
      <c r="C1348" s="1" t="s">
        <v>27453</v>
      </c>
      <c r="D1348" s="8" t="s">
        <v>27454</v>
      </c>
      <c r="E1348" s="1" t="s">
        <v>27455</v>
      </c>
      <c r="F1348" s="6" t="s">
        <v>27456</v>
      </c>
      <c r="G1348" s="7" t="str">
        <f>IFERROR(__xludf.DUMMYFUNCTION("GOOGLETRANSLATE(C1348, ""en"", ""cs"")"),"Otevřete webové stránky")</f>
        <v>Otevřete webové stránky</v>
      </c>
      <c r="H1348" s="7" t="str">
        <f>IFERROR(__xludf.DUMMYFUNCTION("GOOGLETRANSLATE(C1348, ""en"", ""da"")"),"Åbn Website")</f>
        <v>Åbn Website</v>
      </c>
      <c r="I1348" s="1" t="s">
        <v>27457</v>
      </c>
      <c r="J1348" s="6" t="s">
        <v>132</v>
      </c>
      <c r="K1348" s="1" t="s">
        <v>27458</v>
      </c>
      <c r="L1348" s="7" t="str">
        <f>IFERROR(__xludf.DUMMYFUNCTION("GOOGLETRANSLATE(C1348, ""en"", ""fi"")"),"Avaa verkkosivusto")</f>
        <v>Avaa verkkosivusto</v>
      </c>
      <c r="M1348" s="1" t="s">
        <v>27459</v>
      </c>
      <c r="N1348" s="6" t="s">
        <v>27460</v>
      </c>
      <c r="O1348" s="6" t="s">
        <v>132</v>
      </c>
      <c r="P1348" s="1" t="s">
        <v>27461</v>
      </c>
      <c r="Q1348" s="7" t="str">
        <f>IFERROR(__xludf.DUMMYFUNCTION("GOOGLETRANSLATE(C1348, ""en"", ""in"")"),"Buka situs web")</f>
        <v>Buka situs web</v>
      </c>
      <c r="R1348" s="1" t="s">
        <v>27462</v>
      </c>
      <c r="S1348" s="6" t="s">
        <v>132</v>
      </c>
      <c r="T1348" s="1" t="s">
        <v>27463</v>
      </c>
      <c r="U1348" s="7" t="str">
        <f>IFERROR(__xludf.DUMMYFUNCTION("GOOGLETRANSLATE(C1348, ""en"", ""ko"")"),"열려있는 웹 사이트")</f>
        <v>열려있는 웹 사이트</v>
      </c>
      <c r="V1348" s="7" t="str">
        <f>IFERROR(__xludf.DUMMYFUNCTION("GOOGLETRANSLATE(C1348, ""en"", ""ms"")"),"Buka Laman Web")</f>
        <v>Buka Laman Web</v>
      </c>
      <c r="W1348" s="1" t="s">
        <v>27464</v>
      </c>
      <c r="X1348" s="7" t="str">
        <f>IFERROR(__xludf.DUMMYFUNCTION("GOOGLETRANSLATE(C1348, ""en"", ""no"")"),"Åpen nettside")</f>
        <v>Åpen nettside</v>
      </c>
      <c r="Y1348" s="1" t="s">
        <v>27465</v>
      </c>
      <c r="Z1348" s="7" t="str">
        <f>IFERROR(__xludf.DUMMYFUNCTION("GOOGLETRANSLATE(C1348, ""en"", ""pt"")"),"Open website")</f>
        <v>Open website</v>
      </c>
      <c r="AA1348" s="7" t="str">
        <f>IFERROR(__xludf.DUMMYFUNCTION("GOOGLETRANSLATE(C1348, ""en"", ""ro"")"),"Website deschis")</f>
        <v>Website deschis</v>
      </c>
      <c r="AB1348" s="1" t="s">
        <v>27466</v>
      </c>
      <c r="AC1348" s="7" t="str">
        <f>IFERROR(__xludf.DUMMYFUNCTION("GOOGLETRANSLATE(C1348, ""en"", ""sk"")"),"Otvorená webová stránka")</f>
        <v>Otvorená webová stránka</v>
      </c>
      <c r="AD1348" s="6" t="s">
        <v>132</v>
      </c>
      <c r="AE1348" s="1" t="s">
        <v>27467</v>
      </c>
      <c r="AF1348" s="7" t="str">
        <f>IFERROR(__xludf.DUMMYFUNCTION("GOOGLETRANSLATE(C1348, ""en"", ""sv"")"),"Öppen webbplats")</f>
        <v>Öppen webbplats</v>
      </c>
      <c r="AG1348" s="6" t="s">
        <v>132</v>
      </c>
      <c r="AH1348" s="7" t="str">
        <f>IFERROR(__xludf.DUMMYFUNCTION("GOOGLETRANSLATE(C1348, ""en"", ""tr"")"),"Web sitesini aç")</f>
        <v>Web sitesini aç</v>
      </c>
      <c r="AI1348" s="6" t="s">
        <v>27468</v>
      </c>
      <c r="AJ1348" s="6" t="s">
        <v>132</v>
      </c>
      <c r="AK1348" s="7" t="str">
        <f>IFERROR(__xludf.DUMMYFUNCTION("GOOGLETRANSLATE(C1348, ""en"", ""zh"")"),"开放网站")</f>
        <v>开放网站</v>
      </c>
      <c r="AL1348" s="6" t="s">
        <v>132</v>
      </c>
    </row>
    <row r="1349" ht="15.75" customHeight="1">
      <c r="A1349" s="1" t="s">
        <v>127</v>
      </c>
      <c r="B1349" s="1" t="s">
        <v>27469</v>
      </c>
      <c r="C1349" s="1" t="s">
        <v>27470</v>
      </c>
      <c r="D1349" s="8" t="s">
        <v>27471</v>
      </c>
      <c r="E1349" s="1" t="s">
        <v>27472</v>
      </c>
      <c r="F1349" s="6" t="s">
        <v>132</v>
      </c>
      <c r="G1349" s="1" t="s">
        <v>27473</v>
      </c>
      <c r="H1349" s="1" t="s">
        <v>27474</v>
      </c>
      <c r="I1349" s="1" t="s">
        <v>27475</v>
      </c>
      <c r="J1349" s="6" t="s">
        <v>27476</v>
      </c>
      <c r="K1349" s="1" t="s">
        <v>27477</v>
      </c>
      <c r="L1349" s="1" t="s">
        <v>27478</v>
      </c>
      <c r="M1349" s="1" t="s">
        <v>27479</v>
      </c>
      <c r="N1349" s="6" t="s">
        <v>132</v>
      </c>
      <c r="O1349" s="6" t="s">
        <v>27480</v>
      </c>
      <c r="P1349" s="1" t="s">
        <v>27481</v>
      </c>
      <c r="Q1349" s="1" t="s">
        <v>27482</v>
      </c>
      <c r="R1349" s="1" t="s">
        <v>27483</v>
      </c>
      <c r="S1349" s="10" t="s">
        <v>27484</v>
      </c>
      <c r="T1349" s="1" t="s">
        <v>27470</v>
      </c>
      <c r="U1349" s="1" t="s">
        <v>27485</v>
      </c>
      <c r="V1349" s="1" t="s">
        <v>27482</v>
      </c>
      <c r="W1349" s="1" t="s">
        <v>27486</v>
      </c>
      <c r="X1349" s="1" t="s">
        <v>27474</v>
      </c>
      <c r="Y1349" s="1" t="s">
        <v>17843</v>
      </c>
      <c r="Z1349" s="1" t="s">
        <v>27487</v>
      </c>
      <c r="AA1349" s="1" t="s">
        <v>27488</v>
      </c>
      <c r="AB1349" s="1" t="s">
        <v>27489</v>
      </c>
      <c r="AC1349" s="1" t="s">
        <v>27490</v>
      </c>
      <c r="AD1349" s="6" t="s">
        <v>27491</v>
      </c>
      <c r="AE1349" s="1" t="s">
        <v>27491</v>
      </c>
      <c r="AF1349" s="1" t="s">
        <v>27492</v>
      </c>
      <c r="AG1349" s="6" t="s">
        <v>27493</v>
      </c>
      <c r="AH1349" s="1" t="s">
        <v>27494</v>
      </c>
      <c r="AI1349" s="6" t="s">
        <v>132</v>
      </c>
      <c r="AJ1349" s="6" t="s">
        <v>27495</v>
      </c>
      <c r="AK1349" s="1" t="s">
        <v>27496</v>
      </c>
      <c r="AL1349" s="6" t="s">
        <v>132</v>
      </c>
    </row>
    <row r="1350" ht="15.75" customHeight="1">
      <c r="A1350" s="1" t="s">
        <v>127</v>
      </c>
      <c r="B1350" s="1" t="s">
        <v>27497</v>
      </c>
      <c r="C1350" s="1" t="s">
        <v>27498</v>
      </c>
      <c r="D1350" s="8" t="s">
        <v>27499</v>
      </c>
      <c r="E1350" s="1" t="s">
        <v>27500</v>
      </c>
      <c r="F1350" s="6" t="s">
        <v>132</v>
      </c>
      <c r="G1350" s="1" t="s">
        <v>27501</v>
      </c>
      <c r="H1350" s="1" t="s">
        <v>27502</v>
      </c>
      <c r="I1350" s="1" t="s">
        <v>27503</v>
      </c>
      <c r="J1350" s="6" t="s">
        <v>27504</v>
      </c>
      <c r="K1350" s="1" t="s">
        <v>27505</v>
      </c>
      <c r="L1350" s="1" t="s">
        <v>27506</v>
      </c>
      <c r="M1350" s="1" t="s">
        <v>27507</v>
      </c>
      <c r="N1350" s="6" t="s">
        <v>132</v>
      </c>
      <c r="O1350" s="6" t="s">
        <v>27508</v>
      </c>
      <c r="P1350" s="1" t="s">
        <v>27509</v>
      </c>
      <c r="Q1350" s="1" t="s">
        <v>27510</v>
      </c>
      <c r="R1350" s="1" t="s">
        <v>27511</v>
      </c>
      <c r="S1350" s="10" t="s">
        <v>27512</v>
      </c>
      <c r="T1350" s="1" t="s">
        <v>27513</v>
      </c>
      <c r="U1350" s="1" t="s">
        <v>27514</v>
      </c>
      <c r="V1350" s="1" t="s">
        <v>27515</v>
      </c>
      <c r="W1350" s="1" t="s">
        <v>27516</v>
      </c>
      <c r="X1350" s="1" t="s">
        <v>27517</v>
      </c>
      <c r="Y1350" s="1" t="s">
        <v>27518</v>
      </c>
      <c r="Z1350" s="1" t="s">
        <v>27519</v>
      </c>
      <c r="AA1350" s="1" t="s">
        <v>27520</v>
      </c>
      <c r="AB1350" s="1" t="s">
        <v>27521</v>
      </c>
      <c r="AC1350" s="1" t="s">
        <v>27522</v>
      </c>
      <c r="AD1350" s="6" t="s">
        <v>27523</v>
      </c>
      <c r="AE1350" s="1" t="s">
        <v>27524</v>
      </c>
      <c r="AF1350" s="1" t="s">
        <v>27525</v>
      </c>
      <c r="AG1350" s="6" t="s">
        <v>27526</v>
      </c>
      <c r="AH1350" s="1" t="s">
        <v>27527</v>
      </c>
      <c r="AI1350" s="6" t="s">
        <v>132</v>
      </c>
      <c r="AJ1350" s="6" t="s">
        <v>27528</v>
      </c>
      <c r="AK1350" s="1" t="s">
        <v>27529</v>
      </c>
      <c r="AL1350" s="6" t="s">
        <v>27530</v>
      </c>
    </row>
    <row r="1351" ht="15.75" customHeight="1">
      <c r="A1351" s="1" t="s">
        <v>127</v>
      </c>
      <c r="B1351" s="1" t="s">
        <v>27531</v>
      </c>
      <c r="C1351" s="1" t="s">
        <v>27532</v>
      </c>
      <c r="D1351" s="8" t="s">
        <v>27533</v>
      </c>
      <c r="E1351" s="1" t="s">
        <v>27534</v>
      </c>
      <c r="F1351" s="6" t="s">
        <v>132</v>
      </c>
      <c r="G1351" s="1" t="s">
        <v>27535</v>
      </c>
      <c r="H1351" s="1" t="s">
        <v>27536</v>
      </c>
      <c r="I1351" s="1" t="s">
        <v>27537</v>
      </c>
      <c r="J1351" s="6" t="s">
        <v>27538</v>
      </c>
      <c r="K1351" s="1" t="s">
        <v>27539</v>
      </c>
      <c r="L1351" s="1" t="s">
        <v>27540</v>
      </c>
      <c r="M1351" s="1" t="s">
        <v>27541</v>
      </c>
      <c r="N1351" s="6" t="s">
        <v>132</v>
      </c>
      <c r="O1351" s="6" t="s">
        <v>748</v>
      </c>
      <c r="P1351" s="1" t="s">
        <v>27542</v>
      </c>
      <c r="Q1351" s="1" t="s">
        <v>750</v>
      </c>
      <c r="R1351" s="1" t="s">
        <v>27543</v>
      </c>
      <c r="S1351" s="10" t="s">
        <v>27544</v>
      </c>
      <c r="T1351" s="1" t="s">
        <v>753</v>
      </c>
      <c r="U1351" s="1" t="s">
        <v>754</v>
      </c>
      <c r="V1351" s="1" t="s">
        <v>755</v>
      </c>
      <c r="W1351" s="1" t="s">
        <v>27545</v>
      </c>
      <c r="X1351" s="1" t="s">
        <v>27546</v>
      </c>
      <c r="Y1351" s="1" t="s">
        <v>27547</v>
      </c>
      <c r="Z1351" s="1" t="s">
        <v>27539</v>
      </c>
      <c r="AA1351" s="1" t="s">
        <v>738</v>
      </c>
      <c r="AB1351" s="1" t="s">
        <v>27548</v>
      </c>
      <c r="AC1351" s="1" t="s">
        <v>27535</v>
      </c>
      <c r="AD1351" s="6" t="s">
        <v>27549</v>
      </c>
      <c r="AE1351" s="1" t="s">
        <v>27550</v>
      </c>
      <c r="AF1351" s="1" t="s">
        <v>742</v>
      </c>
      <c r="AG1351" s="6" t="s">
        <v>760</v>
      </c>
      <c r="AH1351" s="1" t="s">
        <v>27551</v>
      </c>
      <c r="AI1351" s="6" t="s">
        <v>132</v>
      </c>
      <c r="AJ1351" s="6" t="s">
        <v>27552</v>
      </c>
      <c r="AK1351" s="1" t="s">
        <v>763</v>
      </c>
      <c r="AL1351" s="6" t="s">
        <v>764</v>
      </c>
    </row>
    <row r="1352" ht="15.75" hidden="1" customHeight="1">
      <c r="A1352" s="1" t="s">
        <v>38</v>
      </c>
      <c r="B1352" s="1" t="s">
        <v>27553</v>
      </c>
      <c r="C1352" s="1" t="s">
        <v>27554</v>
      </c>
      <c r="D1352" s="8" t="s">
        <v>27555</v>
      </c>
      <c r="E1352" s="1" t="s">
        <v>27556</v>
      </c>
      <c r="F1352" s="6" t="s">
        <v>27557</v>
      </c>
      <c r="G1352" s="7" t="str">
        <f>IFERROR(__xludf.DUMMYFUNCTION("GOOGLETRANSLATE(C1352, ""en"", ""cs"")"),"Nedůvěryhodný")</f>
        <v>Nedůvěryhodný</v>
      </c>
      <c r="H1352" s="7" t="str">
        <f>IFERROR(__xludf.DUMMYFUNCTION("GOOGLETRANSLATE(C1352, ""en"", ""da"")"),"Untrusted.")</f>
        <v>Untrusted.</v>
      </c>
      <c r="I1352" s="1" t="s">
        <v>27558</v>
      </c>
      <c r="J1352" s="6" t="s">
        <v>132</v>
      </c>
      <c r="K1352" s="1" t="s">
        <v>27559</v>
      </c>
      <c r="L1352" s="7" t="str">
        <f>IFERROR(__xludf.DUMMYFUNCTION("GOOGLETRANSLATE(C1352, ""en"", ""fi"")"),"Epäluotettava")</f>
        <v>Epäluotettava</v>
      </c>
      <c r="M1352" s="1" t="s">
        <v>27560</v>
      </c>
      <c r="N1352" s="6" t="s">
        <v>27561</v>
      </c>
      <c r="O1352" s="6" t="s">
        <v>132</v>
      </c>
      <c r="P1352" s="1" t="s">
        <v>27562</v>
      </c>
      <c r="Q1352" s="7" t="str">
        <f>IFERROR(__xludf.DUMMYFUNCTION("GOOGLETRANSLATE(C1352, ""en"", ""in"")"),"Tidak terpercaya")</f>
        <v>Tidak terpercaya</v>
      </c>
      <c r="R1352" s="1" t="s">
        <v>27563</v>
      </c>
      <c r="S1352" s="6" t="s">
        <v>132</v>
      </c>
      <c r="T1352" s="1" t="s">
        <v>27564</v>
      </c>
      <c r="U1352" s="1" t="s">
        <v>27565</v>
      </c>
      <c r="V1352" s="7" t="str">
        <f>IFERROR(__xludf.DUMMYFUNCTION("GOOGLETRANSLATE(C1352, ""en"", ""ms"")"),"Tidak dipercayai.")</f>
        <v>Tidak dipercayai.</v>
      </c>
      <c r="W1352" s="1" t="s">
        <v>27566</v>
      </c>
      <c r="X1352" s="7" t="str">
        <f>IFERROR(__xludf.DUMMYFUNCTION("GOOGLETRANSLATE(C1352, ""en"", ""no"")"),"Untrusted.")</f>
        <v>Untrusted.</v>
      </c>
      <c r="Y1352" s="1" t="s">
        <v>27567</v>
      </c>
      <c r="Z1352" s="7" t="str">
        <f>IFERROR(__xludf.DUMMYFUNCTION("GOOGLETRANSLATE(C1352, ""en"", ""pt"")"),"Não confiável")</f>
        <v>Não confiável</v>
      </c>
      <c r="AA1352" s="7" t="str">
        <f>IFERROR(__xludf.DUMMYFUNCTION("GOOGLETRANSLATE(C1352, ""en"", ""ro"")"),"Nesigur")</f>
        <v>Nesigur</v>
      </c>
      <c r="AB1352" s="1" t="s">
        <v>27568</v>
      </c>
      <c r="AC1352" s="7" t="str">
        <f>IFERROR(__xludf.DUMMYFUNCTION("GOOGLETRANSLATE(C1352, ""en"", ""sk"")"),"Nedôveryhodný")</f>
        <v>Nedôveryhodný</v>
      </c>
      <c r="AD1352" s="6" t="s">
        <v>132</v>
      </c>
      <c r="AE1352" s="1" t="s">
        <v>27569</v>
      </c>
      <c r="AF1352" s="1" t="s">
        <v>27570</v>
      </c>
      <c r="AG1352" s="6" t="s">
        <v>132</v>
      </c>
      <c r="AH1352" s="7" t="str">
        <f>IFERROR(__xludf.DUMMYFUNCTION("GOOGLETRANSLATE(C1352, ""en"", ""tr"")"),"Güvenilmez")</f>
        <v>Güvenilmez</v>
      </c>
      <c r="AI1352" s="6" t="s">
        <v>27571</v>
      </c>
      <c r="AJ1352" s="6" t="s">
        <v>132</v>
      </c>
      <c r="AK1352" s="7" t="str">
        <f>IFERROR(__xludf.DUMMYFUNCTION("GOOGLETRANSLATE(C1352, ""en"", ""zh"")"),"不信任")</f>
        <v>不信任</v>
      </c>
      <c r="AL1352" s="6" t="s">
        <v>27572</v>
      </c>
    </row>
    <row r="1353" ht="15.75" hidden="1" customHeight="1">
      <c r="A1353" s="1" t="s">
        <v>38</v>
      </c>
      <c r="B1353" s="1" t="s">
        <v>27573</v>
      </c>
      <c r="C1353" s="1" t="s">
        <v>27574</v>
      </c>
      <c r="D1353" s="7" t="str">
        <f>IFERROR(__xludf.DUMMYFUNCTION("GOOGLETRANSLATE(C1353, ""en"", ""ar"")"),"متوسطة (360P)")</f>
        <v>متوسطة (360P)</v>
      </c>
      <c r="E1353" s="1" t="s">
        <v>27575</v>
      </c>
      <c r="F1353" s="6" t="s">
        <v>132</v>
      </c>
      <c r="G1353" s="7" t="str">
        <f>IFERROR(__xludf.DUMMYFUNCTION("GOOGLETRANSLATE(C1353, ""en"", ""cs"")"),"Médium (360p)")</f>
        <v>Médium (360p)</v>
      </c>
      <c r="H1353" s="7" t="str">
        <f>IFERROR(__xludf.DUMMYFUNCTION("GOOGLETRANSLATE(C1353, ""en"", ""da"")"),"Medium (360p)")</f>
        <v>Medium (360p)</v>
      </c>
      <c r="I1353" s="1" t="s">
        <v>27576</v>
      </c>
      <c r="J1353" s="6" t="s">
        <v>132</v>
      </c>
      <c r="K1353" s="1" t="s">
        <v>27577</v>
      </c>
      <c r="L1353" s="7" t="str">
        <f>IFERROR(__xludf.DUMMYFUNCTION("GOOGLETRANSLATE(C1353, ""en"", ""fi"")"),"Medium (360p)")</f>
        <v>Medium (360p)</v>
      </c>
      <c r="M1353" s="1" t="s">
        <v>27578</v>
      </c>
      <c r="N1353" s="6" t="s">
        <v>27579</v>
      </c>
      <c r="O1353" s="6" t="s">
        <v>132</v>
      </c>
      <c r="P1353" s="1" t="s">
        <v>27580</v>
      </c>
      <c r="Q1353" s="7" t="str">
        <f>IFERROR(__xludf.DUMMYFUNCTION("GOOGLETRANSLATE(C1353, ""en"", ""in"")"),"Medium (360p)")</f>
        <v>Medium (360p)</v>
      </c>
      <c r="R1353" s="1" t="s">
        <v>27579</v>
      </c>
      <c r="S1353" s="6" t="s">
        <v>132</v>
      </c>
      <c r="T1353" s="7" t="str">
        <f>IFERROR(__xludf.DUMMYFUNCTION("GOOGLETRANSLATE(C1353, ""en"", ""ja"")"),"中（360p）")</f>
        <v>中（360p）</v>
      </c>
      <c r="U1353" s="7" t="str">
        <f>IFERROR(__xludf.DUMMYFUNCTION("GOOGLETRANSLATE(C1353, ""en"", ""ko"")"),"중간 (360P)")</f>
        <v>중간 (360P)</v>
      </c>
      <c r="V1353" s="7" t="str">
        <f>IFERROR(__xludf.DUMMYFUNCTION("GOOGLETRANSLATE(C1353, ""en"", ""ms"")"),"Sederhana (360p)")</f>
        <v>Sederhana (360p)</v>
      </c>
      <c r="W1353" s="1" t="s">
        <v>27581</v>
      </c>
      <c r="X1353" s="7" t="str">
        <f>IFERROR(__xludf.DUMMYFUNCTION("GOOGLETRANSLATE(C1353, ""en"", ""no"")"),"Medium (360P)")</f>
        <v>Medium (360P)</v>
      </c>
      <c r="Y1353" s="1" t="s">
        <v>27582</v>
      </c>
      <c r="Z1353" s="7" t="str">
        <f>IFERROR(__xludf.DUMMYFUNCTION("GOOGLETRANSLATE(C1353, ""en"", ""pt"")"),"Médio (360p)")</f>
        <v>Médio (360p)</v>
      </c>
      <c r="AA1353" s="7" t="str">
        <f>IFERROR(__xludf.DUMMYFUNCTION("GOOGLETRANSLATE(C1353, ""en"", ""ro"")"),"Mediu (360p)")</f>
        <v>Mediu (360p)</v>
      </c>
      <c r="AB1353" s="7" t="str">
        <f>IFERROR(__xludf.DUMMYFUNCTION("GOOGLETRANSLATE(C1353, ""en"", ""ru"")"),"Средний (360 н)")</f>
        <v>Средний (360 н)</v>
      </c>
      <c r="AC1353" s="7" t="str">
        <f>IFERROR(__xludf.DUMMYFUNCTION("GOOGLETRANSLATE(C1353, ""en"", ""sk"")"),"Médium (360P)")</f>
        <v>Médium (360P)</v>
      </c>
      <c r="AD1353" s="6" t="s">
        <v>132</v>
      </c>
      <c r="AE1353" s="7" t="str">
        <f>IFERROR(__xludf.DUMMYFUNCTION("GOOGLETRANSLATE(C1353, ""en"", ""sr"")"),"Средња (360п)")</f>
        <v>Средња (360п)</v>
      </c>
      <c r="AF1353" s="7" t="str">
        <f>IFERROR(__xludf.DUMMYFUNCTION("GOOGLETRANSLATE(C1353, ""en"", ""sv"")"),"Medium (360p)")</f>
        <v>Medium (360p)</v>
      </c>
      <c r="AG1353" s="6" t="s">
        <v>132</v>
      </c>
      <c r="AH1353" s="7" t="str">
        <f>IFERROR(__xludf.DUMMYFUNCTION("GOOGLETRANSLATE(C1353, ""en"", ""tr"")"),"Orta (360p)")</f>
        <v>Orta (360p)</v>
      </c>
      <c r="AI1353" s="6" t="s">
        <v>132</v>
      </c>
      <c r="AJ1353" s="6" t="s">
        <v>132</v>
      </c>
      <c r="AK1353" s="7" t="str">
        <f>IFERROR(__xludf.DUMMYFUNCTION("GOOGLETRANSLATE(C1353, ""en"", ""zh"")"),"媒介（360p）")</f>
        <v>媒介（360p）</v>
      </c>
      <c r="AL1353" s="6" t="s">
        <v>132</v>
      </c>
    </row>
    <row r="1354" ht="15.75" hidden="1" customHeight="1">
      <c r="A1354" s="1" t="s">
        <v>38</v>
      </c>
      <c r="B1354" s="1" t="s">
        <v>27583</v>
      </c>
      <c r="C1354" s="1" t="s">
        <v>27584</v>
      </c>
      <c r="D1354" s="7" t="str">
        <f>IFERROR(__xludf.DUMMYFUNCTION("GOOGLETRANSLATE(C1354, ""en"", ""ar"")"),"مجموعة الدردشة الجماعية")</f>
        <v>مجموعة الدردشة الجماعية</v>
      </c>
      <c r="E1354" s="1" t="s">
        <v>27585</v>
      </c>
      <c r="F1354" s="6" t="s">
        <v>27586</v>
      </c>
      <c r="G1354" s="7" t="str">
        <f>IFERROR(__xludf.DUMMYFUNCTION("GOOGLETRANSLATE(C1354, ""en"", ""cs"")"),"Skupinový název Chat")</f>
        <v>Skupinový název Chat</v>
      </c>
      <c r="H1354" s="7" t="str">
        <f>IFERROR(__xludf.DUMMYFUNCTION("GOOGLETRANSLATE(C1354, ""en"", ""da"")"),"Gruppe chat navn")</f>
        <v>Gruppe chat navn</v>
      </c>
      <c r="I1354" s="1" t="s">
        <v>27587</v>
      </c>
      <c r="J1354" s="6" t="s">
        <v>132</v>
      </c>
      <c r="K1354" s="1" t="s">
        <v>27588</v>
      </c>
      <c r="L1354" s="7" t="str">
        <f>IFERROR(__xludf.DUMMYFUNCTION("GOOGLETRANSLATE(C1354, ""en"", ""fi"")"),"Ryhmäkeskustelu")</f>
        <v>Ryhmäkeskustelu</v>
      </c>
      <c r="M1354" s="1" t="s">
        <v>27589</v>
      </c>
      <c r="N1354" s="6" t="s">
        <v>27590</v>
      </c>
      <c r="O1354" s="6" t="s">
        <v>132</v>
      </c>
      <c r="P1354" s="1" t="s">
        <v>27591</v>
      </c>
      <c r="Q1354" s="7" t="str">
        <f>IFERROR(__xludf.DUMMYFUNCTION("GOOGLETRANSLATE(C1354, ""en"", ""in"")"),"Nama Obrolan Grup")</f>
        <v>Nama Obrolan Grup</v>
      </c>
      <c r="R1354" s="1" t="s">
        <v>27592</v>
      </c>
      <c r="S1354" s="6" t="s">
        <v>132</v>
      </c>
      <c r="T1354" s="7" t="str">
        <f>IFERROR(__xludf.DUMMYFUNCTION("GOOGLETRANSLATE(C1354, ""en"", ""ja"")"),"グループチャット名")</f>
        <v>グループチャット名</v>
      </c>
      <c r="U1354" s="7" t="str">
        <f>IFERROR(__xludf.DUMMYFUNCTION("GOOGLETRANSLATE(C1354, ""en"", ""ko"")"),"그룹 채팅 이름")</f>
        <v>그룹 채팅 이름</v>
      </c>
      <c r="V1354" s="7" t="str">
        <f>IFERROR(__xludf.DUMMYFUNCTION("GOOGLETRANSLATE(C1354, ""en"", ""ms"")"),"Nama sembang kumpulan.")</f>
        <v>Nama sembang kumpulan.</v>
      </c>
      <c r="W1354" s="1" t="s">
        <v>27593</v>
      </c>
      <c r="X1354" s="7" t="str">
        <f>IFERROR(__xludf.DUMMYFUNCTION("GOOGLETRANSLATE(C1354, ""en"", ""no"")"),"GROUP CHAT NAME.")</f>
        <v>GROUP CHAT NAME.</v>
      </c>
      <c r="Y1354" s="1" t="s">
        <v>27594</v>
      </c>
      <c r="Z1354" s="7" t="str">
        <f>IFERROR(__xludf.DUMMYFUNCTION("GOOGLETRANSLATE(C1354, ""en"", ""pt"")"),"Nome do bate-papo do grupo")</f>
        <v>Nome do bate-papo do grupo</v>
      </c>
      <c r="AA1354" s="7" t="str">
        <f>IFERROR(__xludf.DUMMYFUNCTION("GOOGLETRANSLATE(C1354, ""en"", ""ro"")"),"Numele de chat al grupului.")</f>
        <v>Numele de chat al grupului.</v>
      </c>
      <c r="AB1354" s="7" t="str">
        <f>IFERROR(__xludf.DUMMYFUNCTION("GOOGLETRANSLATE(C1354, ""en"", ""ru"")"),"Групповое имя чата")</f>
        <v>Групповое имя чата</v>
      </c>
      <c r="AC1354" s="7" t="str">
        <f>IFERROR(__xludf.DUMMYFUNCTION("GOOGLETRANSLATE(C1354, ""en"", ""sk"")"),"Názov skupiny")</f>
        <v>Názov skupiny</v>
      </c>
      <c r="AD1354" s="6" t="s">
        <v>132</v>
      </c>
      <c r="AE1354" s="1" t="s">
        <v>27595</v>
      </c>
      <c r="AF1354" s="7" t="str">
        <f>IFERROR(__xludf.DUMMYFUNCTION("GOOGLETRANSLATE(C1354, ""en"", ""sv"")"),"Gruppchattnamn")</f>
        <v>Gruppchattnamn</v>
      </c>
      <c r="AG1354" s="6" t="s">
        <v>132</v>
      </c>
      <c r="AH1354" s="7" t="str">
        <f>IFERROR(__xludf.DUMMYFUNCTION("GOOGLETRANSLATE(C1354, ""en"", ""tr"")"),"Grup Sohbet Adı")</f>
        <v>Grup Sohbet Adı</v>
      </c>
      <c r="AI1354" s="6" t="s">
        <v>132</v>
      </c>
      <c r="AJ1354" s="6" t="s">
        <v>132</v>
      </c>
      <c r="AK1354" s="7" t="str">
        <f>IFERROR(__xludf.DUMMYFUNCTION("GOOGLETRANSLATE(C1354, ""en"", ""zh"")"),"小组聊天名称")</f>
        <v>小组聊天名称</v>
      </c>
      <c r="AL1354" s="6" t="s">
        <v>132</v>
      </c>
    </row>
    <row r="1355" ht="15.75" hidden="1" customHeight="1">
      <c r="A1355" s="1" t="s">
        <v>38</v>
      </c>
      <c r="B1355" s="1" t="s">
        <v>27596</v>
      </c>
      <c r="C1355" s="1" t="s">
        <v>27597</v>
      </c>
      <c r="D1355" s="8" t="s">
        <v>27598</v>
      </c>
      <c r="E1355" s="1" t="s">
        <v>27599</v>
      </c>
      <c r="F1355" s="6" t="s">
        <v>27600</v>
      </c>
      <c r="G1355" s="7" t="str">
        <f>IFERROR(__xludf.DUMMYFUNCTION("GOOGLETRANSLATE(C1355, ""en"", ""cs"")"),"Označit jako přečtené")</f>
        <v>Označit jako přečtené</v>
      </c>
      <c r="H1355" s="7" t="str">
        <f>IFERROR(__xludf.DUMMYFUNCTION("GOOGLETRANSLATE(C1355, ""en"", ""da"")"),"Marker som læst")</f>
        <v>Marker som læst</v>
      </c>
      <c r="I1355" s="1" t="s">
        <v>27601</v>
      </c>
      <c r="J1355" s="6" t="s">
        <v>132</v>
      </c>
      <c r="K1355" s="1" t="s">
        <v>27602</v>
      </c>
      <c r="L1355" s="7" t="str">
        <f>IFERROR(__xludf.DUMMYFUNCTION("GOOGLETRANSLATE(C1355, ""en"", ""fi"")"),"Merkitse luetuksi")</f>
        <v>Merkitse luetuksi</v>
      </c>
      <c r="M1355" s="1" t="s">
        <v>27603</v>
      </c>
      <c r="N1355" s="6" t="s">
        <v>27604</v>
      </c>
      <c r="O1355" s="6" t="s">
        <v>132</v>
      </c>
      <c r="P1355" s="1" t="s">
        <v>27605</v>
      </c>
      <c r="Q1355" s="7" t="str">
        <f>IFERROR(__xludf.DUMMYFUNCTION("GOOGLETRANSLATE(C1355, ""en"", ""in"")"),"tandai sebagai membaca")</f>
        <v>tandai sebagai membaca</v>
      </c>
      <c r="R1355" s="1" t="s">
        <v>27606</v>
      </c>
      <c r="S1355" s="6" t="s">
        <v>132</v>
      </c>
      <c r="T1355" s="1" t="s">
        <v>27607</v>
      </c>
      <c r="U1355" s="7" t="str">
        <f>IFERROR(__xludf.DUMMYFUNCTION("GOOGLETRANSLATE(C1355, ""en"", ""ko"")"),"읽은 상태로 표시")</f>
        <v>읽은 상태로 표시</v>
      </c>
      <c r="V1355" s="7" t="str">
        <f>IFERROR(__xludf.DUMMYFUNCTION("GOOGLETRANSLATE(C1355, ""en"", ""ms"")"),"tanda sebagai telah dibaca")</f>
        <v>tanda sebagai telah dibaca</v>
      </c>
      <c r="W1355" s="1" t="s">
        <v>27608</v>
      </c>
      <c r="X1355" s="7" t="str">
        <f>IFERROR(__xludf.DUMMYFUNCTION("GOOGLETRANSLATE(C1355, ""en"", ""no"")"),"Merk som lest")</f>
        <v>Merk som lest</v>
      </c>
      <c r="Y1355" s="1" t="s">
        <v>27609</v>
      </c>
      <c r="Z1355" s="1" t="s">
        <v>27610</v>
      </c>
      <c r="AA1355" s="7" t="str">
        <f>IFERROR(__xludf.DUMMYFUNCTION("GOOGLETRANSLATE(C1355, ""en"", ""ro"")"),"marcheaza ca citit")</f>
        <v>marcheaza ca citit</v>
      </c>
      <c r="AB1355" s="1" t="s">
        <v>2536</v>
      </c>
      <c r="AC1355" s="7" t="str">
        <f>IFERROR(__xludf.DUMMYFUNCTION("GOOGLETRANSLATE(C1355, ""en"", ""sk"")"),"Označiť ako prečítané")</f>
        <v>Označiť ako prečítané</v>
      </c>
      <c r="AD1355" s="6" t="s">
        <v>132</v>
      </c>
      <c r="AE1355" s="1" t="s">
        <v>27611</v>
      </c>
      <c r="AF1355" s="7" t="str">
        <f>IFERROR(__xludf.DUMMYFUNCTION("GOOGLETRANSLATE(C1355, ""en"", ""sv"")"),"markera som läst")</f>
        <v>markera som läst</v>
      </c>
      <c r="AG1355" s="6" t="s">
        <v>132</v>
      </c>
      <c r="AH1355" s="7" t="str">
        <f>IFERROR(__xludf.DUMMYFUNCTION("GOOGLETRANSLATE(C1355, ""en"", ""tr"")"),"Okundu olarak işaretle")</f>
        <v>Okundu olarak işaretle</v>
      </c>
      <c r="AI1355" s="6" t="s">
        <v>132</v>
      </c>
      <c r="AJ1355" s="6" t="s">
        <v>132</v>
      </c>
      <c r="AK1355" s="7" t="str">
        <f>IFERROR(__xludf.DUMMYFUNCTION("GOOGLETRANSLATE(C1355, ""en"", ""zh"")"),"标记为已读")</f>
        <v>标记为已读</v>
      </c>
      <c r="AL1355" s="6" t="s">
        <v>132</v>
      </c>
    </row>
    <row r="1356" ht="15.75" hidden="1" customHeight="1">
      <c r="A1356" s="1" t="s">
        <v>38</v>
      </c>
      <c r="B1356" s="1" t="s">
        <v>27612</v>
      </c>
      <c r="C1356" s="1" t="s">
        <v>27613</v>
      </c>
      <c r="D1356" s="7" t="str">
        <f>IFERROR(__xludf.DUMMYFUNCTION("GOOGLETRANSLATE(C1356, ""en"", ""ar"")"),"أخبار")</f>
        <v>أخبار</v>
      </c>
      <c r="E1356" s="7" t="str">
        <f>IFERROR(__xludf.DUMMYFUNCTION("GOOGLETRANSLATE(C1356, ""en"", ""bg"")"),"Новини")</f>
        <v>Новини</v>
      </c>
      <c r="F1356" s="6" t="s">
        <v>132</v>
      </c>
      <c r="G1356" s="7" t="str">
        <f>IFERROR(__xludf.DUMMYFUNCTION("GOOGLETRANSLATE(C1356, ""en"", ""cs"")"),"Zprávy")</f>
        <v>Zprávy</v>
      </c>
      <c r="H1356" s="7" t="str">
        <f>IFERROR(__xludf.DUMMYFUNCTION("GOOGLETRANSLATE(C1356, ""en"", ""da"")"),"Nyheder")</f>
        <v>Nyheder</v>
      </c>
      <c r="I1356" s="1" t="s">
        <v>1643</v>
      </c>
      <c r="J1356" s="6" t="s">
        <v>132</v>
      </c>
      <c r="K1356" s="1" t="s">
        <v>27614</v>
      </c>
      <c r="L1356" s="7" t="str">
        <f>IFERROR(__xludf.DUMMYFUNCTION("GOOGLETRANSLATE(C1356, ""en"", ""fi"")"),"Uutiset")</f>
        <v>Uutiset</v>
      </c>
      <c r="M1356" s="1" t="s">
        <v>27615</v>
      </c>
      <c r="N1356" s="6" t="s">
        <v>132</v>
      </c>
      <c r="O1356" s="6" t="s">
        <v>132</v>
      </c>
      <c r="P1356" s="1" t="s">
        <v>27616</v>
      </c>
      <c r="Q1356" s="7" t="str">
        <f>IFERROR(__xludf.DUMMYFUNCTION("GOOGLETRANSLATE(C1356, ""en"", ""in"")"),"Berita")</f>
        <v>Berita</v>
      </c>
      <c r="R1356" s="7" t="str">
        <f>IFERROR(__xludf.DUMMYFUNCTION("GOOGLETRANSLATE(C1356, ""en"", ""it"")"),"notizia")</f>
        <v>notizia</v>
      </c>
      <c r="S1356" s="6" t="s">
        <v>132</v>
      </c>
      <c r="T1356" s="7" t="str">
        <f>IFERROR(__xludf.DUMMYFUNCTION("GOOGLETRANSLATE(C1356, ""en"", ""ja"")"),"ニュース")</f>
        <v>ニュース</v>
      </c>
      <c r="U1356" s="7" t="str">
        <f>IFERROR(__xludf.DUMMYFUNCTION("GOOGLETRANSLATE(C1356, ""en"", ""ko"")"),"뉴스")</f>
        <v>뉴스</v>
      </c>
      <c r="V1356" s="7" t="str">
        <f>IFERROR(__xludf.DUMMYFUNCTION("GOOGLETRANSLATE(C1356, ""en"", ""ms"")"),"Berita")</f>
        <v>Berita</v>
      </c>
      <c r="W1356" s="7" t="str">
        <f>IFERROR(__xludf.DUMMYFUNCTION("GOOGLETRANSLATE(C1356, ""en"", ""nl"")"),"Nieuws")</f>
        <v>Nieuws</v>
      </c>
      <c r="X1356" s="7" t="str">
        <f>IFERROR(__xludf.DUMMYFUNCTION("GOOGLETRANSLATE(C1356, ""en"", ""no"")"),"Nyheter")</f>
        <v>Nyheter</v>
      </c>
      <c r="Y1356" s="7" t="str">
        <f>IFERROR(__xludf.DUMMYFUNCTION("GOOGLETRANSLATE(C1356, ""en"", ""pl"")"),"Aktualności")</f>
        <v>Aktualności</v>
      </c>
      <c r="Z1356" s="7" t="str">
        <f>IFERROR(__xludf.DUMMYFUNCTION("GOOGLETRANSLATE(C1356, ""en"", ""pt"")"),"Notícias")</f>
        <v>Notícias</v>
      </c>
      <c r="AA1356" s="7" t="str">
        <f>IFERROR(__xludf.DUMMYFUNCTION("GOOGLETRANSLATE(C1356, ""en"", ""ro"")"),"Știri")</f>
        <v>Știri</v>
      </c>
      <c r="AB1356" s="1" t="s">
        <v>27617</v>
      </c>
      <c r="AC1356" s="7" t="str">
        <f>IFERROR(__xludf.DUMMYFUNCTION("GOOGLETRANSLATE(C1356, ""en"", ""sk"")"),"Správa")</f>
        <v>Správa</v>
      </c>
      <c r="AD1356" s="6" t="s">
        <v>132</v>
      </c>
      <c r="AE1356" s="1" t="s">
        <v>27618</v>
      </c>
      <c r="AF1356" s="7" t="str">
        <f>IFERROR(__xludf.DUMMYFUNCTION("GOOGLETRANSLATE(C1356, ""en"", ""sv"")"),"Nyheter")</f>
        <v>Nyheter</v>
      </c>
      <c r="AG1356" s="6" t="s">
        <v>132</v>
      </c>
      <c r="AH1356" s="7" t="str">
        <f>IFERROR(__xludf.DUMMYFUNCTION("GOOGLETRANSLATE(C1356, ""en"", ""tr"")"),"Haberler")</f>
        <v>Haberler</v>
      </c>
      <c r="AI1356" s="6" t="s">
        <v>132</v>
      </c>
      <c r="AJ1356" s="6" t="s">
        <v>132</v>
      </c>
      <c r="AK1356" s="7" t="str">
        <f>IFERROR(__xludf.DUMMYFUNCTION("GOOGLETRANSLATE(C1356, ""en"", ""zh"")"),"消息")</f>
        <v>消息</v>
      </c>
      <c r="AL1356" s="6" t="s">
        <v>132</v>
      </c>
    </row>
    <row r="1357" ht="15.75" customHeight="1">
      <c r="A1357" s="1" t="s">
        <v>127</v>
      </c>
      <c r="B1357" s="1" t="s">
        <v>27619</v>
      </c>
      <c r="C1357" s="1" t="s">
        <v>27620</v>
      </c>
      <c r="D1357" s="8" t="s">
        <v>27621</v>
      </c>
      <c r="E1357" s="1" t="s">
        <v>27622</v>
      </c>
      <c r="F1357" s="6" t="s">
        <v>132</v>
      </c>
      <c r="G1357" s="1" t="s">
        <v>27623</v>
      </c>
      <c r="H1357" s="1" t="s">
        <v>27624</v>
      </c>
      <c r="I1357" s="1" t="s">
        <v>10373</v>
      </c>
      <c r="J1357" s="6" t="s">
        <v>27625</v>
      </c>
      <c r="K1357" s="1" t="s">
        <v>27626</v>
      </c>
      <c r="L1357" s="1" t="s">
        <v>27627</v>
      </c>
      <c r="M1357" s="1" t="s">
        <v>27628</v>
      </c>
      <c r="N1357" s="6" t="s">
        <v>132</v>
      </c>
      <c r="O1357" s="6" t="s">
        <v>27629</v>
      </c>
      <c r="P1357" s="1" t="s">
        <v>27630</v>
      </c>
      <c r="Q1357" s="1" t="s">
        <v>27631</v>
      </c>
      <c r="R1357" s="1" t="s">
        <v>27632</v>
      </c>
      <c r="S1357" s="10" t="s">
        <v>10382</v>
      </c>
      <c r="T1357" s="1" t="s">
        <v>27633</v>
      </c>
      <c r="U1357" s="1" t="s">
        <v>27634</v>
      </c>
      <c r="V1357" s="1" t="s">
        <v>27631</v>
      </c>
      <c r="W1357" s="1" t="s">
        <v>27635</v>
      </c>
      <c r="X1357" s="1" t="s">
        <v>27636</v>
      </c>
      <c r="Y1357" s="1" t="s">
        <v>1255</v>
      </c>
      <c r="Z1357" s="1" t="s">
        <v>27637</v>
      </c>
      <c r="AA1357" s="1" t="s">
        <v>27638</v>
      </c>
      <c r="AB1357" s="1" t="s">
        <v>1258</v>
      </c>
      <c r="AC1357" s="1" t="s">
        <v>27639</v>
      </c>
      <c r="AD1357" s="6" t="s">
        <v>27640</v>
      </c>
      <c r="AE1357" s="1" t="s">
        <v>27641</v>
      </c>
      <c r="AF1357" s="1" t="s">
        <v>27642</v>
      </c>
      <c r="AG1357" s="6" t="s">
        <v>27643</v>
      </c>
      <c r="AH1357" s="1" t="s">
        <v>27644</v>
      </c>
      <c r="AI1357" s="6" t="s">
        <v>132</v>
      </c>
      <c r="AJ1357" s="6" t="s">
        <v>27645</v>
      </c>
      <c r="AK1357" s="1" t="s">
        <v>10394</v>
      </c>
      <c r="AL1357" s="6" t="s">
        <v>132</v>
      </c>
    </row>
    <row r="1358" ht="15.75" hidden="1" customHeight="1">
      <c r="A1358" s="1" t="s">
        <v>38</v>
      </c>
      <c r="B1358" s="1" t="s">
        <v>27646</v>
      </c>
      <c r="C1358" s="1" t="s">
        <v>27647</v>
      </c>
      <c r="D1358" s="7" t="str">
        <f>IFERROR(__xludf.DUMMYFUNCTION("GOOGLETRANSLATE(C1358, ""en"", ""ar"")"),"بوتان")</f>
        <v>بوتان</v>
      </c>
      <c r="E1358" s="7" t="str">
        <f>IFERROR(__xludf.DUMMYFUNCTION("GOOGLETRANSLATE(C1358, ""en"", ""bg"")"),"Бхутан")</f>
        <v>Бхутан</v>
      </c>
      <c r="F1358" s="6" t="s">
        <v>132</v>
      </c>
      <c r="G1358" s="7" t="str">
        <f>IFERROR(__xludf.DUMMYFUNCTION("GOOGLETRANSLATE(C1358, ""en"", ""cs"")"),"Bhútán")</f>
        <v>Bhútán</v>
      </c>
      <c r="H1358" s="7" t="str">
        <f>IFERROR(__xludf.DUMMYFUNCTION("GOOGLETRANSLATE(C1358, ""en"", ""da"")"),"Bhutan.")</f>
        <v>Bhutan.</v>
      </c>
      <c r="I1358" s="1" t="s">
        <v>27647</v>
      </c>
      <c r="J1358" s="6" t="s">
        <v>132</v>
      </c>
      <c r="K1358" s="1" t="s">
        <v>27648</v>
      </c>
      <c r="L1358" s="7" t="str">
        <f>IFERROR(__xludf.DUMMYFUNCTION("GOOGLETRANSLATE(C1358, ""en"", ""fi"")"),"Bhutan")</f>
        <v>Bhutan</v>
      </c>
      <c r="M1358" s="1" t="s">
        <v>27649</v>
      </c>
      <c r="N1358" s="6" t="s">
        <v>132</v>
      </c>
      <c r="O1358" s="6" t="s">
        <v>132</v>
      </c>
      <c r="P1358" s="1" t="s">
        <v>27647</v>
      </c>
      <c r="Q1358" s="7" t="str">
        <f>IFERROR(__xludf.DUMMYFUNCTION("GOOGLETRANSLATE(C1358, ""en"", ""in"")"),"Bhutan.")</f>
        <v>Bhutan.</v>
      </c>
      <c r="R1358" s="7" t="str">
        <f>IFERROR(__xludf.DUMMYFUNCTION("GOOGLETRANSLATE(C1358, ""en"", ""it"")"),"Bhutan.")</f>
        <v>Bhutan.</v>
      </c>
      <c r="S1358" s="6" t="s">
        <v>132</v>
      </c>
      <c r="T1358" s="7" t="str">
        <f>IFERROR(__xludf.DUMMYFUNCTION("GOOGLETRANSLATE(C1358, ""en"", ""ja"")"),"ブータン")</f>
        <v>ブータン</v>
      </c>
      <c r="U1358" s="7" t="str">
        <f>IFERROR(__xludf.DUMMYFUNCTION("GOOGLETRANSLATE(C1358, ""en"", ""ko"")"),"부탄")</f>
        <v>부탄</v>
      </c>
      <c r="V1358" s="7" t="str">
        <f>IFERROR(__xludf.DUMMYFUNCTION("GOOGLETRANSLATE(C1358, ""en"", ""ms"")"),"Bhutan")</f>
        <v>Bhutan</v>
      </c>
      <c r="W1358" s="7" t="str">
        <f>IFERROR(__xludf.DUMMYFUNCTION("GOOGLETRANSLATE(C1358, ""en"", ""nl"")"),"Bhutan")</f>
        <v>Bhutan</v>
      </c>
      <c r="X1358" s="7" t="str">
        <f>IFERROR(__xludf.DUMMYFUNCTION("GOOGLETRANSLATE(C1358, ""en"", ""no"")"),"Bhutan.")</f>
        <v>Bhutan.</v>
      </c>
      <c r="Y1358" s="7" t="str">
        <f>IFERROR(__xludf.DUMMYFUNCTION("GOOGLETRANSLATE(C1358, ""en"", ""pl"")"),"Bhutan.")</f>
        <v>Bhutan.</v>
      </c>
      <c r="Z1358" s="7" t="str">
        <f>IFERROR(__xludf.DUMMYFUNCTION("GOOGLETRANSLATE(C1358, ""en"", ""pt"")"),"Butão")</f>
        <v>Butão</v>
      </c>
      <c r="AA1358" s="7" t="str">
        <f>IFERROR(__xludf.DUMMYFUNCTION("GOOGLETRANSLATE(C1358, ""en"", ""ro"")"),"Bhutan.")</f>
        <v>Bhutan.</v>
      </c>
      <c r="AB1358" s="1" t="s">
        <v>27650</v>
      </c>
      <c r="AC1358" s="7" t="str">
        <f>IFERROR(__xludf.DUMMYFUNCTION("GOOGLETRANSLATE(C1358, ""en"", ""sk"")"),"Bhután")</f>
        <v>Bhután</v>
      </c>
      <c r="AD1358" s="6" t="s">
        <v>132</v>
      </c>
      <c r="AE1358" s="1" t="s">
        <v>27651</v>
      </c>
      <c r="AF1358" s="7" t="str">
        <f>IFERROR(__xludf.DUMMYFUNCTION("GOOGLETRANSLATE(C1358, ""en"", ""sv"")"),"Bhutan")</f>
        <v>Bhutan</v>
      </c>
      <c r="AG1358" s="6" t="s">
        <v>132</v>
      </c>
      <c r="AH1358" s="7" t="str">
        <f>IFERROR(__xludf.DUMMYFUNCTION("GOOGLETRANSLATE(C1358, ""en"", ""tr"")"),"Butan")</f>
        <v>Butan</v>
      </c>
      <c r="AI1358" s="6" t="s">
        <v>132</v>
      </c>
      <c r="AJ1358" s="6" t="s">
        <v>132</v>
      </c>
      <c r="AK1358" s="7" t="str">
        <f>IFERROR(__xludf.DUMMYFUNCTION("GOOGLETRANSLATE(C1358, ""en"", ""zh"")"),"不丹")</f>
        <v>不丹</v>
      </c>
      <c r="AL1358" s="6" t="s">
        <v>132</v>
      </c>
    </row>
    <row r="1359" ht="15.75" hidden="1" customHeight="1">
      <c r="A1359" s="1" t="s">
        <v>38</v>
      </c>
      <c r="B1359" s="1" t="s">
        <v>27652</v>
      </c>
      <c r="C1359" s="1" t="s">
        <v>27653</v>
      </c>
      <c r="D1359" s="7" t="str">
        <f>IFERROR(__xludf.DUMMYFUNCTION("GOOGLETRANSLATE(C1359, ""en"", ""ar"")"),"كتم إعلامات المستخدم")</f>
        <v>كتم إعلامات المستخدم</v>
      </c>
      <c r="E1359" s="7" t="str">
        <f>IFERROR(__xludf.DUMMYFUNCTION("GOOGLETRANSLATE(C1359, ""en"", ""bg"")"),"Безжизнения потребителски уведомления")</f>
        <v>Безжизнения потребителски уведомления</v>
      </c>
      <c r="F1359" s="6" t="s">
        <v>132</v>
      </c>
      <c r="G1359" s="7" t="str">
        <f>IFERROR(__xludf.DUMMYFUNCTION("GOOGLETRANSLATE(C1359, ""en"", ""cs"")"),"Ztlumení uživatelských oznámení")</f>
        <v>Ztlumení uživatelských oznámení</v>
      </c>
      <c r="H1359" s="7" t="str">
        <f>IFERROR(__xludf.DUMMYFUNCTION("GOOGLETRANSLATE(C1359, ""en"", ""da"")"),"Mute Brugermeddelelser")</f>
        <v>Mute Brugermeddelelser</v>
      </c>
      <c r="I1359" s="1" t="s">
        <v>27654</v>
      </c>
      <c r="J1359" s="6" t="s">
        <v>132</v>
      </c>
      <c r="K1359" s="1" t="s">
        <v>27655</v>
      </c>
      <c r="L1359" s="7" t="str">
        <f>IFERROR(__xludf.DUMMYFUNCTION("GOOGLETRANSLATE(C1359, ""en"", ""fi"")"),"Mykistää käyttäjäilmoitukset")</f>
        <v>Mykistää käyttäjäilmoitukset</v>
      </c>
      <c r="M1359" s="1" t="s">
        <v>27656</v>
      </c>
      <c r="N1359" s="6" t="s">
        <v>132</v>
      </c>
      <c r="O1359" s="6" t="s">
        <v>132</v>
      </c>
      <c r="P1359" s="1" t="s">
        <v>27657</v>
      </c>
      <c r="Q1359" s="7" t="str">
        <f>IFERROR(__xludf.DUMMYFUNCTION("GOOGLETRANSLATE(C1359, ""en"", ""in"")"),"Notifikasi pengguna bisu.")</f>
        <v>Notifikasi pengguna bisu.</v>
      </c>
      <c r="R1359" s="13" t="s">
        <v>27658</v>
      </c>
      <c r="S1359" s="6" t="s">
        <v>132</v>
      </c>
      <c r="T1359" s="7" t="str">
        <f>IFERROR(__xludf.DUMMYFUNCTION("GOOGLETRANSLATE(C1359, ""en"", ""ja"")"),"ユーザー通知ミュート")</f>
        <v>ユーザー通知ミュート</v>
      </c>
      <c r="U1359" s="7" t="str">
        <f>IFERROR(__xludf.DUMMYFUNCTION("GOOGLETRANSLATE(C1359, ""en"", ""ko"")"),"사용자 알림 음소거")</f>
        <v>사용자 알림 음소거</v>
      </c>
      <c r="V1359" s="7" t="str">
        <f>IFERROR(__xludf.DUMMYFUNCTION("GOOGLETRANSLATE(C1359, ""en"", ""ms"")"),"Pemberitahuan pengguna MUTE.")</f>
        <v>Pemberitahuan pengguna MUTE.</v>
      </c>
      <c r="W1359" s="7" t="str">
        <f>IFERROR(__xludf.DUMMYFUNCTION("GOOGLETRANSLATE(C1359, ""en"", ""nl"")"),"Dempen gebruikersmeldingen")</f>
        <v>Dempen gebruikersmeldingen</v>
      </c>
      <c r="X1359" s="7" t="str">
        <f>IFERROR(__xludf.DUMMYFUNCTION("GOOGLETRANSLATE(C1359, ""en"", ""no"")"),"Mute brukervarsler")</f>
        <v>Mute brukervarsler</v>
      </c>
      <c r="Y1359" s="7" t="str">
        <f>IFERROR(__xludf.DUMMYFUNCTION("GOOGLETRANSLATE(C1359, ""en"", ""pl"")"),"Powiadomienia użytkownika wyciszenia")</f>
        <v>Powiadomienia użytkownika wyciszenia</v>
      </c>
      <c r="Z1359" s="7" t="str">
        <f>IFERROR(__xludf.DUMMYFUNCTION("GOOGLETRANSLATE(C1359, ""en"", ""pt"")"),"Notificações do usuário mudo")</f>
        <v>Notificações do usuário mudo</v>
      </c>
      <c r="AA1359" s="7" t="str">
        <f>IFERROR(__xludf.DUMMYFUNCTION("GOOGLETRANSLATE(C1359, ""en"", ""ro"")"),"Notificări ale utilizatorilor mute")</f>
        <v>Notificări ale utilizatorilor mute</v>
      </c>
      <c r="AB1359" s="1" t="s">
        <v>27659</v>
      </c>
      <c r="AC1359" s="7" t="str">
        <f>IFERROR(__xludf.DUMMYFUNCTION("GOOGLETRANSLATE(C1359, ""en"", ""sk"")"),"MUTE UPOZORNENIE POUŽÍVATEĽA")</f>
        <v>MUTE UPOZORNENIE POUŽÍVATEĽA</v>
      </c>
      <c r="AD1359" s="6" t="s">
        <v>132</v>
      </c>
      <c r="AE1359" s="1" t="s">
        <v>27660</v>
      </c>
      <c r="AF1359" s="7" t="str">
        <f>IFERROR(__xludf.DUMMYFUNCTION("GOOGLETRANSLATE(C1359, ""en"", ""sv"")"),"Mute User Notifications")</f>
        <v>Mute User Notifications</v>
      </c>
      <c r="AG1359" s="6" t="s">
        <v>132</v>
      </c>
      <c r="AH1359" s="7" t="str">
        <f>IFERROR(__xludf.DUMMYFUNCTION("GOOGLETRANSLATE(C1359, ""en"", ""tr"")"),"Sessiz kullanıcı bildirimleri")</f>
        <v>Sessiz kullanıcı bildirimleri</v>
      </c>
      <c r="AI1359" s="6" t="s">
        <v>132</v>
      </c>
      <c r="AJ1359" s="6" t="s">
        <v>132</v>
      </c>
      <c r="AK1359" s="7" t="str">
        <f>IFERROR(__xludf.DUMMYFUNCTION("GOOGLETRANSLATE(C1359, ""en"", ""zh"")"),"静音用户通知")</f>
        <v>静音用户通知</v>
      </c>
      <c r="AL1359" s="6" t="s">
        <v>132</v>
      </c>
    </row>
    <row r="1360" ht="15.75" customHeight="1">
      <c r="A1360" s="1" t="s">
        <v>127</v>
      </c>
      <c r="B1360" s="1" t="s">
        <v>27661</v>
      </c>
      <c r="C1360" s="1" t="s">
        <v>27662</v>
      </c>
      <c r="D1360" s="8" t="s">
        <v>27663</v>
      </c>
      <c r="E1360" s="1" t="s">
        <v>27664</v>
      </c>
      <c r="F1360" s="6" t="s">
        <v>132</v>
      </c>
      <c r="G1360" s="1" t="s">
        <v>27665</v>
      </c>
      <c r="H1360" s="1" t="s">
        <v>27666</v>
      </c>
      <c r="I1360" s="1" t="s">
        <v>27667</v>
      </c>
      <c r="J1360" s="6" t="s">
        <v>27668</v>
      </c>
      <c r="K1360" s="1" t="s">
        <v>27669</v>
      </c>
      <c r="L1360" s="1" t="s">
        <v>27670</v>
      </c>
      <c r="M1360" s="1" t="s">
        <v>27671</v>
      </c>
      <c r="N1360" s="6" t="s">
        <v>132</v>
      </c>
      <c r="O1360" s="6" t="s">
        <v>27672</v>
      </c>
      <c r="P1360" s="1" t="s">
        <v>27673</v>
      </c>
      <c r="Q1360" s="1" t="s">
        <v>27674</v>
      </c>
      <c r="R1360" s="1" t="s">
        <v>27675</v>
      </c>
      <c r="S1360" s="10" t="s">
        <v>27676</v>
      </c>
      <c r="T1360" s="1" t="s">
        <v>27677</v>
      </c>
      <c r="U1360" s="1" t="s">
        <v>27678</v>
      </c>
      <c r="V1360" s="1" t="s">
        <v>27674</v>
      </c>
      <c r="W1360" s="1" t="s">
        <v>27679</v>
      </c>
      <c r="X1360" s="1" t="s">
        <v>27680</v>
      </c>
      <c r="Y1360" s="1" t="s">
        <v>27681</v>
      </c>
      <c r="Z1360" s="1" t="s">
        <v>27682</v>
      </c>
      <c r="AA1360" s="1" t="s">
        <v>27683</v>
      </c>
      <c r="AB1360" s="1" t="s">
        <v>27684</v>
      </c>
      <c r="AC1360" s="1" t="s">
        <v>27685</v>
      </c>
      <c r="AD1360" s="6" t="s">
        <v>27686</v>
      </c>
      <c r="AE1360" s="1" t="s">
        <v>27687</v>
      </c>
      <c r="AF1360" s="1" t="s">
        <v>27688</v>
      </c>
      <c r="AG1360" s="6" t="s">
        <v>27689</v>
      </c>
      <c r="AH1360" s="1" t="s">
        <v>27690</v>
      </c>
      <c r="AI1360" s="6" t="s">
        <v>132</v>
      </c>
      <c r="AJ1360" s="6" t="s">
        <v>27691</v>
      </c>
      <c r="AK1360" s="1" t="s">
        <v>27692</v>
      </c>
      <c r="AL1360" s="6" t="s">
        <v>132</v>
      </c>
    </row>
    <row r="1361" ht="15.75" customHeight="1">
      <c r="A1361" s="1" t="s">
        <v>127</v>
      </c>
      <c r="B1361" s="1" t="s">
        <v>27693</v>
      </c>
      <c r="C1361" s="1" t="s">
        <v>27694</v>
      </c>
      <c r="D1361" s="8" t="s">
        <v>27695</v>
      </c>
      <c r="E1361" s="1" t="s">
        <v>27696</v>
      </c>
      <c r="F1361" s="6" t="s">
        <v>132</v>
      </c>
      <c r="G1361" s="1" t="s">
        <v>27697</v>
      </c>
      <c r="H1361" s="1" t="s">
        <v>27698</v>
      </c>
      <c r="I1361" s="1" t="s">
        <v>27699</v>
      </c>
      <c r="J1361" s="6" t="s">
        <v>27700</v>
      </c>
      <c r="K1361" s="1" t="s">
        <v>27701</v>
      </c>
      <c r="L1361" s="1" t="s">
        <v>27702</v>
      </c>
      <c r="M1361" s="1" t="s">
        <v>27703</v>
      </c>
      <c r="N1361" s="6" t="s">
        <v>132</v>
      </c>
      <c r="O1361" s="6" t="s">
        <v>27704</v>
      </c>
      <c r="P1361" s="1" t="s">
        <v>27705</v>
      </c>
      <c r="Q1361" s="1" t="s">
        <v>27706</v>
      </c>
      <c r="R1361" s="1" t="s">
        <v>27707</v>
      </c>
      <c r="S1361" s="10" t="s">
        <v>27708</v>
      </c>
      <c r="T1361" s="1" t="s">
        <v>27709</v>
      </c>
      <c r="U1361" s="1" t="s">
        <v>20354</v>
      </c>
      <c r="V1361" s="1" t="s">
        <v>27710</v>
      </c>
      <c r="W1361" s="1" t="s">
        <v>27711</v>
      </c>
      <c r="X1361" s="1" t="s">
        <v>27712</v>
      </c>
      <c r="Y1361" s="1" t="s">
        <v>27713</v>
      </c>
      <c r="Z1361" s="1" t="s">
        <v>27714</v>
      </c>
      <c r="AA1361" s="1" t="s">
        <v>27715</v>
      </c>
      <c r="AB1361" s="1" t="s">
        <v>27716</v>
      </c>
      <c r="AC1361" s="1" t="s">
        <v>27717</v>
      </c>
      <c r="AD1361" s="6" t="s">
        <v>27718</v>
      </c>
      <c r="AE1361" s="1" t="s">
        <v>27719</v>
      </c>
      <c r="AF1361" s="1" t="s">
        <v>27720</v>
      </c>
      <c r="AG1361" s="6" t="s">
        <v>27721</v>
      </c>
      <c r="AH1361" s="1" t="s">
        <v>27722</v>
      </c>
      <c r="AI1361" s="6" t="s">
        <v>132</v>
      </c>
      <c r="AJ1361" s="6" t="s">
        <v>27723</v>
      </c>
      <c r="AK1361" s="1" t="s">
        <v>3984</v>
      </c>
      <c r="AL1361" s="6" t="s">
        <v>132</v>
      </c>
    </row>
    <row r="1362" ht="15.75" customHeight="1">
      <c r="A1362" s="1" t="s">
        <v>127</v>
      </c>
      <c r="B1362" s="1" t="s">
        <v>27724</v>
      </c>
      <c r="C1362" s="1" t="s">
        <v>27725</v>
      </c>
      <c r="D1362" s="8" t="s">
        <v>27726</v>
      </c>
      <c r="E1362" s="1" t="s">
        <v>27727</v>
      </c>
      <c r="F1362" s="6" t="s">
        <v>132</v>
      </c>
      <c r="G1362" s="1" t="s">
        <v>27728</v>
      </c>
      <c r="H1362" s="1" t="s">
        <v>27729</v>
      </c>
      <c r="I1362" s="1" t="s">
        <v>27730</v>
      </c>
      <c r="J1362" s="6" t="s">
        <v>27731</v>
      </c>
      <c r="K1362" s="1" t="s">
        <v>27732</v>
      </c>
      <c r="L1362" s="1" t="s">
        <v>27733</v>
      </c>
      <c r="M1362" s="1" t="s">
        <v>27734</v>
      </c>
      <c r="N1362" s="6" t="s">
        <v>132</v>
      </c>
      <c r="O1362" s="6" t="s">
        <v>27735</v>
      </c>
      <c r="P1362" s="1" t="s">
        <v>27736</v>
      </c>
      <c r="Q1362" s="1" t="s">
        <v>27737</v>
      </c>
      <c r="R1362" s="1" t="s">
        <v>27738</v>
      </c>
      <c r="S1362" s="10" t="s">
        <v>27739</v>
      </c>
      <c r="T1362" s="1" t="s">
        <v>27740</v>
      </c>
      <c r="U1362" s="1" t="s">
        <v>27741</v>
      </c>
      <c r="V1362" s="1" t="s">
        <v>27742</v>
      </c>
      <c r="W1362" s="1" t="s">
        <v>27743</v>
      </c>
      <c r="X1362" s="1" t="s">
        <v>27744</v>
      </c>
      <c r="Y1362" s="1" t="s">
        <v>27745</v>
      </c>
      <c r="Z1362" s="1" t="s">
        <v>27746</v>
      </c>
      <c r="AA1362" s="1" t="s">
        <v>27747</v>
      </c>
      <c r="AB1362" s="1" t="s">
        <v>27748</v>
      </c>
      <c r="AC1362" s="1" t="s">
        <v>27749</v>
      </c>
      <c r="AD1362" s="6" t="s">
        <v>27750</v>
      </c>
      <c r="AE1362" s="1" t="s">
        <v>27751</v>
      </c>
      <c r="AF1362" s="1" t="s">
        <v>27752</v>
      </c>
      <c r="AG1362" s="6" t="s">
        <v>27753</v>
      </c>
      <c r="AH1362" s="1" t="s">
        <v>27754</v>
      </c>
      <c r="AI1362" s="6" t="s">
        <v>132</v>
      </c>
      <c r="AJ1362" s="6" t="s">
        <v>27755</v>
      </c>
      <c r="AK1362" s="1" t="s">
        <v>27756</v>
      </c>
      <c r="AL1362" s="6" t="s">
        <v>27757</v>
      </c>
    </row>
    <row r="1363" ht="15.75" hidden="1" customHeight="1">
      <c r="A1363" s="1" t="s">
        <v>38</v>
      </c>
      <c r="B1363" s="1" t="s">
        <v>27758</v>
      </c>
      <c r="C1363" s="1" t="s">
        <v>27759</v>
      </c>
      <c r="D1363" s="7" t="str">
        <f>IFERROR(__xludf.DUMMYFUNCTION("GOOGLETRANSLATE(C1363, ""en"", ""ar"")"),"الجزائر")</f>
        <v>الجزائر</v>
      </c>
      <c r="E1363" s="7" t="str">
        <f>IFERROR(__xludf.DUMMYFUNCTION("GOOGLETRANSLATE(C1363, ""en"", ""bg"")"),"Алжир")</f>
        <v>Алжир</v>
      </c>
      <c r="F1363" s="6" t="s">
        <v>132</v>
      </c>
      <c r="G1363" s="7" t="str">
        <f>IFERROR(__xludf.DUMMYFUNCTION("GOOGLETRANSLATE(C1363, ""en"", ""cs"")"),"Alžírsko")</f>
        <v>Alžírsko</v>
      </c>
      <c r="H1363" s="7" t="str">
        <f>IFERROR(__xludf.DUMMYFUNCTION("GOOGLETRANSLATE(C1363, ""en"", ""da"")"),"Algeriet.")</f>
        <v>Algeriet.</v>
      </c>
      <c r="I1363" s="1" t="s">
        <v>27760</v>
      </c>
      <c r="J1363" s="6" t="s">
        <v>132</v>
      </c>
      <c r="K1363" s="1" t="s">
        <v>27759</v>
      </c>
      <c r="L1363" s="7" t="str">
        <f>IFERROR(__xludf.DUMMYFUNCTION("GOOGLETRANSLATE(C1363, ""en"", ""fi"")"),"Algeria")</f>
        <v>Algeria</v>
      </c>
      <c r="M1363" s="1" t="s">
        <v>27761</v>
      </c>
      <c r="N1363" s="6" t="s">
        <v>132</v>
      </c>
      <c r="O1363" s="6" t="s">
        <v>132</v>
      </c>
      <c r="P1363" s="1" t="s">
        <v>27759</v>
      </c>
      <c r="Q1363" s="7" t="str">
        <f>IFERROR(__xludf.DUMMYFUNCTION("GOOGLETRANSLATE(C1363, ""en"", ""in"")"),"Aljazair")</f>
        <v>Aljazair</v>
      </c>
      <c r="R1363" s="7" t="str">
        <f>IFERROR(__xludf.DUMMYFUNCTION("GOOGLETRANSLATE(C1363, ""en"", ""it"")"),"Algeria.")</f>
        <v>Algeria.</v>
      </c>
      <c r="S1363" s="6" t="s">
        <v>132</v>
      </c>
      <c r="T1363" s="7" t="str">
        <f>IFERROR(__xludf.DUMMYFUNCTION("GOOGLETRANSLATE(C1363, ""en"", ""ja"")"),"アルジェリア")</f>
        <v>アルジェリア</v>
      </c>
      <c r="U1363" s="7" t="str">
        <f>IFERROR(__xludf.DUMMYFUNCTION("GOOGLETRANSLATE(C1363, ""en"", ""ko"")"),"알제리")</f>
        <v>알제리</v>
      </c>
      <c r="V1363" s="7" t="str">
        <f>IFERROR(__xludf.DUMMYFUNCTION("GOOGLETRANSLATE(C1363, ""en"", ""ms"")"),"Algeria")</f>
        <v>Algeria</v>
      </c>
      <c r="W1363" s="7" t="str">
        <f>IFERROR(__xludf.DUMMYFUNCTION("GOOGLETRANSLATE(C1363, ""en"", ""nl"")"),"Algerije")</f>
        <v>Algerije</v>
      </c>
      <c r="X1363" s="7" t="str">
        <f>IFERROR(__xludf.DUMMYFUNCTION("GOOGLETRANSLATE(C1363, ""en"", ""no"")"),"Algerie")</f>
        <v>Algerie</v>
      </c>
      <c r="Y1363" s="7" t="str">
        <f>IFERROR(__xludf.DUMMYFUNCTION("GOOGLETRANSLATE(C1363, ""en"", ""pl"")"),"Algieria")</f>
        <v>Algieria</v>
      </c>
      <c r="Z1363" s="7" t="str">
        <f>IFERROR(__xludf.DUMMYFUNCTION("GOOGLETRANSLATE(C1363, ""en"", ""pt"")"),"Argélia")</f>
        <v>Argélia</v>
      </c>
      <c r="AA1363" s="7" t="str">
        <f>IFERROR(__xludf.DUMMYFUNCTION("GOOGLETRANSLATE(C1363, ""en"", ""ro"")"),"Algeria.")</f>
        <v>Algeria.</v>
      </c>
      <c r="AB1363" s="1" t="s">
        <v>27762</v>
      </c>
      <c r="AC1363" s="7" t="str">
        <f>IFERROR(__xludf.DUMMYFUNCTION("GOOGLETRANSLATE(C1363, ""en"", ""sk"")"),"Alžírsko")</f>
        <v>Alžírsko</v>
      </c>
      <c r="AD1363" s="6" t="s">
        <v>132</v>
      </c>
      <c r="AE1363" s="1" t="s">
        <v>27763</v>
      </c>
      <c r="AF1363" s="7" t="str">
        <f>IFERROR(__xludf.DUMMYFUNCTION("GOOGLETRANSLATE(C1363, ""en"", ""sv"")"),"Algeriet")</f>
        <v>Algeriet</v>
      </c>
      <c r="AG1363" s="6" t="s">
        <v>132</v>
      </c>
      <c r="AH1363" s="7" t="str">
        <f>IFERROR(__xludf.DUMMYFUNCTION("GOOGLETRANSLATE(C1363, ""en"", ""tr"")"),"Cezayir")</f>
        <v>Cezayir</v>
      </c>
      <c r="AI1363" s="6" t="s">
        <v>132</v>
      </c>
      <c r="AJ1363" s="6" t="s">
        <v>132</v>
      </c>
      <c r="AK1363" s="7" t="str">
        <f>IFERROR(__xludf.DUMMYFUNCTION("GOOGLETRANSLATE(C1363, ""en"", ""zh"")"),"阿尔及利亚")</f>
        <v>阿尔及利亚</v>
      </c>
      <c r="AL1363" s="6" t="s">
        <v>132</v>
      </c>
    </row>
    <row r="1364" ht="15.75" customHeight="1">
      <c r="A1364" s="1" t="s">
        <v>127</v>
      </c>
      <c r="B1364" s="1" t="s">
        <v>27764</v>
      </c>
      <c r="C1364" s="1" t="s">
        <v>27765</v>
      </c>
      <c r="D1364" s="8" t="s">
        <v>27766</v>
      </c>
      <c r="E1364" s="1" t="s">
        <v>27767</v>
      </c>
      <c r="F1364" s="6" t="s">
        <v>132</v>
      </c>
      <c r="G1364" s="1" t="s">
        <v>27768</v>
      </c>
      <c r="H1364" s="1" t="s">
        <v>27769</v>
      </c>
      <c r="I1364" s="1" t="s">
        <v>27770</v>
      </c>
      <c r="J1364" s="6" t="s">
        <v>27771</v>
      </c>
      <c r="K1364" s="1" t="s">
        <v>27772</v>
      </c>
      <c r="L1364" s="1" t="s">
        <v>27773</v>
      </c>
      <c r="M1364" s="1" t="s">
        <v>27774</v>
      </c>
      <c r="N1364" s="6" t="s">
        <v>132</v>
      </c>
      <c r="O1364" s="6" t="s">
        <v>27775</v>
      </c>
      <c r="P1364" s="1" t="s">
        <v>27776</v>
      </c>
      <c r="Q1364" s="1" t="s">
        <v>27777</v>
      </c>
      <c r="R1364" s="1" t="s">
        <v>27778</v>
      </c>
      <c r="S1364" s="10" t="s">
        <v>27779</v>
      </c>
      <c r="T1364" s="1" t="s">
        <v>2808</v>
      </c>
      <c r="U1364" s="1" t="s">
        <v>27780</v>
      </c>
      <c r="V1364" s="1" t="s">
        <v>27777</v>
      </c>
      <c r="W1364" s="1" t="s">
        <v>27781</v>
      </c>
      <c r="X1364" s="1" t="s">
        <v>27782</v>
      </c>
      <c r="Y1364" s="1" t="s">
        <v>27783</v>
      </c>
      <c r="Z1364" s="1" t="s">
        <v>27784</v>
      </c>
      <c r="AA1364" s="1" t="s">
        <v>27785</v>
      </c>
      <c r="AB1364" s="1" t="s">
        <v>27786</v>
      </c>
      <c r="AC1364" s="1" t="s">
        <v>27787</v>
      </c>
      <c r="AD1364" s="6" t="s">
        <v>27788</v>
      </c>
      <c r="AE1364" s="1" t="s">
        <v>27789</v>
      </c>
      <c r="AF1364" s="1" t="s">
        <v>27790</v>
      </c>
      <c r="AG1364" s="6" t="s">
        <v>27791</v>
      </c>
      <c r="AH1364" s="1" t="s">
        <v>27792</v>
      </c>
      <c r="AI1364" s="6" t="s">
        <v>132</v>
      </c>
      <c r="AJ1364" s="6" t="s">
        <v>27793</v>
      </c>
      <c r="AK1364" s="1" t="s">
        <v>27794</v>
      </c>
      <c r="AL1364" s="6" t="s">
        <v>27795</v>
      </c>
    </row>
    <row r="1365" ht="15.75" customHeight="1">
      <c r="A1365" s="1" t="s">
        <v>127</v>
      </c>
      <c r="B1365" s="1" t="s">
        <v>27796</v>
      </c>
      <c r="C1365" s="1" t="s">
        <v>27797</v>
      </c>
      <c r="D1365" s="8" t="s">
        <v>27798</v>
      </c>
      <c r="E1365" s="1" t="s">
        <v>27799</v>
      </c>
      <c r="F1365" s="6" t="s">
        <v>132</v>
      </c>
      <c r="G1365" s="1" t="s">
        <v>27800</v>
      </c>
      <c r="H1365" s="1" t="s">
        <v>27801</v>
      </c>
      <c r="I1365" s="1" t="s">
        <v>27797</v>
      </c>
      <c r="J1365" s="6" t="s">
        <v>27802</v>
      </c>
      <c r="K1365" s="1" t="s">
        <v>27797</v>
      </c>
      <c r="L1365" s="1" t="s">
        <v>27803</v>
      </c>
      <c r="M1365" s="1" t="s">
        <v>27804</v>
      </c>
      <c r="N1365" s="6" t="s">
        <v>132</v>
      </c>
      <c r="O1365" s="6" t="s">
        <v>27805</v>
      </c>
      <c r="P1365" s="1" t="s">
        <v>27806</v>
      </c>
      <c r="Q1365" s="1" t="s">
        <v>27807</v>
      </c>
      <c r="R1365" s="1" t="s">
        <v>27797</v>
      </c>
      <c r="S1365" s="10" t="s">
        <v>27808</v>
      </c>
      <c r="T1365" s="1" t="s">
        <v>23809</v>
      </c>
      <c r="U1365" s="1" t="s">
        <v>27809</v>
      </c>
      <c r="V1365" s="1" t="s">
        <v>27810</v>
      </c>
      <c r="W1365" s="1" t="s">
        <v>27797</v>
      </c>
      <c r="X1365" s="1" t="s">
        <v>27811</v>
      </c>
      <c r="Y1365" s="1" t="s">
        <v>27812</v>
      </c>
      <c r="Z1365" s="1" t="s">
        <v>27813</v>
      </c>
      <c r="AA1365" s="1" t="s">
        <v>27814</v>
      </c>
      <c r="AB1365" s="1" t="s">
        <v>23817</v>
      </c>
      <c r="AC1365" s="1" t="s">
        <v>27815</v>
      </c>
      <c r="AD1365" s="6" t="s">
        <v>27816</v>
      </c>
      <c r="AE1365" s="1" t="s">
        <v>27797</v>
      </c>
      <c r="AF1365" s="1" t="s">
        <v>27817</v>
      </c>
      <c r="AG1365" s="6" t="s">
        <v>27818</v>
      </c>
      <c r="AH1365" s="1" t="s">
        <v>27819</v>
      </c>
      <c r="AI1365" s="6" t="s">
        <v>132</v>
      </c>
      <c r="AJ1365" s="6" t="s">
        <v>27820</v>
      </c>
      <c r="AK1365" s="1" t="s">
        <v>23824</v>
      </c>
      <c r="AL1365" s="6" t="s">
        <v>23825</v>
      </c>
    </row>
    <row r="1366" ht="15.75" hidden="1" customHeight="1">
      <c r="A1366" s="1" t="s">
        <v>38</v>
      </c>
      <c r="B1366" s="1" t="s">
        <v>27821</v>
      </c>
      <c r="C1366" s="1" t="s">
        <v>27822</v>
      </c>
      <c r="D1366" s="7" t="str">
        <f>IFERROR(__xludf.DUMMYFUNCTION("GOOGLETRANSLATE(C1366, ""en"", ""ar"")"),"سانت بيير وميكلون")</f>
        <v>سانت بيير وميكلون</v>
      </c>
      <c r="E1366" s="7" t="str">
        <f>IFERROR(__xludf.DUMMYFUNCTION("GOOGLETRANSLATE(C1366, ""en"", ""bg"")"),"Сен Пиер и Микелон")</f>
        <v>Сен Пиер и Микелон</v>
      </c>
      <c r="F1366" s="6" t="s">
        <v>132</v>
      </c>
      <c r="G1366" s="7" t="str">
        <f>IFERROR(__xludf.DUMMYFUNCTION("GOOGLETRANSLATE(C1366, ""en"", ""cs"")"),"Svatý Pierre a Miquelon")</f>
        <v>Svatý Pierre a Miquelon</v>
      </c>
      <c r="H1366" s="7" t="str">
        <f>IFERROR(__xludf.DUMMYFUNCTION("GOOGLETRANSLATE(C1366, ""en"", ""da"")"),"Saint Pierre og Miquelon")</f>
        <v>Saint Pierre og Miquelon</v>
      </c>
      <c r="I1366" s="1" t="s">
        <v>27823</v>
      </c>
      <c r="J1366" s="6" t="s">
        <v>132</v>
      </c>
      <c r="K1366" s="1" t="s">
        <v>27824</v>
      </c>
      <c r="L1366" s="7" t="str">
        <f>IFERROR(__xludf.DUMMYFUNCTION("GOOGLETRANSLATE(C1366, ""en"", ""fi"")"),"Saint Pierre ja Miquelon")</f>
        <v>Saint Pierre ja Miquelon</v>
      </c>
      <c r="M1366" s="1" t="s">
        <v>27825</v>
      </c>
      <c r="N1366" s="6" t="s">
        <v>132</v>
      </c>
      <c r="O1366" s="6" t="s">
        <v>132</v>
      </c>
      <c r="P1366" s="1" t="s">
        <v>27822</v>
      </c>
      <c r="Q1366" s="7" t="str">
        <f>IFERROR(__xludf.DUMMYFUNCTION("GOOGLETRANSLATE(C1366, ""en"", ""in"")"),"Saint Pierre dan Miquelon")</f>
        <v>Saint Pierre dan Miquelon</v>
      </c>
      <c r="R1366" s="7" t="str">
        <f>IFERROR(__xludf.DUMMYFUNCTION("GOOGLETRANSLATE(C1366, ""en"", ""it"")"),"Saint Pierre e Miquelon")</f>
        <v>Saint Pierre e Miquelon</v>
      </c>
      <c r="S1366" s="6" t="s">
        <v>132</v>
      </c>
      <c r="T1366" s="7" t="str">
        <f>IFERROR(__xludf.DUMMYFUNCTION("GOOGLETRANSLATE(C1366, ""en"", ""ja"")"),"セントピエールとマイケロン")</f>
        <v>セントピエールとマイケロン</v>
      </c>
      <c r="U1366" s="7" t="str">
        <f>IFERROR(__xludf.DUMMYFUNCTION("GOOGLETRANSLATE(C1366, ""en"", ""ko"")"),"Saint Pierre와 Miquelon.")</f>
        <v>Saint Pierre와 Miquelon.</v>
      </c>
      <c r="V1366" s="7" t="str">
        <f>IFERROR(__xludf.DUMMYFUNCTION("GOOGLETRANSLATE(C1366, ""en"", ""ms"")"),"Saint Pierre dan Miquelon")</f>
        <v>Saint Pierre dan Miquelon</v>
      </c>
      <c r="W1366" s="7" t="str">
        <f>IFERROR(__xludf.DUMMYFUNCTION("GOOGLETRANSLATE(C1366, ""en"", ""nl"")"),"Saint Pierre en Miquelon")</f>
        <v>Saint Pierre en Miquelon</v>
      </c>
      <c r="X1366" s="7" t="str">
        <f>IFERROR(__xludf.DUMMYFUNCTION("GOOGLETRANSLATE(C1366, ""en"", ""no"")"),"Saint Pierre og Miquelon")</f>
        <v>Saint Pierre og Miquelon</v>
      </c>
      <c r="Y1366" s="7" t="str">
        <f>IFERROR(__xludf.DUMMYFUNCTION("GOOGLETRANSLATE(C1366, ""en"", ""pl"")"),"Saint Pierre i Miquelon")</f>
        <v>Saint Pierre i Miquelon</v>
      </c>
      <c r="Z1366" s="7" t="str">
        <f>IFERROR(__xludf.DUMMYFUNCTION("GOOGLETRANSLATE(C1366, ""en"", ""pt"")"),"Saint Pierre e Miquelon")</f>
        <v>Saint Pierre e Miquelon</v>
      </c>
      <c r="AA1366" s="7" t="str">
        <f>IFERROR(__xludf.DUMMYFUNCTION("GOOGLETRANSLATE(C1366, ""en"", ""ro"")"),"Saint Pierre și Miquelon")</f>
        <v>Saint Pierre și Miquelon</v>
      </c>
      <c r="AB1366" s="1" t="s">
        <v>27826</v>
      </c>
      <c r="AC1366" s="7" t="str">
        <f>IFERROR(__xludf.DUMMYFUNCTION("GOOGLETRANSLATE(C1366, ""en"", ""sk"")"),"Saint Pierre a Miquelon")</f>
        <v>Saint Pierre a Miquelon</v>
      </c>
      <c r="AD1366" s="6" t="s">
        <v>132</v>
      </c>
      <c r="AE1366" s="1" t="s">
        <v>27827</v>
      </c>
      <c r="AF1366" s="7" t="str">
        <f>IFERROR(__xludf.DUMMYFUNCTION("GOOGLETRANSLATE(C1366, ""en"", ""sv"")"),"Saint Pierre och Miquelon")</f>
        <v>Saint Pierre och Miquelon</v>
      </c>
      <c r="AG1366" s="6" t="s">
        <v>132</v>
      </c>
      <c r="AH1366" s="7" t="str">
        <f>IFERROR(__xludf.DUMMYFUNCTION("GOOGLETRANSLATE(C1366, ""en"", ""tr"")"),"Saint Pierre ve Miquelon")</f>
        <v>Saint Pierre ve Miquelon</v>
      </c>
      <c r="AI1366" s="6" t="s">
        <v>132</v>
      </c>
      <c r="AJ1366" s="6" t="s">
        <v>132</v>
      </c>
      <c r="AK1366" s="7" t="str">
        <f>IFERROR(__xludf.DUMMYFUNCTION("GOOGLETRANSLATE(C1366, ""en"", ""zh"")"),"圣皮埃尔和米利翁")</f>
        <v>圣皮埃尔和米利翁</v>
      </c>
      <c r="AL1366" s="6" t="s">
        <v>132</v>
      </c>
    </row>
    <row r="1367" ht="15.75" customHeight="1">
      <c r="A1367" s="1" t="s">
        <v>127</v>
      </c>
      <c r="B1367" s="1" t="s">
        <v>27828</v>
      </c>
      <c r="C1367" s="1" t="s">
        <v>27829</v>
      </c>
      <c r="D1367" s="8" t="s">
        <v>27830</v>
      </c>
      <c r="E1367" s="1" t="s">
        <v>27831</v>
      </c>
      <c r="F1367" s="6" t="s">
        <v>132</v>
      </c>
      <c r="G1367" s="1" t="s">
        <v>27832</v>
      </c>
      <c r="H1367" s="1" t="s">
        <v>27833</v>
      </c>
      <c r="I1367" s="1" t="s">
        <v>27834</v>
      </c>
      <c r="J1367" s="6" t="s">
        <v>27835</v>
      </c>
      <c r="K1367" s="1" t="s">
        <v>27836</v>
      </c>
      <c r="L1367" s="1" t="s">
        <v>27837</v>
      </c>
      <c r="M1367" s="1" t="s">
        <v>27838</v>
      </c>
      <c r="N1367" s="6" t="s">
        <v>132</v>
      </c>
      <c r="O1367" s="6" t="s">
        <v>27839</v>
      </c>
      <c r="P1367" s="1" t="s">
        <v>27840</v>
      </c>
      <c r="Q1367" s="1" t="s">
        <v>27841</v>
      </c>
      <c r="R1367" s="1" t="s">
        <v>2586</v>
      </c>
      <c r="S1367" s="10" t="s">
        <v>27842</v>
      </c>
      <c r="T1367" s="1" t="s">
        <v>27843</v>
      </c>
      <c r="U1367" s="1" t="s">
        <v>27844</v>
      </c>
      <c r="V1367" s="1" t="s">
        <v>27845</v>
      </c>
      <c r="W1367" s="1" t="s">
        <v>27846</v>
      </c>
      <c r="X1367" s="1" t="s">
        <v>27847</v>
      </c>
      <c r="Y1367" s="1" t="s">
        <v>27848</v>
      </c>
      <c r="Z1367" s="1" t="s">
        <v>27849</v>
      </c>
      <c r="AA1367" s="1" t="s">
        <v>27850</v>
      </c>
      <c r="AB1367" s="1" t="s">
        <v>27851</v>
      </c>
      <c r="AC1367" s="1" t="s">
        <v>27852</v>
      </c>
      <c r="AD1367" s="6" t="s">
        <v>27853</v>
      </c>
      <c r="AE1367" s="1" t="s">
        <v>27854</v>
      </c>
      <c r="AF1367" s="1" t="s">
        <v>27855</v>
      </c>
      <c r="AG1367" s="6" t="s">
        <v>27856</v>
      </c>
      <c r="AH1367" s="1" t="s">
        <v>27857</v>
      </c>
      <c r="AI1367" s="6" t="s">
        <v>132</v>
      </c>
      <c r="AJ1367" s="6" t="s">
        <v>27858</v>
      </c>
      <c r="AK1367" s="1" t="s">
        <v>27859</v>
      </c>
      <c r="AL1367" s="6" t="s">
        <v>132</v>
      </c>
    </row>
    <row r="1368" ht="15.75" customHeight="1">
      <c r="A1368" s="1" t="s">
        <v>127</v>
      </c>
      <c r="B1368" s="1" t="s">
        <v>27860</v>
      </c>
      <c r="C1368" s="1" t="s">
        <v>27861</v>
      </c>
      <c r="D1368" s="8" t="s">
        <v>27862</v>
      </c>
      <c r="E1368" s="1" t="s">
        <v>27863</v>
      </c>
      <c r="F1368" s="6" t="s">
        <v>132</v>
      </c>
      <c r="G1368" s="1" t="s">
        <v>27864</v>
      </c>
      <c r="H1368" s="1" t="s">
        <v>27865</v>
      </c>
      <c r="I1368" s="1" t="s">
        <v>27866</v>
      </c>
      <c r="J1368" s="6" t="s">
        <v>27861</v>
      </c>
      <c r="K1368" s="1" t="s">
        <v>27867</v>
      </c>
      <c r="L1368" s="1" t="s">
        <v>27868</v>
      </c>
      <c r="M1368" s="1" t="s">
        <v>27869</v>
      </c>
      <c r="N1368" s="6" t="s">
        <v>132</v>
      </c>
      <c r="O1368" s="6" t="s">
        <v>27870</v>
      </c>
      <c r="P1368" s="1" t="s">
        <v>27871</v>
      </c>
      <c r="Q1368" s="1" t="s">
        <v>27872</v>
      </c>
      <c r="R1368" s="1" t="s">
        <v>27873</v>
      </c>
      <c r="S1368" s="10" t="s">
        <v>27874</v>
      </c>
      <c r="T1368" s="1" t="s">
        <v>27875</v>
      </c>
      <c r="U1368" s="1" t="s">
        <v>27876</v>
      </c>
      <c r="V1368" s="1" t="s">
        <v>27872</v>
      </c>
      <c r="W1368" s="1" t="s">
        <v>27877</v>
      </c>
      <c r="X1368" s="1" t="s">
        <v>27878</v>
      </c>
      <c r="Y1368" s="1" t="s">
        <v>27879</v>
      </c>
      <c r="Z1368" s="1" t="s">
        <v>27880</v>
      </c>
      <c r="AA1368" s="1" t="s">
        <v>27881</v>
      </c>
      <c r="AB1368" s="1" t="s">
        <v>27882</v>
      </c>
      <c r="AC1368" s="1" t="s">
        <v>27883</v>
      </c>
      <c r="AD1368" s="6" t="s">
        <v>27884</v>
      </c>
      <c r="AE1368" s="1" t="s">
        <v>27861</v>
      </c>
      <c r="AF1368" s="1" t="s">
        <v>27885</v>
      </c>
      <c r="AG1368" s="6" t="s">
        <v>27886</v>
      </c>
      <c r="AH1368" s="1" t="s">
        <v>27887</v>
      </c>
      <c r="AI1368" s="6" t="s">
        <v>132</v>
      </c>
      <c r="AJ1368" s="6" t="s">
        <v>27888</v>
      </c>
      <c r="AK1368" s="1" t="s">
        <v>27889</v>
      </c>
      <c r="AL1368" s="6" t="s">
        <v>27890</v>
      </c>
    </row>
    <row r="1369" ht="15.75" hidden="1" customHeight="1">
      <c r="A1369" s="1" t="s">
        <v>38</v>
      </c>
      <c r="B1369" s="1" t="s">
        <v>27891</v>
      </c>
      <c r="C1369" s="1" t="s">
        <v>27892</v>
      </c>
      <c r="D1369" s="8" t="s">
        <v>27893</v>
      </c>
      <c r="E1369" s="1" t="s">
        <v>27894</v>
      </c>
      <c r="F1369" s="6" t="s">
        <v>27895</v>
      </c>
      <c r="G1369" s="7" t="str">
        <f>IFERROR(__xludf.DUMMYFUNCTION("GOOGLETRANSLATE(C1369, ""en"", ""cs"")"),"Odblokovat")</f>
        <v>Odblokovat</v>
      </c>
      <c r="H1369" s="7" t="str">
        <f>IFERROR(__xludf.DUMMYFUNCTION("GOOGLETRANSLATE(C1369, ""en"", ""da"")"),"Fjern blokering")</f>
        <v>Fjern blokering</v>
      </c>
      <c r="I1369" s="1" t="s">
        <v>27896</v>
      </c>
      <c r="J1369" s="6" t="s">
        <v>132</v>
      </c>
      <c r="K1369" s="1" t="s">
        <v>27897</v>
      </c>
      <c r="L1369" s="7" t="str">
        <f>IFERROR(__xludf.DUMMYFUNCTION("GOOGLETRANSLATE(C1369, ""en"", ""fi"")"),"Esto")</f>
        <v>Esto</v>
      </c>
      <c r="M1369" s="1" t="s">
        <v>27898</v>
      </c>
      <c r="N1369" s="6" t="s">
        <v>27897</v>
      </c>
      <c r="O1369" s="6" t="s">
        <v>132</v>
      </c>
      <c r="P1369" s="1" t="s">
        <v>27899</v>
      </c>
      <c r="Q1369" s="9" t="s">
        <v>27900</v>
      </c>
      <c r="R1369" s="1" t="s">
        <v>27901</v>
      </c>
      <c r="S1369" s="6" t="s">
        <v>132</v>
      </c>
      <c r="T1369" s="1" t="s">
        <v>27902</v>
      </c>
      <c r="U1369" s="1" t="s">
        <v>27903</v>
      </c>
      <c r="V1369" s="7" t="str">
        <f>IFERROR(__xludf.DUMMYFUNCTION("GOOGLETRANSLATE(C1369, ""en"", ""ms"")"),"Unblock.")</f>
        <v>Unblock.</v>
      </c>
      <c r="W1369" s="1" t="s">
        <v>27904</v>
      </c>
      <c r="X1369" s="7" t="str">
        <f>IFERROR(__xludf.DUMMYFUNCTION("GOOGLETRANSLATE(C1369, ""en"", ""no"")"),"Unblock.")</f>
        <v>Unblock.</v>
      </c>
      <c r="Y1369" s="1" t="s">
        <v>27905</v>
      </c>
      <c r="Z1369" s="1" t="s">
        <v>27897</v>
      </c>
      <c r="AA1369" s="7" t="str">
        <f>IFERROR(__xludf.DUMMYFUNCTION("GOOGLETRANSLATE(C1369, ""en"", ""ro"")"),"Deblocați.")</f>
        <v>Deblocați.</v>
      </c>
      <c r="AB1369" s="1" t="s">
        <v>27906</v>
      </c>
      <c r="AC1369" s="1" t="s">
        <v>27907</v>
      </c>
      <c r="AD1369" s="6" t="s">
        <v>132</v>
      </c>
      <c r="AE1369" s="1" t="s">
        <v>27908</v>
      </c>
      <c r="AF1369" s="1" t="s">
        <v>27909</v>
      </c>
      <c r="AG1369" s="6" t="s">
        <v>132</v>
      </c>
      <c r="AH1369" s="7" t="str">
        <f>IFERROR(__xludf.DUMMYFUNCTION("GOOGLETRANSLATE(C1369, ""en"", ""tr"")"),"engeli kaldırmak")</f>
        <v>engeli kaldırmak</v>
      </c>
      <c r="AI1369" s="6" t="s">
        <v>27910</v>
      </c>
      <c r="AJ1369" s="6" t="s">
        <v>27911</v>
      </c>
      <c r="AK1369" s="7" t="str">
        <f>IFERROR(__xludf.DUMMYFUNCTION("GOOGLETRANSLATE(C1369, ""en"", ""zh"")"),"解锁")</f>
        <v>解锁</v>
      </c>
      <c r="AL1369" s="6" t="s">
        <v>27912</v>
      </c>
    </row>
    <row r="1370" ht="15.75" hidden="1" customHeight="1">
      <c r="A1370" s="1" t="s">
        <v>38</v>
      </c>
      <c r="B1370" s="1" t="s">
        <v>27913</v>
      </c>
      <c r="C1370" s="1" t="s">
        <v>27914</v>
      </c>
      <c r="D1370" s="8" t="s">
        <v>27915</v>
      </c>
      <c r="E1370" s="1" t="s">
        <v>27916</v>
      </c>
      <c r="F1370" s="6" t="s">
        <v>27917</v>
      </c>
      <c r="G1370" s="7" t="str">
        <f>IFERROR(__xludf.DUMMYFUNCTION("GOOGLETRANSLATE(C1370, ""en"", ""cs"")"),"Obnovit certifikát")</f>
        <v>Obnovit certifikát</v>
      </c>
      <c r="H1370" s="7" t="str">
        <f>IFERROR(__xludf.DUMMYFUNCTION("GOOGLETRANSLATE(C1370, ""en"", ""da"")"),"Forny certifikat.")</f>
        <v>Forny certifikat.</v>
      </c>
      <c r="I1370" s="1" t="s">
        <v>27918</v>
      </c>
      <c r="J1370" s="6" t="s">
        <v>132</v>
      </c>
      <c r="K1370" s="1" t="s">
        <v>27919</v>
      </c>
      <c r="L1370" s="7" t="str">
        <f>IFERROR(__xludf.DUMMYFUNCTION("GOOGLETRANSLATE(C1370, ""en"", ""fi"")"),"Uusi todistus")</f>
        <v>Uusi todistus</v>
      </c>
      <c r="M1370" s="1" t="s">
        <v>27920</v>
      </c>
      <c r="N1370" s="6" t="s">
        <v>27921</v>
      </c>
      <c r="O1370" s="6" t="s">
        <v>132</v>
      </c>
      <c r="P1370" s="1" t="s">
        <v>27922</v>
      </c>
      <c r="Q1370" s="7" t="str">
        <f>IFERROR(__xludf.DUMMYFUNCTION("GOOGLETRANSLATE(C1370, ""en"", ""in"")"),"Memperbarui Sertifikat")</f>
        <v>Memperbarui Sertifikat</v>
      </c>
      <c r="R1370" s="1" t="s">
        <v>27923</v>
      </c>
      <c r="S1370" s="6" t="s">
        <v>132</v>
      </c>
      <c r="T1370" s="1" t="s">
        <v>27924</v>
      </c>
      <c r="U1370" s="1" t="s">
        <v>27925</v>
      </c>
      <c r="V1370" s="7" t="str">
        <f>IFERROR(__xludf.DUMMYFUNCTION("GOOGLETRANSLATE(C1370, ""en"", ""ms"")"),"Memperbaharui sijil")</f>
        <v>Memperbaharui sijil</v>
      </c>
      <c r="W1370" s="1" t="s">
        <v>27926</v>
      </c>
      <c r="X1370" s="7" t="str">
        <f>IFERROR(__xludf.DUMMYFUNCTION("GOOGLETRANSLATE(C1370, ""en"", ""no"")"),"Forny sertifikat")</f>
        <v>Forny sertifikat</v>
      </c>
      <c r="Y1370" s="1" t="s">
        <v>27927</v>
      </c>
      <c r="Z1370" s="1" t="s">
        <v>27919</v>
      </c>
      <c r="AA1370" s="7" t="str">
        <f>IFERROR(__xludf.DUMMYFUNCTION("GOOGLETRANSLATE(C1370, ""en"", ""ro"")"),"Reînnoiți certificatul")</f>
        <v>Reînnoiți certificatul</v>
      </c>
      <c r="AB1370" s="1" t="s">
        <v>27928</v>
      </c>
      <c r="AC1370" s="1" t="s">
        <v>27929</v>
      </c>
      <c r="AD1370" s="6" t="s">
        <v>132</v>
      </c>
      <c r="AE1370" s="1" t="s">
        <v>27930</v>
      </c>
      <c r="AF1370" s="1" t="s">
        <v>27931</v>
      </c>
      <c r="AG1370" s="6" t="s">
        <v>132</v>
      </c>
      <c r="AH1370" s="7" t="str">
        <f>IFERROR(__xludf.DUMMYFUNCTION("GOOGLETRANSLATE(C1370, ""en"", ""tr"")"),"Sertifikayı yenile")</f>
        <v>Sertifikayı yenile</v>
      </c>
      <c r="AI1370" s="6" t="s">
        <v>27932</v>
      </c>
      <c r="AJ1370" s="6" t="s">
        <v>27933</v>
      </c>
      <c r="AK1370" s="7" t="str">
        <f>IFERROR(__xludf.DUMMYFUNCTION("GOOGLETRANSLATE(C1370, ""en"", ""zh"")"),"续订证书")</f>
        <v>续订证书</v>
      </c>
      <c r="AL1370" s="6" t="s">
        <v>27934</v>
      </c>
    </row>
    <row r="1371" ht="15.75" customHeight="1">
      <c r="A1371" s="1" t="s">
        <v>127</v>
      </c>
      <c r="B1371" s="1" t="s">
        <v>27935</v>
      </c>
      <c r="C1371" s="1" t="s">
        <v>22975</v>
      </c>
      <c r="D1371" s="8" t="s">
        <v>22976</v>
      </c>
      <c r="E1371" s="1" t="s">
        <v>22977</v>
      </c>
      <c r="F1371" s="6" t="s">
        <v>132</v>
      </c>
      <c r="G1371" s="1" t="s">
        <v>22978</v>
      </c>
      <c r="H1371" s="1" t="s">
        <v>22979</v>
      </c>
      <c r="I1371" s="1" t="s">
        <v>22980</v>
      </c>
      <c r="J1371" s="6" t="s">
        <v>22981</v>
      </c>
      <c r="K1371" s="1" t="s">
        <v>27936</v>
      </c>
      <c r="L1371" s="1" t="s">
        <v>22983</v>
      </c>
      <c r="M1371" s="1" t="s">
        <v>22984</v>
      </c>
      <c r="N1371" s="6" t="s">
        <v>132</v>
      </c>
      <c r="O1371" s="6" t="s">
        <v>22985</v>
      </c>
      <c r="P1371" s="1" t="s">
        <v>22986</v>
      </c>
      <c r="Q1371" s="1" t="s">
        <v>27937</v>
      </c>
      <c r="R1371" s="1" t="s">
        <v>22988</v>
      </c>
      <c r="S1371" s="10" t="s">
        <v>27938</v>
      </c>
      <c r="T1371" s="1" t="s">
        <v>16414</v>
      </c>
      <c r="U1371" s="1" t="s">
        <v>22991</v>
      </c>
      <c r="V1371" s="1" t="s">
        <v>27939</v>
      </c>
      <c r="W1371" s="1" t="s">
        <v>22993</v>
      </c>
      <c r="X1371" s="1" t="s">
        <v>22994</v>
      </c>
      <c r="Y1371" s="1" t="s">
        <v>22995</v>
      </c>
      <c r="Z1371" s="1" t="s">
        <v>22996</v>
      </c>
      <c r="AA1371" s="1" t="s">
        <v>22997</v>
      </c>
      <c r="AB1371" s="1" t="s">
        <v>22998</v>
      </c>
      <c r="AC1371" s="1" t="s">
        <v>22999</v>
      </c>
      <c r="AD1371" s="6" t="s">
        <v>23000</v>
      </c>
      <c r="AE1371" s="1" t="s">
        <v>23001</v>
      </c>
      <c r="AF1371" s="1" t="s">
        <v>23002</v>
      </c>
      <c r="AG1371" s="6" t="s">
        <v>23003</v>
      </c>
      <c r="AH1371" s="1" t="s">
        <v>27940</v>
      </c>
      <c r="AI1371" s="6" t="s">
        <v>132</v>
      </c>
      <c r="AJ1371" s="6" t="s">
        <v>23005</v>
      </c>
      <c r="AK1371" s="1" t="s">
        <v>23006</v>
      </c>
      <c r="AL1371" s="6" t="s">
        <v>23007</v>
      </c>
    </row>
    <row r="1372" ht="15.75" customHeight="1">
      <c r="A1372" s="1" t="s">
        <v>127</v>
      </c>
      <c r="B1372" s="1" t="s">
        <v>27941</v>
      </c>
      <c r="C1372" s="1" t="s">
        <v>19187</v>
      </c>
      <c r="D1372" s="8" t="s">
        <v>19188</v>
      </c>
      <c r="E1372" s="1" t="s">
        <v>19189</v>
      </c>
      <c r="F1372" s="6" t="s">
        <v>132</v>
      </c>
      <c r="G1372" s="1" t="s">
        <v>19190</v>
      </c>
      <c r="H1372" s="1" t="s">
        <v>4014</v>
      </c>
      <c r="I1372" s="1" t="s">
        <v>19191</v>
      </c>
      <c r="J1372" s="6" t="s">
        <v>19192</v>
      </c>
      <c r="K1372" s="1" t="s">
        <v>19193</v>
      </c>
      <c r="L1372" s="1" t="s">
        <v>19194</v>
      </c>
      <c r="M1372" s="1" t="s">
        <v>19187</v>
      </c>
      <c r="N1372" s="6" t="s">
        <v>132</v>
      </c>
      <c r="O1372" s="6" t="s">
        <v>4019</v>
      </c>
      <c r="P1372" s="1" t="s">
        <v>19196</v>
      </c>
      <c r="Q1372" s="1" t="s">
        <v>4014</v>
      </c>
      <c r="R1372" s="1" t="s">
        <v>19197</v>
      </c>
      <c r="S1372" s="10" t="s">
        <v>19198</v>
      </c>
      <c r="T1372" s="1" t="s">
        <v>4027</v>
      </c>
      <c r="U1372" s="1" t="s">
        <v>4022</v>
      </c>
      <c r="V1372" s="1" t="s">
        <v>4014</v>
      </c>
      <c r="W1372" s="1" t="s">
        <v>19187</v>
      </c>
      <c r="X1372" s="1" t="s">
        <v>19199</v>
      </c>
      <c r="Y1372" s="1" t="s">
        <v>19200</v>
      </c>
      <c r="Z1372" s="1" t="s">
        <v>19193</v>
      </c>
      <c r="AA1372" s="1" t="s">
        <v>19197</v>
      </c>
      <c r="AB1372" s="1" t="s">
        <v>19201</v>
      </c>
      <c r="AC1372" s="1" t="s">
        <v>19190</v>
      </c>
      <c r="AD1372" s="6" t="s">
        <v>4017</v>
      </c>
      <c r="AE1372" s="1" t="s">
        <v>4017</v>
      </c>
      <c r="AF1372" s="1" t="s">
        <v>4011</v>
      </c>
      <c r="AG1372" s="6" t="s">
        <v>4024</v>
      </c>
      <c r="AH1372" s="1" t="s">
        <v>19202</v>
      </c>
      <c r="AI1372" s="6" t="s">
        <v>132</v>
      </c>
      <c r="AJ1372" s="6" t="s">
        <v>4026</v>
      </c>
      <c r="AK1372" s="1" t="s">
        <v>4027</v>
      </c>
      <c r="AL1372" s="6" t="s">
        <v>4028</v>
      </c>
    </row>
    <row r="1373" ht="15.75" customHeight="1">
      <c r="A1373" s="1" t="s">
        <v>127</v>
      </c>
      <c r="B1373" s="1" t="s">
        <v>27942</v>
      </c>
      <c r="C1373" s="1" t="s">
        <v>27943</v>
      </c>
      <c r="D1373" s="8" t="s">
        <v>27944</v>
      </c>
      <c r="E1373" s="1" t="s">
        <v>27945</v>
      </c>
      <c r="F1373" s="6" t="s">
        <v>132</v>
      </c>
      <c r="G1373" s="1" t="s">
        <v>27946</v>
      </c>
      <c r="H1373" s="1" t="s">
        <v>27947</v>
      </c>
      <c r="I1373" s="1" t="s">
        <v>27948</v>
      </c>
      <c r="J1373" s="6" t="s">
        <v>27949</v>
      </c>
      <c r="K1373" s="1" t="s">
        <v>27950</v>
      </c>
      <c r="L1373" s="1" t="s">
        <v>27951</v>
      </c>
      <c r="M1373" s="1" t="s">
        <v>27952</v>
      </c>
      <c r="N1373" s="6" t="s">
        <v>132</v>
      </c>
      <c r="O1373" s="6" t="s">
        <v>27953</v>
      </c>
      <c r="P1373" s="1" t="s">
        <v>27954</v>
      </c>
      <c r="Q1373" s="1" t="s">
        <v>27955</v>
      </c>
      <c r="R1373" s="1" t="s">
        <v>27956</v>
      </c>
      <c r="S1373" s="10" t="s">
        <v>27957</v>
      </c>
      <c r="T1373" s="1" t="s">
        <v>27958</v>
      </c>
      <c r="U1373" s="1" t="s">
        <v>27959</v>
      </c>
      <c r="V1373" s="1" t="s">
        <v>27960</v>
      </c>
      <c r="W1373" s="1" t="s">
        <v>27961</v>
      </c>
      <c r="X1373" s="1" t="s">
        <v>27962</v>
      </c>
      <c r="Y1373" s="1" t="s">
        <v>27963</v>
      </c>
      <c r="Z1373" s="1" t="s">
        <v>27964</v>
      </c>
      <c r="AA1373" s="1" t="s">
        <v>27965</v>
      </c>
      <c r="AB1373" s="1" t="s">
        <v>27966</v>
      </c>
      <c r="AC1373" s="1" t="s">
        <v>27967</v>
      </c>
      <c r="AD1373" s="6" t="s">
        <v>27968</v>
      </c>
      <c r="AE1373" s="1" t="s">
        <v>27969</v>
      </c>
      <c r="AF1373" s="1" t="s">
        <v>27970</v>
      </c>
      <c r="AG1373" s="6" t="s">
        <v>27971</v>
      </c>
      <c r="AH1373" s="1" t="s">
        <v>27972</v>
      </c>
      <c r="AI1373" s="6" t="s">
        <v>132</v>
      </c>
      <c r="AJ1373" s="6" t="s">
        <v>27973</v>
      </c>
      <c r="AK1373" s="1" t="s">
        <v>27974</v>
      </c>
      <c r="AL1373" s="6" t="s">
        <v>27975</v>
      </c>
    </row>
    <row r="1374" ht="15.75" customHeight="1">
      <c r="A1374" s="1" t="s">
        <v>127</v>
      </c>
      <c r="B1374" s="1" t="s">
        <v>27976</v>
      </c>
      <c r="C1374" s="1" t="s">
        <v>27977</v>
      </c>
      <c r="D1374" s="8" t="s">
        <v>27978</v>
      </c>
      <c r="E1374" s="1" t="s">
        <v>507</v>
      </c>
      <c r="F1374" s="6" t="s">
        <v>132</v>
      </c>
      <c r="G1374" s="1" t="s">
        <v>27979</v>
      </c>
      <c r="H1374" s="1" t="s">
        <v>27980</v>
      </c>
      <c r="I1374" s="1" t="s">
        <v>27981</v>
      </c>
      <c r="J1374" s="6" t="s">
        <v>27982</v>
      </c>
      <c r="K1374" s="1" t="s">
        <v>27983</v>
      </c>
      <c r="L1374" s="1" t="s">
        <v>513</v>
      </c>
      <c r="M1374" s="1" t="s">
        <v>27984</v>
      </c>
      <c r="N1374" s="6" t="s">
        <v>132</v>
      </c>
      <c r="O1374" s="6" t="s">
        <v>27985</v>
      </c>
      <c r="P1374" s="1" t="s">
        <v>27986</v>
      </c>
      <c r="Q1374" s="1" t="s">
        <v>27987</v>
      </c>
      <c r="R1374" s="1" t="s">
        <v>27988</v>
      </c>
      <c r="S1374" s="10" t="s">
        <v>27989</v>
      </c>
      <c r="T1374" s="1" t="s">
        <v>520</v>
      </c>
      <c r="U1374" s="1" t="s">
        <v>27990</v>
      </c>
      <c r="V1374" s="1" t="s">
        <v>27987</v>
      </c>
      <c r="W1374" s="1" t="s">
        <v>27977</v>
      </c>
      <c r="X1374" s="1" t="s">
        <v>27991</v>
      </c>
      <c r="Y1374" s="1" t="s">
        <v>27992</v>
      </c>
      <c r="Z1374" s="1" t="s">
        <v>27993</v>
      </c>
      <c r="AA1374" s="1" t="s">
        <v>27994</v>
      </c>
      <c r="AB1374" s="1" t="s">
        <v>27995</v>
      </c>
      <c r="AC1374" s="1" t="s">
        <v>27996</v>
      </c>
      <c r="AD1374" s="6" t="s">
        <v>27997</v>
      </c>
      <c r="AE1374" s="1" t="s">
        <v>23548</v>
      </c>
      <c r="AF1374" s="1" t="s">
        <v>27998</v>
      </c>
      <c r="AG1374" s="6" t="s">
        <v>27999</v>
      </c>
      <c r="AH1374" s="1" t="s">
        <v>28000</v>
      </c>
      <c r="AI1374" s="6" t="s">
        <v>132</v>
      </c>
      <c r="AJ1374" s="6" t="s">
        <v>28001</v>
      </c>
      <c r="AK1374" s="1" t="s">
        <v>28002</v>
      </c>
      <c r="AL1374" s="6" t="s">
        <v>28003</v>
      </c>
    </row>
    <row r="1375" ht="15.75" hidden="1" customHeight="1">
      <c r="A1375" s="1" t="s">
        <v>38</v>
      </c>
      <c r="B1375" s="1" t="s">
        <v>28004</v>
      </c>
      <c r="C1375" s="1" t="s">
        <v>28005</v>
      </c>
      <c r="D1375" s="8" t="s">
        <v>28006</v>
      </c>
      <c r="E1375" s="1" t="s">
        <v>28007</v>
      </c>
      <c r="F1375" s="6" t="s">
        <v>28008</v>
      </c>
      <c r="G1375" s="7" t="str">
        <f>IFERROR(__xludf.DUMMYFUNCTION("GOOGLETRANSLATE(C1375, ""en"", ""cs"")"),"Soukromí")</f>
        <v>Soukromí</v>
      </c>
      <c r="H1375" s="7" t="str">
        <f>IFERROR(__xludf.DUMMYFUNCTION("GOOGLETRANSLATE(C1375, ""en"", ""da"")"),"Privatliv")</f>
        <v>Privatliv</v>
      </c>
      <c r="I1375" s="1" t="s">
        <v>28009</v>
      </c>
      <c r="J1375" s="6" t="s">
        <v>132</v>
      </c>
      <c r="K1375" s="1" t="s">
        <v>28010</v>
      </c>
      <c r="L1375" s="7" t="str">
        <f>IFERROR(__xludf.DUMMYFUNCTION("GOOGLETRANSLATE(C1375, ""en"", ""fi"")"),"Yksityisyys")</f>
        <v>Yksityisyys</v>
      </c>
      <c r="M1375" s="1" t="s">
        <v>28011</v>
      </c>
      <c r="N1375" s="6" t="s">
        <v>28012</v>
      </c>
      <c r="O1375" s="6" t="s">
        <v>132</v>
      </c>
      <c r="P1375" s="1" t="s">
        <v>28013</v>
      </c>
      <c r="Q1375" s="7" t="str">
        <f>IFERROR(__xludf.DUMMYFUNCTION("GOOGLETRANSLATE(C1375, ""en"", ""in"")"),"Pribadi")</f>
        <v>Pribadi</v>
      </c>
      <c r="R1375" s="1" t="s">
        <v>28005</v>
      </c>
      <c r="S1375" s="6" t="s">
        <v>132</v>
      </c>
      <c r="T1375" s="1" t="s">
        <v>28014</v>
      </c>
      <c r="U1375" s="1" t="s">
        <v>28015</v>
      </c>
      <c r="V1375" s="7" t="str">
        <f>IFERROR(__xludf.DUMMYFUNCTION("GOOGLETRANSLATE(C1375, ""en"", ""ms"")"),"Privasi")</f>
        <v>Privasi</v>
      </c>
      <c r="W1375" s="1" t="s">
        <v>28005</v>
      </c>
      <c r="X1375" s="7" t="str">
        <f>IFERROR(__xludf.DUMMYFUNCTION("GOOGLETRANSLATE(C1375, ""en"", ""no"")"),"Personvern")</f>
        <v>Personvern</v>
      </c>
      <c r="Y1375" s="1" t="s">
        <v>28016</v>
      </c>
      <c r="Z1375" s="1" t="s">
        <v>28017</v>
      </c>
      <c r="AA1375" s="7" t="str">
        <f>IFERROR(__xludf.DUMMYFUNCTION("GOOGLETRANSLATE(C1375, ""en"", ""ro"")"),"Confidențialitate")</f>
        <v>Confidențialitate</v>
      </c>
      <c r="AB1375" s="1" t="s">
        <v>28018</v>
      </c>
      <c r="AC1375" s="7" t="str">
        <f>IFERROR(__xludf.DUMMYFUNCTION("GOOGLETRANSLATE(C1375, ""en"", ""sk"")"),"Súkromie")</f>
        <v>Súkromie</v>
      </c>
      <c r="AD1375" s="6" t="s">
        <v>132</v>
      </c>
      <c r="AE1375" s="1" t="s">
        <v>28019</v>
      </c>
      <c r="AF1375" s="1" t="s">
        <v>28020</v>
      </c>
      <c r="AG1375" s="6" t="s">
        <v>132</v>
      </c>
      <c r="AH1375" s="7" t="str">
        <f>IFERROR(__xludf.DUMMYFUNCTION("GOOGLETRANSLATE(C1375, ""en"", ""tr"")"),"Gizlilik")</f>
        <v>Gizlilik</v>
      </c>
      <c r="AI1375" s="6" t="s">
        <v>28021</v>
      </c>
      <c r="AJ1375" s="6" t="s">
        <v>132</v>
      </c>
      <c r="AK1375" s="7" t="str">
        <f>IFERROR(__xludf.DUMMYFUNCTION("GOOGLETRANSLATE(C1375, ""en"", ""zh"")"),"隐私")</f>
        <v>隐私</v>
      </c>
      <c r="AL1375" s="6" t="s">
        <v>28022</v>
      </c>
    </row>
    <row r="1376" ht="15.75" hidden="1" customHeight="1">
      <c r="A1376" s="1" t="s">
        <v>38</v>
      </c>
      <c r="B1376" s="1" t="s">
        <v>28023</v>
      </c>
      <c r="C1376" s="1" t="s">
        <v>28024</v>
      </c>
      <c r="D1376" s="8" t="s">
        <v>28025</v>
      </c>
      <c r="E1376" s="1" t="s">
        <v>28026</v>
      </c>
      <c r="F1376" s="6" t="s">
        <v>28027</v>
      </c>
      <c r="G1376" s="7" t="str">
        <f>IFERROR(__xludf.DUMMYFUNCTION("GOOGLETRANSLATE(C1376, ""en"", ""cs"")"),"Vibrovat")</f>
        <v>Vibrovat</v>
      </c>
      <c r="H1376" s="7" t="str">
        <f>IFERROR(__xludf.DUMMYFUNCTION("GOOGLETRANSLATE(C1376, ""en"", ""da"")"),"Vibrere")</f>
        <v>Vibrere</v>
      </c>
      <c r="I1376" s="1" t="s">
        <v>28028</v>
      </c>
      <c r="J1376" s="6" t="s">
        <v>132</v>
      </c>
      <c r="K1376" s="1" t="s">
        <v>28029</v>
      </c>
      <c r="L1376" s="7" t="str">
        <f>IFERROR(__xludf.DUMMYFUNCTION("GOOGLETRANSLATE(C1376, ""en"", ""fi"")"),"Värähtely")</f>
        <v>Värähtely</v>
      </c>
      <c r="M1376" s="1" t="s">
        <v>28030</v>
      </c>
      <c r="N1376" s="6" t="s">
        <v>28029</v>
      </c>
      <c r="O1376" s="6" t="s">
        <v>132</v>
      </c>
      <c r="P1376" s="1" t="s">
        <v>28031</v>
      </c>
      <c r="Q1376" s="9" t="s">
        <v>28032</v>
      </c>
      <c r="R1376" s="1" t="s">
        <v>28027</v>
      </c>
      <c r="S1376" s="6" t="s">
        <v>132</v>
      </c>
      <c r="T1376" s="1" t="s">
        <v>28033</v>
      </c>
      <c r="U1376" s="1" t="s">
        <v>28034</v>
      </c>
      <c r="V1376" s="7" t="str">
        <f>IFERROR(__xludf.DUMMYFUNCTION("GOOGLETRANSLATE(C1376, ""en"", ""ms"")"),"Bergetar")</f>
        <v>Bergetar</v>
      </c>
      <c r="W1376" s="1" t="s">
        <v>28035</v>
      </c>
      <c r="X1376" s="7" t="str">
        <f>IFERROR(__xludf.DUMMYFUNCTION("GOOGLETRANSLATE(C1376, ""en"", ""no"")"),"Vibrere")</f>
        <v>Vibrere</v>
      </c>
      <c r="Y1376" s="1" t="s">
        <v>28036</v>
      </c>
      <c r="Z1376" s="1" t="s">
        <v>28029</v>
      </c>
      <c r="AA1376" s="7" t="str">
        <f>IFERROR(__xludf.DUMMYFUNCTION("GOOGLETRANSLATE(C1376, ""en"", ""ro"")"),"Vibra")</f>
        <v>Vibra</v>
      </c>
      <c r="AB1376" s="1" t="s">
        <v>28026</v>
      </c>
      <c r="AC1376" s="1" t="s">
        <v>28037</v>
      </c>
      <c r="AD1376" s="6" t="s">
        <v>132</v>
      </c>
      <c r="AE1376" s="1" t="s">
        <v>28038</v>
      </c>
      <c r="AF1376" s="1" t="s">
        <v>28039</v>
      </c>
      <c r="AG1376" s="6" t="s">
        <v>132</v>
      </c>
      <c r="AH1376" s="7" t="str">
        <f>IFERROR(__xludf.DUMMYFUNCTION("GOOGLETRANSLATE(C1376, ""en"", ""tr"")"),"Titremek")</f>
        <v>Titremek</v>
      </c>
      <c r="AI1376" s="6" t="s">
        <v>28040</v>
      </c>
      <c r="AJ1376" s="6" t="s">
        <v>28041</v>
      </c>
      <c r="AK1376" s="7" t="str">
        <f>IFERROR(__xludf.DUMMYFUNCTION("GOOGLETRANSLATE(C1376, ""en"", ""zh"")"),"颤动")</f>
        <v>颤动</v>
      </c>
      <c r="AL1376" s="6" t="s">
        <v>28042</v>
      </c>
    </row>
    <row r="1377" ht="15.75" hidden="1" customHeight="1">
      <c r="A1377" s="1" t="s">
        <v>38</v>
      </c>
      <c r="B1377" s="1" t="s">
        <v>28043</v>
      </c>
      <c r="C1377" s="1" t="s">
        <v>28044</v>
      </c>
      <c r="D1377" s="8" t="s">
        <v>28045</v>
      </c>
      <c r="E1377" s="1" t="s">
        <v>28046</v>
      </c>
      <c r="F1377" s="6" t="s">
        <v>28047</v>
      </c>
      <c r="G1377" s="7" t="str">
        <f>IFERROR(__xludf.DUMMYFUNCTION("GOOGLETRANSLATE(C1377, ""en"", ""cs"")"),"Zobrazit 2D čárový kód")</f>
        <v>Zobrazit 2D čárový kód</v>
      </c>
      <c r="H1377" s="7" t="str">
        <f>IFERROR(__xludf.DUMMYFUNCTION("GOOGLETRANSLATE(C1377, ""en"", ""da"")"),"Vis 2D stregkode.")</f>
        <v>Vis 2D stregkode.</v>
      </c>
      <c r="I1377" s="1" t="s">
        <v>28048</v>
      </c>
      <c r="J1377" s="6" t="s">
        <v>132</v>
      </c>
      <c r="K1377" s="1" t="s">
        <v>28049</v>
      </c>
      <c r="L1377" s="7" t="str">
        <f>IFERROR(__xludf.DUMMYFUNCTION("GOOGLETRANSLATE(C1377, ""en"", ""fi"")"),"Näytä 2D-viivakoodi")</f>
        <v>Näytä 2D-viivakoodi</v>
      </c>
      <c r="M1377" s="1" t="s">
        <v>28050</v>
      </c>
      <c r="N1377" s="6" t="s">
        <v>28051</v>
      </c>
      <c r="O1377" s="6" t="s">
        <v>132</v>
      </c>
      <c r="P1377" s="1" t="s">
        <v>28052</v>
      </c>
      <c r="Q1377" s="7" t="str">
        <f>IFERROR(__xludf.DUMMYFUNCTION("GOOGLETRANSLATE(C1377, ""en"", ""in"")"),"Tampilkan barcode 2D.")</f>
        <v>Tampilkan barcode 2D.</v>
      </c>
      <c r="R1377" s="1" t="s">
        <v>28053</v>
      </c>
      <c r="S1377" s="6" t="s">
        <v>132</v>
      </c>
      <c r="T1377" s="1" t="s">
        <v>28054</v>
      </c>
      <c r="U1377" s="1" t="s">
        <v>28055</v>
      </c>
      <c r="V1377" s="7" t="str">
        <f>IFERROR(__xludf.DUMMYFUNCTION("GOOGLETRANSLATE(C1377, ""en"", ""ms"")"),"Tunjukkan kod bar 2D.")</f>
        <v>Tunjukkan kod bar 2D.</v>
      </c>
      <c r="W1377" s="1" t="s">
        <v>28056</v>
      </c>
      <c r="X1377" s="7" t="str">
        <f>IFERROR(__xludf.DUMMYFUNCTION("GOOGLETRANSLATE(C1377, ""en"", ""no"")"),"Vis 2D strekkode")</f>
        <v>Vis 2D strekkode</v>
      </c>
      <c r="Y1377" s="1" t="s">
        <v>28057</v>
      </c>
      <c r="Z1377" s="1" t="s">
        <v>28058</v>
      </c>
      <c r="AA1377" s="7" t="str">
        <f>IFERROR(__xludf.DUMMYFUNCTION("GOOGLETRANSLATE(C1377, ""en"", ""ro"")"),"Afișați codul de bare 2D.")</f>
        <v>Afișați codul de bare 2D.</v>
      </c>
      <c r="AB1377" s="1" t="s">
        <v>28059</v>
      </c>
      <c r="AC1377" s="7" t="str">
        <f>IFERROR(__xludf.DUMMYFUNCTION("GOOGLETRANSLATE(C1377, ""en"", ""sk"")"),"Zobraziť 2D čiarový kód")</f>
        <v>Zobraziť 2D čiarový kód</v>
      </c>
      <c r="AD1377" s="6" t="s">
        <v>132</v>
      </c>
      <c r="AE1377" s="1" t="s">
        <v>28060</v>
      </c>
      <c r="AF1377" s="1" t="s">
        <v>28061</v>
      </c>
      <c r="AG1377" s="6" t="s">
        <v>132</v>
      </c>
      <c r="AH1377" s="7" t="str">
        <f>IFERROR(__xludf.DUMMYFUNCTION("GOOGLETRANSLATE(C1377, ""en"", ""tr"")"),"2d barkodu göster")</f>
        <v>2d barkodu göster</v>
      </c>
      <c r="AI1377" s="6" t="s">
        <v>28062</v>
      </c>
      <c r="AJ1377" s="6" t="s">
        <v>132</v>
      </c>
      <c r="AK1377" s="7" t="str">
        <f>IFERROR(__xludf.DUMMYFUNCTION("GOOGLETRANSLATE(C1377, ""en"", ""zh"")"),"显示2D条码")</f>
        <v>显示2D条码</v>
      </c>
      <c r="AL1377" s="6" t="s">
        <v>28063</v>
      </c>
    </row>
    <row r="1378" ht="15.75" hidden="1" customHeight="1">
      <c r="A1378" s="1" t="s">
        <v>38</v>
      </c>
      <c r="B1378" s="1" t="s">
        <v>28064</v>
      </c>
      <c r="C1378" s="1" t="s">
        <v>28065</v>
      </c>
      <c r="D1378" s="7" t="str">
        <f>IFERROR(__xludf.DUMMYFUNCTION("GOOGLETRANSLATE(C1378, ""en"", ""ar"")"),"جورجيا")</f>
        <v>جورجيا</v>
      </c>
      <c r="E1378" s="7" t="str">
        <f>IFERROR(__xludf.DUMMYFUNCTION("GOOGLETRANSLATE(C1378, ""en"", ""bg"")"),"Грузия")</f>
        <v>Грузия</v>
      </c>
      <c r="F1378" s="6" t="s">
        <v>132</v>
      </c>
      <c r="G1378" s="7" t="str">
        <f>IFERROR(__xludf.DUMMYFUNCTION("GOOGLETRANSLATE(C1378, ""en"", ""cs"")"),"Gruzie")</f>
        <v>Gruzie</v>
      </c>
      <c r="H1378" s="7" t="str">
        <f>IFERROR(__xludf.DUMMYFUNCTION("GOOGLETRANSLATE(C1378, ""en"", ""da"")"),"Georgia.")</f>
        <v>Georgia.</v>
      </c>
      <c r="I1378" s="1" t="s">
        <v>28066</v>
      </c>
      <c r="J1378" s="6" t="s">
        <v>132</v>
      </c>
      <c r="K1378" s="1" t="s">
        <v>28065</v>
      </c>
      <c r="L1378" s="7" t="str">
        <f>IFERROR(__xludf.DUMMYFUNCTION("GOOGLETRANSLATE(C1378, ""en"", ""fi"")"),"Georgia")</f>
        <v>Georgia</v>
      </c>
      <c r="M1378" s="1" t="s">
        <v>28067</v>
      </c>
      <c r="N1378" s="6" t="s">
        <v>132</v>
      </c>
      <c r="O1378" s="6" t="s">
        <v>132</v>
      </c>
      <c r="P1378" s="1" t="s">
        <v>28065</v>
      </c>
      <c r="Q1378" s="7" t="str">
        <f>IFERROR(__xludf.DUMMYFUNCTION("GOOGLETRANSLATE(C1378, ""en"", ""in"")"),"Georgia.")</f>
        <v>Georgia.</v>
      </c>
      <c r="R1378" s="7" t="str">
        <f>IFERROR(__xludf.DUMMYFUNCTION("GOOGLETRANSLATE(C1378, ""en"", ""it"")"),"Georgia")</f>
        <v>Georgia</v>
      </c>
      <c r="S1378" s="6" t="s">
        <v>132</v>
      </c>
      <c r="T1378" s="7" t="str">
        <f>IFERROR(__xludf.DUMMYFUNCTION("GOOGLETRANSLATE(C1378, ""en"", ""ja"")"),"ジョージア")</f>
        <v>ジョージア</v>
      </c>
      <c r="U1378" s="7" t="str">
        <f>IFERROR(__xludf.DUMMYFUNCTION("GOOGLETRANSLATE(C1378, ""en"", ""ko"")"),"그루지야")</f>
        <v>그루지야</v>
      </c>
      <c r="V1378" s="7" t="str">
        <f>IFERROR(__xludf.DUMMYFUNCTION("GOOGLETRANSLATE(C1378, ""en"", ""ms"")"),"Georgia")</f>
        <v>Georgia</v>
      </c>
      <c r="W1378" s="7" t="str">
        <f>IFERROR(__xludf.DUMMYFUNCTION("GOOGLETRANSLATE(C1378, ""en"", ""nl"")"),"Georgië")</f>
        <v>Georgië</v>
      </c>
      <c r="X1378" s="7" t="str">
        <f>IFERROR(__xludf.DUMMYFUNCTION("GOOGLETRANSLATE(C1378, ""en"", ""no"")"),"Georgia.")</f>
        <v>Georgia.</v>
      </c>
      <c r="Y1378" s="7" t="str">
        <f>IFERROR(__xludf.DUMMYFUNCTION("GOOGLETRANSLATE(C1378, ""en"", ""pl"")"),"Gruzja")</f>
        <v>Gruzja</v>
      </c>
      <c r="Z1378" s="7" t="str">
        <f>IFERROR(__xludf.DUMMYFUNCTION("GOOGLETRANSLATE(C1378, ""en"", ""pt"")"),"Geórgia")</f>
        <v>Geórgia</v>
      </c>
      <c r="AA1378" s="7" t="str">
        <f>IFERROR(__xludf.DUMMYFUNCTION("GOOGLETRANSLATE(C1378, ""en"", ""ro"")"),"Georgia")</f>
        <v>Georgia</v>
      </c>
      <c r="AB1378" s="1" t="s">
        <v>28068</v>
      </c>
      <c r="AC1378" s="7" t="str">
        <f>IFERROR(__xludf.DUMMYFUNCTION("GOOGLETRANSLATE(C1378, ""en"", ""sk"")"),"Gruzínsko")</f>
        <v>Gruzínsko</v>
      </c>
      <c r="AD1378" s="6" t="s">
        <v>132</v>
      </c>
      <c r="AE1378" s="1" t="s">
        <v>28069</v>
      </c>
      <c r="AF1378" s="7" t="str">
        <f>IFERROR(__xludf.DUMMYFUNCTION("GOOGLETRANSLATE(C1378, ""en"", ""sv"")"),"Georgien")</f>
        <v>Georgien</v>
      </c>
      <c r="AG1378" s="6" t="s">
        <v>132</v>
      </c>
      <c r="AH1378" s="7" t="str">
        <f>IFERROR(__xludf.DUMMYFUNCTION("GOOGLETRANSLATE(C1378, ""en"", ""tr"")"),"Gürcistan")</f>
        <v>Gürcistan</v>
      </c>
      <c r="AI1378" s="6" t="s">
        <v>132</v>
      </c>
      <c r="AJ1378" s="6" t="s">
        <v>132</v>
      </c>
      <c r="AK1378" s="7" t="str">
        <f>IFERROR(__xludf.DUMMYFUNCTION("GOOGLETRANSLATE(C1378, ""en"", ""zh"")"),"乔治亚州")</f>
        <v>乔治亚州</v>
      </c>
      <c r="AL1378" s="6" t="s">
        <v>132</v>
      </c>
    </row>
    <row r="1379" ht="15.75" customHeight="1">
      <c r="A1379" s="1" t="s">
        <v>127</v>
      </c>
      <c r="B1379" s="1" t="s">
        <v>28070</v>
      </c>
      <c r="C1379" s="1" t="s">
        <v>28071</v>
      </c>
      <c r="D1379" s="8" t="s">
        <v>28072</v>
      </c>
      <c r="E1379" s="1" t="s">
        <v>28073</v>
      </c>
      <c r="F1379" s="6" t="s">
        <v>132</v>
      </c>
      <c r="G1379" s="1" t="s">
        <v>28074</v>
      </c>
      <c r="H1379" s="1" t="s">
        <v>28075</v>
      </c>
      <c r="I1379" s="1" t="s">
        <v>28076</v>
      </c>
      <c r="J1379" s="6" t="s">
        <v>28077</v>
      </c>
      <c r="K1379" s="1" t="s">
        <v>28078</v>
      </c>
      <c r="L1379" s="1" t="s">
        <v>28079</v>
      </c>
      <c r="M1379" s="1" t="s">
        <v>28080</v>
      </c>
      <c r="N1379" s="6" t="s">
        <v>132</v>
      </c>
      <c r="O1379" s="6" t="s">
        <v>28081</v>
      </c>
      <c r="P1379" s="1" t="s">
        <v>28082</v>
      </c>
      <c r="Q1379" s="1" t="s">
        <v>28083</v>
      </c>
      <c r="R1379" s="1" t="s">
        <v>28084</v>
      </c>
      <c r="S1379" s="10" t="s">
        <v>28085</v>
      </c>
      <c r="T1379" s="1" t="s">
        <v>28086</v>
      </c>
      <c r="U1379" s="1" t="s">
        <v>28087</v>
      </c>
      <c r="V1379" s="1" t="s">
        <v>28083</v>
      </c>
      <c r="W1379" s="1" t="s">
        <v>28088</v>
      </c>
      <c r="X1379" s="1" t="s">
        <v>28089</v>
      </c>
      <c r="Y1379" s="1" t="s">
        <v>28090</v>
      </c>
      <c r="Z1379" s="1" t="s">
        <v>28091</v>
      </c>
      <c r="AA1379" s="1" t="s">
        <v>28092</v>
      </c>
      <c r="AB1379" s="1" t="s">
        <v>28093</v>
      </c>
      <c r="AC1379" s="1" t="s">
        <v>28094</v>
      </c>
      <c r="AD1379" s="6" t="s">
        <v>28095</v>
      </c>
      <c r="AE1379" s="1" t="s">
        <v>28096</v>
      </c>
      <c r="AF1379" s="1" t="s">
        <v>28097</v>
      </c>
      <c r="AG1379" s="6" t="s">
        <v>28098</v>
      </c>
      <c r="AH1379" s="1" t="s">
        <v>28099</v>
      </c>
      <c r="AI1379" s="6" t="s">
        <v>132</v>
      </c>
      <c r="AJ1379" s="6" t="s">
        <v>28100</v>
      </c>
      <c r="AK1379" s="1" t="s">
        <v>28101</v>
      </c>
      <c r="AL1379" s="6" t="s">
        <v>28102</v>
      </c>
    </row>
    <row r="1380" ht="15.75" hidden="1" customHeight="1">
      <c r="A1380" s="1" t="s">
        <v>38</v>
      </c>
      <c r="B1380" s="1" t="s">
        <v>28103</v>
      </c>
      <c r="C1380" s="1" t="s">
        <v>28104</v>
      </c>
      <c r="D1380" s="7" t="str">
        <f>IFERROR(__xludf.DUMMYFUNCTION("GOOGLETRANSLATE(C1380, ""en"", ""ar"")"),"سوازيلاند")</f>
        <v>سوازيلاند</v>
      </c>
      <c r="E1380" s="7" t="str">
        <f>IFERROR(__xludf.DUMMYFUNCTION("GOOGLETRANSLATE(C1380, ""en"", ""bg"")"),"Свазиленд")</f>
        <v>Свазиленд</v>
      </c>
      <c r="F1380" s="6" t="s">
        <v>132</v>
      </c>
      <c r="G1380" s="7" t="str">
        <f>IFERROR(__xludf.DUMMYFUNCTION("GOOGLETRANSLATE(C1380, ""en"", ""cs"")"),"Svazijsko")</f>
        <v>Svazijsko</v>
      </c>
      <c r="H1380" s="7" t="str">
        <f>IFERROR(__xludf.DUMMYFUNCTION("GOOGLETRANSLATE(C1380, ""en"", ""da"")"),"Swaziland.")</f>
        <v>Swaziland.</v>
      </c>
      <c r="I1380" s="1" t="s">
        <v>28105</v>
      </c>
      <c r="J1380" s="6" t="s">
        <v>132</v>
      </c>
      <c r="K1380" s="1" t="s">
        <v>28106</v>
      </c>
      <c r="L1380" s="7" t="str">
        <f>IFERROR(__xludf.DUMMYFUNCTION("GOOGLETRANSLATE(C1380, ""en"", ""fi"")"),"Swazimand")</f>
        <v>Swazimand</v>
      </c>
      <c r="M1380" s="1" t="s">
        <v>28104</v>
      </c>
      <c r="N1380" s="6" t="s">
        <v>132</v>
      </c>
      <c r="O1380" s="6" t="s">
        <v>132</v>
      </c>
      <c r="P1380" s="1" t="s">
        <v>28104</v>
      </c>
      <c r="Q1380" s="7" t="str">
        <f>IFERROR(__xludf.DUMMYFUNCTION("GOOGLETRANSLATE(C1380, ""en"", ""in"")"),"Swaziland.")</f>
        <v>Swaziland.</v>
      </c>
      <c r="R1380" s="7" t="str">
        <f>IFERROR(__xludf.DUMMYFUNCTION("GOOGLETRANSLATE(C1380, ""en"", ""it"")"),"Swaziland.")</f>
        <v>Swaziland.</v>
      </c>
      <c r="S1380" s="6" t="s">
        <v>132</v>
      </c>
      <c r="T1380" s="7" t="str">
        <f>IFERROR(__xludf.DUMMYFUNCTION("GOOGLETRANSLATE(C1380, ""en"", ""ja"")"),"スワジランド")</f>
        <v>スワジランド</v>
      </c>
      <c r="U1380" s="7" t="str">
        <f>IFERROR(__xludf.DUMMYFUNCTION("GOOGLETRANSLATE(C1380, ""en"", ""ko"")"),"스와질란드")</f>
        <v>스와질란드</v>
      </c>
      <c r="V1380" s="7" t="str">
        <f>IFERROR(__xludf.DUMMYFUNCTION("GOOGLETRANSLATE(C1380, ""en"", ""ms"")"),"Swaziland")</f>
        <v>Swaziland</v>
      </c>
      <c r="W1380" s="7" t="str">
        <f>IFERROR(__xludf.DUMMYFUNCTION("GOOGLETRANSLATE(C1380, ""en"", ""nl"")"),"Swaziland")</f>
        <v>Swaziland</v>
      </c>
      <c r="X1380" s="7" t="str">
        <f>IFERROR(__xludf.DUMMYFUNCTION("GOOGLETRANSLATE(C1380, ""en"", ""no"")"),"Swaziland.")</f>
        <v>Swaziland.</v>
      </c>
      <c r="Y1380" s="7" t="str">
        <f>IFERROR(__xludf.DUMMYFUNCTION("GOOGLETRANSLATE(C1380, ""en"", ""pl"")"),"Suaziland.")</f>
        <v>Suaziland.</v>
      </c>
      <c r="Z1380" s="7" t="str">
        <f>IFERROR(__xludf.DUMMYFUNCTION("GOOGLETRANSLATE(C1380, ""en"", ""pt"")"),"Suazilândia.")</f>
        <v>Suazilândia.</v>
      </c>
      <c r="AA1380" s="7" t="str">
        <f>IFERROR(__xludf.DUMMYFUNCTION("GOOGLETRANSLATE(C1380, ""en"", ""ro"")"),"Swaziland.")</f>
        <v>Swaziland.</v>
      </c>
      <c r="AB1380" s="1" t="s">
        <v>28107</v>
      </c>
      <c r="AC1380" s="7" t="str">
        <f>IFERROR(__xludf.DUMMYFUNCTION("GOOGLETRANSLATE(C1380, ""en"", ""sk"")"),"Swazijsko")</f>
        <v>Swazijsko</v>
      </c>
      <c r="AD1380" s="6" t="s">
        <v>132</v>
      </c>
      <c r="AE1380" s="1" t="s">
        <v>28108</v>
      </c>
      <c r="AF1380" s="7" t="str">
        <f>IFERROR(__xludf.DUMMYFUNCTION("GOOGLETRANSLATE(C1380, ""en"", ""sv"")"),"Swaziland")</f>
        <v>Swaziland</v>
      </c>
      <c r="AG1380" s="6" t="s">
        <v>132</v>
      </c>
      <c r="AH1380" s="7" t="str">
        <f>IFERROR(__xludf.DUMMYFUNCTION("GOOGLETRANSLATE(C1380, ""en"", ""tr"")"),"Svaziland")</f>
        <v>Svaziland</v>
      </c>
      <c r="AI1380" s="6" t="s">
        <v>132</v>
      </c>
      <c r="AJ1380" s="6" t="s">
        <v>132</v>
      </c>
      <c r="AK1380" s="7" t="str">
        <f>IFERROR(__xludf.DUMMYFUNCTION("GOOGLETRANSLATE(C1380, ""en"", ""zh"")"),"斯威士兰")</f>
        <v>斯威士兰</v>
      </c>
      <c r="AL1380" s="6" t="s">
        <v>132</v>
      </c>
    </row>
    <row r="1381" ht="15.75" hidden="1" customHeight="1">
      <c r="A1381" s="1" t="s">
        <v>38</v>
      </c>
      <c r="B1381" s="1" t="s">
        <v>28109</v>
      </c>
      <c r="C1381" s="1" t="s">
        <v>28110</v>
      </c>
      <c r="D1381" s="8" t="s">
        <v>28111</v>
      </c>
      <c r="E1381" s="1" t="s">
        <v>28112</v>
      </c>
      <c r="F1381" s="6" t="s">
        <v>28113</v>
      </c>
      <c r="G1381" s="7" t="str">
        <f>IFERROR(__xludf.DUMMYFUNCTION("GOOGLETRANSLATE(C1381, ""en"", ""cs"")"),"Tunel Všechna připojení prostřednictvím sítě TOR. Vyžaduje Orbot.")</f>
        <v>Tunel Všechna připojení prostřednictvím sítě TOR. Vyžaduje Orbot.</v>
      </c>
      <c r="H1381" s="7" t="str">
        <f>IFERROR(__xludf.DUMMYFUNCTION("GOOGLETRANSLATE(C1381, ""en"", ""da"")"),"Tunnel alle forbindelser via TOR-netværket. Kræver orbot.")</f>
        <v>Tunnel alle forbindelser via TOR-netværket. Kræver orbot.</v>
      </c>
      <c r="I1381" s="1" t="s">
        <v>28114</v>
      </c>
      <c r="J1381" s="6" t="s">
        <v>132</v>
      </c>
      <c r="K1381" s="1" t="s">
        <v>28115</v>
      </c>
      <c r="L1381" s="7" t="str">
        <f>IFERROR(__xludf.DUMMYFUNCTION("GOOGLETRANSLATE(C1381, ""en"", ""fi"")"),"Tunnel kaikki yhteydet TOR-verkon kautta. Vaatii Orbot")</f>
        <v>Tunnel kaikki yhteydet TOR-verkon kautta. Vaatii Orbot</v>
      </c>
      <c r="M1381" s="1" t="s">
        <v>28116</v>
      </c>
      <c r="N1381" s="6" t="s">
        <v>28117</v>
      </c>
      <c r="O1381" s="6" t="s">
        <v>132</v>
      </c>
      <c r="P1381" s="1" t="s">
        <v>28118</v>
      </c>
      <c r="Q1381" s="7" t="str">
        <f>IFERROR(__xludf.DUMMYFUNCTION("GOOGLETRANSLATE(C1381, ""en"", ""in"")"),"Terowongan semua koneksi melalui jaringan TOR. Membutuhkan orbot")</f>
        <v>Terowongan semua koneksi melalui jaringan TOR. Membutuhkan orbot</v>
      </c>
      <c r="R1381" s="1" t="s">
        <v>28119</v>
      </c>
      <c r="S1381" s="6" t="s">
        <v>132</v>
      </c>
      <c r="T1381" s="1" t="s">
        <v>28120</v>
      </c>
      <c r="U1381" s="1" t="s">
        <v>28121</v>
      </c>
      <c r="V1381" s="7" t="str">
        <f>IFERROR(__xludf.DUMMYFUNCTION("GOOGLETRANSLATE(C1381, ""en"", ""ms"")"),"Terowong semua sambungan melalui rangkaian TOR. Memerlukan orbot.")</f>
        <v>Terowong semua sambungan melalui rangkaian TOR. Memerlukan orbot.</v>
      </c>
      <c r="W1381" s="1" t="s">
        <v>28122</v>
      </c>
      <c r="X1381" s="7" t="str">
        <f>IFERROR(__xludf.DUMMYFUNCTION("GOOGLETRANSLATE(C1381, ""en"", ""no"")"),"Tunnel Alle tilkoblinger gjennom Tor-nettverket. Krever orbot")</f>
        <v>Tunnel Alle tilkoblinger gjennom Tor-nettverket. Krever orbot</v>
      </c>
      <c r="Y1381" s="1" t="s">
        <v>28123</v>
      </c>
      <c r="Z1381" s="1" t="s">
        <v>28124</v>
      </c>
      <c r="AA1381" s="7" t="str">
        <f>IFERROR(__xludf.DUMMYFUNCTION("GOOGLETRANSLATE(C1381, ""en"", ""ro"")"),"Tunel Toate conexiunile prin rețeaua TOR. Necesită orbot")</f>
        <v>Tunel Toate conexiunile prin rețeaua TOR. Necesită orbot</v>
      </c>
      <c r="AB1381" s="1" t="s">
        <v>28125</v>
      </c>
      <c r="AC1381" s="7" t="str">
        <f>IFERROR(__xludf.DUMMYFUNCTION("GOOGLETRANSLATE(C1381, ""en"", ""sk"")"),"Tunel Všetky pripojenia cez sieť TOR. Vyžaduje orbot")</f>
        <v>Tunel Všetky pripojenia cez sieť TOR. Vyžaduje orbot</v>
      </c>
      <c r="AD1381" s="6" t="s">
        <v>132</v>
      </c>
      <c r="AE1381" s="1" t="s">
        <v>28126</v>
      </c>
      <c r="AF1381" s="1" t="s">
        <v>28127</v>
      </c>
      <c r="AG1381" s="6" t="s">
        <v>132</v>
      </c>
      <c r="AH1381" s="7" t="str">
        <f>IFERROR(__xludf.DUMMYFUNCTION("GOOGLETRANSLATE(C1381, ""en"", ""tr"")"),"TÜNELİ TOOL ağındaki tüm bağlantıları. Orbot gerektirir")</f>
        <v>TÜNELİ TOOL ağındaki tüm bağlantıları. Orbot gerektirir</v>
      </c>
      <c r="AI1381" s="6" t="s">
        <v>28128</v>
      </c>
      <c r="AJ1381" s="6" t="s">
        <v>28129</v>
      </c>
      <c r="AK1381" s="7" t="str">
        <f>IFERROR(__xludf.DUMMYFUNCTION("GOOGLETRANSLATE(C1381, ""en"", ""zh"")"),"通过TOR网络隧道所有连接。需要orbot.")</f>
        <v>通过TOR网络隧道所有连接。需要orbot.</v>
      </c>
      <c r="AL1381" s="6" t="s">
        <v>28130</v>
      </c>
    </row>
    <row r="1382" ht="15.75" hidden="1" customHeight="1">
      <c r="A1382" s="1" t="s">
        <v>38</v>
      </c>
      <c r="B1382" s="1" t="s">
        <v>28131</v>
      </c>
      <c r="C1382" s="1" t="s">
        <v>28132</v>
      </c>
      <c r="D1382" s="8" t="s">
        <v>28133</v>
      </c>
      <c r="E1382" s="1" t="s">
        <v>28134</v>
      </c>
      <c r="F1382" s="6" t="s">
        <v>28135</v>
      </c>
      <c r="G1382" s="7" t="str">
        <f>IFERROR(__xludf.DUMMYFUNCTION("GOOGLETRANSLATE(C1382, ""en"", ""cs"")"),"Nechte své kontakty vědět, kdy vám píšete zprávy")</f>
        <v>Nechte své kontakty vědět, kdy vám píšete zprávy</v>
      </c>
      <c r="H1382" s="7" t="str">
        <f>IFERROR(__xludf.DUMMYFUNCTION("GOOGLETRANSLATE(C1382, ""en"", ""da"")"),"Lad dine kontakter vide, hvornår du skriver meddelelser til dem")</f>
        <v>Lad dine kontakter vide, hvornår du skriver meddelelser til dem</v>
      </c>
      <c r="I1382" s="1" t="s">
        <v>28136</v>
      </c>
      <c r="J1382" s="6" t="s">
        <v>132</v>
      </c>
      <c r="K1382" s="1" t="s">
        <v>28137</v>
      </c>
      <c r="L1382" s="7" t="str">
        <f>IFERROR(__xludf.DUMMYFUNCTION("GOOGLETRANSLATE(C1382, ""en"", ""fi"")"),"Anna yhteystietosi tietää, milloin kirjoitat heille viestejä")</f>
        <v>Anna yhteystietosi tietää, milloin kirjoitat heille viestejä</v>
      </c>
      <c r="M1382" s="1" t="s">
        <v>28138</v>
      </c>
      <c r="N1382" s="6" t="s">
        <v>28139</v>
      </c>
      <c r="O1382" s="6" t="s">
        <v>132</v>
      </c>
      <c r="P1382" s="1" t="s">
        <v>28140</v>
      </c>
      <c r="Q1382" s="7" t="str">
        <f>IFERROR(__xludf.DUMMYFUNCTION("GOOGLETRANSLATE(C1382, ""en"", ""in"")"),"Biarkan kontak Anda tahu ketika Anda menulis pesan kepada mereka")</f>
        <v>Biarkan kontak Anda tahu ketika Anda menulis pesan kepada mereka</v>
      </c>
      <c r="R1382" s="1" t="s">
        <v>28141</v>
      </c>
      <c r="S1382" s="6" t="s">
        <v>132</v>
      </c>
      <c r="T1382" s="1" t="s">
        <v>28142</v>
      </c>
      <c r="U1382" s="1" t="s">
        <v>28143</v>
      </c>
      <c r="V1382" s="7" t="str">
        <f>IFERROR(__xludf.DUMMYFUNCTION("GOOGLETRANSLATE(C1382, ""en"", ""ms"")"),"Biarkan kenalan anda tahu apabila anda menulis mesej kepada mereka")</f>
        <v>Biarkan kenalan anda tahu apabila anda menulis mesej kepada mereka</v>
      </c>
      <c r="W1382" s="1" t="s">
        <v>28144</v>
      </c>
      <c r="X1382" s="7" t="str">
        <f>IFERROR(__xludf.DUMMYFUNCTION("GOOGLETRANSLATE(C1382, ""en"", ""no"")"),"La kontaktene dine vite når du skriver meldinger til dem")</f>
        <v>La kontaktene dine vite når du skriver meldinger til dem</v>
      </c>
      <c r="Y1382" s="1" t="s">
        <v>28145</v>
      </c>
      <c r="Z1382" s="1" t="s">
        <v>28146</v>
      </c>
      <c r="AA1382" s="7" t="str">
        <f>IFERROR(__xludf.DUMMYFUNCTION("GOOGLETRANSLATE(C1382, ""en"", ""ro"")"),"Lăsați contactele dvs. să știe când scrieți mesaje către ei")</f>
        <v>Lăsați contactele dvs. să știe când scrieți mesaje către ei</v>
      </c>
      <c r="AB1382" s="1" t="s">
        <v>28147</v>
      </c>
      <c r="AC1382" s="7" t="str">
        <f>IFERROR(__xludf.DUMMYFUNCTION("GOOGLETRANSLATE(C1382, ""en"", ""sk"")"),"Nechajte svoje kontakty vedieť, keď ich píšete správy")</f>
        <v>Nechajte svoje kontakty vedieť, keď ich píšete správy</v>
      </c>
      <c r="AD1382" s="6" t="s">
        <v>132</v>
      </c>
      <c r="AE1382" s="1" t="s">
        <v>28148</v>
      </c>
      <c r="AF1382" s="1" t="s">
        <v>28149</v>
      </c>
      <c r="AG1382" s="6" t="s">
        <v>132</v>
      </c>
      <c r="AH1382" s="7" t="str">
        <f>IFERROR(__xludf.DUMMYFUNCTION("GOOGLETRANSLATE(C1382, ""en"", ""tr"")"),"Kişilerinizin kendilerine mesaj yazdığınızı bilmesine izin verin.")</f>
        <v>Kişilerinizin kendilerine mesaj yazdığınızı bilmesine izin verin.</v>
      </c>
      <c r="AI1382" s="6" t="s">
        <v>28150</v>
      </c>
      <c r="AJ1382" s="6" t="s">
        <v>132</v>
      </c>
      <c r="AK1382" s="7" t="str">
        <f>IFERROR(__xludf.DUMMYFUNCTION("GOOGLETRANSLATE(C1382, ""en"", ""zh"")"),"让您的联系人了解您的何时向他们写邮件")</f>
        <v>让您的联系人了解您的何时向他们写邮件</v>
      </c>
      <c r="AL1382" s="6" t="s">
        <v>28151</v>
      </c>
    </row>
    <row r="1383" ht="15.75" customHeight="1">
      <c r="A1383" s="1" t="s">
        <v>127</v>
      </c>
      <c r="B1383" s="1" t="s">
        <v>28152</v>
      </c>
      <c r="C1383" s="1" t="s">
        <v>28153</v>
      </c>
      <c r="D1383" s="8" t="s">
        <v>28154</v>
      </c>
      <c r="E1383" s="1" t="s">
        <v>28155</v>
      </c>
      <c r="F1383" s="6" t="s">
        <v>132</v>
      </c>
      <c r="G1383" s="1" t="s">
        <v>28156</v>
      </c>
      <c r="H1383" s="1" t="s">
        <v>28157</v>
      </c>
      <c r="I1383" s="1" t="s">
        <v>28158</v>
      </c>
      <c r="J1383" s="6" t="s">
        <v>28159</v>
      </c>
      <c r="K1383" s="1" t="s">
        <v>28160</v>
      </c>
      <c r="L1383" s="1" t="s">
        <v>28161</v>
      </c>
      <c r="M1383" s="1" t="s">
        <v>28162</v>
      </c>
      <c r="N1383" s="6" t="s">
        <v>132</v>
      </c>
      <c r="O1383" s="6" t="s">
        <v>28163</v>
      </c>
      <c r="P1383" s="1" t="s">
        <v>28164</v>
      </c>
      <c r="Q1383" s="1" t="s">
        <v>28165</v>
      </c>
      <c r="R1383" s="1" t="s">
        <v>28166</v>
      </c>
      <c r="S1383" s="10" t="s">
        <v>28167</v>
      </c>
      <c r="T1383" s="1" t="s">
        <v>28168</v>
      </c>
      <c r="U1383" s="1" t="s">
        <v>28169</v>
      </c>
      <c r="V1383" s="1" t="s">
        <v>28170</v>
      </c>
      <c r="W1383" s="1" t="s">
        <v>28171</v>
      </c>
      <c r="X1383" s="1" t="s">
        <v>28172</v>
      </c>
      <c r="Y1383" s="1" t="s">
        <v>28173</v>
      </c>
      <c r="Z1383" s="1" t="s">
        <v>28174</v>
      </c>
      <c r="AA1383" s="1" t="s">
        <v>28175</v>
      </c>
      <c r="AB1383" s="1" t="s">
        <v>28176</v>
      </c>
      <c r="AC1383" s="1" t="s">
        <v>28177</v>
      </c>
      <c r="AD1383" s="6" t="s">
        <v>28178</v>
      </c>
      <c r="AE1383" s="1" t="s">
        <v>28179</v>
      </c>
      <c r="AF1383" s="1" t="s">
        <v>28180</v>
      </c>
      <c r="AG1383" s="6" t="s">
        <v>28181</v>
      </c>
      <c r="AH1383" s="1" t="s">
        <v>28182</v>
      </c>
      <c r="AI1383" s="6" t="s">
        <v>132</v>
      </c>
      <c r="AJ1383" s="6" t="s">
        <v>28183</v>
      </c>
      <c r="AK1383" s="1" t="s">
        <v>28184</v>
      </c>
      <c r="AL1383" s="6" t="s">
        <v>28185</v>
      </c>
    </row>
    <row r="1384" ht="15.75" hidden="1" customHeight="1">
      <c r="A1384" s="1" t="s">
        <v>38</v>
      </c>
      <c r="B1384" s="1" t="s">
        <v>28186</v>
      </c>
      <c r="C1384" s="1" t="s">
        <v>28187</v>
      </c>
      <c r="D1384" s="7" t="str">
        <f>IFERROR(__xludf.DUMMYFUNCTION("GOOGLETRANSLATE(C1384, ""en"", ""ar"")"),"أفغانستان")</f>
        <v>أفغانستان</v>
      </c>
      <c r="E1384" s="7" t="str">
        <f>IFERROR(__xludf.DUMMYFUNCTION("GOOGLETRANSLATE(C1384, ""en"", ""bg"")"),"Афганистан")</f>
        <v>Афганистан</v>
      </c>
      <c r="F1384" s="6" t="s">
        <v>132</v>
      </c>
      <c r="G1384" s="7" t="str">
        <f>IFERROR(__xludf.DUMMYFUNCTION("GOOGLETRANSLATE(C1384, ""en"", ""cs"")"),"Afghánistán")</f>
        <v>Afghánistán</v>
      </c>
      <c r="H1384" s="7" t="str">
        <f>IFERROR(__xludf.DUMMYFUNCTION("GOOGLETRANSLATE(C1384, ""en"", ""da"")"),"Afghanistan.")</f>
        <v>Afghanistan.</v>
      </c>
      <c r="I1384" s="1" t="s">
        <v>28187</v>
      </c>
      <c r="J1384" s="6" t="s">
        <v>132</v>
      </c>
      <c r="K1384" s="1" t="s">
        <v>28187</v>
      </c>
      <c r="L1384" s="7" t="str">
        <f>IFERROR(__xludf.DUMMYFUNCTION("GOOGLETRANSLATE(C1384, ""en"", ""fi"")"),"Afganistan")</f>
        <v>Afganistan</v>
      </c>
      <c r="M1384" s="1" t="s">
        <v>28187</v>
      </c>
      <c r="N1384" s="6" t="s">
        <v>132</v>
      </c>
      <c r="O1384" s="6" t="s">
        <v>132</v>
      </c>
      <c r="P1384" s="1" t="s">
        <v>28187</v>
      </c>
      <c r="Q1384" s="7" t="str">
        <f>IFERROR(__xludf.DUMMYFUNCTION("GOOGLETRANSLATE(C1384, ""en"", ""in"")"),"Afganistan")</f>
        <v>Afganistan</v>
      </c>
      <c r="R1384" s="7" t="str">
        <f>IFERROR(__xludf.DUMMYFUNCTION("GOOGLETRANSLATE(C1384, ""en"", ""it"")"),"Afghanistan.")</f>
        <v>Afghanistan.</v>
      </c>
      <c r="S1384" s="6" t="s">
        <v>132</v>
      </c>
      <c r="T1384" s="7" t="str">
        <f>IFERROR(__xludf.DUMMYFUNCTION("GOOGLETRANSLATE(C1384, ""en"", ""ja"")"),"アフガニスタン")</f>
        <v>アフガニスタン</v>
      </c>
      <c r="U1384" s="7" t="str">
        <f>IFERROR(__xludf.DUMMYFUNCTION("GOOGLETRANSLATE(C1384, ""en"", ""ko"")"),"아프가니스탄")</f>
        <v>아프가니스탄</v>
      </c>
      <c r="V1384" s="7" t="str">
        <f>IFERROR(__xludf.DUMMYFUNCTION("GOOGLETRANSLATE(C1384, ""en"", ""ms"")"),"Afghanistan")</f>
        <v>Afghanistan</v>
      </c>
      <c r="W1384" s="7" t="str">
        <f>IFERROR(__xludf.DUMMYFUNCTION("GOOGLETRANSLATE(C1384, ""en"", ""nl"")"),"Afghanistan")</f>
        <v>Afghanistan</v>
      </c>
      <c r="X1384" s="7" t="str">
        <f>IFERROR(__xludf.DUMMYFUNCTION("GOOGLETRANSLATE(C1384, ""en"", ""no"")"),"Afghanistan")</f>
        <v>Afghanistan</v>
      </c>
      <c r="Y1384" s="7" t="str">
        <f>IFERROR(__xludf.DUMMYFUNCTION("GOOGLETRANSLATE(C1384, ""en"", ""pl"")"),"Afganistan")</f>
        <v>Afganistan</v>
      </c>
      <c r="Z1384" s="7" t="str">
        <f>IFERROR(__xludf.DUMMYFUNCTION("GOOGLETRANSLATE(C1384, ""en"", ""pt"")"),"Afeganistão")</f>
        <v>Afeganistão</v>
      </c>
      <c r="AA1384" s="7" t="str">
        <f>IFERROR(__xludf.DUMMYFUNCTION("GOOGLETRANSLATE(C1384, ""en"", ""ro"")"),"Afganistan.")</f>
        <v>Afganistan.</v>
      </c>
      <c r="AB1384" s="1" t="s">
        <v>28188</v>
      </c>
      <c r="AC1384" s="7" t="str">
        <f>IFERROR(__xludf.DUMMYFUNCTION("GOOGLETRANSLATE(C1384, ""en"", ""sk"")"),"Afganistan")</f>
        <v>Afganistan</v>
      </c>
      <c r="AD1384" s="6" t="s">
        <v>132</v>
      </c>
      <c r="AE1384" s="1" t="s">
        <v>28189</v>
      </c>
      <c r="AF1384" s="7" t="str">
        <f>IFERROR(__xludf.DUMMYFUNCTION("GOOGLETRANSLATE(C1384, ""en"", ""sv"")"),"Afghanistan")</f>
        <v>Afghanistan</v>
      </c>
      <c r="AG1384" s="6" t="s">
        <v>132</v>
      </c>
      <c r="AH1384" s="7" t="str">
        <f>IFERROR(__xludf.DUMMYFUNCTION("GOOGLETRANSLATE(C1384, ""en"", ""tr"")"),"Afganistan")</f>
        <v>Afganistan</v>
      </c>
      <c r="AI1384" s="6" t="s">
        <v>132</v>
      </c>
      <c r="AJ1384" s="6" t="s">
        <v>132</v>
      </c>
      <c r="AK1384" s="7" t="str">
        <f>IFERROR(__xludf.DUMMYFUNCTION("GOOGLETRANSLATE(C1384, ""en"", ""zh"")"),"阿富汗")</f>
        <v>阿富汗</v>
      </c>
      <c r="AL1384" s="6" t="s">
        <v>132</v>
      </c>
    </row>
    <row r="1385" ht="15.75" hidden="1" customHeight="1">
      <c r="A1385" s="1" t="s">
        <v>38</v>
      </c>
      <c r="B1385" s="1" t="s">
        <v>28190</v>
      </c>
      <c r="C1385" s="1" t="s">
        <v>28191</v>
      </c>
      <c r="D1385" s="8" t="s">
        <v>28192</v>
      </c>
      <c r="E1385" s="1" t="s">
        <v>28193</v>
      </c>
      <c r="F1385" s="6" t="s">
        <v>28194</v>
      </c>
      <c r="G1385" s="7" t="str">
        <f>IFERROR(__xludf.DUMMYFUNCTION("GOOGLETRANSLATE(C1385, ""en"", ""cs"")"),"Vybrat")</f>
        <v>Vybrat</v>
      </c>
      <c r="H1385" s="7" t="str">
        <f>IFERROR(__xludf.DUMMYFUNCTION("GOOGLETRANSLATE(C1385, ""en"", ""da"")"),"Vælg")</f>
        <v>Vælg</v>
      </c>
      <c r="I1385" s="1" t="s">
        <v>28195</v>
      </c>
      <c r="J1385" s="6" t="s">
        <v>132</v>
      </c>
      <c r="K1385" s="1" t="s">
        <v>28196</v>
      </c>
      <c r="L1385" s="7" t="str">
        <f>IFERROR(__xludf.DUMMYFUNCTION("GOOGLETRANSLATE(C1385, ""en"", ""fi"")"),"Valitse")</f>
        <v>Valitse</v>
      </c>
      <c r="M1385" s="1" t="s">
        <v>28197</v>
      </c>
      <c r="N1385" s="6" t="s">
        <v>28198</v>
      </c>
      <c r="O1385" s="6" t="s">
        <v>132</v>
      </c>
      <c r="P1385" s="1" t="s">
        <v>28199</v>
      </c>
      <c r="Q1385" s="9" t="s">
        <v>28200</v>
      </c>
      <c r="R1385" s="1" t="s">
        <v>28201</v>
      </c>
      <c r="S1385" s="6" t="s">
        <v>132</v>
      </c>
      <c r="T1385" s="1" t="s">
        <v>28202</v>
      </c>
      <c r="U1385" s="1" t="s">
        <v>28203</v>
      </c>
      <c r="V1385" s="7" t="str">
        <f>IFERROR(__xludf.DUMMYFUNCTION("GOOGLETRANSLATE(C1385, ""en"", ""ms"")"),"Pilih")</f>
        <v>Pilih</v>
      </c>
      <c r="W1385" s="1" t="s">
        <v>28204</v>
      </c>
      <c r="X1385" s="7" t="str">
        <f>IFERROR(__xludf.DUMMYFUNCTION("GOOGLETRANSLATE(C1385, ""en"", ""no"")"),"Å velge")</f>
        <v>Å velge</v>
      </c>
      <c r="Y1385" s="1" t="s">
        <v>28205</v>
      </c>
      <c r="Z1385" s="1" t="s">
        <v>28198</v>
      </c>
      <c r="AA1385" s="7" t="str">
        <f>IFERROR(__xludf.DUMMYFUNCTION("GOOGLETRANSLATE(C1385, ""en"", ""ro"")"),"Selectați")</f>
        <v>Selectați</v>
      </c>
      <c r="AB1385" s="1" t="s">
        <v>28206</v>
      </c>
      <c r="AC1385" s="7" t="str">
        <f>IFERROR(__xludf.DUMMYFUNCTION("GOOGLETRANSLATE(C1385, ""en"", ""sk"")"),"Vybrať")</f>
        <v>Vybrať</v>
      </c>
      <c r="AD1385" s="6" t="s">
        <v>132</v>
      </c>
      <c r="AE1385" s="1" t="s">
        <v>28207</v>
      </c>
      <c r="AF1385" s="1" t="s">
        <v>28208</v>
      </c>
      <c r="AG1385" s="6" t="s">
        <v>132</v>
      </c>
      <c r="AH1385" s="7" t="str">
        <f>IFERROR(__xludf.DUMMYFUNCTION("GOOGLETRANSLATE(C1385, ""en"", ""tr"")"),"Seçmek")</f>
        <v>Seçmek</v>
      </c>
      <c r="AI1385" s="6" t="s">
        <v>28209</v>
      </c>
      <c r="AJ1385" s="6" t="s">
        <v>28210</v>
      </c>
      <c r="AK1385" s="7" t="str">
        <f>IFERROR(__xludf.DUMMYFUNCTION("GOOGLETRANSLATE(C1385, ""en"", ""zh"")"),"选择")</f>
        <v>选择</v>
      </c>
      <c r="AL1385" s="6" t="s">
        <v>28211</v>
      </c>
    </row>
    <row r="1386" ht="15.75" hidden="1" customHeight="1">
      <c r="A1386" s="1" t="s">
        <v>38</v>
      </c>
      <c r="B1386" s="1" t="s">
        <v>28212</v>
      </c>
      <c r="C1386" s="1" t="s">
        <v>28213</v>
      </c>
      <c r="D1386" s="8" t="s">
        <v>28214</v>
      </c>
      <c r="E1386" s="1" t="s">
        <v>28215</v>
      </c>
      <c r="F1386" s="6" t="s">
        <v>28216</v>
      </c>
      <c r="G1386" s="7" t="str">
        <f>IFERROR(__xludf.DUMMYFUNCTION("GOOGLETRANSLATE(C1386, ""en"", ""cs"")"),"Pozvěte kontakt")</f>
        <v>Pozvěte kontakt</v>
      </c>
      <c r="H1386" s="7" t="str">
        <f>IFERROR(__xludf.DUMMYFUNCTION("GOOGLETRANSLATE(C1386, ""en"", ""da"")"),"Inviter kontakt")</f>
        <v>Inviter kontakt</v>
      </c>
      <c r="I1386" s="1" t="s">
        <v>28217</v>
      </c>
      <c r="J1386" s="6" t="s">
        <v>132</v>
      </c>
      <c r="K1386" s="1" t="s">
        <v>28218</v>
      </c>
      <c r="L1386" s="7" t="str">
        <f>IFERROR(__xludf.DUMMYFUNCTION("GOOGLETRANSLATE(C1386, ""en"", ""fi"")"),"Kutsu yhteystieto")</f>
        <v>Kutsu yhteystieto</v>
      </c>
      <c r="M1386" s="1" t="s">
        <v>28219</v>
      </c>
      <c r="N1386" s="6" t="s">
        <v>28220</v>
      </c>
      <c r="O1386" s="6" t="s">
        <v>132</v>
      </c>
      <c r="P1386" s="1" t="s">
        <v>28221</v>
      </c>
      <c r="Q1386" s="7" t="str">
        <f>IFERROR(__xludf.DUMMYFUNCTION("GOOGLETRANSLATE(C1386, ""en"", ""in"")"),"Undang Kontak")</f>
        <v>Undang Kontak</v>
      </c>
      <c r="R1386" s="1" t="s">
        <v>28222</v>
      </c>
      <c r="S1386" s="6" t="s">
        <v>132</v>
      </c>
      <c r="T1386" s="1" t="s">
        <v>28223</v>
      </c>
      <c r="U1386" s="7" t="str">
        <f>IFERROR(__xludf.DUMMYFUNCTION("GOOGLETRANSLATE(C1386, ""en"", ""ko"")"),"접촉을 초대하십시오")</f>
        <v>접촉을 초대하십시오</v>
      </c>
      <c r="V1386" s="7" t="str">
        <f>IFERROR(__xludf.DUMMYFUNCTION("GOOGLETRANSLATE(C1386, ""en"", ""ms"")"),"Jemput hubungi")</f>
        <v>Jemput hubungi</v>
      </c>
      <c r="W1386" s="1" t="s">
        <v>28224</v>
      </c>
      <c r="X1386" s="7" t="str">
        <f>IFERROR(__xludf.DUMMYFUNCTION("GOOGLETRANSLATE(C1386, ""en"", ""no"")"),"Inviter kontakten")</f>
        <v>Inviter kontakten</v>
      </c>
      <c r="Y1386" s="1" t="s">
        <v>28225</v>
      </c>
      <c r="Z1386" s="1" t="s">
        <v>28226</v>
      </c>
      <c r="AA1386" s="7" t="str">
        <f>IFERROR(__xludf.DUMMYFUNCTION("GOOGLETRANSLATE(C1386, ""en"", ""ro"")"),"Invită contact")</f>
        <v>Invită contact</v>
      </c>
      <c r="AB1386" s="1" t="s">
        <v>28227</v>
      </c>
      <c r="AC1386" s="7" t="str">
        <f>IFERROR(__xludf.DUMMYFUNCTION("GOOGLETRANSLATE(C1386, ""en"", ""sk"")"),"Pozvať")</f>
        <v>Pozvať</v>
      </c>
      <c r="AD1386" s="6" t="s">
        <v>132</v>
      </c>
      <c r="AE1386" s="1" t="s">
        <v>28228</v>
      </c>
      <c r="AF1386" s="7" t="str">
        <f>IFERROR(__xludf.DUMMYFUNCTION("GOOGLETRANSLATE(C1386, ""en"", ""sv"")"),"Bjud in kontakt")</f>
        <v>Bjud in kontakt</v>
      </c>
      <c r="AG1386" s="6" t="s">
        <v>132</v>
      </c>
      <c r="AH1386" s="7" t="str">
        <f>IFERROR(__xludf.DUMMYFUNCTION("GOOGLETRANSLATE(C1386, ""en"", ""tr"")"),"Bağlantıyı davet et")</f>
        <v>Bağlantıyı davet et</v>
      </c>
      <c r="AI1386" s="6" t="s">
        <v>132</v>
      </c>
      <c r="AJ1386" s="6" t="s">
        <v>132</v>
      </c>
      <c r="AK1386" s="7" t="str">
        <f>IFERROR(__xludf.DUMMYFUNCTION("GOOGLETRANSLATE(C1386, ""en"", ""zh"")"),"邀请联系人")</f>
        <v>邀请联系人</v>
      </c>
      <c r="AL1386" s="6" t="s">
        <v>132</v>
      </c>
    </row>
    <row r="1387" ht="15.75" customHeight="1">
      <c r="A1387" s="1" t="s">
        <v>127</v>
      </c>
      <c r="B1387" s="1" t="s">
        <v>28229</v>
      </c>
      <c r="C1387" s="1" t="s">
        <v>28230</v>
      </c>
      <c r="D1387" s="8" t="s">
        <v>28231</v>
      </c>
      <c r="E1387" s="1" t="s">
        <v>28232</v>
      </c>
      <c r="F1387" s="6" t="s">
        <v>132</v>
      </c>
      <c r="G1387" s="1" t="s">
        <v>28233</v>
      </c>
      <c r="H1387" s="1" t="s">
        <v>28234</v>
      </c>
      <c r="I1387" s="1" t="s">
        <v>28235</v>
      </c>
      <c r="J1387" s="6" t="s">
        <v>28236</v>
      </c>
      <c r="K1387" s="1" t="s">
        <v>28237</v>
      </c>
      <c r="L1387" s="1" t="s">
        <v>28238</v>
      </c>
      <c r="M1387" s="1" t="s">
        <v>28239</v>
      </c>
      <c r="N1387" s="6" t="s">
        <v>132</v>
      </c>
      <c r="O1387" s="6" t="s">
        <v>28240</v>
      </c>
      <c r="P1387" s="1" t="s">
        <v>28241</v>
      </c>
      <c r="Q1387" s="1" t="s">
        <v>28242</v>
      </c>
      <c r="R1387" s="1" t="s">
        <v>28243</v>
      </c>
      <c r="S1387" s="10" t="s">
        <v>28244</v>
      </c>
      <c r="T1387" s="1" t="s">
        <v>28245</v>
      </c>
      <c r="U1387" s="1" t="s">
        <v>28246</v>
      </c>
      <c r="V1387" s="1" t="s">
        <v>28247</v>
      </c>
      <c r="W1387" s="1" t="s">
        <v>4880</v>
      </c>
      <c r="X1387" s="1" t="s">
        <v>28234</v>
      </c>
      <c r="Y1387" s="1" t="s">
        <v>28248</v>
      </c>
      <c r="Z1387" s="1" t="s">
        <v>28249</v>
      </c>
      <c r="AA1387" s="1" t="s">
        <v>28250</v>
      </c>
      <c r="AB1387" s="1" t="s">
        <v>28251</v>
      </c>
      <c r="AC1387" s="1" t="s">
        <v>28252</v>
      </c>
      <c r="AD1387" s="6" t="s">
        <v>28253</v>
      </c>
      <c r="AE1387" s="1" t="s">
        <v>4884</v>
      </c>
      <c r="AF1387" s="1" t="s">
        <v>28254</v>
      </c>
      <c r="AG1387" s="6" t="s">
        <v>28255</v>
      </c>
      <c r="AH1387" s="1" t="s">
        <v>28256</v>
      </c>
      <c r="AI1387" s="6" t="s">
        <v>132</v>
      </c>
      <c r="AJ1387" s="6" t="s">
        <v>28257</v>
      </c>
      <c r="AK1387" s="1" t="s">
        <v>28258</v>
      </c>
      <c r="AL1387" s="6" t="s">
        <v>28259</v>
      </c>
    </row>
    <row r="1388" ht="15.75" customHeight="1">
      <c r="A1388" s="1" t="s">
        <v>127</v>
      </c>
      <c r="B1388" s="1" t="s">
        <v>28260</v>
      </c>
      <c r="C1388" s="1" t="s">
        <v>28261</v>
      </c>
      <c r="D1388" s="8" t="s">
        <v>28262</v>
      </c>
      <c r="E1388" s="1" t="s">
        <v>28263</v>
      </c>
      <c r="F1388" s="6" t="s">
        <v>132</v>
      </c>
      <c r="G1388" s="1" t="s">
        <v>28264</v>
      </c>
      <c r="H1388" s="1" t="s">
        <v>28265</v>
      </c>
      <c r="I1388" s="1" t="s">
        <v>28266</v>
      </c>
      <c r="J1388" s="6" t="s">
        <v>28267</v>
      </c>
      <c r="K1388" s="1" t="s">
        <v>28268</v>
      </c>
      <c r="L1388" s="1" t="s">
        <v>28269</v>
      </c>
      <c r="M1388" s="1" t="s">
        <v>28270</v>
      </c>
      <c r="N1388" s="6" t="s">
        <v>132</v>
      </c>
      <c r="O1388" s="6" t="s">
        <v>28271</v>
      </c>
      <c r="P1388" s="1" t="s">
        <v>28272</v>
      </c>
      <c r="Q1388" s="1" t="s">
        <v>28273</v>
      </c>
      <c r="R1388" s="1" t="s">
        <v>23175</v>
      </c>
      <c r="S1388" s="10" t="s">
        <v>28274</v>
      </c>
      <c r="T1388" s="1" t="s">
        <v>28275</v>
      </c>
      <c r="U1388" s="1" t="s">
        <v>23178</v>
      </c>
      <c r="V1388" s="1" t="s">
        <v>28276</v>
      </c>
      <c r="W1388" s="1" t="s">
        <v>28277</v>
      </c>
      <c r="X1388" s="1" t="s">
        <v>28278</v>
      </c>
      <c r="Y1388" s="1" t="s">
        <v>28279</v>
      </c>
      <c r="Z1388" s="1" t="s">
        <v>28280</v>
      </c>
      <c r="AA1388" s="1" t="s">
        <v>28281</v>
      </c>
      <c r="AB1388" s="1" t="s">
        <v>28282</v>
      </c>
      <c r="AC1388" s="1" t="s">
        <v>28283</v>
      </c>
      <c r="AD1388" s="6" t="s">
        <v>28284</v>
      </c>
      <c r="AE1388" s="1" t="s">
        <v>28285</v>
      </c>
      <c r="AF1388" s="1" t="s">
        <v>28286</v>
      </c>
      <c r="AG1388" s="6" t="s">
        <v>23190</v>
      </c>
      <c r="AH1388" s="1" t="s">
        <v>28287</v>
      </c>
      <c r="AI1388" s="6" t="s">
        <v>132</v>
      </c>
      <c r="AJ1388" s="6" t="s">
        <v>23192</v>
      </c>
      <c r="AK1388" s="1" t="s">
        <v>23193</v>
      </c>
      <c r="AL1388" s="6" t="s">
        <v>23194</v>
      </c>
    </row>
    <row r="1389" ht="15.75" hidden="1" customHeight="1">
      <c r="A1389" s="1" t="s">
        <v>38</v>
      </c>
      <c r="B1389" s="1" t="s">
        <v>28288</v>
      </c>
      <c r="C1389" s="1" t="s">
        <v>28289</v>
      </c>
      <c r="D1389" s="8" t="s">
        <v>28290</v>
      </c>
      <c r="E1389" s="1" t="s">
        <v>28291</v>
      </c>
      <c r="F1389" s="6" t="s">
        <v>28292</v>
      </c>
      <c r="G1389" s="7" t="str">
        <f>IFERROR(__xludf.DUMMYFUNCTION("GOOGLETRANSLATE(C1389, ""en"", ""cs"")"),"Naposledy viděla před 1 minutou")</f>
        <v>Naposledy viděla před 1 minutou</v>
      </c>
      <c r="H1389" s="7" t="str">
        <f>IFERROR(__xludf.DUMMYFUNCTION("GOOGLETRANSLATE(C1389, ""en"", ""da"")"),"sidst set 1 minut siden")</f>
        <v>sidst set 1 minut siden</v>
      </c>
      <c r="I1389" s="1" t="s">
        <v>28293</v>
      </c>
      <c r="J1389" s="6" t="s">
        <v>132</v>
      </c>
      <c r="K1389" s="1" t="s">
        <v>28294</v>
      </c>
      <c r="L1389" s="7" t="str">
        <f>IFERROR(__xludf.DUMMYFUNCTION("GOOGLETRANSLATE(C1389, ""en"", ""fi"")"),"Viimeksi nähty 1 minuutti sitten")</f>
        <v>Viimeksi nähty 1 minuutti sitten</v>
      </c>
      <c r="M1389" s="1" t="s">
        <v>28295</v>
      </c>
      <c r="N1389" s="6" t="s">
        <v>28296</v>
      </c>
      <c r="O1389" s="6" t="s">
        <v>132</v>
      </c>
      <c r="P1389" s="1" t="s">
        <v>28297</v>
      </c>
      <c r="Q1389" s="9" t="s">
        <v>28298</v>
      </c>
      <c r="R1389" s="1" t="s">
        <v>28299</v>
      </c>
      <c r="S1389" s="6" t="s">
        <v>132</v>
      </c>
      <c r="T1389" s="1" t="s">
        <v>28300</v>
      </c>
      <c r="U1389" s="1" t="s">
        <v>28301</v>
      </c>
      <c r="V1389" s="7" t="str">
        <f>IFERROR(__xludf.DUMMYFUNCTION("GOOGLETRANSLATE(C1389, ""en"", ""ms"")"),"terakhir dilihat 1 minit yang lalu")</f>
        <v>terakhir dilihat 1 minit yang lalu</v>
      </c>
      <c r="W1389" s="1" t="s">
        <v>28302</v>
      </c>
      <c r="X1389" s="7" t="str">
        <f>IFERROR(__xludf.DUMMYFUNCTION("GOOGLETRANSLATE(C1389, ""en"", ""no"")"),"Sist sett 1 minutt siden")</f>
        <v>Sist sett 1 minutt siden</v>
      </c>
      <c r="Y1389" s="1" t="s">
        <v>28303</v>
      </c>
      <c r="Z1389" s="1" t="s">
        <v>28304</v>
      </c>
      <c r="AA1389" s="7" t="str">
        <f>IFERROR(__xludf.DUMMYFUNCTION("GOOGLETRANSLATE(C1389, ""en"", ""ro"")"),"Ultima văzut acum 1 minut")</f>
        <v>Ultima văzut acum 1 minut</v>
      </c>
      <c r="AB1389" s="1" t="s">
        <v>28305</v>
      </c>
      <c r="AC1389" s="1" t="s">
        <v>28306</v>
      </c>
      <c r="AD1389" s="6" t="s">
        <v>132</v>
      </c>
      <c r="AE1389" s="1" t="s">
        <v>28307</v>
      </c>
      <c r="AF1389" s="1" t="s">
        <v>28308</v>
      </c>
      <c r="AG1389" s="6" t="s">
        <v>132</v>
      </c>
      <c r="AH1389" s="7" t="str">
        <f>IFERROR(__xludf.DUMMYFUNCTION("GOOGLETRANSLATE(C1389, ""en"", ""tr"")"),"Son görülen 1 dakika önce")</f>
        <v>Son görülen 1 dakika önce</v>
      </c>
      <c r="AI1389" s="6" t="s">
        <v>28309</v>
      </c>
      <c r="AJ1389" s="6" t="s">
        <v>28310</v>
      </c>
      <c r="AK1389" s="7" t="str">
        <f>IFERROR(__xludf.DUMMYFUNCTION("GOOGLETRANSLATE(C1389, ""en"", ""zh"")"),"最后一次见到1分钟前")</f>
        <v>最后一次见到1分钟前</v>
      </c>
      <c r="AL1389" s="6" t="s">
        <v>28311</v>
      </c>
    </row>
    <row r="1390" ht="15.75" customHeight="1">
      <c r="A1390" s="1" t="s">
        <v>127</v>
      </c>
      <c r="B1390" s="1" t="s">
        <v>28312</v>
      </c>
      <c r="C1390" s="1" t="s">
        <v>28313</v>
      </c>
      <c r="D1390" s="8" t="s">
        <v>28314</v>
      </c>
      <c r="E1390" s="1" t="s">
        <v>28313</v>
      </c>
      <c r="F1390" s="6" t="s">
        <v>132</v>
      </c>
      <c r="G1390" s="1" t="s">
        <v>28315</v>
      </c>
      <c r="H1390" s="1" t="s">
        <v>28313</v>
      </c>
      <c r="I1390" s="1" t="s">
        <v>28313</v>
      </c>
      <c r="J1390" s="6" t="s">
        <v>28313</v>
      </c>
      <c r="K1390" s="1" t="s">
        <v>28313</v>
      </c>
      <c r="L1390" s="1" t="s">
        <v>28313</v>
      </c>
      <c r="M1390" s="1" t="s">
        <v>28313</v>
      </c>
      <c r="N1390" s="6" t="s">
        <v>132</v>
      </c>
      <c r="O1390" s="6" t="s">
        <v>28316</v>
      </c>
      <c r="P1390" s="1" t="s">
        <v>28313</v>
      </c>
      <c r="Q1390" s="1" t="s">
        <v>28313</v>
      </c>
      <c r="R1390" s="1" t="s">
        <v>28313</v>
      </c>
      <c r="S1390" s="6" t="s">
        <v>28313</v>
      </c>
      <c r="T1390" s="1" t="s">
        <v>28313</v>
      </c>
      <c r="U1390" s="1" t="s">
        <v>28317</v>
      </c>
      <c r="V1390" s="1" t="s">
        <v>28313</v>
      </c>
      <c r="W1390" s="1" t="s">
        <v>28313</v>
      </c>
      <c r="X1390" s="1" t="s">
        <v>28318</v>
      </c>
      <c r="Y1390" s="1" t="s">
        <v>28313</v>
      </c>
      <c r="Z1390" s="1" t="s">
        <v>28313</v>
      </c>
      <c r="AA1390" s="1" t="s">
        <v>28319</v>
      </c>
      <c r="AB1390" s="1" t="s">
        <v>28320</v>
      </c>
      <c r="AC1390" s="1" t="s">
        <v>28313</v>
      </c>
      <c r="AD1390" s="6" t="s">
        <v>28313</v>
      </c>
      <c r="AE1390" s="1" t="s">
        <v>28313</v>
      </c>
      <c r="AF1390" s="1" t="s">
        <v>28313</v>
      </c>
      <c r="AG1390" s="6" t="s">
        <v>28313</v>
      </c>
      <c r="AH1390" s="1" t="s">
        <v>28321</v>
      </c>
      <c r="AI1390" s="6" t="s">
        <v>132</v>
      </c>
      <c r="AJ1390" s="6" t="s">
        <v>28313</v>
      </c>
      <c r="AK1390" s="1" t="s">
        <v>28322</v>
      </c>
      <c r="AL1390" s="6" t="s">
        <v>28323</v>
      </c>
    </row>
    <row r="1391" ht="15.75" hidden="1" customHeight="1">
      <c r="A1391" s="1" t="s">
        <v>38</v>
      </c>
      <c r="B1391" s="1" t="s">
        <v>28324</v>
      </c>
      <c r="C1391" s="1" t="s">
        <v>28325</v>
      </c>
      <c r="D1391" s="8" t="s">
        <v>28326</v>
      </c>
      <c r="E1391" s="1" t="s">
        <v>28327</v>
      </c>
      <c r="F1391" s="6" t="s">
        <v>28328</v>
      </c>
      <c r="G1391" s="7" t="str">
        <f>IFERROR(__xludf.DUMMYFUNCTION("GOOGLETRANSLATE(C1391, ""en"", ""cs"")"),"Vyberte rychlou akci")</f>
        <v>Vyberte rychlou akci</v>
      </c>
      <c r="H1391" s="7" t="str">
        <f>IFERROR(__xludf.DUMMYFUNCTION("GOOGLETRANSLATE(C1391, ""en"", ""da"")"),"Vælg hurtig handling")</f>
        <v>Vælg hurtig handling</v>
      </c>
      <c r="I1391" s="1" t="s">
        <v>28329</v>
      </c>
      <c r="J1391" s="6" t="s">
        <v>132</v>
      </c>
      <c r="K1391" s="1" t="s">
        <v>28330</v>
      </c>
      <c r="L1391" s="7" t="str">
        <f>IFERROR(__xludf.DUMMYFUNCTION("GOOGLETRANSLATE(C1391, ""en"", ""fi"")"),"Valitse nopea toiminta")</f>
        <v>Valitse nopea toiminta</v>
      </c>
      <c r="M1391" s="1" t="s">
        <v>28331</v>
      </c>
      <c r="N1391" s="6" t="s">
        <v>28332</v>
      </c>
      <c r="O1391" s="6" t="s">
        <v>132</v>
      </c>
      <c r="P1391" s="1" t="s">
        <v>28333</v>
      </c>
      <c r="Q1391" s="9" t="s">
        <v>28334</v>
      </c>
      <c r="R1391" s="1" t="s">
        <v>28335</v>
      </c>
      <c r="S1391" s="6" t="s">
        <v>132</v>
      </c>
      <c r="T1391" s="1" t="s">
        <v>28336</v>
      </c>
      <c r="U1391" s="1" t="s">
        <v>28337</v>
      </c>
      <c r="V1391" s="7" t="str">
        <f>IFERROR(__xludf.DUMMYFUNCTION("GOOGLETRANSLATE(C1391, ""en"", ""ms"")"),"Pilih tindakan cepat")</f>
        <v>Pilih tindakan cepat</v>
      </c>
      <c r="W1391" s="1" t="s">
        <v>28338</v>
      </c>
      <c r="X1391" s="7" t="str">
        <f>IFERROR(__xludf.DUMMYFUNCTION("GOOGLETRANSLATE(C1391, ""en"", ""no"")"),"Velg rask handling")</f>
        <v>Velg rask handling</v>
      </c>
      <c r="Y1391" s="1" t="s">
        <v>28339</v>
      </c>
      <c r="Z1391" s="1" t="s">
        <v>28340</v>
      </c>
      <c r="AA1391" s="7" t="str">
        <f>IFERROR(__xludf.DUMMYFUNCTION("GOOGLETRANSLATE(C1391, ""en"", ""ro"")"),"Alegeți acțiunea rapidă")</f>
        <v>Alegeți acțiunea rapidă</v>
      </c>
      <c r="AB1391" s="1" t="s">
        <v>28341</v>
      </c>
      <c r="AC1391" s="1" t="s">
        <v>28342</v>
      </c>
      <c r="AD1391" s="6" t="s">
        <v>132</v>
      </c>
      <c r="AE1391" s="1" t="s">
        <v>28343</v>
      </c>
      <c r="AF1391" s="1" t="s">
        <v>28344</v>
      </c>
      <c r="AG1391" s="6" t="s">
        <v>132</v>
      </c>
      <c r="AH1391" s="7" t="str">
        <f>IFERROR(__xludf.DUMMYFUNCTION("GOOGLETRANSLATE(C1391, ""en"", ""tr"")"),"Hızlı eylem seçin")</f>
        <v>Hızlı eylem seçin</v>
      </c>
      <c r="AI1391" s="6" t="s">
        <v>28345</v>
      </c>
      <c r="AJ1391" s="6" t="s">
        <v>28346</v>
      </c>
      <c r="AK1391" s="7" t="str">
        <f>IFERROR(__xludf.DUMMYFUNCTION("GOOGLETRANSLATE(C1391, ""en"", ""zh"")"),"选择快速行动")</f>
        <v>选择快速行动</v>
      </c>
      <c r="AL1391" s="6" t="s">
        <v>28347</v>
      </c>
    </row>
    <row r="1392" ht="15.75" customHeight="1">
      <c r="A1392" s="1" t="s">
        <v>127</v>
      </c>
      <c r="B1392" s="1" t="s">
        <v>28348</v>
      </c>
      <c r="C1392" s="1" t="s">
        <v>28349</v>
      </c>
      <c r="D1392" s="8" t="s">
        <v>28350</v>
      </c>
      <c r="E1392" s="1" t="s">
        <v>28349</v>
      </c>
      <c r="F1392" s="6" t="s">
        <v>132</v>
      </c>
      <c r="G1392" s="1" t="s">
        <v>28351</v>
      </c>
      <c r="H1392" s="1" t="s">
        <v>28349</v>
      </c>
      <c r="I1392" s="1" t="s">
        <v>28349</v>
      </c>
      <c r="J1392" s="6" t="s">
        <v>28349</v>
      </c>
      <c r="K1392" s="1" t="s">
        <v>28349</v>
      </c>
      <c r="L1392" s="1" t="s">
        <v>28349</v>
      </c>
      <c r="M1392" s="1" t="s">
        <v>28349</v>
      </c>
      <c r="N1392" s="6" t="s">
        <v>132</v>
      </c>
      <c r="O1392" s="6" t="s">
        <v>28352</v>
      </c>
      <c r="P1392" s="1" t="s">
        <v>28349</v>
      </c>
      <c r="Q1392" s="1" t="s">
        <v>28349</v>
      </c>
      <c r="R1392" s="1" t="s">
        <v>28349</v>
      </c>
      <c r="S1392" s="6" t="s">
        <v>28349</v>
      </c>
      <c r="T1392" s="1" t="s">
        <v>28349</v>
      </c>
      <c r="U1392" s="1" t="s">
        <v>28353</v>
      </c>
      <c r="V1392" s="1" t="s">
        <v>28349</v>
      </c>
      <c r="W1392" s="1" t="s">
        <v>28349</v>
      </c>
      <c r="X1392" s="1" t="s">
        <v>28354</v>
      </c>
      <c r="Y1392" s="1" t="s">
        <v>28349</v>
      </c>
      <c r="Z1392" s="1" t="s">
        <v>28349</v>
      </c>
      <c r="AA1392" s="1" t="s">
        <v>28355</v>
      </c>
      <c r="AB1392" s="1" t="s">
        <v>28356</v>
      </c>
      <c r="AC1392" s="1" t="s">
        <v>28349</v>
      </c>
      <c r="AD1392" s="6" t="s">
        <v>28349</v>
      </c>
      <c r="AE1392" s="1" t="s">
        <v>28349</v>
      </c>
      <c r="AF1392" s="1" t="s">
        <v>28349</v>
      </c>
      <c r="AG1392" s="6" t="s">
        <v>28349</v>
      </c>
      <c r="AH1392" s="1" t="s">
        <v>28357</v>
      </c>
      <c r="AI1392" s="6" t="s">
        <v>132</v>
      </c>
      <c r="AJ1392" s="6" t="s">
        <v>28349</v>
      </c>
      <c r="AK1392" s="1" t="s">
        <v>28358</v>
      </c>
      <c r="AL1392" s="6" t="s">
        <v>28359</v>
      </c>
    </row>
    <row r="1393" ht="15.75" customHeight="1">
      <c r="A1393" s="1" t="s">
        <v>127</v>
      </c>
      <c r="B1393" s="1" t="s">
        <v>28360</v>
      </c>
      <c r="C1393" s="1" t="s">
        <v>28361</v>
      </c>
      <c r="D1393" s="7" t="str">
        <f>IFERROR(__xludf.DUMMYFUNCTION("GOOGLETRANSLATE(C1393, ""en"", ""ar"")"),"بدوره")</f>
        <v>بدوره</v>
      </c>
      <c r="E1393" s="7" t="str">
        <f>IFERROR(__xludf.DUMMYFUNCTION("GOOGLETRANSLATE(C1393, ""en"", ""bg"")"),"Обърни ме")</f>
        <v>Обърни ме</v>
      </c>
      <c r="F1393" s="6" t="s">
        <v>132</v>
      </c>
      <c r="G1393" s="7" t="str">
        <f>IFERROR(__xludf.DUMMYFUNCTION("GOOGLETRANSLATE(C1393, ""en"", ""cs"")"),"Otoč mě")</f>
        <v>Otoč mě</v>
      </c>
      <c r="H1393" s="1" t="s">
        <v>28362</v>
      </c>
      <c r="I1393" s="7" t="str">
        <f>IFERROR(__xludf.DUMMYFUNCTION("GOOGLETRANSLATE(C1393, ""en"", ""de"")"),"Drehe mich")</f>
        <v>Drehe mich</v>
      </c>
      <c r="J1393" s="6" t="s">
        <v>132</v>
      </c>
      <c r="K1393" s="1" t="s">
        <v>28363</v>
      </c>
      <c r="L1393" s="1" t="s">
        <v>28364</v>
      </c>
      <c r="M1393" s="1" t="s">
        <v>28365</v>
      </c>
      <c r="N1393" s="6" t="s">
        <v>132</v>
      </c>
      <c r="O1393" s="6" t="s">
        <v>132</v>
      </c>
      <c r="P1393" s="1" t="s">
        <v>28366</v>
      </c>
      <c r="Q1393" s="1" t="s">
        <v>28367</v>
      </c>
      <c r="R1393" s="1" t="s">
        <v>28368</v>
      </c>
      <c r="S1393" s="6" t="s">
        <v>132</v>
      </c>
      <c r="T1393" s="1" t="s">
        <v>28369</v>
      </c>
      <c r="U1393" s="7" t="str">
        <f>IFERROR(__xludf.DUMMYFUNCTION("GOOGLETRANSLATE(C1393, ""en"", ""ko"")"),"나를 돌 봐라")</f>
        <v>나를 돌 봐라</v>
      </c>
      <c r="V1393" s="1" t="s">
        <v>28370</v>
      </c>
      <c r="W1393" s="1" t="s">
        <v>28371</v>
      </c>
      <c r="X1393" s="1" t="s">
        <v>28372</v>
      </c>
      <c r="Y1393" s="11" t="s">
        <v>28373</v>
      </c>
      <c r="Z1393" s="1" t="s">
        <v>25268</v>
      </c>
      <c r="AA1393" s="7" t="str">
        <f>IFERROR(__xludf.DUMMYFUNCTION("GOOGLETRANSLATE(C1393, ""en"", ""ro"")"),"Intoarce-ma")</f>
        <v>Intoarce-ma</v>
      </c>
      <c r="AB1393" s="1" t="s">
        <v>28374</v>
      </c>
      <c r="AC1393" s="7" t="str">
        <f>IFERROR(__xludf.DUMMYFUNCTION("GOOGLETRANSLATE(C1393, ""en"", ""sk"")"),"Otoč ma")</f>
        <v>Otoč ma</v>
      </c>
      <c r="AD1393" s="6" t="s">
        <v>132</v>
      </c>
      <c r="AE1393" s="7" t="str">
        <f>IFERROR(__xludf.DUMMYFUNCTION("GOOGLETRANSLATE(C1393, ""en"", ""sr"")"),"Укључи ме")</f>
        <v>Укључи ме</v>
      </c>
      <c r="AF1393" s="11" t="s">
        <v>28375</v>
      </c>
      <c r="AG1393" s="6" t="s">
        <v>132</v>
      </c>
      <c r="AH1393" s="1" t="s">
        <v>28376</v>
      </c>
      <c r="AI1393" s="6" t="s">
        <v>132</v>
      </c>
      <c r="AJ1393" s="6" t="s">
        <v>132</v>
      </c>
      <c r="AK1393" s="14" t="s">
        <v>28377</v>
      </c>
      <c r="AL1393" s="6" t="s">
        <v>132</v>
      </c>
    </row>
    <row r="1394" ht="15.75" customHeight="1">
      <c r="A1394" s="1" t="s">
        <v>127</v>
      </c>
      <c r="B1394" s="1" t="s">
        <v>28378</v>
      </c>
      <c r="C1394" s="1" t="s">
        <v>28379</v>
      </c>
      <c r="D1394" s="8" t="s">
        <v>28380</v>
      </c>
      <c r="E1394" s="1" t="s">
        <v>28379</v>
      </c>
      <c r="F1394" s="6" t="s">
        <v>132</v>
      </c>
      <c r="G1394" s="1" t="s">
        <v>28381</v>
      </c>
      <c r="H1394" s="1" t="s">
        <v>28379</v>
      </c>
      <c r="I1394" s="1" t="s">
        <v>28379</v>
      </c>
      <c r="J1394" s="6" t="s">
        <v>28379</v>
      </c>
      <c r="K1394" s="1" t="s">
        <v>28379</v>
      </c>
      <c r="L1394" s="1" t="s">
        <v>28379</v>
      </c>
      <c r="M1394" s="1" t="s">
        <v>28349</v>
      </c>
      <c r="N1394" s="6" t="s">
        <v>132</v>
      </c>
      <c r="O1394" s="6" t="s">
        <v>28382</v>
      </c>
      <c r="P1394" s="1" t="s">
        <v>28379</v>
      </c>
      <c r="Q1394" s="1" t="s">
        <v>28379</v>
      </c>
      <c r="R1394" s="1" t="s">
        <v>28379</v>
      </c>
      <c r="S1394" s="6" t="s">
        <v>28379</v>
      </c>
      <c r="T1394" s="1" t="s">
        <v>28379</v>
      </c>
      <c r="U1394" s="1" t="s">
        <v>28383</v>
      </c>
      <c r="V1394" s="1" t="s">
        <v>28379</v>
      </c>
      <c r="W1394" s="1" t="s">
        <v>28379</v>
      </c>
      <c r="X1394" s="1" t="s">
        <v>28384</v>
      </c>
      <c r="Y1394" s="1" t="s">
        <v>28379</v>
      </c>
      <c r="Z1394" s="1" t="s">
        <v>28379</v>
      </c>
      <c r="AA1394" s="1" t="s">
        <v>28385</v>
      </c>
      <c r="AB1394" s="1" t="s">
        <v>28386</v>
      </c>
      <c r="AC1394" s="1" t="s">
        <v>28379</v>
      </c>
      <c r="AD1394" s="6" t="s">
        <v>28379</v>
      </c>
      <c r="AE1394" s="1" t="s">
        <v>28379</v>
      </c>
      <c r="AF1394" s="1" t="s">
        <v>28379</v>
      </c>
      <c r="AG1394" s="6" t="s">
        <v>28379</v>
      </c>
      <c r="AH1394" s="1" t="s">
        <v>28387</v>
      </c>
      <c r="AI1394" s="6" t="s">
        <v>132</v>
      </c>
      <c r="AJ1394" s="6" t="s">
        <v>28379</v>
      </c>
      <c r="AK1394" s="1" t="s">
        <v>28388</v>
      </c>
      <c r="AL1394" s="6" t="s">
        <v>28389</v>
      </c>
    </row>
    <row r="1395" ht="15.75" hidden="1" customHeight="1">
      <c r="A1395" s="1" t="s">
        <v>38</v>
      </c>
      <c r="B1395" s="1" t="s">
        <v>28390</v>
      </c>
      <c r="C1395" s="1" t="s">
        <v>28391</v>
      </c>
      <c r="D1395" s="8" t="s">
        <v>28392</v>
      </c>
      <c r="E1395" s="1" t="s">
        <v>28393</v>
      </c>
      <c r="F1395" s="6" t="s">
        <v>28394</v>
      </c>
      <c r="G1395" s="7" t="str">
        <f>IFERROR(__xludf.DUMMYFUNCTION("GOOGLETRANSLATE(C1395, ""en"", ""cs"")"),"Nemohl změnit heslo")</f>
        <v>Nemohl změnit heslo</v>
      </c>
      <c r="H1395" s="7" t="str">
        <f>IFERROR(__xludf.DUMMYFUNCTION("GOOGLETRANSLATE(C1395, ""en"", ""da"")"),"Kunne ikke ændre adgangskode")</f>
        <v>Kunne ikke ændre adgangskode</v>
      </c>
      <c r="I1395" s="1" t="s">
        <v>28395</v>
      </c>
      <c r="J1395" s="6" t="s">
        <v>132</v>
      </c>
      <c r="K1395" s="1" t="s">
        <v>28396</v>
      </c>
      <c r="L1395" s="7" t="str">
        <f>IFERROR(__xludf.DUMMYFUNCTION("GOOGLETRANSLATE(C1395, ""en"", ""fi"")"),"Salasanaa ei voitu muuttaa")</f>
        <v>Salasanaa ei voitu muuttaa</v>
      </c>
      <c r="M1395" s="1" t="s">
        <v>28397</v>
      </c>
      <c r="N1395" s="6" t="s">
        <v>28398</v>
      </c>
      <c r="O1395" s="6" t="s">
        <v>132</v>
      </c>
      <c r="P1395" s="1" t="s">
        <v>28399</v>
      </c>
      <c r="Q1395" s="9" t="s">
        <v>28400</v>
      </c>
      <c r="R1395" s="1" t="s">
        <v>28401</v>
      </c>
      <c r="S1395" s="6" t="s">
        <v>132</v>
      </c>
      <c r="T1395" s="1" t="s">
        <v>28402</v>
      </c>
      <c r="U1395" s="1" t="s">
        <v>28403</v>
      </c>
      <c r="V1395" s="7" t="str">
        <f>IFERROR(__xludf.DUMMYFUNCTION("GOOGLETRANSLATE(C1395, ""en"", ""ms"")"),"Tidak dapat mengubah kata laluan")</f>
        <v>Tidak dapat mengubah kata laluan</v>
      </c>
      <c r="W1395" s="1" t="s">
        <v>28404</v>
      </c>
      <c r="X1395" s="7" t="str">
        <f>IFERROR(__xludf.DUMMYFUNCTION("GOOGLETRANSLATE(C1395, ""en"", ""no"")"),"Kunne ikke endre passord")</f>
        <v>Kunne ikke endre passord</v>
      </c>
      <c r="Y1395" s="1" t="s">
        <v>28405</v>
      </c>
      <c r="Z1395" s="1" t="s">
        <v>28406</v>
      </c>
      <c r="AA1395" s="7" t="str">
        <f>IFERROR(__xludf.DUMMYFUNCTION("GOOGLETRANSLATE(C1395, ""en"", ""ro"")"),"Nu a putut schimba parola")</f>
        <v>Nu a putut schimba parola</v>
      </c>
      <c r="AB1395" s="1" t="s">
        <v>28407</v>
      </c>
      <c r="AC1395" s="1" t="s">
        <v>28408</v>
      </c>
      <c r="AD1395" s="6" t="s">
        <v>132</v>
      </c>
      <c r="AE1395" s="1" t="s">
        <v>28409</v>
      </c>
      <c r="AF1395" s="1" t="s">
        <v>28410</v>
      </c>
      <c r="AG1395" s="6" t="s">
        <v>132</v>
      </c>
      <c r="AH1395" s="7" t="str">
        <f>IFERROR(__xludf.DUMMYFUNCTION("GOOGLETRANSLATE(C1395, ""en"", ""tr"")"),"Şifreyi değiştiremedi")</f>
        <v>Şifreyi değiştiremedi</v>
      </c>
      <c r="AI1395" s="6" t="s">
        <v>28411</v>
      </c>
      <c r="AJ1395" s="6" t="s">
        <v>28412</v>
      </c>
      <c r="AK1395" s="7" t="str">
        <f>IFERROR(__xludf.DUMMYFUNCTION("GOOGLETRANSLATE(C1395, ""en"", ""zh"")"),"无法更改密码")</f>
        <v>无法更改密码</v>
      </c>
      <c r="AL1395" s="6" t="s">
        <v>28413</v>
      </c>
    </row>
    <row r="1396" ht="15.75" customHeight="1">
      <c r="A1396" s="1" t="s">
        <v>127</v>
      </c>
      <c r="B1396" s="1" t="s">
        <v>28414</v>
      </c>
      <c r="C1396" s="1" t="s">
        <v>28415</v>
      </c>
      <c r="D1396" s="8" t="s">
        <v>28416</v>
      </c>
      <c r="E1396" s="1" t="s">
        <v>28417</v>
      </c>
      <c r="F1396" s="6" t="s">
        <v>132</v>
      </c>
      <c r="G1396" s="1" t="s">
        <v>28418</v>
      </c>
      <c r="H1396" s="1" t="s">
        <v>28419</v>
      </c>
      <c r="I1396" s="1" t="s">
        <v>28420</v>
      </c>
      <c r="J1396" s="6" t="s">
        <v>28421</v>
      </c>
      <c r="K1396" s="1" t="s">
        <v>28422</v>
      </c>
      <c r="L1396" s="1" t="s">
        <v>28423</v>
      </c>
      <c r="M1396" s="1" t="s">
        <v>28424</v>
      </c>
      <c r="N1396" s="6" t="s">
        <v>132</v>
      </c>
      <c r="O1396" s="6" t="s">
        <v>28425</v>
      </c>
      <c r="P1396" s="1" t="s">
        <v>28426</v>
      </c>
      <c r="Q1396" s="1" t="s">
        <v>28427</v>
      </c>
      <c r="R1396" s="1" t="s">
        <v>28428</v>
      </c>
      <c r="S1396" s="10" t="s">
        <v>28429</v>
      </c>
      <c r="T1396" s="1" t="s">
        <v>28430</v>
      </c>
      <c r="U1396" s="1" t="s">
        <v>28431</v>
      </c>
      <c r="V1396" s="1" t="s">
        <v>28432</v>
      </c>
      <c r="W1396" s="1" t="s">
        <v>28433</v>
      </c>
      <c r="X1396" s="1" t="s">
        <v>28434</v>
      </c>
      <c r="Y1396" s="1" t="s">
        <v>28435</v>
      </c>
      <c r="Z1396" s="1" t="s">
        <v>28436</v>
      </c>
      <c r="AA1396" s="1" t="s">
        <v>28437</v>
      </c>
      <c r="AB1396" s="1" t="s">
        <v>28438</v>
      </c>
      <c r="AC1396" s="1" t="s">
        <v>28439</v>
      </c>
      <c r="AD1396" s="6" t="s">
        <v>28440</v>
      </c>
      <c r="AE1396" s="1" t="s">
        <v>28415</v>
      </c>
      <c r="AF1396" s="1" t="s">
        <v>28441</v>
      </c>
      <c r="AG1396" s="6" t="s">
        <v>28442</v>
      </c>
      <c r="AH1396" s="1" t="s">
        <v>28443</v>
      </c>
      <c r="AI1396" s="6" t="s">
        <v>132</v>
      </c>
      <c r="AJ1396" s="6" t="s">
        <v>28444</v>
      </c>
      <c r="AK1396" s="1" t="s">
        <v>28445</v>
      </c>
      <c r="AL1396" s="6" t="s">
        <v>28446</v>
      </c>
    </row>
    <row r="1397" ht="15.75" hidden="1" customHeight="1">
      <c r="A1397" s="1" t="s">
        <v>38</v>
      </c>
      <c r="B1397" s="1" t="s">
        <v>28447</v>
      </c>
      <c r="C1397" s="1" t="s">
        <v>28448</v>
      </c>
      <c r="D1397" s="7" t="str">
        <f>IFERROR(__xludf.DUMMYFUNCTION("GOOGLETRANSLATE(C1397, ""en"", ""ar"")"),"مشاركة ملف HTTP ل S3")</f>
        <v>مشاركة ملف HTTP ل S3</v>
      </c>
      <c r="E1397" s="1" t="s">
        <v>28449</v>
      </c>
      <c r="F1397" s="6" t="s">
        <v>28450</v>
      </c>
      <c r="G1397" s="7" t="str">
        <f>IFERROR(__xludf.DUMMYFUNCTION("GOOGLETRANSLATE(C1397, ""en"", ""cs"")"),"Sdílení souborů HTTP pro S3")</f>
        <v>Sdílení souborů HTTP pro S3</v>
      </c>
      <c r="H1397" s="7" t="str">
        <f>IFERROR(__xludf.DUMMYFUNCTION("GOOGLETRANSLATE(C1397, ""en"", ""da"")"),"HTTP-fildeling for S3")</f>
        <v>HTTP-fildeling for S3</v>
      </c>
      <c r="I1397" s="1" t="s">
        <v>28451</v>
      </c>
      <c r="J1397" s="6" t="s">
        <v>132</v>
      </c>
      <c r="K1397" s="1" t="s">
        <v>28452</v>
      </c>
      <c r="L1397" s="7" t="str">
        <f>IFERROR(__xludf.DUMMYFUNCTION("GOOGLETRANSLATE(C1397, ""en"", ""fi"")"),"Http-tiedostojen jakaminen S3: lle")</f>
        <v>Http-tiedostojen jakaminen S3: lle</v>
      </c>
      <c r="M1397" s="1" t="s">
        <v>28453</v>
      </c>
      <c r="N1397" s="6" t="s">
        <v>28454</v>
      </c>
      <c r="O1397" s="6" t="s">
        <v>132</v>
      </c>
      <c r="P1397" s="1" t="s">
        <v>28455</v>
      </c>
      <c r="Q1397" s="7" t="str">
        <f>IFERROR(__xludf.DUMMYFUNCTION("GOOGLETRANSLATE(C1397, ""en"", ""in"")"),"Berbagi File HTTP untuk S3")</f>
        <v>Berbagi File HTTP untuk S3</v>
      </c>
      <c r="R1397" s="1" t="s">
        <v>28456</v>
      </c>
      <c r="S1397" s="6" t="s">
        <v>132</v>
      </c>
      <c r="T1397" s="7" t="str">
        <f>IFERROR(__xludf.DUMMYFUNCTION("GOOGLETRANSLATE(C1397, ""en"", ""ja"")"),"S3のHTTPファイル共有")</f>
        <v>S3のHTTPファイル共有</v>
      </c>
      <c r="U1397" s="7" t="str">
        <f>IFERROR(__xludf.DUMMYFUNCTION("GOOGLETRANSLATE(C1397, ""en"", ""ko"")"),"S3의 HTTP 파일 공유")</f>
        <v>S3의 HTTP 파일 공유</v>
      </c>
      <c r="V1397" s="7" t="str">
        <f>IFERROR(__xludf.DUMMYFUNCTION("GOOGLETRANSLATE(C1397, ""en"", ""ms"")"),"Perkongsian fail HTTP untuk S3")</f>
        <v>Perkongsian fail HTTP untuk S3</v>
      </c>
      <c r="W1397" s="1" t="s">
        <v>28457</v>
      </c>
      <c r="X1397" s="7" t="str">
        <f>IFERROR(__xludf.DUMMYFUNCTION("GOOGLETRANSLATE(C1397, ""en"", ""no"")"),"HTTP-fildeling for S3")</f>
        <v>HTTP-fildeling for S3</v>
      </c>
      <c r="Y1397" s="1" t="s">
        <v>28458</v>
      </c>
      <c r="Z1397" s="7" t="str">
        <f>IFERROR(__xludf.DUMMYFUNCTION("GOOGLETRANSLATE(C1397, ""en"", ""pt"")"),"Compartilhamento de arquivos HTTP para S3")</f>
        <v>Compartilhamento de arquivos HTTP para S3</v>
      </c>
      <c r="AA1397" s="7" t="str">
        <f>IFERROR(__xludf.DUMMYFUNCTION("GOOGLETRANSLATE(C1397, ""en"", ""ro"")"),"Partajarea fișierelor HTTP pentru S3")</f>
        <v>Partajarea fișierelor HTTP pentru S3</v>
      </c>
      <c r="AB1397" s="7" t="str">
        <f>IFERROR(__xludf.DUMMYFUNCTION("GOOGLETRANSLATE(C1397, ""en"", ""ru"")"),"Общий файл HTTP для S3")</f>
        <v>Общий файл HTTP для S3</v>
      </c>
      <c r="AC1397" s="7" t="str">
        <f>IFERROR(__xludf.DUMMYFUNCTION("GOOGLETRANSLATE(C1397, ""en"", ""sk"")"),"Zdieľanie súborov HTTP pre S3")</f>
        <v>Zdieľanie súborov HTTP pre S3</v>
      </c>
      <c r="AD1397" s="6" t="s">
        <v>132</v>
      </c>
      <c r="AE1397" s="7" t="str">
        <f>IFERROR(__xludf.DUMMYFUNCTION("GOOGLETRANSLATE(C1397, ""en"", ""sr"")"),"Дељење ХТТП датотека за С3")</f>
        <v>Дељење ХТТП датотека за С3</v>
      </c>
      <c r="AF1397" s="7" t="str">
        <f>IFERROR(__xludf.DUMMYFUNCTION("GOOGLETRANSLATE(C1397, ""en"", ""sv"")"),"Http fildelning för s3")</f>
        <v>Http fildelning för s3</v>
      </c>
      <c r="AG1397" s="6" t="s">
        <v>132</v>
      </c>
      <c r="AH1397" s="7" t="str">
        <f>IFERROR(__xludf.DUMMYFUNCTION("GOOGLETRANSLATE(C1397, ""en"", ""tr"")"),"S3 için HTTP Dosya Paylaşımı")</f>
        <v>S3 için HTTP Dosya Paylaşımı</v>
      </c>
      <c r="AI1397" s="6" t="s">
        <v>132</v>
      </c>
      <c r="AJ1397" s="6" t="s">
        <v>132</v>
      </c>
      <c r="AK1397" s="7" t="str">
        <f>IFERROR(__xludf.DUMMYFUNCTION("GOOGLETRANSLATE(C1397, ""en"", ""zh"")"),"S3的HTTP文件共享")</f>
        <v>S3的HTTP文件共享</v>
      </c>
      <c r="AL1397" s="6" t="s">
        <v>132</v>
      </c>
    </row>
    <row r="1398" ht="15.75" hidden="1" customHeight="1">
      <c r="A1398" s="1" t="s">
        <v>38</v>
      </c>
      <c r="B1398" s="1" t="s">
        <v>28459</v>
      </c>
      <c r="C1398" s="1" t="s">
        <v>28460</v>
      </c>
      <c r="D1398" s="8" t="s">
        <v>28461</v>
      </c>
      <c r="E1398" s="1" t="s">
        <v>28462</v>
      </c>
      <c r="F1398" s="6" t="s">
        <v>28463</v>
      </c>
      <c r="G1398" s="7" t="str">
        <f>IFERROR(__xludf.DUMMYFUNCTION("GOOGLETRANSLATE(C1398, ""en"", ""cs"")"),"(Žádné aktivované účty)")</f>
        <v>(Žádné aktivované účty)</v>
      </c>
      <c r="H1398" s="7" t="str">
        <f>IFERROR(__xludf.DUMMYFUNCTION("GOOGLETRANSLATE(C1398, ""en"", ""da"")"),"(Ingen aktiverede konti)")</f>
        <v>(Ingen aktiverede konti)</v>
      </c>
      <c r="I1398" s="1" t="s">
        <v>28464</v>
      </c>
      <c r="J1398" s="6" t="s">
        <v>132</v>
      </c>
      <c r="K1398" s="1" t="s">
        <v>28465</v>
      </c>
      <c r="L1398" s="7" t="str">
        <f>IFERROR(__xludf.DUMMYFUNCTION("GOOGLETRANSLATE(C1398, ""en"", ""fi"")"),"(Ei aktivoituja tilejä)")</f>
        <v>(Ei aktivoituja tilejä)</v>
      </c>
      <c r="M1398" s="1" t="s">
        <v>28466</v>
      </c>
      <c r="N1398" s="6" t="s">
        <v>28467</v>
      </c>
      <c r="O1398" s="6" t="s">
        <v>132</v>
      </c>
      <c r="P1398" s="1" t="s">
        <v>28468</v>
      </c>
      <c r="Q1398" s="9" t="s">
        <v>28469</v>
      </c>
      <c r="R1398" s="1" t="s">
        <v>28470</v>
      </c>
      <c r="S1398" s="6" t="s">
        <v>132</v>
      </c>
      <c r="T1398" s="1" t="s">
        <v>28471</v>
      </c>
      <c r="U1398" s="1" t="s">
        <v>28472</v>
      </c>
      <c r="V1398" s="7" t="str">
        <f>IFERROR(__xludf.DUMMYFUNCTION("GOOGLETRANSLATE(C1398, ""en"", ""ms"")"),"(Tiada akaun diaktifkan)")</f>
        <v>(Tiada akaun diaktifkan)</v>
      </c>
      <c r="W1398" s="1" t="s">
        <v>28473</v>
      </c>
      <c r="X1398" s="7" t="str">
        <f>IFERROR(__xludf.DUMMYFUNCTION("GOOGLETRANSLATE(C1398, ""en"", ""no"")"),"(Ingen aktiverte kontoer)")</f>
        <v>(Ingen aktiverte kontoer)</v>
      </c>
      <c r="Y1398" s="1" t="s">
        <v>28474</v>
      </c>
      <c r="Z1398" s="1" t="s">
        <v>28475</v>
      </c>
      <c r="AA1398" s="7" t="str">
        <f>IFERROR(__xludf.DUMMYFUNCTION("GOOGLETRANSLATE(C1398, ""en"", ""ro"")"),"(Nu există conturi activate)")</f>
        <v>(Nu există conturi activate)</v>
      </c>
      <c r="AB1398" s="1" t="s">
        <v>28476</v>
      </c>
      <c r="AC1398" s="7" t="str">
        <f>IFERROR(__xludf.DUMMYFUNCTION("GOOGLETRANSLATE(C1398, ""en"", ""sk"")"),"(Žiadne aktivované účty)")</f>
        <v>(Žiadne aktivované účty)</v>
      </c>
      <c r="AD1398" s="6" t="s">
        <v>132</v>
      </c>
      <c r="AE1398" s="1" t="s">
        <v>28477</v>
      </c>
      <c r="AF1398" s="1" t="s">
        <v>28478</v>
      </c>
      <c r="AG1398" s="6" t="s">
        <v>132</v>
      </c>
      <c r="AH1398" s="7" t="str">
        <f>IFERROR(__xludf.DUMMYFUNCTION("GOOGLETRANSLATE(C1398, ""en"", ""tr"")"),"(Aktif hesap yok)")</f>
        <v>(Aktif hesap yok)</v>
      </c>
      <c r="AI1398" s="6" t="s">
        <v>28479</v>
      </c>
      <c r="AJ1398" s="6" t="s">
        <v>132</v>
      </c>
      <c r="AK1398" s="7" t="str">
        <f>IFERROR(__xludf.DUMMYFUNCTION("GOOGLETRANSLATE(C1398, ""en"", ""zh"")"),"（没有激活的帐户）")</f>
        <v>（没有激活的帐户）</v>
      </c>
      <c r="AL1398" s="6" t="s">
        <v>28480</v>
      </c>
    </row>
    <row r="1399" ht="15.75" hidden="1" customHeight="1">
      <c r="A1399" s="1" t="s">
        <v>38</v>
      </c>
      <c r="B1399" s="1" t="s">
        <v>28481</v>
      </c>
      <c r="C1399" s="1" t="s">
        <v>28482</v>
      </c>
      <c r="D1399" s="7" t="str">
        <f>IFERROR(__xludf.DUMMYFUNCTION("GOOGLETRANSLATE(C1399, ""en"", ""ar"")"),"تنظيف تخزين خاص حيث يتم الاحتفاظ بالملفات (يمكن إعادة تنزيلها من الخادم)")</f>
        <v>تنظيف تخزين خاص حيث يتم الاحتفاظ بالملفات (يمكن إعادة تنزيلها من الخادم)</v>
      </c>
      <c r="E1399" s="1" t="s">
        <v>28483</v>
      </c>
      <c r="F1399" s="6" t="s">
        <v>28484</v>
      </c>
      <c r="G1399" s="7" t="str">
        <f>IFERROR(__xludf.DUMMYFUNCTION("GOOGLETRANSLATE(C1399, ""en"", ""cs"")"),"Vyčistit soukromé úložiště, kde jsou soubory uchovávány (mohou být znovu staženy ze serveru)")</f>
        <v>Vyčistit soukromé úložiště, kde jsou soubory uchovávány (mohou být znovu staženy ze serveru)</v>
      </c>
      <c r="H1399" s="7" t="str">
        <f>IFERROR(__xludf.DUMMYFUNCTION("GOOGLETRANSLATE(C1399, ""en"", ""da"")"),"Rengør privat opbevaring, hvor filer holdes (de kan genindladte fra serveren)")</f>
        <v>Rengør privat opbevaring, hvor filer holdes (de kan genindladte fra serveren)</v>
      </c>
      <c r="I1399" s="1" t="s">
        <v>28485</v>
      </c>
      <c r="J1399" s="6" t="s">
        <v>132</v>
      </c>
      <c r="K1399" s="1" t="s">
        <v>28486</v>
      </c>
      <c r="L1399" s="7" t="str">
        <f>IFERROR(__xludf.DUMMYFUNCTION("GOOGLETRANSLATE(C1399, ""en"", ""fi"")"),"Puhdista yksityinen tallennus, jossa tiedostot pidetään (ne voidaan ladata uudelleen palvelimelta)")</f>
        <v>Puhdista yksityinen tallennus, jossa tiedostot pidetään (ne voidaan ladata uudelleen palvelimelta)</v>
      </c>
      <c r="M1399" s="1" t="s">
        <v>28487</v>
      </c>
      <c r="N1399" s="6" t="s">
        <v>28488</v>
      </c>
      <c r="O1399" s="6" t="s">
        <v>132</v>
      </c>
      <c r="P1399" s="1" t="s">
        <v>28489</v>
      </c>
      <c r="Q1399" s="7" t="str">
        <f>IFERROR(__xludf.DUMMYFUNCTION("GOOGLETRANSLATE(C1399, ""en"", ""in"")"),"Membersihkan penyimpanan pribadi di mana file disimpan (mereka dapat diunduh kembali dari server)")</f>
        <v>Membersihkan penyimpanan pribadi di mana file disimpan (mereka dapat diunduh kembali dari server)</v>
      </c>
      <c r="R1399" s="1" t="s">
        <v>28490</v>
      </c>
      <c r="S1399" s="6" t="s">
        <v>132</v>
      </c>
      <c r="T1399" s="1" t="s">
        <v>28491</v>
      </c>
      <c r="U1399" s="1" t="s">
        <v>28492</v>
      </c>
      <c r="V1399" s="7" t="str">
        <f>IFERROR(__xludf.DUMMYFUNCTION("GOOGLETRANSLATE(C1399, ""en"", ""ms"")"),"Storan peribadi yang bersih di mana fail disimpan (mereka boleh dimuat turun semula dari pelayan)")</f>
        <v>Storan peribadi yang bersih di mana fail disimpan (mereka boleh dimuat turun semula dari pelayan)</v>
      </c>
      <c r="W1399" s="1" t="s">
        <v>28493</v>
      </c>
      <c r="X1399" s="7" t="str">
        <f>IFERROR(__xludf.DUMMYFUNCTION("GOOGLETRANSLATE(C1399, ""en"", ""no"")"),"Rengjør privat lagring der filer holdes (de kan omlastes fra serveren)")</f>
        <v>Rengjør privat lagring der filer holdes (de kan omlastes fra serveren)</v>
      </c>
      <c r="Y1399" s="1" t="s">
        <v>28494</v>
      </c>
      <c r="Z1399" s="7" t="str">
        <f>IFERROR(__xludf.DUMMYFUNCTION("GOOGLETRANSLATE(C1399, ""en"", ""pt"")"),"Limpe o armazenamento privado onde os arquivos são mantidos (eles podem ser baixados novamente do servidor)")</f>
        <v>Limpe o armazenamento privado onde os arquivos são mantidos (eles podem ser baixados novamente do servidor)</v>
      </c>
      <c r="AA1399" s="7" t="str">
        <f>IFERROR(__xludf.DUMMYFUNCTION("GOOGLETRANSLATE(C1399, ""en"", ""ro"")"),"Curățați depozitarea privată în care sunt păstrate fișiere (pot fi redeschise de pe server)")</f>
        <v>Curățați depozitarea privată în care sunt păstrate fișiere (pot fi redeschise de pe server)</v>
      </c>
      <c r="AB1399" s="1" t="s">
        <v>28495</v>
      </c>
      <c r="AC1399" s="7" t="str">
        <f>IFERROR(__xludf.DUMMYFUNCTION("GOOGLETRANSLATE(C1399, ""en"", ""sk"")"),"Čisté súkromné ​​skladovanie, kde sú uložené súbory (môžu byť znovu stiahnuté zo servera)")</f>
        <v>Čisté súkromné ​​skladovanie, kde sú uložené súbory (môžu byť znovu stiahnuté zo servera)</v>
      </c>
      <c r="AD1399" s="6" t="s">
        <v>132</v>
      </c>
      <c r="AE1399" s="7" t="str">
        <f>IFERROR(__xludf.DUMMYFUNCTION("GOOGLETRANSLATE(C1399, ""en"", ""sr"")"),"Чиста приватно складиштење у којем се воде датотеке (могу се преузети са сервера)")</f>
        <v>Чиста приватно складиштење у којем се воде датотеке (могу се преузети са сервера)</v>
      </c>
      <c r="AF1399" s="1" t="s">
        <v>28496</v>
      </c>
      <c r="AG1399" s="6" t="s">
        <v>132</v>
      </c>
      <c r="AH1399" s="7" t="str">
        <f>IFERROR(__xludf.DUMMYFUNCTION("GOOGLETRANSLATE(C1399, ""en"", ""tr"")"),"Dosyaların tutulduğu özel depolama temizleyin (sunucudan yeniden indirilebilir)")</f>
        <v>Dosyaların tutulduğu özel depolama temizleyin (sunucudan yeniden indirilebilir)</v>
      </c>
      <c r="AI1399" s="6" t="s">
        <v>28497</v>
      </c>
      <c r="AJ1399" s="6" t="s">
        <v>132</v>
      </c>
      <c r="AK1399" s="7" t="str">
        <f>IFERROR(__xludf.DUMMYFUNCTION("GOOGLETRANSLATE(C1399, ""en"", ""zh"")"),"清洁保存文件的私人存储（可以从服务器重新下载它们）")</f>
        <v>清洁保存文件的私人存储（可以从服务器重新下载它们）</v>
      </c>
      <c r="AL1399" s="6" t="s">
        <v>28498</v>
      </c>
    </row>
    <row r="1400" ht="15.75" hidden="1" customHeight="1">
      <c r="A1400" s="1" t="s">
        <v>38</v>
      </c>
      <c r="B1400" s="1" t="s">
        <v>28499</v>
      </c>
      <c r="C1400" s="1" t="s">
        <v>28500</v>
      </c>
      <c r="D1400" s="8" t="s">
        <v>28501</v>
      </c>
      <c r="E1400" s="1" t="s">
        <v>28502</v>
      </c>
      <c r="F1400" s="6" t="s">
        <v>28503</v>
      </c>
      <c r="G1400" s="7" t="str">
        <f>IFERROR(__xludf.DUMMYFUNCTION("GOOGLETRANSLATE(C1400, ""en"", ""cs"")"),"Možnosti skupinového chatu")</f>
        <v>Možnosti skupinového chatu</v>
      </c>
      <c r="H1400" s="7" t="str">
        <f>IFERROR(__xludf.DUMMYFUNCTION("GOOGLETRANSLATE(C1400, ""en"", ""da"")"),"Gruppe chat muligheder.")</f>
        <v>Gruppe chat muligheder.</v>
      </c>
      <c r="I1400" s="1" t="s">
        <v>28504</v>
      </c>
      <c r="J1400" s="6" t="s">
        <v>132</v>
      </c>
      <c r="K1400" s="1" t="s">
        <v>28505</v>
      </c>
      <c r="L1400" s="7" t="str">
        <f>IFERROR(__xludf.DUMMYFUNCTION("GOOGLETRANSLATE(C1400, ""en"", ""fi"")"),"Ryhmäkeskusteluasetukset")</f>
        <v>Ryhmäkeskusteluasetukset</v>
      </c>
      <c r="M1400" s="1" t="s">
        <v>28506</v>
      </c>
      <c r="N1400" s="6" t="s">
        <v>28507</v>
      </c>
      <c r="O1400" s="6" t="s">
        <v>132</v>
      </c>
      <c r="P1400" s="1" t="s">
        <v>28508</v>
      </c>
      <c r="Q1400" s="7" t="str">
        <f>IFERROR(__xludf.DUMMYFUNCTION("GOOGLETRANSLATE(C1400, ""en"", ""in"")"),"Opsi obrolan grup")</f>
        <v>Opsi obrolan grup</v>
      </c>
      <c r="R1400" s="1" t="s">
        <v>28509</v>
      </c>
      <c r="S1400" s="6" t="s">
        <v>132</v>
      </c>
      <c r="T1400" s="1" t="s">
        <v>28510</v>
      </c>
      <c r="U1400" s="7" t="str">
        <f>IFERROR(__xludf.DUMMYFUNCTION("GOOGLETRANSLATE(C1400, ""en"", ""ko"")"),"그룹 채팅 옵션")</f>
        <v>그룹 채팅 옵션</v>
      </c>
      <c r="V1400" s="7" t="str">
        <f>IFERROR(__xludf.DUMMYFUNCTION("GOOGLETRANSLATE(C1400, ""en"", ""ms"")"),"Pilihan sembang kumpulan")</f>
        <v>Pilihan sembang kumpulan</v>
      </c>
      <c r="W1400" s="1" t="s">
        <v>28511</v>
      </c>
      <c r="X1400" s="7" t="str">
        <f>IFERROR(__xludf.DUMMYFUNCTION("GOOGLETRANSLATE(C1400, ""en"", ""no"")"),"Gruppe chatalternativer")</f>
        <v>Gruppe chatalternativer</v>
      </c>
      <c r="Y1400" s="1" t="s">
        <v>28512</v>
      </c>
      <c r="Z1400" s="1" t="s">
        <v>28513</v>
      </c>
      <c r="AA1400" s="7" t="str">
        <f>IFERROR(__xludf.DUMMYFUNCTION("GOOGLETRANSLATE(C1400, ""en"", ""ro"")"),"Opțiuni de chat de grup")</f>
        <v>Opțiuni de chat de grup</v>
      </c>
      <c r="AB1400" s="1" t="s">
        <v>28514</v>
      </c>
      <c r="AC1400" s="7" t="str">
        <f>IFERROR(__xludf.DUMMYFUNCTION("GOOGLETRANSLATE(C1400, ""en"", ""sk"")"),"Možnosti chatovania skupiny")</f>
        <v>Možnosti chatovania skupiny</v>
      </c>
      <c r="AD1400" s="6" t="s">
        <v>132</v>
      </c>
      <c r="AE1400" s="1" t="s">
        <v>28515</v>
      </c>
      <c r="AF1400" s="7" t="str">
        <f>IFERROR(__xludf.DUMMYFUNCTION("GOOGLETRANSLATE(C1400, ""en"", ""sv"")"),"Gruppchattalternativ")</f>
        <v>Gruppchattalternativ</v>
      </c>
      <c r="AG1400" s="6" t="s">
        <v>132</v>
      </c>
      <c r="AH1400" s="7" t="str">
        <f>IFERROR(__xludf.DUMMYFUNCTION("GOOGLETRANSLATE(C1400, ""en"", ""tr"")"),"Grup sohbet seçenekleri")</f>
        <v>Grup sohbet seçenekleri</v>
      </c>
      <c r="AI1400" s="6" t="s">
        <v>132</v>
      </c>
      <c r="AJ1400" s="6" t="s">
        <v>132</v>
      </c>
      <c r="AK1400" s="7" t="str">
        <f>IFERROR(__xludf.DUMMYFUNCTION("GOOGLETRANSLATE(C1400, ""en"", ""zh"")"),"小组聊天选项")</f>
        <v>小组聊天选项</v>
      </c>
      <c r="AL1400" s="6" t="s">
        <v>132</v>
      </c>
    </row>
    <row r="1401" ht="15.75" customHeight="1">
      <c r="A1401" s="1" t="s">
        <v>127</v>
      </c>
      <c r="B1401" s="1" t="s">
        <v>28516</v>
      </c>
      <c r="C1401" s="1" t="s">
        <v>28517</v>
      </c>
      <c r="D1401" s="8" t="s">
        <v>28518</v>
      </c>
      <c r="E1401" s="1" t="s">
        <v>28519</v>
      </c>
      <c r="F1401" s="6" t="s">
        <v>132</v>
      </c>
      <c r="G1401" s="1" t="s">
        <v>28520</v>
      </c>
      <c r="H1401" s="1" t="s">
        <v>28521</v>
      </c>
      <c r="I1401" s="1" t="s">
        <v>28522</v>
      </c>
      <c r="J1401" s="6" t="s">
        <v>28523</v>
      </c>
      <c r="K1401" s="1" t="s">
        <v>28524</v>
      </c>
      <c r="L1401" s="1" t="s">
        <v>28525</v>
      </c>
      <c r="M1401" s="1" t="s">
        <v>28526</v>
      </c>
      <c r="N1401" s="6" t="s">
        <v>132</v>
      </c>
      <c r="O1401" s="6" t="s">
        <v>28527</v>
      </c>
      <c r="P1401" s="1" t="s">
        <v>28528</v>
      </c>
      <c r="Q1401" s="1" t="s">
        <v>28529</v>
      </c>
      <c r="R1401" s="1" t="s">
        <v>28530</v>
      </c>
      <c r="S1401" s="10" t="s">
        <v>28531</v>
      </c>
      <c r="T1401" s="1" t="s">
        <v>28532</v>
      </c>
      <c r="U1401" s="1" t="s">
        <v>28533</v>
      </c>
      <c r="V1401" s="1" t="s">
        <v>28534</v>
      </c>
      <c r="W1401" s="1" t="s">
        <v>28535</v>
      </c>
      <c r="X1401" s="1" t="s">
        <v>28536</v>
      </c>
      <c r="Y1401" s="1" t="s">
        <v>28537</v>
      </c>
      <c r="Z1401" s="1" t="s">
        <v>28538</v>
      </c>
      <c r="AA1401" s="1" t="s">
        <v>28539</v>
      </c>
      <c r="AB1401" s="1" t="s">
        <v>28540</v>
      </c>
      <c r="AC1401" s="1" t="s">
        <v>28541</v>
      </c>
      <c r="AD1401" s="6" t="s">
        <v>28542</v>
      </c>
      <c r="AE1401" s="1" t="s">
        <v>28543</v>
      </c>
      <c r="AF1401" s="1" t="s">
        <v>28544</v>
      </c>
      <c r="AG1401" s="6" t="s">
        <v>28545</v>
      </c>
      <c r="AH1401" s="1" t="s">
        <v>28546</v>
      </c>
      <c r="AI1401" s="6" t="s">
        <v>132</v>
      </c>
      <c r="AJ1401" s="6" t="s">
        <v>28547</v>
      </c>
      <c r="AK1401" s="1" t="s">
        <v>28548</v>
      </c>
      <c r="AL1401" s="6" t="s">
        <v>132</v>
      </c>
    </row>
    <row r="1402" ht="15.75" customHeight="1">
      <c r="A1402" s="1" t="s">
        <v>127</v>
      </c>
      <c r="B1402" s="1" t="s">
        <v>28549</v>
      </c>
      <c r="C1402" s="1" t="s">
        <v>28550</v>
      </c>
      <c r="D1402" s="8" t="s">
        <v>28551</v>
      </c>
      <c r="E1402" s="1" t="s">
        <v>28552</v>
      </c>
      <c r="F1402" s="6" t="s">
        <v>132</v>
      </c>
      <c r="G1402" s="1" t="s">
        <v>28553</v>
      </c>
      <c r="H1402" s="1" t="s">
        <v>28554</v>
      </c>
      <c r="I1402" s="1" t="s">
        <v>28555</v>
      </c>
      <c r="J1402" s="6" t="s">
        <v>28556</v>
      </c>
      <c r="K1402" s="1" t="s">
        <v>28557</v>
      </c>
      <c r="L1402" s="1" t="s">
        <v>28558</v>
      </c>
      <c r="M1402" s="1" t="s">
        <v>28559</v>
      </c>
      <c r="N1402" s="6" t="s">
        <v>132</v>
      </c>
      <c r="O1402" s="6" t="s">
        <v>28560</v>
      </c>
      <c r="P1402" s="1" t="s">
        <v>28561</v>
      </c>
      <c r="Q1402" s="1" t="s">
        <v>28562</v>
      </c>
      <c r="R1402" s="1" t="s">
        <v>28563</v>
      </c>
      <c r="S1402" s="10" t="s">
        <v>28564</v>
      </c>
      <c r="T1402" s="1" t="s">
        <v>21421</v>
      </c>
      <c r="U1402" s="1" t="s">
        <v>28565</v>
      </c>
      <c r="V1402" s="1" t="s">
        <v>28562</v>
      </c>
      <c r="W1402" s="1" t="s">
        <v>28566</v>
      </c>
      <c r="X1402" s="1" t="s">
        <v>28554</v>
      </c>
      <c r="Y1402" s="1" t="s">
        <v>28567</v>
      </c>
      <c r="Z1402" s="1" t="s">
        <v>28557</v>
      </c>
      <c r="AA1402" s="1" t="s">
        <v>28563</v>
      </c>
      <c r="AB1402" s="1" t="s">
        <v>28568</v>
      </c>
      <c r="AC1402" s="1" t="s">
        <v>28553</v>
      </c>
      <c r="AD1402" s="6" t="s">
        <v>28569</v>
      </c>
      <c r="AE1402" s="1" t="s">
        <v>28570</v>
      </c>
      <c r="AF1402" s="1" t="s">
        <v>28571</v>
      </c>
      <c r="AG1402" s="6" t="s">
        <v>28572</v>
      </c>
      <c r="AH1402" s="1" t="s">
        <v>28573</v>
      </c>
      <c r="AI1402" s="6" t="s">
        <v>132</v>
      </c>
      <c r="AJ1402" s="6" t="s">
        <v>28574</v>
      </c>
      <c r="AK1402" s="1" t="s">
        <v>28575</v>
      </c>
      <c r="AL1402" s="6" t="s">
        <v>28576</v>
      </c>
    </row>
    <row r="1403" ht="15.75" hidden="1" customHeight="1">
      <c r="A1403" s="1" t="s">
        <v>38</v>
      </c>
      <c r="B1403" s="1" t="s">
        <v>28577</v>
      </c>
      <c r="C1403" s="1" t="s">
        <v>28578</v>
      </c>
      <c r="D1403" s="8" t="s">
        <v>28579</v>
      </c>
      <c r="E1403" s="1" t="s">
        <v>28580</v>
      </c>
      <c r="F1403" s="6" t="s">
        <v>28581</v>
      </c>
      <c r="G1403" s="7" t="str">
        <f>IFERROR(__xludf.DUMMYFUNCTION("GOOGLETRANSLATE(C1403, ""en"", ""cs"")"),"Skrýt neaktivní")</f>
        <v>Skrýt neaktivní</v>
      </c>
      <c r="H1403" s="7" t="str">
        <f>IFERROR(__xludf.DUMMYFUNCTION("GOOGLETRANSLATE(C1403, ""en"", ""da"")"),"Skjul inaktivt")</f>
        <v>Skjul inaktivt</v>
      </c>
      <c r="I1403" s="1" t="s">
        <v>28582</v>
      </c>
      <c r="J1403" s="6" t="s">
        <v>132</v>
      </c>
      <c r="K1403" s="1" t="s">
        <v>28583</v>
      </c>
      <c r="L1403" s="7" t="str">
        <f>IFERROR(__xludf.DUMMYFUNCTION("GOOGLETRANSLATE(C1403, ""en"", ""fi"")"),"Piilota inaktiivinen")</f>
        <v>Piilota inaktiivinen</v>
      </c>
      <c r="M1403" s="1" t="s">
        <v>28584</v>
      </c>
      <c r="N1403" s="6" t="s">
        <v>28585</v>
      </c>
      <c r="O1403" s="6" t="s">
        <v>132</v>
      </c>
      <c r="P1403" s="1" t="s">
        <v>28586</v>
      </c>
      <c r="Q1403" s="7" t="str">
        <f>IFERROR(__xludf.DUMMYFUNCTION("GOOGLETRANSLATE(C1403, ""en"", ""in"")"),"Sembunyikan Inaktif.")</f>
        <v>Sembunyikan Inaktif.</v>
      </c>
      <c r="R1403" s="1" t="s">
        <v>28587</v>
      </c>
      <c r="S1403" s="6" t="s">
        <v>132</v>
      </c>
      <c r="T1403" s="7" t="str">
        <f>IFERROR(__xludf.DUMMYFUNCTION("GOOGLETRANSLATE(C1403, ""en"", ""ja"")"),"非アクティブを隠す")</f>
        <v>非アクティブを隠す</v>
      </c>
      <c r="U1403" s="7" t="str">
        <f>IFERROR(__xludf.DUMMYFUNCTION("GOOGLETRANSLATE(C1403, ""en"", ""ko"")"),"비활성 숨기기")</f>
        <v>비활성 숨기기</v>
      </c>
      <c r="V1403" s="7" t="str">
        <f>IFERROR(__xludf.DUMMYFUNCTION("GOOGLETRANSLATE(C1403, ""en"", ""ms"")"),"Sembunyikan tidak aktif")</f>
        <v>Sembunyikan tidak aktif</v>
      </c>
      <c r="W1403" s="1" t="s">
        <v>28588</v>
      </c>
      <c r="X1403" s="7" t="str">
        <f>IFERROR(__xludf.DUMMYFUNCTION("GOOGLETRANSLATE(C1403, ""en"", ""no"")"),"Skjul inaktiv")</f>
        <v>Skjul inaktiv</v>
      </c>
      <c r="Y1403" s="1" t="s">
        <v>28589</v>
      </c>
      <c r="Z1403" s="7" t="str">
        <f>IFERROR(__xludf.DUMMYFUNCTION("GOOGLETRANSLATE(C1403, ""en"", ""pt"")"),"Esconder inativo")</f>
        <v>Esconder inativo</v>
      </c>
      <c r="AA1403" s="7" t="str">
        <f>IFERROR(__xludf.DUMMYFUNCTION("GOOGLETRANSLATE(C1403, ""en"", ""ro"")"),"Ascunde inactive")</f>
        <v>Ascunde inactive</v>
      </c>
      <c r="AB1403" s="1" t="s">
        <v>28590</v>
      </c>
      <c r="AC1403" s="7" t="str">
        <f>IFERROR(__xludf.DUMMYFUNCTION("GOOGLETRANSLATE(C1403, ""en"", ""sk"")"),"Skryť neaktívne")</f>
        <v>Skryť neaktívne</v>
      </c>
      <c r="AD1403" s="6" t="s">
        <v>132</v>
      </c>
      <c r="AE1403" s="1" t="s">
        <v>28591</v>
      </c>
      <c r="AF1403" s="7" t="str">
        <f>IFERROR(__xludf.DUMMYFUNCTION("GOOGLETRANSLATE(C1403, ""en"", ""sv"")"),"Göm inaktiv")</f>
        <v>Göm inaktiv</v>
      </c>
      <c r="AG1403" s="6" t="s">
        <v>132</v>
      </c>
      <c r="AH1403" s="7" t="str">
        <f>IFERROR(__xludf.DUMMYFUNCTION("GOOGLETRANSLATE(C1403, ""en"", ""tr"")"),"Aktifsiz gizle")</f>
        <v>Aktifsiz gizle</v>
      </c>
      <c r="AI1403" s="6" t="s">
        <v>132</v>
      </c>
      <c r="AJ1403" s="6" t="s">
        <v>132</v>
      </c>
      <c r="AK1403" s="7" t="str">
        <f>IFERROR(__xludf.DUMMYFUNCTION("GOOGLETRANSLATE(C1403, ""en"", ""zh"")"),"隐藏无效")</f>
        <v>隐藏无效</v>
      </c>
      <c r="AL1403" s="6" t="s">
        <v>132</v>
      </c>
    </row>
    <row r="1404" ht="15.75" customHeight="1">
      <c r="A1404" s="1" t="s">
        <v>127</v>
      </c>
      <c r="B1404" s="1" t="s">
        <v>28592</v>
      </c>
      <c r="C1404" s="1" t="s">
        <v>28593</v>
      </c>
      <c r="D1404" s="8" t="s">
        <v>28594</v>
      </c>
      <c r="E1404" s="1" t="s">
        <v>28595</v>
      </c>
      <c r="F1404" s="6" t="s">
        <v>132</v>
      </c>
      <c r="G1404" s="1" t="s">
        <v>28596</v>
      </c>
      <c r="H1404" s="1" t="s">
        <v>28597</v>
      </c>
      <c r="I1404" s="1" t="s">
        <v>28598</v>
      </c>
      <c r="J1404" s="6" t="s">
        <v>28599</v>
      </c>
      <c r="K1404" s="1" t="s">
        <v>28600</v>
      </c>
      <c r="L1404" s="1" t="s">
        <v>28601</v>
      </c>
      <c r="M1404" s="1" t="s">
        <v>28602</v>
      </c>
      <c r="N1404" s="6" t="s">
        <v>132</v>
      </c>
      <c r="O1404" s="6" t="s">
        <v>28603</v>
      </c>
      <c r="P1404" s="1" t="s">
        <v>28604</v>
      </c>
      <c r="Q1404" s="1" t="s">
        <v>28605</v>
      </c>
      <c r="R1404" s="1" t="s">
        <v>28606</v>
      </c>
      <c r="S1404" s="10" t="s">
        <v>28607</v>
      </c>
      <c r="T1404" s="1" t="s">
        <v>28608</v>
      </c>
      <c r="U1404" s="1" t="s">
        <v>28609</v>
      </c>
      <c r="V1404" s="1" t="s">
        <v>28610</v>
      </c>
      <c r="W1404" s="1" t="s">
        <v>28611</v>
      </c>
      <c r="X1404" s="1" t="s">
        <v>28612</v>
      </c>
      <c r="Y1404" s="1" t="s">
        <v>28613</v>
      </c>
      <c r="Z1404" s="1" t="s">
        <v>28614</v>
      </c>
      <c r="AA1404" s="1" t="s">
        <v>28615</v>
      </c>
      <c r="AB1404" s="1" t="s">
        <v>28616</v>
      </c>
      <c r="AC1404" s="1" t="s">
        <v>28617</v>
      </c>
      <c r="AD1404" s="6" t="s">
        <v>28618</v>
      </c>
      <c r="AE1404" s="1" t="s">
        <v>28619</v>
      </c>
      <c r="AF1404" s="1" t="s">
        <v>28620</v>
      </c>
      <c r="AG1404" s="6" t="s">
        <v>28621</v>
      </c>
      <c r="AH1404" s="1" t="s">
        <v>28622</v>
      </c>
      <c r="AI1404" s="6" t="s">
        <v>132</v>
      </c>
      <c r="AJ1404" s="6" t="s">
        <v>28623</v>
      </c>
      <c r="AK1404" s="1" t="s">
        <v>28624</v>
      </c>
      <c r="AL1404" s="6" t="s">
        <v>28625</v>
      </c>
    </row>
    <row r="1405" ht="15.75" hidden="1" customHeight="1">
      <c r="A1405" s="1" t="s">
        <v>38</v>
      </c>
      <c r="B1405" s="1" t="s">
        <v>28626</v>
      </c>
      <c r="C1405" s="1" t="s">
        <v>28627</v>
      </c>
      <c r="D1405" s="7" t="str">
        <f>IFERROR(__xludf.DUMMYFUNCTION("GOOGLETRANSLATE(C1405, ""en"", ""ar"")"),"البحث المباشر")</f>
        <v>البحث المباشر</v>
      </c>
      <c r="E1405" s="1" t="s">
        <v>28628</v>
      </c>
      <c r="F1405" s="6" t="s">
        <v>28629</v>
      </c>
      <c r="G1405" s="7" t="str">
        <f>IFERROR(__xludf.DUMMYFUNCTION("GOOGLETRANSLATE(C1405, ""en"", ""cs"")"),"Přímé vyhledávání")</f>
        <v>Přímé vyhledávání</v>
      </c>
      <c r="H1405" s="7" t="str">
        <f>IFERROR(__xludf.DUMMYFUNCTION("GOOGLETRANSLATE(C1405, ""en"", ""da"")"),"Direkte søgning")</f>
        <v>Direkte søgning</v>
      </c>
      <c r="I1405" s="1" t="s">
        <v>28630</v>
      </c>
      <c r="J1405" s="6" t="s">
        <v>132</v>
      </c>
      <c r="K1405" s="1" t="s">
        <v>28631</v>
      </c>
      <c r="L1405" s="7" t="str">
        <f>IFERROR(__xludf.DUMMYFUNCTION("GOOGLETRANSLATE(C1405, ""en"", ""fi"")"),"Suora haku")</f>
        <v>Suora haku</v>
      </c>
      <c r="M1405" s="1" t="s">
        <v>28632</v>
      </c>
      <c r="N1405" s="6" t="s">
        <v>28633</v>
      </c>
      <c r="O1405" s="6" t="s">
        <v>132</v>
      </c>
      <c r="P1405" s="1" t="s">
        <v>28634</v>
      </c>
      <c r="Q1405" s="7" t="str">
        <f>IFERROR(__xludf.DUMMYFUNCTION("GOOGLETRANSLATE(C1405, ""en"", ""in"")"),"Pencarian Langsung")</f>
        <v>Pencarian Langsung</v>
      </c>
      <c r="R1405" s="1" t="s">
        <v>28635</v>
      </c>
      <c r="S1405" s="6" t="s">
        <v>132</v>
      </c>
      <c r="T1405" s="7" t="str">
        <f>IFERROR(__xludf.DUMMYFUNCTION("GOOGLETRANSLATE(C1405, ""en"", ""ja"")"),"直接検索")</f>
        <v>直接検索</v>
      </c>
      <c r="U1405" s="7" t="str">
        <f>IFERROR(__xludf.DUMMYFUNCTION("GOOGLETRANSLATE(C1405, ""en"", ""ko"")"),"직접 검색")</f>
        <v>직접 검색</v>
      </c>
      <c r="V1405" s="7" t="str">
        <f>IFERROR(__xludf.DUMMYFUNCTION("GOOGLETRANSLATE(C1405, ""en"", ""ms"")"),"Carian langsung.")</f>
        <v>Carian langsung.</v>
      </c>
      <c r="W1405" s="1" t="s">
        <v>28636</v>
      </c>
      <c r="X1405" s="7" t="str">
        <f>IFERROR(__xludf.DUMMYFUNCTION("GOOGLETRANSLATE(C1405, ""en"", ""no"")"),"Direkte søk")</f>
        <v>Direkte søk</v>
      </c>
      <c r="Y1405" s="1" t="s">
        <v>28637</v>
      </c>
      <c r="Z1405" s="7" t="str">
        <f>IFERROR(__xludf.DUMMYFUNCTION("GOOGLETRANSLATE(C1405, ""en"", ""pt"")"),"Pesquisa direta")</f>
        <v>Pesquisa direta</v>
      </c>
      <c r="AA1405" s="7" t="str">
        <f>IFERROR(__xludf.DUMMYFUNCTION("GOOGLETRANSLATE(C1405, ""en"", ""ro"")"),"Căutare directă")</f>
        <v>Căutare directă</v>
      </c>
      <c r="AB1405" s="7" t="str">
        <f>IFERROR(__xludf.DUMMYFUNCTION("GOOGLETRANSLATE(C1405, ""en"", ""ru"")"),"Прямой поиск")</f>
        <v>Прямой поиск</v>
      </c>
      <c r="AC1405" s="7" t="str">
        <f>IFERROR(__xludf.DUMMYFUNCTION("GOOGLETRANSLATE(C1405, ""en"", ""sk"")"),"Priame vyhľadávanie")</f>
        <v>Priame vyhľadávanie</v>
      </c>
      <c r="AD1405" s="6" t="s">
        <v>132</v>
      </c>
      <c r="AE1405" s="7" t="str">
        <f>IFERROR(__xludf.DUMMYFUNCTION("GOOGLETRANSLATE(C1405, ""en"", ""sr"")"),"Директна претрага")</f>
        <v>Директна претрага</v>
      </c>
      <c r="AF1405" s="7" t="str">
        <f>IFERROR(__xludf.DUMMYFUNCTION("GOOGLETRANSLATE(C1405, ""en"", ""sv"")"),"Direktsökning")</f>
        <v>Direktsökning</v>
      </c>
      <c r="AG1405" s="6" t="s">
        <v>132</v>
      </c>
      <c r="AH1405" s="7" t="str">
        <f>IFERROR(__xludf.DUMMYFUNCTION("GOOGLETRANSLATE(C1405, ""en"", ""tr"")"),"Doğrudan arama")</f>
        <v>Doğrudan arama</v>
      </c>
      <c r="AI1405" s="6" t="s">
        <v>132</v>
      </c>
      <c r="AJ1405" s="6" t="s">
        <v>132</v>
      </c>
      <c r="AK1405" s="7" t="str">
        <f>IFERROR(__xludf.DUMMYFUNCTION("GOOGLETRANSLATE(C1405, ""en"", ""zh"")"),"直接搜索")</f>
        <v>直接搜索</v>
      </c>
      <c r="AL1405" s="6" t="s">
        <v>132</v>
      </c>
    </row>
    <row r="1406" ht="15.75" customHeight="1">
      <c r="A1406" s="1" t="s">
        <v>127</v>
      </c>
      <c r="B1406" s="1" t="s">
        <v>28638</v>
      </c>
      <c r="C1406" s="1" t="s">
        <v>28639</v>
      </c>
      <c r="D1406" s="8" t="s">
        <v>28640</v>
      </c>
      <c r="E1406" s="1" t="s">
        <v>28641</v>
      </c>
      <c r="F1406" s="6" t="s">
        <v>132</v>
      </c>
      <c r="G1406" s="1" t="s">
        <v>28642</v>
      </c>
      <c r="H1406" s="1" t="s">
        <v>28643</v>
      </c>
      <c r="I1406" s="1" t="s">
        <v>28639</v>
      </c>
      <c r="J1406" s="6" t="s">
        <v>28644</v>
      </c>
      <c r="K1406" s="1" t="s">
        <v>28645</v>
      </c>
      <c r="L1406" s="1" t="s">
        <v>28646</v>
      </c>
      <c r="M1406" s="1" t="s">
        <v>28647</v>
      </c>
      <c r="N1406" s="6" t="s">
        <v>132</v>
      </c>
      <c r="O1406" s="6" t="s">
        <v>28648</v>
      </c>
      <c r="P1406" s="1" t="s">
        <v>28649</v>
      </c>
      <c r="Q1406" s="1" t="s">
        <v>28650</v>
      </c>
      <c r="R1406" s="1" t="s">
        <v>28651</v>
      </c>
      <c r="S1406" s="10" t="s">
        <v>28652</v>
      </c>
      <c r="T1406" s="1" t="s">
        <v>28653</v>
      </c>
      <c r="U1406" s="1" t="s">
        <v>28654</v>
      </c>
      <c r="V1406" s="1" t="s">
        <v>28655</v>
      </c>
      <c r="W1406" s="1" t="s">
        <v>28656</v>
      </c>
      <c r="X1406" s="1" t="s">
        <v>28657</v>
      </c>
      <c r="Y1406" s="1" t="s">
        <v>28658</v>
      </c>
      <c r="Z1406" s="1" t="s">
        <v>28645</v>
      </c>
      <c r="AA1406" s="1" t="s">
        <v>28639</v>
      </c>
      <c r="AB1406" s="1" t="s">
        <v>28659</v>
      </c>
      <c r="AC1406" s="1" t="s">
        <v>28660</v>
      </c>
      <c r="AD1406" s="6" t="s">
        <v>28661</v>
      </c>
      <c r="AE1406" s="1" t="s">
        <v>28662</v>
      </c>
      <c r="AF1406" s="1" t="s">
        <v>28639</v>
      </c>
      <c r="AG1406" s="6" t="s">
        <v>28663</v>
      </c>
      <c r="AH1406" s="1" t="s">
        <v>28664</v>
      </c>
      <c r="AI1406" s="6" t="s">
        <v>132</v>
      </c>
      <c r="AJ1406" s="6" t="s">
        <v>28665</v>
      </c>
      <c r="AK1406" s="1" t="s">
        <v>28666</v>
      </c>
      <c r="AL1406" s="6" t="s">
        <v>132</v>
      </c>
    </row>
    <row r="1407" ht="15.75" customHeight="1">
      <c r="A1407" s="1" t="s">
        <v>127</v>
      </c>
      <c r="B1407" s="1" t="s">
        <v>28667</v>
      </c>
      <c r="C1407" s="1" t="s">
        <v>28668</v>
      </c>
      <c r="D1407" s="8" t="s">
        <v>28669</v>
      </c>
      <c r="E1407" s="1" t="s">
        <v>28670</v>
      </c>
      <c r="F1407" s="6" t="s">
        <v>132</v>
      </c>
      <c r="G1407" s="1" t="s">
        <v>28671</v>
      </c>
      <c r="H1407" s="1" t="s">
        <v>28672</v>
      </c>
      <c r="I1407" s="1" t="s">
        <v>28673</v>
      </c>
      <c r="J1407" s="6" t="s">
        <v>28674</v>
      </c>
      <c r="K1407" s="1" t="s">
        <v>28675</v>
      </c>
      <c r="L1407" s="1" t="s">
        <v>28676</v>
      </c>
      <c r="M1407" s="1" t="s">
        <v>28677</v>
      </c>
      <c r="N1407" s="6" t="s">
        <v>132</v>
      </c>
      <c r="O1407" s="6" t="s">
        <v>28678</v>
      </c>
      <c r="P1407" s="1" t="s">
        <v>28679</v>
      </c>
      <c r="Q1407" s="1" t="s">
        <v>28680</v>
      </c>
      <c r="R1407" s="1" t="s">
        <v>28681</v>
      </c>
      <c r="S1407" s="10" t="s">
        <v>28682</v>
      </c>
      <c r="T1407" s="1" t="s">
        <v>28683</v>
      </c>
      <c r="U1407" s="1" t="s">
        <v>28684</v>
      </c>
      <c r="V1407" s="1" t="s">
        <v>28685</v>
      </c>
      <c r="W1407" s="1" t="s">
        <v>28686</v>
      </c>
      <c r="X1407" s="1" t="s">
        <v>28687</v>
      </c>
      <c r="Y1407" s="1" t="s">
        <v>28688</v>
      </c>
      <c r="Z1407" s="1" t="s">
        <v>28689</v>
      </c>
      <c r="AA1407" s="1" t="s">
        <v>28690</v>
      </c>
      <c r="AB1407" s="1" t="s">
        <v>28691</v>
      </c>
      <c r="AC1407" s="1" t="s">
        <v>28692</v>
      </c>
      <c r="AD1407" s="6" t="s">
        <v>28693</v>
      </c>
      <c r="AE1407" s="1" t="s">
        <v>28694</v>
      </c>
      <c r="AF1407" s="1" t="s">
        <v>28695</v>
      </c>
      <c r="AG1407" s="6" t="s">
        <v>28696</v>
      </c>
      <c r="AH1407" s="1" t="s">
        <v>28697</v>
      </c>
      <c r="AI1407" s="6" t="s">
        <v>132</v>
      </c>
      <c r="AJ1407" s="6" t="s">
        <v>28698</v>
      </c>
      <c r="AK1407" s="1" t="s">
        <v>28699</v>
      </c>
      <c r="AL1407" s="6" t="s">
        <v>132</v>
      </c>
    </row>
    <row r="1408" ht="15.75" customHeight="1">
      <c r="A1408" s="1" t="s">
        <v>127</v>
      </c>
      <c r="B1408" s="1" t="s">
        <v>28700</v>
      </c>
      <c r="C1408" s="1" t="s">
        <v>28701</v>
      </c>
      <c r="D1408" s="8" t="s">
        <v>28702</v>
      </c>
      <c r="E1408" s="1" t="s">
        <v>28703</v>
      </c>
      <c r="F1408" s="6" t="s">
        <v>132</v>
      </c>
      <c r="G1408" s="1" t="s">
        <v>28704</v>
      </c>
      <c r="H1408" s="1" t="s">
        <v>6651</v>
      </c>
      <c r="I1408" s="1" t="s">
        <v>28705</v>
      </c>
      <c r="J1408" s="6" t="s">
        <v>8174</v>
      </c>
      <c r="K1408" s="1" t="s">
        <v>8175</v>
      </c>
      <c r="L1408" s="1" t="s">
        <v>28706</v>
      </c>
      <c r="M1408" s="1" t="s">
        <v>8184</v>
      </c>
      <c r="N1408" s="6" t="s">
        <v>132</v>
      </c>
      <c r="O1408" s="6" t="s">
        <v>28707</v>
      </c>
      <c r="P1408" s="1" t="s">
        <v>28708</v>
      </c>
      <c r="Q1408" s="1" t="s">
        <v>28709</v>
      </c>
      <c r="R1408" s="1" t="s">
        <v>8187</v>
      </c>
      <c r="S1408" s="10" t="s">
        <v>28710</v>
      </c>
      <c r="T1408" s="1" t="s">
        <v>25643</v>
      </c>
      <c r="U1408" s="1" t="s">
        <v>28711</v>
      </c>
      <c r="V1408" s="1" t="s">
        <v>28709</v>
      </c>
      <c r="W1408" s="1" t="s">
        <v>28712</v>
      </c>
      <c r="X1408" s="1" t="s">
        <v>28713</v>
      </c>
      <c r="Y1408" s="1" t="s">
        <v>28714</v>
      </c>
      <c r="Z1408" s="1" t="s">
        <v>8187</v>
      </c>
      <c r="AA1408" s="1" t="s">
        <v>28715</v>
      </c>
      <c r="AB1408" s="1" t="s">
        <v>28716</v>
      </c>
      <c r="AC1408" s="1" t="s">
        <v>28717</v>
      </c>
      <c r="AD1408" s="6" t="s">
        <v>28718</v>
      </c>
      <c r="AE1408" s="1" t="s">
        <v>15351</v>
      </c>
      <c r="AF1408" s="1" t="s">
        <v>28713</v>
      </c>
      <c r="AG1408" s="6" t="s">
        <v>23304</v>
      </c>
      <c r="AH1408" s="1" t="s">
        <v>28719</v>
      </c>
      <c r="AI1408" s="6" t="s">
        <v>132</v>
      </c>
      <c r="AJ1408" s="6" t="s">
        <v>28720</v>
      </c>
      <c r="AK1408" s="1" t="s">
        <v>28721</v>
      </c>
      <c r="AL1408" s="6" t="s">
        <v>28722</v>
      </c>
    </row>
    <row r="1409" ht="15.75" customHeight="1">
      <c r="A1409" s="1" t="s">
        <v>127</v>
      </c>
      <c r="B1409" s="1" t="s">
        <v>28723</v>
      </c>
      <c r="C1409" s="1" t="s">
        <v>28724</v>
      </c>
      <c r="D1409" s="8" t="s">
        <v>28725</v>
      </c>
      <c r="E1409" s="1" t="s">
        <v>28726</v>
      </c>
      <c r="F1409" s="6" t="s">
        <v>132</v>
      </c>
      <c r="G1409" s="1" t="s">
        <v>28727</v>
      </c>
      <c r="H1409" s="1" t="s">
        <v>28728</v>
      </c>
      <c r="I1409" s="1" t="s">
        <v>28729</v>
      </c>
      <c r="J1409" s="6" t="s">
        <v>28730</v>
      </c>
      <c r="K1409" s="1" t="s">
        <v>28731</v>
      </c>
      <c r="L1409" s="1" t="s">
        <v>28732</v>
      </c>
      <c r="M1409" s="1" t="s">
        <v>28733</v>
      </c>
      <c r="N1409" s="6" t="s">
        <v>132</v>
      </c>
      <c r="O1409" s="6" t="s">
        <v>28734</v>
      </c>
      <c r="P1409" s="1" t="s">
        <v>28735</v>
      </c>
      <c r="Q1409" s="1" t="s">
        <v>28736</v>
      </c>
      <c r="R1409" s="1" t="s">
        <v>28737</v>
      </c>
      <c r="S1409" s="10" t="s">
        <v>28738</v>
      </c>
      <c r="T1409" s="1" t="s">
        <v>28739</v>
      </c>
      <c r="U1409" s="1" t="s">
        <v>28740</v>
      </c>
      <c r="V1409" s="1" t="s">
        <v>28741</v>
      </c>
      <c r="W1409" s="1" t="s">
        <v>28742</v>
      </c>
      <c r="X1409" s="1" t="s">
        <v>28743</v>
      </c>
      <c r="Y1409" s="1" t="s">
        <v>28744</v>
      </c>
      <c r="Z1409" s="1" t="s">
        <v>28745</v>
      </c>
      <c r="AA1409" s="1" t="s">
        <v>28746</v>
      </c>
      <c r="AB1409" s="1" t="s">
        <v>28747</v>
      </c>
      <c r="AC1409" s="1" t="s">
        <v>28748</v>
      </c>
      <c r="AD1409" s="6" t="s">
        <v>28749</v>
      </c>
      <c r="AE1409" s="1" t="s">
        <v>28750</v>
      </c>
      <c r="AF1409" s="1" t="s">
        <v>28751</v>
      </c>
      <c r="AG1409" s="6" t="s">
        <v>28752</v>
      </c>
      <c r="AH1409" s="1" t="s">
        <v>28753</v>
      </c>
      <c r="AI1409" s="6" t="s">
        <v>132</v>
      </c>
      <c r="AJ1409" s="6" t="s">
        <v>28754</v>
      </c>
      <c r="AK1409" s="1" t="s">
        <v>28755</v>
      </c>
      <c r="AL1409" s="6" t="s">
        <v>132</v>
      </c>
    </row>
    <row r="1410" ht="15.75" customHeight="1">
      <c r="A1410" s="1" t="s">
        <v>127</v>
      </c>
      <c r="B1410" s="1" t="s">
        <v>28756</v>
      </c>
      <c r="C1410" s="1" t="s">
        <v>28757</v>
      </c>
      <c r="D1410" s="8" t="s">
        <v>28758</v>
      </c>
      <c r="E1410" s="1" t="s">
        <v>28759</v>
      </c>
      <c r="F1410" s="6" t="s">
        <v>132</v>
      </c>
      <c r="G1410" s="1" t="s">
        <v>28760</v>
      </c>
      <c r="H1410" s="1" t="s">
        <v>28761</v>
      </c>
      <c r="I1410" s="1" t="s">
        <v>28762</v>
      </c>
      <c r="J1410" s="6" t="s">
        <v>28763</v>
      </c>
      <c r="K1410" s="1" t="s">
        <v>28764</v>
      </c>
      <c r="L1410" s="1" t="s">
        <v>28765</v>
      </c>
      <c r="M1410" s="1" t="s">
        <v>28766</v>
      </c>
      <c r="N1410" s="6" t="s">
        <v>132</v>
      </c>
      <c r="O1410" s="6" t="s">
        <v>28767</v>
      </c>
      <c r="P1410" s="1" t="s">
        <v>28768</v>
      </c>
      <c r="Q1410" s="1" t="s">
        <v>28769</v>
      </c>
      <c r="R1410" s="1" t="s">
        <v>28770</v>
      </c>
      <c r="S1410" s="10" t="s">
        <v>28771</v>
      </c>
      <c r="T1410" s="1" t="s">
        <v>28772</v>
      </c>
      <c r="U1410" s="1" t="s">
        <v>28773</v>
      </c>
      <c r="V1410" s="1" t="s">
        <v>28769</v>
      </c>
      <c r="W1410" s="1" t="s">
        <v>28774</v>
      </c>
      <c r="X1410" s="1" t="s">
        <v>28775</v>
      </c>
      <c r="Y1410" s="1" t="s">
        <v>28776</v>
      </c>
      <c r="Z1410" s="1" t="s">
        <v>28777</v>
      </c>
      <c r="AA1410" s="1" t="s">
        <v>28778</v>
      </c>
      <c r="AB1410" s="1" t="s">
        <v>28779</v>
      </c>
      <c r="AC1410" s="1" t="s">
        <v>28780</v>
      </c>
      <c r="AD1410" s="6" t="s">
        <v>28781</v>
      </c>
      <c r="AE1410" s="1" t="s">
        <v>28782</v>
      </c>
      <c r="AF1410" s="1" t="s">
        <v>28783</v>
      </c>
      <c r="AG1410" s="6" t="s">
        <v>28784</v>
      </c>
      <c r="AH1410" s="1" t="s">
        <v>28785</v>
      </c>
      <c r="AI1410" s="6" t="s">
        <v>132</v>
      </c>
      <c r="AJ1410" s="6" t="s">
        <v>28786</v>
      </c>
      <c r="AK1410" s="1" t="s">
        <v>28787</v>
      </c>
      <c r="AL1410" s="6" t="s">
        <v>28788</v>
      </c>
    </row>
    <row r="1411" ht="15.75" customHeight="1">
      <c r="A1411" s="1" t="s">
        <v>127</v>
      </c>
      <c r="B1411" s="1" t="s">
        <v>28789</v>
      </c>
      <c r="C1411" s="1" t="s">
        <v>28790</v>
      </c>
      <c r="D1411" s="8" t="s">
        <v>28791</v>
      </c>
      <c r="E1411" s="1" t="s">
        <v>28792</v>
      </c>
      <c r="F1411" s="6" t="s">
        <v>132</v>
      </c>
      <c r="G1411" s="1" t="s">
        <v>28793</v>
      </c>
      <c r="H1411" s="1" t="s">
        <v>28794</v>
      </c>
      <c r="I1411" s="1" t="s">
        <v>28795</v>
      </c>
      <c r="J1411" s="6" t="s">
        <v>28796</v>
      </c>
      <c r="K1411" s="1" t="s">
        <v>28797</v>
      </c>
      <c r="L1411" s="1" t="s">
        <v>28798</v>
      </c>
      <c r="M1411" s="1" t="s">
        <v>28799</v>
      </c>
      <c r="N1411" s="6" t="s">
        <v>132</v>
      </c>
      <c r="O1411" s="6" t="s">
        <v>28800</v>
      </c>
      <c r="P1411" s="1" t="s">
        <v>28801</v>
      </c>
      <c r="Q1411" s="1" t="s">
        <v>28802</v>
      </c>
      <c r="R1411" s="1" t="s">
        <v>28803</v>
      </c>
      <c r="S1411" s="10" t="s">
        <v>28804</v>
      </c>
      <c r="T1411" s="1" t="s">
        <v>28805</v>
      </c>
      <c r="U1411" s="1" t="s">
        <v>28806</v>
      </c>
      <c r="V1411" s="1" t="s">
        <v>28802</v>
      </c>
      <c r="W1411" s="1" t="s">
        <v>28807</v>
      </c>
      <c r="X1411" s="1" t="s">
        <v>28808</v>
      </c>
      <c r="Y1411" s="1" t="s">
        <v>28809</v>
      </c>
      <c r="Z1411" s="1" t="s">
        <v>28810</v>
      </c>
      <c r="AA1411" s="1" t="s">
        <v>28811</v>
      </c>
      <c r="AB1411" s="1" t="s">
        <v>28812</v>
      </c>
      <c r="AC1411" s="1" t="s">
        <v>28813</v>
      </c>
      <c r="AD1411" s="6" t="s">
        <v>28814</v>
      </c>
      <c r="AE1411" s="1" t="s">
        <v>28815</v>
      </c>
      <c r="AF1411" s="1" t="s">
        <v>28816</v>
      </c>
      <c r="AG1411" s="6" t="s">
        <v>28817</v>
      </c>
      <c r="AH1411" s="1" t="s">
        <v>28818</v>
      </c>
      <c r="AI1411" s="6" t="s">
        <v>132</v>
      </c>
      <c r="AJ1411" s="6" t="s">
        <v>28819</v>
      </c>
      <c r="AK1411" s="1" t="s">
        <v>28820</v>
      </c>
      <c r="AL1411" s="6" t="s">
        <v>132</v>
      </c>
    </row>
    <row r="1412" ht="15.75" customHeight="1">
      <c r="A1412" s="1" t="s">
        <v>127</v>
      </c>
      <c r="B1412" s="1" t="s">
        <v>28821</v>
      </c>
      <c r="C1412" s="1" t="s">
        <v>28822</v>
      </c>
      <c r="D1412" s="8" t="s">
        <v>28823</v>
      </c>
      <c r="E1412" s="1" t="s">
        <v>28824</v>
      </c>
      <c r="F1412" s="6" t="s">
        <v>132</v>
      </c>
      <c r="G1412" s="1" t="s">
        <v>28825</v>
      </c>
      <c r="H1412" s="1" t="s">
        <v>28822</v>
      </c>
      <c r="I1412" s="1" t="s">
        <v>188</v>
      </c>
      <c r="J1412" s="6" t="s">
        <v>28826</v>
      </c>
      <c r="K1412" s="1" t="s">
        <v>28827</v>
      </c>
      <c r="L1412" s="1" t="s">
        <v>28828</v>
      </c>
      <c r="M1412" s="1" t="s">
        <v>28829</v>
      </c>
      <c r="N1412" s="6" t="s">
        <v>132</v>
      </c>
      <c r="O1412" s="6" t="s">
        <v>193</v>
      </c>
      <c r="P1412" s="1" t="s">
        <v>28830</v>
      </c>
      <c r="Q1412" s="1" t="s">
        <v>28831</v>
      </c>
      <c r="R1412" s="1" t="s">
        <v>28832</v>
      </c>
      <c r="S1412" s="10" t="s">
        <v>197</v>
      </c>
      <c r="T1412" s="1" t="s">
        <v>28833</v>
      </c>
      <c r="U1412" s="1" t="s">
        <v>28834</v>
      </c>
      <c r="V1412" s="1" t="s">
        <v>28835</v>
      </c>
      <c r="W1412" s="1" t="s">
        <v>201</v>
      </c>
      <c r="X1412" s="1" t="s">
        <v>28836</v>
      </c>
      <c r="Y1412" s="1" t="s">
        <v>28837</v>
      </c>
      <c r="Z1412" s="1" t="s">
        <v>28838</v>
      </c>
      <c r="AA1412" s="1" t="s">
        <v>28839</v>
      </c>
      <c r="AB1412" s="1" t="s">
        <v>28840</v>
      </c>
      <c r="AC1412" s="1" t="s">
        <v>28841</v>
      </c>
      <c r="AD1412" s="6" t="s">
        <v>28842</v>
      </c>
      <c r="AE1412" s="1" t="s">
        <v>28843</v>
      </c>
      <c r="AF1412" s="1" t="s">
        <v>28844</v>
      </c>
      <c r="AG1412" s="6" t="s">
        <v>211</v>
      </c>
      <c r="AH1412" s="1" t="s">
        <v>28845</v>
      </c>
      <c r="AI1412" s="6" t="s">
        <v>132</v>
      </c>
      <c r="AJ1412" s="6" t="s">
        <v>28846</v>
      </c>
      <c r="AK1412" s="1" t="s">
        <v>28847</v>
      </c>
      <c r="AL1412" s="6" t="s">
        <v>132</v>
      </c>
    </row>
    <row r="1413" ht="15.75" hidden="1" customHeight="1">
      <c r="A1413" s="1" t="s">
        <v>38</v>
      </c>
      <c r="B1413" s="1" t="s">
        <v>28848</v>
      </c>
      <c r="C1413" s="1" t="s">
        <v>28849</v>
      </c>
      <c r="D1413" s="7" t="str">
        <f>IFERROR(__xludf.DUMMYFUNCTION("GOOGLETRANSLATE(C1413, ""en"", ""ar"")"),"يرجى تسجيل الدخول أو التسجيل لاستخدام ميزة الدردشة.")</f>
        <v>يرجى تسجيل الدخول أو التسجيل لاستخدام ميزة الدردشة.</v>
      </c>
      <c r="E1413" s="7" t="str">
        <f>IFERROR(__xludf.DUMMYFUNCTION("GOOGLETRANSLATE(C1413, ""en"", ""bg"")"),"Моля, влезте или се регистрирайте, за да използвате функцията за чат.")</f>
        <v>Моля, влезте или се регистрирайте, за да използвате функцията за чат.</v>
      </c>
      <c r="F1413" s="6" t="s">
        <v>132</v>
      </c>
      <c r="G1413" s="7" t="str">
        <f>IFERROR(__xludf.DUMMYFUNCTION("GOOGLETRANSLATE(C1413, ""en"", ""cs"")"),"Přihlaste se nebo se zaregistrujte, abyste použili funkci Chat.")</f>
        <v>Přihlaste se nebo se zaregistrujte, abyste použili funkci Chat.</v>
      </c>
      <c r="H1413" s="7" t="str">
        <f>IFERROR(__xludf.DUMMYFUNCTION("GOOGLETRANSLATE(C1413, ""en"", ""da"")"),"Venligst log ind eller registrer dig for at bruge chatfunktionen.")</f>
        <v>Venligst log ind eller registrer dig for at bruge chatfunktionen.</v>
      </c>
      <c r="I1413" s="1" t="s">
        <v>28850</v>
      </c>
      <c r="J1413" s="6" t="s">
        <v>132</v>
      </c>
      <c r="K1413" s="1" t="s">
        <v>28851</v>
      </c>
      <c r="L1413" s="7" t="str">
        <f>IFERROR(__xludf.DUMMYFUNCTION("GOOGLETRANSLATE(C1413, ""en"", ""fi"")"),"Kirjaudu sisään tai rekisteröidy käyttää chat-ominaisuutta.")</f>
        <v>Kirjaudu sisään tai rekisteröidy käyttää chat-ominaisuutta.</v>
      </c>
      <c r="M1413" s="1" t="s">
        <v>28852</v>
      </c>
      <c r="N1413" s="6" t="s">
        <v>132</v>
      </c>
      <c r="O1413" s="6" t="s">
        <v>132</v>
      </c>
      <c r="P1413" s="1" t="s">
        <v>28853</v>
      </c>
      <c r="Q1413" s="7" t="str">
        <f>IFERROR(__xludf.DUMMYFUNCTION("GOOGLETRANSLATE(C1413, ""en"", ""in"")"),"Silakan masuk atau mendaftar untuk menggunakan fitur obrolan.")</f>
        <v>Silakan masuk atau mendaftar untuk menggunakan fitur obrolan.</v>
      </c>
      <c r="R1413" s="7" t="str">
        <f>IFERROR(__xludf.DUMMYFUNCTION("GOOGLETRANSLATE(C1413, ""en"", ""it"")"),"Effettua il login o registrati per utilizzare la funzione chat.")</f>
        <v>Effettua il login o registrati per utilizzare la funzione chat.</v>
      </c>
      <c r="S1413" s="6" t="s">
        <v>132</v>
      </c>
      <c r="T1413" s="7" t="str">
        <f>IFERROR(__xludf.DUMMYFUNCTION("GOOGLETRANSLATE(C1413, ""en"", ""ja"")"),"チャット機能を使用するには、ログインまたは登録してください。")</f>
        <v>チャット機能を使用するには、ログインまたは登録してください。</v>
      </c>
      <c r="U1413" s="7" t="str">
        <f>IFERROR(__xludf.DUMMYFUNCTION("GOOGLETRANSLATE(C1413, ""en"", ""ko"")"),"채팅 기능을 사용하려면 로그인하거나 등록하십시오.")</f>
        <v>채팅 기능을 사용하려면 로그인하거나 등록하십시오.</v>
      </c>
      <c r="V1413" s="7" t="str">
        <f>IFERROR(__xludf.DUMMYFUNCTION("GOOGLETRANSLATE(C1413, ""en"", ""ms"")"),"Sila log masuk atau mendaftar untuk menggunakan ciri sembang.")</f>
        <v>Sila log masuk atau mendaftar untuk menggunakan ciri sembang.</v>
      </c>
      <c r="W1413" s="7" t="str">
        <f>IFERROR(__xludf.DUMMYFUNCTION("GOOGLETRANSLATE(C1413, ""en"", ""nl"")"),"Meld u aan of registreer u om de chatfunctie te gebruiken.")</f>
        <v>Meld u aan of registreer u om de chatfunctie te gebruiken.</v>
      </c>
      <c r="X1413" s="7" t="str">
        <f>IFERROR(__xludf.DUMMYFUNCTION("GOOGLETRANSLATE(C1413, ""en"", ""no"")"),"Vennligst logg inn eller registrer deg for å bruke chat-funksjonen.")</f>
        <v>Vennligst logg inn eller registrer deg for å bruke chat-funksjonen.</v>
      </c>
      <c r="Y1413" s="7" t="str">
        <f>IFERROR(__xludf.DUMMYFUNCTION("GOOGLETRANSLATE(C1413, ""en"", ""pl"")"),"Zaloguj się lub zarejestruj, aby użyć funkcji czatu.")</f>
        <v>Zaloguj się lub zarejestruj, aby użyć funkcji czatu.</v>
      </c>
      <c r="Z1413" s="7" t="str">
        <f>IFERROR(__xludf.DUMMYFUNCTION("GOOGLETRANSLATE(C1413, ""en"", ""pt"")"),"Por favor, faça o login ou registre-se para usar o recurso de bate-papo.")</f>
        <v>Por favor, faça o login ou registre-se para usar o recurso de bate-papo.</v>
      </c>
      <c r="AA1413" s="7" t="str">
        <f>IFERROR(__xludf.DUMMYFUNCTION("GOOGLETRANSLATE(C1413, ""en"", ""ro"")"),"Vă rugăm să vă conectați sau să vă înregistrați pentru a utiliza funcția de chat.")</f>
        <v>Vă rugăm să vă conectați sau să vă înregistrați pentru a utiliza funcția de chat.</v>
      </c>
      <c r="AB1413" s="1" t="s">
        <v>28854</v>
      </c>
      <c r="AC1413" s="7" t="str">
        <f>IFERROR(__xludf.DUMMYFUNCTION("GOOGLETRANSLATE(C1413, ""en"", ""sk"")"),"Ak chcete použiť funkciu chatu, prihláste sa alebo sa zaregistrujte.")</f>
        <v>Ak chcete použiť funkciu chatu, prihláste sa alebo sa zaregistrujte.</v>
      </c>
      <c r="AD1413" s="6" t="s">
        <v>132</v>
      </c>
      <c r="AE1413" s="1" t="s">
        <v>28855</v>
      </c>
      <c r="AF1413" s="7" t="str">
        <f>IFERROR(__xludf.DUMMYFUNCTION("GOOGLETRANSLATE(C1413, ""en"", ""sv"")"),"Vänligen logga in eller registrera dig för att använda chattfunktionen.")</f>
        <v>Vänligen logga in eller registrera dig för att använda chattfunktionen.</v>
      </c>
      <c r="AG1413" s="6" t="s">
        <v>132</v>
      </c>
      <c r="AH1413" s="7" t="str">
        <f>IFERROR(__xludf.DUMMYFUNCTION("GOOGLETRANSLATE(C1413, ""en"", ""tr"")"),"Lütfen sohbet özelliğini kullanmak için giriş yapın veya kaydolun.")</f>
        <v>Lütfen sohbet özelliğini kullanmak için giriş yapın veya kaydolun.</v>
      </c>
      <c r="AI1413" s="6" t="s">
        <v>132</v>
      </c>
      <c r="AJ1413" s="6" t="s">
        <v>132</v>
      </c>
      <c r="AK1413" s="7" t="str">
        <f>IFERROR(__xludf.DUMMYFUNCTION("GOOGLETRANSLATE(C1413, ""en"", ""zh"")"),"请登录或注册以使用聊天功能。")</f>
        <v>请登录或注册以使用聊天功能。</v>
      </c>
      <c r="AL1413" s="6" t="s">
        <v>132</v>
      </c>
    </row>
    <row r="1414" ht="15.75" hidden="1" customHeight="1">
      <c r="A1414" s="1" t="s">
        <v>38</v>
      </c>
      <c r="B1414" s="1" t="s">
        <v>28856</v>
      </c>
      <c r="C1414" s="1" t="s">
        <v>28857</v>
      </c>
      <c r="D1414" s="7" t="str">
        <f>IFERROR(__xludf.DUMMYFUNCTION("GOOGLETRANSLATE(C1414, ""en"", ""ar"")"),"فييت نام")</f>
        <v>فييت نام</v>
      </c>
      <c r="E1414" s="7" t="str">
        <f>IFERROR(__xludf.DUMMYFUNCTION("GOOGLETRANSLATE(C1414, ""en"", ""bg"")"),"Виетнам")</f>
        <v>Виетнам</v>
      </c>
      <c r="F1414" s="6" t="s">
        <v>132</v>
      </c>
      <c r="G1414" s="7" t="str">
        <f>IFERROR(__xludf.DUMMYFUNCTION("GOOGLETRANSLATE(C1414, ""en"", ""cs"")"),"Vietnam")</f>
        <v>Vietnam</v>
      </c>
      <c r="H1414" s="7" t="str">
        <f>IFERROR(__xludf.DUMMYFUNCTION("GOOGLETRANSLATE(C1414, ""en"", ""da"")"),"Viet nam")</f>
        <v>Viet nam</v>
      </c>
      <c r="I1414" s="1" t="s">
        <v>28858</v>
      </c>
      <c r="J1414" s="6" t="s">
        <v>132</v>
      </c>
      <c r="K1414" s="1" t="s">
        <v>28858</v>
      </c>
      <c r="L1414" s="7" t="str">
        <f>IFERROR(__xludf.DUMMYFUNCTION("GOOGLETRANSLATE(C1414, ""en"", ""fi"")"),"Viet Nam")</f>
        <v>Viet Nam</v>
      </c>
      <c r="M1414" s="1" t="s">
        <v>28859</v>
      </c>
      <c r="N1414" s="6" t="s">
        <v>132</v>
      </c>
      <c r="O1414" s="6" t="s">
        <v>132</v>
      </c>
      <c r="P1414" s="1" t="s">
        <v>28857</v>
      </c>
      <c r="Q1414" s="7" t="str">
        <f>IFERROR(__xludf.DUMMYFUNCTION("GOOGLETRANSLATE(C1414, ""en"", ""in"")"),"Viet nam.")</f>
        <v>Viet nam.</v>
      </c>
      <c r="R1414" s="7" t="str">
        <f>IFERROR(__xludf.DUMMYFUNCTION("GOOGLETRANSLATE(C1414, ""en"", ""it"")"),"Viet Nam.")</f>
        <v>Viet Nam.</v>
      </c>
      <c r="S1414" s="6" t="s">
        <v>132</v>
      </c>
      <c r="T1414" s="7" t="str">
        <f>IFERROR(__xludf.DUMMYFUNCTION("GOOGLETRANSLATE(C1414, ""en"", ""ja"")"),"ベトナム")</f>
        <v>ベトナム</v>
      </c>
      <c r="U1414" s="7" t="str">
        <f>IFERROR(__xludf.DUMMYFUNCTION("GOOGLETRANSLATE(C1414, ""en"", ""ko"")"),"베트남")</f>
        <v>베트남</v>
      </c>
      <c r="V1414" s="7" t="str">
        <f>IFERROR(__xludf.DUMMYFUNCTION("GOOGLETRANSLATE(C1414, ""en"", ""ms"")"),"Viet Nam.")</f>
        <v>Viet Nam.</v>
      </c>
      <c r="W1414" s="7" t="str">
        <f>IFERROR(__xludf.DUMMYFUNCTION("GOOGLETRANSLATE(C1414, ""en"", ""nl"")"),"Viet Nam")</f>
        <v>Viet Nam</v>
      </c>
      <c r="X1414" s="7" t="str">
        <f>IFERROR(__xludf.DUMMYFUNCTION("GOOGLETRANSLATE(C1414, ""en"", ""no"")"),"Vietnam")</f>
        <v>Vietnam</v>
      </c>
      <c r="Y1414" s="7" t="str">
        <f>IFERROR(__xludf.DUMMYFUNCTION("GOOGLETRANSLATE(C1414, ""en"", ""pl"")"),"Wietnam")</f>
        <v>Wietnam</v>
      </c>
      <c r="Z1414" s="7" t="str">
        <f>IFERROR(__xludf.DUMMYFUNCTION("GOOGLETRANSLATE(C1414, ""en"", ""pt"")"),"Viet nam.")</f>
        <v>Viet nam.</v>
      </c>
      <c r="AA1414" s="7" t="str">
        <f>IFERROR(__xludf.DUMMYFUNCTION("GOOGLETRANSLATE(C1414, ""en"", ""ro"")"),"Vietnam.")</f>
        <v>Vietnam.</v>
      </c>
      <c r="AB1414" s="1" t="s">
        <v>28860</v>
      </c>
      <c r="AC1414" s="7" t="str">
        <f>IFERROR(__xludf.DUMMYFUNCTION("GOOGLETRANSLATE(C1414, ""en"", ""sk"")"),"Viazaný")</f>
        <v>Viazaný</v>
      </c>
      <c r="AD1414" s="6" t="s">
        <v>132</v>
      </c>
      <c r="AE1414" s="1" t="s">
        <v>28858</v>
      </c>
      <c r="AF1414" s="7" t="str">
        <f>IFERROR(__xludf.DUMMYFUNCTION("GOOGLETRANSLATE(C1414, ""en"", ""sv"")"),"Vietnamn")</f>
        <v>Vietnamn</v>
      </c>
      <c r="AG1414" s="6" t="s">
        <v>132</v>
      </c>
      <c r="AH1414" s="7" t="str">
        <f>IFERROR(__xludf.DUMMYFUNCTION("GOOGLETRANSLATE(C1414, ""en"", ""tr"")"),"Viet nam")</f>
        <v>Viet nam</v>
      </c>
      <c r="AI1414" s="6" t="s">
        <v>132</v>
      </c>
      <c r="AJ1414" s="6" t="s">
        <v>132</v>
      </c>
      <c r="AK1414" s="7" t="str">
        <f>IFERROR(__xludf.DUMMYFUNCTION("GOOGLETRANSLATE(C1414, ""en"", ""zh"")"),"越南")</f>
        <v>越南</v>
      </c>
      <c r="AL1414" s="6" t="s">
        <v>132</v>
      </c>
    </row>
    <row r="1415" ht="15.75" hidden="1" customHeight="1">
      <c r="A1415" s="1" t="s">
        <v>38</v>
      </c>
      <c r="B1415" s="1" t="s">
        <v>28861</v>
      </c>
      <c r="C1415" s="1" t="s">
        <v>28862</v>
      </c>
      <c r="D1415" s="8" t="s">
        <v>28863</v>
      </c>
      <c r="E1415" s="1" t="s">
        <v>28864</v>
      </c>
      <c r="F1415" s="6" t="s">
        <v>28865</v>
      </c>
      <c r="G1415" s="7" t="str">
        <f>IFERROR(__xludf.DUMMYFUNCTION("GOOGLETRANSLATE(C1415, ""en"", ""cs"")"),"Zablokovat kontakt")</f>
        <v>Zablokovat kontakt</v>
      </c>
      <c r="H1415" s="7" t="str">
        <f>IFERROR(__xludf.DUMMYFUNCTION("GOOGLETRANSLATE(C1415, ""en"", ""da"")"),"Blokere kontakt")</f>
        <v>Blokere kontakt</v>
      </c>
      <c r="I1415" s="1" t="s">
        <v>28866</v>
      </c>
      <c r="J1415" s="6" t="s">
        <v>132</v>
      </c>
      <c r="K1415" s="1" t="s">
        <v>28867</v>
      </c>
      <c r="L1415" s="7" t="str">
        <f>IFERROR(__xludf.DUMMYFUNCTION("GOOGLETRANSLATE(C1415, ""en"", ""fi"")"),"Estä yhteys")</f>
        <v>Estä yhteys</v>
      </c>
      <c r="M1415" s="1" t="s">
        <v>28868</v>
      </c>
      <c r="N1415" s="6" t="s">
        <v>28867</v>
      </c>
      <c r="O1415" s="6" t="s">
        <v>132</v>
      </c>
      <c r="P1415" s="1" t="s">
        <v>28869</v>
      </c>
      <c r="Q1415" s="9" t="s">
        <v>28870</v>
      </c>
      <c r="R1415" s="1" t="s">
        <v>28871</v>
      </c>
      <c r="S1415" s="6" t="s">
        <v>132</v>
      </c>
      <c r="T1415" s="1" t="s">
        <v>28872</v>
      </c>
      <c r="U1415" s="1" t="s">
        <v>28873</v>
      </c>
      <c r="V1415" s="7" t="str">
        <f>IFERROR(__xludf.DUMMYFUNCTION("GOOGLETRANSLATE(C1415, ""en"", ""ms"")"),"Hubungi Blok")</f>
        <v>Hubungi Blok</v>
      </c>
      <c r="W1415" s="1" t="s">
        <v>28874</v>
      </c>
      <c r="X1415" s="7" t="str">
        <f>IFERROR(__xludf.DUMMYFUNCTION("GOOGLETRANSLATE(C1415, ""en"", ""no"")"),"Blokker Kontakt")</f>
        <v>Blokker Kontakt</v>
      </c>
      <c r="Y1415" s="1" t="s">
        <v>28875</v>
      </c>
      <c r="Z1415" s="1" t="s">
        <v>28867</v>
      </c>
      <c r="AA1415" s="7" t="str">
        <f>IFERROR(__xludf.DUMMYFUNCTION("GOOGLETRANSLATE(C1415, ""en"", ""ro"")"),"Blocare contact")</f>
        <v>Blocare contact</v>
      </c>
      <c r="AB1415" s="1" t="s">
        <v>28876</v>
      </c>
      <c r="AC1415" s="1" t="s">
        <v>28877</v>
      </c>
      <c r="AD1415" s="6" t="s">
        <v>132</v>
      </c>
      <c r="AE1415" s="1" t="s">
        <v>28878</v>
      </c>
      <c r="AF1415" s="1" t="s">
        <v>28879</v>
      </c>
      <c r="AG1415" s="6" t="s">
        <v>132</v>
      </c>
      <c r="AH1415" s="7" t="str">
        <f>IFERROR(__xludf.DUMMYFUNCTION("GOOGLETRANSLATE(C1415, ""en"", ""tr"")"),"Blok teması")</f>
        <v>Blok teması</v>
      </c>
      <c r="AI1415" s="6" t="s">
        <v>28880</v>
      </c>
      <c r="AJ1415" s="6" t="s">
        <v>28881</v>
      </c>
      <c r="AK1415" s="7" t="str">
        <f>IFERROR(__xludf.DUMMYFUNCTION("GOOGLETRANSLATE(C1415, ""en"", ""zh"")"),"屏蔽联系人")</f>
        <v>屏蔽联系人</v>
      </c>
      <c r="AL1415" s="6" t="s">
        <v>28882</v>
      </c>
    </row>
    <row r="1416" ht="15.75" hidden="1" customHeight="1">
      <c r="A1416" s="1" t="s">
        <v>38</v>
      </c>
      <c r="B1416" s="1" t="s">
        <v>28883</v>
      </c>
      <c r="C1416" s="1" t="s">
        <v>28884</v>
      </c>
      <c r="D1416" s="7" t="str">
        <f>IFERROR(__xludf.DUMMYFUNCTION("GOOGLETRANSLATE(C1416, ""en"", ""ar"")"),"دبوس لقد أرسلنا لك انتهت صلاحيتها.")</f>
        <v>دبوس لقد أرسلنا لك انتهت صلاحيتها.</v>
      </c>
      <c r="E1416" s="1" t="s">
        <v>28885</v>
      </c>
      <c r="F1416" s="6" t="s">
        <v>132</v>
      </c>
      <c r="G1416" s="7" t="str">
        <f>IFERROR(__xludf.DUMMYFUNCTION("GOOGLETRANSLATE(C1416, ""en"", ""cs"")"),"PIN, který jste odeslali, vypršela.")</f>
        <v>PIN, který jste odeslali, vypršela.</v>
      </c>
      <c r="H1416" s="7" t="str">
        <f>IFERROR(__xludf.DUMMYFUNCTION("GOOGLETRANSLATE(C1416, ""en"", ""da"")"),"Den PIN-kode, vi har sendt, er udløbet.")</f>
        <v>Den PIN-kode, vi har sendt, er udløbet.</v>
      </c>
      <c r="I1416" s="1" t="s">
        <v>28886</v>
      </c>
      <c r="J1416" s="6" t="s">
        <v>132</v>
      </c>
      <c r="K1416" s="1" t="s">
        <v>28887</v>
      </c>
      <c r="L1416" s="7" t="str">
        <f>IFERROR(__xludf.DUMMYFUNCTION("GOOGLETRANSLATE(C1416, ""en"", ""fi"")"),"Pieni, jonka olemme lähettäneet, olet vanhentunut.")</f>
        <v>Pieni, jonka olemme lähettäneet, olet vanhentunut.</v>
      </c>
      <c r="M1416" s="7" t="str">
        <f>IFERROR(__xludf.DUMMYFUNCTION("GOOGLETRANSLATE(C1416, ""en"", ""fr"")"),"La broche que nous avons envoyée a expiré.")</f>
        <v>La broche que nous avons envoyée a expiré.</v>
      </c>
      <c r="N1416" s="6" t="s">
        <v>28888</v>
      </c>
      <c r="O1416" s="6" t="s">
        <v>132</v>
      </c>
      <c r="P1416" s="1" t="s">
        <v>28889</v>
      </c>
      <c r="Q1416" s="7" t="str">
        <f>IFERROR(__xludf.DUMMYFUNCTION("GOOGLETRANSLATE(C1416, ""en"", ""in"")"),"Pin yang kami kirim, Anda telah kedaluwarsa.")</f>
        <v>Pin yang kami kirim, Anda telah kedaluwarsa.</v>
      </c>
      <c r="R1416" s="1" t="s">
        <v>28890</v>
      </c>
      <c r="S1416" s="6" t="s">
        <v>132</v>
      </c>
      <c r="T1416" s="7" t="str">
        <f>IFERROR(__xludf.DUMMYFUNCTION("GOOGLETRANSLATE(C1416, ""en"", ""ja"")"),"私たちが送ったPINは期限切れです。")</f>
        <v>私たちが送ったPINは期限切れです。</v>
      </c>
      <c r="U1416" s="7" t="str">
        <f>IFERROR(__xludf.DUMMYFUNCTION("GOOGLETRANSLATE(C1416, ""en"", ""ko"")"),"우리가 보낸 PIN이 만료되었습니다.")</f>
        <v>우리가 보낸 PIN이 만료되었습니다.</v>
      </c>
      <c r="V1416" s="7" t="str">
        <f>IFERROR(__xludf.DUMMYFUNCTION("GOOGLETRANSLATE(C1416, ""en"", ""ms"")"),"PIN yang telah kami hantar kepada anda telah tamat tempoh.")</f>
        <v>PIN yang telah kami hantar kepada anda telah tamat tempoh.</v>
      </c>
      <c r="W1416" s="1" t="s">
        <v>28891</v>
      </c>
      <c r="X1416" s="7" t="str">
        <f>IFERROR(__xludf.DUMMYFUNCTION("GOOGLETRANSLATE(C1416, ""en"", ""no"")"),"Pinen vi har sendt deg, er utløpt.")</f>
        <v>Pinen vi har sendt deg, er utløpt.</v>
      </c>
      <c r="Y1416" s="1" t="s">
        <v>28892</v>
      </c>
      <c r="Z1416" s="7" t="str">
        <f>IFERROR(__xludf.DUMMYFUNCTION("GOOGLETRANSLATE(C1416, ""en"", ""pt"")"),"O PIN que enviamos que você expirou.")</f>
        <v>O PIN que enviamos que você expirou.</v>
      </c>
      <c r="AA1416" s="7" t="str">
        <f>IFERROR(__xludf.DUMMYFUNCTION("GOOGLETRANSLATE(C1416, ""en"", ""ro"")"),"PIN-ul pe care l-am trimis a expirat.")</f>
        <v>PIN-ul pe care l-am trimis a expirat.</v>
      </c>
      <c r="AB1416" s="7" t="str">
        <f>IFERROR(__xludf.DUMMYFUNCTION("GOOGLETRANSLATE(C1416, ""en"", ""ru"")"),"PIN-код, который мы отправили, вы истекли.")</f>
        <v>PIN-код, который мы отправили, вы истекли.</v>
      </c>
      <c r="AC1416" s="7" t="str">
        <f>IFERROR(__xludf.DUMMYFUNCTION("GOOGLETRANSLATE(C1416, ""en"", ""sk"")"),"PIN, ktorý sme odoslali, uplynuli.")</f>
        <v>PIN, ktorý sme odoslali, uplynuli.</v>
      </c>
      <c r="AD1416" s="6" t="s">
        <v>132</v>
      </c>
      <c r="AE1416" s="7" t="str">
        <f>IFERROR(__xludf.DUMMYFUNCTION("GOOGLETRANSLATE(C1416, ""en"", ""sr"")"),"ПИН који смо вам послали је истекао.")</f>
        <v>ПИН који смо вам послали је истекао.</v>
      </c>
      <c r="AF1416" s="7" t="str">
        <f>IFERROR(__xludf.DUMMYFUNCTION("GOOGLETRANSLATE(C1416, ""en"", ""sv"")"),"PIN-koden som vi har skickat har gått ut.")</f>
        <v>PIN-koden som vi har skickat har gått ut.</v>
      </c>
      <c r="AG1416" s="6" t="s">
        <v>132</v>
      </c>
      <c r="AH1416" s="7" t="str">
        <f>IFERROR(__xludf.DUMMYFUNCTION("GOOGLETRANSLATE(C1416, ""en"", ""tr"")"),"Size gönderdiğimiz pin süresi doldu.")</f>
        <v>Size gönderdiğimiz pin süresi doldu.</v>
      </c>
      <c r="AI1416" s="6" t="s">
        <v>132</v>
      </c>
      <c r="AJ1416" s="6" t="s">
        <v>132</v>
      </c>
      <c r="AK1416" s="7" t="str">
        <f>IFERROR(__xludf.DUMMYFUNCTION("GOOGLETRANSLATE(C1416, ""en"", ""zh"")"),"我们已发送的PIN已过期。")</f>
        <v>我们已发送的PIN已过期。</v>
      </c>
      <c r="AL1416" s="6" t="s">
        <v>132</v>
      </c>
    </row>
    <row r="1417" ht="15.75" customHeight="1">
      <c r="A1417" s="1" t="s">
        <v>127</v>
      </c>
      <c r="B1417" s="1" t="s">
        <v>28893</v>
      </c>
      <c r="C1417" s="1" t="s">
        <v>28894</v>
      </c>
      <c r="D1417" s="8" t="s">
        <v>28895</v>
      </c>
      <c r="E1417" s="1" t="s">
        <v>28896</v>
      </c>
      <c r="F1417" s="6" t="s">
        <v>132</v>
      </c>
      <c r="G1417" s="1" t="s">
        <v>28897</v>
      </c>
      <c r="H1417" s="1" t="s">
        <v>28898</v>
      </c>
      <c r="I1417" s="1" t="s">
        <v>28899</v>
      </c>
      <c r="J1417" s="6" t="s">
        <v>28900</v>
      </c>
      <c r="K1417" s="1" t="s">
        <v>28901</v>
      </c>
      <c r="L1417" s="1" t="s">
        <v>28902</v>
      </c>
      <c r="M1417" s="1" t="s">
        <v>28903</v>
      </c>
      <c r="N1417" s="6" t="s">
        <v>132</v>
      </c>
      <c r="O1417" s="6" t="s">
        <v>28904</v>
      </c>
      <c r="P1417" s="1" t="s">
        <v>28905</v>
      </c>
      <c r="Q1417" s="1" t="s">
        <v>28906</v>
      </c>
      <c r="R1417" s="1" t="s">
        <v>28907</v>
      </c>
      <c r="S1417" s="10" t="s">
        <v>28908</v>
      </c>
      <c r="T1417" s="1" t="s">
        <v>28909</v>
      </c>
      <c r="U1417" s="1" t="s">
        <v>28910</v>
      </c>
      <c r="V1417" s="1" t="s">
        <v>28906</v>
      </c>
      <c r="W1417" s="1" t="s">
        <v>28911</v>
      </c>
      <c r="X1417" s="1" t="s">
        <v>28898</v>
      </c>
      <c r="Y1417" s="1" t="s">
        <v>28912</v>
      </c>
      <c r="Z1417" s="1" t="s">
        <v>28913</v>
      </c>
      <c r="AA1417" s="1" t="s">
        <v>28914</v>
      </c>
      <c r="AB1417" s="1" t="s">
        <v>28896</v>
      </c>
      <c r="AC1417" s="1" t="s">
        <v>28915</v>
      </c>
      <c r="AD1417" s="6" t="s">
        <v>28916</v>
      </c>
      <c r="AE1417" s="1" t="s">
        <v>28917</v>
      </c>
      <c r="AF1417" s="1" t="s">
        <v>28918</v>
      </c>
      <c r="AG1417" s="6" t="s">
        <v>28919</v>
      </c>
      <c r="AH1417" s="1" t="s">
        <v>28920</v>
      </c>
      <c r="AI1417" s="6" t="s">
        <v>132</v>
      </c>
      <c r="AJ1417" s="6" t="s">
        <v>28921</v>
      </c>
      <c r="AK1417" s="1" t="s">
        <v>28922</v>
      </c>
      <c r="AL1417" s="6" t="s">
        <v>28923</v>
      </c>
    </row>
    <row r="1418" ht="15.75" hidden="1" customHeight="1">
      <c r="A1418" s="1" t="s">
        <v>38</v>
      </c>
      <c r="B1418" s="1" t="s">
        <v>28924</v>
      </c>
      <c r="C1418" s="1" t="s">
        <v>28925</v>
      </c>
      <c r="D1418" s="7" t="str">
        <f>IFERROR(__xludf.DUMMYFUNCTION("GOOGLETRANSLATE(C1418, ""en"", ""ar"")"),"في ""بدء المحادثة"" شاشة المفاتيح المفتوحة ومكان المؤشر في مجال البحث")</f>
        <v>في "بدء المحادثة" شاشة المفاتيح المفتوحة ومكان المؤشر في مجال البحث</v>
      </c>
      <c r="E1418" s="1" t="s">
        <v>28926</v>
      </c>
      <c r="F1418" s="6" t="s">
        <v>28927</v>
      </c>
      <c r="G1418" s="7" t="str">
        <f>IFERROR(__xludf.DUMMYFUNCTION("GOOGLETRANSLATE(C1418, ""en"", ""cs"")"),"Na obrazovce ""Spustit konverzaci"" otevřete klávesnici a umístěte kurzor na vyhledávací pole")</f>
        <v>Na obrazovce "Spustit konverzaci" otevřete klávesnici a umístěte kurzor na vyhledávací pole</v>
      </c>
      <c r="H1418" s="13" t="s">
        <v>28928</v>
      </c>
      <c r="I1418" s="1" t="s">
        <v>28929</v>
      </c>
      <c r="J1418" s="6" t="s">
        <v>132</v>
      </c>
      <c r="K1418" s="1" t="s">
        <v>28930</v>
      </c>
      <c r="L1418" s="13" t="s">
        <v>28931</v>
      </c>
      <c r="M1418" s="1" t="s">
        <v>28932</v>
      </c>
      <c r="N1418" s="6" t="s">
        <v>28933</v>
      </c>
      <c r="O1418" s="6" t="s">
        <v>132</v>
      </c>
      <c r="P1418" s="1" t="s">
        <v>28934</v>
      </c>
      <c r="Q1418" s="13" t="s">
        <v>28935</v>
      </c>
      <c r="R1418" s="1" t="s">
        <v>28936</v>
      </c>
      <c r="S1418" s="6" t="s">
        <v>132</v>
      </c>
      <c r="T1418" s="7" t="str">
        <f>IFERROR(__xludf.DUMMYFUNCTION("GOOGLETRANSLATE(C1418, ""en"", ""ja"")"),"[会話の開始]画面で[キーボード]を開くと[検索]フィールドにカーソルを配置する")</f>
        <v>[会話の開始]画面で[キーボード]を開くと[検索]フィールドにカーソルを配置する</v>
      </c>
      <c r="U1418" s="13" t="s">
        <v>28937</v>
      </c>
      <c r="V1418" s="13" t="s">
        <v>28938</v>
      </c>
      <c r="W1418" s="1" t="s">
        <v>28939</v>
      </c>
      <c r="X1418" s="13" t="s">
        <v>28940</v>
      </c>
      <c r="Y1418" s="1" t="s">
        <v>28941</v>
      </c>
      <c r="Z1418" s="13" t="s">
        <v>28942</v>
      </c>
      <c r="AA1418" s="7" t="str">
        <f>IFERROR(__xludf.DUMMYFUNCTION("GOOGLETRANSLATE(C1418, ""en"", ""ro"")"),"La ecranul ""Start Conversation"" Deschideți tastatura și plasați cursorul în câmpul de căutare")</f>
        <v>La ecranul "Start Conversation" Deschideți tastatura și plasați cursorul în câmpul de căutare</v>
      </c>
      <c r="AB1418" s="7" t="str">
        <f>IFERROR(__xludf.DUMMYFUNCTION("GOOGLETRANSLATE(C1418, ""en"", ""ru"")"),"На экране «Начать разговор» открыть клавиатуру и поместить курсор в поле поиска")</f>
        <v>На экране «Начать разговор» открыть клавиатуру и поместить курсор в поле поиска</v>
      </c>
      <c r="AC1418" s="7" t="str">
        <f>IFERROR(__xludf.DUMMYFUNCTION("GOOGLETRANSLATE(C1418, ""en"", ""sk"")"),"Na obrazovke ""Spustiť konverzáciu"" Otvorte klávesnicu a umiestnite kurzor do poľa Hľadať")</f>
        <v>Na obrazovke "Spustiť konverzáciu" Otvorte klávesnicu a umiestnite kurzor do poľa Hľadať</v>
      </c>
      <c r="AD1418" s="6" t="s">
        <v>132</v>
      </c>
      <c r="AE1418" s="7" t="str">
        <f>IFERROR(__xludf.DUMMYFUNCTION("GOOGLETRANSLATE(C1418, ""en"", ""sr"")"),"У ""Почетни разговор"" Отворите тастатуру и поставите курсор у поље за претрагу")</f>
        <v>У "Почетни разговор" Отворите тастатуру и поставите курсор у поље за претрагу</v>
      </c>
      <c r="AF1418" s="7" t="str">
        <f>IFERROR(__xludf.DUMMYFUNCTION("GOOGLETRANSLATE(C1418, ""en"", ""sv"")"),"På ""Starta konversation"" -skärmen Öppna tangentbordet och placera markören i sökfältet")</f>
        <v>På "Starta konversation" -skärmen Öppna tangentbordet och placera markören i sökfältet</v>
      </c>
      <c r="AG1418" s="6" t="s">
        <v>132</v>
      </c>
      <c r="AH1418" s="13" t="s">
        <v>28943</v>
      </c>
      <c r="AI1418" s="6" t="s">
        <v>132</v>
      </c>
      <c r="AJ1418" s="6" t="s">
        <v>132</v>
      </c>
      <c r="AK1418" s="13" t="s">
        <v>28944</v>
      </c>
      <c r="AL1418" s="6" t="s">
        <v>132</v>
      </c>
    </row>
    <row r="1419" ht="15.75" hidden="1" customHeight="1">
      <c r="A1419" s="1" t="s">
        <v>38</v>
      </c>
      <c r="B1419" s="1" t="s">
        <v>28945</v>
      </c>
      <c r="C1419" s="1" t="s">
        <v>28946</v>
      </c>
      <c r="D1419" s="8" t="s">
        <v>28947</v>
      </c>
      <c r="E1419" s="1" t="s">
        <v>28948</v>
      </c>
      <c r="F1419" s="6" t="s">
        <v>28949</v>
      </c>
      <c r="G1419" s="7" t="str">
        <f>IFERROR(__xludf.DUMMYFUNCTION("GOOGLETRANSLATE(C1419, ""en"", ""cs"")"),"Typování oznámení")</f>
        <v>Typování oznámení</v>
      </c>
      <c r="H1419" s="7" t="str">
        <f>IFERROR(__xludf.DUMMYFUNCTION("GOOGLETRANSLATE(C1419, ""en"", ""da"")"),"Indtastning af meddelelser")</f>
        <v>Indtastning af meddelelser</v>
      </c>
      <c r="I1419" s="1" t="s">
        <v>28950</v>
      </c>
      <c r="J1419" s="6" t="s">
        <v>132</v>
      </c>
      <c r="K1419" s="1" t="s">
        <v>28951</v>
      </c>
      <c r="L1419" s="7" t="str">
        <f>IFERROR(__xludf.DUMMYFUNCTION("GOOGLETRANSLATE(C1419, ""en"", ""fi"")"),"Kirjoittamisilmoitukset")</f>
        <v>Kirjoittamisilmoitukset</v>
      </c>
      <c r="M1419" s="1" t="s">
        <v>28952</v>
      </c>
      <c r="N1419" s="6" t="s">
        <v>28953</v>
      </c>
      <c r="O1419" s="6" t="s">
        <v>132</v>
      </c>
      <c r="P1419" s="1" t="s">
        <v>28954</v>
      </c>
      <c r="Q1419" s="9" t="s">
        <v>28955</v>
      </c>
      <c r="R1419" s="1" t="s">
        <v>28956</v>
      </c>
      <c r="S1419" s="6" t="s">
        <v>132</v>
      </c>
      <c r="T1419" s="1" t="s">
        <v>28957</v>
      </c>
      <c r="U1419" s="1" t="s">
        <v>28958</v>
      </c>
      <c r="V1419" s="7" t="str">
        <f>IFERROR(__xludf.DUMMYFUNCTION("GOOGLETRANSLATE(C1419, ""en"", ""ms"")"),"Menaip pemberitahuan.")</f>
        <v>Menaip pemberitahuan.</v>
      </c>
      <c r="W1419" s="1" t="s">
        <v>28959</v>
      </c>
      <c r="X1419" s="7" t="str">
        <f>IFERROR(__xludf.DUMMYFUNCTION("GOOGLETRANSLATE(C1419, ""en"", ""no"")"),"Skrive meldinger")</f>
        <v>Skrive meldinger</v>
      </c>
      <c r="Y1419" s="1" t="s">
        <v>28960</v>
      </c>
      <c r="Z1419" s="1" t="s">
        <v>28961</v>
      </c>
      <c r="AA1419" s="7" t="str">
        <f>IFERROR(__xludf.DUMMYFUNCTION("GOOGLETRANSLATE(C1419, ""en"", ""ro"")"),"Tastarea notificărilor")</f>
        <v>Tastarea notificărilor</v>
      </c>
      <c r="AB1419" s="1" t="s">
        <v>28962</v>
      </c>
      <c r="AC1419" s="1" t="s">
        <v>28963</v>
      </c>
      <c r="AD1419" s="6" t="s">
        <v>132</v>
      </c>
      <c r="AE1419" s="1" t="s">
        <v>28964</v>
      </c>
      <c r="AF1419" s="1" t="s">
        <v>28965</v>
      </c>
      <c r="AG1419" s="6" t="s">
        <v>132</v>
      </c>
      <c r="AH1419" s="7" t="str">
        <f>IFERROR(__xludf.DUMMYFUNCTION("GOOGLETRANSLATE(C1419, ""en"", ""tr"")"),"Bildirimleri Yazma")</f>
        <v>Bildirimleri Yazma</v>
      </c>
      <c r="AI1419" s="6" t="s">
        <v>28966</v>
      </c>
      <c r="AJ1419" s="6" t="s">
        <v>28967</v>
      </c>
      <c r="AK1419" s="7" t="str">
        <f>IFERROR(__xludf.DUMMYFUNCTION("GOOGLETRANSLATE(C1419, ""en"", ""zh"")"),"打字通知")</f>
        <v>打字通知</v>
      </c>
      <c r="AL1419" s="6" t="s">
        <v>28968</v>
      </c>
    </row>
    <row r="1420" ht="15.75" customHeight="1">
      <c r="A1420" s="1" t="s">
        <v>127</v>
      </c>
      <c r="B1420" s="1" t="s">
        <v>28969</v>
      </c>
      <c r="C1420" s="1" t="s">
        <v>13028</v>
      </c>
      <c r="D1420" s="8" t="s">
        <v>13029</v>
      </c>
      <c r="E1420" s="1" t="s">
        <v>13030</v>
      </c>
      <c r="F1420" s="6" t="s">
        <v>132</v>
      </c>
      <c r="G1420" s="1" t="s">
        <v>13028</v>
      </c>
      <c r="H1420" s="1" t="s">
        <v>13028</v>
      </c>
      <c r="I1420" s="1" t="s">
        <v>13028</v>
      </c>
      <c r="J1420" s="6" t="s">
        <v>13028</v>
      </c>
      <c r="K1420" s="1" t="s">
        <v>13028</v>
      </c>
      <c r="L1420" s="1" t="s">
        <v>13028</v>
      </c>
      <c r="M1420" s="1" t="s">
        <v>13028</v>
      </c>
      <c r="N1420" s="6" t="s">
        <v>132</v>
      </c>
      <c r="O1420" s="6" t="s">
        <v>13031</v>
      </c>
      <c r="P1420" s="1" t="s">
        <v>13028</v>
      </c>
      <c r="Q1420" s="1" t="s">
        <v>13028</v>
      </c>
      <c r="R1420" s="1" t="s">
        <v>13028</v>
      </c>
      <c r="S1420" s="10" t="s">
        <v>28970</v>
      </c>
      <c r="T1420" s="1" t="s">
        <v>13032</v>
      </c>
      <c r="U1420" s="1" t="s">
        <v>13033</v>
      </c>
      <c r="V1420" s="1" t="s">
        <v>13028</v>
      </c>
      <c r="W1420" s="1" t="s">
        <v>13028</v>
      </c>
      <c r="X1420" s="1" t="s">
        <v>13028</v>
      </c>
      <c r="Y1420" s="1" t="s">
        <v>13028</v>
      </c>
      <c r="Z1420" s="1" t="s">
        <v>13028</v>
      </c>
      <c r="AA1420" s="1" t="s">
        <v>13028</v>
      </c>
      <c r="AB1420" s="1" t="s">
        <v>13030</v>
      </c>
      <c r="AC1420" s="1" t="s">
        <v>13028</v>
      </c>
      <c r="AD1420" s="6" t="s">
        <v>13028</v>
      </c>
      <c r="AE1420" s="1" t="s">
        <v>13028</v>
      </c>
      <c r="AF1420" s="1" t="s">
        <v>13028</v>
      </c>
      <c r="AG1420" s="6" t="s">
        <v>13028</v>
      </c>
      <c r="AH1420" s="1" t="s">
        <v>13028</v>
      </c>
      <c r="AI1420" s="6" t="s">
        <v>132</v>
      </c>
      <c r="AJ1420" s="6" t="s">
        <v>13028</v>
      </c>
      <c r="AK1420" s="1" t="s">
        <v>13034</v>
      </c>
      <c r="AL1420" s="6" t="s">
        <v>28971</v>
      </c>
    </row>
    <row r="1421" ht="15.75" hidden="1" customHeight="1">
      <c r="A1421" s="1" t="s">
        <v>38</v>
      </c>
      <c r="B1421" s="1" t="s">
        <v>28972</v>
      </c>
      <c r="C1421" s="1" t="s">
        <v>28973</v>
      </c>
      <c r="D1421" s="7" t="str">
        <f>IFERROR(__xludf.DUMMYFUNCTION("GOOGLETRANSLATE(C1421, ""en"", ""ar"")"),"ناورو")</f>
        <v>ناورو</v>
      </c>
      <c r="E1421" s="7" t="str">
        <f>IFERROR(__xludf.DUMMYFUNCTION("GOOGLETRANSLATE(C1421, ""en"", ""bg"")"),"Nauru.")</f>
        <v>Nauru.</v>
      </c>
      <c r="F1421" s="6" t="s">
        <v>132</v>
      </c>
      <c r="G1421" s="7" t="str">
        <f>IFERROR(__xludf.DUMMYFUNCTION("GOOGLETRANSLATE(C1421, ""en"", ""cs"")"),"Nauru.")</f>
        <v>Nauru.</v>
      </c>
      <c r="H1421" s="7" t="str">
        <f>IFERROR(__xludf.DUMMYFUNCTION("GOOGLETRANSLATE(C1421, ""en"", ""da"")"),"Nauru.")</f>
        <v>Nauru.</v>
      </c>
      <c r="I1421" s="1" t="s">
        <v>28973</v>
      </c>
      <c r="J1421" s="6" t="s">
        <v>132</v>
      </c>
      <c r="K1421" s="1" t="s">
        <v>28973</v>
      </c>
      <c r="L1421" s="7" t="str">
        <f>IFERROR(__xludf.DUMMYFUNCTION("GOOGLETRANSLATE(C1421, ""en"", ""fi"")"),"Nauru")</f>
        <v>Nauru</v>
      </c>
      <c r="M1421" s="1" t="s">
        <v>28973</v>
      </c>
      <c r="N1421" s="6" t="s">
        <v>132</v>
      </c>
      <c r="O1421" s="6" t="s">
        <v>132</v>
      </c>
      <c r="P1421" s="1" t="s">
        <v>28973</v>
      </c>
      <c r="Q1421" s="7" t="str">
        <f>IFERROR(__xludf.DUMMYFUNCTION("GOOGLETRANSLATE(C1421, ""en"", ""in"")"),"Nauru.")</f>
        <v>Nauru.</v>
      </c>
      <c r="R1421" s="7" t="str">
        <f>IFERROR(__xludf.DUMMYFUNCTION("GOOGLETRANSLATE(C1421, ""en"", ""it"")"),"Nauru.")</f>
        <v>Nauru.</v>
      </c>
      <c r="S1421" s="6" t="s">
        <v>132</v>
      </c>
      <c r="T1421" s="7" t="str">
        <f>IFERROR(__xludf.DUMMYFUNCTION("GOOGLETRANSLATE(C1421, ""en"", ""ja"")"),"ナウル")</f>
        <v>ナウル</v>
      </c>
      <c r="U1421" s="7" t="str">
        <f>IFERROR(__xludf.DUMMYFUNCTION("GOOGLETRANSLATE(C1421, ""en"", ""ko"")"),"나우루")</f>
        <v>나우루</v>
      </c>
      <c r="V1421" s="7" t="str">
        <f>IFERROR(__xludf.DUMMYFUNCTION("GOOGLETRANSLATE(C1421, ""en"", ""ms"")"),"Nauru.")</f>
        <v>Nauru.</v>
      </c>
      <c r="W1421" s="7" t="str">
        <f>IFERROR(__xludf.DUMMYFUNCTION("GOOGLETRANSLATE(C1421, ""en"", ""nl"")"),"Nauru")</f>
        <v>Nauru</v>
      </c>
      <c r="X1421" s="7" t="str">
        <f>IFERROR(__xludf.DUMMYFUNCTION("GOOGLETRANSLATE(C1421, ""en"", ""no"")"),"Nauru.")</f>
        <v>Nauru.</v>
      </c>
      <c r="Y1421" s="7" t="str">
        <f>IFERROR(__xludf.DUMMYFUNCTION("GOOGLETRANSLATE(C1421, ""en"", ""pl"")"),"Nauru.")</f>
        <v>Nauru.</v>
      </c>
      <c r="Z1421" s="7" t="str">
        <f>IFERROR(__xludf.DUMMYFUNCTION("GOOGLETRANSLATE(C1421, ""en"", ""pt"")"),"Nauru")</f>
        <v>Nauru</v>
      </c>
      <c r="AA1421" s="7" t="str">
        <f>IFERROR(__xludf.DUMMYFUNCTION("GOOGLETRANSLATE(C1421, ""en"", ""ro"")"),"Nauru.")</f>
        <v>Nauru.</v>
      </c>
      <c r="AB1421" s="1" t="s">
        <v>28974</v>
      </c>
      <c r="AC1421" s="7" t="str">
        <f>IFERROR(__xludf.DUMMYFUNCTION("GOOGLETRANSLATE(C1421, ""en"", ""sk"")"),"Narušiť")</f>
        <v>Narušiť</v>
      </c>
      <c r="AD1421" s="6" t="s">
        <v>132</v>
      </c>
      <c r="AE1421" s="1" t="s">
        <v>28973</v>
      </c>
      <c r="AF1421" s="7" t="str">
        <f>IFERROR(__xludf.DUMMYFUNCTION("GOOGLETRANSLATE(C1421, ""en"", ""sv"")"),"Nauru")</f>
        <v>Nauru</v>
      </c>
      <c r="AG1421" s="6" t="s">
        <v>132</v>
      </c>
      <c r="AH1421" s="7" t="str">
        <f>IFERROR(__xludf.DUMMYFUNCTION("GOOGLETRANSLATE(C1421, ""en"", ""tr"")"),"Nauru")</f>
        <v>Nauru</v>
      </c>
      <c r="AI1421" s="6" t="s">
        <v>132</v>
      </c>
      <c r="AJ1421" s="6" t="s">
        <v>132</v>
      </c>
      <c r="AK1421" s="7" t="str">
        <f>IFERROR(__xludf.DUMMYFUNCTION("GOOGLETRANSLATE(C1421, ""en"", ""zh"")"),"瑙鲁")</f>
        <v>瑙鲁</v>
      </c>
      <c r="AL1421" s="6" t="s">
        <v>132</v>
      </c>
    </row>
    <row r="1422" ht="15.75" hidden="1" customHeight="1">
      <c r="A1422" s="1" t="s">
        <v>38</v>
      </c>
      <c r="B1422" s="1" t="s">
        <v>28975</v>
      </c>
      <c r="C1422" s="1" t="s">
        <v>28976</v>
      </c>
      <c r="D1422" s="7" t="str">
        <f>IFERROR(__xludf.DUMMYFUNCTION("GOOGLETRANSLATE(C1422, ""en"", ""ar"")"),"اختيار بلد")</f>
        <v>اختيار بلد</v>
      </c>
      <c r="E1422" s="1" t="s">
        <v>28977</v>
      </c>
      <c r="F1422" s="6" t="s">
        <v>132</v>
      </c>
      <c r="G1422" s="7" t="str">
        <f>IFERROR(__xludf.DUMMYFUNCTION("GOOGLETRANSLATE(C1422, ""en"", ""cs"")"),"Vyber zemi")</f>
        <v>Vyber zemi</v>
      </c>
      <c r="H1422" s="7" t="str">
        <f>IFERROR(__xludf.DUMMYFUNCTION("GOOGLETRANSLATE(C1422, ""en"", ""da"")"),"Vælg et land")</f>
        <v>Vælg et land</v>
      </c>
      <c r="I1422" s="1" t="s">
        <v>28978</v>
      </c>
      <c r="J1422" s="6" t="s">
        <v>132</v>
      </c>
      <c r="K1422" s="1" t="s">
        <v>28979</v>
      </c>
      <c r="L1422" s="7" t="str">
        <f>IFERROR(__xludf.DUMMYFUNCTION("GOOGLETRANSLATE(C1422, ""en"", ""fi"")"),"Valitse maa")</f>
        <v>Valitse maa</v>
      </c>
      <c r="M1422" s="1" t="s">
        <v>28980</v>
      </c>
      <c r="N1422" s="6" t="s">
        <v>28981</v>
      </c>
      <c r="O1422" s="6" t="s">
        <v>132</v>
      </c>
      <c r="P1422" s="1" t="s">
        <v>28982</v>
      </c>
      <c r="Q1422" s="7" t="str">
        <f>IFERROR(__xludf.DUMMYFUNCTION("GOOGLETRANSLATE(C1422, ""en"", ""in"")"),"Pilih satu negara")</f>
        <v>Pilih satu negara</v>
      </c>
      <c r="R1422" s="1" t="s">
        <v>28983</v>
      </c>
      <c r="S1422" s="6" t="s">
        <v>132</v>
      </c>
      <c r="T1422" s="7" t="str">
        <f>IFERROR(__xludf.DUMMYFUNCTION("GOOGLETRANSLATE(C1422, ""en"", ""ja"")"),"国を選択します")</f>
        <v>国を選択します</v>
      </c>
      <c r="U1422" s="7" t="str">
        <f>IFERROR(__xludf.DUMMYFUNCTION("GOOGLETRANSLATE(C1422, ""en"", ""ko"")"),"국가를 선택하십시오")</f>
        <v>국가를 선택하십시오</v>
      </c>
      <c r="V1422" s="7" t="str">
        <f>IFERROR(__xludf.DUMMYFUNCTION("GOOGLETRANSLATE(C1422, ""en"", ""ms"")"),"Pilih negara")</f>
        <v>Pilih negara</v>
      </c>
      <c r="W1422" s="1" t="s">
        <v>28984</v>
      </c>
      <c r="X1422" s="7" t="str">
        <f>IFERROR(__xludf.DUMMYFUNCTION("GOOGLETRANSLATE(C1422, ""en"", ""no"")"),"Velg et land")</f>
        <v>Velg et land</v>
      </c>
      <c r="Y1422" s="1" t="s">
        <v>28985</v>
      </c>
      <c r="Z1422" s="7" t="str">
        <f>IFERROR(__xludf.DUMMYFUNCTION("GOOGLETRANSLATE(C1422, ""en"", ""pt"")"),"Escolha um país")</f>
        <v>Escolha um país</v>
      </c>
      <c r="AA1422" s="7" t="str">
        <f>IFERROR(__xludf.DUMMYFUNCTION("GOOGLETRANSLATE(C1422, ""en"", ""ro"")"),"Alege o tara")</f>
        <v>Alege o tara</v>
      </c>
      <c r="AB1422" s="7" t="str">
        <f>IFERROR(__xludf.DUMMYFUNCTION("GOOGLETRANSLATE(C1422, ""en"", ""ru"")"),"Выберите страну")</f>
        <v>Выберите страну</v>
      </c>
      <c r="AC1422" s="7" t="str">
        <f>IFERROR(__xludf.DUMMYFUNCTION("GOOGLETRANSLATE(C1422, ""en"", ""sk"")"),"Vyberte si krajinu")</f>
        <v>Vyberte si krajinu</v>
      </c>
      <c r="AD1422" s="6" t="s">
        <v>132</v>
      </c>
      <c r="AE1422" s="7" t="str">
        <f>IFERROR(__xludf.DUMMYFUNCTION("GOOGLETRANSLATE(C1422, ""en"", ""sr"")"),"Изаберите државу")</f>
        <v>Изаберите државу</v>
      </c>
      <c r="AF1422" s="7" t="str">
        <f>IFERROR(__xludf.DUMMYFUNCTION("GOOGLETRANSLATE(C1422, ""en"", ""sv"")"),"Välj ett land")</f>
        <v>Välj ett land</v>
      </c>
      <c r="AG1422" s="6" t="s">
        <v>132</v>
      </c>
      <c r="AH1422" s="7" t="str">
        <f>IFERROR(__xludf.DUMMYFUNCTION("GOOGLETRANSLATE(C1422, ""en"", ""tr"")"),"Bir ülke seç")</f>
        <v>Bir ülke seç</v>
      </c>
      <c r="AI1422" s="6" t="s">
        <v>132</v>
      </c>
      <c r="AJ1422" s="6" t="s">
        <v>132</v>
      </c>
      <c r="AK1422" s="7" t="str">
        <f>IFERROR(__xludf.DUMMYFUNCTION("GOOGLETRANSLATE(C1422, ""en"", ""zh"")"),"选择一个国家")</f>
        <v>选择一个国家</v>
      </c>
      <c r="AL1422" s="6" t="s">
        <v>132</v>
      </c>
    </row>
    <row r="1423" ht="15.75" hidden="1" customHeight="1">
      <c r="A1423" s="1" t="s">
        <v>38</v>
      </c>
      <c r="B1423" s="1" t="s">
        <v>28986</v>
      </c>
      <c r="C1423" s="1" t="s">
        <v>28987</v>
      </c>
      <c r="D1423" s="8" t="s">
        <v>28988</v>
      </c>
      <c r="E1423" s="1" t="s">
        <v>28989</v>
      </c>
      <c r="F1423" s="6" t="s">
        <v>28990</v>
      </c>
      <c r="G1423" s="7" t="str">
        <f>IFERROR(__xludf.DUMMYFUNCTION("GOOGLETRANSLATE(C1423, ""en"", ""cs"")"),"Naposledy použitý")</f>
        <v>Naposledy použitý</v>
      </c>
      <c r="H1423" s="7" t="str">
        <f>IFERROR(__xludf.DUMMYFUNCTION("GOOGLETRANSLATE(C1423, ""en"", ""da"")"),"Senest brugt")</f>
        <v>Senest brugt</v>
      </c>
      <c r="I1423" s="1" t="s">
        <v>28991</v>
      </c>
      <c r="J1423" s="6" t="s">
        <v>132</v>
      </c>
      <c r="K1423" s="1" t="s">
        <v>28992</v>
      </c>
      <c r="L1423" s="7" t="str">
        <f>IFERROR(__xludf.DUMMYFUNCTION("GOOGLETRANSLATE(C1423, ""en"", ""fi"")"),"Viimeksi käytetyt")</f>
        <v>Viimeksi käytetyt</v>
      </c>
      <c r="M1423" s="1" t="s">
        <v>28993</v>
      </c>
      <c r="N1423" s="6" t="s">
        <v>28994</v>
      </c>
      <c r="O1423" s="6" t="s">
        <v>132</v>
      </c>
      <c r="P1423" s="1" t="s">
        <v>28995</v>
      </c>
      <c r="Q1423" s="9" t="s">
        <v>28996</v>
      </c>
      <c r="R1423" s="1" t="s">
        <v>28997</v>
      </c>
      <c r="S1423" s="6" t="s">
        <v>132</v>
      </c>
      <c r="T1423" s="1" t="s">
        <v>28998</v>
      </c>
      <c r="U1423" s="1" t="s">
        <v>28999</v>
      </c>
      <c r="V1423" s="7" t="str">
        <f>IFERROR(__xludf.DUMMYFUNCTION("GOOGLETRANSLATE(C1423, ""en"", ""ms"")"),"Yang paling baru digunakan.")</f>
        <v>Yang paling baru digunakan.</v>
      </c>
      <c r="W1423" s="1" t="s">
        <v>29000</v>
      </c>
      <c r="X1423" s="7" t="str">
        <f>IFERROR(__xludf.DUMMYFUNCTION("GOOGLETRANSLATE(C1423, ""en"", ""no"")"),"Sist brukt")</f>
        <v>Sist brukt</v>
      </c>
      <c r="Y1423" s="1" t="s">
        <v>29001</v>
      </c>
      <c r="Z1423" s="1" t="s">
        <v>29002</v>
      </c>
      <c r="AA1423" s="7" t="str">
        <f>IFERROR(__xludf.DUMMYFUNCTION("GOOGLETRANSLATE(C1423, ""en"", ""ro"")"),"Cel mai recent folosit")</f>
        <v>Cel mai recent folosit</v>
      </c>
      <c r="AB1423" s="1" t="s">
        <v>29003</v>
      </c>
      <c r="AC1423" s="1" t="s">
        <v>29004</v>
      </c>
      <c r="AD1423" s="6" t="s">
        <v>132</v>
      </c>
      <c r="AE1423" s="1" t="s">
        <v>29005</v>
      </c>
      <c r="AF1423" s="1" t="s">
        <v>29006</v>
      </c>
      <c r="AG1423" s="6" t="s">
        <v>132</v>
      </c>
      <c r="AH1423" s="7" t="str">
        <f>IFERROR(__xludf.DUMMYFUNCTION("GOOGLETRANSLATE(C1423, ""en"", ""tr"")"),"En son kullanılan")</f>
        <v>En son kullanılan</v>
      </c>
      <c r="AI1423" s="6" t="s">
        <v>29007</v>
      </c>
      <c r="AJ1423" s="6" t="s">
        <v>29008</v>
      </c>
      <c r="AK1423" s="7" t="str">
        <f>IFERROR(__xludf.DUMMYFUNCTION("GOOGLETRANSLATE(C1423, ""en"", ""zh"")"),"最近使用过")</f>
        <v>最近使用过</v>
      </c>
      <c r="AL1423" s="6" t="s">
        <v>29009</v>
      </c>
    </row>
    <row r="1424" ht="15.75" customHeight="1">
      <c r="A1424" s="1" t="s">
        <v>127</v>
      </c>
      <c r="B1424" s="1" t="s">
        <v>29010</v>
      </c>
      <c r="C1424" s="1" t="s">
        <v>3286</v>
      </c>
      <c r="D1424" s="8" t="s">
        <v>3287</v>
      </c>
      <c r="E1424" s="1" t="s">
        <v>3288</v>
      </c>
      <c r="F1424" s="6" t="s">
        <v>132</v>
      </c>
      <c r="G1424" s="1" t="s">
        <v>3289</v>
      </c>
      <c r="H1424" s="1" t="s">
        <v>3290</v>
      </c>
      <c r="I1424" s="1" t="s">
        <v>29011</v>
      </c>
      <c r="J1424" s="6" t="s">
        <v>3292</v>
      </c>
      <c r="K1424" s="1" t="s">
        <v>29012</v>
      </c>
      <c r="L1424" s="1" t="s">
        <v>3294</v>
      </c>
      <c r="M1424" s="1" t="s">
        <v>3295</v>
      </c>
      <c r="N1424" s="6" t="s">
        <v>132</v>
      </c>
      <c r="O1424" s="6" t="s">
        <v>3296</v>
      </c>
      <c r="P1424" s="1" t="s">
        <v>3286</v>
      </c>
      <c r="Q1424" s="1" t="s">
        <v>3298</v>
      </c>
      <c r="R1424" s="1" t="s">
        <v>3299</v>
      </c>
      <c r="S1424" s="10" t="s">
        <v>3300</v>
      </c>
      <c r="T1424" s="1" t="s">
        <v>3301</v>
      </c>
      <c r="U1424" s="1" t="s">
        <v>3302</v>
      </c>
      <c r="V1424" s="1" t="s">
        <v>3298</v>
      </c>
      <c r="W1424" s="1" t="s">
        <v>29013</v>
      </c>
      <c r="X1424" s="1" t="s">
        <v>3304</v>
      </c>
      <c r="Y1424" s="1" t="s">
        <v>3305</v>
      </c>
      <c r="Z1424" s="1" t="s">
        <v>29014</v>
      </c>
      <c r="AA1424" s="1" t="s">
        <v>3307</v>
      </c>
      <c r="AB1424" s="1" t="s">
        <v>3308</v>
      </c>
      <c r="AC1424" s="1" t="s">
        <v>3309</v>
      </c>
      <c r="AD1424" s="6" t="s">
        <v>3310</v>
      </c>
      <c r="AE1424" s="1" t="s">
        <v>29015</v>
      </c>
      <c r="AF1424" s="1" t="s">
        <v>3312</v>
      </c>
      <c r="AG1424" s="6" t="s">
        <v>3313</v>
      </c>
      <c r="AH1424" s="1" t="s">
        <v>29016</v>
      </c>
      <c r="AI1424" s="6" t="s">
        <v>132</v>
      </c>
      <c r="AJ1424" s="6" t="s">
        <v>3315</v>
      </c>
      <c r="AK1424" s="1" t="s">
        <v>29017</v>
      </c>
      <c r="AL1424" s="6" t="s">
        <v>132</v>
      </c>
    </row>
    <row r="1425" ht="15.75" customHeight="1">
      <c r="A1425" s="1" t="s">
        <v>127</v>
      </c>
      <c r="B1425" s="1" t="s">
        <v>29018</v>
      </c>
      <c r="C1425" s="12" t="s">
        <v>132</v>
      </c>
      <c r="D1425" s="8" t="s">
        <v>29019</v>
      </c>
      <c r="E1425" s="7" t="str">
        <f>IFERROR(__xludf.DUMMYFUNCTION("GOOGLETRANSLATE(C1425, ""en"", ""bg"")"),"#VALUE!")</f>
        <v>#VALUE!</v>
      </c>
      <c r="F1425" s="6" t="s">
        <v>132</v>
      </c>
      <c r="G1425" s="7" t="str">
        <f>IFERROR(__xludf.DUMMYFUNCTION("GOOGLETRANSLATE(C1425, ""en"", ""cs"")"),"#VALUE!")</f>
        <v>#VALUE!</v>
      </c>
      <c r="H1425" s="7" t="str">
        <f>IFERROR(__xludf.DUMMYFUNCTION("GOOGLETRANSLATE(C1425, ""en"", ""da"")"),"#VALUE!")</f>
        <v>#VALUE!</v>
      </c>
      <c r="I1425" s="7" t="str">
        <f>IFERROR(__xludf.DUMMYFUNCTION("GOOGLETRANSLATE(C1425, ""en"", ""de"")"),"#VALUE!")</f>
        <v>#VALUE!</v>
      </c>
      <c r="J1425" s="6" t="s">
        <v>132</v>
      </c>
      <c r="K1425" s="7" t="str">
        <f>IFERROR(__xludf.DUMMYFUNCTION("GOOGLETRANSLATE(C1425, ""en"", ""es"")"),"#VALUE!")</f>
        <v>#VALUE!</v>
      </c>
      <c r="L1425" s="7" t="str">
        <f>IFERROR(__xludf.DUMMYFUNCTION("GOOGLETRANSLATE(C1425, ""en"", ""fi"")"),"#VALUE!")</f>
        <v>#VALUE!</v>
      </c>
      <c r="M1425" s="7" t="str">
        <f>IFERROR(__xludf.DUMMYFUNCTION("GOOGLETRANSLATE(C1425, ""en"", ""fr"")"),"#VALUE!")</f>
        <v>#VALUE!</v>
      </c>
      <c r="N1425" s="6" t="s">
        <v>132</v>
      </c>
      <c r="O1425" s="6" t="s">
        <v>132</v>
      </c>
      <c r="P1425" s="7" t="str">
        <f>IFERROR(__xludf.DUMMYFUNCTION("GOOGLETRANSLATE(C1425, ""en"", ""hu"")"),"#VALUE!")</f>
        <v>#VALUE!</v>
      </c>
      <c r="Q1425" s="7" t="str">
        <f>IFERROR(__xludf.DUMMYFUNCTION("GOOGLETRANSLATE(C1425, ""en"", ""in"")"),"#VALUE!")</f>
        <v>#VALUE!</v>
      </c>
      <c r="R1425" s="7" t="str">
        <f>IFERROR(__xludf.DUMMYFUNCTION("GOOGLETRANSLATE(C1425, ""en"", ""it"")"),"#VALUE!")</f>
        <v>#VALUE!</v>
      </c>
      <c r="S1425" s="6" t="s">
        <v>132</v>
      </c>
      <c r="T1425" s="7" t="str">
        <f>IFERROR(__xludf.DUMMYFUNCTION("GOOGLETRANSLATE(C1425, ""en"", ""ja"")"),"#VALUE!")</f>
        <v>#VALUE!</v>
      </c>
      <c r="U1425" s="1" t="s">
        <v>29020</v>
      </c>
      <c r="V1425" s="1" t="s">
        <v>147</v>
      </c>
      <c r="W1425" s="7" t="str">
        <f>IFERROR(__xludf.DUMMYFUNCTION("GOOGLETRANSLATE(C1425, ""en"", ""nl"")"),"#VALUE!")</f>
        <v>#VALUE!</v>
      </c>
      <c r="X1425" s="7" t="str">
        <f>IFERROR(__xludf.DUMMYFUNCTION("GOOGLETRANSLATE(C1425, ""en"", ""no"")"),"#VALUE!")</f>
        <v>#VALUE!</v>
      </c>
      <c r="Y1425" s="7" t="str">
        <f>IFERROR(__xludf.DUMMYFUNCTION("GOOGLETRANSLATE(C1425, ""en"", ""pl"")"),"#VALUE!")</f>
        <v>#VALUE!</v>
      </c>
      <c r="Z1425" s="7" t="str">
        <f>IFERROR(__xludf.DUMMYFUNCTION("GOOGLETRANSLATE(C1425, ""en"", ""pt"")"),"#VALUE!")</f>
        <v>#VALUE!</v>
      </c>
      <c r="AA1425" s="7" t="str">
        <f>IFERROR(__xludf.DUMMYFUNCTION("GOOGLETRANSLATE(C1425, ""en"", ""ro"")"),"#VALUE!")</f>
        <v>#VALUE!</v>
      </c>
      <c r="AB1425" s="7" t="str">
        <f>IFERROR(__xludf.DUMMYFUNCTION("GOOGLETRANSLATE(C1425, ""en"", ""ru"")"),"#VALUE!")</f>
        <v>#VALUE!</v>
      </c>
      <c r="AC1425" s="7" t="str">
        <f>IFERROR(__xludf.DUMMYFUNCTION("GOOGLETRANSLATE(C1425, ""en"", ""sk"")"),"#VALUE!")</f>
        <v>#VALUE!</v>
      </c>
      <c r="AD1425" s="6" t="s">
        <v>132</v>
      </c>
      <c r="AE1425" s="7" t="str">
        <f>IFERROR(__xludf.DUMMYFUNCTION("GOOGLETRANSLATE(C1425, ""en"", ""sr"")"),"#VALUE!")</f>
        <v>#VALUE!</v>
      </c>
      <c r="AF1425" s="7" t="str">
        <f>IFERROR(__xludf.DUMMYFUNCTION("GOOGLETRANSLATE(C1425, ""en"", ""sv"")"),"#VALUE!")</f>
        <v>#VALUE!</v>
      </c>
      <c r="AG1425" s="6" t="s">
        <v>132</v>
      </c>
      <c r="AH1425" s="7" t="str">
        <f>IFERROR(__xludf.DUMMYFUNCTION("GOOGLETRANSLATE(C1425, ""en"", ""tr"")"),"#VALUE!")</f>
        <v>#VALUE!</v>
      </c>
      <c r="AI1425" s="6" t="s">
        <v>132</v>
      </c>
      <c r="AJ1425" s="6" t="s">
        <v>132</v>
      </c>
      <c r="AK1425" s="7" t="str">
        <f>IFERROR(__xludf.DUMMYFUNCTION("GOOGLETRANSLATE(C1425, ""en"", ""zh"")"),"#VALUE!")</f>
        <v>#VALUE!</v>
      </c>
      <c r="AL1425" s="6" t="s">
        <v>132</v>
      </c>
    </row>
    <row r="1426" ht="15.75" customHeight="1">
      <c r="A1426" s="1" t="s">
        <v>127</v>
      </c>
      <c r="B1426" s="1" t="s">
        <v>29021</v>
      </c>
      <c r="C1426" s="1" t="s">
        <v>22215</v>
      </c>
      <c r="D1426" s="8" t="s">
        <v>22216</v>
      </c>
      <c r="E1426" s="1" t="s">
        <v>16637</v>
      </c>
      <c r="F1426" s="6" t="s">
        <v>132</v>
      </c>
      <c r="G1426" s="1" t="s">
        <v>22217</v>
      </c>
      <c r="H1426" s="1" t="s">
        <v>22218</v>
      </c>
      <c r="I1426" s="1" t="s">
        <v>22219</v>
      </c>
      <c r="J1426" s="6" t="s">
        <v>22220</v>
      </c>
      <c r="K1426" s="1" t="s">
        <v>22221</v>
      </c>
      <c r="L1426" s="1" t="s">
        <v>22222</v>
      </c>
      <c r="M1426" s="1" t="s">
        <v>22223</v>
      </c>
      <c r="N1426" s="6" t="s">
        <v>132</v>
      </c>
      <c r="O1426" s="6" t="s">
        <v>22224</v>
      </c>
      <c r="P1426" s="1" t="s">
        <v>16646</v>
      </c>
      <c r="Q1426" s="1" t="s">
        <v>22225</v>
      </c>
      <c r="R1426" s="1" t="s">
        <v>29022</v>
      </c>
      <c r="S1426" s="10" t="s">
        <v>22227</v>
      </c>
      <c r="T1426" s="1" t="s">
        <v>29023</v>
      </c>
      <c r="U1426" s="1" t="s">
        <v>22229</v>
      </c>
      <c r="V1426" s="1" t="s">
        <v>22225</v>
      </c>
      <c r="W1426" s="1" t="s">
        <v>22230</v>
      </c>
      <c r="X1426" s="1" t="s">
        <v>22231</v>
      </c>
      <c r="Y1426" s="1" t="s">
        <v>29024</v>
      </c>
      <c r="Z1426" s="1" t="s">
        <v>22221</v>
      </c>
      <c r="AA1426" s="1" t="s">
        <v>22233</v>
      </c>
      <c r="AB1426" s="1" t="s">
        <v>22234</v>
      </c>
      <c r="AC1426" s="1" t="s">
        <v>22235</v>
      </c>
      <c r="AD1426" s="6" t="s">
        <v>22236</v>
      </c>
      <c r="AE1426" s="1" t="s">
        <v>29025</v>
      </c>
      <c r="AF1426" s="1" t="s">
        <v>22238</v>
      </c>
      <c r="AG1426" s="6" t="s">
        <v>22239</v>
      </c>
      <c r="AH1426" s="1" t="s">
        <v>29026</v>
      </c>
      <c r="AI1426" s="6" t="s">
        <v>132</v>
      </c>
      <c r="AJ1426" s="6" t="s">
        <v>16660</v>
      </c>
      <c r="AK1426" s="1" t="s">
        <v>22241</v>
      </c>
      <c r="AL1426" s="6" t="s">
        <v>22242</v>
      </c>
    </row>
    <row r="1427" ht="15.75" customHeight="1">
      <c r="A1427" s="1" t="s">
        <v>127</v>
      </c>
      <c r="B1427" s="1" t="s">
        <v>29027</v>
      </c>
      <c r="C1427" s="1" t="s">
        <v>29028</v>
      </c>
      <c r="D1427" s="8" t="s">
        <v>29029</v>
      </c>
      <c r="E1427" s="1" t="s">
        <v>29030</v>
      </c>
      <c r="F1427" s="6" t="s">
        <v>132</v>
      </c>
      <c r="G1427" s="1" t="s">
        <v>29031</v>
      </c>
      <c r="H1427" s="1" t="s">
        <v>29032</v>
      </c>
      <c r="I1427" s="1" t="s">
        <v>29033</v>
      </c>
      <c r="J1427" s="6" t="s">
        <v>29034</v>
      </c>
      <c r="K1427" s="1" t="s">
        <v>29035</v>
      </c>
      <c r="L1427" s="1" t="s">
        <v>29036</v>
      </c>
      <c r="M1427" s="1" t="s">
        <v>29037</v>
      </c>
      <c r="N1427" s="6" t="s">
        <v>132</v>
      </c>
      <c r="O1427" s="6" t="s">
        <v>29038</v>
      </c>
      <c r="P1427" s="1" t="s">
        <v>29039</v>
      </c>
      <c r="Q1427" s="1" t="s">
        <v>29040</v>
      </c>
      <c r="R1427" s="1" t="s">
        <v>29041</v>
      </c>
      <c r="S1427" s="10" t="s">
        <v>29042</v>
      </c>
      <c r="T1427" s="1" t="s">
        <v>29043</v>
      </c>
      <c r="U1427" s="1" t="s">
        <v>29044</v>
      </c>
      <c r="V1427" s="1" t="s">
        <v>29045</v>
      </c>
      <c r="W1427" s="1" t="s">
        <v>29046</v>
      </c>
      <c r="X1427" s="1" t="s">
        <v>29047</v>
      </c>
      <c r="Y1427" s="1" t="s">
        <v>29048</v>
      </c>
      <c r="Z1427" s="1" t="s">
        <v>29049</v>
      </c>
      <c r="AA1427" s="1" t="s">
        <v>29050</v>
      </c>
      <c r="AB1427" s="1" t="s">
        <v>29051</v>
      </c>
      <c r="AC1427" s="1" t="s">
        <v>29052</v>
      </c>
      <c r="AD1427" s="6" t="s">
        <v>29053</v>
      </c>
      <c r="AE1427" s="1" t="s">
        <v>29054</v>
      </c>
      <c r="AF1427" s="1" t="s">
        <v>29055</v>
      </c>
      <c r="AG1427" s="6" t="s">
        <v>29056</v>
      </c>
      <c r="AH1427" s="1" t="s">
        <v>29057</v>
      </c>
      <c r="AI1427" s="6" t="s">
        <v>132</v>
      </c>
      <c r="AJ1427" s="6" t="s">
        <v>29058</v>
      </c>
      <c r="AK1427" s="1" t="s">
        <v>29059</v>
      </c>
      <c r="AL1427" s="6" t="s">
        <v>29060</v>
      </c>
    </row>
    <row r="1428" ht="15.75" hidden="1" customHeight="1">
      <c r="A1428" s="1" t="s">
        <v>38</v>
      </c>
      <c r="B1428" s="1" t="s">
        <v>29061</v>
      </c>
      <c r="C1428" s="1" t="s">
        <v>28862</v>
      </c>
      <c r="D1428" s="8" t="s">
        <v>29062</v>
      </c>
      <c r="E1428" s="1" t="s">
        <v>29063</v>
      </c>
      <c r="F1428" s="6" t="s">
        <v>28865</v>
      </c>
      <c r="G1428" s="7" t="str">
        <f>IFERROR(__xludf.DUMMYFUNCTION("GOOGLETRANSLATE(C1428, ""en"", ""cs"")"),"Zablokovat kontakt")</f>
        <v>Zablokovat kontakt</v>
      </c>
      <c r="H1428" s="7" t="str">
        <f>IFERROR(__xludf.DUMMYFUNCTION("GOOGLETRANSLATE(C1428, ""en"", ""da"")"),"Blokere kontakt")</f>
        <v>Blokere kontakt</v>
      </c>
      <c r="I1428" s="1" t="s">
        <v>28866</v>
      </c>
      <c r="J1428" s="6" t="s">
        <v>132</v>
      </c>
      <c r="K1428" s="1" t="s">
        <v>28867</v>
      </c>
      <c r="L1428" s="7" t="str">
        <f>IFERROR(__xludf.DUMMYFUNCTION("GOOGLETRANSLATE(C1428, ""en"", ""fi"")"),"Estä yhteys")</f>
        <v>Estä yhteys</v>
      </c>
      <c r="M1428" s="1" t="s">
        <v>28868</v>
      </c>
      <c r="N1428" s="6" t="s">
        <v>28867</v>
      </c>
      <c r="O1428" s="6" t="s">
        <v>132</v>
      </c>
      <c r="P1428" s="1" t="s">
        <v>28869</v>
      </c>
      <c r="Q1428" s="9" t="s">
        <v>28870</v>
      </c>
      <c r="R1428" s="1" t="s">
        <v>28871</v>
      </c>
      <c r="S1428" s="6" t="s">
        <v>132</v>
      </c>
      <c r="T1428" s="1" t="s">
        <v>28872</v>
      </c>
      <c r="U1428" s="1" t="s">
        <v>7200</v>
      </c>
      <c r="V1428" s="7" t="str">
        <f>IFERROR(__xludf.DUMMYFUNCTION("GOOGLETRANSLATE(C1428, ""en"", ""ms"")"),"Hubungi Blok")</f>
        <v>Hubungi Blok</v>
      </c>
      <c r="W1428" s="1" t="s">
        <v>28874</v>
      </c>
      <c r="X1428" s="7" t="str">
        <f>IFERROR(__xludf.DUMMYFUNCTION("GOOGLETRANSLATE(C1428, ""en"", ""no"")"),"Blokker Kontakt")</f>
        <v>Blokker Kontakt</v>
      </c>
      <c r="Y1428" s="1" t="s">
        <v>28875</v>
      </c>
      <c r="Z1428" s="1" t="s">
        <v>28867</v>
      </c>
      <c r="AA1428" s="7" t="str">
        <f>IFERROR(__xludf.DUMMYFUNCTION("GOOGLETRANSLATE(C1428, ""en"", ""ro"")"),"Blocare contact")</f>
        <v>Blocare contact</v>
      </c>
      <c r="AB1428" s="1" t="s">
        <v>28876</v>
      </c>
      <c r="AC1428" s="1" t="s">
        <v>28877</v>
      </c>
      <c r="AD1428" s="6" t="s">
        <v>132</v>
      </c>
      <c r="AE1428" s="1" t="s">
        <v>28878</v>
      </c>
      <c r="AF1428" s="1" t="s">
        <v>28879</v>
      </c>
      <c r="AG1428" s="6" t="s">
        <v>132</v>
      </c>
      <c r="AH1428" s="7" t="str">
        <f>IFERROR(__xludf.DUMMYFUNCTION("GOOGLETRANSLATE(C1428, ""en"", ""tr"")"),"Blok teması")</f>
        <v>Blok teması</v>
      </c>
      <c r="AI1428" s="6" t="s">
        <v>28880</v>
      </c>
      <c r="AJ1428" s="6" t="s">
        <v>28881</v>
      </c>
      <c r="AK1428" s="7" t="str">
        <f>IFERROR(__xludf.DUMMYFUNCTION("GOOGLETRANSLATE(C1428, ""en"", ""zh"")"),"屏蔽联系人")</f>
        <v>屏蔽联系人</v>
      </c>
      <c r="AL1428" s="6" t="s">
        <v>28882</v>
      </c>
    </row>
    <row r="1429" ht="15.75" customHeight="1">
      <c r="A1429" s="1" t="s">
        <v>127</v>
      </c>
      <c r="B1429" s="1" t="s">
        <v>29064</v>
      </c>
      <c r="C1429" s="1" t="s">
        <v>29065</v>
      </c>
      <c r="D1429" s="8" t="s">
        <v>29066</v>
      </c>
      <c r="E1429" s="1" t="s">
        <v>29067</v>
      </c>
      <c r="F1429" s="6" t="s">
        <v>132</v>
      </c>
      <c r="G1429" s="1" t="s">
        <v>29068</v>
      </c>
      <c r="H1429" s="1" t="s">
        <v>29069</v>
      </c>
      <c r="I1429" s="1" t="s">
        <v>4396</v>
      </c>
      <c r="J1429" s="6" t="s">
        <v>29070</v>
      </c>
      <c r="K1429" s="1" t="s">
        <v>29071</v>
      </c>
      <c r="L1429" s="1" t="s">
        <v>29072</v>
      </c>
      <c r="M1429" s="1" t="s">
        <v>29073</v>
      </c>
      <c r="N1429" s="6" t="s">
        <v>132</v>
      </c>
      <c r="O1429" s="6" t="s">
        <v>29074</v>
      </c>
      <c r="P1429" s="1" t="s">
        <v>29075</v>
      </c>
      <c r="Q1429" s="1" t="s">
        <v>29076</v>
      </c>
      <c r="R1429" s="1" t="s">
        <v>29077</v>
      </c>
      <c r="S1429" s="10" t="s">
        <v>29078</v>
      </c>
      <c r="T1429" s="1" t="s">
        <v>29065</v>
      </c>
      <c r="U1429" s="1" t="s">
        <v>29079</v>
      </c>
      <c r="V1429" s="1" t="s">
        <v>29076</v>
      </c>
      <c r="W1429" s="1" t="s">
        <v>29080</v>
      </c>
      <c r="X1429" s="1" t="s">
        <v>29081</v>
      </c>
      <c r="Y1429" s="1" t="s">
        <v>29082</v>
      </c>
      <c r="Z1429" s="1" t="s">
        <v>29083</v>
      </c>
      <c r="AA1429" s="1" t="s">
        <v>29084</v>
      </c>
      <c r="AB1429" s="1" t="s">
        <v>29085</v>
      </c>
      <c r="AC1429" s="1" t="s">
        <v>29068</v>
      </c>
      <c r="AD1429" s="6" t="s">
        <v>29086</v>
      </c>
      <c r="AE1429" s="1" t="s">
        <v>29087</v>
      </c>
      <c r="AF1429" s="1" t="s">
        <v>29088</v>
      </c>
      <c r="AG1429" s="6" t="s">
        <v>29089</v>
      </c>
      <c r="AH1429" s="1" t="s">
        <v>29090</v>
      </c>
      <c r="AI1429" s="6" t="s">
        <v>132</v>
      </c>
      <c r="AJ1429" s="6" t="s">
        <v>29091</v>
      </c>
      <c r="AK1429" s="1" t="s">
        <v>29092</v>
      </c>
      <c r="AL1429" s="6" t="s">
        <v>132</v>
      </c>
    </row>
    <row r="1430" ht="15.75" customHeight="1">
      <c r="A1430" s="1" t="s">
        <v>127</v>
      </c>
      <c r="B1430" s="1" t="s">
        <v>29093</v>
      </c>
      <c r="C1430" s="1" t="s">
        <v>7612</v>
      </c>
      <c r="D1430" s="8" t="s">
        <v>7613</v>
      </c>
      <c r="E1430" s="1" t="s">
        <v>7614</v>
      </c>
      <c r="F1430" s="6" t="s">
        <v>132</v>
      </c>
      <c r="G1430" s="1" t="s">
        <v>29094</v>
      </c>
      <c r="H1430" s="1" t="s">
        <v>7616</v>
      </c>
      <c r="I1430" s="1" t="s">
        <v>7617</v>
      </c>
      <c r="J1430" s="6" t="s">
        <v>7618</v>
      </c>
      <c r="K1430" s="1" t="s">
        <v>7619</v>
      </c>
      <c r="L1430" s="1" t="s">
        <v>7620</v>
      </c>
      <c r="M1430" s="1" t="s">
        <v>7621</v>
      </c>
      <c r="N1430" s="6" t="s">
        <v>132</v>
      </c>
      <c r="O1430" s="6" t="s">
        <v>7622</v>
      </c>
      <c r="P1430" s="1" t="s">
        <v>7623</v>
      </c>
      <c r="Q1430" s="1" t="s">
        <v>7624</v>
      </c>
      <c r="R1430" s="1" t="s">
        <v>7625</v>
      </c>
      <c r="S1430" s="10" t="s">
        <v>7626</v>
      </c>
      <c r="T1430" s="1" t="s">
        <v>7627</v>
      </c>
      <c r="U1430" s="1" t="s">
        <v>7628</v>
      </c>
      <c r="V1430" s="1" t="s">
        <v>7629</v>
      </c>
      <c r="W1430" s="1" t="s">
        <v>29095</v>
      </c>
      <c r="X1430" s="1" t="s">
        <v>7631</v>
      </c>
      <c r="Y1430" s="1" t="s">
        <v>7632</v>
      </c>
      <c r="Z1430" s="1" t="s">
        <v>29096</v>
      </c>
      <c r="AA1430" s="1" t="s">
        <v>7634</v>
      </c>
      <c r="AB1430" s="1" t="s">
        <v>7635</v>
      </c>
      <c r="AC1430" s="1" t="s">
        <v>7636</v>
      </c>
      <c r="AD1430" s="6" t="s">
        <v>7637</v>
      </c>
      <c r="AE1430" s="1" t="s">
        <v>7638</v>
      </c>
      <c r="AF1430" s="1" t="s">
        <v>7639</v>
      </c>
      <c r="AG1430" s="6" t="s">
        <v>7640</v>
      </c>
      <c r="AH1430" s="1" t="s">
        <v>7641</v>
      </c>
      <c r="AI1430" s="6" t="s">
        <v>132</v>
      </c>
      <c r="AJ1430" s="6" t="s">
        <v>7642</v>
      </c>
      <c r="AK1430" s="1" t="s">
        <v>29097</v>
      </c>
      <c r="AL1430" s="6" t="s">
        <v>29098</v>
      </c>
    </row>
    <row r="1431" ht="15.75" hidden="1" customHeight="1">
      <c r="A1431" s="1" t="s">
        <v>38</v>
      </c>
      <c r="B1431" s="1" t="s">
        <v>29099</v>
      </c>
      <c r="C1431" s="1" t="s">
        <v>29100</v>
      </c>
      <c r="D1431" s="8" t="s">
        <v>29101</v>
      </c>
      <c r="E1431" s="1" t="s">
        <v>29102</v>
      </c>
      <c r="F1431" s="6" t="s">
        <v>29103</v>
      </c>
      <c r="G1431" s="7" t="str">
        <f>IFERROR(__xludf.DUMMYFUNCTION("GOOGLETRANSLATE(C1431, ""en"", ""cs"")"),"Rozhovory se havarovaly")</f>
        <v>Rozhovory se havarovaly</v>
      </c>
      <c r="H1431" s="7" t="str">
        <f>IFERROR(__xludf.DUMMYFUNCTION("GOOGLETRANSLATE(C1431, ""en"", ""da"")"),"Samtaler er nedbrudt")</f>
        <v>Samtaler er nedbrudt</v>
      </c>
      <c r="I1431" s="1" t="s">
        <v>29104</v>
      </c>
      <c r="J1431" s="6" t="s">
        <v>132</v>
      </c>
      <c r="K1431" s="1" t="s">
        <v>29105</v>
      </c>
      <c r="L1431" s="7" t="str">
        <f>IFERROR(__xludf.DUMMYFUNCTION("GOOGLETRANSLATE(C1431, ""en"", ""fi"")"),"Keskustelut ovat kaatuneet")</f>
        <v>Keskustelut ovat kaatuneet</v>
      </c>
      <c r="M1431" s="1" t="s">
        <v>29106</v>
      </c>
      <c r="N1431" s="6" t="s">
        <v>29107</v>
      </c>
      <c r="O1431" s="6" t="s">
        <v>132</v>
      </c>
      <c r="P1431" s="1" t="s">
        <v>29108</v>
      </c>
      <c r="Q1431" s="9" t="s">
        <v>29109</v>
      </c>
      <c r="R1431" s="1" t="s">
        <v>29110</v>
      </c>
      <c r="S1431" s="6" t="s">
        <v>132</v>
      </c>
      <c r="T1431" s="1" t="s">
        <v>29111</v>
      </c>
      <c r="U1431" s="1" t="s">
        <v>29112</v>
      </c>
      <c r="V1431" s="7" t="str">
        <f>IFERROR(__xludf.DUMMYFUNCTION("GOOGLETRANSLATE(C1431, ""en"", ""ms"")"),"Perbualan telah terhempas")</f>
        <v>Perbualan telah terhempas</v>
      </c>
      <c r="W1431" s="1" t="s">
        <v>29113</v>
      </c>
      <c r="X1431" s="7" t="str">
        <f>IFERROR(__xludf.DUMMYFUNCTION("GOOGLETRANSLATE(C1431, ""en"", ""no"")"),"Samtaler har krasjet seg")</f>
        <v>Samtaler har krasjet seg</v>
      </c>
      <c r="Y1431" s="1" t="s">
        <v>29114</v>
      </c>
      <c r="Z1431" s="1" t="s">
        <v>29115</v>
      </c>
      <c r="AA1431" s="7" t="str">
        <f>IFERROR(__xludf.DUMMYFUNCTION("GOOGLETRANSLATE(C1431, ""en"", ""ro"")"),"Conversațiile s-au prăbușit")</f>
        <v>Conversațiile s-au prăbușit</v>
      </c>
      <c r="AB1431" s="1" t="s">
        <v>29116</v>
      </c>
      <c r="AC1431" s="1" t="s">
        <v>29117</v>
      </c>
      <c r="AD1431" s="6" t="s">
        <v>132</v>
      </c>
      <c r="AE1431" s="1" t="s">
        <v>29118</v>
      </c>
      <c r="AF1431" s="1" t="s">
        <v>29119</v>
      </c>
      <c r="AG1431" s="6" t="s">
        <v>132</v>
      </c>
      <c r="AH1431" s="7" t="str">
        <f>IFERROR(__xludf.DUMMYFUNCTION("GOOGLETRANSLATE(C1431, ""en"", ""tr"")"),"Konuşmalar düştü")</f>
        <v>Konuşmalar düştü</v>
      </c>
      <c r="AI1431" s="6" t="s">
        <v>29120</v>
      </c>
      <c r="AJ1431" s="6" t="s">
        <v>29121</v>
      </c>
      <c r="AK1431" s="7" t="str">
        <f>IFERROR(__xludf.DUMMYFUNCTION("GOOGLETRANSLATE(C1431, ""en"", ""zh"")"),"谈话已经崩溃了")</f>
        <v>谈话已经崩溃了</v>
      </c>
      <c r="AL1431" s="6" t="s">
        <v>29122</v>
      </c>
    </row>
    <row r="1432" ht="15.75" hidden="1" customHeight="1">
      <c r="A1432" s="1" t="s">
        <v>38</v>
      </c>
      <c r="B1432" s="1" t="s">
        <v>29123</v>
      </c>
      <c r="C1432" s="1" t="s">
        <v>29124</v>
      </c>
      <c r="D1432" s="8" t="s">
        <v>29125</v>
      </c>
      <c r="E1432" s="1" t="s">
        <v>29126</v>
      </c>
      <c r="F1432" s="6" t="s">
        <v>29127</v>
      </c>
      <c r="G1432" s="7" t="str">
        <f>IFERROR(__xludf.DUMMYFUNCTION("GOOGLETRANSLATE(C1432, ""en"", ""cs"")"),"Blok")</f>
        <v>Blok</v>
      </c>
      <c r="H1432" s="7" t="str">
        <f>IFERROR(__xludf.DUMMYFUNCTION("GOOGLETRANSLATE(C1432, ""en"", ""da"")"),"Blok")</f>
        <v>Blok</v>
      </c>
      <c r="I1432" s="1" t="s">
        <v>29128</v>
      </c>
      <c r="J1432" s="6" t="s">
        <v>132</v>
      </c>
      <c r="K1432" s="1" t="s">
        <v>29129</v>
      </c>
      <c r="L1432" s="7" t="str">
        <f>IFERROR(__xludf.DUMMYFUNCTION("GOOGLETRANSLATE(C1432, ""en"", ""fi"")"),"Lohko")</f>
        <v>Lohko</v>
      </c>
      <c r="M1432" s="1" t="s">
        <v>29130</v>
      </c>
      <c r="N1432" s="6" t="s">
        <v>29129</v>
      </c>
      <c r="O1432" s="6" t="s">
        <v>132</v>
      </c>
      <c r="P1432" s="1" t="s">
        <v>29131</v>
      </c>
      <c r="Q1432" s="9" t="s">
        <v>29132</v>
      </c>
      <c r="R1432" s="1" t="s">
        <v>29133</v>
      </c>
      <c r="S1432" s="6" t="s">
        <v>132</v>
      </c>
      <c r="T1432" s="1" t="s">
        <v>29134</v>
      </c>
      <c r="U1432" s="1" t="s">
        <v>29135</v>
      </c>
      <c r="V1432" s="7" t="str">
        <f>IFERROR(__xludf.DUMMYFUNCTION("GOOGLETRANSLATE(C1432, ""en"", ""ms"")"),"Blok")</f>
        <v>Blok</v>
      </c>
      <c r="W1432" s="1" t="s">
        <v>29136</v>
      </c>
      <c r="X1432" s="7" t="str">
        <f>IFERROR(__xludf.DUMMYFUNCTION("GOOGLETRANSLATE(C1432, ""en"", ""no"")"),"Blokkere")</f>
        <v>Blokkere</v>
      </c>
      <c r="Y1432" s="1" t="s">
        <v>29137</v>
      </c>
      <c r="Z1432" s="1" t="s">
        <v>29129</v>
      </c>
      <c r="AA1432" s="7" t="str">
        <f>IFERROR(__xludf.DUMMYFUNCTION("GOOGLETRANSLATE(C1432, ""en"", ""ro"")"),"bloc")</f>
        <v>bloc</v>
      </c>
      <c r="AB1432" s="1" t="s">
        <v>24991</v>
      </c>
      <c r="AC1432" s="1" t="s">
        <v>29138</v>
      </c>
      <c r="AD1432" s="6" t="s">
        <v>132</v>
      </c>
      <c r="AE1432" s="1" t="s">
        <v>29139</v>
      </c>
      <c r="AF1432" s="1" t="s">
        <v>29140</v>
      </c>
      <c r="AG1432" s="6" t="s">
        <v>132</v>
      </c>
      <c r="AH1432" s="7" t="str">
        <f>IFERROR(__xludf.DUMMYFUNCTION("GOOGLETRANSLATE(C1432, ""en"", ""tr"")"),"Blok")</f>
        <v>Blok</v>
      </c>
      <c r="AI1432" s="6" t="s">
        <v>29141</v>
      </c>
      <c r="AJ1432" s="6" t="s">
        <v>29142</v>
      </c>
      <c r="AK1432" s="7" t="str">
        <f>IFERROR(__xludf.DUMMYFUNCTION("GOOGLETRANSLATE(C1432, ""en"", ""zh"")"),"堵塞")</f>
        <v>堵塞</v>
      </c>
      <c r="AL1432" s="6" t="s">
        <v>29143</v>
      </c>
    </row>
    <row r="1433" ht="15.75" hidden="1" customHeight="1">
      <c r="A1433" s="1" t="s">
        <v>38</v>
      </c>
      <c r="B1433" s="1" t="s">
        <v>29144</v>
      </c>
      <c r="C1433" s="1" t="s">
        <v>29145</v>
      </c>
      <c r="D1433" s="8" t="s">
        <v>29146</v>
      </c>
      <c r="E1433" s="1" t="s">
        <v>29147</v>
      </c>
      <c r="F1433" s="6" t="s">
        <v>29148</v>
      </c>
      <c r="G1433" s="7" t="str">
        <f>IFERROR(__xludf.DUMMYFUNCTION("GOOGLETRANSLATE(C1433, ""en"", ""cs"")"),"Registrace se nezdařila: heslo příliš slabé")</f>
        <v>Registrace se nezdařila: heslo příliš slabé</v>
      </c>
      <c r="H1433" s="7" t="str">
        <f>IFERROR(__xludf.DUMMYFUNCTION("GOOGLETRANSLATE(C1433, ""en"", ""da"")"),"Registrering mislykkedes: Adgangskode for svag")</f>
        <v>Registrering mislykkedes: Adgangskode for svag</v>
      </c>
      <c r="I1433" s="1" t="s">
        <v>29149</v>
      </c>
      <c r="J1433" s="6" t="s">
        <v>132</v>
      </c>
      <c r="K1433" s="1" t="s">
        <v>29150</v>
      </c>
      <c r="L1433" s="7" t="str">
        <f>IFERROR(__xludf.DUMMYFUNCTION("GOOGLETRANSLATE(C1433, ""en"", ""fi"")"),"Rekisteröinti epäonnistui: Salasana liian heikko")</f>
        <v>Rekisteröinti epäonnistui: Salasana liian heikko</v>
      </c>
      <c r="M1433" s="1" t="s">
        <v>29151</v>
      </c>
      <c r="N1433" s="6" t="s">
        <v>29152</v>
      </c>
      <c r="O1433" s="6" t="s">
        <v>132</v>
      </c>
      <c r="P1433" s="1" t="s">
        <v>29153</v>
      </c>
      <c r="Q1433" s="7" t="str">
        <f>IFERROR(__xludf.DUMMYFUNCTION("GOOGLETRANSLATE(C1433, ""en"", ""in"")"),"Registrasi gagal: Kata sandi terlalu lemah")</f>
        <v>Registrasi gagal: Kata sandi terlalu lemah</v>
      </c>
      <c r="R1433" s="1" t="s">
        <v>29154</v>
      </c>
      <c r="S1433" s="6" t="s">
        <v>132</v>
      </c>
      <c r="T1433" s="1" t="s">
        <v>29155</v>
      </c>
      <c r="U1433" s="1" t="s">
        <v>29156</v>
      </c>
      <c r="V1433" s="7" t="str">
        <f>IFERROR(__xludf.DUMMYFUNCTION("GOOGLETRANSLATE(C1433, ""en"", ""ms"")"),"Pendaftaran gagal: Kata laluan terlalu lemah")</f>
        <v>Pendaftaran gagal: Kata laluan terlalu lemah</v>
      </c>
      <c r="W1433" s="1" t="s">
        <v>29157</v>
      </c>
      <c r="X1433" s="7" t="str">
        <f>IFERROR(__xludf.DUMMYFUNCTION("GOOGLETRANSLATE(C1433, ""en"", ""no"")"),"Registrering mislyktes: Passord for svakt")</f>
        <v>Registrering mislyktes: Passord for svakt</v>
      </c>
      <c r="Y1433" s="1" t="s">
        <v>29158</v>
      </c>
      <c r="Z1433" s="1" t="s">
        <v>29159</v>
      </c>
      <c r="AA1433" s="7" t="str">
        <f>IFERROR(__xludf.DUMMYFUNCTION("GOOGLETRANSLATE(C1433, ""en"", ""ro"")"),"Înregistrarea a eșuat: Parola prea slabă")</f>
        <v>Înregistrarea a eșuat: Parola prea slabă</v>
      </c>
      <c r="AB1433" s="1" t="s">
        <v>29160</v>
      </c>
      <c r="AC1433" s="7" t="str">
        <f>IFERROR(__xludf.DUMMYFUNCTION("GOOGLETRANSLATE(C1433, ""en"", ""sk"")"),"Registrácia zlyhala: Heslo príliš slabé")</f>
        <v>Registrácia zlyhala: Heslo príliš slabé</v>
      </c>
      <c r="AD1433" s="6" t="s">
        <v>132</v>
      </c>
      <c r="AE1433" s="1" t="s">
        <v>29161</v>
      </c>
      <c r="AF1433" s="1" t="s">
        <v>29162</v>
      </c>
      <c r="AG1433" s="6" t="s">
        <v>132</v>
      </c>
      <c r="AH1433" s="7" t="str">
        <f>IFERROR(__xludf.DUMMYFUNCTION("GOOGLETRANSLATE(C1433, ""en"", ""tr"")"),"Kayıt başarısız oldu: şifre çok zayıf")</f>
        <v>Kayıt başarısız oldu: şifre çok zayıf</v>
      </c>
      <c r="AI1433" s="6" t="s">
        <v>29163</v>
      </c>
      <c r="AJ1433" s="6" t="s">
        <v>132</v>
      </c>
      <c r="AK1433" s="7" t="str">
        <f>IFERROR(__xludf.DUMMYFUNCTION("GOOGLETRANSLATE(C1433, ""en"", ""zh"")"),"注册失败：密码太弱")</f>
        <v>注册失败：密码太弱</v>
      </c>
      <c r="AL1433" s="6" t="s">
        <v>29164</v>
      </c>
    </row>
    <row r="1434" ht="15.75" customHeight="1">
      <c r="A1434" s="1" t="s">
        <v>127</v>
      </c>
      <c r="B1434" s="1" t="s">
        <v>29165</v>
      </c>
      <c r="C1434" s="1" t="s">
        <v>29166</v>
      </c>
      <c r="D1434" s="8" t="s">
        <v>29167</v>
      </c>
      <c r="E1434" s="1" t="s">
        <v>29168</v>
      </c>
      <c r="F1434" s="6" t="s">
        <v>132</v>
      </c>
      <c r="G1434" s="1" t="s">
        <v>29169</v>
      </c>
      <c r="H1434" s="1" t="s">
        <v>29170</v>
      </c>
      <c r="I1434" s="1" t="s">
        <v>29171</v>
      </c>
      <c r="J1434" s="6" t="s">
        <v>29172</v>
      </c>
      <c r="K1434" s="1" t="s">
        <v>29173</v>
      </c>
      <c r="L1434" s="1" t="s">
        <v>29174</v>
      </c>
      <c r="M1434" s="1" t="s">
        <v>29175</v>
      </c>
      <c r="N1434" s="6" t="s">
        <v>132</v>
      </c>
      <c r="O1434" s="6" t="s">
        <v>29176</v>
      </c>
      <c r="P1434" s="1" t="s">
        <v>29177</v>
      </c>
      <c r="Q1434" s="1" t="s">
        <v>12368</v>
      </c>
      <c r="R1434" s="1" t="s">
        <v>29178</v>
      </c>
      <c r="S1434" s="10" t="s">
        <v>29179</v>
      </c>
      <c r="T1434" s="1" t="s">
        <v>29180</v>
      </c>
      <c r="U1434" s="1" t="s">
        <v>29181</v>
      </c>
      <c r="V1434" s="1" t="s">
        <v>12368</v>
      </c>
      <c r="W1434" s="1" t="s">
        <v>29182</v>
      </c>
      <c r="X1434" s="1" t="s">
        <v>29183</v>
      </c>
      <c r="Y1434" s="1" t="s">
        <v>29184</v>
      </c>
      <c r="Z1434" s="1" t="s">
        <v>29185</v>
      </c>
      <c r="AA1434" s="1" t="s">
        <v>29186</v>
      </c>
      <c r="AB1434" s="1" t="s">
        <v>29187</v>
      </c>
      <c r="AC1434" s="1" t="s">
        <v>29188</v>
      </c>
      <c r="AD1434" s="6" t="s">
        <v>29189</v>
      </c>
      <c r="AE1434" s="1" t="s">
        <v>29190</v>
      </c>
      <c r="AF1434" s="1" t="s">
        <v>29191</v>
      </c>
      <c r="AG1434" s="6" t="s">
        <v>29192</v>
      </c>
      <c r="AH1434" s="1" t="s">
        <v>29193</v>
      </c>
      <c r="AI1434" s="6" t="s">
        <v>132</v>
      </c>
      <c r="AJ1434" s="6" t="s">
        <v>29194</v>
      </c>
      <c r="AK1434" s="1" t="s">
        <v>29195</v>
      </c>
      <c r="AL1434" s="6" t="s">
        <v>29196</v>
      </c>
    </row>
    <row r="1435" ht="15.75" hidden="1" customHeight="1">
      <c r="A1435" s="1" t="s">
        <v>38</v>
      </c>
      <c r="B1435" s="1" t="s">
        <v>29197</v>
      </c>
      <c r="C1435" s="1" t="s">
        <v>29198</v>
      </c>
      <c r="D1435" s="7" t="str">
        <f>IFERROR(__xludf.DUMMYFUNCTION("GOOGLETRANSLATE(C1435, ""en"", ""ar"")"),"gif.")</f>
        <v>gif.</v>
      </c>
      <c r="E1435" s="1" t="s">
        <v>29198</v>
      </c>
      <c r="F1435" s="6" t="s">
        <v>29198</v>
      </c>
      <c r="G1435" s="7" t="str">
        <f>IFERROR(__xludf.DUMMYFUNCTION("GOOGLETRANSLATE(C1435, ""en"", ""cs"")"),"Gif.")</f>
        <v>Gif.</v>
      </c>
      <c r="H1435" s="7" t="str">
        <f>IFERROR(__xludf.DUMMYFUNCTION("GOOGLETRANSLATE(C1435, ""en"", ""da"")"),"Gif")</f>
        <v>Gif</v>
      </c>
      <c r="I1435" s="1" t="s">
        <v>29198</v>
      </c>
      <c r="J1435" s="6" t="s">
        <v>132</v>
      </c>
      <c r="K1435" s="1" t="s">
        <v>29198</v>
      </c>
      <c r="L1435" s="7" t="str">
        <f>IFERROR(__xludf.DUMMYFUNCTION("GOOGLETRANSLATE(C1435, ""en"", ""fi"")"),"Gif")</f>
        <v>Gif</v>
      </c>
      <c r="M1435" s="1" t="s">
        <v>29198</v>
      </c>
      <c r="N1435" s="6" t="s">
        <v>29198</v>
      </c>
      <c r="O1435" s="6" t="s">
        <v>132</v>
      </c>
      <c r="P1435" s="1" t="s">
        <v>29198</v>
      </c>
      <c r="Q1435" s="7" t="str">
        <f>IFERROR(__xludf.DUMMYFUNCTION("GOOGLETRANSLATE(C1435, ""en"", ""in"")"),"Gif")</f>
        <v>Gif</v>
      </c>
      <c r="R1435" s="1" t="s">
        <v>29198</v>
      </c>
      <c r="S1435" s="6" t="s">
        <v>132</v>
      </c>
      <c r="T1435" s="1" t="s">
        <v>29198</v>
      </c>
      <c r="U1435" s="7" t="str">
        <f>IFERROR(__xludf.DUMMYFUNCTION("GOOGLETRANSLATE(C1435, ""en"", ""ko"")"),"기한")</f>
        <v>기한</v>
      </c>
      <c r="V1435" s="7" t="str">
        <f>IFERROR(__xludf.DUMMYFUNCTION("GOOGLETRANSLATE(C1435, ""en"", ""ms"")"),"Gif.")</f>
        <v>Gif.</v>
      </c>
      <c r="W1435" s="1" t="s">
        <v>29198</v>
      </c>
      <c r="X1435" s="7" t="str">
        <f>IFERROR(__xludf.DUMMYFUNCTION("GOOGLETRANSLATE(C1435, ""en"", ""no"")"),"GIF.")</f>
        <v>GIF.</v>
      </c>
      <c r="Y1435" s="1" t="s">
        <v>29198</v>
      </c>
      <c r="Z1435" s="7" t="str">
        <f>IFERROR(__xludf.DUMMYFUNCTION("GOOGLETRANSLATE(C1435, ""en"", ""pt"")"),"Gif.")</f>
        <v>Gif.</v>
      </c>
      <c r="AA1435" s="7" t="str">
        <f>IFERROR(__xludf.DUMMYFUNCTION("GOOGLETRANSLATE(C1435, ""en"", ""ro"")"),"Gif.")</f>
        <v>Gif.</v>
      </c>
      <c r="AB1435" s="7" t="str">
        <f>IFERROR(__xludf.DUMMYFUNCTION("GOOGLETRANSLATE(C1435, ""en"", ""ru"")"),"Дар")</f>
        <v>Дар</v>
      </c>
      <c r="AC1435" s="7" t="str">
        <f>IFERROR(__xludf.DUMMYFUNCTION("GOOGLETRANSLATE(C1435, ""en"", ""sk"")"),"Gif")</f>
        <v>Gif</v>
      </c>
      <c r="AD1435" s="6" t="s">
        <v>132</v>
      </c>
      <c r="AE1435" s="7" t="str">
        <f>IFERROR(__xludf.DUMMYFUNCTION("GOOGLETRANSLATE(C1435, ""en"", ""sr"")"),"Гиф")</f>
        <v>Гиф</v>
      </c>
      <c r="AF1435" s="7" t="str">
        <f>IFERROR(__xludf.DUMMYFUNCTION("GOOGLETRANSLATE(C1435, ""en"", ""sv"")"),"Gif")</f>
        <v>Gif</v>
      </c>
      <c r="AG1435" s="6" t="s">
        <v>132</v>
      </c>
      <c r="AH1435" s="7" t="str">
        <f>IFERROR(__xludf.DUMMYFUNCTION("GOOGLETRANSLATE(C1435, ""en"", ""tr"")"),"Gif")</f>
        <v>Gif</v>
      </c>
      <c r="AI1435" s="6" t="s">
        <v>132</v>
      </c>
      <c r="AJ1435" s="6" t="s">
        <v>132</v>
      </c>
      <c r="AK1435" s="7" t="str">
        <f>IFERROR(__xludf.DUMMYFUNCTION("GOOGLETRANSLATE(C1435, ""en"", ""zh"")"),"GIF")</f>
        <v>GIF</v>
      </c>
      <c r="AL1435" s="6" t="s">
        <v>132</v>
      </c>
    </row>
    <row r="1436" ht="15.75" hidden="1" customHeight="1">
      <c r="A1436" s="1" t="s">
        <v>38</v>
      </c>
      <c r="B1436" s="1" t="s">
        <v>29199</v>
      </c>
      <c r="C1436" s="1" t="s">
        <v>29200</v>
      </c>
      <c r="D1436" s="8" t="s">
        <v>29201</v>
      </c>
      <c r="E1436" s="1" t="s">
        <v>29202</v>
      </c>
      <c r="F1436" s="6" t="s">
        <v>29203</v>
      </c>
      <c r="G1436" s="7" t="str">
        <f>IFERROR(__xludf.DUMMYFUNCTION("GOOGLETRANSLATE(C1436, ""en"", ""cs"")"),"Nemohl změnit příslušnost% s")</f>
        <v>Nemohl změnit příslušnost% s</v>
      </c>
      <c r="H1436" s="7" t="str">
        <f>IFERROR(__xludf.DUMMYFUNCTION("GOOGLETRANSLATE(C1436, ""en"", ""da"")"),"Kunne ikke ændre tilknytning af% s")</f>
        <v>Kunne ikke ændre tilknytning af% s</v>
      </c>
      <c r="I1436" s="1" t="s">
        <v>29204</v>
      </c>
      <c r="J1436" s="6" t="s">
        <v>132</v>
      </c>
      <c r="K1436" s="1" t="s">
        <v>29205</v>
      </c>
      <c r="L1436" s="7" t="str">
        <f>IFERROR(__xludf.DUMMYFUNCTION("GOOGLETRANSLATE(C1436, ""en"", ""fi"")"),"Ei voinut muuttaa prosentteina% s")</f>
        <v>Ei voinut muuttaa prosentteina% s</v>
      </c>
      <c r="M1436" s="1" t="s">
        <v>29206</v>
      </c>
      <c r="N1436" s="6" t="s">
        <v>29207</v>
      </c>
      <c r="O1436" s="6" t="s">
        <v>132</v>
      </c>
      <c r="P1436" s="1" t="s">
        <v>29208</v>
      </c>
      <c r="Q1436" s="9" t="s">
        <v>29209</v>
      </c>
      <c r="R1436" s="1" t="s">
        <v>29210</v>
      </c>
      <c r="S1436" s="6" t="s">
        <v>132</v>
      </c>
      <c r="T1436" s="1" t="s">
        <v>29211</v>
      </c>
      <c r="U1436" s="1" t="s">
        <v>29212</v>
      </c>
      <c r="V1436" s="7" t="str">
        <f>IFERROR(__xludf.DUMMYFUNCTION("GOOGLETRANSLATE(C1436, ""en"", ""ms"")"),"Tidak dapat mengubah afiliasi% s")</f>
        <v>Tidak dapat mengubah afiliasi% s</v>
      </c>
      <c r="W1436" s="1" t="s">
        <v>29213</v>
      </c>
      <c r="X1436" s="7" t="str">
        <f>IFERROR(__xludf.DUMMYFUNCTION("GOOGLETRANSLATE(C1436, ""en"", ""no"")"),"Kunne ikke endre tilknytning til% s")</f>
        <v>Kunne ikke endre tilknytning til% s</v>
      </c>
      <c r="Y1436" s="1" t="s">
        <v>29214</v>
      </c>
      <c r="Z1436" s="1" t="s">
        <v>29215</v>
      </c>
      <c r="AA1436" s="7" t="str">
        <f>IFERROR(__xludf.DUMMYFUNCTION("GOOGLETRANSLATE(C1436, ""en"", ""ro"")"),"Nu s-ar putea schimba afilierea la% s")</f>
        <v>Nu s-ar putea schimba afilierea la% s</v>
      </c>
      <c r="AB1436" s="1" t="s">
        <v>29216</v>
      </c>
      <c r="AC1436" s="1" t="s">
        <v>29217</v>
      </c>
      <c r="AD1436" s="6" t="s">
        <v>132</v>
      </c>
      <c r="AE1436" s="1" t="s">
        <v>29218</v>
      </c>
      <c r="AF1436" s="1" t="s">
        <v>29219</v>
      </c>
      <c r="AG1436" s="6" t="s">
        <v>132</v>
      </c>
      <c r="AH1436" s="13" t="s">
        <v>29220</v>
      </c>
      <c r="AI1436" s="6" t="s">
        <v>29221</v>
      </c>
      <c r="AJ1436" s="6" t="s">
        <v>29222</v>
      </c>
      <c r="AK1436" s="7" t="str">
        <f>IFERROR(__xludf.DUMMYFUNCTION("GOOGLETRANSLATE(C1436, ""en"", ""zh"")"),"无法改变％的隶属")</f>
        <v>无法改变％的隶属</v>
      </c>
      <c r="AL1436" s="6" t="s">
        <v>29223</v>
      </c>
    </row>
    <row r="1437" ht="15.75" hidden="1" customHeight="1">
      <c r="A1437" s="1" t="s">
        <v>38</v>
      </c>
      <c r="B1437" s="1" t="s">
        <v>29224</v>
      </c>
      <c r="C1437" s="1" t="s">
        <v>29225</v>
      </c>
      <c r="D1437" s="7" t="str">
        <f>IFERROR(__xludf.DUMMYFUNCTION("GOOGLETRANSLATE(C1437, ""en"", ""ar"")"),"1 ساعة حاليا")</f>
        <v>1 ساعة حاليا</v>
      </c>
      <c r="E1437" s="7" t="str">
        <f>IFERROR(__xludf.DUMMYFUNCTION("GOOGLETRANSLATE(C1437, ""en"", ""bg"")"),"1 час офлайн")</f>
        <v>1 час офлайн</v>
      </c>
      <c r="F1437" s="6" t="s">
        <v>132</v>
      </c>
      <c r="G1437" s="7" t="str">
        <f>IFERROR(__xludf.DUMMYFUNCTION("GOOGLETRANSLATE(C1437, ""en"", ""cs"")"),"1 hodina offline.")</f>
        <v>1 hodina offline.</v>
      </c>
      <c r="H1437" s="7" t="str">
        <f>IFERROR(__xludf.DUMMYFUNCTION("GOOGLETRANSLATE(C1437, ""en"", ""da"")"),"1 time offline.")</f>
        <v>1 time offline.</v>
      </c>
      <c r="I1437" s="1" t="s">
        <v>29226</v>
      </c>
      <c r="J1437" s="6" t="s">
        <v>132</v>
      </c>
      <c r="K1437" s="1" t="s">
        <v>29227</v>
      </c>
      <c r="L1437" s="7" t="str">
        <f>IFERROR(__xludf.DUMMYFUNCTION("GOOGLETRANSLATE(C1437, ""en"", ""fi"")"),"1 tunnin offline")</f>
        <v>1 tunnin offline</v>
      </c>
      <c r="M1437" s="1" t="s">
        <v>29228</v>
      </c>
      <c r="N1437" s="6" t="s">
        <v>132</v>
      </c>
      <c r="O1437" s="6" t="s">
        <v>132</v>
      </c>
      <c r="P1437" s="1" t="s">
        <v>29229</v>
      </c>
      <c r="Q1437" s="7" t="str">
        <f>IFERROR(__xludf.DUMMYFUNCTION("GOOGLETRANSLATE(C1437, ""en"", ""in"")"),"1 jam offline.")</f>
        <v>1 jam offline.</v>
      </c>
      <c r="R1437" s="7" t="str">
        <f>IFERROR(__xludf.DUMMYFUNCTION("GOOGLETRANSLATE(C1437, ""en"", ""it"")"),"1 ora offline.")</f>
        <v>1 ora offline.</v>
      </c>
      <c r="S1437" s="6" t="s">
        <v>132</v>
      </c>
      <c r="T1437" s="7" t="str">
        <f>IFERROR(__xludf.DUMMYFUNCTION("GOOGLETRANSLATE(C1437, ""en"", ""ja"")"),"1時間オフライン")</f>
        <v>1時間オフライン</v>
      </c>
      <c r="U1437" s="7" t="str">
        <f>IFERROR(__xludf.DUMMYFUNCTION("GOOGLETRANSLATE(C1437, ""en"", ""ko"")"),"1 시간 오프라인")</f>
        <v>1 시간 오프라인</v>
      </c>
      <c r="V1437" s="7" t="str">
        <f>IFERROR(__xludf.DUMMYFUNCTION("GOOGLETRANSLATE(C1437, ""en"", ""ms"")"),"1 jam di luar talian")</f>
        <v>1 jam di luar talian</v>
      </c>
      <c r="W1437" s="7" t="str">
        <f>IFERROR(__xludf.DUMMYFUNCTION("GOOGLETRANSLATE(C1437, ""en"", ""nl"")"),"1 uur offline")</f>
        <v>1 uur offline</v>
      </c>
      <c r="X1437" s="7" t="str">
        <f>IFERROR(__xludf.DUMMYFUNCTION("GOOGLETRANSLATE(C1437, ""en"", ""no"")"),"1 time offline")</f>
        <v>1 time offline</v>
      </c>
      <c r="Y1437" s="7" t="str">
        <f>IFERROR(__xludf.DUMMYFUNCTION("GOOGLETRANSLATE(C1437, ""en"", ""pl"")"),"1 godzina offline.")</f>
        <v>1 godzina offline.</v>
      </c>
      <c r="Z1437" s="7" t="str">
        <f>IFERROR(__xludf.DUMMYFUNCTION("GOOGLETRANSLATE(C1437, ""en"", ""pt"")"),"1 hora offline")</f>
        <v>1 hora offline</v>
      </c>
      <c r="AA1437" s="7" t="str">
        <f>IFERROR(__xludf.DUMMYFUNCTION("GOOGLETRANSLATE(C1437, ""en"", ""ro"")"),"1 oră offline")</f>
        <v>1 oră offline</v>
      </c>
      <c r="AB1437" s="1" t="s">
        <v>29230</v>
      </c>
      <c r="AC1437" s="7" t="str">
        <f>IFERROR(__xludf.DUMMYFUNCTION("GOOGLETRANSLATE(C1437, ""en"", ""sk"")"),"1 hodina offline")</f>
        <v>1 hodina offline</v>
      </c>
      <c r="AD1437" s="6" t="s">
        <v>132</v>
      </c>
      <c r="AE1437" s="1" t="s">
        <v>29231</v>
      </c>
      <c r="AF1437" s="7" t="str">
        <f>IFERROR(__xludf.DUMMYFUNCTION("GOOGLETRANSLATE(C1437, ""en"", ""sv"")"),"1 timme offline")</f>
        <v>1 timme offline</v>
      </c>
      <c r="AG1437" s="6" t="s">
        <v>132</v>
      </c>
      <c r="AH1437" s="7" t="str">
        <f>IFERROR(__xludf.DUMMYFUNCTION("GOOGLETRANSLATE(C1437, ""en"", ""tr"")"),"1 Saat Çevrimdışı")</f>
        <v>1 Saat Çevrimdışı</v>
      </c>
      <c r="AI1437" s="6" t="s">
        <v>132</v>
      </c>
      <c r="AJ1437" s="6" t="s">
        <v>132</v>
      </c>
      <c r="AK1437" s="7" t="str">
        <f>IFERROR(__xludf.DUMMYFUNCTION("GOOGLETRANSLATE(C1437, ""en"", ""zh"")"),"1小时离线")</f>
        <v>1小时离线</v>
      </c>
      <c r="AL1437" s="6" t="s">
        <v>132</v>
      </c>
    </row>
    <row r="1438" ht="15.75" hidden="1" customHeight="1">
      <c r="A1438" s="1" t="s">
        <v>38</v>
      </c>
      <c r="B1438" s="1" t="s">
        <v>29232</v>
      </c>
      <c r="C1438" s="1" t="s">
        <v>29233</v>
      </c>
      <c r="D1438" s="7" t="str">
        <f>IFERROR(__xludf.DUMMYFUNCTION("GOOGLETRANSLATE(C1438, ""en"", ""ar"")"),"رفض طلب")</f>
        <v>رفض طلب</v>
      </c>
      <c r="E1438" s="1" t="s">
        <v>29234</v>
      </c>
      <c r="F1438" s="6" t="s">
        <v>132</v>
      </c>
      <c r="G1438" s="7" t="str">
        <f>IFERROR(__xludf.DUMMYFUNCTION("GOOGLETRANSLATE(C1438, ""en"", ""cs"")"),"Žádost o odmítnutí")</f>
        <v>Žádost o odmítnutí</v>
      </c>
      <c r="H1438" s="7" t="str">
        <f>IFERROR(__xludf.DUMMYFUNCTION("GOOGLETRANSLATE(C1438, ""en"", ""da"")"),"Afvis anmodning")</f>
        <v>Afvis anmodning</v>
      </c>
      <c r="I1438" s="1" t="s">
        <v>29235</v>
      </c>
      <c r="J1438" s="6" t="s">
        <v>132</v>
      </c>
      <c r="K1438" s="7" t="str">
        <f>IFERROR(__xludf.DUMMYFUNCTION("GOOGLETRANSLATE(C1438, ""en"", ""es"")"),"Solicitud de rechazo")</f>
        <v>Solicitud de rechazo</v>
      </c>
      <c r="L1438" s="7" t="str">
        <f>IFERROR(__xludf.DUMMYFUNCTION("GOOGLETRANSLATE(C1438, ""en"", ""fi"")"),"Hylkää pyyntö")</f>
        <v>Hylkää pyyntö</v>
      </c>
      <c r="M1438" s="7" t="str">
        <f>IFERROR(__xludf.DUMMYFUNCTION("GOOGLETRANSLATE(C1438, ""en"", ""fr"")"),"Rejet de demande")</f>
        <v>Rejet de demande</v>
      </c>
      <c r="N1438" s="6" t="s">
        <v>29236</v>
      </c>
      <c r="O1438" s="6" t="s">
        <v>132</v>
      </c>
      <c r="P1438" s="1" t="s">
        <v>29237</v>
      </c>
      <c r="Q1438" s="7" t="str">
        <f>IFERROR(__xludf.DUMMYFUNCTION("GOOGLETRANSLATE(C1438, ""en"", ""in"")"),"Tolak permintaan")</f>
        <v>Tolak permintaan</v>
      </c>
      <c r="R1438" s="1" t="s">
        <v>29238</v>
      </c>
      <c r="S1438" s="6" t="s">
        <v>132</v>
      </c>
      <c r="T1438" s="1" t="s">
        <v>29239</v>
      </c>
      <c r="U1438" s="7" t="str">
        <f>IFERROR(__xludf.DUMMYFUNCTION("GOOGLETRANSLATE(C1438, ""en"", ""ko"")"),"요청 거부")</f>
        <v>요청 거부</v>
      </c>
      <c r="V1438" s="7" t="str">
        <f>IFERROR(__xludf.DUMMYFUNCTION("GOOGLETRANSLATE(C1438, ""en"", ""ms"")"),"Tolak permintaan")</f>
        <v>Tolak permintaan</v>
      </c>
      <c r="W1438" s="1" t="s">
        <v>29240</v>
      </c>
      <c r="X1438" s="7" t="str">
        <f>IFERROR(__xludf.DUMMYFUNCTION("GOOGLETRANSLATE(C1438, ""en"", ""no"")"),"Avvis forespørsel")</f>
        <v>Avvis forespørsel</v>
      </c>
      <c r="Y1438" s="1" t="s">
        <v>29241</v>
      </c>
      <c r="Z1438" s="7" t="str">
        <f>IFERROR(__xludf.DUMMYFUNCTION("GOOGLETRANSLATE(C1438, ""en"", ""pt"")"),"Rejeitar pedido")</f>
        <v>Rejeitar pedido</v>
      </c>
      <c r="AA1438" s="7" t="str">
        <f>IFERROR(__xludf.DUMMYFUNCTION("GOOGLETRANSLATE(C1438, ""en"", ""ro"")"),"Respingerea cererii")</f>
        <v>Respingerea cererii</v>
      </c>
      <c r="AB1438" s="7" t="str">
        <f>IFERROR(__xludf.DUMMYFUNCTION("GOOGLETRANSLATE(C1438, ""en"", ""ru"")"),"Отклонить запрос")</f>
        <v>Отклонить запрос</v>
      </c>
      <c r="AC1438" s="7" t="str">
        <f>IFERROR(__xludf.DUMMYFUNCTION("GOOGLETRANSLATE(C1438, ""en"", ""sk"")"),"Odmietnuť žiadosť")</f>
        <v>Odmietnuť žiadosť</v>
      </c>
      <c r="AD1438" s="6" t="s">
        <v>132</v>
      </c>
      <c r="AE1438" s="7" t="str">
        <f>IFERROR(__xludf.DUMMYFUNCTION("GOOGLETRANSLATE(C1438, ""en"", ""sr"")"),"Одбијање захтева")</f>
        <v>Одбијање захтева</v>
      </c>
      <c r="AF1438" s="7" t="str">
        <f>IFERROR(__xludf.DUMMYFUNCTION("GOOGLETRANSLATE(C1438, ""en"", ""sv"")"),"Avvisa förfrågan")</f>
        <v>Avvisa förfrågan</v>
      </c>
      <c r="AG1438" s="6" t="s">
        <v>132</v>
      </c>
      <c r="AH1438" s="7" t="str">
        <f>IFERROR(__xludf.DUMMYFUNCTION("GOOGLETRANSLATE(C1438, ""en"", ""tr"")"),"Reddetme")</f>
        <v>Reddetme</v>
      </c>
      <c r="AI1438" s="6" t="s">
        <v>132</v>
      </c>
      <c r="AJ1438" s="6" t="s">
        <v>132</v>
      </c>
      <c r="AK1438" s="7" t="str">
        <f>IFERROR(__xludf.DUMMYFUNCTION("GOOGLETRANSLATE(C1438, ""en"", ""zh"")"),"拒绝请求")</f>
        <v>拒绝请求</v>
      </c>
      <c r="AL1438" s="6" t="s">
        <v>132</v>
      </c>
    </row>
    <row r="1439" ht="15.75" hidden="1" customHeight="1">
      <c r="A1439" s="1" t="s">
        <v>38</v>
      </c>
      <c r="B1439" s="1" t="s">
        <v>29242</v>
      </c>
      <c r="C1439" s="1" t="s">
        <v>29243</v>
      </c>
      <c r="D1439" s="7" t="str">
        <f>IFERROR(__xludf.DUMMYFUNCTION("GOOGLETRANSLATE(C1439, ""en"", ""ar"")"),"لقد قرأ الجميع حتى هذه النقطة")</f>
        <v>لقد قرأ الجميع حتى هذه النقطة</v>
      </c>
      <c r="E1439" s="1" t="s">
        <v>29244</v>
      </c>
      <c r="F1439" s="6" t="s">
        <v>29245</v>
      </c>
      <c r="G1439" s="7" t="str">
        <f>IFERROR(__xludf.DUMMYFUNCTION("GOOGLETRANSLATE(C1439, ""en"", ""cs"")"),"Každý přečetl do tohoto bodu")</f>
        <v>Každý přečetl do tohoto bodu</v>
      </c>
      <c r="H1439" s="7" t="str">
        <f>IFERROR(__xludf.DUMMYFUNCTION("GOOGLETRANSLATE(C1439, ""en"", ""da"")"),"Alle har læst op til dette punkt")</f>
        <v>Alle har læst op til dette punkt</v>
      </c>
      <c r="I1439" s="1" t="s">
        <v>29246</v>
      </c>
      <c r="J1439" s="6" t="s">
        <v>132</v>
      </c>
      <c r="K1439" s="1" t="s">
        <v>29247</v>
      </c>
      <c r="L1439" s="7" t="str">
        <f>IFERROR(__xludf.DUMMYFUNCTION("GOOGLETRANSLATE(C1439, ""en"", ""fi"")"),"Kaikki ovat lukeneet tähän pisteeseen")</f>
        <v>Kaikki ovat lukeneet tähän pisteeseen</v>
      </c>
      <c r="M1439" s="1" t="s">
        <v>29248</v>
      </c>
      <c r="N1439" s="6" t="s">
        <v>29249</v>
      </c>
      <c r="O1439" s="6" t="s">
        <v>132</v>
      </c>
      <c r="P1439" s="1" t="s">
        <v>29250</v>
      </c>
      <c r="Q1439" s="7" t="str">
        <f>IFERROR(__xludf.DUMMYFUNCTION("GOOGLETRANSLATE(C1439, ""en"", ""in"")"),"Setiap orang telah membaca sampai titik ini")</f>
        <v>Setiap orang telah membaca sampai titik ini</v>
      </c>
      <c r="R1439" s="1" t="s">
        <v>29251</v>
      </c>
      <c r="S1439" s="6" t="s">
        <v>132</v>
      </c>
      <c r="T1439" s="7" t="str">
        <f>IFERROR(__xludf.DUMMYFUNCTION("GOOGLETRANSLATE(C1439, ""en"", ""ja"")"),"誰もがこの時点まで読みました")</f>
        <v>誰もがこの時点まで読みました</v>
      </c>
      <c r="U1439" s="7" t="str">
        <f>IFERROR(__xludf.DUMMYFUNCTION("GOOGLETRANSLATE(C1439, ""en"", ""ko"")"),"모두 가이 시점까지 읽었습니다")</f>
        <v>모두 가이 시점까지 읽었습니다</v>
      </c>
      <c r="V1439" s="7" t="str">
        <f>IFERROR(__xludf.DUMMYFUNCTION("GOOGLETRANSLATE(C1439, ""en"", ""ms"")"),"Semua orang telah membaca sehingga ini")</f>
        <v>Semua orang telah membaca sehingga ini</v>
      </c>
      <c r="W1439" s="1" t="s">
        <v>29252</v>
      </c>
      <c r="X1439" s="7" t="str">
        <f>IFERROR(__xludf.DUMMYFUNCTION("GOOGLETRANSLATE(C1439, ""en"", ""no"")"),"Alle har lest opp til dette punktet")</f>
        <v>Alle har lest opp til dette punktet</v>
      </c>
      <c r="Y1439" s="1" t="s">
        <v>29253</v>
      </c>
      <c r="Z1439" s="1" t="s">
        <v>29254</v>
      </c>
      <c r="AA1439" s="7" t="str">
        <f>IFERROR(__xludf.DUMMYFUNCTION("GOOGLETRANSLATE(C1439, ""en"", ""ro"")"),"Toată lumea a citit până la acest punct")</f>
        <v>Toată lumea a citit până la acest punct</v>
      </c>
      <c r="AB1439" s="1" t="s">
        <v>29255</v>
      </c>
      <c r="AC1439" s="7" t="str">
        <f>IFERROR(__xludf.DUMMYFUNCTION("GOOGLETRANSLATE(C1439, ""en"", ""sk"")"),"Každý čítal do tohto bodu")</f>
        <v>Každý čítal do tohto bodu</v>
      </c>
      <c r="AD1439" s="6" t="s">
        <v>132</v>
      </c>
      <c r="AE1439" s="1" t="s">
        <v>29256</v>
      </c>
      <c r="AF1439" s="7" t="str">
        <f>IFERROR(__xludf.DUMMYFUNCTION("GOOGLETRANSLATE(C1439, ""en"", ""sv"")"),"Alla har läst upp till denna punkt")</f>
        <v>Alla har läst upp till denna punkt</v>
      </c>
      <c r="AG1439" s="6" t="s">
        <v>132</v>
      </c>
      <c r="AH1439" s="7" t="str">
        <f>IFERROR(__xludf.DUMMYFUNCTION("GOOGLETRANSLATE(C1439, ""en"", ""tr"")"),"Herkes bu noktaya kadar okudu")</f>
        <v>Herkes bu noktaya kadar okudu</v>
      </c>
      <c r="AI1439" s="6" t="s">
        <v>132</v>
      </c>
      <c r="AJ1439" s="6" t="s">
        <v>132</v>
      </c>
      <c r="AK1439" s="7" t="str">
        <f>IFERROR(__xludf.DUMMYFUNCTION("GOOGLETRANSLATE(C1439, ""en"", ""zh"")"),"每个人都读到这一点")</f>
        <v>每个人都读到这一点</v>
      </c>
      <c r="AL1439" s="6" t="s">
        <v>132</v>
      </c>
    </row>
    <row r="1440" ht="15.75" hidden="1" customHeight="1">
      <c r="A1440" s="1" t="s">
        <v>38</v>
      </c>
      <c r="B1440" s="1" t="s">
        <v>29257</v>
      </c>
      <c r="C1440" s="1" t="s">
        <v>29258</v>
      </c>
      <c r="D1440" s="7" t="str">
        <f>IFERROR(__xludf.DUMMYFUNCTION("GOOGLETRANSLATE(C1440, ""en"", ""ar"")"),"رقم الهاتف")</f>
        <v>رقم الهاتف</v>
      </c>
      <c r="E1440" s="1" t="s">
        <v>29259</v>
      </c>
      <c r="F1440" s="6" t="s">
        <v>132</v>
      </c>
      <c r="G1440" s="7" t="str">
        <f>IFERROR(__xludf.DUMMYFUNCTION("GOOGLETRANSLATE(C1440, ""en"", ""cs"")"),"telefonní číslo")</f>
        <v>telefonní číslo</v>
      </c>
      <c r="H1440" s="7" t="str">
        <f>IFERROR(__xludf.DUMMYFUNCTION("GOOGLETRANSLATE(C1440, ""en"", ""da"")"),"telefonnummer")</f>
        <v>telefonnummer</v>
      </c>
      <c r="I1440" s="1" t="s">
        <v>29260</v>
      </c>
      <c r="J1440" s="6" t="s">
        <v>132</v>
      </c>
      <c r="K1440" s="1" t="s">
        <v>29261</v>
      </c>
      <c r="L1440" s="7" t="str">
        <f>IFERROR(__xludf.DUMMYFUNCTION("GOOGLETRANSLATE(C1440, ""en"", ""fi"")"),"puhelinnumero")</f>
        <v>puhelinnumero</v>
      </c>
      <c r="M1440" s="1" t="s">
        <v>29262</v>
      </c>
      <c r="N1440" s="6" t="s">
        <v>29261</v>
      </c>
      <c r="O1440" s="6" t="s">
        <v>132</v>
      </c>
      <c r="P1440" s="1" t="s">
        <v>29263</v>
      </c>
      <c r="Q1440" s="7" t="str">
        <f>IFERROR(__xludf.DUMMYFUNCTION("GOOGLETRANSLATE(C1440, ""en"", ""in"")"),"nomor telepon")</f>
        <v>nomor telepon</v>
      </c>
      <c r="R1440" s="1" t="s">
        <v>29264</v>
      </c>
      <c r="S1440" s="6" t="s">
        <v>132</v>
      </c>
      <c r="T1440" s="7" t="str">
        <f>IFERROR(__xludf.DUMMYFUNCTION("GOOGLETRANSLATE(C1440, ""en"", ""ja"")"),"電話番号")</f>
        <v>電話番号</v>
      </c>
      <c r="U1440" s="7" t="str">
        <f>IFERROR(__xludf.DUMMYFUNCTION("GOOGLETRANSLATE(C1440, ""en"", ""ko"")"),"전화 번호")</f>
        <v>전화 번호</v>
      </c>
      <c r="V1440" s="7" t="str">
        <f>IFERROR(__xludf.DUMMYFUNCTION("GOOGLETRANSLATE(C1440, ""en"", ""ms"")"),"nombor telefon")</f>
        <v>nombor telefon</v>
      </c>
      <c r="W1440" s="1" t="s">
        <v>29265</v>
      </c>
      <c r="X1440" s="7" t="str">
        <f>IFERROR(__xludf.DUMMYFUNCTION("GOOGLETRANSLATE(C1440, ""en"", ""no"")"),"telefonnummer")</f>
        <v>telefonnummer</v>
      </c>
      <c r="Y1440" s="1" t="s">
        <v>29266</v>
      </c>
      <c r="Z1440" s="7" t="str">
        <f>IFERROR(__xludf.DUMMYFUNCTION("GOOGLETRANSLATE(C1440, ""en"", ""pt"")"),"número de telefone")</f>
        <v>número de telefone</v>
      </c>
      <c r="AA1440" s="7" t="str">
        <f>IFERROR(__xludf.DUMMYFUNCTION("GOOGLETRANSLATE(C1440, ""en"", ""ro"")"),"numar de telefon")</f>
        <v>numar de telefon</v>
      </c>
      <c r="AB1440" s="7" t="str">
        <f>IFERROR(__xludf.DUMMYFUNCTION("GOOGLETRANSLATE(C1440, ""en"", ""ru"")"),"телефонный номер")</f>
        <v>телефонный номер</v>
      </c>
      <c r="AC1440" s="7" t="str">
        <f>IFERROR(__xludf.DUMMYFUNCTION("GOOGLETRANSLATE(C1440, ""en"", ""sk"")"),"telefónne číslo")</f>
        <v>telefónne číslo</v>
      </c>
      <c r="AD1440" s="6" t="s">
        <v>132</v>
      </c>
      <c r="AE1440" s="7" t="str">
        <f>IFERROR(__xludf.DUMMYFUNCTION("GOOGLETRANSLATE(C1440, ""en"", ""sr"")"),"Број телефона")</f>
        <v>Број телефона</v>
      </c>
      <c r="AF1440" s="7" t="str">
        <f>IFERROR(__xludf.DUMMYFUNCTION("GOOGLETRANSLATE(C1440, ""en"", ""sv"")"),"telefonnummer")</f>
        <v>telefonnummer</v>
      </c>
      <c r="AG1440" s="6" t="s">
        <v>132</v>
      </c>
      <c r="AH1440" s="7" t="str">
        <f>IFERROR(__xludf.DUMMYFUNCTION("GOOGLETRANSLATE(C1440, ""en"", ""tr"")"),"telefon numarası")</f>
        <v>telefon numarası</v>
      </c>
      <c r="AI1440" s="6" t="s">
        <v>132</v>
      </c>
      <c r="AJ1440" s="6" t="s">
        <v>132</v>
      </c>
      <c r="AK1440" s="7" t="str">
        <f>IFERROR(__xludf.DUMMYFUNCTION("GOOGLETRANSLATE(C1440, ""en"", ""zh"")"),"电话号码")</f>
        <v>电话号码</v>
      </c>
      <c r="AL1440" s="6" t="s">
        <v>132</v>
      </c>
    </row>
    <row r="1441" ht="15.75" hidden="1" customHeight="1">
      <c r="A1441" s="1" t="s">
        <v>38</v>
      </c>
      <c r="B1441" s="1" t="s">
        <v>29267</v>
      </c>
      <c r="C1441" s="1" t="s">
        <v>29268</v>
      </c>
      <c r="D1441" s="8" t="s">
        <v>29269</v>
      </c>
      <c r="E1441" s="1" t="s">
        <v>29270</v>
      </c>
      <c r="F1441" s="6" t="s">
        <v>29271</v>
      </c>
      <c r="G1441" s="7" t="str">
        <f>IFERROR(__xludf.DUMMYFUNCTION("GOOGLETRANSLATE(C1441, ""en"", ""cs"")"),"Nechte své kontakty vědět, kdy jste obdrželi a přečtěte si jejich zprávy")</f>
        <v>Nechte své kontakty vědět, kdy jste obdrželi a přečtěte si jejich zprávy</v>
      </c>
      <c r="H1441" s="7" t="str">
        <f>IFERROR(__xludf.DUMMYFUNCTION("GOOGLETRANSLATE(C1441, ""en"", ""da"")"),"Lad dine kontakter vide, hvornår du har modtaget og læser deres meddelelser")</f>
        <v>Lad dine kontakter vide, hvornår du har modtaget og læser deres meddelelser</v>
      </c>
      <c r="I1441" s="1" t="s">
        <v>29272</v>
      </c>
      <c r="J1441" s="6" t="s">
        <v>132</v>
      </c>
      <c r="K1441" s="1" t="s">
        <v>29273</v>
      </c>
      <c r="L1441" s="7" t="str">
        <f>IFERROR(__xludf.DUMMYFUNCTION("GOOGLETRANSLATE(C1441, ""en"", ""fi"")"),"Anna yhteystietosi tietää, milloin olet saanut ja lukenut viestit")</f>
        <v>Anna yhteystietosi tietää, milloin olet saanut ja lukenut viestit</v>
      </c>
      <c r="M1441" s="1" t="s">
        <v>29274</v>
      </c>
      <c r="N1441" s="6" t="s">
        <v>29275</v>
      </c>
      <c r="O1441" s="6" t="s">
        <v>132</v>
      </c>
      <c r="P1441" s="1" t="s">
        <v>29276</v>
      </c>
      <c r="Q1441" s="7" t="str">
        <f>IFERROR(__xludf.DUMMYFUNCTION("GOOGLETRANSLATE(C1441, ""en"", ""in"")"),"Biarkan kontak Anda tahu kapan Anda telah menerima dan membaca pesan mereka")</f>
        <v>Biarkan kontak Anda tahu kapan Anda telah menerima dan membaca pesan mereka</v>
      </c>
      <c r="R1441" s="1" t="s">
        <v>29277</v>
      </c>
      <c r="S1441" s="6" t="s">
        <v>132</v>
      </c>
      <c r="T1441" s="1" t="s">
        <v>29278</v>
      </c>
      <c r="U1441" s="1" t="s">
        <v>29279</v>
      </c>
      <c r="V1441" s="7" t="str">
        <f>IFERROR(__xludf.DUMMYFUNCTION("GOOGLETRANSLATE(C1441, ""en"", ""ms"")"),"Biarkan kenalan anda tahu apabila anda telah menerima dan membaca mesej mereka")</f>
        <v>Biarkan kenalan anda tahu apabila anda telah menerima dan membaca mesej mereka</v>
      </c>
      <c r="W1441" s="1" t="s">
        <v>29280</v>
      </c>
      <c r="X1441" s="7" t="str">
        <f>IFERROR(__xludf.DUMMYFUNCTION("GOOGLETRANSLATE(C1441, ""en"", ""no"")"),"La kontaktene dine vite når du har mottatt og les deres meldinger")</f>
        <v>La kontaktene dine vite når du har mottatt og les deres meldinger</v>
      </c>
      <c r="Y1441" s="1" t="s">
        <v>29281</v>
      </c>
      <c r="Z1441" s="7" t="str">
        <f>IFERROR(__xludf.DUMMYFUNCTION("GOOGLETRANSLATE(C1441, ""en"", ""pt"")"),"Deixe seus contatos saberem quando você tiver recebido e ler suas mensagens")</f>
        <v>Deixe seus contatos saberem quando você tiver recebido e ler suas mensagens</v>
      </c>
      <c r="AA1441" s="7" t="str">
        <f>IFERROR(__xludf.DUMMYFUNCTION("GOOGLETRANSLATE(C1441, ""en"", ""ro"")"),"Lăsați contactele dvs. să știe când ați primit și citiți mesajele")</f>
        <v>Lăsați contactele dvs. să știe când ați primit și citiți mesajele</v>
      </c>
      <c r="AB1441" s="1" t="s">
        <v>29282</v>
      </c>
      <c r="AC1441" s="7" t="str">
        <f>IFERROR(__xludf.DUMMYFUNCTION("GOOGLETRANSLATE(C1441, ""en"", ""sk"")"),"Nechajte svoje kontakty vedieť, keď ste dostali a prečítali ich správy")</f>
        <v>Nechajte svoje kontakty vedieť, keď ste dostali a prečítali ich správy</v>
      </c>
      <c r="AD1441" s="6" t="s">
        <v>132</v>
      </c>
      <c r="AE1441" s="1" t="s">
        <v>29283</v>
      </c>
      <c r="AF1441" s="1" t="s">
        <v>29284</v>
      </c>
      <c r="AG1441" s="6" t="s">
        <v>132</v>
      </c>
      <c r="AH1441" s="7" t="str">
        <f>IFERROR(__xludf.DUMMYFUNCTION("GOOGLETRANSLATE(C1441, ""en"", ""tr"")"),"Kişilerinizin aldığınızda ve mesajlarını okuduğunuzu bildirin")</f>
        <v>Kişilerinizin aldığınızda ve mesajlarını okuduğunuzu bildirin</v>
      </c>
      <c r="AI1441" s="6" t="s">
        <v>29285</v>
      </c>
      <c r="AJ1441" s="6" t="s">
        <v>29286</v>
      </c>
      <c r="AK1441" s="7" t="str">
        <f>IFERROR(__xludf.DUMMYFUNCTION("GOOGLETRANSLATE(C1441, ""en"", ""zh"")"),"您的联系人何时收到并阅读他们的消息")</f>
        <v>您的联系人何时收到并阅读他们的消息</v>
      </c>
      <c r="AL1441" s="6" t="s">
        <v>29287</v>
      </c>
    </row>
    <row r="1442" ht="15.75" hidden="1" customHeight="1">
      <c r="A1442" s="1" t="s">
        <v>38</v>
      </c>
      <c r="B1442" s="1" t="s">
        <v>29288</v>
      </c>
      <c r="C1442" s="1" t="s">
        <v>29289</v>
      </c>
      <c r="D1442" s="7" t="str">
        <f>IFERROR(__xludf.DUMMYFUNCTION("GOOGLETRANSLATE(C1442, ""en"", ""ar"")"),"التحقق من مفتاح OMEMO مع شهادة!")</f>
        <v>التحقق من مفتاح OMEMO مع شهادة!</v>
      </c>
      <c r="E1442" s="1" t="s">
        <v>29290</v>
      </c>
      <c r="F1442" s="6" t="s">
        <v>29291</v>
      </c>
      <c r="G1442" s="7" t="str">
        <f>IFERROR(__xludf.DUMMYFUNCTION("GOOGLETRANSLATE(C1442, ""en"", ""cs"")"),"Ověřeno Omemo klíč s certifikátem!")</f>
        <v>Ověřeno Omemo klíč s certifikátem!</v>
      </c>
      <c r="H1442" s="7" t="str">
        <f>IFERROR(__xludf.DUMMYFUNCTION("GOOGLETRANSLATE(C1442, ""en"", ""da"")"),"Verificeret omemo-nøgle med certifikat!")</f>
        <v>Verificeret omemo-nøgle med certifikat!</v>
      </c>
      <c r="I1442" s="1" t="s">
        <v>29292</v>
      </c>
      <c r="J1442" s="6" t="s">
        <v>132</v>
      </c>
      <c r="K1442" s="1" t="s">
        <v>29293</v>
      </c>
      <c r="L1442" s="7" t="str">
        <f>IFERROR(__xludf.DUMMYFUNCTION("GOOGLETRANSLATE(C1442, ""en"", ""fi"")"),"Vahvistettu OMEMO-avain todistuksella!")</f>
        <v>Vahvistettu OMEMO-avain todistuksella!</v>
      </c>
      <c r="M1442" s="1" t="s">
        <v>29294</v>
      </c>
      <c r="N1442" s="6" t="s">
        <v>29295</v>
      </c>
      <c r="O1442" s="6" t="s">
        <v>132</v>
      </c>
      <c r="P1442" s="1" t="s">
        <v>29296</v>
      </c>
      <c r="Q1442" s="7" t="str">
        <f>IFERROR(__xludf.DUMMYFUNCTION("GOOGLETRANSLATE(C1442, ""en"", ""in"")"),"Kunci Omemo Terverifikasi dengan Sertifikat!")</f>
        <v>Kunci Omemo Terverifikasi dengan Sertifikat!</v>
      </c>
      <c r="R1442" s="1" t="s">
        <v>29297</v>
      </c>
      <c r="S1442" s="6" t="s">
        <v>132</v>
      </c>
      <c r="T1442" s="1" t="s">
        <v>7403</v>
      </c>
      <c r="U1442" s="1" t="s">
        <v>29298</v>
      </c>
      <c r="V1442" s="7" t="str">
        <f>IFERROR(__xludf.DUMMYFUNCTION("GOOGLETRANSLATE(C1442, ""en"", ""ms"")"),"Kunci Omemo yang disahkan dengan sijil!")</f>
        <v>Kunci Omemo yang disahkan dengan sijil!</v>
      </c>
      <c r="W1442" s="1" t="s">
        <v>29299</v>
      </c>
      <c r="X1442" s="7" t="str">
        <f>IFERROR(__xludf.DUMMYFUNCTION("GOOGLETRANSLATE(C1442, ""en"", ""no"")"),"Verifisert OMEMO-nøkkel med sertifikat!")</f>
        <v>Verifisert OMEMO-nøkkel med sertifikat!</v>
      </c>
      <c r="Y1442" s="1" t="s">
        <v>29300</v>
      </c>
      <c r="Z1442" s="1" t="s">
        <v>29301</v>
      </c>
      <c r="AA1442" s="7" t="str">
        <f>IFERROR(__xludf.DUMMYFUNCTION("GOOGLETRANSLATE(C1442, ""en"", ""ro"")"),"Cheie de omemo verificată cu certificat!")</f>
        <v>Cheie de omemo verificată cu certificat!</v>
      </c>
      <c r="AB1442" s="1" t="s">
        <v>29302</v>
      </c>
      <c r="AC1442" s="7" t="str">
        <f>IFERROR(__xludf.DUMMYFUNCTION("GOOGLETRANSLATE(C1442, ""en"", ""sk"")"),"Overený OMEMO kľúč s certifikátom!")</f>
        <v>Overený OMEMO kľúč s certifikátom!</v>
      </c>
      <c r="AD1442" s="6" t="s">
        <v>132</v>
      </c>
      <c r="AE1442" s="1" t="s">
        <v>29303</v>
      </c>
      <c r="AF1442" s="1" t="s">
        <v>29304</v>
      </c>
      <c r="AG1442" s="6" t="s">
        <v>132</v>
      </c>
      <c r="AH1442" s="7" t="str">
        <f>IFERROR(__xludf.DUMMYFUNCTION("GOOGLETRANSLATE(C1442, ""en"", ""tr"")"),"Sertifika ile Doğrulanmış Omemo Anahtar!")</f>
        <v>Sertifika ile Doğrulanmış Omemo Anahtar!</v>
      </c>
      <c r="AI1442" s="6" t="s">
        <v>29305</v>
      </c>
      <c r="AJ1442" s="6" t="s">
        <v>29306</v>
      </c>
      <c r="AK1442" s="7" t="str">
        <f>IFERROR(__xludf.DUMMYFUNCTION("GOOGLETRANSLATE(C1442, ""en"", ""zh"")"),"验证了omemo键与证书！")</f>
        <v>验证了omemo键与证书！</v>
      </c>
      <c r="AL1442" s="6" t="s">
        <v>29307</v>
      </c>
    </row>
    <row r="1443" ht="15.75" customHeight="1">
      <c r="A1443" s="1" t="s">
        <v>127</v>
      </c>
      <c r="B1443" s="1" t="s">
        <v>29308</v>
      </c>
      <c r="C1443" s="1" t="s">
        <v>29309</v>
      </c>
      <c r="D1443" s="8" t="s">
        <v>21683</v>
      </c>
      <c r="E1443" s="1" t="s">
        <v>29310</v>
      </c>
      <c r="F1443" s="6" t="s">
        <v>132</v>
      </c>
      <c r="G1443" s="1" t="s">
        <v>29311</v>
      </c>
      <c r="H1443" s="1" t="s">
        <v>29312</v>
      </c>
      <c r="I1443" s="1" t="s">
        <v>29313</v>
      </c>
      <c r="J1443" s="6" t="s">
        <v>29314</v>
      </c>
      <c r="K1443" s="1" t="s">
        <v>29315</v>
      </c>
      <c r="L1443" s="1" t="s">
        <v>21690</v>
      </c>
      <c r="M1443" s="1" t="s">
        <v>29309</v>
      </c>
      <c r="N1443" s="6" t="s">
        <v>132</v>
      </c>
      <c r="O1443" s="6" t="s">
        <v>29316</v>
      </c>
      <c r="P1443" s="1" t="s">
        <v>29317</v>
      </c>
      <c r="Q1443" s="1" t="s">
        <v>29318</v>
      </c>
      <c r="R1443" s="1" t="s">
        <v>21692</v>
      </c>
      <c r="S1443" s="10" t="s">
        <v>29319</v>
      </c>
      <c r="T1443" s="1" t="s">
        <v>29320</v>
      </c>
      <c r="U1443" s="1" t="s">
        <v>15584</v>
      </c>
      <c r="V1443" s="1" t="s">
        <v>29321</v>
      </c>
      <c r="W1443" s="1" t="s">
        <v>29322</v>
      </c>
      <c r="X1443" s="1" t="s">
        <v>29323</v>
      </c>
      <c r="Y1443" s="1" t="s">
        <v>29324</v>
      </c>
      <c r="Z1443" s="1" t="s">
        <v>29325</v>
      </c>
      <c r="AA1443" s="1" t="s">
        <v>29326</v>
      </c>
      <c r="AB1443" s="1" t="s">
        <v>15591</v>
      </c>
      <c r="AC1443" s="1" t="s">
        <v>29327</v>
      </c>
      <c r="AD1443" s="6" t="s">
        <v>21701</v>
      </c>
      <c r="AE1443" s="1" t="s">
        <v>29328</v>
      </c>
      <c r="AF1443" s="1" t="s">
        <v>29329</v>
      </c>
      <c r="AG1443" s="6" t="s">
        <v>21703</v>
      </c>
      <c r="AH1443" s="1" t="s">
        <v>29330</v>
      </c>
      <c r="AI1443" s="6" t="s">
        <v>132</v>
      </c>
      <c r="AJ1443" s="6" t="s">
        <v>29331</v>
      </c>
      <c r="AK1443" s="1" t="s">
        <v>21706</v>
      </c>
      <c r="AL1443" s="6" t="s">
        <v>29332</v>
      </c>
    </row>
    <row r="1444" ht="15.75" customHeight="1">
      <c r="A1444" s="1" t="s">
        <v>127</v>
      </c>
      <c r="B1444" s="1" t="s">
        <v>29333</v>
      </c>
      <c r="C1444" s="1" t="s">
        <v>29334</v>
      </c>
      <c r="D1444" s="8" t="s">
        <v>29335</v>
      </c>
      <c r="E1444" s="1" t="s">
        <v>29336</v>
      </c>
      <c r="F1444" s="6" t="s">
        <v>132</v>
      </c>
      <c r="G1444" s="1" t="s">
        <v>29337</v>
      </c>
      <c r="H1444" s="1" t="s">
        <v>29338</v>
      </c>
      <c r="I1444" s="1" t="s">
        <v>29339</v>
      </c>
      <c r="J1444" s="6" t="s">
        <v>29340</v>
      </c>
      <c r="K1444" s="1" t="s">
        <v>29339</v>
      </c>
      <c r="L1444" s="1" t="s">
        <v>29341</v>
      </c>
      <c r="M1444" s="1" t="s">
        <v>29334</v>
      </c>
      <c r="N1444" s="6" t="s">
        <v>132</v>
      </c>
      <c r="O1444" s="6" t="s">
        <v>29342</v>
      </c>
      <c r="P1444" s="1" t="s">
        <v>29343</v>
      </c>
      <c r="Q1444" s="1" t="s">
        <v>29344</v>
      </c>
      <c r="R1444" s="1" t="s">
        <v>29334</v>
      </c>
      <c r="S1444" s="10" t="s">
        <v>29345</v>
      </c>
      <c r="T1444" s="1" t="s">
        <v>29346</v>
      </c>
      <c r="U1444" s="1" t="s">
        <v>29347</v>
      </c>
      <c r="V1444" s="1" t="s">
        <v>29344</v>
      </c>
      <c r="W1444" s="1" t="s">
        <v>29334</v>
      </c>
      <c r="X1444" s="1" t="s">
        <v>29348</v>
      </c>
      <c r="Y1444" s="1" t="s">
        <v>29349</v>
      </c>
      <c r="Z1444" s="1" t="s">
        <v>29334</v>
      </c>
      <c r="AA1444" s="1" t="s">
        <v>29348</v>
      </c>
      <c r="AB1444" s="1" t="s">
        <v>29350</v>
      </c>
      <c r="AC1444" s="1" t="s">
        <v>29337</v>
      </c>
      <c r="AD1444" s="6" t="s">
        <v>29351</v>
      </c>
      <c r="AE1444" s="1" t="s">
        <v>29339</v>
      </c>
      <c r="AF1444" s="1" t="s">
        <v>29352</v>
      </c>
      <c r="AG1444" s="6" t="s">
        <v>29353</v>
      </c>
      <c r="AH1444" s="1" t="s">
        <v>29354</v>
      </c>
      <c r="AI1444" s="6" t="s">
        <v>132</v>
      </c>
      <c r="AJ1444" s="6" t="s">
        <v>29355</v>
      </c>
      <c r="AK1444" s="1" t="s">
        <v>29356</v>
      </c>
      <c r="AL1444" s="6" t="s">
        <v>29357</v>
      </c>
    </row>
    <row r="1445" ht="15.75" customHeight="1">
      <c r="A1445" s="1" t="s">
        <v>127</v>
      </c>
      <c r="B1445" s="1" t="s">
        <v>29358</v>
      </c>
      <c r="C1445" s="1" t="s">
        <v>29359</v>
      </c>
      <c r="D1445" s="8" t="s">
        <v>27471</v>
      </c>
      <c r="E1445" s="1" t="s">
        <v>29360</v>
      </c>
      <c r="F1445" s="6" t="s">
        <v>132</v>
      </c>
      <c r="G1445" s="1" t="s">
        <v>29361</v>
      </c>
      <c r="H1445" s="1" t="s">
        <v>29362</v>
      </c>
      <c r="I1445" s="1" t="s">
        <v>29363</v>
      </c>
      <c r="J1445" s="6" t="s">
        <v>29364</v>
      </c>
      <c r="K1445" s="1" t="s">
        <v>29365</v>
      </c>
      <c r="L1445" s="1" t="s">
        <v>29366</v>
      </c>
      <c r="M1445" s="1" t="s">
        <v>29367</v>
      </c>
      <c r="N1445" s="6" t="s">
        <v>132</v>
      </c>
      <c r="O1445" s="6" t="s">
        <v>27480</v>
      </c>
      <c r="P1445" s="1" t="s">
        <v>27481</v>
      </c>
      <c r="Q1445" s="1" t="s">
        <v>29368</v>
      </c>
      <c r="R1445" s="1" t="s">
        <v>29369</v>
      </c>
      <c r="S1445" s="10" t="s">
        <v>27484</v>
      </c>
      <c r="T1445" s="1" t="s">
        <v>29370</v>
      </c>
      <c r="U1445" s="1" t="s">
        <v>27485</v>
      </c>
      <c r="V1445" s="1" t="s">
        <v>29368</v>
      </c>
      <c r="W1445" s="1" t="s">
        <v>29371</v>
      </c>
      <c r="X1445" s="1" t="s">
        <v>29362</v>
      </c>
      <c r="Y1445" s="1" t="s">
        <v>29372</v>
      </c>
      <c r="Z1445" s="1" t="s">
        <v>29373</v>
      </c>
      <c r="AA1445" s="1" t="s">
        <v>29374</v>
      </c>
      <c r="AB1445" s="1" t="s">
        <v>29375</v>
      </c>
      <c r="AC1445" s="1" t="s">
        <v>29376</v>
      </c>
      <c r="AD1445" s="6" t="s">
        <v>29377</v>
      </c>
      <c r="AE1445" s="1" t="s">
        <v>29377</v>
      </c>
      <c r="AF1445" s="1" t="s">
        <v>29378</v>
      </c>
      <c r="AG1445" s="6" t="s">
        <v>27493</v>
      </c>
      <c r="AH1445" s="1" t="s">
        <v>29379</v>
      </c>
      <c r="AI1445" s="6" t="s">
        <v>132</v>
      </c>
      <c r="AJ1445" s="6" t="s">
        <v>29380</v>
      </c>
      <c r="AK1445" s="1" t="s">
        <v>27496</v>
      </c>
      <c r="AL1445" s="6" t="s">
        <v>132</v>
      </c>
    </row>
    <row r="1446" ht="15.75" customHeight="1">
      <c r="A1446" s="1" t="s">
        <v>127</v>
      </c>
      <c r="B1446" s="1" t="s">
        <v>29381</v>
      </c>
      <c r="C1446" s="1" t="s">
        <v>29382</v>
      </c>
      <c r="D1446" s="8" t="s">
        <v>29383</v>
      </c>
      <c r="E1446" s="1" t="s">
        <v>29384</v>
      </c>
      <c r="F1446" s="6" t="s">
        <v>132</v>
      </c>
      <c r="G1446" s="1" t="s">
        <v>29385</v>
      </c>
      <c r="H1446" s="1" t="s">
        <v>29386</v>
      </c>
      <c r="I1446" s="1" t="s">
        <v>29387</v>
      </c>
      <c r="J1446" s="6" t="s">
        <v>29388</v>
      </c>
      <c r="K1446" s="1" t="s">
        <v>29389</v>
      </c>
      <c r="L1446" s="1" t="s">
        <v>29390</v>
      </c>
      <c r="M1446" s="1" t="s">
        <v>29391</v>
      </c>
      <c r="N1446" s="6" t="s">
        <v>132</v>
      </c>
      <c r="O1446" s="6" t="s">
        <v>29392</v>
      </c>
      <c r="P1446" s="1" t="s">
        <v>29393</v>
      </c>
      <c r="Q1446" s="1" t="s">
        <v>29394</v>
      </c>
      <c r="R1446" s="1" t="s">
        <v>29395</v>
      </c>
      <c r="S1446" s="10" t="s">
        <v>29396</v>
      </c>
      <c r="T1446" s="1" t="s">
        <v>29397</v>
      </c>
      <c r="U1446" s="1" t="s">
        <v>29398</v>
      </c>
      <c r="V1446" s="1" t="s">
        <v>29394</v>
      </c>
      <c r="W1446" s="1" t="s">
        <v>29399</v>
      </c>
      <c r="X1446" s="1" t="s">
        <v>29400</v>
      </c>
      <c r="Y1446" s="1" t="s">
        <v>29382</v>
      </c>
      <c r="Z1446" s="1" t="s">
        <v>29401</v>
      </c>
      <c r="AA1446" s="1" t="s">
        <v>29402</v>
      </c>
      <c r="AB1446" s="1" t="s">
        <v>29403</v>
      </c>
      <c r="AC1446" s="1" t="s">
        <v>29404</v>
      </c>
      <c r="AD1446" s="6" t="s">
        <v>29405</v>
      </c>
      <c r="AE1446" s="1" t="s">
        <v>29406</v>
      </c>
      <c r="AF1446" s="1" t="s">
        <v>29407</v>
      </c>
      <c r="AG1446" s="6" t="s">
        <v>29408</v>
      </c>
      <c r="AH1446" s="1" t="s">
        <v>29409</v>
      </c>
      <c r="AI1446" s="6" t="s">
        <v>132</v>
      </c>
      <c r="AJ1446" s="6" t="s">
        <v>29410</v>
      </c>
      <c r="AK1446" s="1" t="s">
        <v>29411</v>
      </c>
      <c r="AL1446" s="6" t="s">
        <v>29412</v>
      </c>
    </row>
    <row r="1447" ht="15.75" hidden="1" customHeight="1">
      <c r="A1447" s="1" t="s">
        <v>38</v>
      </c>
      <c r="B1447" s="1" t="s">
        <v>29413</v>
      </c>
      <c r="C1447" s="1" t="s">
        <v>29414</v>
      </c>
      <c r="D1447" s="7" t="str">
        <f>IFERROR(__xludf.DUMMYFUNCTION("GOOGLETRANSLATE(C1447, ""en"", ""ar"")"),"مشكلة إضافة الاتصال!")</f>
        <v>مشكلة إضافة الاتصال!</v>
      </c>
      <c r="E1447" s="7" t="str">
        <f>IFERROR(__xludf.DUMMYFUNCTION("GOOGLETRANSLATE(C1447, ""en"", ""bg"")"),"Проблем Добавяне на контакт!")</f>
        <v>Проблем Добавяне на контакт!</v>
      </c>
      <c r="F1447" s="6" t="s">
        <v>132</v>
      </c>
      <c r="G1447" s="7" t="str">
        <f>IFERROR(__xludf.DUMMYFUNCTION("GOOGLETRANSLATE(C1447, ""en"", ""cs"")"),"Problém Přidání kontaktu!")</f>
        <v>Problém Přidání kontaktu!</v>
      </c>
      <c r="H1447" s="7" t="str">
        <f>IFERROR(__xludf.DUMMYFUNCTION("GOOGLETRANSLATE(C1447, ""en"", ""da"")"),"Problemer Tilføjelse af kontakt!")</f>
        <v>Problemer Tilføjelse af kontakt!</v>
      </c>
      <c r="I1447" s="1" t="s">
        <v>29415</v>
      </c>
      <c r="J1447" s="6" t="s">
        <v>132</v>
      </c>
      <c r="K1447" s="1" t="s">
        <v>29416</v>
      </c>
      <c r="L1447" s="7" t="str">
        <f>IFERROR(__xludf.DUMMYFUNCTION("GOOGLETRANSLATE(C1447, ""en"", ""fi"")"),"Ongelma Yhteystiedon lisääminen!")</f>
        <v>Ongelma Yhteystiedon lisääminen!</v>
      </c>
      <c r="M1447" s="1" t="s">
        <v>29417</v>
      </c>
      <c r="N1447" s="6" t="s">
        <v>132</v>
      </c>
      <c r="O1447" s="6" t="s">
        <v>132</v>
      </c>
      <c r="P1447" s="1" t="s">
        <v>29418</v>
      </c>
      <c r="Q1447" s="7" t="str">
        <f>IFERROR(__xludf.DUMMYFUNCTION("GOOGLETRANSLATE(C1447, ""en"", ""in"")"),"Masalah Menambahkan Kontak!")</f>
        <v>Masalah Menambahkan Kontak!</v>
      </c>
      <c r="R1447" s="7" t="str">
        <f>IFERROR(__xludf.DUMMYFUNCTION("GOOGLETRANSLATE(C1447, ""en"", ""it"")"),"Problema Aggiunta di contatto!")</f>
        <v>Problema Aggiunta di contatto!</v>
      </c>
      <c r="S1447" s="6" t="s">
        <v>132</v>
      </c>
      <c r="T1447" s="7" t="str">
        <f>IFERROR(__xludf.DUMMYFUNCTION("GOOGLETRANSLATE(C1447, ""en"", ""ja"")"),"問題の追加")</f>
        <v>問題の追加</v>
      </c>
      <c r="U1447" s="7" t="str">
        <f>IFERROR(__xludf.DUMMYFUNCTION("GOOGLETRANSLATE(C1447, ""en"", ""ko"")"),"연락처 추가 문제!")</f>
        <v>연락처 추가 문제!</v>
      </c>
      <c r="V1447" s="7" t="str">
        <f>IFERROR(__xludf.DUMMYFUNCTION("GOOGLETRANSLATE(C1447, ""en"", ""ms"")"),"Masalah Menambah Kenalan!")</f>
        <v>Masalah Menambah Kenalan!</v>
      </c>
      <c r="W1447" s="7" t="str">
        <f>IFERROR(__xludf.DUMMYFUNCTION("GOOGLETRANSLATE(C1447, ""en"", ""nl"")"),"Probleem met contact opnemen!")</f>
        <v>Probleem met contact opnemen!</v>
      </c>
      <c r="X1447" s="7" t="str">
        <f>IFERROR(__xludf.DUMMYFUNCTION("GOOGLETRANSLATE(C1447, ""en"", ""no"")"),"Problem Legge til kontakt!")</f>
        <v>Problem Legge til kontakt!</v>
      </c>
      <c r="Y1447" s="7" t="str">
        <f>IFERROR(__xludf.DUMMYFUNCTION("GOOGLETRANSLATE(C1447, ""en"", ""pl"")"),"Problem z dodaniem kontaktu!")</f>
        <v>Problem z dodaniem kontaktu!</v>
      </c>
      <c r="Z1447" s="7" t="str">
        <f>IFERROR(__xludf.DUMMYFUNCTION("GOOGLETRANSLATE(C1447, ""en"", ""pt"")"),"Problema adicionando contato!")</f>
        <v>Problema adicionando contato!</v>
      </c>
      <c r="AA1447" s="7" t="str">
        <f>IFERROR(__xludf.DUMMYFUNCTION("GOOGLETRANSLATE(C1447, ""en"", ""ro"")"),"Problema Adăugarea contactului!")</f>
        <v>Problema Adăugarea contactului!</v>
      </c>
      <c r="AB1447" s="1" t="s">
        <v>29419</v>
      </c>
      <c r="AC1447" s="7" t="str">
        <f>IFERROR(__xludf.DUMMYFUNCTION("GOOGLETRANSLATE(C1447, ""en"", ""sk"")"),"Problém Pridanie kontaktu!")</f>
        <v>Problém Pridanie kontaktu!</v>
      </c>
      <c r="AD1447" s="6" t="s">
        <v>132</v>
      </c>
      <c r="AE1447" s="1" t="s">
        <v>29420</v>
      </c>
      <c r="AF1447" s="7" t="str">
        <f>IFERROR(__xludf.DUMMYFUNCTION("GOOGLETRANSLATE(C1447, ""en"", ""sv"")"),"Problem med att lägga till kontakt!")</f>
        <v>Problem med att lägga till kontakt!</v>
      </c>
      <c r="AG1447" s="6" t="s">
        <v>132</v>
      </c>
      <c r="AH1447" s="7" t="str">
        <f>IFERROR(__xludf.DUMMYFUNCTION("GOOGLETRANSLATE(C1447, ""en"", ""tr"")"),"Sorun Ekleme Temas!")</f>
        <v>Sorun Ekleme Temas!</v>
      </c>
      <c r="AI1447" s="6" t="s">
        <v>132</v>
      </c>
      <c r="AJ1447" s="6" t="s">
        <v>132</v>
      </c>
      <c r="AK1447" s="7" t="str">
        <f>IFERROR(__xludf.DUMMYFUNCTION("GOOGLETRANSLATE(C1447, ""en"", ""zh"")"),"问题添加联系人！")</f>
        <v>问题添加联系人！</v>
      </c>
      <c r="AL1447" s="6" t="s">
        <v>132</v>
      </c>
    </row>
    <row r="1448" ht="15.75" customHeight="1">
      <c r="A1448" s="1" t="s">
        <v>127</v>
      </c>
      <c r="B1448" s="1" t="s">
        <v>29421</v>
      </c>
      <c r="C1448" s="1" t="s">
        <v>3562</v>
      </c>
      <c r="D1448" s="8" t="s">
        <v>3563</v>
      </c>
      <c r="E1448" s="1" t="s">
        <v>3564</v>
      </c>
      <c r="F1448" s="6" t="s">
        <v>132</v>
      </c>
      <c r="G1448" s="1" t="s">
        <v>3565</v>
      </c>
      <c r="H1448" s="1" t="s">
        <v>3566</v>
      </c>
      <c r="I1448" s="1" t="s">
        <v>3567</v>
      </c>
      <c r="J1448" s="6" t="s">
        <v>29422</v>
      </c>
      <c r="K1448" s="1" t="s">
        <v>3569</v>
      </c>
      <c r="L1448" s="1" t="s">
        <v>3570</v>
      </c>
      <c r="M1448" s="1" t="s">
        <v>29423</v>
      </c>
      <c r="N1448" s="6" t="s">
        <v>132</v>
      </c>
      <c r="O1448" s="6" t="s">
        <v>3572</v>
      </c>
      <c r="P1448" s="1" t="s">
        <v>3573</v>
      </c>
      <c r="Q1448" s="1" t="s">
        <v>3579</v>
      </c>
      <c r="R1448" s="1" t="s">
        <v>3562</v>
      </c>
      <c r="S1448" s="10" t="s">
        <v>29424</v>
      </c>
      <c r="T1448" s="1" t="s">
        <v>3577</v>
      </c>
      <c r="U1448" s="1" t="s">
        <v>3578</v>
      </c>
      <c r="V1448" s="1" t="s">
        <v>3579</v>
      </c>
      <c r="W1448" s="1" t="s">
        <v>29425</v>
      </c>
      <c r="X1448" s="1" t="s">
        <v>3581</v>
      </c>
      <c r="Y1448" s="1" t="s">
        <v>3582</v>
      </c>
      <c r="Z1448" s="1" t="s">
        <v>29426</v>
      </c>
      <c r="AA1448" s="1" t="s">
        <v>3584</v>
      </c>
      <c r="AB1448" s="1" t="s">
        <v>3585</v>
      </c>
      <c r="AC1448" s="1" t="s">
        <v>3586</v>
      </c>
      <c r="AD1448" s="6" t="s">
        <v>3587</v>
      </c>
      <c r="AE1448" s="1" t="s">
        <v>3588</v>
      </c>
      <c r="AF1448" s="1" t="s">
        <v>3589</v>
      </c>
      <c r="AG1448" s="6" t="s">
        <v>3590</v>
      </c>
      <c r="AH1448" s="1" t="s">
        <v>3591</v>
      </c>
      <c r="AI1448" s="6" t="s">
        <v>132</v>
      </c>
      <c r="AJ1448" s="6" t="s">
        <v>3592</v>
      </c>
      <c r="AK1448" s="1" t="s">
        <v>29427</v>
      </c>
      <c r="AL1448" s="6" t="s">
        <v>29428</v>
      </c>
    </row>
    <row r="1449" ht="15.75" hidden="1" customHeight="1">
      <c r="A1449" s="1" t="s">
        <v>38</v>
      </c>
      <c r="B1449" s="1" t="s">
        <v>29429</v>
      </c>
      <c r="C1449" s="1" t="s">
        <v>29430</v>
      </c>
      <c r="D1449" s="7" t="str">
        <f>IFERROR(__xludf.DUMMYFUNCTION("GOOGLETRANSLATE(C1449, ""en"", ""ar"")"),"على افتراضي")</f>
        <v>على افتراضي</v>
      </c>
      <c r="E1449" s="1" t="s">
        <v>29431</v>
      </c>
      <c r="F1449" s="6" t="s">
        <v>29432</v>
      </c>
      <c r="G1449" s="7" t="str">
        <f>IFERROR(__xludf.DUMMYFUNCTION("GOOGLETRANSLATE(C1449, ""en"", ""cs"")"),"Ve výchozím nastavení")</f>
        <v>Ve výchozím nastavení</v>
      </c>
      <c r="H1449" s="7" t="str">
        <f>IFERROR(__xludf.DUMMYFUNCTION("GOOGLETRANSLATE(C1449, ""en"", ""da"")"),"På som standard")</f>
        <v>På som standard</v>
      </c>
      <c r="I1449" s="1" t="s">
        <v>29433</v>
      </c>
      <c r="J1449" s="6" t="s">
        <v>132</v>
      </c>
      <c r="K1449" s="1" t="s">
        <v>29434</v>
      </c>
      <c r="L1449" s="7" t="str">
        <f>IFERROR(__xludf.DUMMYFUNCTION("GOOGLETRANSLATE(C1449, ""en"", ""fi"")"),"Oletuksena")</f>
        <v>Oletuksena</v>
      </c>
      <c r="M1449" s="1" t="s">
        <v>29435</v>
      </c>
      <c r="N1449" s="6" t="s">
        <v>29436</v>
      </c>
      <c r="O1449" s="6" t="s">
        <v>132</v>
      </c>
      <c r="P1449" s="1" t="s">
        <v>29437</v>
      </c>
      <c r="Q1449" s="7" t="str">
        <f>IFERROR(__xludf.DUMMYFUNCTION("GOOGLETRANSLATE(C1449, ""en"", ""in"")"),"Pada secara default")</f>
        <v>Pada secara default</v>
      </c>
      <c r="R1449" s="1" t="s">
        <v>29438</v>
      </c>
      <c r="S1449" s="6" t="s">
        <v>132</v>
      </c>
      <c r="T1449" s="1" t="s">
        <v>29439</v>
      </c>
      <c r="U1449" s="7" t="str">
        <f>IFERROR(__xludf.DUMMYFUNCTION("GOOGLETRANSLATE(C1449, ""en"", ""ko"")"),"기본적으로")</f>
        <v>기본적으로</v>
      </c>
      <c r="V1449" s="7" t="str">
        <f>IFERROR(__xludf.DUMMYFUNCTION("GOOGLETRANSLATE(C1449, ""en"", ""ms"")"),"Dihidupkan secara lalai.")</f>
        <v>Dihidupkan secara lalai.</v>
      </c>
      <c r="W1449" s="1" t="s">
        <v>29440</v>
      </c>
      <c r="X1449" s="7" t="str">
        <f>IFERROR(__xludf.DUMMYFUNCTION("GOOGLETRANSLATE(C1449, ""en"", ""no"")"),"På som standard")</f>
        <v>På som standard</v>
      </c>
      <c r="Y1449" s="1" t="s">
        <v>29441</v>
      </c>
      <c r="Z1449" s="7" t="str">
        <f>IFERROR(__xludf.DUMMYFUNCTION("GOOGLETRANSLATE(C1449, ""en"", ""pt"")"),"Por padrão")</f>
        <v>Por padrão</v>
      </c>
      <c r="AA1449" s="7" t="str">
        <f>IFERROR(__xludf.DUMMYFUNCTION("GOOGLETRANSLATE(C1449, ""en"", ""ro"")"),"Pe implicit")</f>
        <v>Pe implicit</v>
      </c>
      <c r="AB1449" s="7" t="str">
        <f>IFERROR(__xludf.DUMMYFUNCTION("GOOGLETRANSLATE(C1449, ""en"", ""ru"")"),"По умолчанию")</f>
        <v>По умолчанию</v>
      </c>
      <c r="AC1449" s="7" t="str">
        <f>IFERROR(__xludf.DUMMYFUNCTION("GOOGLETRANSLATE(C1449, ""en"", ""sk"")"),"Štandardne")</f>
        <v>Štandardne</v>
      </c>
      <c r="AD1449" s="6" t="s">
        <v>132</v>
      </c>
      <c r="AE1449" s="1" t="s">
        <v>29442</v>
      </c>
      <c r="AF1449" s="7" t="str">
        <f>IFERROR(__xludf.DUMMYFUNCTION("GOOGLETRANSLATE(C1449, ""en"", ""sv"")"),"På som standard")</f>
        <v>På som standard</v>
      </c>
      <c r="AG1449" s="6" t="s">
        <v>132</v>
      </c>
      <c r="AH1449" s="7" t="str">
        <f>IFERROR(__xludf.DUMMYFUNCTION("GOOGLETRANSLATE(C1449, ""en"", ""tr"")"),"Varsayılan olarak")</f>
        <v>Varsayılan olarak</v>
      </c>
      <c r="AI1449" s="6" t="s">
        <v>132</v>
      </c>
      <c r="AJ1449" s="6" t="s">
        <v>132</v>
      </c>
      <c r="AK1449" s="7" t="str">
        <f>IFERROR(__xludf.DUMMYFUNCTION("GOOGLETRANSLATE(C1449, ""en"", ""zh"")"),"默认情况下")</f>
        <v>默认情况下</v>
      </c>
      <c r="AL1449" s="6" t="s">
        <v>29443</v>
      </c>
    </row>
    <row r="1450" ht="15.75" customHeight="1">
      <c r="A1450" s="1" t="s">
        <v>4051</v>
      </c>
      <c r="B1450" s="1" t="s">
        <v>29444</v>
      </c>
      <c r="C1450" s="1" t="s">
        <v>29445</v>
      </c>
      <c r="D1450" s="8" t="s">
        <v>11817</v>
      </c>
      <c r="E1450" s="1" t="s">
        <v>29446</v>
      </c>
      <c r="F1450" s="6" t="s">
        <v>132</v>
      </c>
      <c r="G1450" s="1" t="s">
        <v>29447</v>
      </c>
      <c r="H1450" s="1" t="s">
        <v>29448</v>
      </c>
      <c r="I1450" s="7" t="str">
        <f>IFERROR(__xludf.DUMMYFUNCTION("GOOGLETRANSLATE(C1450, ""en"", ""de"")"),"E-Mail-Format ist nicht gültig.")</f>
        <v>E-Mail-Format ist nicht gültig.</v>
      </c>
      <c r="J1450" s="6" t="s">
        <v>29449</v>
      </c>
      <c r="K1450" s="1" t="s">
        <v>29450</v>
      </c>
      <c r="L1450" s="1" t="s">
        <v>29451</v>
      </c>
      <c r="M1450" s="13" t="s">
        <v>29452</v>
      </c>
      <c r="N1450" s="6" t="s">
        <v>132</v>
      </c>
      <c r="O1450" s="6" t="s">
        <v>29453</v>
      </c>
      <c r="P1450" s="1" t="s">
        <v>29454</v>
      </c>
      <c r="Q1450" s="1" t="s">
        <v>29455</v>
      </c>
      <c r="R1450" s="13" t="s">
        <v>29456</v>
      </c>
      <c r="S1450" s="10" t="s">
        <v>29457</v>
      </c>
      <c r="T1450" s="1" t="s">
        <v>29458</v>
      </c>
      <c r="U1450" s="1" t="s">
        <v>29459</v>
      </c>
      <c r="V1450" s="1" t="s">
        <v>29460</v>
      </c>
      <c r="W1450" s="1" t="s">
        <v>29461</v>
      </c>
      <c r="X1450" s="1" t="s">
        <v>29462</v>
      </c>
      <c r="Y1450" s="11" t="s">
        <v>29463</v>
      </c>
      <c r="Z1450" s="1" t="s">
        <v>29464</v>
      </c>
      <c r="AA1450" s="1" t="s">
        <v>29465</v>
      </c>
      <c r="AB1450" s="1" t="s">
        <v>29466</v>
      </c>
      <c r="AC1450" s="1" t="s">
        <v>29467</v>
      </c>
      <c r="AD1450" s="6" t="s">
        <v>29468</v>
      </c>
      <c r="AE1450" s="7" t="str">
        <f>IFERROR(__xludf.DUMMYFUNCTION("GOOGLETRANSLATE(C1450, ""en"", ""sr"")"),"Формат е-поште није валидан.")</f>
        <v>Формат е-поште није валидан.</v>
      </c>
      <c r="AF1450" s="1" t="s">
        <v>29469</v>
      </c>
      <c r="AG1450" s="6" t="s">
        <v>29470</v>
      </c>
      <c r="AH1450" s="1" t="s">
        <v>29471</v>
      </c>
      <c r="AI1450" s="6" t="s">
        <v>132</v>
      </c>
      <c r="AJ1450" s="6" t="s">
        <v>29472</v>
      </c>
      <c r="AK1450" s="14" t="s">
        <v>29473</v>
      </c>
      <c r="AL1450" s="6" t="s">
        <v>132</v>
      </c>
    </row>
    <row r="1451" ht="15.75" hidden="1" customHeight="1">
      <c r="A1451" s="1" t="s">
        <v>38</v>
      </c>
      <c r="B1451" s="1" t="s">
        <v>29474</v>
      </c>
      <c r="C1451" s="1" t="s">
        <v>29475</v>
      </c>
      <c r="D1451" s="8" t="s">
        <v>29476</v>
      </c>
      <c r="E1451" s="1" t="s">
        <v>29477</v>
      </c>
      <c r="F1451" s="6" t="s">
        <v>29478</v>
      </c>
      <c r="G1451" s="7" t="str">
        <f>IFERROR(__xludf.DUMMYFUNCTION("GOOGLETRANSLATE(C1451, ""en"", ""cs"")"),"Soukromé zprávy jsou zakázány")</f>
        <v>Soukromé zprávy jsou zakázány</v>
      </c>
      <c r="H1451" s="7" t="str">
        <f>IFERROR(__xludf.DUMMYFUNCTION("GOOGLETRANSLATE(C1451, ""en"", ""da"")"),"Private beskeder er deaktiveret")</f>
        <v>Private beskeder er deaktiveret</v>
      </c>
      <c r="I1451" s="1" t="s">
        <v>29479</v>
      </c>
      <c r="J1451" s="6" t="s">
        <v>132</v>
      </c>
      <c r="K1451" s="1" t="s">
        <v>29480</v>
      </c>
      <c r="L1451" s="7" t="str">
        <f>IFERROR(__xludf.DUMMYFUNCTION("GOOGLETRANSLATE(C1451, ""en"", ""fi"")"),"Yksityiset viestit on poistettu käytöstä")</f>
        <v>Yksityiset viestit on poistettu käytöstä</v>
      </c>
      <c r="M1451" s="1" t="s">
        <v>29481</v>
      </c>
      <c r="N1451" s="6" t="s">
        <v>29482</v>
      </c>
      <c r="O1451" s="6" t="s">
        <v>132</v>
      </c>
      <c r="P1451" s="1" t="s">
        <v>29483</v>
      </c>
      <c r="Q1451" s="7" t="str">
        <f>IFERROR(__xludf.DUMMYFUNCTION("GOOGLETRANSLATE(C1451, ""en"", ""in"")"),"Pesan pribadi dinonaktifkan")</f>
        <v>Pesan pribadi dinonaktifkan</v>
      </c>
      <c r="R1451" s="1" t="s">
        <v>29484</v>
      </c>
      <c r="S1451" s="6" t="s">
        <v>132</v>
      </c>
      <c r="T1451" s="7" t="str">
        <f>IFERROR(__xludf.DUMMYFUNCTION("GOOGLETRANSLATE(C1451, ""en"", ""ja"")"),"プライベートメッセージは無効です")</f>
        <v>プライベートメッセージは無効です</v>
      </c>
      <c r="U1451" s="7" t="str">
        <f>IFERROR(__xludf.DUMMYFUNCTION("GOOGLETRANSLATE(C1451, ""en"", ""ko"")"),"비공개 메시지가 비활성화됩니다")</f>
        <v>비공개 메시지가 비활성화됩니다</v>
      </c>
      <c r="V1451" s="7" t="str">
        <f>IFERROR(__xludf.DUMMYFUNCTION("GOOGLETRANSLATE(C1451, ""en"", ""ms"")"),"Mesej peribadi dinyahdayakan")</f>
        <v>Mesej peribadi dinyahdayakan</v>
      </c>
      <c r="W1451" s="1" t="s">
        <v>29485</v>
      </c>
      <c r="X1451" s="7" t="str">
        <f>IFERROR(__xludf.DUMMYFUNCTION("GOOGLETRANSLATE(C1451, ""en"", ""no"")"),"Private meldinger er deaktivert")</f>
        <v>Private meldinger er deaktivert</v>
      </c>
      <c r="Y1451" s="1" t="s">
        <v>29486</v>
      </c>
      <c r="Z1451" s="7" t="str">
        <f>IFERROR(__xludf.DUMMYFUNCTION("GOOGLETRANSLATE(C1451, ""en"", ""pt"")"),"Mensagens privadas estão desativadas")</f>
        <v>Mensagens privadas estão desativadas</v>
      </c>
      <c r="AA1451" s="7" t="str">
        <f>IFERROR(__xludf.DUMMYFUNCTION("GOOGLETRANSLATE(C1451, ""en"", ""ro"")"),"Mesajele private sunt dezactivate")</f>
        <v>Mesajele private sunt dezactivate</v>
      </c>
      <c r="AB1451" s="7" t="str">
        <f>IFERROR(__xludf.DUMMYFUNCTION("GOOGLETRANSLATE(C1451, ""en"", ""ru"")"),"Частные сообщения отключены")</f>
        <v>Частные сообщения отключены</v>
      </c>
      <c r="AC1451" s="7" t="str">
        <f>IFERROR(__xludf.DUMMYFUNCTION("GOOGLETRANSLATE(C1451, ""en"", ""sk"")"),"Súkromné ​​správy sú zakázané")</f>
        <v>Súkromné ​​správy sú zakázané</v>
      </c>
      <c r="AD1451" s="6" t="s">
        <v>132</v>
      </c>
      <c r="AE1451" s="7" t="str">
        <f>IFERROR(__xludf.DUMMYFUNCTION("GOOGLETRANSLATE(C1451, ""en"", ""sr"")"),"Приватне поруке су онемогућене")</f>
        <v>Приватне поруке су онемогућене</v>
      </c>
      <c r="AF1451" s="7" t="str">
        <f>IFERROR(__xludf.DUMMYFUNCTION("GOOGLETRANSLATE(C1451, ""en"", ""sv"")"),"Privata meddelanden är inaktiverade")</f>
        <v>Privata meddelanden är inaktiverade</v>
      </c>
      <c r="AG1451" s="6" t="s">
        <v>132</v>
      </c>
      <c r="AH1451" s="7" t="str">
        <f>IFERROR(__xludf.DUMMYFUNCTION("GOOGLETRANSLATE(C1451, ""en"", ""tr"")"),"Özel mesajlar devre dışı")</f>
        <v>Özel mesajlar devre dışı</v>
      </c>
      <c r="AI1451" s="6" t="s">
        <v>132</v>
      </c>
      <c r="AJ1451" s="6" t="s">
        <v>132</v>
      </c>
      <c r="AK1451" s="7" t="str">
        <f>IFERROR(__xludf.DUMMYFUNCTION("GOOGLETRANSLATE(C1451, ""en"", ""zh"")"),"禁用私信")</f>
        <v>禁用私信</v>
      </c>
      <c r="AL1451" s="6" t="s">
        <v>132</v>
      </c>
    </row>
    <row r="1452" ht="15.75" hidden="1" customHeight="1">
      <c r="A1452" s="1" t="s">
        <v>38</v>
      </c>
      <c r="B1452" s="1" t="s">
        <v>29487</v>
      </c>
      <c r="C1452" s="1" t="s">
        <v>29488</v>
      </c>
      <c r="D1452" s="7" t="str">
        <f>IFERROR(__xludf.DUMMYFUNCTION("GOOGLETRANSLATE(C1452, ""en"", ""ar"")"),"النمسا")</f>
        <v>النمسا</v>
      </c>
      <c r="E1452" s="7" t="str">
        <f>IFERROR(__xludf.DUMMYFUNCTION("GOOGLETRANSLATE(C1452, ""en"", ""bg"")"),"Австрия")</f>
        <v>Австрия</v>
      </c>
      <c r="F1452" s="6" t="s">
        <v>132</v>
      </c>
      <c r="G1452" s="7" t="str">
        <f>IFERROR(__xludf.DUMMYFUNCTION("GOOGLETRANSLATE(C1452, ""en"", ""cs"")"),"Rakousko")</f>
        <v>Rakousko</v>
      </c>
      <c r="H1452" s="7" t="str">
        <f>IFERROR(__xludf.DUMMYFUNCTION("GOOGLETRANSLATE(C1452, ""en"", ""da"")"),"Østrig.")</f>
        <v>Østrig.</v>
      </c>
      <c r="I1452" s="1" t="s">
        <v>29489</v>
      </c>
      <c r="J1452" s="6" t="s">
        <v>132</v>
      </c>
      <c r="K1452" s="1" t="s">
        <v>29488</v>
      </c>
      <c r="L1452" s="7" t="str">
        <f>IFERROR(__xludf.DUMMYFUNCTION("GOOGLETRANSLATE(C1452, ""en"", ""fi"")"),"Itävalta")</f>
        <v>Itävalta</v>
      </c>
      <c r="M1452" s="1" t="s">
        <v>29490</v>
      </c>
      <c r="N1452" s="6" t="s">
        <v>132</v>
      </c>
      <c r="O1452" s="6" t="s">
        <v>132</v>
      </c>
      <c r="P1452" s="1" t="s">
        <v>29488</v>
      </c>
      <c r="Q1452" s="7" t="str">
        <f>IFERROR(__xludf.DUMMYFUNCTION("GOOGLETRANSLATE(C1452, ""en"", ""in"")"),"Austria")</f>
        <v>Austria</v>
      </c>
      <c r="R1452" s="7" t="str">
        <f>IFERROR(__xludf.DUMMYFUNCTION("GOOGLETRANSLATE(C1452, ""en"", ""it"")"),"Austria")</f>
        <v>Austria</v>
      </c>
      <c r="S1452" s="6" t="s">
        <v>132</v>
      </c>
      <c r="T1452" s="7" t="str">
        <f>IFERROR(__xludf.DUMMYFUNCTION("GOOGLETRANSLATE(C1452, ""en"", ""ja"")"),"オーストリア")</f>
        <v>オーストリア</v>
      </c>
      <c r="U1452" s="7" t="str">
        <f>IFERROR(__xludf.DUMMYFUNCTION("GOOGLETRANSLATE(C1452, ""en"", ""ko"")"),"오스트리아")</f>
        <v>오스트리아</v>
      </c>
      <c r="V1452" s="7" t="str">
        <f>IFERROR(__xludf.DUMMYFUNCTION("GOOGLETRANSLATE(C1452, ""en"", ""ms"")"),"Austria")</f>
        <v>Austria</v>
      </c>
      <c r="W1452" s="7" t="str">
        <f>IFERROR(__xludf.DUMMYFUNCTION("GOOGLETRANSLATE(C1452, ""en"", ""nl"")"),"Oostenrijk")</f>
        <v>Oostenrijk</v>
      </c>
      <c r="X1452" s="7" t="str">
        <f>IFERROR(__xludf.DUMMYFUNCTION("GOOGLETRANSLATE(C1452, ""en"", ""no"")"),"Østerrike")</f>
        <v>Østerrike</v>
      </c>
      <c r="Y1452" s="7" t="str">
        <f>IFERROR(__xludf.DUMMYFUNCTION("GOOGLETRANSLATE(C1452, ""en"", ""pl"")"),"Austria")</f>
        <v>Austria</v>
      </c>
      <c r="Z1452" s="7" t="str">
        <f>IFERROR(__xludf.DUMMYFUNCTION("GOOGLETRANSLATE(C1452, ""en"", ""pt"")"),"Áustria")</f>
        <v>Áustria</v>
      </c>
      <c r="AA1452" s="7" t="str">
        <f>IFERROR(__xludf.DUMMYFUNCTION("GOOGLETRANSLATE(C1452, ""en"", ""ro"")"),"Austria")</f>
        <v>Austria</v>
      </c>
      <c r="AB1452" s="1" t="s">
        <v>29491</v>
      </c>
      <c r="AC1452" s="7" t="str">
        <f>IFERROR(__xludf.DUMMYFUNCTION("GOOGLETRANSLATE(C1452, ""en"", ""sk"")"),"Rakúsko")</f>
        <v>Rakúsko</v>
      </c>
      <c r="AD1452" s="6" t="s">
        <v>132</v>
      </c>
      <c r="AE1452" s="1" t="s">
        <v>29492</v>
      </c>
      <c r="AF1452" s="7" t="str">
        <f>IFERROR(__xludf.DUMMYFUNCTION("GOOGLETRANSLATE(C1452, ""en"", ""sv"")"),"Österrike")</f>
        <v>Österrike</v>
      </c>
      <c r="AG1452" s="6" t="s">
        <v>132</v>
      </c>
      <c r="AH1452" s="7" t="str">
        <f>IFERROR(__xludf.DUMMYFUNCTION("GOOGLETRANSLATE(C1452, ""en"", ""tr"")"),"Avusturya")</f>
        <v>Avusturya</v>
      </c>
      <c r="AI1452" s="6" t="s">
        <v>132</v>
      </c>
      <c r="AJ1452" s="6" t="s">
        <v>132</v>
      </c>
      <c r="AK1452" s="7" t="str">
        <f>IFERROR(__xludf.DUMMYFUNCTION("GOOGLETRANSLATE(C1452, ""en"", ""zh"")"),"奥地利")</f>
        <v>奥地利</v>
      </c>
      <c r="AL1452" s="6" t="s">
        <v>132</v>
      </c>
    </row>
    <row r="1453" ht="15.75" hidden="1" customHeight="1">
      <c r="A1453" s="1" t="s">
        <v>38</v>
      </c>
      <c r="B1453" s="1" t="s">
        <v>29493</v>
      </c>
      <c r="C1453" s="1" t="s">
        <v>29494</v>
      </c>
      <c r="D1453" s="7" t="str">
        <f>IFERROR(__xludf.DUMMYFUNCTION("GOOGLETRANSLATE(C1453, ""en"", ""ar"")"),"مشاركة الموقع")</f>
        <v>مشاركة الموقع</v>
      </c>
      <c r="E1453" s="1" t="s">
        <v>29495</v>
      </c>
      <c r="F1453" s="6" t="s">
        <v>29496</v>
      </c>
      <c r="G1453" s="7" t="str">
        <f>IFERROR(__xludf.DUMMYFUNCTION("GOOGLETRANSLATE(C1453, ""en"", ""cs"")"),"Sdílení umístění")</f>
        <v>Sdílení umístění</v>
      </c>
      <c r="H1453" s="7" t="str">
        <f>IFERROR(__xludf.DUMMYFUNCTION("GOOGLETRANSLATE(C1453, ""en"", ""da"")"),"Del placering")</f>
        <v>Del placering</v>
      </c>
      <c r="I1453" s="1" t="s">
        <v>29497</v>
      </c>
      <c r="J1453" s="6" t="s">
        <v>132</v>
      </c>
      <c r="K1453" s="1" t="s">
        <v>29498</v>
      </c>
      <c r="L1453" s="7" t="str">
        <f>IFERROR(__xludf.DUMMYFUNCTION("GOOGLETRANSLATE(C1453, ""en"", ""fi"")"),"Jaa sijainti")</f>
        <v>Jaa sijainti</v>
      </c>
      <c r="M1453" s="1" t="s">
        <v>29499</v>
      </c>
      <c r="N1453" s="6" t="s">
        <v>29500</v>
      </c>
      <c r="O1453" s="6" t="s">
        <v>132</v>
      </c>
      <c r="P1453" s="1" t="s">
        <v>29501</v>
      </c>
      <c r="Q1453" s="7" t="str">
        <f>IFERROR(__xludf.DUMMYFUNCTION("GOOGLETRANSLATE(C1453, ""en"", ""in"")"),"Berbagi lokasi")</f>
        <v>Berbagi lokasi</v>
      </c>
      <c r="R1453" s="1" t="s">
        <v>29502</v>
      </c>
      <c r="S1453" s="6" t="s">
        <v>132</v>
      </c>
      <c r="T1453" s="7" t="str">
        <f>IFERROR(__xludf.DUMMYFUNCTION("GOOGLETRANSLATE(C1453, ""en"", ""ja"")"),"場所を共有")</f>
        <v>場所を共有</v>
      </c>
      <c r="U1453" s="7" t="str">
        <f>IFERROR(__xludf.DUMMYFUNCTION("GOOGLETRANSLATE(C1453, ""en"", ""ko"")"),"위치 공유")</f>
        <v>위치 공유</v>
      </c>
      <c r="V1453" s="7" t="str">
        <f>IFERROR(__xludf.DUMMYFUNCTION("GOOGLETRANSLATE(C1453, ""en"", ""ms"")"),"Kongsi lokasi")</f>
        <v>Kongsi lokasi</v>
      </c>
      <c r="W1453" s="1" t="s">
        <v>29503</v>
      </c>
      <c r="X1453" s="7" t="str">
        <f>IFERROR(__xludf.DUMMYFUNCTION("GOOGLETRANSLATE(C1453, ""en"", ""no"")"),"Del lokasjon")</f>
        <v>Del lokasjon</v>
      </c>
      <c r="Y1453" s="1" t="s">
        <v>29504</v>
      </c>
      <c r="Z1453" s="7" t="str">
        <f>IFERROR(__xludf.DUMMYFUNCTION("GOOGLETRANSLATE(C1453, ""en"", ""pt"")"),"Compartilhar localização")</f>
        <v>Compartilhar localização</v>
      </c>
      <c r="AA1453" s="7" t="str">
        <f>IFERROR(__xludf.DUMMYFUNCTION("GOOGLETRANSLATE(C1453, ""en"", ""ro"")"),"Distribuie locatia")</f>
        <v>Distribuie locatia</v>
      </c>
      <c r="AB1453" s="1" t="s">
        <v>29505</v>
      </c>
      <c r="AC1453" s="7" t="str">
        <f>IFERROR(__xludf.DUMMYFUNCTION("GOOGLETRANSLATE(C1453, ""en"", ""sk"")"),"Umiestnenie zdieľania")</f>
        <v>Umiestnenie zdieľania</v>
      </c>
      <c r="AD1453" s="6" t="s">
        <v>132</v>
      </c>
      <c r="AE1453" s="1" t="s">
        <v>29506</v>
      </c>
      <c r="AF1453" s="7" t="str">
        <f>IFERROR(__xludf.DUMMYFUNCTION("GOOGLETRANSLATE(C1453, ""en"", ""sv"")"),"Dela plats")</f>
        <v>Dela plats</v>
      </c>
      <c r="AG1453" s="6" t="s">
        <v>132</v>
      </c>
      <c r="AH1453" s="7" t="str">
        <f>IFERROR(__xludf.DUMMYFUNCTION("GOOGLETRANSLATE(C1453, ""en"", ""tr"")"),"Konumu paylaş")</f>
        <v>Konumu paylaş</v>
      </c>
      <c r="AI1453" s="6" t="s">
        <v>132</v>
      </c>
      <c r="AJ1453" s="6" t="s">
        <v>132</v>
      </c>
      <c r="AK1453" s="7" t="str">
        <f>IFERROR(__xludf.DUMMYFUNCTION("GOOGLETRANSLATE(C1453, ""en"", ""zh"")"),"定位共享")</f>
        <v>定位共享</v>
      </c>
      <c r="AL1453" s="6" t="s">
        <v>132</v>
      </c>
    </row>
    <row r="1454" ht="15.75" customHeight="1">
      <c r="A1454" s="1" t="s">
        <v>127</v>
      </c>
      <c r="B1454" s="1" t="s">
        <v>29507</v>
      </c>
      <c r="C1454" s="1" t="s">
        <v>29508</v>
      </c>
      <c r="D1454" s="8" t="s">
        <v>29509</v>
      </c>
      <c r="E1454" s="1" t="s">
        <v>29510</v>
      </c>
      <c r="F1454" s="6" t="s">
        <v>132</v>
      </c>
      <c r="G1454" s="1" t="s">
        <v>29511</v>
      </c>
      <c r="H1454" s="1" t="s">
        <v>29512</v>
      </c>
      <c r="I1454" s="1" t="s">
        <v>29513</v>
      </c>
      <c r="J1454" s="6" t="s">
        <v>29514</v>
      </c>
      <c r="K1454" s="1" t="s">
        <v>29515</v>
      </c>
      <c r="L1454" s="1" t="s">
        <v>29516</v>
      </c>
      <c r="M1454" s="1" t="s">
        <v>29517</v>
      </c>
      <c r="N1454" s="6" t="s">
        <v>132</v>
      </c>
      <c r="O1454" s="6" t="s">
        <v>29518</v>
      </c>
      <c r="P1454" s="1" t="s">
        <v>29519</v>
      </c>
      <c r="Q1454" s="1" t="s">
        <v>29520</v>
      </c>
      <c r="R1454" s="1" t="s">
        <v>29521</v>
      </c>
      <c r="S1454" s="10" t="s">
        <v>29522</v>
      </c>
      <c r="T1454" s="1" t="s">
        <v>29523</v>
      </c>
      <c r="U1454" s="1" t="s">
        <v>29524</v>
      </c>
      <c r="V1454" s="1" t="s">
        <v>29520</v>
      </c>
      <c r="W1454" s="1" t="s">
        <v>29525</v>
      </c>
      <c r="X1454" s="1" t="s">
        <v>29526</v>
      </c>
      <c r="Y1454" s="1" t="s">
        <v>29527</v>
      </c>
      <c r="Z1454" s="1" t="s">
        <v>29528</v>
      </c>
      <c r="AA1454" s="1" t="s">
        <v>29529</v>
      </c>
      <c r="AB1454" s="1" t="s">
        <v>29530</v>
      </c>
      <c r="AC1454" s="1" t="s">
        <v>29531</v>
      </c>
      <c r="AD1454" s="6" t="s">
        <v>29532</v>
      </c>
      <c r="AE1454" s="1" t="s">
        <v>29533</v>
      </c>
      <c r="AF1454" s="1" t="s">
        <v>29534</v>
      </c>
      <c r="AG1454" s="6" t="s">
        <v>29535</v>
      </c>
      <c r="AH1454" s="1" t="s">
        <v>29536</v>
      </c>
      <c r="AI1454" s="6" t="s">
        <v>132</v>
      </c>
      <c r="AJ1454" s="6" t="s">
        <v>29537</v>
      </c>
      <c r="AK1454" s="1" t="s">
        <v>29523</v>
      </c>
      <c r="AL1454" s="6" t="s">
        <v>132</v>
      </c>
    </row>
    <row r="1455" ht="15.75" hidden="1" customHeight="1">
      <c r="A1455" s="1" t="s">
        <v>38</v>
      </c>
      <c r="B1455" s="1" t="s">
        <v>29538</v>
      </c>
      <c r="C1455" s="1" t="s">
        <v>29539</v>
      </c>
      <c r="D1455" s="8" t="s">
        <v>29540</v>
      </c>
      <c r="E1455" s="1" t="s">
        <v>29541</v>
      </c>
      <c r="F1455" s="6" t="s">
        <v>29542</v>
      </c>
      <c r="G1455" s="7" t="str">
        <f>IFERROR(__xludf.DUMMYFUNCTION("GOOGLETRANSLATE(C1455, ""en"", ""cs"")"),"Nedůvěryhodné zařízení")</f>
        <v>Nedůvěryhodné zařízení</v>
      </c>
      <c r="H1455" s="7" t="str">
        <f>IFERROR(__xludf.DUMMYFUNCTION("GOOGLETRANSLATE(C1455, ""en"", ""da"")"),"Mistillidsenhed")</f>
        <v>Mistillidsenhed</v>
      </c>
      <c r="I1455" s="1" t="s">
        <v>29543</v>
      </c>
      <c r="J1455" s="6" t="s">
        <v>132</v>
      </c>
      <c r="K1455" s="1" t="s">
        <v>29544</v>
      </c>
      <c r="L1455" s="7" t="str">
        <f>IFERROR(__xludf.DUMMYFUNCTION("GOOGLETRANSLATE(C1455, ""en"", ""fi"")"),"Epäluottamuslaite")</f>
        <v>Epäluottamuslaite</v>
      </c>
      <c r="M1455" s="1" t="s">
        <v>29545</v>
      </c>
      <c r="N1455" s="6" t="s">
        <v>29546</v>
      </c>
      <c r="O1455" s="6" t="s">
        <v>132</v>
      </c>
      <c r="P1455" s="1" t="s">
        <v>29547</v>
      </c>
      <c r="Q1455" s="7" t="str">
        <f>IFERROR(__xludf.DUMMYFUNCTION("GOOGLETRANSLATE(C1455, ""en"", ""in"")"),"Perangkat ketidakpercayaan")</f>
        <v>Perangkat ketidakpercayaan</v>
      </c>
      <c r="R1455" s="1" t="s">
        <v>29548</v>
      </c>
      <c r="S1455" s="6" t="s">
        <v>132</v>
      </c>
      <c r="T1455" s="1" t="s">
        <v>29549</v>
      </c>
      <c r="U1455" s="7" t="str">
        <f>IFERROR(__xludf.DUMMYFUNCTION("GOOGLETRANSLATE(C1455, ""en"", ""ko"")"),"불신 장치")</f>
        <v>불신 장치</v>
      </c>
      <c r="V1455" s="7" t="str">
        <f>IFERROR(__xludf.DUMMYFUNCTION("GOOGLETRANSLATE(C1455, ""en"", ""ms"")"),"Peranti tidak percaya")</f>
        <v>Peranti tidak percaya</v>
      </c>
      <c r="W1455" s="1" t="s">
        <v>29550</v>
      </c>
      <c r="X1455" s="7" t="str">
        <f>IFERROR(__xludf.DUMMYFUNCTION("GOOGLETRANSLATE(C1455, ""en"", ""no"")"),"Mistillit enheten")</f>
        <v>Mistillit enheten</v>
      </c>
      <c r="Y1455" s="1" t="s">
        <v>29551</v>
      </c>
      <c r="Z1455" s="7" t="str">
        <f>IFERROR(__xludf.DUMMYFUNCTION("GOOGLETRANSLATE(C1455, ""en"", ""pt"")"),"Dispositivo de desconfiança")</f>
        <v>Dispositivo de desconfiança</v>
      </c>
      <c r="AA1455" s="7" t="str">
        <f>IFERROR(__xludf.DUMMYFUNCTION("GOOGLETRANSLATE(C1455, ""en"", ""ro"")"),"Dispozitiv de neîncredere")</f>
        <v>Dispozitiv de neîncredere</v>
      </c>
      <c r="AB1455" s="1" t="s">
        <v>29552</v>
      </c>
      <c r="AC1455" s="7" t="str">
        <f>IFERROR(__xludf.DUMMYFUNCTION("GOOGLETRANSLATE(C1455, ""en"", ""sk"")"),"Nedisk")</f>
        <v>Nedisk</v>
      </c>
      <c r="AD1455" s="6" t="s">
        <v>132</v>
      </c>
      <c r="AE1455" s="7" t="str">
        <f>IFERROR(__xludf.DUMMYFUNCTION("GOOGLETRANSLATE(C1455, ""en"", ""sr"")"),"Неповерење")</f>
        <v>Неповерење</v>
      </c>
      <c r="AF1455" s="1" t="s">
        <v>29553</v>
      </c>
      <c r="AG1455" s="6" t="s">
        <v>132</v>
      </c>
      <c r="AH1455" s="7" t="str">
        <f>IFERROR(__xludf.DUMMYFUNCTION("GOOGLETRANSLATE(C1455, ""en"", ""tr"")"),"Güvensizlik")</f>
        <v>Güvensizlik</v>
      </c>
      <c r="AI1455" s="6" t="s">
        <v>29554</v>
      </c>
      <c r="AJ1455" s="6" t="s">
        <v>132</v>
      </c>
      <c r="AK1455" s="7" t="str">
        <f>IFERROR(__xludf.DUMMYFUNCTION("GOOGLETRANSLATE(C1455, ""en"", ""zh"")"),"不信任装置")</f>
        <v>不信任装置</v>
      </c>
      <c r="AL1455" s="6" t="s">
        <v>29555</v>
      </c>
    </row>
    <row r="1456" ht="15.75" customHeight="1">
      <c r="A1456" s="1" t="s">
        <v>127</v>
      </c>
      <c r="B1456" s="1" t="s">
        <v>29556</v>
      </c>
      <c r="C1456" s="1" t="s">
        <v>107</v>
      </c>
      <c r="D1456" s="8" t="s">
        <v>29557</v>
      </c>
      <c r="E1456" s="1" t="s">
        <v>109</v>
      </c>
      <c r="F1456" s="6" t="s">
        <v>132</v>
      </c>
      <c r="G1456" s="1" t="s">
        <v>29558</v>
      </c>
      <c r="H1456" s="1" t="s">
        <v>29559</v>
      </c>
      <c r="I1456" s="1" t="s">
        <v>111</v>
      </c>
      <c r="J1456" s="6" t="s">
        <v>8785</v>
      </c>
      <c r="K1456" s="1" t="s">
        <v>112</v>
      </c>
      <c r="L1456" s="1" t="s">
        <v>29560</v>
      </c>
      <c r="M1456" s="1" t="s">
        <v>29561</v>
      </c>
      <c r="N1456" s="6" t="s">
        <v>132</v>
      </c>
      <c r="O1456" s="6" t="s">
        <v>29562</v>
      </c>
      <c r="P1456" s="1" t="s">
        <v>29563</v>
      </c>
      <c r="Q1456" s="1" t="s">
        <v>29564</v>
      </c>
      <c r="R1456" s="1" t="s">
        <v>116</v>
      </c>
      <c r="S1456" s="10" t="s">
        <v>29565</v>
      </c>
      <c r="T1456" s="1" t="s">
        <v>117</v>
      </c>
      <c r="U1456" s="1" t="s">
        <v>118</v>
      </c>
      <c r="V1456" s="1" t="s">
        <v>29564</v>
      </c>
      <c r="W1456" s="1" t="s">
        <v>29566</v>
      </c>
      <c r="X1456" s="1" t="s">
        <v>29567</v>
      </c>
      <c r="Y1456" s="1" t="s">
        <v>120</v>
      </c>
      <c r="Z1456" s="1" t="s">
        <v>29568</v>
      </c>
      <c r="AA1456" s="1" t="s">
        <v>29569</v>
      </c>
      <c r="AB1456" s="1" t="s">
        <v>29570</v>
      </c>
      <c r="AC1456" s="1" t="s">
        <v>29571</v>
      </c>
      <c r="AD1456" s="6" t="s">
        <v>29572</v>
      </c>
      <c r="AE1456" s="1" t="s">
        <v>29573</v>
      </c>
      <c r="AF1456" s="1" t="s">
        <v>124</v>
      </c>
      <c r="AG1456" s="6" t="s">
        <v>29574</v>
      </c>
      <c r="AH1456" s="1" t="s">
        <v>29575</v>
      </c>
      <c r="AI1456" s="6" t="s">
        <v>132</v>
      </c>
      <c r="AJ1456" s="6" t="s">
        <v>18277</v>
      </c>
      <c r="AK1456" s="1" t="s">
        <v>29576</v>
      </c>
      <c r="AL1456" s="6" t="s">
        <v>132</v>
      </c>
    </row>
    <row r="1457" ht="15.75" customHeight="1">
      <c r="A1457" s="1" t="s">
        <v>127</v>
      </c>
      <c r="B1457" s="1" t="s">
        <v>29577</v>
      </c>
      <c r="C1457" s="1" t="s">
        <v>29578</v>
      </c>
      <c r="D1457" s="8" t="s">
        <v>29579</v>
      </c>
      <c r="E1457" s="1" t="s">
        <v>29580</v>
      </c>
      <c r="F1457" s="6" t="s">
        <v>132</v>
      </c>
      <c r="G1457" s="1" t="s">
        <v>29581</v>
      </c>
      <c r="H1457" s="1" t="s">
        <v>29582</v>
      </c>
      <c r="I1457" s="1" t="s">
        <v>29583</v>
      </c>
      <c r="J1457" s="6" t="s">
        <v>29584</v>
      </c>
      <c r="K1457" s="1" t="s">
        <v>29585</v>
      </c>
      <c r="L1457" s="1" t="s">
        <v>29586</v>
      </c>
      <c r="M1457" s="1" t="s">
        <v>29587</v>
      </c>
      <c r="N1457" s="6" t="s">
        <v>132</v>
      </c>
      <c r="O1457" s="6" t="s">
        <v>29588</v>
      </c>
      <c r="P1457" s="1" t="s">
        <v>29589</v>
      </c>
      <c r="Q1457" s="1" t="s">
        <v>29590</v>
      </c>
      <c r="R1457" s="1" t="s">
        <v>29591</v>
      </c>
      <c r="S1457" s="10" t="s">
        <v>29592</v>
      </c>
      <c r="T1457" s="1" t="s">
        <v>29593</v>
      </c>
      <c r="U1457" s="1" t="s">
        <v>29594</v>
      </c>
      <c r="V1457" s="1" t="s">
        <v>29595</v>
      </c>
      <c r="W1457" s="1" t="s">
        <v>29596</v>
      </c>
      <c r="X1457" s="1" t="s">
        <v>29597</v>
      </c>
      <c r="Y1457" s="1" t="s">
        <v>29598</v>
      </c>
      <c r="Z1457" s="1" t="s">
        <v>29599</v>
      </c>
      <c r="AA1457" s="1" t="s">
        <v>29600</v>
      </c>
      <c r="AB1457" s="1" t="s">
        <v>29601</v>
      </c>
      <c r="AC1457" s="1" t="s">
        <v>29602</v>
      </c>
      <c r="AD1457" s="6" t="s">
        <v>29603</v>
      </c>
      <c r="AE1457" s="1" t="s">
        <v>29604</v>
      </c>
      <c r="AF1457" s="1" t="s">
        <v>29605</v>
      </c>
      <c r="AG1457" s="6" t="s">
        <v>29606</v>
      </c>
      <c r="AH1457" s="1" t="s">
        <v>29607</v>
      </c>
      <c r="AI1457" s="6" t="s">
        <v>132</v>
      </c>
      <c r="AJ1457" s="6" t="s">
        <v>29608</v>
      </c>
      <c r="AK1457" s="1" t="s">
        <v>29609</v>
      </c>
      <c r="AL1457" s="6" t="s">
        <v>29610</v>
      </c>
    </row>
    <row r="1458" ht="15.75" customHeight="1">
      <c r="A1458" s="1" t="s">
        <v>127</v>
      </c>
      <c r="B1458" s="1" t="s">
        <v>29611</v>
      </c>
      <c r="C1458" s="1" t="s">
        <v>4554</v>
      </c>
      <c r="D1458" s="8" t="s">
        <v>4555</v>
      </c>
      <c r="E1458" s="1" t="s">
        <v>4556</v>
      </c>
      <c r="F1458" s="6" t="s">
        <v>132</v>
      </c>
      <c r="G1458" s="1" t="s">
        <v>4557</v>
      </c>
      <c r="H1458" s="1" t="s">
        <v>4558</v>
      </c>
      <c r="I1458" s="1" t="s">
        <v>4559</v>
      </c>
      <c r="J1458" s="6" t="s">
        <v>4560</v>
      </c>
      <c r="K1458" s="1" t="s">
        <v>29612</v>
      </c>
      <c r="L1458" s="1" t="s">
        <v>4562</v>
      </c>
      <c r="M1458" s="1" t="s">
        <v>4563</v>
      </c>
      <c r="N1458" s="6" t="s">
        <v>132</v>
      </c>
      <c r="O1458" s="6" t="s">
        <v>4564</v>
      </c>
      <c r="P1458" s="1" t="s">
        <v>4565</v>
      </c>
      <c r="Q1458" s="1" t="s">
        <v>4566</v>
      </c>
      <c r="R1458" s="1" t="s">
        <v>4567</v>
      </c>
      <c r="S1458" s="10" t="s">
        <v>4568</v>
      </c>
      <c r="T1458" s="1" t="s">
        <v>4569</v>
      </c>
      <c r="U1458" s="1" t="s">
        <v>4570</v>
      </c>
      <c r="V1458" s="1" t="s">
        <v>4566</v>
      </c>
      <c r="W1458" s="1" t="s">
        <v>4571</v>
      </c>
      <c r="X1458" s="1" t="s">
        <v>4572</v>
      </c>
      <c r="Y1458" s="1" t="s">
        <v>24501</v>
      </c>
      <c r="Z1458" s="1" t="s">
        <v>29613</v>
      </c>
      <c r="AA1458" s="1" t="s">
        <v>4575</v>
      </c>
      <c r="AB1458" s="1" t="s">
        <v>4576</v>
      </c>
      <c r="AC1458" s="1" t="s">
        <v>4577</v>
      </c>
      <c r="AD1458" s="6" t="s">
        <v>4578</v>
      </c>
      <c r="AE1458" s="1" t="s">
        <v>4579</v>
      </c>
      <c r="AF1458" s="1" t="s">
        <v>4580</v>
      </c>
      <c r="AG1458" s="6" t="s">
        <v>4581</v>
      </c>
      <c r="AH1458" s="1" t="s">
        <v>4582</v>
      </c>
      <c r="AI1458" s="6" t="s">
        <v>132</v>
      </c>
      <c r="AJ1458" s="6" t="s">
        <v>4583</v>
      </c>
      <c r="AK1458" s="1" t="s">
        <v>4584</v>
      </c>
      <c r="AL1458" s="6" t="s">
        <v>4585</v>
      </c>
    </row>
    <row r="1459" ht="15.75" customHeight="1">
      <c r="A1459" s="1" t="s">
        <v>127</v>
      </c>
      <c r="B1459" s="1" t="s">
        <v>29614</v>
      </c>
      <c r="C1459" s="1" t="s">
        <v>29615</v>
      </c>
      <c r="D1459" s="8" t="s">
        <v>29616</v>
      </c>
      <c r="E1459" s="1" t="s">
        <v>29617</v>
      </c>
      <c r="F1459" s="6" t="s">
        <v>132</v>
      </c>
      <c r="G1459" s="1" t="s">
        <v>29618</v>
      </c>
      <c r="H1459" s="1" t="s">
        <v>29619</v>
      </c>
      <c r="I1459" s="1" t="s">
        <v>29619</v>
      </c>
      <c r="J1459" s="6" t="s">
        <v>29620</v>
      </c>
      <c r="K1459" s="1" t="s">
        <v>29621</v>
      </c>
      <c r="L1459" s="1" t="s">
        <v>29622</v>
      </c>
      <c r="M1459" s="1" t="s">
        <v>29615</v>
      </c>
      <c r="N1459" s="6" t="s">
        <v>132</v>
      </c>
      <c r="O1459" s="6" t="s">
        <v>29623</v>
      </c>
      <c r="P1459" s="1" t="s">
        <v>29624</v>
      </c>
      <c r="Q1459" s="1" t="s">
        <v>29625</v>
      </c>
      <c r="R1459" s="1" t="s">
        <v>29619</v>
      </c>
      <c r="S1459" s="10" t="s">
        <v>29626</v>
      </c>
      <c r="T1459" s="1" t="s">
        <v>29627</v>
      </c>
      <c r="U1459" s="1" t="s">
        <v>29628</v>
      </c>
      <c r="V1459" s="1" t="s">
        <v>29629</v>
      </c>
      <c r="W1459" s="1" t="s">
        <v>29630</v>
      </c>
      <c r="X1459" s="1" t="s">
        <v>29631</v>
      </c>
      <c r="Y1459" s="1" t="s">
        <v>29619</v>
      </c>
      <c r="Z1459" s="1" t="s">
        <v>29632</v>
      </c>
      <c r="AA1459" s="1" t="s">
        <v>29619</v>
      </c>
      <c r="AB1459" s="1" t="s">
        <v>29633</v>
      </c>
      <c r="AC1459" s="1" t="s">
        <v>29634</v>
      </c>
      <c r="AD1459" s="6" t="s">
        <v>29634</v>
      </c>
      <c r="AE1459" s="1" t="s">
        <v>29619</v>
      </c>
      <c r="AF1459" s="1" t="s">
        <v>29619</v>
      </c>
      <c r="AG1459" s="6" t="s">
        <v>29635</v>
      </c>
      <c r="AH1459" s="1" t="s">
        <v>29636</v>
      </c>
      <c r="AI1459" s="6" t="s">
        <v>132</v>
      </c>
      <c r="AJ1459" s="6" t="s">
        <v>29637</v>
      </c>
      <c r="AK1459" s="1" t="s">
        <v>29638</v>
      </c>
      <c r="AL1459" s="6" t="s">
        <v>29639</v>
      </c>
    </row>
    <row r="1460" ht="15.75" customHeight="1">
      <c r="A1460" s="1" t="s">
        <v>127</v>
      </c>
      <c r="B1460" s="1" t="s">
        <v>29640</v>
      </c>
      <c r="C1460" s="1" t="s">
        <v>29641</v>
      </c>
      <c r="D1460" s="8" t="s">
        <v>29642</v>
      </c>
      <c r="E1460" s="1" t="s">
        <v>29643</v>
      </c>
      <c r="F1460" s="6" t="s">
        <v>132</v>
      </c>
      <c r="G1460" s="1" t="s">
        <v>29644</v>
      </c>
      <c r="H1460" s="1" t="s">
        <v>29645</v>
      </c>
      <c r="I1460" s="1" t="s">
        <v>29646</v>
      </c>
      <c r="J1460" s="6" t="s">
        <v>29647</v>
      </c>
      <c r="K1460" s="1" t="s">
        <v>29648</v>
      </c>
      <c r="L1460" s="1" t="s">
        <v>29649</v>
      </c>
      <c r="M1460" s="1" t="s">
        <v>29650</v>
      </c>
      <c r="N1460" s="6" t="s">
        <v>132</v>
      </c>
      <c r="O1460" s="6" t="s">
        <v>29651</v>
      </c>
      <c r="P1460" s="1" t="s">
        <v>11639</v>
      </c>
      <c r="Q1460" s="1" t="s">
        <v>864</v>
      </c>
      <c r="R1460" s="1" t="s">
        <v>29645</v>
      </c>
      <c r="S1460" s="10" t="s">
        <v>29652</v>
      </c>
      <c r="T1460" s="1" t="s">
        <v>867</v>
      </c>
      <c r="U1460" s="1" t="s">
        <v>868</v>
      </c>
      <c r="V1460" s="1" t="s">
        <v>869</v>
      </c>
      <c r="W1460" s="1" t="s">
        <v>29645</v>
      </c>
      <c r="X1460" s="1" t="s">
        <v>29645</v>
      </c>
      <c r="Y1460" s="1" t="s">
        <v>29653</v>
      </c>
      <c r="Z1460" s="1" t="s">
        <v>29654</v>
      </c>
      <c r="AA1460" s="1" t="s">
        <v>29655</v>
      </c>
      <c r="AB1460" s="1" t="s">
        <v>29656</v>
      </c>
      <c r="AC1460" s="1" t="s">
        <v>29657</v>
      </c>
      <c r="AD1460" s="6" t="s">
        <v>29645</v>
      </c>
      <c r="AE1460" s="1" t="s">
        <v>29645</v>
      </c>
      <c r="AF1460" s="1" t="s">
        <v>29645</v>
      </c>
      <c r="AG1460" s="6" t="s">
        <v>876</v>
      </c>
      <c r="AH1460" s="1" t="s">
        <v>29658</v>
      </c>
      <c r="AI1460" s="6" t="s">
        <v>132</v>
      </c>
      <c r="AJ1460" s="6" t="s">
        <v>878</v>
      </c>
      <c r="AK1460" s="1" t="s">
        <v>879</v>
      </c>
      <c r="AL1460" s="6" t="s">
        <v>29659</v>
      </c>
    </row>
    <row r="1461" ht="15.75" customHeight="1">
      <c r="A1461" s="1" t="s">
        <v>127</v>
      </c>
      <c r="B1461" s="1" t="s">
        <v>29660</v>
      </c>
      <c r="C1461" s="1" t="s">
        <v>29661</v>
      </c>
      <c r="D1461" s="8" t="s">
        <v>29662</v>
      </c>
      <c r="E1461" s="1" t="s">
        <v>29663</v>
      </c>
      <c r="F1461" s="6" t="s">
        <v>132</v>
      </c>
      <c r="G1461" s="1" t="s">
        <v>29664</v>
      </c>
      <c r="H1461" s="1" t="s">
        <v>29665</v>
      </c>
      <c r="I1461" s="1" t="s">
        <v>29666</v>
      </c>
      <c r="J1461" s="6" t="s">
        <v>29667</v>
      </c>
      <c r="K1461" s="1" t="s">
        <v>29668</v>
      </c>
      <c r="L1461" s="1" t="s">
        <v>29669</v>
      </c>
      <c r="M1461" s="1" t="s">
        <v>29670</v>
      </c>
      <c r="N1461" s="6" t="s">
        <v>132</v>
      </c>
      <c r="O1461" s="6" t="s">
        <v>29671</v>
      </c>
      <c r="P1461" s="1" t="s">
        <v>29672</v>
      </c>
      <c r="Q1461" s="1" t="s">
        <v>29673</v>
      </c>
      <c r="R1461" s="1" t="s">
        <v>29674</v>
      </c>
      <c r="S1461" s="10" t="s">
        <v>29675</v>
      </c>
      <c r="T1461" s="1" t="s">
        <v>29676</v>
      </c>
      <c r="U1461" s="1" t="s">
        <v>29677</v>
      </c>
      <c r="V1461" s="1" t="s">
        <v>29673</v>
      </c>
      <c r="W1461" s="1" t="s">
        <v>29678</v>
      </c>
      <c r="X1461" s="1" t="s">
        <v>29665</v>
      </c>
      <c r="Y1461" s="1" t="s">
        <v>29679</v>
      </c>
      <c r="Z1461" s="1" t="s">
        <v>29680</v>
      </c>
      <c r="AA1461" s="1" t="s">
        <v>29681</v>
      </c>
      <c r="AB1461" s="1" t="s">
        <v>29682</v>
      </c>
      <c r="AC1461" s="1" t="s">
        <v>29683</v>
      </c>
      <c r="AD1461" s="6" t="s">
        <v>29684</v>
      </c>
      <c r="AE1461" s="1" t="s">
        <v>29685</v>
      </c>
      <c r="AF1461" s="1" t="s">
        <v>29686</v>
      </c>
      <c r="AG1461" s="6" t="s">
        <v>29687</v>
      </c>
      <c r="AH1461" s="1" t="s">
        <v>29688</v>
      </c>
      <c r="AI1461" s="6" t="s">
        <v>132</v>
      </c>
      <c r="AJ1461" s="6" t="s">
        <v>29689</v>
      </c>
      <c r="AK1461" s="1" t="s">
        <v>29690</v>
      </c>
      <c r="AL1461" s="6" t="s">
        <v>29691</v>
      </c>
    </row>
    <row r="1462" ht="15.75" customHeight="1">
      <c r="A1462" s="1" t="s">
        <v>127</v>
      </c>
      <c r="B1462" s="1" t="s">
        <v>29692</v>
      </c>
      <c r="C1462" s="1" t="s">
        <v>29693</v>
      </c>
      <c r="D1462" s="8" t="s">
        <v>29694</v>
      </c>
      <c r="E1462" s="1" t="s">
        <v>29695</v>
      </c>
      <c r="F1462" s="6" t="s">
        <v>132</v>
      </c>
      <c r="G1462" s="1" t="s">
        <v>29696</v>
      </c>
      <c r="H1462" s="1" t="s">
        <v>29697</v>
      </c>
      <c r="I1462" s="1" t="s">
        <v>29698</v>
      </c>
      <c r="J1462" s="6" t="s">
        <v>29699</v>
      </c>
      <c r="K1462" s="1" t="s">
        <v>29700</v>
      </c>
      <c r="L1462" s="1" t="s">
        <v>29701</v>
      </c>
      <c r="M1462" s="1" t="s">
        <v>29702</v>
      </c>
      <c r="N1462" s="6" t="s">
        <v>132</v>
      </c>
      <c r="O1462" s="6" t="s">
        <v>29703</v>
      </c>
      <c r="P1462" s="1" t="s">
        <v>29704</v>
      </c>
      <c r="Q1462" s="1" t="s">
        <v>29705</v>
      </c>
      <c r="R1462" s="1" t="s">
        <v>29706</v>
      </c>
      <c r="S1462" s="10" t="s">
        <v>29707</v>
      </c>
      <c r="T1462" s="1" t="s">
        <v>753</v>
      </c>
      <c r="U1462" s="1" t="s">
        <v>29708</v>
      </c>
      <c r="V1462" s="1" t="s">
        <v>29705</v>
      </c>
      <c r="W1462" s="1" t="s">
        <v>29709</v>
      </c>
      <c r="X1462" s="1" t="s">
        <v>29710</v>
      </c>
      <c r="Y1462" s="1" t="s">
        <v>29711</v>
      </c>
      <c r="Z1462" s="1" t="s">
        <v>29712</v>
      </c>
      <c r="AA1462" s="1" t="s">
        <v>29713</v>
      </c>
      <c r="AB1462" s="1" t="s">
        <v>29714</v>
      </c>
      <c r="AC1462" s="1" t="s">
        <v>29715</v>
      </c>
      <c r="AD1462" s="6" t="s">
        <v>29693</v>
      </c>
      <c r="AE1462" s="1" t="s">
        <v>29716</v>
      </c>
      <c r="AF1462" s="1" t="s">
        <v>29702</v>
      </c>
      <c r="AG1462" s="6" t="s">
        <v>29717</v>
      </c>
      <c r="AH1462" s="1" t="s">
        <v>29718</v>
      </c>
      <c r="AI1462" s="6" t="s">
        <v>132</v>
      </c>
      <c r="AJ1462" s="6" t="s">
        <v>29719</v>
      </c>
      <c r="AK1462" s="1" t="s">
        <v>29720</v>
      </c>
      <c r="AL1462" s="6" t="s">
        <v>29721</v>
      </c>
    </row>
    <row r="1463" ht="15.75" customHeight="1">
      <c r="A1463" s="1" t="s">
        <v>127</v>
      </c>
      <c r="B1463" s="1" t="s">
        <v>29722</v>
      </c>
      <c r="C1463" s="1" t="s">
        <v>29723</v>
      </c>
      <c r="D1463" s="8" t="s">
        <v>29724</v>
      </c>
      <c r="E1463" s="1" t="s">
        <v>29725</v>
      </c>
      <c r="F1463" s="6" t="s">
        <v>132</v>
      </c>
      <c r="G1463" s="1" t="s">
        <v>29726</v>
      </c>
      <c r="H1463" s="1" t="s">
        <v>29723</v>
      </c>
      <c r="I1463" s="1" t="s">
        <v>29723</v>
      </c>
      <c r="J1463" s="6" t="s">
        <v>29727</v>
      </c>
      <c r="K1463" s="1" t="s">
        <v>29728</v>
      </c>
      <c r="L1463" s="1" t="s">
        <v>29729</v>
      </c>
      <c r="M1463" s="1" t="s">
        <v>29723</v>
      </c>
      <c r="N1463" s="6" t="s">
        <v>132</v>
      </c>
      <c r="O1463" s="6" t="s">
        <v>29730</v>
      </c>
      <c r="P1463" s="1" t="s">
        <v>29731</v>
      </c>
      <c r="Q1463" s="1" t="s">
        <v>29732</v>
      </c>
      <c r="R1463" s="1" t="s">
        <v>29733</v>
      </c>
      <c r="S1463" s="10" t="s">
        <v>29734</v>
      </c>
      <c r="T1463" s="1" t="s">
        <v>29735</v>
      </c>
      <c r="U1463" s="1" t="s">
        <v>29736</v>
      </c>
      <c r="V1463" s="1" t="s">
        <v>29737</v>
      </c>
      <c r="W1463" s="1" t="s">
        <v>29723</v>
      </c>
      <c r="X1463" s="1" t="s">
        <v>29738</v>
      </c>
      <c r="Y1463" s="1" t="s">
        <v>29739</v>
      </c>
      <c r="Z1463" s="1" t="s">
        <v>29728</v>
      </c>
      <c r="AA1463" s="1" t="s">
        <v>29740</v>
      </c>
      <c r="AB1463" s="1" t="s">
        <v>29741</v>
      </c>
      <c r="AC1463" s="1" t="s">
        <v>29726</v>
      </c>
      <c r="AD1463" s="6" t="s">
        <v>29742</v>
      </c>
      <c r="AE1463" s="1" t="s">
        <v>29743</v>
      </c>
      <c r="AF1463" s="1" t="s">
        <v>29738</v>
      </c>
      <c r="AG1463" s="6" t="s">
        <v>29744</v>
      </c>
      <c r="AH1463" s="1" t="s">
        <v>29745</v>
      </c>
      <c r="AI1463" s="6" t="s">
        <v>132</v>
      </c>
      <c r="AJ1463" s="6" t="s">
        <v>29746</v>
      </c>
      <c r="AK1463" s="1" t="s">
        <v>29747</v>
      </c>
      <c r="AL1463" s="6" t="s">
        <v>29748</v>
      </c>
    </row>
    <row r="1464" ht="15.75" customHeight="1">
      <c r="A1464" s="1" t="s">
        <v>127</v>
      </c>
      <c r="B1464" s="1" t="s">
        <v>29749</v>
      </c>
      <c r="C1464" s="1" t="s">
        <v>1426</v>
      </c>
      <c r="D1464" s="8" t="s">
        <v>29750</v>
      </c>
      <c r="E1464" s="1" t="s">
        <v>1428</v>
      </c>
      <c r="F1464" s="6" t="s">
        <v>132</v>
      </c>
      <c r="G1464" s="1" t="s">
        <v>1429</v>
      </c>
      <c r="H1464" s="1" t="s">
        <v>1430</v>
      </c>
      <c r="I1464" s="1" t="s">
        <v>1426</v>
      </c>
      <c r="J1464" s="6" t="s">
        <v>29751</v>
      </c>
      <c r="K1464" s="1" t="s">
        <v>29752</v>
      </c>
      <c r="L1464" s="1" t="s">
        <v>1433</v>
      </c>
      <c r="M1464" s="1" t="s">
        <v>1426</v>
      </c>
      <c r="N1464" s="6" t="s">
        <v>132</v>
      </c>
      <c r="O1464" s="6" t="s">
        <v>1434</v>
      </c>
      <c r="P1464" s="1" t="s">
        <v>1435</v>
      </c>
      <c r="Q1464" s="1" t="s">
        <v>1441</v>
      </c>
      <c r="R1464" s="1" t="s">
        <v>29753</v>
      </c>
      <c r="S1464" s="10" t="s">
        <v>29754</v>
      </c>
      <c r="T1464" s="1" t="s">
        <v>1439</v>
      </c>
      <c r="U1464" s="1" t="s">
        <v>1440</v>
      </c>
      <c r="V1464" s="1" t="s">
        <v>1441</v>
      </c>
      <c r="W1464" s="1" t="s">
        <v>1442</v>
      </c>
      <c r="X1464" s="1" t="s">
        <v>1443</v>
      </c>
      <c r="Y1464" s="1" t="s">
        <v>1444</v>
      </c>
      <c r="Z1464" s="1" t="s">
        <v>1445</v>
      </c>
      <c r="AA1464" s="1" t="s">
        <v>1446</v>
      </c>
      <c r="AB1464" s="1" t="s">
        <v>1447</v>
      </c>
      <c r="AC1464" s="1" t="s">
        <v>1448</v>
      </c>
      <c r="AD1464" s="6" t="s">
        <v>1449</v>
      </c>
      <c r="AE1464" s="1" t="s">
        <v>1450</v>
      </c>
      <c r="AF1464" s="1" t="s">
        <v>1451</v>
      </c>
      <c r="AG1464" s="6" t="s">
        <v>1452</v>
      </c>
      <c r="AH1464" s="1" t="s">
        <v>29755</v>
      </c>
      <c r="AI1464" s="6" t="s">
        <v>132</v>
      </c>
      <c r="AJ1464" s="6" t="s">
        <v>1454</v>
      </c>
      <c r="AK1464" s="1" t="s">
        <v>1455</v>
      </c>
      <c r="AL1464" s="6" t="s">
        <v>1456</v>
      </c>
    </row>
    <row r="1465" ht="15.75" customHeight="1">
      <c r="A1465" s="1" t="s">
        <v>127</v>
      </c>
      <c r="B1465" s="1" t="s">
        <v>29756</v>
      </c>
      <c r="C1465" s="1" t="s">
        <v>29757</v>
      </c>
      <c r="D1465" s="8" t="s">
        <v>29758</v>
      </c>
      <c r="E1465" s="1" t="s">
        <v>29759</v>
      </c>
      <c r="F1465" s="6" t="s">
        <v>132</v>
      </c>
      <c r="G1465" s="1" t="s">
        <v>29760</v>
      </c>
      <c r="H1465" s="1" t="s">
        <v>29761</v>
      </c>
      <c r="I1465" s="1" t="s">
        <v>29762</v>
      </c>
      <c r="J1465" s="6" t="s">
        <v>29763</v>
      </c>
      <c r="K1465" s="1" t="s">
        <v>29764</v>
      </c>
      <c r="L1465" s="1" t="s">
        <v>29765</v>
      </c>
      <c r="M1465" s="1" t="s">
        <v>29766</v>
      </c>
      <c r="N1465" s="6" t="s">
        <v>132</v>
      </c>
      <c r="O1465" s="6" t="s">
        <v>29767</v>
      </c>
      <c r="P1465" s="1" t="s">
        <v>29768</v>
      </c>
      <c r="Q1465" s="1" t="s">
        <v>29769</v>
      </c>
      <c r="R1465" s="1" t="s">
        <v>29770</v>
      </c>
      <c r="S1465" s="10" t="s">
        <v>29771</v>
      </c>
      <c r="T1465" s="1" t="s">
        <v>29772</v>
      </c>
      <c r="U1465" s="1" t="s">
        <v>29773</v>
      </c>
      <c r="V1465" s="1" t="s">
        <v>29774</v>
      </c>
      <c r="W1465" s="1" t="s">
        <v>29775</v>
      </c>
      <c r="X1465" s="1" t="s">
        <v>29761</v>
      </c>
      <c r="Y1465" s="1" t="s">
        <v>29776</v>
      </c>
      <c r="Z1465" s="1" t="s">
        <v>29777</v>
      </c>
      <c r="AA1465" s="1" t="s">
        <v>29778</v>
      </c>
      <c r="AB1465" s="1" t="s">
        <v>13428</v>
      </c>
      <c r="AC1465" s="1" t="s">
        <v>29779</v>
      </c>
      <c r="AD1465" s="6" t="s">
        <v>29780</v>
      </c>
      <c r="AE1465" s="1" t="s">
        <v>29781</v>
      </c>
      <c r="AF1465" s="1" t="s">
        <v>29782</v>
      </c>
      <c r="AG1465" s="6" t="s">
        <v>29783</v>
      </c>
      <c r="AH1465" s="1" t="s">
        <v>29784</v>
      </c>
      <c r="AI1465" s="6" t="s">
        <v>132</v>
      </c>
      <c r="AJ1465" s="6" t="s">
        <v>29785</v>
      </c>
      <c r="AK1465" s="1" t="s">
        <v>29786</v>
      </c>
      <c r="AL1465" s="6" t="s">
        <v>29787</v>
      </c>
    </row>
    <row r="1466" ht="15.75" customHeight="1">
      <c r="A1466" s="1" t="s">
        <v>127</v>
      </c>
      <c r="B1466" s="1" t="s">
        <v>29788</v>
      </c>
      <c r="C1466" s="1" t="s">
        <v>29789</v>
      </c>
      <c r="D1466" s="8" t="s">
        <v>29790</v>
      </c>
      <c r="E1466" s="1" t="s">
        <v>29791</v>
      </c>
      <c r="F1466" s="6" t="s">
        <v>132</v>
      </c>
      <c r="G1466" s="1" t="s">
        <v>29792</v>
      </c>
      <c r="H1466" s="1" t="s">
        <v>29793</v>
      </c>
      <c r="I1466" s="1" t="s">
        <v>29789</v>
      </c>
      <c r="J1466" s="6" t="s">
        <v>29794</v>
      </c>
      <c r="K1466" s="1" t="s">
        <v>29795</v>
      </c>
      <c r="L1466" s="1" t="s">
        <v>29796</v>
      </c>
      <c r="M1466" s="1" t="s">
        <v>29789</v>
      </c>
      <c r="N1466" s="6" t="s">
        <v>132</v>
      </c>
      <c r="O1466" s="6" t="s">
        <v>29797</v>
      </c>
      <c r="P1466" s="1" t="s">
        <v>29798</v>
      </c>
      <c r="Q1466" s="1" t="s">
        <v>29799</v>
      </c>
      <c r="R1466" s="1" t="s">
        <v>29800</v>
      </c>
      <c r="S1466" s="10" t="s">
        <v>29801</v>
      </c>
      <c r="T1466" s="1" t="s">
        <v>29802</v>
      </c>
      <c r="U1466" s="1" t="s">
        <v>29803</v>
      </c>
      <c r="V1466" s="1" t="s">
        <v>29799</v>
      </c>
      <c r="W1466" s="1" t="s">
        <v>29804</v>
      </c>
      <c r="X1466" s="1" t="s">
        <v>29805</v>
      </c>
      <c r="Y1466" s="1" t="s">
        <v>29806</v>
      </c>
      <c r="Z1466" s="1" t="s">
        <v>29807</v>
      </c>
      <c r="AA1466" s="1" t="s">
        <v>29808</v>
      </c>
      <c r="AB1466" s="1" t="s">
        <v>29809</v>
      </c>
      <c r="AC1466" s="1" t="s">
        <v>29810</v>
      </c>
      <c r="AD1466" s="6" t="s">
        <v>29811</v>
      </c>
      <c r="AE1466" s="1" t="s">
        <v>29812</v>
      </c>
      <c r="AF1466" s="1" t="s">
        <v>29813</v>
      </c>
      <c r="AG1466" s="6" t="s">
        <v>29814</v>
      </c>
      <c r="AH1466" s="1" t="s">
        <v>29815</v>
      </c>
      <c r="AI1466" s="6" t="s">
        <v>132</v>
      </c>
      <c r="AJ1466" s="6" t="s">
        <v>29816</v>
      </c>
      <c r="AK1466" s="1" t="s">
        <v>29817</v>
      </c>
      <c r="AL1466" s="6" t="s">
        <v>29818</v>
      </c>
    </row>
    <row r="1467" ht="15.75" customHeight="1">
      <c r="A1467" s="1" t="s">
        <v>127</v>
      </c>
      <c r="B1467" s="1" t="s">
        <v>29819</v>
      </c>
      <c r="C1467" s="1" t="s">
        <v>29820</v>
      </c>
      <c r="D1467" s="8" t="s">
        <v>29821</v>
      </c>
      <c r="E1467" s="1" t="s">
        <v>29822</v>
      </c>
      <c r="F1467" s="6" t="s">
        <v>132</v>
      </c>
      <c r="G1467" s="1" t="s">
        <v>29820</v>
      </c>
      <c r="H1467" s="1" t="s">
        <v>29823</v>
      </c>
      <c r="I1467" s="1" t="s">
        <v>29824</v>
      </c>
      <c r="J1467" s="6" t="s">
        <v>29825</v>
      </c>
      <c r="K1467" s="1" t="s">
        <v>29820</v>
      </c>
      <c r="L1467" s="1" t="s">
        <v>29826</v>
      </c>
      <c r="M1467" s="1" t="s">
        <v>29827</v>
      </c>
      <c r="N1467" s="6" t="s">
        <v>132</v>
      </c>
      <c r="O1467" s="6" t="s">
        <v>29828</v>
      </c>
      <c r="P1467" s="1" t="s">
        <v>29829</v>
      </c>
      <c r="Q1467" s="1" t="s">
        <v>29830</v>
      </c>
      <c r="R1467" s="1" t="s">
        <v>29831</v>
      </c>
      <c r="S1467" s="10" t="s">
        <v>29832</v>
      </c>
      <c r="T1467" s="1" t="s">
        <v>29833</v>
      </c>
      <c r="U1467" s="1" t="s">
        <v>29834</v>
      </c>
      <c r="V1467" s="1" t="s">
        <v>29830</v>
      </c>
      <c r="W1467" s="1" t="s">
        <v>29835</v>
      </c>
      <c r="X1467" s="1" t="s">
        <v>29836</v>
      </c>
      <c r="Y1467" s="1" t="s">
        <v>29820</v>
      </c>
      <c r="Z1467" s="1" t="s">
        <v>29837</v>
      </c>
      <c r="AA1467" s="1" t="s">
        <v>29838</v>
      </c>
      <c r="AB1467" s="1" t="s">
        <v>29839</v>
      </c>
      <c r="AC1467" s="1" t="s">
        <v>29840</v>
      </c>
      <c r="AD1467" s="6" t="s">
        <v>29841</v>
      </c>
      <c r="AE1467" s="1" t="s">
        <v>29820</v>
      </c>
      <c r="AF1467" s="1" t="s">
        <v>29836</v>
      </c>
      <c r="AG1467" s="6" t="s">
        <v>29842</v>
      </c>
      <c r="AH1467" s="1" t="s">
        <v>29843</v>
      </c>
      <c r="AI1467" s="6" t="s">
        <v>132</v>
      </c>
      <c r="AJ1467" s="6" t="s">
        <v>29844</v>
      </c>
      <c r="AK1467" s="1" t="s">
        <v>29845</v>
      </c>
      <c r="AL1467" s="6" t="s">
        <v>29846</v>
      </c>
    </row>
    <row r="1468" ht="15.75" customHeight="1">
      <c r="A1468" s="1" t="s">
        <v>127</v>
      </c>
      <c r="B1468" s="1" t="s">
        <v>29847</v>
      </c>
      <c r="C1468" s="1" t="s">
        <v>29848</v>
      </c>
      <c r="D1468" s="8" t="s">
        <v>29849</v>
      </c>
      <c r="E1468" s="1" t="s">
        <v>29850</v>
      </c>
      <c r="F1468" s="6" t="s">
        <v>132</v>
      </c>
      <c r="G1468" s="1" t="s">
        <v>29851</v>
      </c>
      <c r="H1468" s="1" t="s">
        <v>29852</v>
      </c>
      <c r="I1468" s="1" t="s">
        <v>29853</v>
      </c>
      <c r="J1468" s="6" t="s">
        <v>29854</v>
      </c>
      <c r="K1468" s="1" t="s">
        <v>29855</v>
      </c>
      <c r="L1468" s="1" t="s">
        <v>29856</v>
      </c>
      <c r="M1468" s="1" t="s">
        <v>29857</v>
      </c>
      <c r="N1468" s="6" t="s">
        <v>132</v>
      </c>
      <c r="O1468" s="6" t="s">
        <v>29858</v>
      </c>
      <c r="P1468" s="1" t="s">
        <v>29859</v>
      </c>
      <c r="Q1468" s="1" t="s">
        <v>29860</v>
      </c>
      <c r="R1468" s="1" t="s">
        <v>29861</v>
      </c>
      <c r="S1468" s="10" t="s">
        <v>29862</v>
      </c>
      <c r="T1468" s="1" t="s">
        <v>29863</v>
      </c>
      <c r="U1468" s="1" t="s">
        <v>29864</v>
      </c>
      <c r="V1468" s="1" t="s">
        <v>29865</v>
      </c>
      <c r="W1468" s="1" t="s">
        <v>29866</v>
      </c>
      <c r="X1468" s="1" t="s">
        <v>29867</v>
      </c>
      <c r="Y1468" s="1" t="s">
        <v>29868</v>
      </c>
      <c r="Z1468" s="1" t="s">
        <v>29869</v>
      </c>
      <c r="AA1468" s="1" t="s">
        <v>29870</v>
      </c>
      <c r="AB1468" s="1" t="s">
        <v>29871</v>
      </c>
      <c r="AC1468" s="1" t="s">
        <v>29872</v>
      </c>
      <c r="AD1468" s="6" t="s">
        <v>29873</v>
      </c>
      <c r="AE1468" s="1" t="s">
        <v>29874</v>
      </c>
      <c r="AF1468" s="1" t="s">
        <v>29875</v>
      </c>
      <c r="AG1468" s="6" t="s">
        <v>29876</v>
      </c>
      <c r="AH1468" s="1" t="s">
        <v>29877</v>
      </c>
      <c r="AI1468" s="6" t="s">
        <v>132</v>
      </c>
      <c r="AJ1468" s="6" t="s">
        <v>29878</v>
      </c>
      <c r="AK1468" s="1" t="s">
        <v>29879</v>
      </c>
      <c r="AL1468" s="6" t="s">
        <v>29880</v>
      </c>
    </row>
    <row r="1469" ht="15.75" hidden="1" customHeight="1">
      <c r="A1469" s="1" t="s">
        <v>38</v>
      </c>
      <c r="B1469" s="1" t="s">
        <v>29881</v>
      </c>
      <c r="C1469" s="1" t="s">
        <v>29882</v>
      </c>
      <c r="D1469" s="8" t="s">
        <v>29883</v>
      </c>
      <c r="E1469" s="1" t="s">
        <v>29884</v>
      </c>
      <c r="F1469" s="6" t="s">
        <v>29885</v>
      </c>
      <c r="G1469" s="7" t="str">
        <f>IFERROR(__xludf.DUMMYFUNCTION("GOOGLETRANSLATE(C1469, ""en"", ""cs"")"),"Nenašla žádná žádost o otevření odkazu")</f>
        <v>Nenašla žádná žádost o otevření odkazu</v>
      </c>
      <c r="H1469" s="7" t="str">
        <f>IFERROR(__xludf.DUMMYFUNCTION("GOOGLETRANSLATE(C1469, ""en"", ""da"")"),"Ingen ansøgning fundet for at åbne link")</f>
        <v>Ingen ansøgning fundet for at åbne link</v>
      </c>
      <c r="I1469" s="1" t="s">
        <v>29886</v>
      </c>
      <c r="J1469" s="6" t="s">
        <v>132</v>
      </c>
      <c r="K1469" s="1" t="s">
        <v>29887</v>
      </c>
      <c r="L1469" s="7" t="str">
        <f>IFERROR(__xludf.DUMMYFUNCTION("GOOGLETRANSLATE(C1469, ""en"", ""fi"")"),"Mitään sovellusta ei löytynyt avaamaan linkkiä")</f>
        <v>Mitään sovellusta ei löytynyt avaamaan linkkiä</v>
      </c>
      <c r="M1469" s="1" t="s">
        <v>29888</v>
      </c>
      <c r="N1469" s="6" t="s">
        <v>29889</v>
      </c>
      <c r="O1469" s="6" t="s">
        <v>132</v>
      </c>
      <c r="P1469" s="1" t="s">
        <v>29890</v>
      </c>
      <c r="Q1469" s="7" t="str">
        <f>IFERROR(__xludf.DUMMYFUNCTION("GOOGLETRANSLATE(C1469, ""en"", ""in"")"),"Tidak ditemukan aplikasi untuk membuka tautan")</f>
        <v>Tidak ditemukan aplikasi untuk membuka tautan</v>
      </c>
      <c r="R1469" s="1" t="s">
        <v>29891</v>
      </c>
      <c r="S1469" s="6" t="s">
        <v>132</v>
      </c>
      <c r="T1469" s="7" t="str">
        <f>IFERROR(__xludf.DUMMYFUNCTION("GOOGLETRANSLATE(C1469, ""en"", ""ja"")"),"リンクを開くためにアプリケーションは見つかりませんでした")</f>
        <v>リンクを開くためにアプリケーションは見つかりませんでした</v>
      </c>
      <c r="U1469" s="7" t="str">
        <f>IFERROR(__xludf.DUMMYFUNCTION("GOOGLETRANSLATE(C1469, ""en"", ""ko"")"),"링크를 열는 응용 프로그램이 없습니다")</f>
        <v>링크를 열는 응용 프로그램이 없습니다</v>
      </c>
      <c r="V1469" s="7" t="str">
        <f>IFERROR(__xludf.DUMMYFUNCTION("GOOGLETRANSLATE(C1469, ""en"", ""ms"")"),"Tiada permohonan yang didapati membuka pautan")</f>
        <v>Tiada permohonan yang didapati membuka pautan</v>
      </c>
      <c r="W1469" s="1" t="s">
        <v>29892</v>
      </c>
      <c r="X1469" s="7" t="str">
        <f>IFERROR(__xludf.DUMMYFUNCTION("GOOGLETRANSLATE(C1469, ""en"", ""no"")"),"Ingen applikasjon funnet å åpne lenken")</f>
        <v>Ingen applikasjon funnet å åpne lenken</v>
      </c>
      <c r="Y1469" s="1" t="s">
        <v>29893</v>
      </c>
      <c r="Z1469" s="1" t="s">
        <v>29894</v>
      </c>
      <c r="AA1469" s="7" t="str">
        <f>IFERROR(__xludf.DUMMYFUNCTION("GOOGLETRANSLATE(C1469, ""en"", ""ro"")"),"Nici o aplicație nu a fost găsită pentru a deschide link-ul")</f>
        <v>Nici o aplicație nu a fost găsită pentru a deschide link-ul</v>
      </c>
      <c r="AB1469" s="1" t="s">
        <v>29895</v>
      </c>
      <c r="AC1469" s="7" t="str">
        <f>IFERROR(__xludf.DUMMYFUNCTION("GOOGLETRANSLATE(C1469, ""en"", ""sk"")"),"Žiadna aplikácia zistilo, že otvorí odkaz")</f>
        <v>Žiadna aplikácia zistilo, že otvorí odkaz</v>
      </c>
      <c r="AD1469" s="6" t="s">
        <v>132</v>
      </c>
      <c r="AE1469" s="1" t="s">
        <v>29896</v>
      </c>
      <c r="AF1469" s="7" t="str">
        <f>IFERROR(__xludf.DUMMYFUNCTION("GOOGLETRANSLATE(C1469, ""en"", ""sv"")"),"Ingen ansökan hittades för att öppna länken")</f>
        <v>Ingen ansökan hittades för att öppna länken</v>
      </c>
      <c r="AG1469" s="6" t="s">
        <v>132</v>
      </c>
      <c r="AH1469" s="7" t="str">
        <f>IFERROR(__xludf.DUMMYFUNCTION("GOOGLETRANSLATE(C1469, ""en"", ""tr"")"),"Bağlantı açacak bir uygulama bulunamadı")</f>
        <v>Bağlantı açacak bir uygulama bulunamadı</v>
      </c>
      <c r="AI1469" s="6" t="s">
        <v>132</v>
      </c>
      <c r="AJ1469" s="6" t="s">
        <v>132</v>
      </c>
      <c r="AK1469" s="7" t="str">
        <f>IFERROR(__xludf.DUMMYFUNCTION("GOOGLETRANSLATE(C1469, ""en"", ""zh"")"),"没有发现要打开链接的应用程序")</f>
        <v>没有发现要打开链接的应用程序</v>
      </c>
      <c r="AL1469" s="6" t="s">
        <v>132</v>
      </c>
    </row>
    <row r="1470" ht="15.75" customHeight="1">
      <c r="A1470" s="1" t="s">
        <v>127</v>
      </c>
      <c r="B1470" s="1" t="s">
        <v>29897</v>
      </c>
      <c r="C1470" s="1" t="s">
        <v>29898</v>
      </c>
      <c r="D1470" s="8" t="s">
        <v>29899</v>
      </c>
      <c r="E1470" s="1" t="s">
        <v>29900</v>
      </c>
      <c r="F1470" s="6" t="s">
        <v>132</v>
      </c>
      <c r="G1470" s="1" t="s">
        <v>29901</v>
      </c>
      <c r="H1470" s="1" t="s">
        <v>29902</v>
      </c>
      <c r="I1470" s="1" t="s">
        <v>29903</v>
      </c>
      <c r="J1470" s="6" t="s">
        <v>29904</v>
      </c>
      <c r="K1470" s="1" t="s">
        <v>29905</v>
      </c>
      <c r="L1470" s="1" t="s">
        <v>29906</v>
      </c>
      <c r="M1470" s="1" t="s">
        <v>29907</v>
      </c>
      <c r="N1470" s="6" t="s">
        <v>132</v>
      </c>
      <c r="O1470" s="6" t="s">
        <v>29908</v>
      </c>
      <c r="P1470" s="1" t="s">
        <v>29909</v>
      </c>
      <c r="Q1470" s="1" t="s">
        <v>29910</v>
      </c>
      <c r="R1470" s="1" t="s">
        <v>29911</v>
      </c>
      <c r="S1470" s="10" t="s">
        <v>29912</v>
      </c>
      <c r="T1470" s="1" t="s">
        <v>29913</v>
      </c>
      <c r="U1470" s="1" t="s">
        <v>29914</v>
      </c>
      <c r="V1470" s="1" t="s">
        <v>29915</v>
      </c>
      <c r="W1470" s="1" t="s">
        <v>29916</v>
      </c>
      <c r="X1470" s="1" t="s">
        <v>29902</v>
      </c>
      <c r="Y1470" s="1" t="s">
        <v>29917</v>
      </c>
      <c r="Z1470" s="1" t="s">
        <v>29918</v>
      </c>
      <c r="AA1470" s="1" t="s">
        <v>29919</v>
      </c>
      <c r="AB1470" s="1" t="s">
        <v>29920</v>
      </c>
      <c r="AC1470" s="1" t="s">
        <v>29921</v>
      </c>
      <c r="AD1470" s="6" t="s">
        <v>29922</v>
      </c>
      <c r="AE1470" s="1" t="s">
        <v>29923</v>
      </c>
      <c r="AF1470" s="1" t="s">
        <v>29924</v>
      </c>
      <c r="AG1470" s="6" t="s">
        <v>29925</v>
      </c>
      <c r="AH1470" s="1" t="s">
        <v>29926</v>
      </c>
      <c r="AI1470" s="6" t="s">
        <v>132</v>
      </c>
      <c r="AJ1470" s="6" t="s">
        <v>29927</v>
      </c>
      <c r="AK1470" s="1" t="s">
        <v>29913</v>
      </c>
      <c r="AL1470" s="6" t="s">
        <v>132</v>
      </c>
    </row>
    <row r="1471" ht="15.75" customHeight="1">
      <c r="A1471" s="1" t="s">
        <v>127</v>
      </c>
      <c r="B1471" s="1" t="s">
        <v>29928</v>
      </c>
      <c r="C1471" s="1" t="s">
        <v>29929</v>
      </c>
      <c r="D1471" s="8" t="s">
        <v>29930</v>
      </c>
      <c r="E1471" s="1" t="s">
        <v>29931</v>
      </c>
      <c r="F1471" s="6" t="s">
        <v>132</v>
      </c>
      <c r="G1471" s="1" t="s">
        <v>29932</v>
      </c>
      <c r="H1471" s="1" t="s">
        <v>29933</v>
      </c>
      <c r="I1471" s="1" t="s">
        <v>29934</v>
      </c>
      <c r="J1471" s="6" t="s">
        <v>29935</v>
      </c>
      <c r="K1471" s="1" t="s">
        <v>29936</v>
      </c>
      <c r="L1471" s="1" t="s">
        <v>29937</v>
      </c>
      <c r="M1471" s="1" t="s">
        <v>29938</v>
      </c>
      <c r="N1471" s="6" t="s">
        <v>132</v>
      </c>
      <c r="O1471" s="6" t="s">
        <v>29939</v>
      </c>
      <c r="P1471" s="1" t="s">
        <v>29940</v>
      </c>
      <c r="Q1471" s="1" t="s">
        <v>29941</v>
      </c>
      <c r="R1471" s="1" t="s">
        <v>29942</v>
      </c>
      <c r="S1471" s="10" t="s">
        <v>29943</v>
      </c>
      <c r="T1471" s="1" t="s">
        <v>29944</v>
      </c>
      <c r="U1471" s="1" t="s">
        <v>29945</v>
      </c>
      <c r="V1471" s="1" t="s">
        <v>29946</v>
      </c>
      <c r="W1471" s="1" t="s">
        <v>29947</v>
      </c>
      <c r="X1471" s="1" t="s">
        <v>29948</v>
      </c>
      <c r="Y1471" s="1" t="s">
        <v>29949</v>
      </c>
      <c r="Z1471" s="1" t="s">
        <v>29950</v>
      </c>
      <c r="AA1471" s="1" t="s">
        <v>29951</v>
      </c>
      <c r="AB1471" s="1" t="s">
        <v>29952</v>
      </c>
      <c r="AC1471" s="1" t="s">
        <v>29953</v>
      </c>
      <c r="AD1471" s="6" t="s">
        <v>29954</v>
      </c>
      <c r="AE1471" s="1" t="s">
        <v>29955</v>
      </c>
      <c r="AF1471" s="1" t="s">
        <v>29956</v>
      </c>
      <c r="AG1471" s="6" t="s">
        <v>29957</v>
      </c>
      <c r="AH1471" s="1" t="s">
        <v>29958</v>
      </c>
      <c r="AI1471" s="6" t="s">
        <v>132</v>
      </c>
      <c r="AJ1471" s="6" t="s">
        <v>29959</v>
      </c>
      <c r="AK1471" s="1" t="s">
        <v>29960</v>
      </c>
      <c r="AL1471" s="6" t="s">
        <v>29961</v>
      </c>
    </row>
    <row r="1472" ht="15.75" customHeight="1">
      <c r="A1472" s="1" t="s">
        <v>127</v>
      </c>
      <c r="B1472" s="1" t="s">
        <v>29962</v>
      </c>
      <c r="C1472" s="1" t="s">
        <v>906</v>
      </c>
      <c r="D1472" s="8" t="s">
        <v>907</v>
      </c>
      <c r="E1472" s="1" t="s">
        <v>908</v>
      </c>
      <c r="F1472" s="6" t="s">
        <v>132</v>
      </c>
      <c r="G1472" s="1" t="s">
        <v>29963</v>
      </c>
      <c r="H1472" s="1" t="s">
        <v>910</v>
      </c>
      <c r="I1472" s="1" t="s">
        <v>906</v>
      </c>
      <c r="J1472" s="6" t="s">
        <v>911</v>
      </c>
      <c r="K1472" s="1" t="s">
        <v>912</v>
      </c>
      <c r="L1472" s="1" t="s">
        <v>913</v>
      </c>
      <c r="M1472" s="1" t="s">
        <v>906</v>
      </c>
      <c r="N1472" s="6" t="s">
        <v>132</v>
      </c>
      <c r="O1472" s="6" t="s">
        <v>914</v>
      </c>
      <c r="P1472" s="1" t="s">
        <v>915</v>
      </c>
      <c r="Q1472" s="1" t="s">
        <v>916</v>
      </c>
      <c r="R1472" s="1" t="s">
        <v>917</v>
      </c>
      <c r="S1472" s="10" t="s">
        <v>29964</v>
      </c>
      <c r="T1472" s="1" t="s">
        <v>919</v>
      </c>
      <c r="U1472" s="1" t="s">
        <v>920</v>
      </c>
      <c r="V1472" s="1" t="s">
        <v>916</v>
      </c>
      <c r="W1472" s="1" t="s">
        <v>921</v>
      </c>
      <c r="X1472" s="1" t="s">
        <v>922</v>
      </c>
      <c r="Y1472" s="1" t="s">
        <v>923</v>
      </c>
      <c r="Z1472" s="1" t="s">
        <v>29599</v>
      </c>
      <c r="AA1472" s="1" t="s">
        <v>925</v>
      </c>
      <c r="AB1472" s="1" t="s">
        <v>926</v>
      </c>
      <c r="AC1472" s="1" t="s">
        <v>927</v>
      </c>
      <c r="AD1472" s="6" t="s">
        <v>29965</v>
      </c>
      <c r="AE1472" s="1" t="s">
        <v>928</v>
      </c>
      <c r="AF1472" s="1" t="s">
        <v>922</v>
      </c>
      <c r="AG1472" s="6" t="s">
        <v>29966</v>
      </c>
      <c r="AH1472" s="1" t="s">
        <v>930</v>
      </c>
      <c r="AI1472" s="6" t="s">
        <v>132</v>
      </c>
      <c r="AJ1472" s="6" t="s">
        <v>931</v>
      </c>
      <c r="AK1472" s="1" t="s">
        <v>29967</v>
      </c>
      <c r="AL1472" s="6" t="s">
        <v>29968</v>
      </c>
    </row>
    <row r="1473" ht="15.75" customHeight="1">
      <c r="A1473" s="1" t="s">
        <v>127</v>
      </c>
      <c r="B1473" s="1" t="s">
        <v>29969</v>
      </c>
      <c r="C1473" s="1" t="s">
        <v>29970</v>
      </c>
      <c r="D1473" s="8" t="s">
        <v>29971</v>
      </c>
      <c r="E1473" s="1" t="s">
        <v>29972</v>
      </c>
      <c r="F1473" s="6" t="s">
        <v>132</v>
      </c>
      <c r="G1473" s="1" t="s">
        <v>29973</v>
      </c>
      <c r="H1473" s="1" t="s">
        <v>29974</v>
      </c>
      <c r="I1473" s="1" t="s">
        <v>29975</v>
      </c>
      <c r="J1473" s="6" t="s">
        <v>29976</v>
      </c>
      <c r="K1473" s="1" t="s">
        <v>29977</v>
      </c>
      <c r="L1473" s="1" t="s">
        <v>29978</v>
      </c>
      <c r="M1473" s="1" t="s">
        <v>29979</v>
      </c>
      <c r="N1473" s="6" t="s">
        <v>132</v>
      </c>
      <c r="O1473" s="6" t="s">
        <v>29980</v>
      </c>
      <c r="P1473" s="1" t="s">
        <v>29981</v>
      </c>
      <c r="Q1473" s="1" t="s">
        <v>29982</v>
      </c>
      <c r="R1473" s="1" t="s">
        <v>29983</v>
      </c>
      <c r="S1473" s="10" t="s">
        <v>29984</v>
      </c>
      <c r="T1473" s="1" t="s">
        <v>29985</v>
      </c>
      <c r="U1473" s="1" t="s">
        <v>29986</v>
      </c>
      <c r="V1473" s="1" t="s">
        <v>29987</v>
      </c>
      <c r="W1473" s="1" t="s">
        <v>29988</v>
      </c>
      <c r="X1473" s="1" t="s">
        <v>29989</v>
      </c>
      <c r="Y1473" s="1" t="s">
        <v>29990</v>
      </c>
      <c r="Z1473" s="1" t="s">
        <v>29991</v>
      </c>
      <c r="AA1473" s="1" t="s">
        <v>29992</v>
      </c>
      <c r="AB1473" s="1" t="s">
        <v>29993</v>
      </c>
      <c r="AC1473" s="1" t="s">
        <v>29994</v>
      </c>
      <c r="AD1473" s="6" t="s">
        <v>29995</v>
      </c>
      <c r="AE1473" s="1" t="s">
        <v>29996</v>
      </c>
      <c r="AF1473" s="1" t="s">
        <v>29997</v>
      </c>
      <c r="AG1473" s="6" t="s">
        <v>29998</v>
      </c>
      <c r="AH1473" s="1" t="s">
        <v>29999</v>
      </c>
      <c r="AI1473" s="6" t="s">
        <v>132</v>
      </c>
      <c r="AJ1473" s="6" t="s">
        <v>30000</v>
      </c>
      <c r="AK1473" s="1" t="s">
        <v>30001</v>
      </c>
      <c r="AL1473" s="6" t="s">
        <v>30002</v>
      </c>
    </row>
    <row r="1474" ht="15.75" customHeight="1">
      <c r="A1474" s="1" t="s">
        <v>127</v>
      </c>
      <c r="B1474" s="1" t="s">
        <v>30003</v>
      </c>
      <c r="C1474" s="1" t="s">
        <v>30004</v>
      </c>
      <c r="D1474" s="8" t="s">
        <v>30005</v>
      </c>
      <c r="E1474" s="1" t="s">
        <v>30006</v>
      </c>
      <c r="F1474" s="6" t="s">
        <v>132</v>
      </c>
      <c r="G1474" s="1" t="s">
        <v>30004</v>
      </c>
      <c r="H1474" s="1" t="s">
        <v>30007</v>
      </c>
      <c r="I1474" s="1" t="s">
        <v>30004</v>
      </c>
      <c r="J1474" s="6" t="s">
        <v>30008</v>
      </c>
      <c r="K1474" s="1" t="s">
        <v>30009</v>
      </c>
      <c r="L1474" s="1" t="s">
        <v>30010</v>
      </c>
      <c r="M1474" s="1" t="s">
        <v>30004</v>
      </c>
      <c r="N1474" s="6" t="s">
        <v>132</v>
      </c>
      <c r="O1474" s="6" t="s">
        <v>30011</v>
      </c>
      <c r="P1474" s="1" t="s">
        <v>30012</v>
      </c>
      <c r="Q1474" s="1" t="s">
        <v>30013</v>
      </c>
      <c r="R1474" s="1" t="s">
        <v>30014</v>
      </c>
      <c r="S1474" s="10" t="s">
        <v>30015</v>
      </c>
      <c r="T1474" s="1" t="s">
        <v>30016</v>
      </c>
      <c r="U1474" s="1" t="s">
        <v>30017</v>
      </c>
      <c r="V1474" s="1" t="s">
        <v>30018</v>
      </c>
      <c r="W1474" s="1" t="s">
        <v>30019</v>
      </c>
      <c r="X1474" s="1" t="s">
        <v>30004</v>
      </c>
      <c r="Y1474" s="1" t="s">
        <v>30020</v>
      </c>
      <c r="Z1474" s="1" t="s">
        <v>30009</v>
      </c>
      <c r="AA1474" s="1" t="s">
        <v>30004</v>
      </c>
      <c r="AB1474" s="1" t="s">
        <v>30021</v>
      </c>
      <c r="AC1474" s="1" t="s">
        <v>30022</v>
      </c>
      <c r="AD1474" s="6" t="s">
        <v>30023</v>
      </c>
      <c r="AE1474" s="1" t="s">
        <v>30024</v>
      </c>
      <c r="AF1474" s="1" t="s">
        <v>30025</v>
      </c>
      <c r="AG1474" s="6" t="s">
        <v>30026</v>
      </c>
      <c r="AH1474" s="1" t="s">
        <v>30027</v>
      </c>
      <c r="AI1474" s="6" t="s">
        <v>132</v>
      </c>
      <c r="AJ1474" s="6" t="s">
        <v>30028</v>
      </c>
      <c r="AK1474" s="1" t="s">
        <v>30029</v>
      </c>
      <c r="AL1474" s="6" t="s">
        <v>30030</v>
      </c>
    </row>
    <row r="1475" ht="15.75" customHeight="1">
      <c r="A1475" s="1" t="s">
        <v>127</v>
      </c>
      <c r="B1475" s="1" t="s">
        <v>30031</v>
      </c>
      <c r="C1475" s="1" t="s">
        <v>30032</v>
      </c>
      <c r="D1475" s="8" t="s">
        <v>30033</v>
      </c>
      <c r="E1475" s="1" t="s">
        <v>30032</v>
      </c>
      <c r="F1475" s="6" t="s">
        <v>132</v>
      </c>
      <c r="G1475" s="1" t="s">
        <v>30032</v>
      </c>
      <c r="H1475" s="1" t="s">
        <v>30032</v>
      </c>
      <c r="I1475" s="1" t="s">
        <v>30032</v>
      </c>
      <c r="J1475" s="6" t="s">
        <v>30032</v>
      </c>
      <c r="K1475" s="1" t="s">
        <v>30032</v>
      </c>
      <c r="L1475" s="1" t="s">
        <v>30032</v>
      </c>
      <c r="M1475" s="1" t="s">
        <v>30032</v>
      </c>
      <c r="N1475" s="6" t="s">
        <v>132</v>
      </c>
      <c r="O1475" s="6" t="s">
        <v>30034</v>
      </c>
      <c r="P1475" s="1" t="s">
        <v>30035</v>
      </c>
      <c r="Q1475" s="1" t="s">
        <v>30036</v>
      </c>
      <c r="R1475" s="1" t="s">
        <v>30032</v>
      </c>
      <c r="S1475" s="10" t="s">
        <v>30037</v>
      </c>
      <c r="T1475" s="1" t="s">
        <v>30032</v>
      </c>
      <c r="U1475" s="1" t="s">
        <v>30038</v>
      </c>
      <c r="V1475" s="1" t="s">
        <v>30036</v>
      </c>
      <c r="W1475" s="1" t="s">
        <v>30032</v>
      </c>
      <c r="X1475" s="1" t="s">
        <v>30039</v>
      </c>
      <c r="Y1475" s="1" t="s">
        <v>30032</v>
      </c>
      <c r="Z1475" s="1" t="s">
        <v>30032</v>
      </c>
      <c r="AA1475" s="1" t="s">
        <v>30032</v>
      </c>
      <c r="AB1475" s="1" t="s">
        <v>30032</v>
      </c>
      <c r="AC1475" s="1" t="s">
        <v>30040</v>
      </c>
      <c r="AD1475" s="6" t="s">
        <v>30039</v>
      </c>
      <c r="AE1475" s="1" t="s">
        <v>30032</v>
      </c>
      <c r="AF1475" s="1" t="s">
        <v>30032</v>
      </c>
      <c r="AG1475" s="6" t="s">
        <v>30032</v>
      </c>
      <c r="AH1475" s="1" t="s">
        <v>30041</v>
      </c>
      <c r="AI1475" s="6" t="s">
        <v>132</v>
      </c>
      <c r="AJ1475" s="6" t="s">
        <v>30042</v>
      </c>
      <c r="AK1475" s="1" t="s">
        <v>30043</v>
      </c>
      <c r="AL1475" s="6" t="s">
        <v>30044</v>
      </c>
    </row>
    <row r="1476" ht="15.75" customHeight="1">
      <c r="A1476" s="1" t="s">
        <v>127</v>
      </c>
      <c r="B1476" s="1" t="s">
        <v>30045</v>
      </c>
      <c r="C1476" s="1" t="s">
        <v>30046</v>
      </c>
      <c r="D1476" s="8" t="s">
        <v>30047</v>
      </c>
      <c r="E1476" s="1" t="s">
        <v>24730</v>
      </c>
      <c r="F1476" s="6" t="s">
        <v>132</v>
      </c>
      <c r="G1476" s="1" t="s">
        <v>24750</v>
      </c>
      <c r="H1476" s="1" t="s">
        <v>30048</v>
      </c>
      <c r="I1476" s="1" t="s">
        <v>30048</v>
      </c>
      <c r="J1476" s="6" t="s">
        <v>30049</v>
      </c>
      <c r="K1476" s="1" t="s">
        <v>30050</v>
      </c>
      <c r="L1476" s="1" t="s">
        <v>30051</v>
      </c>
      <c r="M1476" s="1" t="s">
        <v>30052</v>
      </c>
      <c r="N1476" s="6" t="s">
        <v>132</v>
      </c>
      <c r="O1476" s="6" t="s">
        <v>30053</v>
      </c>
      <c r="P1476" s="1" t="s">
        <v>30054</v>
      </c>
      <c r="Q1476" s="1" t="s">
        <v>24740</v>
      </c>
      <c r="R1476" s="1" t="s">
        <v>30055</v>
      </c>
      <c r="S1476" s="10" t="s">
        <v>30056</v>
      </c>
      <c r="T1476" s="1" t="s">
        <v>24743</v>
      </c>
      <c r="U1476" s="1" t="s">
        <v>24744</v>
      </c>
      <c r="V1476" s="1" t="s">
        <v>24740</v>
      </c>
      <c r="W1476" s="1" t="s">
        <v>30057</v>
      </c>
      <c r="X1476" s="1" t="s">
        <v>30058</v>
      </c>
      <c r="Y1476" s="1" t="s">
        <v>24747</v>
      </c>
      <c r="Z1476" s="1" t="s">
        <v>30059</v>
      </c>
      <c r="AA1476" s="1" t="s">
        <v>30060</v>
      </c>
      <c r="AB1476" s="1" t="s">
        <v>30061</v>
      </c>
      <c r="AC1476" s="1" t="s">
        <v>30062</v>
      </c>
      <c r="AD1476" s="6" t="s">
        <v>30063</v>
      </c>
      <c r="AE1476" s="1" t="s">
        <v>30064</v>
      </c>
      <c r="AF1476" s="1" t="s">
        <v>30048</v>
      </c>
      <c r="AG1476" s="6" t="s">
        <v>24753</v>
      </c>
      <c r="AH1476" s="1" t="s">
        <v>30065</v>
      </c>
      <c r="AI1476" s="6" t="s">
        <v>132</v>
      </c>
      <c r="AJ1476" s="6" t="s">
        <v>24755</v>
      </c>
      <c r="AK1476" s="1" t="s">
        <v>26449</v>
      </c>
      <c r="AL1476" s="6" t="s">
        <v>26450</v>
      </c>
    </row>
    <row r="1477" ht="15.75" customHeight="1">
      <c r="A1477" s="1" t="s">
        <v>127</v>
      </c>
      <c r="B1477" s="1" t="s">
        <v>30066</v>
      </c>
      <c r="C1477" s="1" t="s">
        <v>4011</v>
      </c>
      <c r="D1477" s="8" t="s">
        <v>4012</v>
      </c>
      <c r="E1477" s="1" t="s">
        <v>4013</v>
      </c>
      <c r="F1477" s="6" t="s">
        <v>132</v>
      </c>
      <c r="G1477" s="1" t="s">
        <v>4011</v>
      </c>
      <c r="H1477" s="1" t="s">
        <v>4014</v>
      </c>
      <c r="I1477" s="1" t="s">
        <v>4011</v>
      </c>
      <c r="J1477" s="6" t="s">
        <v>4015</v>
      </c>
      <c r="K1477" s="1" t="s">
        <v>4016</v>
      </c>
      <c r="L1477" s="1" t="s">
        <v>4017</v>
      </c>
      <c r="M1477" s="1" t="s">
        <v>4018</v>
      </c>
      <c r="N1477" s="6" t="s">
        <v>132</v>
      </c>
      <c r="O1477" s="6" t="s">
        <v>4019</v>
      </c>
      <c r="P1477" s="1" t="s">
        <v>4011</v>
      </c>
      <c r="Q1477" s="1" t="s">
        <v>4014</v>
      </c>
      <c r="R1477" s="1" t="s">
        <v>4018</v>
      </c>
      <c r="S1477" s="10" t="s">
        <v>4020</v>
      </c>
      <c r="T1477" s="1" t="s">
        <v>4021</v>
      </c>
      <c r="U1477" s="1" t="s">
        <v>4022</v>
      </c>
      <c r="V1477" s="1" t="s">
        <v>4014</v>
      </c>
      <c r="W1477" s="1" t="s">
        <v>4011</v>
      </c>
      <c r="X1477" s="1" t="s">
        <v>4014</v>
      </c>
      <c r="Y1477" s="1" t="s">
        <v>4014</v>
      </c>
      <c r="Z1477" s="1" t="s">
        <v>4016</v>
      </c>
      <c r="AA1477" s="1" t="s">
        <v>4011</v>
      </c>
      <c r="AB1477" s="1" t="s">
        <v>4013</v>
      </c>
      <c r="AC1477" s="1" t="s">
        <v>4011</v>
      </c>
      <c r="AD1477" s="6" t="s">
        <v>30067</v>
      </c>
      <c r="AE1477" s="1" t="s">
        <v>4014</v>
      </c>
      <c r="AF1477" s="1" t="s">
        <v>4011</v>
      </c>
      <c r="AG1477" s="6" t="s">
        <v>4024</v>
      </c>
      <c r="AH1477" s="1" t="s">
        <v>4025</v>
      </c>
      <c r="AI1477" s="6" t="s">
        <v>132</v>
      </c>
      <c r="AJ1477" s="6" t="s">
        <v>4026</v>
      </c>
      <c r="AK1477" s="1" t="s">
        <v>4027</v>
      </c>
      <c r="AL1477" s="6" t="s">
        <v>4028</v>
      </c>
    </row>
    <row r="1478" ht="15.75" customHeight="1">
      <c r="A1478" s="1" t="s">
        <v>127</v>
      </c>
      <c r="B1478" s="1" t="s">
        <v>30068</v>
      </c>
      <c r="C1478" s="1" t="s">
        <v>23701</v>
      </c>
      <c r="D1478" s="8" t="s">
        <v>23702</v>
      </c>
      <c r="E1478" s="1" t="s">
        <v>23703</v>
      </c>
      <c r="F1478" s="6" t="s">
        <v>132</v>
      </c>
      <c r="G1478" s="1" t="s">
        <v>23704</v>
      </c>
      <c r="H1478" s="1" t="s">
        <v>23705</v>
      </c>
      <c r="I1478" s="1" t="s">
        <v>23701</v>
      </c>
      <c r="J1478" s="6" t="s">
        <v>23706</v>
      </c>
      <c r="K1478" s="1" t="s">
        <v>23701</v>
      </c>
      <c r="L1478" s="1" t="s">
        <v>23707</v>
      </c>
      <c r="M1478" s="1" t="s">
        <v>23708</v>
      </c>
      <c r="N1478" s="6" t="s">
        <v>132</v>
      </c>
      <c r="O1478" s="6" t="s">
        <v>23709</v>
      </c>
      <c r="P1478" s="1" t="s">
        <v>23701</v>
      </c>
      <c r="Q1478" s="1" t="s">
        <v>23710</v>
      </c>
      <c r="R1478" s="1" t="s">
        <v>23701</v>
      </c>
      <c r="S1478" s="10" t="s">
        <v>23711</v>
      </c>
      <c r="T1478" s="1" t="s">
        <v>23712</v>
      </c>
      <c r="U1478" s="1" t="s">
        <v>23713</v>
      </c>
      <c r="V1478" s="1" t="s">
        <v>23710</v>
      </c>
      <c r="W1478" s="1" t="s">
        <v>23701</v>
      </c>
      <c r="X1478" s="1" t="s">
        <v>23715</v>
      </c>
      <c r="Y1478" s="1" t="s">
        <v>30069</v>
      </c>
      <c r="Z1478" s="1" t="s">
        <v>30070</v>
      </c>
      <c r="AA1478" s="1" t="s">
        <v>30071</v>
      </c>
      <c r="AB1478" s="1" t="s">
        <v>23717</v>
      </c>
      <c r="AC1478" s="1" t="s">
        <v>23718</v>
      </c>
      <c r="AD1478" s="6" t="s">
        <v>23719</v>
      </c>
      <c r="AE1478" s="1" t="s">
        <v>23701</v>
      </c>
      <c r="AF1478" s="1" t="s">
        <v>23720</v>
      </c>
      <c r="AG1478" s="6" t="s">
        <v>23721</v>
      </c>
      <c r="AH1478" s="1" t="s">
        <v>23722</v>
      </c>
      <c r="AI1478" s="6" t="s">
        <v>132</v>
      </c>
      <c r="AJ1478" s="6" t="s">
        <v>23723</v>
      </c>
      <c r="AK1478" s="1" t="s">
        <v>30072</v>
      </c>
      <c r="AL1478" s="6" t="s">
        <v>30073</v>
      </c>
    </row>
    <row r="1479" ht="15.75" hidden="1" customHeight="1">
      <c r="A1479" s="1" t="s">
        <v>38</v>
      </c>
      <c r="B1479" s="1" t="s">
        <v>30074</v>
      </c>
      <c r="C1479" s="1" t="s">
        <v>30075</v>
      </c>
      <c r="D1479" s="7" t="str">
        <f>IFERROR(__xludf.DUMMYFUNCTION("GOOGLETRANSLATE(C1479, ""en"", ""ar"")"),"جامايكا")</f>
        <v>جامايكا</v>
      </c>
      <c r="E1479" s="7" t="str">
        <f>IFERROR(__xludf.DUMMYFUNCTION("GOOGLETRANSLATE(C1479, ""en"", ""bg"")"),"Ямайка")</f>
        <v>Ямайка</v>
      </c>
      <c r="F1479" s="6" t="s">
        <v>132</v>
      </c>
      <c r="G1479" s="7" t="str">
        <f>IFERROR(__xludf.DUMMYFUNCTION("GOOGLETRANSLATE(C1479, ""en"", ""cs"")"),"Jamaica")</f>
        <v>Jamaica</v>
      </c>
      <c r="H1479" s="7" t="str">
        <f>IFERROR(__xludf.DUMMYFUNCTION("GOOGLETRANSLATE(C1479, ""en"", ""da"")"),"Jamaica.")</f>
        <v>Jamaica.</v>
      </c>
      <c r="I1479" s="1" t="s">
        <v>30075</v>
      </c>
      <c r="J1479" s="6" t="s">
        <v>132</v>
      </c>
      <c r="K1479" s="1" t="s">
        <v>30075</v>
      </c>
      <c r="L1479" s="7" t="str">
        <f>IFERROR(__xludf.DUMMYFUNCTION("GOOGLETRANSLATE(C1479, ""en"", ""fi"")"),"Jamaika")</f>
        <v>Jamaika</v>
      </c>
      <c r="M1479" s="1" t="s">
        <v>30076</v>
      </c>
      <c r="N1479" s="6" t="s">
        <v>132</v>
      </c>
      <c r="O1479" s="6" t="s">
        <v>132</v>
      </c>
      <c r="P1479" s="1" t="s">
        <v>30075</v>
      </c>
      <c r="Q1479" s="7" t="str">
        <f>IFERROR(__xludf.DUMMYFUNCTION("GOOGLETRANSLATE(C1479, ""en"", ""in"")"),"Jamaika.")</f>
        <v>Jamaika.</v>
      </c>
      <c r="R1479" s="7" t="str">
        <f>IFERROR(__xludf.DUMMYFUNCTION("GOOGLETRANSLATE(C1479, ""en"", ""it"")"),"Giamaica")</f>
        <v>Giamaica</v>
      </c>
      <c r="S1479" s="6" t="s">
        <v>132</v>
      </c>
      <c r="T1479" s="7" t="str">
        <f>IFERROR(__xludf.DUMMYFUNCTION("GOOGLETRANSLATE(C1479, ""en"", ""ja"")"),"ジャマイカ")</f>
        <v>ジャマイカ</v>
      </c>
      <c r="U1479" s="7" t="str">
        <f>IFERROR(__xludf.DUMMYFUNCTION("GOOGLETRANSLATE(C1479, ""en"", ""ko"")"),"자메이카")</f>
        <v>자메이카</v>
      </c>
      <c r="V1479" s="7" t="str">
        <f>IFERROR(__xludf.DUMMYFUNCTION("GOOGLETRANSLATE(C1479, ""en"", ""ms"")"),"Jamaica")</f>
        <v>Jamaica</v>
      </c>
      <c r="W1479" s="7" t="str">
        <f>IFERROR(__xludf.DUMMYFUNCTION("GOOGLETRANSLATE(C1479, ""en"", ""nl"")"),"Jamaica")</f>
        <v>Jamaica</v>
      </c>
      <c r="X1479" s="7" t="str">
        <f>IFERROR(__xludf.DUMMYFUNCTION("GOOGLETRANSLATE(C1479, ""en"", ""no"")"),"Jamaica.")</f>
        <v>Jamaica.</v>
      </c>
      <c r="Y1479" s="7" t="str">
        <f>IFERROR(__xludf.DUMMYFUNCTION("GOOGLETRANSLATE(C1479, ""en"", ""pl"")"),"Jamajka")</f>
        <v>Jamajka</v>
      </c>
      <c r="Z1479" s="7" t="str">
        <f>IFERROR(__xludf.DUMMYFUNCTION("GOOGLETRANSLATE(C1479, ""en"", ""pt"")"),"Jamaica")</f>
        <v>Jamaica</v>
      </c>
      <c r="AA1479" s="7" t="str">
        <f>IFERROR(__xludf.DUMMYFUNCTION("GOOGLETRANSLATE(C1479, ""en"", ""ro"")"),"Jamaica.")</f>
        <v>Jamaica.</v>
      </c>
      <c r="AB1479" s="1" t="s">
        <v>30077</v>
      </c>
      <c r="AC1479" s="7" t="str">
        <f>IFERROR(__xludf.DUMMYFUNCTION("GOOGLETRANSLATE(C1479, ""en"", ""sk"")"),"Jamaica")</f>
        <v>Jamaica</v>
      </c>
      <c r="AD1479" s="6" t="s">
        <v>132</v>
      </c>
      <c r="AE1479" s="1" t="s">
        <v>30078</v>
      </c>
      <c r="AF1479" s="7" t="str">
        <f>IFERROR(__xludf.DUMMYFUNCTION("GOOGLETRANSLATE(C1479, ""en"", ""sv"")"),"Jamaica")</f>
        <v>Jamaica</v>
      </c>
      <c r="AG1479" s="6" t="s">
        <v>132</v>
      </c>
      <c r="AH1479" s="7" t="str">
        <f>IFERROR(__xludf.DUMMYFUNCTION("GOOGLETRANSLATE(C1479, ""en"", ""tr"")"),"Jamaika")</f>
        <v>Jamaika</v>
      </c>
      <c r="AI1479" s="6" t="s">
        <v>132</v>
      </c>
      <c r="AJ1479" s="6" t="s">
        <v>132</v>
      </c>
      <c r="AK1479" s="7" t="str">
        <f>IFERROR(__xludf.DUMMYFUNCTION("GOOGLETRANSLATE(C1479, ""en"", ""zh"")"),"牙买加")</f>
        <v>牙买加</v>
      </c>
      <c r="AL1479" s="6" t="s">
        <v>132</v>
      </c>
    </row>
    <row r="1480" ht="15.75" hidden="1" customHeight="1">
      <c r="A1480" s="1" t="s">
        <v>38</v>
      </c>
      <c r="B1480" s="1" t="s">
        <v>30079</v>
      </c>
      <c r="C1480" s="1" t="s">
        <v>3604</v>
      </c>
      <c r="D1480" s="8" t="s">
        <v>30080</v>
      </c>
      <c r="E1480" s="1" t="s">
        <v>30081</v>
      </c>
      <c r="F1480" s="6" t="s">
        <v>3612</v>
      </c>
      <c r="G1480" s="7" t="str">
        <f>IFERROR(__xludf.DUMMYFUNCTION("GOOGLETRANSLATE(C1480, ""en"", ""cs"")"),"Nikdy")</f>
        <v>Nikdy</v>
      </c>
      <c r="H1480" s="7" t="str">
        <f>IFERROR(__xludf.DUMMYFUNCTION("GOOGLETRANSLATE(C1480, ""en"", ""da"")"),"Aldrig")</f>
        <v>Aldrig</v>
      </c>
      <c r="I1480" s="1" t="s">
        <v>3606</v>
      </c>
      <c r="J1480" s="6" t="s">
        <v>132</v>
      </c>
      <c r="K1480" s="1" t="s">
        <v>3607</v>
      </c>
      <c r="L1480" s="7" t="str">
        <f>IFERROR(__xludf.DUMMYFUNCTION("GOOGLETRANSLATE(C1480, ""en"", ""fi"")"),"Ei koskaan")</f>
        <v>Ei koskaan</v>
      </c>
      <c r="M1480" s="1" t="s">
        <v>3609</v>
      </c>
      <c r="N1480" s="6" t="s">
        <v>3607</v>
      </c>
      <c r="O1480" s="6" t="s">
        <v>132</v>
      </c>
      <c r="P1480" s="1" t="s">
        <v>3610</v>
      </c>
      <c r="Q1480" s="9" t="s">
        <v>3611</v>
      </c>
      <c r="R1480" s="1" t="s">
        <v>3612</v>
      </c>
      <c r="S1480" s="6" t="s">
        <v>132</v>
      </c>
      <c r="T1480" s="1" t="s">
        <v>1936</v>
      </c>
      <c r="U1480" s="1" t="s">
        <v>30082</v>
      </c>
      <c r="V1480" s="7" t="str">
        <f>IFERROR(__xludf.DUMMYFUNCTION("GOOGLETRANSLATE(C1480, ""en"", ""ms"")"),"Tidak pernah")</f>
        <v>Tidak pernah</v>
      </c>
      <c r="W1480" s="1" t="s">
        <v>3616</v>
      </c>
      <c r="X1480" s="7" t="str">
        <f>IFERROR(__xludf.DUMMYFUNCTION("GOOGLETRANSLATE(C1480, ""en"", ""no"")"),"Aldri")</f>
        <v>Aldri</v>
      </c>
      <c r="Y1480" s="1" t="s">
        <v>3618</v>
      </c>
      <c r="Z1480" s="1" t="s">
        <v>3607</v>
      </c>
      <c r="AA1480" s="7" t="str">
        <f>IFERROR(__xludf.DUMMYFUNCTION("GOOGLETRANSLATE(C1480, ""en"", ""ro"")"),"Nu")</f>
        <v>Nu</v>
      </c>
      <c r="AB1480" s="1" t="s">
        <v>3619</v>
      </c>
      <c r="AC1480" s="1" t="s">
        <v>30083</v>
      </c>
      <c r="AD1480" s="6" t="s">
        <v>132</v>
      </c>
      <c r="AE1480" s="1" t="s">
        <v>30084</v>
      </c>
      <c r="AF1480" s="1" t="s">
        <v>3605</v>
      </c>
      <c r="AG1480" s="6" t="s">
        <v>132</v>
      </c>
      <c r="AH1480" s="7" t="str">
        <f>IFERROR(__xludf.DUMMYFUNCTION("GOOGLETRANSLATE(C1480, ""en"", ""tr"")"),"Asla")</f>
        <v>Asla</v>
      </c>
      <c r="AI1480" s="6" t="s">
        <v>30085</v>
      </c>
      <c r="AJ1480" s="6" t="s">
        <v>30086</v>
      </c>
      <c r="AK1480" s="7" t="str">
        <f>IFERROR(__xludf.DUMMYFUNCTION("GOOGLETRANSLATE(C1480, ""en"", ""zh"")"),"绝不")</f>
        <v>绝不</v>
      </c>
      <c r="AL1480" s="6" t="s">
        <v>30087</v>
      </c>
    </row>
    <row r="1481" ht="15.75" hidden="1" customHeight="1">
      <c r="A1481" s="1" t="s">
        <v>38</v>
      </c>
      <c r="B1481" s="1" t="s">
        <v>30088</v>
      </c>
      <c r="C1481" s="1" t="s">
        <v>30089</v>
      </c>
      <c r="D1481" s="7" t="str">
        <f>IFERROR(__xludf.DUMMYFUNCTION("GOOGLETRANSLATE(C1481, ""en"", ""ar"")"),"المحادثات المقابلة مغلقة.")</f>
        <v>المحادثات المقابلة مغلقة.</v>
      </c>
      <c r="E1481" s="1" t="s">
        <v>30090</v>
      </c>
      <c r="F1481" s="6" t="s">
        <v>30091</v>
      </c>
      <c r="G1481" s="7" t="str">
        <f>IFERROR(__xludf.DUMMYFUNCTION("GOOGLETRANSLATE(C1481, ""en"", ""cs"")"),"Odpovídající konverzace zavřené.")</f>
        <v>Odpovídající konverzace zavřené.</v>
      </c>
      <c r="H1481" s="7" t="str">
        <f>IFERROR(__xludf.DUMMYFUNCTION("GOOGLETRANSLATE(C1481, ""en"", ""da"")"),"Tilsvarende samtaler lukket.")</f>
        <v>Tilsvarende samtaler lukket.</v>
      </c>
      <c r="I1481" s="1" t="s">
        <v>30092</v>
      </c>
      <c r="J1481" s="6" t="s">
        <v>132</v>
      </c>
      <c r="K1481" s="1" t="s">
        <v>30093</v>
      </c>
      <c r="L1481" s="7" t="str">
        <f>IFERROR(__xludf.DUMMYFUNCTION("GOOGLETRANSLATE(C1481, ""en"", ""fi"")"),"Vastaavat keskustelut suljetaan.")</f>
        <v>Vastaavat keskustelut suljetaan.</v>
      </c>
      <c r="M1481" s="1" t="s">
        <v>30094</v>
      </c>
      <c r="N1481" s="6" t="s">
        <v>30095</v>
      </c>
      <c r="O1481" s="6" t="s">
        <v>132</v>
      </c>
      <c r="P1481" s="1" t="s">
        <v>30096</v>
      </c>
      <c r="Q1481" s="7" t="str">
        <f>IFERROR(__xludf.DUMMYFUNCTION("GOOGLETRANSLATE(C1481, ""en"", ""in"")"),"Percakapan yang sesuai ditutup.")</f>
        <v>Percakapan yang sesuai ditutup.</v>
      </c>
      <c r="R1481" s="1" t="s">
        <v>30097</v>
      </c>
      <c r="S1481" s="6" t="s">
        <v>132</v>
      </c>
      <c r="T1481" s="1" t="s">
        <v>30098</v>
      </c>
      <c r="U1481" s="7" t="str">
        <f>IFERROR(__xludf.DUMMYFUNCTION("GOOGLETRANSLATE(C1481, ""en"", ""ko"")"),"해당 대화가 닫혔습니다.")</f>
        <v>해당 대화가 닫혔습니다.</v>
      </c>
      <c r="V1481" s="7" t="str">
        <f>IFERROR(__xludf.DUMMYFUNCTION("GOOGLETRANSLATE(C1481, ""en"", ""ms"")"),"Perbualan yang sama ditutup.")</f>
        <v>Perbualan yang sama ditutup.</v>
      </c>
      <c r="W1481" s="1" t="s">
        <v>30099</v>
      </c>
      <c r="X1481" s="7" t="str">
        <f>IFERROR(__xludf.DUMMYFUNCTION("GOOGLETRANSLATE(C1481, ""en"", ""no"")"),"Tilsvarende samtaler lukket.")</f>
        <v>Tilsvarende samtaler lukket.</v>
      </c>
      <c r="Y1481" s="1" t="s">
        <v>30100</v>
      </c>
      <c r="Z1481" s="7" t="str">
        <f>IFERROR(__xludf.DUMMYFUNCTION("GOOGLETRANSLATE(C1481, ""en"", ""pt"")"),"Conversas correspondentes fechadas.")</f>
        <v>Conversas correspondentes fechadas.</v>
      </c>
      <c r="AA1481" s="7" t="str">
        <f>IFERROR(__xludf.DUMMYFUNCTION("GOOGLETRANSLATE(C1481, ""en"", ""ro"")"),"Conversațiile corespunzătoare închise.")</f>
        <v>Conversațiile corespunzătoare închise.</v>
      </c>
      <c r="AB1481" s="1" t="s">
        <v>30101</v>
      </c>
      <c r="AC1481" s="7" t="str">
        <f>IFERROR(__xludf.DUMMYFUNCTION("GOOGLETRANSLATE(C1481, ""en"", ""sk"")"),"Zodpovedajúce konverzácie zatvorené.")</f>
        <v>Zodpovedajúce konverzácie zatvorené.</v>
      </c>
      <c r="AD1481" s="6" t="s">
        <v>132</v>
      </c>
      <c r="AE1481" s="1" t="s">
        <v>30102</v>
      </c>
      <c r="AF1481" s="1" t="s">
        <v>30103</v>
      </c>
      <c r="AG1481" s="6" t="s">
        <v>132</v>
      </c>
      <c r="AH1481" s="7" t="str">
        <f>IFERROR(__xludf.DUMMYFUNCTION("GOOGLETRANSLATE(C1481, ""en"", ""tr"")"),"Karşılık gelen konuşmalar kapalı.")</f>
        <v>Karşılık gelen konuşmalar kapalı.</v>
      </c>
      <c r="AI1481" s="6" t="s">
        <v>30104</v>
      </c>
      <c r="AJ1481" s="6" t="s">
        <v>132</v>
      </c>
      <c r="AK1481" s="7" t="str">
        <f>IFERROR(__xludf.DUMMYFUNCTION("GOOGLETRANSLATE(C1481, ""en"", ""zh"")"),"相应的对话关闭。")</f>
        <v>相应的对话关闭。</v>
      </c>
      <c r="AL1481" s="6" t="s">
        <v>30105</v>
      </c>
    </row>
    <row r="1482" ht="15.75" customHeight="1">
      <c r="A1482" s="1" t="s">
        <v>127</v>
      </c>
      <c r="B1482" s="1" t="s">
        <v>30106</v>
      </c>
      <c r="C1482" s="1" t="s">
        <v>30107</v>
      </c>
      <c r="D1482" s="8" t="s">
        <v>30108</v>
      </c>
      <c r="E1482" s="1" t="s">
        <v>30109</v>
      </c>
      <c r="F1482" s="6" t="s">
        <v>132</v>
      </c>
      <c r="G1482" s="1" t="s">
        <v>30110</v>
      </c>
      <c r="H1482" s="1" t="s">
        <v>30111</v>
      </c>
      <c r="I1482" s="1" t="s">
        <v>30112</v>
      </c>
      <c r="J1482" s="6" t="s">
        <v>30113</v>
      </c>
      <c r="K1482" s="1" t="s">
        <v>30114</v>
      </c>
      <c r="L1482" s="1" t="s">
        <v>30115</v>
      </c>
      <c r="M1482" s="1" t="s">
        <v>30116</v>
      </c>
      <c r="N1482" s="6" t="s">
        <v>132</v>
      </c>
      <c r="O1482" s="6" t="s">
        <v>30117</v>
      </c>
      <c r="P1482" s="1" t="s">
        <v>30118</v>
      </c>
      <c r="Q1482" s="1" t="s">
        <v>30119</v>
      </c>
      <c r="R1482" s="1" t="s">
        <v>30120</v>
      </c>
      <c r="S1482" s="10" t="s">
        <v>30121</v>
      </c>
      <c r="T1482" s="1" t="s">
        <v>30122</v>
      </c>
      <c r="U1482" s="1" t="s">
        <v>30123</v>
      </c>
      <c r="V1482" s="1" t="s">
        <v>30124</v>
      </c>
      <c r="W1482" s="1" t="s">
        <v>30125</v>
      </c>
      <c r="X1482" s="1" t="s">
        <v>30126</v>
      </c>
      <c r="Y1482" s="1" t="s">
        <v>30127</v>
      </c>
      <c r="Z1482" s="1" t="s">
        <v>30128</v>
      </c>
      <c r="AA1482" s="1" t="s">
        <v>30129</v>
      </c>
      <c r="AB1482" s="1" t="s">
        <v>30130</v>
      </c>
      <c r="AC1482" s="1" t="s">
        <v>30131</v>
      </c>
      <c r="AD1482" s="6" t="s">
        <v>30132</v>
      </c>
      <c r="AE1482" s="1" t="s">
        <v>30133</v>
      </c>
      <c r="AF1482" s="1" t="s">
        <v>30134</v>
      </c>
      <c r="AG1482" s="6" t="s">
        <v>30135</v>
      </c>
      <c r="AH1482" s="1" t="s">
        <v>30136</v>
      </c>
      <c r="AI1482" s="6" t="s">
        <v>132</v>
      </c>
      <c r="AJ1482" s="6" t="s">
        <v>30137</v>
      </c>
      <c r="AK1482" s="1" t="s">
        <v>30138</v>
      </c>
      <c r="AL1482" s="6" t="s">
        <v>132</v>
      </c>
    </row>
    <row r="1483" ht="15.75" customHeight="1">
      <c r="A1483" s="1" t="s">
        <v>2265</v>
      </c>
      <c r="B1483" s="1" t="s">
        <v>30139</v>
      </c>
      <c r="C1483" s="1" t="s">
        <v>30140</v>
      </c>
      <c r="D1483" s="8" t="s">
        <v>30141</v>
      </c>
      <c r="E1483" s="1" t="s">
        <v>30142</v>
      </c>
      <c r="F1483" s="6" t="s">
        <v>132</v>
      </c>
      <c r="G1483" s="1" t="s">
        <v>30143</v>
      </c>
      <c r="H1483" s="1" t="s">
        <v>30144</v>
      </c>
      <c r="I1483" s="1" t="s">
        <v>30145</v>
      </c>
      <c r="J1483" s="6" t="s">
        <v>30146</v>
      </c>
      <c r="K1483" s="1" t="s">
        <v>30147</v>
      </c>
      <c r="L1483" s="1" t="s">
        <v>30148</v>
      </c>
      <c r="M1483" s="1" t="s">
        <v>30149</v>
      </c>
      <c r="N1483" s="6" t="s">
        <v>132</v>
      </c>
      <c r="O1483" s="6" t="s">
        <v>30150</v>
      </c>
      <c r="P1483" s="1" t="s">
        <v>30151</v>
      </c>
      <c r="Q1483" s="1" t="s">
        <v>30152</v>
      </c>
      <c r="R1483" s="1" t="s">
        <v>30153</v>
      </c>
      <c r="S1483" s="10" t="s">
        <v>30154</v>
      </c>
      <c r="T1483" s="1" t="s">
        <v>30155</v>
      </c>
      <c r="U1483" s="1" t="s">
        <v>30156</v>
      </c>
      <c r="V1483" s="1" t="s">
        <v>30157</v>
      </c>
      <c r="W1483" s="1" t="s">
        <v>30158</v>
      </c>
      <c r="X1483" s="1" t="s">
        <v>30159</v>
      </c>
      <c r="Y1483" s="1" t="s">
        <v>30160</v>
      </c>
      <c r="Z1483" s="1" t="s">
        <v>30161</v>
      </c>
      <c r="AA1483" s="1" t="s">
        <v>30162</v>
      </c>
      <c r="AB1483" s="1" t="s">
        <v>30163</v>
      </c>
      <c r="AC1483" s="1" t="s">
        <v>30164</v>
      </c>
      <c r="AD1483" s="6" t="s">
        <v>30165</v>
      </c>
      <c r="AE1483" s="1" t="s">
        <v>30166</v>
      </c>
      <c r="AF1483" s="1" t="s">
        <v>30167</v>
      </c>
      <c r="AG1483" s="6" t="s">
        <v>30168</v>
      </c>
      <c r="AH1483" s="1" t="s">
        <v>30169</v>
      </c>
      <c r="AI1483" s="6" t="s">
        <v>132</v>
      </c>
      <c r="AJ1483" s="6" t="s">
        <v>30170</v>
      </c>
      <c r="AK1483" s="14" t="s">
        <v>30171</v>
      </c>
      <c r="AL1483" s="6" t="s">
        <v>132</v>
      </c>
    </row>
    <row r="1484" ht="15.75" customHeight="1">
      <c r="A1484" s="1" t="s">
        <v>127</v>
      </c>
      <c r="B1484" s="1" t="s">
        <v>30172</v>
      </c>
      <c r="C1484" s="1" t="s">
        <v>30173</v>
      </c>
      <c r="D1484" s="8" t="s">
        <v>30174</v>
      </c>
      <c r="E1484" s="1" t="s">
        <v>30175</v>
      </c>
      <c r="F1484" s="6" t="s">
        <v>132</v>
      </c>
      <c r="G1484" s="1" t="s">
        <v>30176</v>
      </c>
      <c r="H1484" s="1" t="s">
        <v>30177</v>
      </c>
      <c r="I1484" s="1" t="s">
        <v>30178</v>
      </c>
      <c r="J1484" s="6" t="s">
        <v>30179</v>
      </c>
      <c r="K1484" s="1" t="s">
        <v>30180</v>
      </c>
      <c r="L1484" s="1" t="s">
        <v>30181</v>
      </c>
      <c r="M1484" s="1" t="s">
        <v>30182</v>
      </c>
      <c r="N1484" s="6" t="s">
        <v>132</v>
      </c>
      <c r="O1484" s="6" t="s">
        <v>30183</v>
      </c>
      <c r="P1484" s="1" t="s">
        <v>30184</v>
      </c>
      <c r="Q1484" s="1" t="s">
        <v>30185</v>
      </c>
      <c r="R1484" s="1" t="s">
        <v>30186</v>
      </c>
      <c r="S1484" s="10" t="s">
        <v>30187</v>
      </c>
      <c r="T1484" s="1" t="s">
        <v>30188</v>
      </c>
      <c r="U1484" s="1" t="s">
        <v>30189</v>
      </c>
      <c r="V1484" s="1" t="s">
        <v>30190</v>
      </c>
      <c r="W1484" s="1" t="s">
        <v>30191</v>
      </c>
      <c r="X1484" s="1" t="s">
        <v>30192</v>
      </c>
      <c r="Y1484" s="1" t="s">
        <v>30193</v>
      </c>
      <c r="Z1484" s="1" t="s">
        <v>30194</v>
      </c>
      <c r="AA1484" s="1" t="s">
        <v>30195</v>
      </c>
      <c r="AB1484" s="1" t="s">
        <v>30196</v>
      </c>
      <c r="AC1484" s="1" t="s">
        <v>30197</v>
      </c>
      <c r="AD1484" s="6" t="s">
        <v>30198</v>
      </c>
      <c r="AE1484" s="1" t="s">
        <v>30199</v>
      </c>
      <c r="AF1484" s="1" t="s">
        <v>30200</v>
      </c>
      <c r="AG1484" s="6" t="s">
        <v>30201</v>
      </c>
      <c r="AH1484" s="1" t="s">
        <v>30202</v>
      </c>
      <c r="AI1484" s="6" t="s">
        <v>132</v>
      </c>
      <c r="AJ1484" s="6" t="s">
        <v>30203</v>
      </c>
      <c r="AK1484" s="1" t="s">
        <v>30204</v>
      </c>
      <c r="AL1484" s="6" t="s">
        <v>30205</v>
      </c>
    </row>
    <row r="1485" ht="15.75" hidden="1" customHeight="1">
      <c r="A1485" s="1" t="s">
        <v>38</v>
      </c>
      <c r="B1485" s="1" t="s">
        <v>30206</v>
      </c>
      <c r="C1485" s="1" t="s">
        <v>30207</v>
      </c>
      <c r="D1485" s="8" t="s">
        <v>30208</v>
      </c>
      <c r="E1485" s="1" t="s">
        <v>30209</v>
      </c>
      <c r="F1485" s="6" t="s">
        <v>30210</v>
      </c>
      <c r="G1485" s="7" t="str">
        <f>IFERROR(__xludf.DUMMYFUNCTION("GOOGLETRANSLATE(C1485, ""en"", ""cs"")"),"Přijměte aktualizace přítomnosti")</f>
        <v>Přijměte aktualizace přítomnosti</v>
      </c>
      <c r="H1485" s="7" t="str">
        <f>IFERROR(__xludf.DUMMYFUNCTION("GOOGLETRANSLATE(C1485, ""en"", ""da"")"),"Modtag tilstedeværelsesopdateringer")</f>
        <v>Modtag tilstedeværelsesopdateringer</v>
      </c>
      <c r="I1485" s="1" t="s">
        <v>30211</v>
      </c>
      <c r="J1485" s="6" t="s">
        <v>132</v>
      </c>
      <c r="K1485" s="1" t="s">
        <v>30212</v>
      </c>
      <c r="L1485" s="7" t="str">
        <f>IFERROR(__xludf.DUMMYFUNCTION("GOOGLETRANSLATE(C1485, ""en"", ""fi"")"),"Vastaanota läsnäolopäivitykset")</f>
        <v>Vastaanota läsnäolopäivitykset</v>
      </c>
      <c r="M1485" s="1" t="s">
        <v>30213</v>
      </c>
      <c r="N1485" s="6" t="s">
        <v>30214</v>
      </c>
      <c r="O1485" s="6" t="s">
        <v>132</v>
      </c>
      <c r="P1485" s="1" t="s">
        <v>30215</v>
      </c>
      <c r="Q1485" s="9" t="s">
        <v>30216</v>
      </c>
      <c r="R1485" s="1" t="s">
        <v>30217</v>
      </c>
      <c r="S1485" s="6" t="s">
        <v>132</v>
      </c>
      <c r="T1485" s="1" t="s">
        <v>30218</v>
      </c>
      <c r="U1485" s="1" t="s">
        <v>30219</v>
      </c>
      <c r="V1485" s="7" t="str">
        <f>IFERROR(__xludf.DUMMYFUNCTION("GOOGLETRANSLATE(C1485, ""en"", ""ms"")"),"Menerima kemas kini kehadiran")</f>
        <v>Menerima kemas kini kehadiran</v>
      </c>
      <c r="W1485" s="1" t="s">
        <v>30220</v>
      </c>
      <c r="X1485" s="7" t="str">
        <f>IFERROR(__xludf.DUMMYFUNCTION("GOOGLETRANSLATE(C1485, ""en"", ""no"")"),"Motta tilstedeværelsesoppdateringer")</f>
        <v>Motta tilstedeværelsesoppdateringer</v>
      </c>
      <c r="Y1485" s="1" t="s">
        <v>30221</v>
      </c>
      <c r="Z1485" s="1" t="s">
        <v>30222</v>
      </c>
      <c r="AA1485" s="7" t="str">
        <f>IFERROR(__xludf.DUMMYFUNCTION("GOOGLETRANSLATE(C1485, ""en"", ""ro"")"),"Primiți actualizări de prezență")</f>
        <v>Primiți actualizări de prezență</v>
      </c>
      <c r="AB1485" s="1" t="s">
        <v>30223</v>
      </c>
      <c r="AC1485" s="1" t="s">
        <v>30224</v>
      </c>
      <c r="AD1485" s="6" t="s">
        <v>132</v>
      </c>
      <c r="AE1485" s="1" t="s">
        <v>30225</v>
      </c>
      <c r="AF1485" s="1" t="s">
        <v>30226</v>
      </c>
      <c r="AG1485" s="6" t="s">
        <v>132</v>
      </c>
      <c r="AH1485" s="7" t="str">
        <f>IFERROR(__xludf.DUMMYFUNCTION("GOOGLETRANSLATE(C1485, ""en"", ""tr"")"),"Varlık güncellemelerini al")</f>
        <v>Varlık güncellemelerini al</v>
      </c>
      <c r="AI1485" s="6" t="s">
        <v>30227</v>
      </c>
      <c r="AJ1485" s="6" t="s">
        <v>30228</v>
      </c>
      <c r="AK1485" s="7" t="str">
        <f>IFERROR(__xludf.DUMMYFUNCTION("GOOGLETRANSLATE(C1485, ""en"", ""zh"")"),"收到存在更新")</f>
        <v>收到存在更新</v>
      </c>
      <c r="AL1485" s="6" t="s">
        <v>30229</v>
      </c>
    </row>
    <row r="1486" ht="15.75" hidden="1" customHeight="1">
      <c r="A1486" s="1" t="s">
        <v>38</v>
      </c>
      <c r="B1486" s="1" t="s">
        <v>30230</v>
      </c>
      <c r="C1486" s="1" t="s">
        <v>30231</v>
      </c>
      <c r="D1486" s="7" t="str">
        <f>IFERROR(__xludf.DUMMYFUNCTION("GOOGLETRANSLATE(C1486, ""en"", ""ar"")"),"غيانا الفرنسية")</f>
        <v>غيانا الفرنسية</v>
      </c>
      <c r="E1486" s="7" t="str">
        <f>IFERROR(__xludf.DUMMYFUNCTION("GOOGLETRANSLATE(C1486, ""en"", ""bg"")"),"Френска Гвиана")</f>
        <v>Френска Гвиана</v>
      </c>
      <c r="F1486" s="6" t="s">
        <v>132</v>
      </c>
      <c r="G1486" s="7" t="str">
        <f>IFERROR(__xludf.DUMMYFUNCTION("GOOGLETRANSLATE(C1486, ""en"", ""cs"")"),"Francouzská Guyana")</f>
        <v>Francouzská Guyana</v>
      </c>
      <c r="H1486" s="7" t="str">
        <f>IFERROR(__xludf.DUMMYFUNCTION("GOOGLETRANSLATE(C1486, ""en"", ""da"")"),"Fransk Guyana.")</f>
        <v>Fransk Guyana.</v>
      </c>
      <c r="I1486" s="1" t="s">
        <v>30232</v>
      </c>
      <c r="J1486" s="6" t="s">
        <v>132</v>
      </c>
      <c r="K1486" s="1" t="s">
        <v>30233</v>
      </c>
      <c r="L1486" s="7" t="str">
        <f>IFERROR(__xludf.DUMMYFUNCTION("GOOGLETRANSLATE(C1486, ""en"", ""fi"")"),"Ranskan Guayana")</f>
        <v>Ranskan Guayana</v>
      </c>
      <c r="M1486" s="1" t="s">
        <v>30234</v>
      </c>
      <c r="N1486" s="6" t="s">
        <v>132</v>
      </c>
      <c r="O1486" s="6" t="s">
        <v>132</v>
      </c>
      <c r="P1486" s="1" t="s">
        <v>30231</v>
      </c>
      <c r="Q1486" s="7" t="str">
        <f>IFERROR(__xludf.DUMMYFUNCTION("GOOGLETRANSLATE(C1486, ""en"", ""in"")"),"Guyana Perancis")</f>
        <v>Guyana Perancis</v>
      </c>
      <c r="R1486" s="7" t="str">
        <f>IFERROR(__xludf.DUMMYFUNCTION("GOOGLETRANSLATE(C1486, ""en"", ""it"")"),"Guiana francese")</f>
        <v>Guiana francese</v>
      </c>
      <c r="S1486" s="6" t="s">
        <v>132</v>
      </c>
      <c r="T1486" s="7" t="str">
        <f>IFERROR(__xludf.DUMMYFUNCTION("GOOGLETRANSLATE(C1486, ""en"", ""ja"")"),"フレンチギアナ")</f>
        <v>フレンチギアナ</v>
      </c>
      <c r="U1486" s="7" t="str">
        <f>IFERROR(__xludf.DUMMYFUNCTION("GOOGLETRANSLATE(C1486, ""en"", ""ko"")"),"프랑스 령 기아나")</f>
        <v>프랑스 령 기아나</v>
      </c>
      <c r="V1486" s="7" t="str">
        <f>IFERROR(__xludf.DUMMYFUNCTION("GOOGLETRANSLATE(C1486, ""en"", ""ms"")"),"Guiana Perancis")</f>
        <v>Guiana Perancis</v>
      </c>
      <c r="W1486" s="7" t="str">
        <f>IFERROR(__xludf.DUMMYFUNCTION("GOOGLETRANSLATE(C1486, ""en"", ""nl"")"),"Frans-Guyana")</f>
        <v>Frans-Guyana</v>
      </c>
      <c r="X1486" s="7" t="str">
        <f>IFERROR(__xludf.DUMMYFUNCTION("GOOGLETRANSLATE(C1486, ""en"", ""no"")"),"fransk Guyana")</f>
        <v>fransk Guyana</v>
      </c>
      <c r="Y1486" s="7" t="str">
        <f>IFERROR(__xludf.DUMMYFUNCTION("GOOGLETRANSLATE(C1486, ""en"", ""pl"")"),"Gujana Francuska")</f>
        <v>Gujana Francuska</v>
      </c>
      <c r="Z1486" s="7" t="str">
        <f>IFERROR(__xludf.DUMMYFUNCTION("GOOGLETRANSLATE(C1486, ""en"", ""pt"")"),"Guiana Francesa")</f>
        <v>Guiana Francesa</v>
      </c>
      <c r="AA1486" s="7" t="str">
        <f>IFERROR(__xludf.DUMMYFUNCTION("GOOGLETRANSLATE(C1486, ""en"", ""ro"")"),"Franceză Guiana.")</f>
        <v>Franceză Guiana.</v>
      </c>
      <c r="AB1486" s="1" t="s">
        <v>30235</v>
      </c>
      <c r="AC1486" s="7" t="str">
        <f>IFERROR(__xludf.DUMMYFUNCTION("GOOGLETRANSLATE(C1486, ""en"", ""sk"")"),"Francúzska Guiana")</f>
        <v>Francúzska Guiana</v>
      </c>
      <c r="AD1486" s="6" t="s">
        <v>132</v>
      </c>
      <c r="AE1486" s="1" t="s">
        <v>30236</v>
      </c>
      <c r="AF1486" s="7" t="str">
        <f>IFERROR(__xludf.DUMMYFUNCTION("GOOGLETRANSLATE(C1486, ""en"", ""sv"")"),"Franska Guyana")</f>
        <v>Franska Guyana</v>
      </c>
      <c r="AG1486" s="6" t="s">
        <v>132</v>
      </c>
      <c r="AH1486" s="7" t="str">
        <f>IFERROR(__xludf.DUMMYFUNCTION("GOOGLETRANSLATE(C1486, ""en"", ""tr"")"),"Fransız Guyanası")</f>
        <v>Fransız Guyanası</v>
      </c>
      <c r="AI1486" s="6" t="s">
        <v>132</v>
      </c>
      <c r="AJ1486" s="6" t="s">
        <v>132</v>
      </c>
      <c r="AK1486" s="7" t="str">
        <f>IFERROR(__xludf.DUMMYFUNCTION("GOOGLETRANSLATE(C1486, ""en"", ""zh"")"),"法属圭亚那")</f>
        <v>法属圭亚那</v>
      </c>
      <c r="AL1486" s="6" t="s">
        <v>132</v>
      </c>
    </row>
    <row r="1487" ht="15.75" hidden="1" customHeight="1">
      <c r="A1487" s="1" t="s">
        <v>38</v>
      </c>
      <c r="B1487" s="1" t="s">
        <v>30237</v>
      </c>
      <c r="C1487" s="1" t="s">
        <v>30238</v>
      </c>
      <c r="D1487" s="8" t="s">
        <v>30239</v>
      </c>
      <c r="E1487" s="1" t="s">
        <v>30240</v>
      </c>
      <c r="F1487" s="6" t="s">
        <v>30241</v>
      </c>
      <c r="G1487" s="7" t="str">
        <f>IFERROR(__xludf.DUMMYFUNCTION("GOOGLETRANSLATE(C1487, ""en"", ""cs"")"),"Zpráva o stavu")</f>
        <v>Zpráva o stavu</v>
      </c>
      <c r="H1487" s="7" t="str">
        <f>IFERROR(__xludf.DUMMYFUNCTION("GOOGLETRANSLATE(C1487, ""en"", ""da"")"),"Statusmeddelelse")</f>
        <v>Statusmeddelelse</v>
      </c>
      <c r="I1487" s="1" t="s">
        <v>30242</v>
      </c>
      <c r="J1487" s="6" t="s">
        <v>132</v>
      </c>
      <c r="K1487" s="1" t="s">
        <v>30243</v>
      </c>
      <c r="L1487" s="7" t="str">
        <f>IFERROR(__xludf.DUMMYFUNCTION("GOOGLETRANSLATE(C1487, ""en"", ""fi"")"),"Status viesti")</f>
        <v>Status viesti</v>
      </c>
      <c r="M1487" s="1" t="s">
        <v>30244</v>
      </c>
      <c r="N1487" s="6" t="s">
        <v>30245</v>
      </c>
      <c r="O1487" s="6" t="s">
        <v>132</v>
      </c>
      <c r="P1487" s="1" t="s">
        <v>30246</v>
      </c>
      <c r="Q1487" s="9" t="s">
        <v>24066</v>
      </c>
      <c r="R1487" s="1" t="s">
        <v>30247</v>
      </c>
      <c r="S1487" s="6" t="s">
        <v>132</v>
      </c>
      <c r="T1487" s="1" t="s">
        <v>30248</v>
      </c>
      <c r="U1487" s="1" t="s">
        <v>30249</v>
      </c>
      <c r="V1487" s="7" t="str">
        <f>IFERROR(__xludf.DUMMYFUNCTION("GOOGLETRANSLATE(C1487, ""en"", ""ms"")"),"Mesej Status")</f>
        <v>Mesej Status</v>
      </c>
      <c r="W1487" s="1" t="s">
        <v>30250</v>
      </c>
      <c r="X1487" s="7" t="str">
        <f>IFERROR(__xludf.DUMMYFUNCTION("GOOGLETRANSLATE(C1487, ""en"", ""no"")"),"Status melding")</f>
        <v>Status melding</v>
      </c>
      <c r="Y1487" s="1" t="s">
        <v>24066</v>
      </c>
      <c r="Z1487" s="1" t="s">
        <v>30251</v>
      </c>
      <c r="AA1487" s="7" t="str">
        <f>IFERROR(__xludf.DUMMYFUNCTION("GOOGLETRANSLATE(C1487, ""en"", ""ro"")"),"Mesaj de stare")</f>
        <v>Mesaj de stare</v>
      </c>
      <c r="AB1487" s="1" t="s">
        <v>30252</v>
      </c>
      <c r="AC1487" s="7" t="str">
        <f>IFERROR(__xludf.DUMMYFUNCTION("GOOGLETRANSLATE(C1487, ""en"", ""sk"")"),"Stavová správa")</f>
        <v>Stavová správa</v>
      </c>
      <c r="AD1487" s="6" t="s">
        <v>132</v>
      </c>
      <c r="AE1487" s="1" t="s">
        <v>30253</v>
      </c>
      <c r="AF1487" s="1" t="s">
        <v>30254</v>
      </c>
      <c r="AG1487" s="6" t="s">
        <v>132</v>
      </c>
      <c r="AH1487" s="7" t="str">
        <f>IFERROR(__xludf.DUMMYFUNCTION("GOOGLETRANSLATE(C1487, ""en"", ""tr"")"),"Durum mesajı")</f>
        <v>Durum mesajı</v>
      </c>
      <c r="AI1487" s="6" t="s">
        <v>30255</v>
      </c>
      <c r="AJ1487" s="6" t="s">
        <v>132</v>
      </c>
      <c r="AK1487" s="7" t="str">
        <f>IFERROR(__xludf.DUMMYFUNCTION("GOOGLETRANSLATE(C1487, ""en"", ""zh"")"),"状态消息")</f>
        <v>状态消息</v>
      </c>
      <c r="AL1487" s="6" t="s">
        <v>30256</v>
      </c>
    </row>
    <row r="1488" ht="15.75" hidden="1" customHeight="1">
      <c r="A1488" s="1" t="s">
        <v>38</v>
      </c>
      <c r="B1488" s="1" t="s">
        <v>30257</v>
      </c>
      <c r="C1488" s="1" t="s">
        <v>30258</v>
      </c>
      <c r="D1488" s="8" t="s">
        <v>30259</v>
      </c>
      <c r="E1488" s="1" t="s">
        <v>30260</v>
      </c>
      <c r="F1488" s="6" t="s">
        <v>30261</v>
      </c>
      <c r="G1488" s="7" t="str">
        <f>IFERROR(__xludf.DUMMYFUNCTION("GOOGLETRANSLATE(C1488, ""en"", ""cs"")"),"Podřimovat")</f>
        <v>Podřimovat</v>
      </c>
      <c r="H1488" s="7" t="str">
        <f>IFERROR(__xludf.DUMMYFUNCTION("GOOGLETRANSLATE(C1488, ""en"", ""da"")"),"Snooze.")</f>
        <v>Snooze.</v>
      </c>
      <c r="I1488" s="1" t="s">
        <v>30262</v>
      </c>
      <c r="J1488" s="6" t="s">
        <v>132</v>
      </c>
      <c r="K1488" s="1" t="s">
        <v>30263</v>
      </c>
      <c r="L1488" s="7" t="str">
        <f>IFERROR(__xludf.DUMMYFUNCTION("GOOGLETRANSLATE(C1488, ""en"", ""fi"")"),"Torkku")</f>
        <v>Torkku</v>
      </c>
      <c r="M1488" s="1" t="s">
        <v>30264</v>
      </c>
      <c r="N1488" s="6" t="s">
        <v>30265</v>
      </c>
      <c r="O1488" s="6" t="s">
        <v>132</v>
      </c>
      <c r="P1488" s="1" t="s">
        <v>30266</v>
      </c>
      <c r="Q1488" s="7" t="str">
        <f>IFERROR(__xludf.DUMMYFUNCTION("GOOGLETRANSLATE(C1488, ""en"", ""in"")"),"Tidur sebentar")</f>
        <v>Tidur sebentar</v>
      </c>
      <c r="R1488" s="1" t="s">
        <v>30267</v>
      </c>
      <c r="S1488" s="6" t="s">
        <v>132</v>
      </c>
      <c r="T1488" s="7" t="str">
        <f>IFERROR(__xludf.DUMMYFUNCTION("GOOGLETRANSLATE(C1488, ""en"", ""ja"")"),"スヌーズ")</f>
        <v>スヌーズ</v>
      </c>
      <c r="U1488" s="7" t="str">
        <f>IFERROR(__xludf.DUMMYFUNCTION("GOOGLETRANSLATE(C1488, ""en"", ""ko"")"),"선잠")</f>
        <v>선잠</v>
      </c>
      <c r="V1488" s="7" t="str">
        <f>IFERROR(__xludf.DUMMYFUNCTION("GOOGLETRANSLATE(C1488, ""en"", ""ms"")"),"Tunda")</f>
        <v>Tunda</v>
      </c>
      <c r="W1488" s="1" t="s">
        <v>30268</v>
      </c>
      <c r="X1488" s="7" t="str">
        <f>IFERROR(__xludf.DUMMYFUNCTION("GOOGLETRANSLATE(C1488, ""en"", ""no"")"),"Snooze.")</f>
        <v>Snooze.</v>
      </c>
      <c r="Y1488" s="1" t="s">
        <v>30269</v>
      </c>
      <c r="Z1488" s="7" t="str">
        <f>IFERROR(__xludf.DUMMYFUNCTION("GOOGLETRANSLATE(C1488, ""en"", ""pt"")"),"Soneca")</f>
        <v>Soneca</v>
      </c>
      <c r="AA1488" s="7" t="str">
        <f>IFERROR(__xludf.DUMMYFUNCTION("GOOGLETRANSLATE(C1488, ""en"", ""ro"")"),"Pui de somn")</f>
        <v>Pui de somn</v>
      </c>
      <c r="AB1488" s="7" t="str">
        <f>IFERROR(__xludf.DUMMYFUNCTION("GOOGLETRANSLATE(C1488, ""en"", ""ru"")"),"Вздремнуть")</f>
        <v>Вздремнуть</v>
      </c>
      <c r="AC1488" s="7" t="str">
        <f>IFERROR(__xludf.DUMMYFUNCTION("GOOGLETRANSLATE(C1488, ""en"", ""sk"")"),"Snooz")</f>
        <v>Snooz</v>
      </c>
      <c r="AD1488" s="6" t="s">
        <v>132</v>
      </c>
      <c r="AE1488" s="1" t="s">
        <v>30270</v>
      </c>
      <c r="AF1488" s="7" t="str">
        <f>IFERROR(__xludf.DUMMYFUNCTION("GOOGLETRANSLATE(C1488, ""en"", ""sv"")"),"Snooze")</f>
        <v>Snooze</v>
      </c>
      <c r="AG1488" s="6" t="s">
        <v>132</v>
      </c>
      <c r="AH1488" s="7" t="str">
        <f>IFERROR(__xludf.DUMMYFUNCTION("GOOGLETRANSLATE(C1488, ""en"", ""tr"")"),"Uyuklama")</f>
        <v>Uyuklama</v>
      </c>
      <c r="AI1488" s="6" t="s">
        <v>132</v>
      </c>
      <c r="AJ1488" s="6" t="s">
        <v>132</v>
      </c>
      <c r="AK1488" s="7" t="str">
        <f>IFERROR(__xludf.DUMMYFUNCTION("GOOGLETRANSLATE(C1488, ""en"", ""zh"")"),"打盹")</f>
        <v>打盹</v>
      </c>
      <c r="AL1488" s="6" t="s">
        <v>132</v>
      </c>
    </row>
    <row r="1489" ht="15.75" customHeight="1">
      <c r="A1489" s="1" t="s">
        <v>127</v>
      </c>
      <c r="B1489" s="1" t="s">
        <v>30271</v>
      </c>
      <c r="C1489" s="1" t="s">
        <v>30272</v>
      </c>
      <c r="D1489" s="8" t="s">
        <v>21683</v>
      </c>
      <c r="E1489" s="1" t="s">
        <v>30273</v>
      </c>
      <c r="F1489" s="6" t="s">
        <v>132</v>
      </c>
      <c r="G1489" s="1" t="s">
        <v>30274</v>
      </c>
      <c r="H1489" s="1" t="s">
        <v>30275</v>
      </c>
      <c r="I1489" s="1" t="s">
        <v>15942</v>
      </c>
      <c r="J1489" s="6" t="s">
        <v>30276</v>
      </c>
      <c r="K1489" s="1" t="s">
        <v>30272</v>
      </c>
      <c r="L1489" s="1" t="s">
        <v>30277</v>
      </c>
      <c r="M1489" s="1" t="s">
        <v>30278</v>
      </c>
      <c r="N1489" s="6" t="s">
        <v>132</v>
      </c>
      <c r="O1489" s="6" t="s">
        <v>30279</v>
      </c>
      <c r="P1489" s="1" t="s">
        <v>30280</v>
      </c>
      <c r="Q1489" s="1" t="s">
        <v>30281</v>
      </c>
      <c r="R1489" s="1" t="s">
        <v>21692</v>
      </c>
      <c r="S1489" s="10" t="s">
        <v>30282</v>
      </c>
      <c r="T1489" s="1" t="s">
        <v>30283</v>
      </c>
      <c r="U1489" s="1" t="s">
        <v>30284</v>
      </c>
      <c r="V1489" s="1" t="s">
        <v>30285</v>
      </c>
      <c r="W1489" s="1" t="s">
        <v>30272</v>
      </c>
      <c r="X1489" s="1" t="s">
        <v>30275</v>
      </c>
      <c r="Y1489" s="1" t="s">
        <v>30286</v>
      </c>
      <c r="Z1489" s="1" t="s">
        <v>30272</v>
      </c>
      <c r="AA1489" s="1" t="s">
        <v>30287</v>
      </c>
      <c r="AB1489" s="1" t="s">
        <v>30288</v>
      </c>
      <c r="AC1489" s="1" t="s">
        <v>30289</v>
      </c>
      <c r="AD1489" s="6" t="s">
        <v>30290</v>
      </c>
      <c r="AE1489" s="1" t="s">
        <v>30291</v>
      </c>
      <c r="AF1489" s="1" t="s">
        <v>30292</v>
      </c>
      <c r="AG1489" s="6" t="s">
        <v>30293</v>
      </c>
      <c r="AH1489" s="1" t="s">
        <v>30294</v>
      </c>
      <c r="AI1489" s="6" t="s">
        <v>132</v>
      </c>
      <c r="AJ1489" s="6" t="s">
        <v>30295</v>
      </c>
      <c r="AK1489" s="1" t="s">
        <v>30296</v>
      </c>
      <c r="AL1489" s="6" t="s">
        <v>30297</v>
      </c>
    </row>
    <row r="1490" ht="15.75" hidden="1" customHeight="1">
      <c r="A1490" s="1" t="s">
        <v>38</v>
      </c>
      <c r="B1490" s="1" t="s">
        <v>30298</v>
      </c>
      <c r="C1490" s="1" t="s">
        <v>30299</v>
      </c>
      <c r="D1490" s="7" t="str">
        <f>IFERROR(__xludf.DUMMYFUNCTION("GOOGLETRANSLATE(C1490, ""en"", ""ar"")"),"أوافق &amp; amp؛ استمر")</f>
        <v>أوافق &amp; amp؛ استمر</v>
      </c>
      <c r="E1490" s="1" t="s">
        <v>30300</v>
      </c>
      <c r="F1490" s="6" t="s">
        <v>132</v>
      </c>
      <c r="G1490" s="13" t="s">
        <v>30301</v>
      </c>
      <c r="H1490" s="13" t="s">
        <v>30302</v>
      </c>
      <c r="I1490" s="1" t="s">
        <v>30303</v>
      </c>
      <c r="J1490" s="6" t="s">
        <v>132</v>
      </c>
      <c r="K1490" s="1" t="s">
        <v>30304</v>
      </c>
      <c r="L1490" s="13" t="s">
        <v>30305</v>
      </c>
      <c r="M1490" s="13" t="s">
        <v>30306</v>
      </c>
      <c r="N1490" s="6" t="s">
        <v>30304</v>
      </c>
      <c r="O1490" s="6" t="s">
        <v>132</v>
      </c>
      <c r="P1490" s="1" t="s">
        <v>30307</v>
      </c>
      <c r="Q1490" s="13" t="s">
        <v>30308</v>
      </c>
      <c r="R1490" s="1" t="s">
        <v>30309</v>
      </c>
      <c r="S1490" s="6" t="s">
        <v>132</v>
      </c>
      <c r="T1490" s="13" t="s">
        <v>30310</v>
      </c>
      <c r="U1490" s="7" t="str">
        <f>IFERROR(__xludf.DUMMYFUNCTION("GOOGLETRANSLATE(C1490, ""en"", ""ko"")"),"동의 &amp; amp; 계속하다")</f>
        <v>동의 &amp; amp; 계속하다</v>
      </c>
      <c r="V1490" s="13" t="s">
        <v>30308</v>
      </c>
      <c r="W1490" s="1" t="s">
        <v>30311</v>
      </c>
      <c r="X1490" s="13" t="s">
        <v>30312</v>
      </c>
      <c r="Y1490" s="1" t="s">
        <v>30313</v>
      </c>
      <c r="Z1490" s="13" t="s">
        <v>30314</v>
      </c>
      <c r="AA1490" s="13" t="s">
        <v>30315</v>
      </c>
      <c r="AB1490" s="7" t="str">
        <f>IFERROR(__xludf.DUMMYFUNCTION("GOOGLETRANSLATE(C1490, ""en"", ""ru"")"),"Согласен &amp; AMP; Продолжать")</f>
        <v>Согласен &amp; AMP; Продолжать</v>
      </c>
      <c r="AC1490" s="7" t="str">
        <f>IFERROR(__xludf.DUMMYFUNCTION("GOOGLETRANSLATE(C1490, ""en"", ""sk"")"),"Súhlasím a amp; ďalej")</f>
        <v>Súhlasím a amp; ďalej</v>
      </c>
      <c r="AD1490" s="6" t="s">
        <v>132</v>
      </c>
      <c r="AE1490" s="7" t="str">
        <f>IFERROR(__xludf.DUMMYFUNCTION("GOOGLETRANSLATE(C1490, ""en"", ""sr"")"),"Слажем се и амп; Настави")</f>
        <v>Слажем се и амп; Настави</v>
      </c>
      <c r="AF1490" s="7" t="str">
        <f>IFERROR(__xludf.DUMMYFUNCTION("GOOGLETRANSLATE(C1490, ""en"", ""sv"")"),"Godkänna och amp; Fortsätta")</f>
        <v>Godkänna och amp; Fortsätta</v>
      </c>
      <c r="AG1490" s="6" t="s">
        <v>132</v>
      </c>
      <c r="AH1490" s="7" t="str">
        <f>IFERROR(__xludf.DUMMYFUNCTION("GOOGLETRANSLATE(C1490, ""en"", ""tr"")"),"Katılıyorum &amp; amp; devam et")</f>
        <v>Katılıyorum &amp; amp; devam et</v>
      </c>
      <c r="AI1490" s="6" t="s">
        <v>132</v>
      </c>
      <c r="AJ1490" s="6" t="s">
        <v>132</v>
      </c>
      <c r="AK1490" s="7" t="str">
        <f>IFERROR(__xludf.DUMMYFUNCTION("GOOGLETRANSLATE(C1490, ""en"", ""zh"")"),"同意＆amp;继续")</f>
        <v>同意＆amp;继续</v>
      </c>
      <c r="AL1490" s="6" t="s">
        <v>132</v>
      </c>
    </row>
    <row r="1491" ht="15.75" hidden="1" customHeight="1">
      <c r="A1491" s="1" t="s">
        <v>38</v>
      </c>
      <c r="B1491" s="1" t="s">
        <v>30316</v>
      </c>
      <c r="C1491" s="1" t="s">
        <v>30317</v>
      </c>
      <c r="D1491" s="8" t="s">
        <v>30318</v>
      </c>
      <c r="E1491" s="1" t="s">
        <v>30319</v>
      </c>
      <c r="F1491" s="6" t="s">
        <v>30320</v>
      </c>
      <c r="G1491" s="7" t="str">
        <f>IFERROR(__xludf.DUMMYFUNCTION("GOOGLETRANSLATE(C1491, ""en"", ""cs"")"),"Zvolte zařízení")</f>
        <v>Zvolte zařízení</v>
      </c>
      <c r="H1491" s="7" t="str">
        <f>IFERROR(__xludf.DUMMYFUNCTION("GOOGLETRANSLATE(C1491, ""en"", ""da"")"),"Vælg enhed")</f>
        <v>Vælg enhed</v>
      </c>
      <c r="I1491" s="1" t="s">
        <v>30321</v>
      </c>
      <c r="J1491" s="6" t="s">
        <v>132</v>
      </c>
      <c r="K1491" s="1" t="s">
        <v>30322</v>
      </c>
      <c r="L1491" s="7" t="str">
        <f>IFERROR(__xludf.DUMMYFUNCTION("GOOGLETRANSLATE(C1491, ""en"", ""fi"")"),"Valitse laite")</f>
        <v>Valitse laite</v>
      </c>
      <c r="M1491" s="1" t="s">
        <v>30323</v>
      </c>
      <c r="N1491" s="6" t="s">
        <v>30324</v>
      </c>
      <c r="O1491" s="6" t="s">
        <v>132</v>
      </c>
      <c r="P1491" s="1" t="s">
        <v>30325</v>
      </c>
      <c r="Q1491" s="7" t="str">
        <f>IFERROR(__xludf.DUMMYFUNCTION("GOOGLETRANSLATE(C1491, ""en"", ""in"")"),"Pilih Perangkat")</f>
        <v>Pilih Perangkat</v>
      </c>
      <c r="R1491" s="1" t="s">
        <v>30326</v>
      </c>
      <c r="S1491" s="6" t="s">
        <v>132</v>
      </c>
      <c r="T1491" s="1" t="s">
        <v>30327</v>
      </c>
      <c r="U1491" s="1" t="s">
        <v>30328</v>
      </c>
      <c r="V1491" s="7" t="str">
        <f>IFERROR(__xludf.DUMMYFUNCTION("GOOGLETRANSLATE(C1491, ""en"", ""ms"")"),"Pilih peranti")</f>
        <v>Pilih peranti</v>
      </c>
      <c r="W1491" s="1" t="s">
        <v>30329</v>
      </c>
      <c r="X1491" s="7" t="str">
        <f>IFERROR(__xludf.DUMMYFUNCTION("GOOGLETRANSLATE(C1491, ""en"", ""no"")"),"Velg enhet")</f>
        <v>Velg enhet</v>
      </c>
      <c r="Y1491" s="1" t="s">
        <v>30330</v>
      </c>
      <c r="Z1491" s="1" t="s">
        <v>30331</v>
      </c>
      <c r="AA1491" s="7" t="str">
        <f>IFERROR(__xludf.DUMMYFUNCTION("GOOGLETRANSLATE(C1491, ""en"", ""ro"")"),"Alegeți dispozitivul")</f>
        <v>Alegeți dispozitivul</v>
      </c>
      <c r="AB1491" s="1" t="s">
        <v>30332</v>
      </c>
      <c r="AC1491" s="7" t="str">
        <f>IFERROR(__xludf.DUMMYFUNCTION("GOOGLETRANSLATE(C1491, ""en"", ""sk"")"),"Vyberte zariadenie")</f>
        <v>Vyberte zariadenie</v>
      </c>
      <c r="AD1491" s="6" t="s">
        <v>132</v>
      </c>
      <c r="AE1491" s="1" t="s">
        <v>30333</v>
      </c>
      <c r="AF1491" s="1" t="s">
        <v>30334</v>
      </c>
      <c r="AG1491" s="6" t="s">
        <v>132</v>
      </c>
      <c r="AH1491" s="7" t="str">
        <f>IFERROR(__xludf.DUMMYFUNCTION("GOOGLETRANSLATE(C1491, ""en"", ""tr"")"),"Cihazı seçin")</f>
        <v>Cihazı seçin</v>
      </c>
      <c r="AI1491" s="6" t="s">
        <v>30335</v>
      </c>
      <c r="AJ1491" s="6" t="s">
        <v>30336</v>
      </c>
      <c r="AK1491" s="7" t="str">
        <f>IFERROR(__xludf.DUMMYFUNCTION("GOOGLETRANSLATE(C1491, ""en"", ""zh"")"),"选择设备")</f>
        <v>选择设备</v>
      </c>
      <c r="AL1491" s="6" t="s">
        <v>30337</v>
      </c>
    </row>
    <row r="1492" ht="15.75" customHeight="1">
      <c r="A1492" s="1" t="s">
        <v>127</v>
      </c>
      <c r="B1492" s="1" t="s">
        <v>30338</v>
      </c>
      <c r="C1492" s="1" t="s">
        <v>21133</v>
      </c>
      <c r="D1492" s="8" t="s">
        <v>21134</v>
      </c>
      <c r="E1492" s="1" t="s">
        <v>21135</v>
      </c>
      <c r="F1492" s="6" t="s">
        <v>132</v>
      </c>
      <c r="G1492" s="1" t="s">
        <v>21136</v>
      </c>
      <c r="H1492" s="1" t="s">
        <v>21137</v>
      </c>
      <c r="I1492" s="1" t="s">
        <v>21138</v>
      </c>
      <c r="J1492" s="6" t="s">
        <v>21139</v>
      </c>
      <c r="K1492" s="1" t="s">
        <v>30339</v>
      </c>
      <c r="L1492" s="1" t="s">
        <v>21141</v>
      </c>
      <c r="M1492" s="1" t="s">
        <v>21142</v>
      </c>
      <c r="N1492" s="6" t="s">
        <v>132</v>
      </c>
      <c r="O1492" s="6" t="s">
        <v>21143</v>
      </c>
      <c r="P1492" s="1" t="s">
        <v>21144</v>
      </c>
      <c r="Q1492" s="1" t="s">
        <v>21150</v>
      </c>
      <c r="R1492" s="1" t="s">
        <v>30340</v>
      </c>
      <c r="S1492" s="10" t="s">
        <v>21147</v>
      </c>
      <c r="T1492" s="1" t="s">
        <v>21148</v>
      </c>
      <c r="U1492" s="1" t="s">
        <v>21149</v>
      </c>
      <c r="V1492" s="1" t="s">
        <v>21150</v>
      </c>
      <c r="W1492" s="1" t="s">
        <v>21151</v>
      </c>
      <c r="X1492" s="1" t="s">
        <v>21152</v>
      </c>
      <c r="Y1492" s="1" t="s">
        <v>21153</v>
      </c>
      <c r="Z1492" s="1" t="s">
        <v>30341</v>
      </c>
      <c r="AA1492" s="1" t="s">
        <v>21155</v>
      </c>
      <c r="AB1492" s="1" t="s">
        <v>21156</v>
      </c>
      <c r="AC1492" s="1" t="s">
        <v>21157</v>
      </c>
      <c r="AD1492" s="6" t="s">
        <v>21158</v>
      </c>
      <c r="AE1492" s="1" t="s">
        <v>30342</v>
      </c>
      <c r="AF1492" s="1" t="s">
        <v>21160</v>
      </c>
      <c r="AG1492" s="6" t="s">
        <v>21161</v>
      </c>
      <c r="AH1492" s="1" t="s">
        <v>21162</v>
      </c>
      <c r="AI1492" s="6" t="s">
        <v>132</v>
      </c>
      <c r="AJ1492" s="6" t="s">
        <v>21163</v>
      </c>
      <c r="AK1492" s="1" t="s">
        <v>17040</v>
      </c>
      <c r="AL1492" s="6" t="s">
        <v>132</v>
      </c>
    </row>
    <row r="1493" ht="15.75" hidden="1" customHeight="1">
      <c r="A1493" s="1" t="s">
        <v>38</v>
      </c>
      <c r="B1493" s="1" t="s">
        <v>30343</v>
      </c>
      <c r="C1493" s="1" t="s">
        <v>30344</v>
      </c>
      <c r="D1493" s="7" t="str">
        <f>IFERROR(__xludf.DUMMYFUNCTION("GOOGLETRANSLATE(C1493, ""en"", ""ar"")"),"العلامات الديناميكية")</f>
        <v>العلامات الديناميكية</v>
      </c>
      <c r="E1493" s="1" t="s">
        <v>30345</v>
      </c>
      <c r="F1493" s="6" t="s">
        <v>30346</v>
      </c>
      <c r="G1493" s="7" t="str">
        <f>IFERROR(__xludf.DUMMYFUNCTION("GOOGLETRANSLATE(C1493, ""en"", ""cs"")"),"Dynamické tagy")</f>
        <v>Dynamické tagy</v>
      </c>
      <c r="H1493" s="7" t="str">
        <f>IFERROR(__xludf.DUMMYFUNCTION("GOOGLETRANSLATE(C1493, ""en"", ""da"")"),"Dynamiske tags.")</f>
        <v>Dynamiske tags.</v>
      </c>
      <c r="I1493" s="1" t="s">
        <v>30347</v>
      </c>
      <c r="J1493" s="6" t="s">
        <v>132</v>
      </c>
      <c r="K1493" s="1" t="s">
        <v>30348</v>
      </c>
      <c r="L1493" s="7" t="str">
        <f>IFERROR(__xludf.DUMMYFUNCTION("GOOGLETRANSLATE(C1493, ""en"", ""fi"")"),"Dynaamiset tunnisteet")</f>
        <v>Dynaamiset tunnisteet</v>
      </c>
      <c r="M1493" s="1" t="s">
        <v>30349</v>
      </c>
      <c r="N1493" s="6" t="s">
        <v>30348</v>
      </c>
      <c r="O1493" s="6" t="s">
        <v>132</v>
      </c>
      <c r="P1493" s="1" t="s">
        <v>30350</v>
      </c>
      <c r="Q1493" s="7" t="str">
        <f>IFERROR(__xludf.DUMMYFUNCTION("GOOGLETRANSLATE(C1493, ""en"", ""in"")"),"Tag dinamis")</f>
        <v>Tag dinamis</v>
      </c>
      <c r="R1493" s="1" t="s">
        <v>30351</v>
      </c>
      <c r="S1493" s="6" t="s">
        <v>132</v>
      </c>
      <c r="T1493" s="7" t="str">
        <f>IFERROR(__xludf.DUMMYFUNCTION("GOOGLETRANSLATE(C1493, ""en"", ""ja"")"),"動的タグ")</f>
        <v>動的タグ</v>
      </c>
      <c r="U1493" s="7" t="str">
        <f>IFERROR(__xludf.DUMMYFUNCTION("GOOGLETRANSLATE(C1493, ""en"", ""ko"")"),"동적 태그")</f>
        <v>동적 태그</v>
      </c>
      <c r="V1493" s="7" t="str">
        <f>IFERROR(__xludf.DUMMYFUNCTION("GOOGLETRANSLATE(C1493, ""en"", ""ms"")"),"Tag dinamik.")</f>
        <v>Tag dinamik.</v>
      </c>
      <c r="W1493" s="1" t="s">
        <v>30352</v>
      </c>
      <c r="X1493" s="7" t="str">
        <f>IFERROR(__xludf.DUMMYFUNCTION("GOOGLETRANSLATE(C1493, ""en"", ""no"")"),"Dynamiske koder")</f>
        <v>Dynamiske koder</v>
      </c>
      <c r="Y1493" s="1" t="s">
        <v>30353</v>
      </c>
      <c r="Z1493" s="7" t="str">
        <f>IFERROR(__xludf.DUMMYFUNCTION("GOOGLETRANSLATE(C1493, ""en"", ""pt"")"),"Tags dinâmicas")</f>
        <v>Tags dinâmicas</v>
      </c>
      <c r="AA1493" s="7" t="str">
        <f>IFERROR(__xludf.DUMMYFUNCTION("GOOGLETRANSLATE(C1493, ""en"", ""ro"")"),"Etichete dinamice")</f>
        <v>Etichete dinamice</v>
      </c>
      <c r="AB1493" s="1" t="s">
        <v>30354</v>
      </c>
      <c r="AC1493" s="7" t="str">
        <f>IFERROR(__xludf.DUMMYFUNCTION("GOOGLETRANSLATE(C1493, ""en"", ""sk"")"),"Dynamické tagy")</f>
        <v>Dynamické tagy</v>
      </c>
      <c r="AD1493" s="6" t="s">
        <v>132</v>
      </c>
      <c r="AE1493" s="1" t="s">
        <v>30355</v>
      </c>
      <c r="AF1493" s="7" t="str">
        <f>IFERROR(__xludf.DUMMYFUNCTION("GOOGLETRANSLATE(C1493, ""en"", ""sv"")"),"Dynamiska taggar")</f>
        <v>Dynamiska taggar</v>
      </c>
      <c r="AG1493" s="6" t="s">
        <v>132</v>
      </c>
      <c r="AH1493" s="7" t="str">
        <f>IFERROR(__xludf.DUMMYFUNCTION("GOOGLETRANSLATE(C1493, ""en"", ""tr"")"),"Dinamik Etiketler")</f>
        <v>Dinamik Etiketler</v>
      </c>
      <c r="AI1493" s="6" t="s">
        <v>132</v>
      </c>
      <c r="AJ1493" s="6" t="s">
        <v>132</v>
      </c>
      <c r="AK1493" s="7" t="str">
        <f>IFERROR(__xludf.DUMMYFUNCTION("GOOGLETRANSLATE(C1493, ""en"", ""zh"")"),"动态标签")</f>
        <v>动态标签</v>
      </c>
      <c r="AL1493" s="6" t="s">
        <v>132</v>
      </c>
    </row>
    <row r="1494" ht="15.75" customHeight="1">
      <c r="A1494" s="1" t="s">
        <v>127</v>
      </c>
      <c r="B1494" s="1" t="s">
        <v>30356</v>
      </c>
      <c r="C1494" s="1" t="s">
        <v>30357</v>
      </c>
      <c r="D1494" s="8" t="s">
        <v>30358</v>
      </c>
      <c r="E1494" s="1" t="s">
        <v>30359</v>
      </c>
      <c r="F1494" s="6" t="s">
        <v>132</v>
      </c>
      <c r="G1494" s="1" t="s">
        <v>30360</v>
      </c>
      <c r="H1494" s="1" t="s">
        <v>30361</v>
      </c>
      <c r="I1494" s="1" t="s">
        <v>30362</v>
      </c>
      <c r="J1494" s="6" t="s">
        <v>30363</v>
      </c>
      <c r="K1494" s="1" t="s">
        <v>30364</v>
      </c>
      <c r="L1494" s="1" t="s">
        <v>30365</v>
      </c>
      <c r="M1494" s="1" t="s">
        <v>30366</v>
      </c>
      <c r="N1494" s="6" t="s">
        <v>132</v>
      </c>
      <c r="O1494" s="6" t="s">
        <v>30367</v>
      </c>
      <c r="P1494" s="1" t="s">
        <v>30368</v>
      </c>
      <c r="Q1494" s="1" t="s">
        <v>30369</v>
      </c>
      <c r="R1494" s="1" t="s">
        <v>30370</v>
      </c>
      <c r="S1494" s="10" t="s">
        <v>30371</v>
      </c>
      <c r="T1494" s="1" t="s">
        <v>30372</v>
      </c>
      <c r="U1494" s="1" t="s">
        <v>30373</v>
      </c>
      <c r="V1494" s="1" t="s">
        <v>30369</v>
      </c>
      <c r="W1494" s="1" t="s">
        <v>30374</v>
      </c>
      <c r="X1494" s="1" t="s">
        <v>30375</v>
      </c>
      <c r="Y1494" s="1" t="s">
        <v>30376</v>
      </c>
      <c r="Z1494" s="1" t="s">
        <v>6268</v>
      </c>
      <c r="AA1494" s="1" t="s">
        <v>30377</v>
      </c>
      <c r="AB1494" s="1" t="s">
        <v>30378</v>
      </c>
      <c r="AC1494" s="1" t="s">
        <v>30379</v>
      </c>
      <c r="AD1494" s="6" t="s">
        <v>30380</v>
      </c>
      <c r="AE1494" s="1" t="s">
        <v>30381</v>
      </c>
      <c r="AF1494" s="1" t="s">
        <v>30382</v>
      </c>
      <c r="AG1494" s="6" t="s">
        <v>30383</v>
      </c>
      <c r="AH1494" s="1" t="s">
        <v>30384</v>
      </c>
      <c r="AI1494" s="6" t="s">
        <v>132</v>
      </c>
      <c r="AJ1494" s="6" t="s">
        <v>30385</v>
      </c>
      <c r="AK1494" s="1" t="s">
        <v>30386</v>
      </c>
      <c r="AL1494" s="6" t="s">
        <v>30387</v>
      </c>
    </row>
    <row r="1495" ht="15.75" hidden="1" customHeight="1">
      <c r="A1495" s="1" t="s">
        <v>38</v>
      </c>
      <c r="B1495" s="1" t="s">
        <v>30388</v>
      </c>
      <c r="C1495" s="1" t="s">
        <v>30389</v>
      </c>
      <c r="D1495" s="7" t="str">
        <f>IFERROR(__xludf.DUMMYFUNCTION("GOOGLETRANSLATE(C1495, ""en"", ""ar"")"),"الإبلاغ عن هذا الجدم كإرسال رسائل غير مرغوب فيها.")</f>
        <v>الإبلاغ عن هذا الجدم كإرسال رسائل غير مرغوب فيها.</v>
      </c>
      <c r="E1495" s="1" t="s">
        <v>30390</v>
      </c>
      <c r="F1495" s="6" t="s">
        <v>30391</v>
      </c>
      <c r="G1495" s="7" t="str">
        <f>IFERROR(__xludf.DUMMYFUNCTION("GOOGLETRANSLATE(C1495, ""en"", ""cs"")"),"Nahlásit tuto JID jako odesílání nežádoucích zpráv.")</f>
        <v>Nahlásit tuto JID jako odesílání nežádoucích zpráv.</v>
      </c>
      <c r="H1495" s="7" t="str">
        <f>IFERROR(__xludf.DUMMYFUNCTION("GOOGLETRANSLATE(C1495, ""en"", ""da"")"),"Rapportér dette JID som at sende uønskede meddelelser.")</f>
        <v>Rapportér dette JID som at sende uønskede meddelelser.</v>
      </c>
      <c r="I1495" s="1" t="s">
        <v>30392</v>
      </c>
      <c r="J1495" s="6" t="s">
        <v>132</v>
      </c>
      <c r="K1495" s="1" t="s">
        <v>30393</v>
      </c>
      <c r="L1495" s="7" t="str">
        <f>IFERROR(__xludf.DUMMYFUNCTION("GOOGLETRANSLATE(C1495, ""en"", ""fi"")"),"Ilmoita tästä Jid lähettämällä ei-toivottuja viestejä.")</f>
        <v>Ilmoita tästä Jid lähettämällä ei-toivottuja viestejä.</v>
      </c>
      <c r="M1495" s="1" t="s">
        <v>30394</v>
      </c>
      <c r="N1495" s="6" t="s">
        <v>30395</v>
      </c>
      <c r="O1495" s="6" t="s">
        <v>132</v>
      </c>
      <c r="P1495" s="1" t="s">
        <v>30396</v>
      </c>
      <c r="Q1495" s="7" t="str">
        <f>IFERROR(__xludf.DUMMYFUNCTION("GOOGLETRANSLATE(C1495, ""en"", ""in"")"),"Laporkan juling ini sebagai mengirim pesan yang tidak diinginkan.")</f>
        <v>Laporkan juling ini sebagai mengirim pesan yang tidak diinginkan.</v>
      </c>
      <c r="R1495" s="1" t="s">
        <v>30397</v>
      </c>
      <c r="S1495" s="6" t="s">
        <v>132</v>
      </c>
      <c r="T1495" s="1" t="s">
        <v>30398</v>
      </c>
      <c r="U1495" s="1" t="s">
        <v>30399</v>
      </c>
      <c r="V1495" s="7" t="str">
        <f>IFERROR(__xludf.DUMMYFUNCTION("GOOGLETRANSLATE(C1495, ""en"", ""ms"")"),"Laporkan JID ini sebagai menghantar mesej yang tidak diingini.")</f>
        <v>Laporkan JID ini sebagai menghantar mesej yang tidak diingini.</v>
      </c>
      <c r="W1495" s="1" t="s">
        <v>30400</v>
      </c>
      <c r="X1495" s="7" t="str">
        <f>IFERROR(__xludf.DUMMYFUNCTION("GOOGLETRANSLATE(C1495, ""en"", ""no"")"),"Rapporter denne JID som å sende uønskede meldinger.")</f>
        <v>Rapporter denne JID som å sende uønskede meldinger.</v>
      </c>
      <c r="Y1495" s="1" t="s">
        <v>30401</v>
      </c>
      <c r="Z1495" s="7" t="str">
        <f>IFERROR(__xludf.DUMMYFUNCTION("GOOGLETRANSLATE(C1495, ""en"", ""pt"")"),"Relate este jid como enviando mensagens indesejadas.")</f>
        <v>Relate este jid como enviando mensagens indesejadas.</v>
      </c>
      <c r="AA1495" s="7" t="str">
        <f>IFERROR(__xludf.DUMMYFUNCTION("GOOGLETRANSLATE(C1495, ""en"", ""ro"")"),"Raportați acest JID ca trimiterea de mesaje nedorite.")</f>
        <v>Raportați acest JID ca trimiterea de mesaje nedorite.</v>
      </c>
      <c r="AB1495" s="1" t="s">
        <v>30402</v>
      </c>
      <c r="AC1495" s="7" t="str">
        <f>IFERROR(__xludf.DUMMYFUNCTION("GOOGLETRANSLATE(C1495, ""en"", ""sk"")"),"Nahlásiť túto JID as odoslaním nechcených správ.")</f>
        <v>Nahlásiť túto JID as odoslaním nechcených správ.</v>
      </c>
      <c r="AD1495" s="6" t="s">
        <v>132</v>
      </c>
      <c r="AE1495" s="1" t="s">
        <v>30403</v>
      </c>
      <c r="AF1495" s="1" t="s">
        <v>30404</v>
      </c>
      <c r="AG1495" s="6" t="s">
        <v>132</v>
      </c>
      <c r="AH1495" s="13" t="s">
        <v>30405</v>
      </c>
      <c r="AI1495" s="6" t="s">
        <v>30406</v>
      </c>
      <c r="AJ1495" s="6" t="s">
        <v>132</v>
      </c>
      <c r="AK1495" s="7" t="str">
        <f>IFERROR(__xludf.DUMMYFUNCTION("GOOGLETRANSLATE(C1495, ""en"", ""zh"")"),"将此JID报告为发送不需要的消息。")</f>
        <v>将此JID报告为发送不需要的消息。</v>
      </c>
      <c r="AL1495" s="6" t="s">
        <v>30407</v>
      </c>
    </row>
    <row r="1496" ht="15.75" customHeight="1">
      <c r="A1496" s="1" t="s">
        <v>127</v>
      </c>
      <c r="B1496" s="1" t="s">
        <v>30408</v>
      </c>
      <c r="C1496" s="1" t="s">
        <v>30409</v>
      </c>
      <c r="D1496" s="8" t="s">
        <v>30410</v>
      </c>
      <c r="E1496" s="1" t="s">
        <v>30411</v>
      </c>
      <c r="F1496" s="6" t="s">
        <v>132</v>
      </c>
      <c r="G1496" s="1" t="s">
        <v>30412</v>
      </c>
      <c r="H1496" s="1" t="s">
        <v>30413</v>
      </c>
      <c r="I1496" s="1" t="s">
        <v>30414</v>
      </c>
      <c r="J1496" s="6" t="s">
        <v>30415</v>
      </c>
      <c r="K1496" s="1" t="s">
        <v>30416</v>
      </c>
      <c r="L1496" s="1" t="s">
        <v>30417</v>
      </c>
      <c r="M1496" s="1" t="s">
        <v>30418</v>
      </c>
      <c r="N1496" s="6" t="s">
        <v>132</v>
      </c>
      <c r="O1496" s="6" t="s">
        <v>30419</v>
      </c>
      <c r="P1496" s="1" t="s">
        <v>30420</v>
      </c>
      <c r="Q1496" s="1" t="s">
        <v>30421</v>
      </c>
      <c r="R1496" s="1" t="s">
        <v>30422</v>
      </c>
      <c r="S1496" s="10" t="s">
        <v>30423</v>
      </c>
      <c r="T1496" s="1" t="s">
        <v>30424</v>
      </c>
      <c r="U1496" s="1" t="s">
        <v>30425</v>
      </c>
      <c r="V1496" s="1" t="s">
        <v>30426</v>
      </c>
      <c r="W1496" s="1" t="s">
        <v>30427</v>
      </c>
      <c r="X1496" s="1" t="s">
        <v>30428</v>
      </c>
      <c r="Y1496" s="1" t="s">
        <v>30429</v>
      </c>
      <c r="Z1496" s="1" t="s">
        <v>30430</v>
      </c>
      <c r="AA1496" s="1" t="s">
        <v>30431</v>
      </c>
      <c r="AB1496" s="1" t="s">
        <v>30432</v>
      </c>
      <c r="AC1496" s="1" t="s">
        <v>30433</v>
      </c>
      <c r="AD1496" s="6" t="s">
        <v>30434</v>
      </c>
      <c r="AE1496" s="1" t="s">
        <v>30435</v>
      </c>
      <c r="AF1496" s="1" t="s">
        <v>30436</v>
      </c>
      <c r="AG1496" s="6" t="s">
        <v>30437</v>
      </c>
      <c r="AH1496" s="1" t="s">
        <v>30438</v>
      </c>
      <c r="AI1496" s="6" t="s">
        <v>132</v>
      </c>
      <c r="AJ1496" s="6" t="s">
        <v>30439</v>
      </c>
      <c r="AK1496" s="1" t="s">
        <v>30440</v>
      </c>
      <c r="AL1496" s="6" t="s">
        <v>30441</v>
      </c>
    </row>
    <row r="1497" ht="15.75" hidden="1" customHeight="1">
      <c r="A1497" s="1" t="s">
        <v>38</v>
      </c>
      <c r="B1497" s="1" t="s">
        <v>30442</v>
      </c>
      <c r="C1497" s="1" t="s">
        <v>30443</v>
      </c>
      <c r="D1497" s="8" t="s">
        <v>30444</v>
      </c>
      <c r="E1497" s="1" t="s">
        <v>30445</v>
      </c>
      <c r="F1497" s="6" t="s">
        <v>30443</v>
      </c>
      <c r="G1497" s="7" t="str">
        <f>IFERROR(__xludf.DUMMYFUNCTION("GOOGLETRANSLATE(C1497, ""en"", ""cs"")"),"Vyvrženec")</f>
        <v>Vyvrženec</v>
      </c>
      <c r="H1497" s="7" t="str">
        <f>IFERROR(__xludf.DUMMYFUNCTION("GOOGLETRANSLATE(C1497, ""en"", ""da"")"),"Udstødt")</f>
        <v>Udstødt</v>
      </c>
      <c r="I1497" s="1" t="s">
        <v>30446</v>
      </c>
      <c r="J1497" s="6" t="s">
        <v>132</v>
      </c>
      <c r="K1497" s="1" t="s">
        <v>30447</v>
      </c>
      <c r="L1497" s="7" t="str">
        <f>IFERROR(__xludf.DUMMYFUNCTION("GOOGLETRANSLATE(C1497, ""en"", ""fi"")"),"Hylkiö")</f>
        <v>Hylkiö</v>
      </c>
      <c r="M1497" s="1" t="s">
        <v>30448</v>
      </c>
      <c r="N1497" s="6" t="s">
        <v>30443</v>
      </c>
      <c r="O1497" s="6" t="s">
        <v>132</v>
      </c>
      <c r="P1497" s="1" t="s">
        <v>30449</v>
      </c>
      <c r="Q1497" s="9" t="s">
        <v>30450</v>
      </c>
      <c r="R1497" s="1" t="s">
        <v>30451</v>
      </c>
      <c r="S1497" s="6" t="s">
        <v>132</v>
      </c>
      <c r="T1497" s="1" t="s">
        <v>30452</v>
      </c>
      <c r="U1497" s="1" t="s">
        <v>30453</v>
      </c>
      <c r="V1497" s="7" t="str">
        <f>IFERROR(__xludf.DUMMYFUNCTION("GOOGLETRANSLATE(C1497, ""en"", ""ms"")"),"Outcast")</f>
        <v>Outcast</v>
      </c>
      <c r="W1497" s="1" t="s">
        <v>30454</v>
      </c>
      <c r="X1497" s="7" t="str">
        <f>IFERROR(__xludf.DUMMYFUNCTION("GOOGLETRANSLATE(C1497, ""en"", ""no"")"),"Utstødt")</f>
        <v>Utstødt</v>
      </c>
      <c r="Y1497" s="1" t="s">
        <v>30455</v>
      </c>
      <c r="Z1497" s="1" t="s">
        <v>30456</v>
      </c>
      <c r="AA1497" s="7" t="str">
        <f>IFERROR(__xludf.DUMMYFUNCTION("GOOGLETRANSLATE(C1497, ""en"", ""ro"")"),"Proscris")</f>
        <v>Proscris</v>
      </c>
      <c r="AB1497" s="1" t="s">
        <v>30457</v>
      </c>
      <c r="AC1497" s="1" t="s">
        <v>30458</v>
      </c>
      <c r="AD1497" s="6" t="s">
        <v>132</v>
      </c>
      <c r="AE1497" s="1" t="s">
        <v>30459</v>
      </c>
      <c r="AF1497" s="1" t="s">
        <v>30460</v>
      </c>
      <c r="AG1497" s="6" t="s">
        <v>132</v>
      </c>
      <c r="AH1497" s="7" t="str">
        <f>IFERROR(__xludf.DUMMYFUNCTION("GOOGLETRANSLATE(C1497, ""en"", ""tr"")"),"Açık")</f>
        <v>Açık</v>
      </c>
      <c r="AI1497" s="6" t="s">
        <v>30461</v>
      </c>
      <c r="AJ1497" s="6" t="s">
        <v>30462</v>
      </c>
      <c r="AK1497" s="7" t="str">
        <f>IFERROR(__xludf.DUMMYFUNCTION("GOOGLETRANSLATE(C1497, ""en"", ""zh"")"),"抛弃")</f>
        <v>抛弃</v>
      </c>
      <c r="AL1497" s="6" t="s">
        <v>30463</v>
      </c>
    </row>
    <row r="1498" ht="15.75" customHeight="1">
      <c r="A1498" s="1" t="s">
        <v>127</v>
      </c>
      <c r="B1498" s="1" t="s">
        <v>30464</v>
      </c>
      <c r="C1498" s="1" t="s">
        <v>30465</v>
      </c>
      <c r="D1498" s="8" t="s">
        <v>30466</v>
      </c>
      <c r="E1498" s="1" t="s">
        <v>30467</v>
      </c>
      <c r="F1498" s="6" t="s">
        <v>132</v>
      </c>
      <c r="G1498" s="1" t="s">
        <v>30468</v>
      </c>
      <c r="H1498" s="1" t="s">
        <v>30469</v>
      </c>
      <c r="I1498" s="1" t="s">
        <v>30470</v>
      </c>
      <c r="J1498" s="6" t="s">
        <v>30471</v>
      </c>
      <c r="K1498" s="1" t="s">
        <v>30472</v>
      </c>
      <c r="L1498" s="1" t="s">
        <v>30473</v>
      </c>
      <c r="M1498" s="1" t="s">
        <v>30474</v>
      </c>
      <c r="N1498" s="6" t="s">
        <v>132</v>
      </c>
      <c r="O1498" s="6" t="s">
        <v>30475</v>
      </c>
      <c r="P1498" s="1" t="s">
        <v>30476</v>
      </c>
      <c r="Q1498" s="1" t="s">
        <v>30477</v>
      </c>
      <c r="R1498" s="1" t="s">
        <v>30478</v>
      </c>
      <c r="S1498" s="10" t="s">
        <v>30479</v>
      </c>
      <c r="T1498" s="1" t="s">
        <v>30480</v>
      </c>
      <c r="U1498" s="1" t="s">
        <v>30481</v>
      </c>
      <c r="V1498" s="1" t="s">
        <v>30482</v>
      </c>
      <c r="W1498" s="1" t="s">
        <v>30483</v>
      </c>
      <c r="X1498" s="1" t="s">
        <v>30484</v>
      </c>
      <c r="Y1498" s="1" t="s">
        <v>30485</v>
      </c>
      <c r="Z1498" s="1" t="s">
        <v>30486</v>
      </c>
      <c r="AA1498" s="1" t="s">
        <v>30487</v>
      </c>
      <c r="AB1498" s="1" t="s">
        <v>30488</v>
      </c>
      <c r="AC1498" s="1" t="s">
        <v>30489</v>
      </c>
      <c r="AD1498" s="6" t="s">
        <v>30490</v>
      </c>
      <c r="AE1498" s="1" t="s">
        <v>30491</v>
      </c>
      <c r="AF1498" s="1" t="s">
        <v>30492</v>
      </c>
      <c r="AG1498" s="6" t="s">
        <v>30493</v>
      </c>
      <c r="AH1498" s="1" t="s">
        <v>30494</v>
      </c>
      <c r="AI1498" s="6" t="s">
        <v>132</v>
      </c>
      <c r="AJ1498" s="6" t="s">
        <v>30495</v>
      </c>
      <c r="AK1498" s="1" t="s">
        <v>30496</v>
      </c>
      <c r="AL1498" s="6" t="s">
        <v>132</v>
      </c>
    </row>
    <row r="1499" ht="15.75" customHeight="1">
      <c r="A1499" s="1" t="s">
        <v>127</v>
      </c>
      <c r="B1499" s="1" t="s">
        <v>30497</v>
      </c>
      <c r="C1499" s="1" t="s">
        <v>30498</v>
      </c>
      <c r="D1499" s="8" t="s">
        <v>30499</v>
      </c>
      <c r="E1499" s="1" t="s">
        <v>30500</v>
      </c>
      <c r="F1499" s="6" t="s">
        <v>132</v>
      </c>
      <c r="G1499" s="1" t="s">
        <v>30501</v>
      </c>
      <c r="H1499" s="1" t="s">
        <v>30502</v>
      </c>
      <c r="I1499" s="1" t="s">
        <v>30503</v>
      </c>
      <c r="J1499" s="6" t="s">
        <v>30504</v>
      </c>
      <c r="K1499" s="1" t="s">
        <v>30505</v>
      </c>
      <c r="L1499" s="1" t="s">
        <v>30506</v>
      </c>
      <c r="M1499" s="1" t="s">
        <v>30507</v>
      </c>
      <c r="N1499" s="6" t="s">
        <v>132</v>
      </c>
      <c r="O1499" s="6" t="s">
        <v>30508</v>
      </c>
      <c r="P1499" s="1" t="s">
        <v>30509</v>
      </c>
      <c r="Q1499" s="1" t="s">
        <v>30510</v>
      </c>
      <c r="R1499" s="1" t="s">
        <v>30511</v>
      </c>
      <c r="S1499" s="10" t="s">
        <v>30512</v>
      </c>
      <c r="T1499" s="1" t="s">
        <v>30513</v>
      </c>
      <c r="U1499" s="1" t="s">
        <v>30514</v>
      </c>
      <c r="V1499" s="1" t="s">
        <v>30515</v>
      </c>
      <c r="W1499" s="1" t="s">
        <v>30516</v>
      </c>
      <c r="X1499" s="1" t="s">
        <v>30517</v>
      </c>
      <c r="Y1499" s="1" t="s">
        <v>30518</v>
      </c>
      <c r="Z1499" s="1" t="s">
        <v>30519</v>
      </c>
      <c r="AA1499" s="1" t="s">
        <v>30520</v>
      </c>
      <c r="AB1499" s="1" t="s">
        <v>30521</v>
      </c>
      <c r="AC1499" s="1" t="s">
        <v>30522</v>
      </c>
      <c r="AD1499" s="6" t="s">
        <v>30523</v>
      </c>
      <c r="AE1499" s="1" t="s">
        <v>30524</v>
      </c>
      <c r="AF1499" s="1" t="s">
        <v>30525</v>
      </c>
      <c r="AG1499" s="6" t="s">
        <v>30526</v>
      </c>
      <c r="AH1499" s="1" t="s">
        <v>30527</v>
      </c>
      <c r="AI1499" s="6" t="s">
        <v>132</v>
      </c>
      <c r="AJ1499" s="6" t="s">
        <v>30528</v>
      </c>
      <c r="AK1499" s="1" t="s">
        <v>30529</v>
      </c>
      <c r="AL1499" s="6" t="s">
        <v>132</v>
      </c>
    </row>
    <row r="1500" ht="15.75" customHeight="1">
      <c r="A1500" s="1" t="s">
        <v>127</v>
      </c>
      <c r="B1500" s="1" t="s">
        <v>30530</v>
      </c>
      <c r="C1500" s="1" t="s">
        <v>30531</v>
      </c>
      <c r="D1500" s="8" t="s">
        <v>30532</v>
      </c>
      <c r="E1500" s="1" t="s">
        <v>30533</v>
      </c>
      <c r="F1500" s="6" t="s">
        <v>132</v>
      </c>
      <c r="G1500" s="1" t="s">
        <v>30534</v>
      </c>
      <c r="H1500" s="1" t="s">
        <v>30535</v>
      </c>
      <c r="I1500" s="1" t="s">
        <v>30536</v>
      </c>
      <c r="J1500" s="6" t="s">
        <v>30537</v>
      </c>
      <c r="K1500" s="1" t="s">
        <v>30538</v>
      </c>
      <c r="L1500" s="1" t="s">
        <v>30539</v>
      </c>
      <c r="M1500" s="1" t="s">
        <v>30540</v>
      </c>
      <c r="N1500" s="6" t="s">
        <v>132</v>
      </c>
      <c r="O1500" s="6" t="s">
        <v>30541</v>
      </c>
      <c r="P1500" s="1" t="s">
        <v>30542</v>
      </c>
      <c r="Q1500" s="1" t="s">
        <v>30543</v>
      </c>
      <c r="R1500" s="1" t="s">
        <v>30544</v>
      </c>
      <c r="S1500" s="10" t="s">
        <v>30545</v>
      </c>
      <c r="T1500" s="1" t="s">
        <v>30546</v>
      </c>
      <c r="U1500" s="1" t="s">
        <v>30547</v>
      </c>
      <c r="V1500" s="1" t="s">
        <v>30548</v>
      </c>
      <c r="W1500" s="1" t="s">
        <v>30549</v>
      </c>
      <c r="X1500" s="1" t="s">
        <v>30550</v>
      </c>
      <c r="Y1500" s="1" t="s">
        <v>30551</v>
      </c>
      <c r="Z1500" s="1" t="s">
        <v>30552</v>
      </c>
      <c r="AA1500" s="1" t="s">
        <v>30553</v>
      </c>
      <c r="AB1500" s="1" t="s">
        <v>30554</v>
      </c>
      <c r="AC1500" s="1" t="s">
        <v>30555</v>
      </c>
      <c r="AD1500" s="6" t="s">
        <v>30556</v>
      </c>
      <c r="AE1500" s="1" t="s">
        <v>30557</v>
      </c>
      <c r="AF1500" s="1" t="s">
        <v>30558</v>
      </c>
      <c r="AG1500" s="6" t="s">
        <v>30559</v>
      </c>
      <c r="AH1500" s="1" t="s">
        <v>30560</v>
      </c>
      <c r="AI1500" s="6" t="s">
        <v>132</v>
      </c>
      <c r="AJ1500" s="6" t="s">
        <v>30561</v>
      </c>
      <c r="AK1500" s="1" t="s">
        <v>30562</v>
      </c>
      <c r="AL1500" s="6" t="s">
        <v>132</v>
      </c>
    </row>
    <row r="1501" ht="15.75" customHeight="1">
      <c r="A1501" s="1" t="s">
        <v>127</v>
      </c>
      <c r="B1501" s="1" t="s">
        <v>30563</v>
      </c>
      <c r="C1501" s="1" t="s">
        <v>30564</v>
      </c>
      <c r="D1501" s="8" t="s">
        <v>30565</v>
      </c>
      <c r="E1501" s="1" t="s">
        <v>30566</v>
      </c>
      <c r="F1501" s="6" t="s">
        <v>132</v>
      </c>
      <c r="G1501" s="1" t="s">
        <v>30567</v>
      </c>
      <c r="H1501" s="1" t="s">
        <v>30568</v>
      </c>
      <c r="I1501" s="1" t="s">
        <v>30569</v>
      </c>
      <c r="J1501" s="6" t="s">
        <v>30570</v>
      </c>
      <c r="K1501" s="1" t="s">
        <v>30571</v>
      </c>
      <c r="L1501" s="1" t="s">
        <v>30572</v>
      </c>
      <c r="M1501" s="1" t="s">
        <v>30573</v>
      </c>
      <c r="N1501" s="6" t="s">
        <v>132</v>
      </c>
      <c r="O1501" s="6" t="s">
        <v>30574</v>
      </c>
      <c r="P1501" s="1" t="s">
        <v>30575</v>
      </c>
      <c r="Q1501" s="1" t="s">
        <v>30576</v>
      </c>
      <c r="R1501" s="1" t="s">
        <v>30577</v>
      </c>
      <c r="S1501" s="10" t="s">
        <v>30578</v>
      </c>
      <c r="T1501" s="1" t="s">
        <v>30579</v>
      </c>
      <c r="U1501" s="1" t="s">
        <v>30580</v>
      </c>
      <c r="V1501" s="1" t="s">
        <v>30581</v>
      </c>
      <c r="W1501" s="1" t="s">
        <v>30582</v>
      </c>
      <c r="X1501" s="1" t="s">
        <v>30583</v>
      </c>
      <c r="Y1501" s="1" t="s">
        <v>30584</v>
      </c>
      <c r="Z1501" s="1" t="s">
        <v>30585</v>
      </c>
      <c r="AA1501" s="1" t="s">
        <v>30586</v>
      </c>
      <c r="AB1501" s="1" t="s">
        <v>30587</v>
      </c>
      <c r="AC1501" s="1" t="s">
        <v>30588</v>
      </c>
      <c r="AD1501" s="6" t="s">
        <v>30589</v>
      </c>
      <c r="AE1501" s="1" t="s">
        <v>30590</v>
      </c>
      <c r="AF1501" s="1" t="s">
        <v>30591</v>
      </c>
      <c r="AG1501" s="6" t="s">
        <v>30592</v>
      </c>
      <c r="AH1501" s="1" t="s">
        <v>30593</v>
      </c>
      <c r="AI1501" s="6" t="s">
        <v>132</v>
      </c>
      <c r="AJ1501" s="6" t="s">
        <v>30594</v>
      </c>
      <c r="AK1501" s="1" t="s">
        <v>30595</v>
      </c>
      <c r="AL1501" s="6" t="s">
        <v>132</v>
      </c>
    </row>
    <row r="1502" ht="15.75" customHeight="1">
      <c r="A1502" s="1" t="s">
        <v>127</v>
      </c>
      <c r="B1502" s="1" t="s">
        <v>30596</v>
      </c>
      <c r="C1502" s="1" t="s">
        <v>30597</v>
      </c>
      <c r="D1502" s="8" t="s">
        <v>30598</v>
      </c>
      <c r="E1502" s="1" t="s">
        <v>30599</v>
      </c>
      <c r="F1502" s="6" t="s">
        <v>132</v>
      </c>
      <c r="G1502" s="1" t="s">
        <v>30600</v>
      </c>
      <c r="H1502" s="1" t="s">
        <v>30601</v>
      </c>
      <c r="I1502" s="1" t="s">
        <v>30602</v>
      </c>
      <c r="J1502" s="6" t="s">
        <v>30603</v>
      </c>
      <c r="K1502" s="1" t="s">
        <v>30604</v>
      </c>
      <c r="L1502" s="1" t="s">
        <v>30605</v>
      </c>
      <c r="M1502" s="1" t="s">
        <v>30606</v>
      </c>
      <c r="N1502" s="6" t="s">
        <v>132</v>
      </c>
      <c r="O1502" s="6" t="s">
        <v>30607</v>
      </c>
      <c r="P1502" s="1" t="s">
        <v>30608</v>
      </c>
      <c r="Q1502" s="1" t="s">
        <v>30609</v>
      </c>
      <c r="R1502" s="1" t="s">
        <v>30610</v>
      </c>
      <c r="S1502" s="10" t="s">
        <v>30611</v>
      </c>
      <c r="T1502" s="1" t="s">
        <v>30612</v>
      </c>
      <c r="U1502" s="1" t="s">
        <v>30613</v>
      </c>
      <c r="V1502" s="1" t="s">
        <v>30614</v>
      </c>
      <c r="W1502" s="1" t="s">
        <v>30615</v>
      </c>
      <c r="X1502" s="1" t="s">
        <v>30616</v>
      </c>
      <c r="Y1502" s="1" t="s">
        <v>30617</v>
      </c>
      <c r="Z1502" s="1" t="s">
        <v>30618</v>
      </c>
      <c r="AA1502" s="1" t="s">
        <v>30619</v>
      </c>
      <c r="AB1502" s="1" t="s">
        <v>30620</v>
      </c>
      <c r="AC1502" s="1" t="s">
        <v>30621</v>
      </c>
      <c r="AD1502" s="6" t="s">
        <v>30622</v>
      </c>
      <c r="AE1502" s="1" t="s">
        <v>30623</v>
      </c>
      <c r="AF1502" s="1" t="s">
        <v>30624</v>
      </c>
      <c r="AG1502" s="6" t="s">
        <v>30625</v>
      </c>
      <c r="AH1502" s="1" t="s">
        <v>30626</v>
      </c>
      <c r="AI1502" s="6" t="s">
        <v>132</v>
      </c>
      <c r="AJ1502" s="6" t="s">
        <v>30627</v>
      </c>
      <c r="AK1502" s="1" t="s">
        <v>30628</v>
      </c>
      <c r="AL1502" s="6" t="s">
        <v>132</v>
      </c>
    </row>
    <row r="1503" ht="15.75" customHeight="1">
      <c r="A1503" s="1" t="s">
        <v>127</v>
      </c>
      <c r="B1503" s="1" t="s">
        <v>30629</v>
      </c>
      <c r="C1503" s="1" t="s">
        <v>30630</v>
      </c>
      <c r="D1503" s="8" t="s">
        <v>30631</v>
      </c>
      <c r="E1503" s="1" t="s">
        <v>30632</v>
      </c>
      <c r="F1503" s="6" t="s">
        <v>132</v>
      </c>
      <c r="G1503" s="1" t="s">
        <v>30633</v>
      </c>
      <c r="H1503" s="1" t="s">
        <v>30630</v>
      </c>
      <c r="I1503" s="1" t="s">
        <v>30630</v>
      </c>
      <c r="J1503" s="6" t="s">
        <v>30634</v>
      </c>
      <c r="K1503" s="1" t="s">
        <v>30635</v>
      </c>
      <c r="L1503" s="1" t="s">
        <v>30636</v>
      </c>
      <c r="M1503" s="1" t="s">
        <v>30630</v>
      </c>
      <c r="N1503" s="6" t="s">
        <v>132</v>
      </c>
      <c r="O1503" s="6" t="s">
        <v>30637</v>
      </c>
      <c r="P1503" s="1" t="s">
        <v>30638</v>
      </c>
      <c r="Q1503" s="1" t="s">
        <v>30639</v>
      </c>
      <c r="R1503" s="1" t="s">
        <v>30640</v>
      </c>
      <c r="S1503" s="10" t="s">
        <v>30641</v>
      </c>
      <c r="T1503" s="1" t="s">
        <v>30642</v>
      </c>
      <c r="U1503" s="1" t="s">
        <v>30643</v>
      </c>
      <c r="V1503" s="1" t="s">
        <v>30644</v>
      </c>
      <c r="W1503" s="1" t="s">
        <v>30645</v>
      </c>
      <c r="X1503" s="1" t="s">
        <v>30646</v>
      </c>
      <c r="Y1503" s="1" t="s">
        <v>30647</v>
      </c>
      <c r="Z1503" s="1" t="s">
        <v>30648</v>
      </c>
      <c r="AA1503" s="1" t="s">
        <v>30649</v>
      </c>
      <c r="AB1503" s="1" t="s">
        <v>30632</v>
      </c>
      <c r="AC1503" s="1" t="s">
        <v>30650</v>
      </c>
      <c r="AD1503" s="6" t="s">
        <v>30651</v>
      </c>
      <c r="AE1503" s="1" t="s">
        <v>30651</v>
      </c>
      <c r="AF1503" s="1" t="s">
        <v>30630</v>
      </c>
      <c r="AG1503" s="6" t="s">
        <v>15896</v>
      </c>
      <c r="AH1503" s="1" t="s">
        <v>30652</v>
      </c>
      <c r="AI1503" s="6" t="s">
        <v>132</v>
      </c>
      <c r="AJ1503" s="6" t="s">
        <v>30653</v>
      </c>
      <c r="AK1503" s="1" t="s">
        <v>30654</v>
      </c>
      <c r="AL1503" s="6" t="s">
        <v>30655</v>
      </c>
    </row>
    <row r="1504" ht="15.75" customHeight="1">
      <c r="A1504" s="1" t="s">
        <v>127</v>
      </c>
      <c r="B1504" s="1" t="s">
        <v>30656</v>
      </c>
      <c r="C1504" s="1" t="s">
        <v>30657</v>
      </c>
      <c r="D1504" s="8" t="s">
        <v>30658</v>
      </c>
      <c r="E1504" s="1" t="s">
        <v>30659</v>
      </c>
      <c r="F1504" s="6" t="s">
        <v>132</v>
      </c>
      <c r="G1504" s="1" t="s">
        <v>30660</v>
      </c>
      <c r="H1504" s="1" t="s">
        <v>30661</v>
      </c>
      <c r="I1504" s="1" t="s">
        <v>30662</v>
      </c>
      <c r="J1504" s="6" t="s">
        <v>30663</v>
      </c>
      <c r="K1504" s="1" t="s">
        <v>30664</v>
      </c>
      <c r="L1504" s="1" t="s">
        <v>30665</v>
      </c>
      <c r="M1504" s="1" t="s">
        <v>30666</v>
      </c>
      <c r="N1504" s="6" t="s">
        <v>132</v>
      </c>
      <c r="O1504" s="6" t="s">
        <v>30667</v>
      </c>
      <c r="P1504" s="1" t="s">
        <v>30668</v>
      </c>
      <c r="Q1504" s="1" t="s">
        <v>30669</v>
      </c>
      <c r="R1504" s="1" t="s">
        <v>30670</v>
      </c>
      <c r="S1504" s="10" t="s">
        <v>30671</v>
      </c>
      <c r="T1504" s="1" t="s">
        <v>30672</v>
      </c>
      <c r="U1504" s="1" t="s">
        <v>30673</v>
      </c>
      <c r="V1504" s="1" t="s">
        <v>30674</v>
      </c>
      <c r="W1504" s="1" t="s">
        <v>30675</v>
      </c>
      <c r="X1504" s="1" t="s">
        <v>30676</v>
      </c>
      <c r="Y1504" s="1" t="s">
        <v>30677</v>
      </c>
      <c r="Z1504" s="1" t="s">
        <v>30678</v>
      </c>
      <c r="AA1504" s="1" t="s">
        <v>30679</v>
      </c>
      <c r="AB1504" s="1" t="s">
        <v>30680</v>
      </c>
      <c r="AC1504" s="1" t="s">
        <v>30681</v>
      </c>
      <c r="AD1504" s="6" t="s">
        <v>30682</v>
      </c>
      <c r="AE1504" s="1" t="s">
        <v>30683</v>
      </c>
      <c r="AF1504" s="1" t="s">
        <v>30684</v>
      </c>
      <c r="AG1504" s="6" t="s">
        <v>30685</v>
      </c>
      <c r="AH1504" s="1" t="s">
        <v>30686</v>
      </c>
      <c r="AI1504" s="6" t="s">
        <v>132</v>
      </c>
      <c r="AJ1504" s="6" t="s">
        <v>30687</v>
      </c>
      <c r="AK1504" s="1" t="s">
        <v>30688</v>
      </c>
      <c r="AL1504" s="6" t="s">
        <v>132</v>
      </c>
    </row>
    <row r="1505" ht="15.75" customHeight="1">
      <c r="A1505" s="1" t="s">
        <v>127</v>
      </c>
      <c r="B1505" s="1" t="s">
        <v>30689</v>
      </c>
      <c r="C1505" s="1" t="s">
        <v>30690</v>
      </c>
      <c r="D1505" s="8" t="s">
        <v>30691</v>
      </c>
      <c r="E1505" s="1" t="s">
        <v>30692</v>
      </c>
      <c r="F1505" s="6" t="s">
        <v>132</v>
      </c>
      <c r="G1505" s="1" t="s">
        <v>30693</v>
      </c>
      <c r="H1505" s="1" t="s">
        <v>30694</v>
      </c>
      <c r="I1505" s="1" t="s">
        <v>19877</v>
      </c>
      <c r="J1505" s="6" t="s">
        <v>30695</v>
      </c>
      <c r="K1505" s="1" t="s">
        <v>30696</v>
      </c>
      <c r="L1505" s="1" t="s">
        <v>30697</v>
      </c>
      <c r="M1505" s="1" t="s">
        <v>30698</v>
      </c>
      <c r="N1505" s="6" t="s">
        <v>132</v>
      </c>
      <c r="O1505" s="6" t="s">
        <v>30699</v>
      </c>
      <c r="P1505" s="1" t="s">
        <v>30690</v>
      </c>
      <c r="Q1505" s="1" t="s">
        <v>30700</v>
      </c>
      <c r="R1505" s="1" t="s">
        <v>30701</v>
      </c>
      <c r="S1505" s="10" t="s">
        <v>30702</v>
      </c>
      <c r="T1505" s="1" t="s">
        <v>30703</v>
      </c>
      <c r="U1505" s="1" t="s">
        <v>30704</v>
      </c>
      <c r="V1505" s="1" t="s">
        <v>30705</v>
      </c>
      <c r="W1505" s="1" t="s">
        <v>30706</v>
      </c>
      <c r="X1505" s="1" t="s">
        <v>30707</v>
      </c>
      <c r="Y1505" s="1" t="s">
        <v>30708</v>
      </c>
      <c r="Z1505" s="1" t="s">
        <v>30709</v>
      </c>
      <c r="AA1505" s="1" t="s">
        <v>30710</v>
      </c>
      <c r="AB1505" s="1" t="s">
        <v>30711</v>
      </c>
      <c r="AC1505" s="1" t="s">
        <v>30712</v>
      </c>
      <c r="AD1505" s="6" t="s">
        <v>30713</v>
      </c>
      <c r="AE1505" s="1" t="s">
        <v>30714</v>
      </c>
      <c r="AF1505" s="1" t="s">
        <v>9844</v>
      </c>
      <c r="AG1505" s="6" t="s">
        <v>30715</v>
      </c>
      <c r="AH1505" s="1" t="s">
        <v>30716</v>
      </c>
      <c r="AI1505" s="6" t="s">
        <v>132</v>
      </c>
      <c r="AJ1505" s="6" t="s">
        <v>30717</v>
      </c>
      <c r="AK1505" s="1" t="s">
        <v>30718</v>
      </c>
      <c r="AL1505" s="6" t="s">
        <v>30719</v>
      </c>
    </row>
    <row r="1506" ht="15.75" hidden="1" customHeight="1">
      <c r="A1506" s="1" t="s">
        <v>38</v>
      </c>
      <c r="B1506" s="1" t="s">
        <v>30720</v>
      </c>
      <c r="C1506" s="1" t="s">
        <v>30721</v>
      </c>
      <c r="D1506" s="7" t="str">
        <f>IFERROR(__xludf.DUMMYFUNCTION("GOOGLETRANSLATE(C1506, ""en"", ""ar"")"),"ليختنشتاين")</f>
        <v>ليختنشتاين</v>
      </c>
      <c r="E1506" s="7" t="str">
        <f>IFERROR(__xludf.DUMMYFUNCTION("GOOGLETRANSLATE(C1506, ""en"", ""bg"")"),"Лихтенщайн")</f>
        <v>Лихтенщайн</v>
      </c>
      <c r="F1506" s="6" t="s">
        <v>132</v>
      </c>
      <c r="G1506" s="7" t="str">
        <f>IFERROR(__xludf.DUMMYFUNCTION("GOOGLETRANSLATE(C1506, ""en"", ""cs"")"),"Lichtenštejnsko")</f>
        <v>Lichtenštejnsko</v>
      </c>
      <c r="H1506" s="7" t="str">
        <f>IFERROR(__xludf.DUMMYFUNCTION("GOOGLETRANSLATE(C1506, ""en"", ""da"")"),"Liechtenstein.")</f>
        <v>Liechtenstein.</v>
      </c>
      <c r="I1506" s="1" t="s">
        <v>30721</v>
      </c>
      <c r="J1506" s="6" t="s">
        <v>132</v>
      </c>
      <c r="K1506" s="1" t="s">
        <v>30721</v>
      </c>
      <c r="L1506" s="7" t="str">
        <f>IFERROR(__xludf.DUMMYFUNCTION("GOOGLETRANSLATE(C1506, ""en"", ""fi"")"),"Liechtenstein")</f>
        <v>Liechtenstein</v>
      </c>
      <c r="M1506" s="1" t="s">
        <v>30721</v>
      </c>
      <c r="N1506" s="6" t="s">
        <v>132</v>
      </c>
      <c r="O1506" s="6" t="s">
        <v>132</v>
      </c>
      <c r="P1506" s="1" t="s">
        <v>30721</v>
      </c>
      <c r="Q1506" s="7" t="str">
        <f>IFERROR(__xludf.DUMMYFUNCTION("GOOGLETRANSLATE(C1506, ""en"", ""in"")"),"Liechtenstein.")</f>
        <v>Liechtenstein.</v>
      </c>
      <c r="R1506" s="7" t="str">
        <f>IFERROR(__xludf.DUMMYFUNCTION("GOOGLETRANSLATE(C1506, ""en"", ""it"")"),"Liechtenstein.")</f>
        <v>Liechtenstein.</v>
      </c>
      <c r="S1506" s="6" t="s">
        <v>132</v>
      </c>
      <c r="T1506" s="7" t="str">
        <f>IFERROR(__xludf.DUMMYFUNCTION("GOOGLETRANSLATE(C1506, ""en"", ""ja"")"),"リヒテンシュタイン")</f>
        <v>リヒテンシュタイン</v>
      </c>
      <c r="U1506" s="7" t="str">
        <f>IFERROR(__xludf.DUMMYFUNCTION("GOOGLETRANSLATE(C1506, ""en"", ""ko"")"),"리히텐슈타인")</f>
        <v>리히텐슈타인</v>
      </c>
      <c r="V1506" s="7" t="str">
        <f>IFERROR(__xludf.DUMMYFUNCTION("GOOGLETRANSLATE(C1506, ""en"", ""ms"")"),"Liechtenstein.")</f>
        <v>Liechtenstein.</v>
      </c>
      <c r="W1506" s="7" t="str">
        <f>IFERROR(__xludf.DUMMYFUNCTION("GOOGLETRANSLATE(C1506, ""en"", ""nl"")"),"Liechtenstein")</f>
        <v>Liechtenstein</v>
      </c>
      <c r="X1506" s="7" t="str">
        <f>IFERROR(__xludf.DUMMYFUNCTION("GOOGLETRANSLATE(C1506, ""en"", ""no"")"),"Liechtenstein")</f>
        <v>Liechtenstein</v>
      </c>
      <c r="Y1506" s="7" t="str">
        <f>IFERROR(__xludf.DUMMYFUNCTION("GOOGLETRANSLATE(C1506, ""en"", ""pl"")"),"Liechtenstein.")</f>
        <v>Liechtenstein.</v>
      </c>
      <c r="Z1506" s="7" t="str">
        <f>IFERROR(__xludf.DUMMYFUNCTION("GOOGLETRANSLATE(C1506, ""en"", ""pt"")"),"Liechtenstein.")</f>
        <v>Liechtenstein.</v>
      </c>
      <c r="AA1506" s="7" t="str">
        <f>IFERROR(__xludf.DUMMYFUNCTION("GOOGLETRANSLATE(C1506, ""en"", ""ro"")"),"Liechtenstein.")</f>
        <v>Liechtenstein.</v>
      </c>
      <c r="AB1506" s="1" t="s">
        <v>30722</v>
      </c>
      <c r="AC1506" s="7" t="str">
        <f>IFERROR(__xludf.DUMMYFUNCTION("GOOGLETRANSLATE(C1506, ""en"", ""sk"")"),"Lichtenštajnský")</f>
        <v>Lichtenštajnský</v>
      </c>
      <c r="AD1506" s="6" t="s">
        <v>132</v>
      </c>
      <c r="AE1506" s="1" t="s">
        <v>30723</v>
      </c>
      <c r="AF1506" s="7" t="str">
        <f>IFERROR(__xludf.DUMMYFUNCTION("GOOGLETRANSLATE(C1506, ""en"", ""sv"")"),"Liechtenstein")</f>
        <v>Liechtenstein</v>
      </c>
      <c r="AG1506" s="6" t="s">
        <v>132</v>
      </c>
      <c r="AH1506" s="7" t="str">
        <f>IFERROR(__xludf.DUMMYFUNCTION("GOOGLETRANSLATE(C1506, ""en"", ""tr"")"),"Liechtenstein")</f>
        <v>Liechtenstein</v>
      </c>
      <c r="AI1506" s="6" t="s">
        <v>132</v>
      </c>
      <c r="AJ1506" s="6" t="s">
        <v>132</v>
      </c>
      <c r="AK1506" s="7" t="str">
        <f>IFERROR(__xludf.DUMMYFUNCTION("GOOGLETRANSLATE(C1506, ""en"", ""zh"")"),"列支敦士登")</f>
        <v>列支敦士登</v>
      </c>
      <c r="AL1506" s="6" t="s">
        <v>132</v>
      </c>
    </row>
    <row r="1507" ht="15.75" customHeight="1">
      <c r="A1507" s="1" t="s">
        <v>127</v>
      </c>
      <c r="B1507" s="1" t="s">
        <v>30724</v>
      </c>
      <c r="C1507" s="1" t="s">
        <v>30725</v>
      </c>
      <c r="D1507" s="8" t="s">
        <v>30726</v>
      </c>
      <c r="E1507" s="1" t="s">
        <v>30727</v>
      </c>
      <c r="F1507" s="6" t="s">
        <v>132</v>
      </c>
      <c r="G1507" s="1" t="s">
        <v>30728</v>
      </c>
      <c r="H1507" s="1" t="s">
        <v>30729</v>
      </c>
      <c r="I1507" s="1" t="s">
        <v>30730</v>
      </c>
      <c r="J1507" s="6" t="s">
        <v>30731</v>
      </c>
      <c r="K1507" s="1" t="s">
        <v>30732</v>
      </c>
      <c r="L1507" s="1" t="s">
        <v>30733</v>
      </c>
      <c r="M1507" s="1" t="s">
        <v>30734</v>
      </c>
      <c r="N1507" s="6" t="s">
        <v>132</v>
      </c>
      <c r="O1507" s="6" t="s">
        <v>30735</v>
      </c>
      <c r="P1507" s="1" t="s">
        <v>30736</v>
      </c>
      <c r="Q1507" s="1" t="s">
        <v>30737</v>
      </c>
      <c r="R1507" s="1" t="s">
        <v>30738</v>
      </c>
      <c r="S1507" s="10" t="s">
        <v>30739</v>
      </c>
      <c r="T1507" s="1" t="s">
        <v>30740</v>
      </c>
      <c r="U1507" s="1" t="s">
        <v>30741</v>
      </c>
      <c r="V1507" s="1" t="s">
        <v>30742</v>
      </c>
      <c r="W1507" s="1" t="s">
        <v>30743</v>
      </c>
      <c r="X1507" s="1" t="s">
        <v>30744</v>
      </c>
      <c r="Y1507" s="1" t="s">
        <v>30745</v>
      </c>
      <c r="Z1507" s="1" t="s">
        <v>30746</v>
      </c>
      <c r="AA1507" s="1" t="s">
        <v>30747</v>
      </c>
      <c r="AB1507" s="1" t="s">
        <v>30748</v>
      </c>
      <c r="AC1507" s="1" t="s">
        <v>30749</v>
      </c>
      <c r="AD1507" s="6" t="s">
        <v>30750</v>
      </c>
      <c r="AE1507" s="1" t="s">
        <v>30751</v>
      </c>
      <c r="AF1507" s="1" t="s">
        <v>30752</v>
      </c>
      <c r="AG1507" s="6" t="s">
        <v>30753</v>
      </c>
      <c r="AH1507" s="1" t="s">
        <v>30754</v>
      </c>
      <c r="AI1507" s="6" t="s">
        <v>132</v>
      </c>
      <c r="AJ1507" s="6" t="s">
        <v>30755</v>
      </c>
      <c r="AK1507" s="1" t="s">
        <v>30756</v>
      </c>
      <c r="AL1507" s="6" t="s">
        <v>132</v>
      </c>
    </row>
    <row r="1508" ht="15.75" customHeight="1">
      <c r="A1508" s="1" t="s">
        <v>127</v>
      </c>
      <c r="B1508" s="1" t="s">
        <v>30757</v>
      </c>
      <c r="C1508" s="1" t="s">
        <v>30758</v>
      </c>
      <c r="D1508" s="8" t="s">
        <v>30759</v>
      </c>
      <c r="E1508" s="1" t="s">
        <v>30760</v>
      </c>
      <c r="F1508" s="6" t="s">
        <v>132</v>
      </c>
      <c r="G1508" s="1" t="s">
        <v>30761</v>
      </c>
      <c r="H1508" s="1" t="s">
        <v>30762</v>
      </c>
      <c r="I1508" s="1" t="s">
        <v>30763</v>
      </c>
      <c r="J1508" s="6" t="s">
        <v>30764</v>
      </c>
      <c r="K1508" s="1" t="s">
        <v>30765</v>
      </c>
      <c r="L1508" s="1" t="s">
        <v>30766</v>
      </c>
      <c r="M1508" s="1" t="s">
        <v>30767</v>
      </c>
      <c r="N1508" s="6" t="s">
        <v>132</v>
      </c>
      <c r="O1508" s="6" t="s">
        <v>30768</v>
      </c>
      <c r="P1508" s="1" t="s">
        <v>30769</v>
      </c>
      <c r="Q1508" s="1" t="s">
        <v>30770</v>
      </c>
      <c r="R1508" s="1" t="s">
        <v>30771</v>
      </c>
      <c r="S1508" s="10" t="s">
        <v>30772</v>
      </c>
      <c r="T1508" s="1" t="s">
        <v>30773</v>
      </c>
      <c r="U1508" s="1" t="s">
        <v>30774</v>
      </c>
      <c r="V1508" s="1" t="s">
        <v>30775</v>
      </c>
      <c r="W1508" s="1" t="s">
        <v>30776</v>
      </c>
      <c r="X1508" s="1" t="s">
        <v>30777</v>
      </c>
      <c r="Y1508" s="1" t="s">
        <v>30778</v>
      </c>
      <c r="Z1508" s="1" t="s">
        <v>30765</v>
      </c>
      <c r="AA1508" s="1" t="s">
        <v>30779</v>
      </c>
      <c r="AB1508" s="1" t="s">
        <v>30780</v>
      </c>
      <c r="AC1508" s="1" t="s">
        <v>30781</v>
      </c>
      <c r="AD1508" s="6" t="s">
        <v>30782</v>
      </c>
      <c r="AE1508" s="1" t="s">
        <v>30783</v>
      </c>
      <c r="AF1508" s="1" t="s">
        <v>30784</v>
      </c>
      <c r="AG1508" s="6" t="s">
        <v>30785</v>
      </c>
      <c r="AH1508" s="1" t="s">
        <v>30786</v>
      </c>
      <c r="AI1508" s="6" t="s">
        <v>132</v>
      </c>
      <c r="AJ1508" s="6" t="s">
        <v>30787</v>
      </c>
      <c r="AK1508" s="1" t="s">
        <v>30788</v>
      </c>
      <c r="AL1508" s="6" t="s">
        <v>30789</v>
      </c>
    </row>
    <row r="1509" ht="15.75" hidden="1" customHeight="1">
      <c r="A1509" s="1" t="s">
        <v>38</v>
      </c>
      <c r="B1509" s="1" t="s">
        <v>30790</v>
      </c>
      <c r="C1509" s="1" t="s">
        <v>30791</v>
      </c>
      <c r="D1509" s="7" t="str">
        <f>IFERROR(__xludf.DUMMYFUNCTION("GOOGLETRANSLATE(C1509, ""en"", ""ar"")"),"حدث")</f>
        <v>حدث</v>
      </c>
      <c r="E1509" s="7" t="str">
        <f>IFERROR(__xludf.DUMMYFUNCTION("GOOGLETRANSLATE(C1509, ""en"", ""bg"")"),"Събитие")</f>
        <v>Събитие</v>
      </c>
      <c r="F1509" s="6" t="s">
        <v>132</v>
      </c>
      <c r="G1509" s="7" t="str">
        <f>IFERROR(__xludf.DUMMYFUNCTION("GOOGLETRANSLATE(C1509, ""en"", ""cs"")"),"událost")</f>
        <v>událost</v>
      </c>
      <c r="H1509" s="7" t="str">
        <f>IFERROR(__xludf.DUMMYFUNCTION("GOOGLETRANSLATE(C1509, ""en"", ""da"")"),"Begivenhed")</f>
        <v>Begivenhed</v>
      </c>
      <c r="I1509" s="1" t="s">
        <v>30791</v>
      </c>
      <c r="J1509" s="6" t="s">
        <v>132</v>
      </c>
      <c r="K1509" s="1" t="s">
        <v>30792</v>
      </c>
      <c r="L1509" s="7" t="str">
        <f>IFERROR(__xludf.DUMMYFUNCTION("GOOGLETRANSLATE(C1509, ""en"", ""fi"")"),"Tapahtuma")</f>
        <v>Tapahtuma</v>
      </c>
      <c r="M1509" s="1" t="s">
        <v>30793</v>
      </c>
      <c r="N1509" s="6" t="s">
        <v>132</v>
      </c>
      <c r="O1509" s="6" t="s">
        <v>132</v>
      </c>
      <c r="P1509" s="1" t="s">
        <v>30794</v>
      </c>
      <c r="Q1509" s="7" t="str">
        <f>IFERROR(__xludf.DUMMYFUNCTION("GOOGLETRANSLATE(C1509, ""en"", ""in"")"),"Peristiwa")</f>
        <v>Peristiwa</v>
      </c>
      <c r="R1509" s="7" t="str">
        <f>IFERROR(__xludf.DUMMYFUNCTION("GOOGLETRANSLATE(C1509, ""en"", ""it"")"),"Evento")</f>
        <v>Evento</v>
      </c>
      <c r="S1509" s="6" t="s">
        <v>132</v>
      </c>
      <c r="T1509" s="7" t="str">
        <f>IFERROR(__xludf.DUMMYFUNCTION("GOOGLETRANSLATE(C1509, ""en"", ""ja"")"),"イベント")</f>
        <v>イベント</v>
      </c>
      <c r="U1509" s="7" t="str">
        <f>IFERROR(__xludf.DUMMYFUNCTION("GOOGLETRANSLATE(C1509, ""en"", ""ko"")"),"행사")</f>
        <v>행사</v>
      </c>
      <c r="V1509" s="7" t="str">
        <f>IFERROR(__xludf.DUMMYFUNCTION("GOOGLETRANSLATE(C1509, ""en"", ""ms"")"),"Acara")</f>
        <v>Acara</v>
      </c>
      <c r="W1509" s="7" t="str">
        <f>IFERROR(__xludf.DUMMYFUNCTION("GOOGLETRANSLATE(C1509, ""en"", ""nl"")"),"Evenement")</f>
        <v>Evenement</v>
      </c>
      <c r="X1509" s="7" t="str">
        <f>IFERROR(__xludf.DUMMYFUNCTION("GOOGLETRANSLATE(C1509, ""en"", ""no"")"),"Begivenhet")</f>
        <v>Begivenhet</v>
      </c>
      <c r="Y1509" s="7" t="str">
        <f>IFERROR(__xludf.DUMMYFUNCTION("GOOGLETRANSLATE(C1509, ""en"", ""pl"")"),"Zdarzenie")</f>
        <v>Zdarzenie</v>
      </c>
      <c r="Z1509" s="7" t="str">
        <f>IFERROR(__xludf.DUMMYFUNCTION("GOOGLETRANSLATE(C1509, ""en"", ""pt"")"),"Evento")</f>
        <v>Evento</v>
      </c>
      <c r="AA1509" s="7" t="str">
        <f>IFERROR(__xludf.DUMMYFUNCTION("GOOGLETRANSLATE(C1509, ""en"", ""ro"")"),"Eveniment")</f>
        <v>Eveniment</v>
      </c>
      <c r="AB1509" s="1" t="s">
        <v>30795</v>
      </c>
      <c r="AC1509" s="7" t="str">
        <f>IFERROR(__xludf.DUMMYFUNCTION("GOOGLETRANSLATE(C1509, ""en"", ""sk"")"),"Udalosť")</f>
        <v>Udalosť</v>
      </c>
      <c r="AD1509" s="6" t="s">
        <v>132</v>
      </c>
      <c r="AE1509" s="1" t="s">
        <v>22341</v>
      </c>
      <c r="AF1509" s="7" t="str">
        <f>IFERROR(__xludf.DUMMYFUNCTION("GOOGLETRANSLATE(C1509, ""en"", ""sv"")"),"Händelse")</f>
        <v>Händelse</v>
      </c>
      <c r="AG1509" s="6" t="s">
        <v>132</v>
      </c>
      <c r="AH1509" s="7" t="str">
        <f>IFERROR(__xludf.DUMMYFUNCTION("GOOGLETRANSLATE(C1509, ""en"", ""tr"")"),"Etkinlik")</f>
        <v>Etkinlik</v>
      </c>
      <c r="AI1509" s="6" t="s">
        <v>132</v>
      </c>
      <c r="AJ1509" s="6" t="s">
        <v>132</v>
      </c>
      <c r="AK1509" s="7" t="str">
        <f>IFERROR(__xludf.DUMMYFUNCTION("GOOGLETRANSLATE(C1509, ""en"", ""zh"")"),"事件")</f>
        <v>事件</v>
      </c>
      <c r="AL1509" s="6" t="s">
        <v>132</v>
      </c>
    </row>
    <row r="1510" ht="15.75" customHeight="1">
      <c r="A1510" s="1" t="s">
        <v>127</v>
      </c>
      <c r="B1510" s="1" t="s">
        <v>30796</v>
      </c>
      <c r="C1510" s="1" t="s">
        <v>30797</v>
      </c>
      <c r="D1510" s="8" t="s">
        <v>11103</v>
      </c>
      <c r="E1510" s="1" t="s">
        <v>30798</v>
      </c>
      <c r="F1510" s="6" t="s">
        <v>132</v>
      </c>
      <c r="G1510" s="1" t="s">
        <v>30799</v>
      </c>
      <c r="H1510" s="1" t="s">
        <v>30800</v>
      </c>
      <c r="I1510" s="1" t="s">
        <v>30801</v>
      </c>
      <c r="J1510" s="6" t="s">
        <v>30802</v>
      </c>
      <c r="K1510" s="1" t="s">
        <v>30797</v>
      </c>
      <c r="L1510" s="1" t="s">
        <v>30803</v>
      </c>
      <c r="M1510" s="1" t="s">
        <v>30797</v>
      </c>
      <c r="N1510" s="6" t="s">
        <v>132</v>
      </c>
      <c r="O1510" s="6" t="s">
        <v>30804</v>
      </c>
      <c r="P1510" s="1" t="s">
        <v>30797</v>
      </c>
      <c r="Q1510" s="1" t="s">
        <v>30805</v>
      </c>
      <c r="R1510" s="1" t="s">
        <v>30806</v>
      </c>
      <c r="S1510" s="10" t="s">
        <v>30807</v>
      </c>
      <c r="T1510" s="1" t="s">
        <v>11109</v>
      </c>
      <c r="U1510" s="1" t="s">
        <v>11110</v>
      </c>
      <c r="V1510" s="1" t="s">
        <v>30808</v>
      </c>
      <c r="W1510" s="1" t="s">
        <v>30809</v>
      </c>
      <c r="X1510" s="1" t="s">
        <v>30810</v>
      </c>
      <c r="Y1510" s="1" t="s">
        <v>30811</v>
      </c>
      <c r="Z1510" s="1" t="s">
        <v>30812</v>
      </c>
      <c r="AA1510" s="1" t="s">
        <v>30813</v>
      </c>
      <c r="AB1510" s="1" t="s">
        <v>30814</v>
      </c>
      <c r="AC1510" s="1" t="s">
        <v>30815</v>
      </c>
      <c r="AD1510" s="6" t="s">
        <v>30799</v>
      </c>
      <c r="AE1510" s="1" t="s">
        <v>30797</v>
      </c>
      <c r="AF1510" s="1" t="s">
        <v>30816</v>
      </c>
      <c r="AG1510" s="6" t="s">
        <v>11114</v>
      </c>
      <c r="AH1510" s="1" t="s">
        <v>30817</v>
      </c>
      <c r="AI1510" s="6" t="s">
        <v>132</v>
      </c>
      <c r="AJ1510" s="6" t="s">
        <v>11116</v>
      </c>
      <c r="AK1510" s="1" t="s">
        <v>11117</v>
      </c>
      <c r="AL1510" s="6" t="s">
        <v>11118</v>
      </c>
    </row>
    <row r="1511" ht="15.75" hidden="1" customHeight="1">
      <c r="A1511" s="1" t="s">
        <v>38</v>
      </c>
      <c r="B1511" s="1" t="s">
        <v>30818</v>
      </c>
      <c r="C1511" s="1" t="s">
        <v>30819</v>
      </c>
      <c r="D1511" s="8" t="s">
        <v>30820</v>
      </c>
      <c r="E1511" s="1" t="s">
        <v>30821</v>
      </c>
      <c r="F1511" s="6" t="s">
        <v>30822</v>
      </c>
      <c r="G1511" s="7" t="str">
        <f>IFERROR(__xludf.DUMMYFUNCTION("GOOGLETRANSLATE(C1511, ""en"", ""cs"")"),"Nainstalujte")</f>
        <v>Nainstalujte</v>
      </c>
      <c r="H1511" s="7" t="str">
        <f>IFERROR(__xludf.DUMMYFUNCTION("GOOGLETRANSLATE(C1511, ""en"", ""da"")"),"Installere")</f>
        <v>Installere</v>
      </c>
      <c r="I1511" s="1" t="s">
        <v>30823</v>
      </c>
      <c r="J1511" s="6" t="s">
        <v>132</v>
      </c>
      <c r="K1511" s="1" t="s">
        <v>30824</v>
      </c>
      <c r="L1511" s="7" t="str">
        <f>IFERROR(__xludf.DUMMYFUNCTION("GOOGLETRANSLATE(C1511, ""en"", ""fi"")"),"Asentaa")</f>
        <v>Asentaa</v>
      </c>
      <c r="M1511" s="1" t="s">
        <v>30825</v>
      </c>
      <c r="N1511" s="6" t="s">
        <v>30824</v>
      </c>
      <c r="O1511" s="6" t="s">
        <v>132</v>
      </c>
      <c r="P1511" s="1" t="s">
        <v>30826</v>
      </c>
      <c r="Q1511" s="9" t="s">
        <v>30827</v>
      </c>
      <c r="R1511" s="1" t="s">
        <v>30828</v>
      </c>
      <c r="S1511" s="6" t="s">
        <v>132</v>
      </c>
      <c r="T1511" s="1" t="s">
        <v>30829</v>
      </c>
      <c r="U1511" s="1" t="s">
        <v>30830</v>
      </c>
      <c r="V1511" s="7" t="str">
        <f>IFERROR(__xludf.DUMMYFUNCTION("GOOGLETRANSLATE(C1511, ""en"", ""ms"")"),"Pasang")</f>
        <v>Pasang</v>
      </c>
      <c r="W1511" s="1" t="s">
        <v>30831</v>
      </c>
      <c r="X1511" s="7" t="str">
        <f>IFERROR(__xludf.DUMMYFUNCTION("GOOGLETRANSLATE(C1511, ""en"", ""no"")"),"Installere")</f>
        <v>Installere</v>
      </c>
      <c r="Y1511" s="1" t="s">
        <v>30832</v>
      </c>
      <c r="Z1511" s="1" t="s">
        <v>30824</v>
      </c>
      <c r="AA1511" s="7" t="str">
        <f>IFERROR(__xludf.DUMMYFUNCTION("GOOGLETRANSLATE(C1511, ""en"", ""ro"")"),"Instalare")</f>
        <v>Instalare</v>
      </c>
      <c r="AB1511" s="1" t="s">
        <v>30833</v>
      </c>
      <c r="AC1511" s="1" t="s">
        <v>30834</v>
      </c>
      <c r="AD1511" s="6" t="s">
        <v>132</v>
      </c>
      <c r="AE1511" s="1" t="s">
        <v>30835</v>
      </c>
      <c r="AF1511" s="1" t="s">
        <v>30836</v>
      </c>
      <c r="AG1511" s="6" t="s">
        <v>132</v>
      </c>
      <c r="AH1511" s="7" t="str">
        <f>IFERROR(__xludf.DUMMYFUNCTION("GOOGLETRANSLATE(C1511, ""en"", ""tr"")"),"Yüklemek")</f>
        <v>Yüklemek</v>
      </c>
      <c r="AI1511" s="6" t="s">
        <v>30837</v>
      </c>
      <c r="AJ1511" s="6" t="s">
        <v>3033</v>
      </c>
      <c r="AK1511" s="7" t="str">
        <f>IFERROR(__xludf.DUMMYFUNCTION("GOOGLETRANSLATE(C1511, ""en"", ""zh"")"),"安装")</f>
        <v>安装</v>
      </c>
      <c r="AL1511" s="6" t="s">
        <v>30838</v>
      </c>
    </row>
    <row r="1512" ht="15.75" customHeight="1">
      <c r="A1512" s="1" t="s">
        <v>127</v>
      </c>
      <c r="B1512" s="1" t="s">
        <v>30839</v>
      </c>
      <c r="C1512" s="1" t="s">
        <v>23497</v>
      </c>
      <c r="D1512" s="8" t="s">
        <v>23498</v>
      </c>
      <c r="E1512" s="1" t="s">
        <v>23499</v>
      </c>
      <c r="F1512" s="6" t="s">
        <v>132</v>
      </c>
      <c r="G1512" s="1" t="s">
        <v>23500</v>
      </c>
      <c r="H1512" s="1" t="s">
        <v>23497</v>
      </c>
      <c r="I1512" s="1" t="s">
        <v>23497</v>
      </c>
      <c r="J1512" s="6" t="s">
        <v>23501</v>
      </c>
      <c r="K1512" s="1" t="s">
        <v>30840</v>
      </c>
      <c r="L1512" s="1" t="s">
        <v>23497</v>
      </c>
      <c r="M1512" s="1" t="s">
        <v>23497</v>
      </c>
      <c r="N1512" s="6" t="s">
        <v>132</v>
      </c>
      <c r="O1512" s="6" t="s">
        <v>23503</v>
      </c>
      <c r="P1512" s="1" t="s">
        <v>23497</v>
      </c>
      <c r="Q1512" s="1" t="s">
        <v>23497</v>
      </c>
      <c r="R1512" s="1" t="s">
        <v>23497</v>
      </c>
      <c r="S1512" s="10" t="s">
        <v>23504</v>
      </c>
      <c r="T1512" s="1" t="s">
        <v>23505</v>
      </c>
      <c r="U1512" s="1" t="s">
        <v>23506</v>
      </c>
      <c r="V1512" s="1" t="s">
        <v>23497</v>
      </c>
      <c r="W1512" s="1" t="s">
        <v>23497</v>
      </c>
      <c r="X1512" s="1" t="s">
        <v>23497</v>
      </c>
      <c r="Y1512" s="1" t="s">
        <v>23497</v>
      </c>
      <c r="Z1512" s="1" t="s">
        <v>23497</v>
      </c>
      <c r="AA1512" s="1" t="s">
        <v>23497</v>
      </c>
      <c r="AB1512" s="1" t="s">
        <v>23508</v>
      </c>
      <c r="AC1512" s="1" t="s">
        <v>23509</v>
      </c>
      <c r="AD1512" s="6" t="s">
        <v>23510</v>
      </c>
      <c r="AE1512" s="1" t="s">
        <v>23497</v>
      </c>
      <c r="AF1512" s="1" t="s">
        <v>23497</v>
      </c>
      <c r="AG1512" s="6" t="s">
        <v>23511</v>
      </c>
      <c r="AH1512" s="1" t="s">
        <v>23497</v>
      </c>
      <c r="AI1512" s="6" t="s">
        <v>132</v>
      </c>
      <c r="AJ1512" s="6" t="s">
        <v>23512</v>
      </c>
      <c r="AK1512" s="1" t="s">
        <v>23513</v>
      </c>
      <c r="AL1512" s="6" t="s">
        <v>23514</v>
      </c>
    </row>
    <row r="1513" ht="15.75" hidden="1" customHeight="1">
      <c r="A1513" s="1" t="s">
        <v>38</v>
      </c>
      <c r="B1513" s="1" t="s">
        <v>30841</v>
      </c>
      <c r="C1513" s="1" t="s">
        <v>30842</v>
      </c>
      <c r="D1513" s="7" t="str">
        <f>IFERROR(__xludf.DUMMYFUNCTION("GOOGLETRANSLATE(C1513, ""en"", ""ar"")"),"يتم استخدام فئة الإخطار هذه لعرض إعلام دائم يشير إلى أن المحادثات قيد التشغيل.")</f>
        <v>يتم استخدام فئة الإخطار هذه لعرض إعلام دائم يشير إلى أن المحادثات قيد التشغيل.</v>
      </c>
      <c r="E1513" s="1" t="s">
        <v>30843</v>
      </c>
      <c r="F1513" s="6" t="s">
        <v>132</v>
      </c>
      <c r="G1513" s="7" t="str">
        <f>IFERROR(__xludf.DUMMYFUNCTION("GOOGLETRANSLATE(C1513, ""en"", ""cs"")"),"Tato kategorie oznámení slouží k zobrazení trvalého oznámení označující, že konverzace běží.")</f>
        <v>Tato kategorie oznámení slouží k zobrazení trvalého oznámení označující, že konverzace běží.</v>
      </c>
      <c r="H1513" s="7" t="str">
        <f>IFERROR(__xludf.DUMMYFUNCTION("GOOGLETRANSLATE(C1513, ""en"", ""da"")"),"Denne meddelelseskategori bruges til at vise en permanent anmeldelse, der angiver, at samtaler kører.")</f>
        <v>Denne meddelelseskategori bruges til at vise en permanent anmeldelse, der angiver, at samtaler kører.</v>
      </c>
      <c r="I1513" s="1" t="s">
        <v>30844</v>
      </c>
      <c r="J1513" s="6" t="s">
        <v>132</v>
      </c>
      <c r="K1513" s="1" t="s">
        <v>30845</v>
      </c>
      <c r="L1513" s="7" t="str">
        <f>IFERROR(__xludf.DUMMYFUNCTION("GOOGLETRANSLATE(C1513, ""en"", ""fi"")"),"Tätä ilmoitusta varten käytetään pysyvän ilmoituksen, jossa ilmoitetaan, että keskustelut ovat käynnissä.")</f>
        <v>Tätä ilmoitusta varten käytetään pysyvän ilmoituksen, jossa ilmoitetaan, että keskustelut ovat käynnissä.</v>
      </c>
      <c r="M1513" s="1" t="s">
        <v>30846</v>
      </c>
      <c r="N1513" s="6" t="s">
        <v>30847</v>
      </c>
      <c r="O1513" s="6" t="s">
        <v>132</v>
      </c>
      <c r="P1513" s="1" t="s">
        <v>30848</v>
      </c>
      <c r="Q1513" s="7" t="str">
        <f>IFERROR(__xludf.DUMMYFUNCTION("GOOGLETRANSLATE(C1513, ""en"", ""in"")"),"Kategori pemberitahuan ini digunakan untuk menampilkan pemberitahuan permanen yang menunjukkan bahwa percakapan sedang berjalan.")</f>
        <v>Kategori pemberitahuan ini digunakan untuk menampilkan pemberitahuan permanen yang menunjukkan bahwa percakapan sedang berjalan.</v>
      </c>
      <c r="R1513" s="1" t="s">
        <v>30849</v>
      </c>
      <c r="S1513" s="6" t="s">
        <v>132</v>
      </c>
      <c r="T1513" s="7" t="str">
        <f>IFERROR(__xludf.DUMMYFUNCTION("GOOGLETRANSLATE(C1513, ""en"", ""ja"")"),"この通知カテゴリは、会話が実行されていることを示す永続通知を表示するために使用されます。")</f>
        <v>この通知カテゴリは、会話が実行されていることを示す永続通知を表示するために使用されます。</v>
      </c>
      <c r="U1513" s="7" t="str">
        <f>IFERROR(__xludf.DUMMYFUNCTION("GOOGLETRANSLATE(C1513, ""en"", ""ko"")"),"이 알림 범주는 대화가 실행 중임을 나타내는 영구 알림을 표시하는 데 사용됩니다.")</f>
        <v>이 알림 범주는 대화가 실행 중임을 나타내는 영구 알림을 표시하는 데 사용됩니다.</v>
      </c>
      <c r="V1513" s="7" t="str">
        <f>IFERROR(__xludf.DUMMYFUNCTION("GOOGLETRANSLATE(C1513, ""en"", ""ms"")"),"Kategori pemberitahuan ini digunakan untuk memaparkan pemberitahuan tetap yang menunjukkan bahawa perbualan sedang berjalan.")</f>
        <v>Kategori pemberitahuan ini digunakan untuk memaparkan pemberitahuan tetap yang menunjukkan bahawa perbualan sedang berjalan.</v>
      </c>
      <c r="W1513" s="1" t="s">
        <v>30850</v>
      </c>
      <c r="X1513" s="7" t="str">
        <f>IFERROR(__xludf.DUMMYFUNCTION("GOOGLETRANSLATE(C1513, ""en"", ""no"")"),"Denne varslingskategorien brukes til å vise et permanent varsel som indikerer at samtaler kjører.")</f>
        <v>Denne varslingskategorien brukes til å vise et permanent varsel som indikerer at samtaler kjører.</v>
      </c>
      <c r="Y1513" s="1" t="s">
        <v>30851</v>
      </c>
      <c r="Z1513" s="7" t="str">
        <f>IFERROR(__xludf.DUMMYFUNCTION("GOOGLETRANSLATE(C1513, ""en"", ""pt"")"),"Esta categoria de notificação é usada para exibir uma notificação permanente indicando que as conversas estão sendo executadas.")</f>
        <v>Esta categoria de notificação é usada para exibir uma notificação permanente indicando que as conversas estão sendo executadas.</v>
      </c>
      <c r="AA1513" s="7" t="str">
        <f>IFERROR(__xludf.DUMMYFUNCTION("GOOGLETRANSLATE(C1513, ""en"", ""ro"")"),"Această categorie de notificare este utilizată pentru a afișa o notificare permanentă care indică faptul că conversațiile funcționează.")</f>
        <v>Această categorie de notificare este utilizată pentru a afișa o notificare permanentă care indică faptul că conversațiile funcționează.</v>
      </c>
      <c r="AB1513" s="7" t="str">
        <f>IFERROR(__xludf.DUMMYFUNCTION("GOOGLETRANSLATE(C1513, ""en"", ""ru"")"),"Эта категория уведомлений используется для отображения постоянного уведомления, указывающего, что разговоры работают.")</f>
        <v>Эта категория уведомлений используется для отображения постоянного уведомления, указывающего, что разговоры работают.</v>
      </c>
      <c r="AC1513" s="7" t="str">
        <f>IFERROR(__xludf.DUMMYFUNCTION("GOOGLETRANSLATE(C1513, ""en"", ""sk"")"),"Táto kategória oznámenia sa používa na zobrazenie trvalé oznámenie, ktoré uvádza, že konverzácie beží.")</f>
        <v>Táto kategória oznámenia sa používa na zobrazenie trvalé oznámenie, ktoré uvádza, že konverzácie beží.</v>
      </c>
      <c r="AD1513" s="6" t="s">
        <v>132</v>
      </c>
      <c r="AE1513" s="7" t="str">
        <f>IFERROR(__xludf.DUMMYFUNCTION("GOOGLETRANSLATE(C1513, ""en"", ""sr"")"),"Ова категорија обавештења користи се за приказивање трајног обавештења који указује да се разговори покрећу.")</f>
        <v>Ова категорија обавештења користи се за приказивање трајног обавештења који указује да се разговори покрећу.</v>
      </c>
      <c r="AF1513" s="7" t="str">
        <f>IFERROR(__xludf.DUMMYFUNCTION("GOOGLETRANSLATE(C1513, ""en"", ""sv"")"),"Denna anmälningskategori används för att visa en permanent anmälan som anger att konversationer körs.")</f>
        <v>Denna anmälningskategori används för att visa en permanent anmälan som anger att konversationer körs.</v>
      </c>
      <c r="AG1513" s="6" t="s">
        <v>132</v>
      </c>
      <c r="AH1513" s="7" t="str">
        <f>IFERROR(__xludf.DUMMYFUNCTION("GOOGLETRANSLATE(C1513, ""en"", ""tr"")"),"Bu bildirim kategorisi, konuşmaların çalıştığını belirten kalıcı bir bildirim görüntülemek için kullanılır.")</f>
        <v>Bu bildirim kategorisi, konuşmaların çalıştığını belirten kalıcı bir bildirim görüntülemek için kullanılır.</v>
      </c>
      <c r="AI1513" s="6" t="s">
        <v>132</v>
      </c>
      <c r="AJ1513" s="6" t="s">
        <v>132</v>
      </c>
      <c r="AK1513" s="7" t="str">
        <f>IFERROR(__xludf.DUMMYFUNCTION("GOOGLETRANSLATE(C1513, ""en"", ""zh"")"),"此通知类别用于显示指示运行对话的永久通知。")</f>
        <v>此通知类别用于显示指示运行对话的永久通知。</v>
      </c>
      <c r="AL1513" s="6" t="s">
        <v>132</v>
      </c>
    </row>
    <row r="1514" ht="15.75" customHeight="1">
      <c r="A1514" s="1" t="s">
        <v>127</v>
      </c>
      <c r="B1514" s="1" t="s">
        <v>30852</v>
      </c>
      <c r="C1514" s="1" t="s">
        <v>30853</v>
      </c>
      <c r="D1514" s="8" t="s">
        <v>30854</v>
      </c>
      <c r="E1514" s="1" t="s">
        <v>30855</v>
      </c>
      <c r="F1514" s="6" t="s">
        <v>132</v>
      </c>
      <c r="G1514" s="1" t="s">
        <v>30856</v>
      </c>
      <c r="H1514" s="1" t="s">
        <v>30857</v>
      </c>
      <c r="I1514" s="1" t="s">
        <v>30858</v>
      </c>
      <c r="J1514" s="6" t="s">
        <v>30859</v>
      </c>
      <c r="K1514" s="1" t="s">
        <v>30860</v>
      </c>
      <c r="L1514" s="1" t="s">
        <v>30861</v>
      </c>
      <c r="M1514" s="1" t="s">
        <v>30862</v>
      </c>
      <c r="N1514" s="6" t="s">
        <v>132</v>
      </c>
      <c r="O1514" s="6" t="s">
        <v>30863</v>
      </c>
      <c r="P1514" s="1" t="s">
        <v>30864</v>
      </c>
      <c r="Q1514" s="1" t="s">
        <v>30865</v>
      </c>
      <c r="R1514" s="1" t="s">
        <v>30866</v>
      </c>
      <c r="S1514" s="10" t="s">
        <v>30867</v>
      </c>
      <c r="T1514" s="1" t="s">
        <v>30868</v>
      </c>
      <c r="U1514" s="1" t="s">
        <v>30869</v>
      </c>
      <c r="V1514" s="1" t="s">
        <v>30865</v>
      </c>
      <c r="W1514" s="1" t="s">
        <v>30870</v>
      </c>
      <c r="X1514" s="1" t="s">
        <v>30871</v>
      </c>
      <c r="Y1514" s="1" t="s">
        <v>30872</v>
      </c>
      <c r="Z1514" s="1" t="s">
        <v>30873</v>
      </c>
      <c r="AA1514" s="1" t="s">
        <v>30874</v>
      </c>
      <c r="AB1514" s="1" t="s">
        <v>30875</v>
      </c>
      <c r="AC1514" s="1" t="s">
        <v>30876</v>
      </c>
      <c r="AD1514" s="6" t="s">
        <v>30877</v>
      </c>
      <c r="AE1514" s="1" t="s">
        <v>30878</v>
      </c>
      <c r="AF1514" s="1" t="s">
        <v>30879</v>
      </c>
      <c r="AG1514" s="6" t="s">
        <v>30880</v>
      </c>
      <c r="AH1514" s="1" t="s">
        <v>30881</v>
      </c>
      <c r="AI1514" s="6" t="s">
        <v>132</v>
      </c>
      <c r="AJ1514" s="6" t="s">
        <v>30882</v>
      </c>
      <c r="AK1514" s="1" t="s">
        <v>30883</v>
      </c>
      <c r="AL1514" s="6" t="s">
        <v>30884</v>
      </c>
    </row>
    <row r="1515" ht="15.75" customHeight="1">
      <c r="A1515" s="1" t="s">
        <v>127</v>
      </c>
      <c r="B1515" s="1" t="s">
        <v>30885</v>
      </c>
      <c r="C1515" s="1" t="s">
        <v>11620</v>
      </c>
      <c r="D1515" s="8" t="s">
        <v>30886</v>
      </c>
      <c r="E1515" s="1" t="s">
        <v>22164</v>
      </c>
      <c r="F1515" s="6" t="s">
        <v>132</v>
      </c>
      <c r="G1515" s="1" t="s">
        <v>30887</v>
      </c>
      <c r="H1515" s="1" t="s">
        <v>30888</v>
      </c>
      <c r="I1515" s="1" t="s">
        <v>22165</v>
      </c>
      <c r="J1515" s="6" t="s">
        <v>30889</v>
      </c>
      <c r="K1515" s="1" t="s">
        <v>11620</v>
      </c>
      <c r="L1515" s="1" t="s">
        <v>30890</v>
      </c>
      <c r="M1515" s="1" t="s">
        <v>22166</v>
      </c>
      <c r="N1515" s="6" t="s">
        <v>132</v>
      </c>
      <c r="O1515" s="6" t="s">
        <v>30891</v>
      </c>
      <c r="P1515" s="1" t="s">
        <v>22168</v>
      </c>
      <c r="Q1515" s="1" t="s">
        <v>30892</v>
      </c>
      <c r="R1515" s="1" t="s">
        <v>22169</v>
      </c>
      <c r="S1515" s="10" t="s">
        <v>30893</v>
      </c>
      <c r="T1515" s="1" t="s">
        <v>30894</v>
      </c>
      <c r="U1515" s="1" t="s">
        <v>30895</v>
      </c>
      <c r="V1515" s="1" t="s">
        <v>30892</v>
      </c>
      <c r="W1515" s="1" t="s">
        <v>22170</v>
      </c>
      <c r="X1515" s="1" t="s">
        <v>30896</v>
      </c>
      <c r="Y1515" s="1" t="s">
        <v>22171</v>
      </c>
      <c r="Z1515" s="1" t="s">
        <v>22172</v>
      </c>
      <c r="AA1515" s="1" t="s">
        <v>30897</v>
      </c>
      <c r="AB1515" s="1" t="s">
        <v>22173</v>
      </c>
      <c r="AC1515" s="1" t="s">
        <v>30887</v>
      </c>
      <c r="AD1515" s="6" t="s">
        <v>30898</v>
      </c>
      <c r="AE1515" s="1" t="s">
        <v>30899</v>
      </c>
      <c r="AF1515" s="1" t="s">
        <v>30900</v>
      </c>
      <c r="AG1515" s="6" t="s">
        <v>30901</v>
      </c>
      <c r="AH1515" s="1" t="s">
        <v>30902</v>
      </c>
      <c r="AI1515" s="6" t="s">
        <v>132</v>
      </c>
      <c r="AJ1515" s="6" t="s">
        <v>30903</v>
      </c>
      <c r="AK1515" s="1" t="s">
        <v>30904</v>
      </c>
      <c r="AL1515" s="6" t="s">
        <v>30905</v>
      </c>
    </row>
    <row r="1516" ht="15.75" customHeight="1">
      <c r="A1516" s="1" t="s">
        <v>127</v>
      </c>
      <c r="B1516" s="1" t="s">
        <v>30906</v>
      </c>
      <c r="C1516" s="1" t="s">
        <v>30907</v>
      </c>
      <c r="D1516" s="8" t="s">
        <v>11138</v>
      </c>
      <c r="E1516" s="1" t="s">
        <v>11139</v>
      </c>
      <c r="F1516" s="6" t="s">
        <v>132</v>
      </c>
      <c r="G1516" s="1" t="s">
        <v>30908</v>
      </c>
      <c r="H1516" s="1" t="s">
        <v>30909</v>
      </c>
      <c r="I1516" s="1" t="s">
        <v>30907</v>
      </c>
      <c r="J1516" s="6" t="s">
        <v>11140</v>
      </c>
      <c r="K1516" s="1" t="s">
        <v>30907</v>
      </c>
      <c r="L1516" s="1" t="s">
        <v>11141</v>
      </c>
      <c r="M1516" s="1" t="s">
        <v>30907</v>
      </c>
      <c r="N1516" s="6" t="s">
        <v>132</v>
      </c>
      <c r="O1516" s="6" t="s">
        <v>11142</v>
      </c>
      <c r="P1516" s="1" t="s">
        <v>30907</v>
      </c>
      <c r="Q1516" s="1" t="s">
        <v>11143</v>
      </c>
      <c r="R1516" s="1" t="s">
        <v>30910</v>
      </c>
      <c r="S1516" s="10" t="s">
        <v>11144</v>
      </c>
      <c r="T1516" s="1" t="s">
        <v>11145</v>
      </c>
      <c r="U1516" s="1" t="s">
        <v>11146</v>
      </c>
      <c r="V1516" s="1" t="s">
        <v>11147</v>
      </c>
      <c r="W1516" s="1" t="s">
        <v>30911</v>
      </c>
      <c r="X1516" s="1" t="s">
        <v>30912</v>
      </c>
      <c r="Y1516" s="1" t="s">
        <v>30908</v>
      </c>
      <c r="Z1516" s="1" t="s">
        <v>30910</v>
      </c>
      <c r="AA1516" s="1" t="s">
        <v>30913</v>
      </c>
      <c r="AB1516" s="1" t="s">
        <v>11139</v>
      </c>
      <c r="AC1516" s="1" t="s">
        <v>11149</v>
      </c>
      <c r="AD1516" s="6" t="s">
        <v>30908</v>
      </c>
      <c r="AE1516" s="1" t="s">
        <v>30907</v>
      </c>
      <c r="AF1516" s="1" t="s">
        <v>30909</v>
      </c>
      <c r="AG1516" s="6" t="s">
        <v>11150</v>
      </c>
      <c r="AH1516" s="1" t="s">
        <v>30914</v>
      </c>
      <c r="AI1516" s="6" t="s">
        <v>132</v>
      </c>
      <c r="AJ1516" s="6" t="s">
        <v>11152</v>
      </c>
      <c r="AK1516" s="1" t="s">
        <v>11153</v>
      </c>
      <c r="AL1516" s="6" t="s">
        <v>11154</v>
      </c>
    </row>
    <row r="1517" ht="15.75" customHeight="1">
      <c r="A1517" s="1" t="s">
        <v>127</v>
      </c>
      <c r="B1517" s="1" t="s">
        <v>30915</v>
      </c>
      <c r="C1517" s="1" t="s">
        <v>30916</v>
      </c>
      <c r="D1517" s="8" t="s">
        <v>30917</v>
      </c>
      <c r="E1517" s="1" t="s">
        <v>30918</v>
      </c>
      <c r="F1517" s="6" t="s">
        <v>132</v>
      </c>
      <c r="G1517" s="1" t="s">
        <v>30919</v>
      </c>
      <c r="H1517" s="1" t="s">
        <v>30920</v>
      </c>
      <c r="I1517" s="1" t="s">
        <v>30921</v>
      </c>
      <c r="J1517" s="6" t="s">
        <v>30922</v>
      </c>
      <c r="K1517" s="1" t="s">
        <v>30923</v>
      </c>
      <c r="L1517" s="1" t="s">
        <v>30924</v>
      </c>
      <c r="M1517" s="1" t="s">
        <v>30925</v>
      </c>
      <c r="N1517" s="6" t="s">
        <v>132</v>
      </c>
      <c r="O1517" s="6" t="s">
        <v>30926</v>
      </c>
      <c r="P1517" s="1" t="s">
        <v>30916</v>
      </c>
      <c r="Q1517" s="1" t="s">
        <v>30927</v>
      </c>
      <c r="R1517" s="1" t="s">
        <v>30928</v>
      </c>
      <c r="S1517" s="10" t="s">
        <v>30929</v>
      </c>
      <c r="T1517" s="1" t="s">
        <v>30930</v>
      </c>
      <c r="U1517" s="1" t="s">
        <v>30931</v>
      </c>
      <c r="V1517" s="1" t="s">
        <v>30932</v>
      </c>
      <c r="W1517" s="1" t="s">
        <v>30933</v>
      </c>
      <c r="X1517" s="1" t="s">
        <v>30934</v>
      </c>
      <c r="Y1517" s="1" t="s">
        <v>30935</v>
      </c>
      <c r="Z1517" s="1" t="s">
        <v>30936</v>
      </c>
      <c r="AA1517" s="1" t="s">
        <v>30937</v>
      </c>
      <c r="AB1517" s="1" t="s">
        <v>30938</v>
      </c>
      <c r="AC1517" s="1" t="s">
        <v>30939</v>
      </c>
      <c r="AD1517" s="6" t="s">
        <v>30940</v>
      </c>
      <c r="AE1517" s="1" t="s">
        <v>30941</v>
      </c>
      <c r="AF1517" s="1" t="s">
        <v>30942</v>
      </c>
      <c r="AG1517" s="6" t="s">
        <v>30943</v>
      </c>
      <c r="AH1517" s="1" t="s">
        <v>30944</v>
      </c>
      <c r="AI1517" s="6" t="s">
        <v>132</v>
      </c>
      <c r="AJ1517" s="6" t="s">
        <v>30945</v>
      </c>
      <c r="AK1517" s="1" t="s">
        <v>30946</v>
      </c>
      <c r="AL1517" s="6" t="s">
        <v>30947</v>
      </c>
    </row>
    <row r="1518" ht="15.75" hidden="1" customHeight="1">
      <c r="A1518" s="1" t="s">
        <v>38</v>
      </c>
      <c r="B1518" s="1" t="s">
        <v>30948</v>
      </c>
      <c r="C1518" s="1" t="s">
        <v>30949</v>
      </c>
      <c r="D1518" s="8" t="s">
        <v>30950</v>
      </c>
      <c r="E1518" s="1" t="s">
        <v>30951</v>
      </c>
      <c r="F1518" s="6" t="s">
        <v>30952</v>
      </c>
      <c r="G1518" s="7" t="str">
        <f>IFERROR(__xludf.DUMMYFUNCTION("GOOGLETRANSLATE(C1518, ""en"", ""cs"")"),"Konec času")</f>
        <v>Konec času</v>
      </c>
      <c r="H1518" s="7" t="str">
        <f>IFERROR(__xludf.DUMMYFUNCTION("GOOGLETRANSLATE(C1518, ""en"", ""da"")"),"Sluttidspunktet")</f>
        <v>Sluttidspunktet</v>
      </c>
      <c r="I1518" s="1" t="s">
        <v>30953</v>
      </c>
      <c r="J1518" s="6" t="s">
        <v>132</v>
      </c>
      <c r="K1518" s="1" t="s">
        <v>30954</v>
      </c>
      <c r="L1518" s="7" t="str">
        <f>IFERROR(__xludf.DUMMYFUNCTION("GOOGLETRANSLATE(C1518, ""en"", ""fi"")"),"Loppu aika")</f>
        <v>Loppu aika</v>
      </c>
      <c r="M1518" s="1" t="s">
        <v>30955</v>
      </c>
      <c r="N1518" s="6" t="s">
        <v>30956</v>
      </c>
      <c r="O1518" s="6" t="s">
        <v>132</v>
      </c>
      <c r="P1518" s="1" t="s">
        <v>30957</v>
      </c>
      <c r="Q1518" s="9" t="s">
        <v>30958</v>
      </c>
      <c r="R1518" s="1" t="s">
        <v>30959</v>
      </c>
      <c r="S1518" s="6" t="s">
        <v>132</v>
      </c>
      <c r="T1518" s="1" t="s">
        <v>30960</v>
      </c>
      <c r="U1518" s="1" t="s">
        <v>30961</v>
      </c>
      <c r="V1518" s="7" t="str">
        <f>IFERROR(__xludf.DUMMYFUNCTION("GOOGLETRANSLATE(C1518, ""en"", ""ms"")"),"Masa tamat")</f>
        <v>Masa tamat</v>
      </c>
      <c r="W1518" s="1" t="s">
        <v>30962</v>
      </c>
      <c r="X1518" s="7" t="str">
        <f>IFERROR(__xludf.DUMMYFUNCTION("GOOGLETRANSLATE(C1518, ""en"", ""no"")"),"Sluttid")</f>
        <v>Sluttid</v>
      </c>
      <c r="Y1518" s="1" t="s">
        <v>30963</v>
      </c>
      <c r="Z1518" s="1" t="s">
        <v>30964</v>
      </c>
      <c r="AA1518" s="7" t="str">
        <f>IFERROR(__xludf.DUMMYFUNCTION("GOOGLETRANSLATE(C1518, ""en"", ""ro"")"),"Sfârșitul timpului")</f>
        <v>Sfârșitul timpului</v>
      </c>
      <c r="AB1518" s="1" t="s">
        <v>30965</v>
      </c>
      <c r="AC1518" s="1" t="s">
        <v>30966</v>
      </c>
      <c r="AD1518" s="6" t="s">
        <v>132</v>
      </c>
      <c r="AE1518" s="1" t="s">
        <v>30967</v>
      </c>
      <c r="AF1518" s="1" t="s">
        <v>30968</v>
      </c>
      <c r="AG1518" s="6" t="s">
        <v>132</v>
      </c>
      <c r="AH1518" s="7" t="str">
        <f>IFERROR(__xludf.DUMMYFUNCTION("GOOGLETRANSLATE(C1518, ""en"", ""tr"")"),"Bitiş zamanı")</f>
        <v>Bitiş zamanı</v>
      </c>
      <c r="AI1518" s="6" t="s">
        <v>30969</v>
      </c>
      <c r="AJ1518" s="6" t="s">
        <v>30970</v>
      </c>
      <c r="AK1518" s="7" t="str">
        <f>IFERROR(__xludf.DUMMYFUNCTION("GOOGLETRANSLATE(C1518, ""en"", ""zh"")"),"时间结束")</f>
        <v>时间结束</v>
      </c>
      <c r="AL1518" s="6" t="s">
        <v>30971</v>
      </c>
    </row>
    <row r="1519" ht="15.75" hidden="1" customHeight="1">
      <c r="A1519" s="1" t="s">
        <v>38</v>
      </c>
      <c r="B1519" s="1" t="s">
        <v>30972</v>
      </c>
      <c r="C1519" s="1" t="s">
        <v>30973</v>
      </c>
      <c r="D1519" s="8" t="s">
        <v>30974</v>
      </c>
      <c r="E1519" s="1" t="s">
        <v>30975</v>
      </c>
      <c r="F1519" s="6" t="s">
        <v>30976</v>
      </c>
      <c r="G1519" s="7" t="str">
        <f>IFERROR(__xludf.DUMMYFUNCTION("GOOGLETRANSLATE(C1519, ""en"", ""cs"")"),"Nejste připojeni. Zkuste to později")</f>
        <v>Nejste připojeni. Zkuste to později</v>
      </c>
      <c r="H1519" s="7" t="str">
        <f>IFERROR(__xludf.DUMMYFUNCTION("GOOGLETRANSLATE(C1519, ""en"", ""da"")"),"Du er ikke tilsluttet. Prøv igen senere")</f>
        <v>Du er ikke tilsluttet. Prøv igen senere</v>
      </c>
      <c r="I1519" s="1" t="s">
        <v>30977</v>
      </c>
      <c r="J1519" s="6" t="s">
        <v>132</v>
      </c>
      <c r="K1519" s="1" t="s">
        <v>30978</v>
      </c>
      <c r="L1519" s="7" t="str">
        <f>IFERROR(__xludf.DUMMYFUNCTION("GOOGLETRANSLATE(C1519, ""en"", ""fi"")"),"Et ole yhteydessä. Yritä myöhemmin uudelleen")</f>
        <v>Et ole yhteydessä. Yritä myöhemmin uudelleen</v>
      </c>
      <c r="M1519" s="1" t="s">
        <v>30979</v>
      </c>
      <c r="N1519" s="6" t="s">
        <v>30980</v>
      </c>
      <c r="O1519" s="6" t="s">
        <v>132</v>
      </c>
      <c r="P1519" s="1" t="s">
        <v>30981</v>
      </c>
      <c r="Q1519" s="9" t="s">
        <v>30982</v>
      </c>
      <c r="R1519" s="1" t="s">
        <v>30983</v>
      </c>
      <c r="S1519" s="6" t="s">
        <v>132</v>
      </c>
      <c r="T1519" s="1" t="s">
        <v>30984</v>
      </c>
      <c r="U1519" s="1" t="s">
        <v>30985</v>
      </c>
      <c r="V1519" s="7" t="str">
        <f>IFERROR(__xludf.DUMMYFUNCTION("GOOGLETRANSLATE(C1519, ""en"", ""ms"")"),"Anda tidak disambungkan. Cuba lagi nanti")</f>
        <v>Anda tidak disambungkan. Cuba lagi nanti</v>
      </c>
      <c r="W1519" s="1" t="s">
        <v>30986</v>
      </c>
      <c r="X1519" s="7" t="str">
        <f>IFERROR(__xludf.DUMMYFUNCTION("GOOGLETRANSLATE(C1519, ""en"", ""no"")"),"Du er ikke tilkoblet. Prøv igjen senere")</f>
        <v>Du er ikke tilkoblet. Prøv igjen senere</v>
      </c>
      <c r="Y1519" s="1" t="s">
        <v>30987</v>
      </c>
      <c r="Z1519" s="1" t="s">
        <v>30988</v>
      </c>
      <c r="AA1519" s="7" t="str">
        <f>IFERROR(__xludf.DUMMYFUNCTION("GOOGLETRANSLATE(C1519, ""en"", ""ro"")"),"Nu sunteți conectat (ă). Încercați mai târziu")</f>
        <v>Nu sunteți conectat (ă). Încercați mai târziu</v>
      </c>
      <c r="AB1519" s="1" t="s">
        <v>30989</v>
      </c>
      <c r="AC1519" s="1" t="s">
        <v>30990</v>
      </c>
      <c r="AD1519" s="6" t="s">
        <v>132</v>
      </c>
      <c r="AE1519" s="1" t="s">
        <v>30991</v>
      </c>
      <c r="AF1519" s="1" t="s">
        <v>30992</v>
      </c>
      <c r="AG1519" s="6" t="s">
        <v>132</v>
      </c>
      <c r="AH1519" s="7" t="str">
        <f>IFERROR(__xludf.DUMMYFUNCTION("GOOGLETRANSLATE(C1519, ""en"", ""tr"")"),"Bağlı değilsin. Daha sonra tekrar deneyin")</f>
        <v>Bağlı değilsin. Daha sonra tekrar deneyin</v>
      </c>
      <c r="AI1519" s="6" t="s">
        <v>30993</v>
      </c>
      <c r="AJ1519" s="6" t="s">
        <v>30994</v>
      </c>
      <c r="AK1519" s="7" t="str">
        <f>IFERROR(__xludf.DUMMYFUNCTION("GOOGLETRANSLATE(C1519, ""en"", ""zh"")"),"你没有连接。稍后再试")</f>
        <v>你没有连接。稍后再试</v>
      </c>
      <c r="AL1519" s="6" t="s">
        <v>30995</v>
      </c>
    </row>
    <row r="1520" ht="15.75" customHeight="1">
      <c r="A1520" s="1" t="s">
        <v>127</v>
      </c>
      <c r="B1520" s="1" t="s">
        <v>30996</v>
      </c>
      <c r="C1520" s="1" t="s">
        <v>30997</v>
      </c>
      <c r="D1520" s="8" t="s">
        <v>30998</v>
      </c>
      <c r="E1520" s="1" t="s">
        <v>30999</v>
      </c>
      <c r="F1520" s="6" t="s">
        <v>132</v>
      </c>
      <c r="G1520" s="1" t="s">
        <v>31000</v>
      </c>
      <c r="H1520" s="1" t="s">
        <v>31001</v>
      </c>
      <c r="I1520" s="1" t="s">
        <v>31002</v>
      </c>
      <c r="J1520" s="6" t="s">
        <v>31003</v>
      </c>
      <c r="K1520" s="1" t="s">
        <v>31004</v>
      </c>
      <c r="L1520" s="1" t="s">
        <v>31005</v>
      </c>
      <c r="M1520" s="1" t="s">
        <v>31006</v>
      </c>
      <c r="N1520" s="6" t="s">
        <v>132</v>
      </c>
      <c r="O1520" s="6" t="s">
        <v>31007</v>
      </c>
      <c r="P1520" s="1" t="s">
        <v>23612</v>
      </c>
      <c r="Q1520" s="1" t="s">
        <v>31008</v>
      </c>
      <c r="R1520" s="1" t="s">
        <v>31009</v>
      </c>
      <c r="S1520" s="10" t="s">
        <v>31010</v>
      </c>
      <c r="T1520" s="1" t="s">
        <v>10923</v>
      </c>
      <c r="U1520" s="1" t="s">
        <v>31011</v>
      </c>
      <c r="V1520" s="1" t="s">
        <v>31008</v>
      </c>
      <c r="W1520" s="1" t="s">
        <v>31012</v>
      </c>
      <c r="X1520" s="1" t="s">
        <v>31013</v>
      </c>
      <c r="Y1520" s="1" t="s">
        <v>31014</v>
      </c>
      <c r="Z1520" s="1" t="s">
        <v>31015</v>
      </c>
      <c r="AA1520" s="1" t="s">
        <v>31016</v>
      </c>
      <c r="AB1520" s="1" t="s">
        <v>30999</v>
      </c>
      <c r="AC1520" s="1" t="s">
        <v>31017</v>
      </c>
      <c r="AD1520" s="6" t="s">
        <v>31018</v>
      </c>
      <c r="AE1520" s="1" t="s">
        <v>31019</v>
      </c>
      <c r="AF1520" s="1" t="s">
        <v>31020</v>
      </c>
      <c r="AG1520" s="6" t="s">
        <v>23627</v>
      </c>
      <c r="AH1520" s="1" t="s">
        <v>31021</v>
      </c>
      <c r="AI1520" s="6" t="s">
        <v>132</v>
      </c>
      <c r="AJ1520" s="6" t="s">
        <v>31022</v>
      </c>
      <c r="AK1520" s="1" t="s">
        <v>31023</v>
      </c>
      <c r="AL1520" s="6" t="s">
        <v>31024</v>
      </c>
    </row>
    <row r="1521" ht="15.75" hidden="1" customHeight="1">
      <c r="A1521" s="1" t="s">
        <v>38</v>
      </c>
      <c r="B1521" s="1" t="s">
        <v>31025</v>
      </c>
      <c r="C1521" s="1" t="s">
        <v>31026</v>
      </c>
      <c r="D1521" s="8" t="s">
        <v>31027</v>
      </c>
      <c r="E1521" s="1" t="s">
        <v>31028</v>
      </c>
      <c r="F1521" s="6" t="s">
        <v>31029</v>
      </c>
      <c r="G1521" s="7" t="str">
        <f>IFERROR(__xludf.DUMMYFUNCTION("GOOGLETRANSLATE(C1521, ""en"", ""cs"")"),"Vyberte si obrázek")</f>
        <v>Vyberte si obrázek</v>
      </c>
      <c r="H1521" s="7" t="str">
        <f>IFERROR(__xludf.DUMMYFUNCTION("GOOGLETRANSLATE(C1521, ""en"", ""da"")"),"Vælg billede")</f>
        <v>Vælg billede</v>
      </c>
      <c r="I1521" s="1" t="s">
        <v>31030</v>
      </c>
      <c r="J1521" s="6" t="s">
        <v>132</v>
      </c>
      <c r="K1521" s="1" t="s">
        <v>31031</v>
      </c>
      <c r="L1521" s="7" t="str">
        <f>IFERROR(__xludf.DUMMYFUNCTION("GOOGLETRANSLATE(C1521, ""en"", ""fi"")"),"Valitse kuva")</f>
        <v>Valitse kuva</v>
      </c>
      <c r="M1521" s="1" t="s">
        <v>31032</v>
      </c>
      <c r="N1521" s="6" t="s">
        <v>31033</v>
      </c>
      <c r="O1521" s="6" t="s">
        <v>132</v>
      </c>
      <c r="P1521" s="1" t="s">
        <v>31034</v>
      </c>
      <c r="Q1521" s="9" t="s">
        <v>31035</v>
      </c>
      <c r="R1521" s="1" t="s">
        <v>31036</v>
      </c>
      <c r="S1521" s="6" t="s">
        <v>132</v>
      </c>
      <c r="T1521" s="1" t="s">
        <v>31037</v>
      </c>
      <c r="U1521" s="1" t="s">
        <v>31038</v>
      </c>
      <c r="V1521" s="7" t="str">
        <f>IFERROR(__xludf.DUMMYFUNCTION("GOOGLETRANSLATE(C1521, ""en"", ""ms"")"),"Pilih gambar")</f>
        <v>Pilih gambar</v>
      </c>
      <c r="W1521" s="1" t="s">
        <v>31039</v>
      </c>
      <c r="X1521" s="7" t="str">
        <f>IFERROR(__xludf.DUMMYFUNCTION("GOOGLETRANSLATE(C1521, ""en"", ""no"")"),"Velg bilde")</f>
        <v>Velg bilde</v>
      </c>
      <c r="Y1521" s="1" t="s">
        <v>31040</v>
      </c>
      <c r="Z1521" s="1" t="s">
        <v>31041</v>
      </c>
      <c r="AA1521" s="7" t="str">
        <f>IFERROR(__xludf.DUMMYFUNCTION("GOOGLETRANSLATE(C1521, ""en"", ""ro"")"),"Alegeți imagine")</f>
        <v>Alegeți imagine</v>
      </c>
      <c r="AB1521" s="1" t="s">
        <v>31042</v>
      </c>
      <c r="AC1521" s="1" t="s">
        <v>31043</v>
      </c>
      <c r="AD1521" s="6" t="s">
        <v>132</v>
      </c>
      <c r="AE1521" s="1" t="s">
        <v>31044</v>
      </c>
      <c r="AF1521" s="1" t="s">
        <v>31045</v>
      </c>
      <c r="AG1521" s="6" t="s">
        <v>132</v>
      </c>
      <c r="AH1521" s="7" t="str">
        <f>IFERROR(__xludf.DUMMYFUNCTION("GOOGLETRANSLATE(C1521, ""en"", ""tr"")"),"Resim seç")</f>
        <v>Resim seç</v>
      </c>
      <c r="AI1521" s="6" t="s">
        <v>31046</v>
      </c>
      <c r="AJ1521" s="6" t="s">
        <v>31047</v>
      </c>
      <c r="AK1521" s="7" t="str">
        <f>IFERROR(__xludf.DUMMYFUNCTION("GOOGLETRANSLATE(C1521, ""en"", ""zh"")"),"选择图片")</f>
        <v>选择图片</v>
      </c>
      <c r="AL1521" s="6" t="s">
        <v>31048</v>
      </c>
    </row>
    <row r="1522" ht="15.75" customHeight="1">
      <c r="A1522" s="1" t="s">
        <v>127</v>
      </c>
      <c r="B1522" s="1" t="s">
        <v>31049</v>
      </c>
      <c r="C1522" s="1" t="s">
        <v>31050</v>
      </c>
      <c r="D1522" s="8" t="s">
        <v>31051</v>
      </c>
      <c r="E1522" s="1" t="s">
        <v>31052</v>
      </c>
      <c r="F1522" s="6" t="s">
        <v>132</v>
      </c>
      <c r="G1522" s="1" t="s">
        <v>31053</v>
      </c>
      <c r="H1522" s="1" t="s">
        <v>31054</v>
      </c>
      <c r="I1522" s="1" t="s">
        <v>31055</v>
      </c>
      <c r="J1522" s="6" t="s">
        <v>31056</v>
      </c>
      <c r="K1522" s="1" t="s">
        <v>31057</v>
      </c>
      <c r="L1522" s="1" t="s">
        <v>31058</v>
      </c>
      <c r="M1522" s="1" t="s">
        <v>31059</v>
      </c>
      <c r="N1522" s="6" t="s">
        <v>132</v>
      </c>
      <c r="O1522" s="6" t="s">
        <v>31060</v>
      </c>
      <c r="P1522" s="1" t="s">
        <v>31061</v>
      </c>
      <c r="Q1522" s="1" t="s">
        <v>31062</v>
      </c>
      <c r="R1522" s="1" t="s">
        <v>31063</v>
      </c>
      <c r="S1522" s="10" t="s">
        <v>31064</v>
      </c>
      <c r="T1522" s="1" t="s">
        <v>31065</v>
      </c>
      <c r="U1522" s="1" t="s">
        <v>31066</v>
      </c>
      <c r="V1522" s="1" t="s">
        <v>31067</v>
      </c>
      <c r="W1522" s="1" t="s">
        <v>31068</v>
      </c>
      <c r="X1522" s="1" t="s">
        <v>31069</v>
      </c>
      <c r="Y1522" s="1" t="s">
        <v>31070</v>
      </c>
      <c r="Z1522" s="1" t="s">
        <v>31071</v>
      </c>
      <c r="AA1522" s="1" t="s">
        <v>31072</v>
      </c>
      <c r="AB1522" s="1" t="s">
        <v>31073</v>
      </c>
      <c r="AC1522" s="1" t="s">
        <v>31074</v>
      </c>
      <c r="AD1522" s="6" t="s">
        <v>31075</v>
      </c>
      <c r="AE1522" s="1" t="s">
        <v>31076</v>
      </c>
      <c r="AF1522" s="1" t="s">
        <v>31077</v>
      </c>
      <c r="AG1522" s="6" t="s">
        <v>31078</v>
      </c>
      <c r="AH1522" s="1" t="s">
        <v>31079</v>
      </c>
      <c r="AI1522" s="6" t="s">
        <v>132</v>
      </c>
      <c r="AJ1522" s="6" t="s">
        <v>31080</v>
      </c>
      <c r="AK1522" s="1" t="s">
        <v>31081</v>
      </c>
      <c r="AL1522" s="6" t="s">
        <v>132</v>
      </c>
    </row>
    <row r="1523" ht="15.75" hidden="1" customHeight="1">
      <c r="A1523" s="1" t="s">
        <v>38</v>
      </c>
      <c r="B1523" s="1" t="s">
        <v>31082</v>
      </c>
      <c r="C1523" s="1" t="s">
        <v>31083</v>
      </c>
      <c r="D1523" s="8" t="s">
        <v>31084</v>
      </c>
      <c r="E1523" s="1" t="s">
        <v>31085</v>
      </c>
      <c r="F1523" s="6" t="s">
        <v>31086</v>
      </c>
      <c r="G1523" s="7" t="str">
        <f>IFERROR(__xludf.DUMMYFUNCTION("GOOGLETRANSLATE(C1523, ""en"", ""cs"")"),"Počítač")</f>
        <v>Počítač</v>
      </c>
      <c r="H1523" s="7" t="str">
        <f>IFERROR(__xludf.DUMMYFUNCTION("GOOGLETRANSLATE(C1523, ""en"", ""da"")"),"Computer")</f>
        <v>Computer</v>
      </c>
      <c r="I1523" s="1" t="s">
        <v>31083</v>
      </c>
      <c r="J1523" s="6" t="s">
        <v>132</v>
      </c>
      <c r="K1523" s="1" t="s">
        <v>31087</v>
      </c>
      <c r="L1523" s="7" t="str">
        <f>IFERROR(__xludf.DUMMYFUNCTION("GOOGLETRANSLATE(C1523, ""en"", ""fi"")"),"Tietokone")</f>
        <v>Tietokone</v>
      </c>
      <c r="M1523" s="1" t="s">
        <v>31088</v>
      </c>
      <c r="N1523" s="6" t="s">
        <v>31089</v>
      </c>
      <c r="O1523" s="6" t="s">
        <v>132</v>
      </c>
      <c r="P1523" s="1" t="s">
        <v>31090</v>
      </c>
      <c r="Q1523" s="7" t="str">
        <f>IFERROR(__xludf.DUMMYFUNCTION("GOOGLETRANSLATE(C1523, ""en"", ""in"")"),"Komputer")</f>
        <v>Komputer</v>
      </c>
      <c r="R1523" s="1" t="s">
        <v>31083</v>
      </c>
      <c r="S1523" s="6" t="s">
        <v>132</v>
      </c>
      <c r="T1523" s="1" t="s">
        <v>31091</v>
      </c>
      <c r="U1523" s="1" t="s">
        <v>31092</v>
      </c>
      <c r="V1523" s="7" t="str">
        <f>IFERROR(__xludf.DUMMYFUNCTION("GOOGLETRANSLATE(C1523, ""en"", ""ms"")"),"Komputer")</f>
        <v>Komputer</v>
      </c>
      <c r="W1523" s="1" t="s">
        <v>31083</v>
      </c>
      <c r="X1523" s="7" t="str">
        <f>IFERROR(__xludf.DUMMYFUNCTION("GOOGLETRANSLATE(C1523, ""en"", ""no"")"),"Datamaskin")</f>
        <v>Datamaskin</v>
      </c>
      <c r="Y1523" s="1" t="s">
        <v>31093</v>
      </c>
      <c r="Z1523" s="1" t="s">
        <v>31094</v>
      </c>
      <c r="AA1523" s="7" t="str">
        <f>IFERROR(__xludf.DUMMYFUNCTION("GOOGLETRANSLATE(C1523, ""en"", ""ro"")"),"Calculator")</f>
        <v>Calculator</v>
      </c>
      <c r="AB1523" s="1" t="s">
        <v>31095</v>
      </c>
      <c r="AC1523" s="7" t="str">
        <f>IFERROR(__xludf.DUMMYFUNCTION("GOOGLETRANSLATE(C1523, ""en"", ""sk"")"),"Počítač")</f>
        <v>Počítač</v>
      </c>
      <c r="AD1523" s="6" t="s">
        <v>132</v>
      </c>
      <c r="AE1523" s="1" t="s">
        <v>31096</v>
      </c>
      <c r="AF1523" s="1" t="s">
        <v>31097</v>
      </c>
      <c r="AG1523" s="6" t="s">
        <v>132</v>
      </c>
      <c r="AH1523" s="7" t="str">
        <f>IFERROR(__xludf.DUMMYFUNCTION("GOOGLETRANSLATE(C1523, ""en"", ""tr"")"),"Bilgisayar")</f>
        <v>Bilgisayar</v>
      </c>
      <c r="AI1523" s="6" t="s">
        <v>31098</v>
      </c>
      <c r="AJ1523" s="6" t="s">
        <v>132</v>
      </c>
      <c r="AK1523" s="7" t="str">
        <f>IFERROR(__xludf.DUMMYFUNCTION("GOOGLETRANSLATE(C1523, ""en"", ""zh"")"),"电脑")</f>
        <v>电脑</v>
      </c>
      <c r="AL1523" s="6" t="s">
        <v>31099</v>
      </c>
    </row>
    <row r="1524" ht="15.75" hidden="1" customHeight="1">
      <c r="A1524" s="1" t="s">
        <v>38</v>
      </c>
      <c r="B1524" s="1" t="s">
        <v>31100</v>
      </c>
      <c r="C1524" s="1" t="s">
        <v>31101</v>
      </c>
      <c r="D1524" s="8" t="s">
        <v>31102</v>
      </c>
      <c r="E1524" s="1" t="s">
        <v>31103</v>
      </c>
      <c r="F1524" s="6" t="s">
        <v>31104</v>
      </c>
      <c r="G1524" s="7" t="str">
        <f>IFERROR(__xludf.DUMMYFUNCTION("GOOGLETRANSLATE(C1524, ""en"", ""cs"")"),"Dokument PDF.")</f>
        <v>Dokument PDF.</v>
      </c>
      <c r="H1524" s="7" t="str">
        <f>IFERROR(__xludf.DUMMYFUNCTION("GOOGLETRANSLATE(C1524, ""en"", ""da"")"),"PDF-dokument.")</f>
        <v>PDF-dokument.</v>
      </c>
      <c r="I1524" s="1" t="s">
        <v>31105</v>
      </c>
      <c r="J1524" s="6" t="s">
        <v>132</v>
      </c>
      <c r="K1524" s="1" t="s">
        <v>31106</v>
      </c>
      <c r="L1524" s="7" t="str">
        <f>IFERROR(__xludf.DUMMYFUNCTION("GOOGLETRANSLATE(C1524, ""en"", ""fi"")"),"PDF-asiakirja")</f>
        <v>PDF-asiakirja</v>
      </c>
      <c r="M1524" s="1" t="s">
        <v>31107</v>
      </c>
      <c r="N1524" s="6" t="s">
        <v>31106</v>
      </c>
      <c r="O1524" s="6" t="s">
        <v>132</v>
      </c>
      <c r="P1524" s="1" t="s">
        <v>31108</v>
      </c>
      <c r="Q1524" s="9" t="s">
        <v>31109</v>
      </c>
      <c r="R1524" s="1" t="s">
        <v>31110</v>
      </c>
      <c r="S1524" s="6" t="s">
        <v>132</v>
      </c>
      <c r="T1524" s="1" t="s">
        <v>31111</v>
      </c>
      <c r="U1524" s="1" t="s">
        <v>31112</v>
      </c>
      <c r="V1524" s="7" t="str">
        <f>IFERROR(__xludf.DUMMYFUNCTION("GOOGLETRANSLATE(C1524, ""en"", ""ms"")"),"Dokumen PDF.")</f>
        <v>Dokumen PDF.</v>
      </c>
      <c r="W1524" s="1" t="s">
        <v>31113</v>
      </c>
      <c r="X1524" s="7" t="str">
        <f>IFERROR(__xludf.DUMMYFUNCTION("GOOGLETRANSLATE(C1524, ""en"", ""no"")"),"PDF-dokument")</f>
        <v>PDF-dokument</v>
      </c>
      <c r="Y1524" s="1" t="s">
        <v>31114</v>
      </c>
      <c r="Z1524" s="1" t="s">
        <v>31110</v>
      </c>
      <c r="AA1524" s="7" t="str">
        <f>IFERROR(__xludf.DUMMYFUNCTION("GOOGLETRANSLATE(C1524, ""en"", ""ro"")"),"Document PDF.")</f>
        <v>Document PDF.</v>
      </c>
      <c r="AB1524" s="1" t="s">
        <v>31115</v>
      </c>
      <c r="AC1524" s="1" t="s">
        <v>31116</v>
      </c>
      <c r="AD1524" s="6" t="s">
        <v>132</v>
      </c>
      <c r="AE1524" s="1" t="s">
        <v>31117</v>
      </c>
      <c r="AF1524" s="1" t="s">
        <v>31118</v>
      </c>
      <c r="AG1524" s="6" t="s">
        <v>132</v>
      </c>
      <c r="AH1524" s="7" t="str">
        <f>IFERROR(__xludf.DUMMYFUNCTION("GOOGLETRANSLATE(C1524, ""en"", ""tr"")"),"PDF belgesi")</f>
        <v>PDF belgesi</v>
      </c>
      <c r="AI1524" s="6" t="s">
        <v>31103</v>
      </c>
      <c r="AJ1524" s="6" t="s">
        <v>31119</v>
      </c>
      <c r="AK1524" s="7" t="str">
        <f>IFERROR(__xludf.DUMMYFUNCTION("GOOGLETRANSLATE(C1524, ""en"", ""zh"")"),"PDF文件")</f>
        <v>PDF文件</v>
      </c>
      <c r="AL1524" s="6" t="s">
        <v>31120</v>
      </c>
    </row>
    <row r="1525" ht="15.75" hidden="1" customHeight="1">
      <c r="A1525" s="1" t="s">
        <v>38</v>
      </c>
      <c r="B1525" s="1" t="s">
        <v>31121</v>
      </c>
      <c r="C1525" s="1" t="s">
        <v>31122</v>
      </c>
      <c r="D1525" s="8" t="s">
        <v>31123</v>
      </c>
      <c r="E1525" s="1" t="s">
        <v>31124</v>
      </c>
      <c r="F1525" s="6" t="s">
        <v>31125</v>
      </c>
      <c r="G1525" s="7" t="str">
        <f>IFERROR(__xludf.DUMMYFUNCTION("GOOGLETRANSLATE(C1525, ""en"", ""cs"")"),"Automaticky")</f>
        <v>Automaticky</v>
      </c>
      <c r="H1525" s="7" t="str">
        <f>IFERROR(__xludf.DUMMYFUNCTION("GOOGLETRANSLATE(C1525, ""en"", ""da"")"),"Automatisk automatisk")</f>
        <v>Automatisk automatisk</v>
      </c>
      <c r="I1525" s="1" t="s">
        <v>31126</v>
      </c>
      <c r="J1525" s="6" t="s">
        <v>132</v>
      </c>
      <c r="K1525" s="1" t="s">
        <v>31127</v>
      </c>
      <c r="L1525" s="7" t="str">
        <f>IFERROR(__xludf.DUMMYFUNCTION("GOOGLETRANSLATE(C1525, ""en"", ""fi"")"),"Automaattisesti")</f>
        <v>Automaattisesti</v>
      </c>
      <c r="M1525" s="1" t="s">
        <v>31128</v>
      </c>
      <c r="N1525" s="6" t="s">
        <v>31127</v>
      </c>
      <c r="O1525" s="6" t="s">
        <v>132</v>
      </c>
      <c r="P1525" s="1" t="s">
        <v>31129</v>
      </c>
      <c r="Q1525" s="9" t="s">
        <v>31130</v>
      </c>
      <c r="R1525" s="1" t="s">
        <v>31131</v>
      </c>
      <c r="S1525" s="6" t="s">
        <v>132</v>
      </c>
      <c r="T1525" s="1" t="s">
        <v>31132</v>
      </c>
      <c r="U1525" s="1" t="s">
        <v>31133</v>
      </c>
      <c r="V1525" s="7" t="str">
        <f>IFERROR(__xludf.DUMMYFUNCTION("GOOGLETRANSLATE(C1525, ""en"", ""ms"")"),"Secara automatik")</f>
        <v>Secara automatik</v>
      </c>
      <c r="W1525" s="1" t="s">
        <v>31126</v>
      </c>
      <c r="X1525" s="7" t="str">
        <f>IFERROR(__xludf.DUMMYFUNCTION("GOOGLETRANSLATE(C1525, ""en"", ""no"")"),"Automatisk")</f>
        <v>Automatisk</v>
      </c>
      <c r="Y1525" s="1" t="s">
        <v>31134</v>
      </c>
      <c r="Z1525" s="1" t="s">
        <v>31131</v>
      </c>
      <c r="AA1525" s="7" t="str">
        <f>IFERROR(__xludf.DUMMYFUNCTION("GOOGLETRANSLATE(C1525, ""en"", ""ro"")"),"Automat")</f>
        <v>Automat</v>
      </c>
      <c r="AB1525" s="1" t="s">
        <v>31135</v>
      </c>
      <c r="AC1525" s="7" t="str">
        <f>IFERROR(__xludf.DUMMYFUNCTION("GOOGLETRANSLATE(C1525, ""en"", ""sk"")"),"Automaticky")</f>
        <v>Automaticky</v>
      </c>
      <c r="AD1525" s="6" t="s">
        <v>132</v>
      </c>
      <c r="AE1525" s="1" t="s">
        <v>31136</v>
      </c>
      <c r="AF1525" s="1" t="s">
        <v>31137</v>
      </c>
      <c r="AG1525" s="6" t="s">
        <v>132</v>
      </c>
      <c r="AH1525" s="7" t="str">
        <f>IFERROR(__xludf.DUMMYFUNCTION("GOOGLETRANSLATE(C1525, ""en"", ""tr"")"),"Otomatik olarak")</f>
        <v>Otomatik olarak</v>
      </c>
      <c r="AI1525" s="6" t="s">
        <v>31124</v>
      </c>
      <c r="AJ1525" s="6" t="s">
        <v>31138</v>
      </c>
      <c r="AK1525" s="7" t="str">
        <f>IFERROR(__xludf.DUMMYFUNCTION("GOOGLETRANSLATE(C1525, ""en"", ""zh"")"),"自动地")</f>
        <v>自动地</v>
      </c>
      <c r="AL1525" s="6" t="s">
        <v>31132</v>
      </c>
    </row>
    <row r="1526" ht="15.75" customHeight="1">
      <c r="A1526" s="1" t="s">
        <v>127</v>
      </c>
      <c r="B1526" s="1" t="s">
        <v>31139</v>
      </c>
      <c r="C1526" s="1" t="s">
        <v>31140</v>
      </c>
      <c r="D1526" s="8" t="s">
        <v>31141</v>
      </c>
      <c r="E1526" s="1" t="s">
        <v>31142</v>
      </c>
      <c r="F1526" s="6" t="s">
        <v>132</v>
      </c>
      <c r="G1526" s="1" t="s">
        <v>31143</v>
      </c>
      <c r="H1526" s="1" t="s">
        <v>31144</v>
      </c>
      <c r="I1526" s="1" t="s">
        <v>31145</v>
      </c>
      <c r="J1526" s="6" t="s">
        <v>31146</v>
      </c>
      <c r="K1526" s="1" t="s">
        <v>31147</v>
      </c>
      <c r="L1526" s="1" t="s">
        <v>31148</v>
      </c>
      <c r="M1526" s="1" t="s">
        <v>31149</v>
      </c>
      <c r="N1526" s="6" t="s">
        <v>132</v>
      </c>
      <c r="O1526" s="6" t="s">
        <v>31150</v>
      </c>
      <c r="P1526" s="1" t="s">
        <v>31151</v>
      </c>
      <c r="Q1526" s="1" t="s">
        <v>31152</v>
      </c>
      <c r="R1526" s="1" t="s">
        <v>31153</v>
      </c>
      <c r="S1526" s="10" t="s">
        <v>31154</v>
      </c>
      <c r="T1526" s="1" t="s">
        <v>31155</v>
      </c>
      <c r="U1526" s="1" t="s">
        <v>31156</v>
      </c>
      <c r="V1526" s="1" t="s">
        <v>31152</v>
      </c>
      <c r="W1526" s="1" t="s">
        <v>31157</v>
      </c>
      <c r="X1526" s="1" t="s">
        <v>31158</v>
      </c>
      <c r="Y1526" s="1" t="s">
        <v>31159</v>
      </c>
      <c r="Z1526" s="1" t="s">
        <v>31160</v>
      </c>
      <c r="AA1526" s="1" t="s">
        <v>31161</v>
      </c>
      <c r="AB1526" s="1" t="s">
        <v>31162</v>
      </c>
      <c r="AC1526" s="1" t="s">
        <v>31143</v>
      </c>
      <c r="AD1526" s="6" t="s">
        <v>31163</v>
      </c>
      <c r="AE1526" s="1" t="s">
        <v>31164</v>
      </c>
      <c r="AF1526" s="1" t="s">
        <v>31165</v>
      </c>
      <c r="AG1526" s="6" t="s">
        <v>31166</v>
      </c>
      <c r="AH1526" s="1" t="s">
        <v>31167</v>
      </c>
      <c r="AI1526" s="6" t="s">
        <v>132</v>
      </c>
      <c r="AJ1526" s="6" t="s">
        <v>31168</v>
      </c>
      <c r="AK1526" s="1" t="s">
        <v>31169</v>
      </c>
      <c r="AL1526" s="6" t="s">
        <v>31170</v>
      </c>
    </row>
    <row r="1527" ht="15.75" hidden="1" customHeight="1">
      <c r="A1527" s="1" t="s">
        <v>38</v>
      </c>
      <c r="B1527" s="1" t="s">
        <v>31171</v>
      </c>
      <c r="C1527" s="1" t="s">
        <v>31172</v>
      </c>
      <c r="D1527" s="7" t="str">
        <f>IFERROR(__xludf.DUMMYFUNCTION("GOOGLETRANSLATE(C1527, ""en"", ""ar"")"),"النرويج")</f>
        <v>النرويج</v>
      </c>
      <c r="E1527" s="7" t="str">
        <f>IFERROR(__xludf.DUMMYFUNCTION("GOOGLETRANSLATE(C1527, ""en"", ""bg"")"),"Норвегия")</f>
        <v>Норвегия</v>
      </c>
      <c r="F1527" s="6" t="s">
        <v>132</v>
      </c>
      <c r="G1527" s="7" t="str">
        <f>IFERROR(__xludf.DUMMYFUNCTION("GOOGLETRANSLATE(C1527, ""en"", ""cs"")"),"Norsko")</f>
        <v>Norsko</v>
      </c>
      <c r="H1527" s="7" t="str">
        <f>IFERROR(__xludf.DUMMYFUNCTION("GOOGLETRANSLATE(C1527, ""en"", ""da"")"),"Norge.")</f>
        <v>Norge.</v>
      </c>
      <c r="I1527" s="1" t="s">
        <v>31173</v>
      </c>
      <c r="J1527" s="6" t="s">
        <v>132</v>
      </c>
      <c r="K1527" s="1" t="s">
        <v>31174</v>
      </c>
      <c r="L1527" s="7" t="str">
        <f>IFERROR(__xludf.DUMMYFUNCTION("GOOGLETRANSLATE(C1527, ""en"", ""fi"")"),"Norja")</f>
        <v>Norja</v>
      </c>
      <c r="M1527" s="1" t="s">
        <v>31175</v>
      </c>
      <c r="N1527" s="6" t="s">
        <v>132</v>
      </c>
      <c r="O1527" s="6" t="s">
        <v>132</v>
      </c>
      <c r="P1527" s="1" t="s">
        <v>31172</v>
      </c>
      <c r="Q1527" s="7" t="str">
        <f>IFERROR(__xludf.DUMMYFUNCTION("GOOGLETRANSLATE(C1527, ""en"", ""in"")"),"Norway")</f>
        <v>Norway</v>
      </c>
      <c r="R1527" s="7" t="str">
        <f>IFERROR(__xludf.DUMMYFUNCTION("GOOGLETRANSLATE(C1527, ""en"", ""it"")"),"Norvegia")</f>
        <v>Norvegia</v>
      </c>
      <c r="S1527" s="6" t="s">
        <v>132</v>
      </c>
      <c r="T1527" s="7" t="str">
        <f>IFERROR(__xludf.DUMMYFUNCTION("GOOGLETRANSLATE(C1527, ""en"", ""ja"")"),"ノルウェー")</f>
        <v>ノルウェー</v>
      </c>
      <c r="U1527" s="7" t="str">
        <f>IFERROR(__xludf.DUMMYFUNCTION("GOOGLETRANSLATE(C1527, ""en"", ""ko"")"),"노르웨이")</f>
        <v>노르웨이</v>
      </c>
      <c r="V1527" s="7" t="str">
        <f>IFERROR(__xludf.DUMMYFUNCTION("GOOGLETRANSLATE(C1527, ""en"", ""ms"")"),"Norway")</f>
        <v>Norway</v>
      </c>
      <c r="W1527" s="7" t="str">
        <f>IFERROR(__xludf.DUMMYFUNCTION("GOOGLETRANSLATE(C1527, ""en"", ""nl"")"),"Noorwegen")</f>
        <v>Noorwegen</v>
      </c>
      <c r="X1527" s="7" t="str">
        <f>IFERROR(__xludf.DUMMYFUNCTION("GOOGLETRANSLATE(C1527, ""en"", ""no"")"),"Norge")</f>
        <v>Norge</v>
      </c>
      <c r="Y1527" s="7" t="str">
        <f>IFERROR(__xludf.DUMMYFUNCTION("GOOGLETRANSLATE(C1527, ""en"", ""pl"")"),"Norwegia")</f>
        <v>Norwegia</v>
      </c>
      <c r="Z1527" s="7" t="str">
        <f>IFERROR(__xludf.DUMMYFUNCTION("GOOGLETRANSLATE(C1527, ""en"", ""pt"")"),"Noruega")</f>
        <v>Noruega</v>
      </c>
      <c r="AA1527" s="7" t="str">
        <f>IFERROR(__xludf.DUMMYFUNCTION("GOOGLETRANSLATE(C1527, ""en"", ""ro"")"),"Norvegia")</f>
        <v>Norvegia</v>
      </c>
      <c r="AB1527" s="1" t="s">
        <v>31176</v>
      </c>
      <c r="AC1527" s="7" t="str">
        <f>IFERROR(__xludf.DUMMYFUNCTION("GOOGLETRANSLATE(C1527, ""en"", ""sk"")"),"Nórsko")</f>
        <v>Nórsko</v>
      </c>
      <c r="AD1527" s="6" t="s">
        <v>132</v>
      </c>
      <c r="AE1527" s="1" t="s">
        <v>31177</v>
      </c>
      <c r="AF1527" s="7" t="str">
        <f>IFERROR(__xludf.DUMMYFUNCTION("GOOGLETRANSLATE(C1527, ""en"", ""sv"")"),"Norge")</f>
        <v>Norge</v>
      </c>
      <c r="AG1527" s="6" t="s">
        <v>132</v>
      </c>
      <c r="AH1527" s="7" t="str">
        <f>IFERROR(__xludf.DUMMYFUNCTION("GOOGLETRANSLATE(C1527, ""en"", ""tr"")"),"Norveç")</f>
        <v>Norveç</v>
      </c>
      <c r="AI1527" s="6" t="s">
        <v>132</v>
      </c>
      <c r="AJ1527" s="6" t="s">
        <v>132</v>
      </c>
      <c r="AK1527" s="7" t="str">
        <f>IFERROR(__xludf.DUMMYFUNCTION("GOOGLETRANSLATE(C1527, ""en"", ""zh"")"),"挪威")</f>
        <v>挪威</v>
      </c>
      <c r="AL1527" s="6" t="s">
        <v>132</v>
      </c>
    </row>
    <row r="1528" ht="15.75" customHeight="1">
      <c r="A1528" s="1" t="s">
        <v>127</v>
      </c>
      <c r="B1528" s="1" t="s">
        <v>31178</v>
      </c>
      <c r="C1528" s="1" t="s">
        <v>31179</v>
      </c>
      <c r="D1528" s="8" t="s">
        <v>31180</v>
      </c>
      <c r="E1528" s="1" t="s">
        <v>31181</v>
      </c>
      <c r="F1528" s="6" t="s">
        <v>132</v>
      </c>
      <c r="G1528" s="1" t="s">
        <v>31182</v>
      </c>
      <c r="H1528" s="1" t="s">
        <v>31179</v>
      </c>
      <c r="I1528" s="1" t="s">
        <v>31179</v>
      </c>
      <c r="J1528" s="6" t="s">
        <v>31183</v>
      </c>
      <c r="K1528" s="1" t="s">
        <v>31179</v>
      </c>
      <c r="L1528" s="1" t="s">
        <v>31184</v>
      </c>
      <c r="M1528" s="1" t="s">
        <v>31185</v>
      </c>
      <c r="N1528" s="6" t="s">
        <v>132</v>
      </c>
      <c r="O1528" s="6" t="s">
        <v>31186</v>
      </c>
      <c r="P1528" s="1" t="s">
        <v>31187</v>
      </c>
      <c r="Q1528" s="1" t="s">
        <v>31188</v>
      </c>
      <c r="R1528" s="1" t="s">
        <v>31189</v>
      </c>
      <c r="S1528" s="10" t="s">
        <v>31190</v>
      </c>
      <c r="T1528" s="1" t="s">
        <v>31191</v>
      </c>
      <c r="U1528" s="1" t="s">
        <v>31192</v>
      </c>
      <c r="V1528" s="1" t="s">
        <v>31188</v>
      </c>
      <c r="W1528" s="1" t="s">
        <v>31179</v>
      </c>
      <c r="X1528" s="1" t="s">
        <v>31193</v>
      </c>
      <c r="Y1528" s="1" t="s">
        <v>31194</v>
      </c>
      <c r="Z1528" s="1" t="s">
        <v>31195</v>
      </c>
      <c r="AA1528" s="1" t="s">
        <v>31196</v>
      </c>
      <c r="AB1528" s="1" t="s">
        <v>31197</v>
      </c>
      <c r="AC1528" s="1" t="s">
        <v>31198</v>
      </c>
      <c r="AD1528" s="6" t="s">
        <v>31199</v>
      </c>
      <c r="AE1528" s="1" t="s">
        <v>31200</v>
      </c>
      <c r="AF1528" s="1" t="s">
        <v>31201</v>
      </c>
      <c r="AG1528" s="6" t="s">
        <v>31202</v>
      </c>
      <c r="AH1528" s="1" t="s">
        <v>31203</v>
      </c>
      <c r="AI1528" s="6" t="s">
        <v>132</v>
      </c>
      <c r="AJ1528" s="6" t="s">
        <v>31204</v>
      </c>
      <c r="AK1528" s="1" t="s">
        <v>31205</v>
      </c>
      <c r="AL1528" s="6" t="s">
        <v>31206</v>
      </c>
    </row>
    <row r="1529" ht="15.75" customHeight="1">
      <c r="A1529" s="1" t="s">
        <v>127</v>
      </c>
      <c r="B1529" s="1" t="s">
        <v>31207</v>
      </c>
      <c r="C1529" s="1" t="s">
        <v>31208</v>
      </c>
      <c r="D1529" s="8" t="s">
        <v>31209</v>
      </c>
      <c r="E1529" s="1" t="s">
        <v>31210</v>
      </c>
      <c r="F1529" s="6" t="s">
        <v>132</v>
      </c>
      <c r="G1529" s="1" t="s">
        <v>31211</v>
      </c>
      <c r="H1529" s="1" t="s">
        <v>31212</v>
      </c>
      <c r="I1529" s="1" t="s">
        <v>31213</v>
      </c>
      <c r="J1529" s="6" t="s">
        <v>31214</v>
      </c>
      <c r="K1529" s="1" t="s">
        <v>31215</v>
      </c>
      <c r="L1529" s="1" t="s">
        <v>31216</v>
      </c>
      <c r="M1529" s="1" t="s">
        <v>31217</v>
      </c>
      <c r="N1529" s="6" t="s">
        <v>132</v>
      </c>
      <c r="O1529" s="6" t="s">
        <v>31218</v>
      </c>
      <c r="P1529" s="1" t="s">
        <v>31219</v>
      </c>
      <c r="Q1529" s="1" t="s">
        <v>31220</v>
      </c>
      <c r="R1529" s="1" t="s">
        <v>31221</v>
      </c>
      <c r="S1529" s="10" t="s">
        <v>31222</v>
      </c>
      <c r="T1529" s="1" t="s">
        <v>31223</v>
      </c>
      <c r="U1529" s="1" t="s">
        <v>31224</v>
      </c>
      <c r="V1529" s="1" t="s">
        <v>31225</v>
      </c>
      <c r="W1529" s="1" t="s">
        <v>31226</v>
      </c>
      <c r="X1529" s="1" t="s">
        <v>31227</v>
      </c>
      <c r="Y1529" s="1" t="s">
        <v>31228</v>
      </c>
      <c r="Z1529" s="1" t="s">
        <v>31229</v>
      </c>
      <c r="AA1529" s="1" t="s">
        <v>31230</v>
      </c>
      <c r="AB1529" s="1" t="s">
        <v>31231</v>
      </c>
      <c r="AC1529" s="1" t="s">
        <v>31232</v>
      </c>
      <c r="AD1529" s="6" t="s">
        <v>31233</v>
      </c>
      <c r="AE1529" s="1" t="s">
        <v>31234</v>
      </c>
      <c r="AF1529" s="1" t="s">
        <v>31235</v>
      </c>
      <c r="AG1529" s="6" t="s">
        <v>31236</v>
      </c>
      <c r="AH1529" s="1" t="s">
        <v>31237</v>
      </c>
      <c r="AI1529" s="6" t="s">
        <v>132</v>
      </c>
      <c r="AJ1529" s="6" t="s">
        <v>31238</v>
      </c>
      <c r="AK1529" s="1" t="s">
        <v>31239</v>
      </c>
      <c r="AL1529" s="6" t="s">
        <v>31240</v>
      </c>
    </row>
    <row r="1530" ht="15.75" customHeight="1">
      <c r="A1530" s="1" t="s">
        <v>127</v>
      </c>
      <c r="B1530" s="1" t="s">
        <v>31241</v>
      </c>
      <c r="C1530" s="1" t="s">
        <v>31242</v>
      </c>
      <c r="D1530" s="8" t="s">
        <v>31243</v>
      </c>
      <c r="E1530" s="1" t="s">
        <v>7713</v>
      </c>
      <c r="F1530" s="6" t="s">
        <v>132</v>
      </c>
      <c r="G1530" s="1" t="s">
        <v>31244</v>
      </c>
      <c r="H1530" s="1" t="s">
        <v>31244</v>
      </c>
      <c r="I1530" s="1" t="s">
        <v>31244</v>
      </c>
      <c r="J1530" s="6" t="s">
        <v>31245</v>
      </c>
      <c r="K1530" s="1" t="s">
        <v>31246</v>
      </c>
      <c r="L1530" s="1" t="s">
        <v>31247</v>
      </c>
      <c r="M1530" s="1" t="s">
        <v>31248</v>
      </c>
      <c r="N1530" s="6" t="s">
        <v>132</v>
      </c>
      <c r="O1530" s="6" t="s">
        <v>31249</v>
      </c>
      <c r="P1530" s="1" t="s">
        <v>31244</v>
      </c>
      <c r="Q1530" s="1" t="s">
        <v>31244</v>
      </c>
      <c r="R1530" s="1" t="s">
        <v>31250</v>
      </c>
      <c r="S1530" s="10" t="s">
        <v>31251</v>
      </c>
      <c r="T1530" s="1" t="s">
        <v>31252</v>
      </c>
      <c r="U1530" s="1" t="s">
        <v>31253</v>
      </c>
      <c r="V1530" s="1" t="s">
        <v>31244</v>
      </c>
      <c r="W1530" s="1" t="s">
        <v>31254</v>
      </c>
      <c r="X1530" s="1" t="s">
        <v>31244</v>
      </c>
      <c r="Y1530" s="1" t="s">
        <v>31244</v>
      </c>
      <c r="Z1530" s="1" t="s">
        <v>31255</v>
      </c>
      <c r="AA1530" s="1" t="s">
        <v>31244</v>
      </c>
      <c r="AB1530" s="1" t="s">
        <v>31256</v>
      </c>
      <c r="AC1530" s="1" t="s">
        <v>31257</v>
      </c>
      <c r="AD1530" s="6" t="s">
        <v>31244</v>
      </c>
      <c r="AE1530" s="1" t="s">
        <v>31244</v>
      </c>
      <c r="AF1530" s="1" t="s">
        <v>31244</v>
      </c>
      <c r="AG1530" s="6" t="s">
        <v>31258</v>
      </c>
      <c r="AH1530" s="1" t="s">
        <v>31244</v>
      </c>
      <c r="AI1530" s="6" t="s">
        <v>132</v>
      </c>
      <c r="AJ1530" s="6" t="s">
        <v>31259</v>
      </c>
      <c r="AK1530" s="1" t="s">
        <v>31260</v>
      </c>
      <c r="AL1530" s="6" t="s">
        <v>31261</v>
      </c>
    </row>
    <row r="1531" ht="15.75" hidden="1" customHeight="1">
      <c r="A1531" s="1" t="s">
        <v>38</v>
      </c>
      <c r="B1531" s="1" t="s">
        <v>31262</v>
      </c>
      <c r="C1531" s="1" t="s">
        <v>31263</v>
      </c>
      <c r="D1531" s="8" t="s">
        <v>31264</v>
      </c>
      <c r="E1531" s="1" t="s">
        <v>31265</v>
      </c>
      <c r="F1531" s="6" t="s">
        <v>31266</v>
      </c>
      <c r="G1531" s="7" t="str">
        <f>IFERROR(__xludf.DUMMYFUNCTION("GOOGLETRANSLATE(C1531, ""en"", ""cs"")"),"Šifrovaná zpráva. Nainstalujte prosím OpenKeychain k dešifrování.")</f>
        <v>Šifrovaná zpráva. Nainstalujte prosím OpenKeychain k dešifrování.</v>
      </c>
      <c r="H1531" s="7" t="str">
        <f>IFERROR(__xludf.DUMMYFUNCTION("GOOGLETRANSLATE(C1531, ""en"", ""da"")"),"Krypteret besked. Vær venlig at installere OpenKeyChain for at dekryptere.")</f>
        <v>Krypteret besked. Vær venlig at installere OpenKeyChain for at dekryptere.</v>
      </c>
      <c r="I1531" s="1" t="s">
        <v>31267</v>
      </c>
      <c r="J1531" s="6" t="s">
        <v>132</v>
      </c>
      <c r="K1531" s="1" t="s">
        <v>31268</v>
      </c>
      <c r="L1531" s="7" t="str">
        <f>IFERROR(__xludf.DUMMYFUNCTION("GOOGLETRANSLATE(C1531, ""en"", ""fi"")"),"Salattu viesti. Asenna OpenKEYCHAIN ​​purkaa.")</f>
        <v>Salattu viesti. Asenna OpenKEYCHAIN ​​purkaa.</v>
      </c>
      <c r="M1531" s="1" t="s">
        <v>31269</v>
      </c>
      <c r="N1531" s="6" t="s">
        <v>31270</v>
      </c>
      <c r="O1531" s="6" t="s">
        <v>132</v>
      </c>
      <c r="P1531" s="1" t="s">
        <v>31271</v>
      </c>
      <c r="Q1531" s="9" t="s">
        <v>31272</v>
      </c>
      <c r="R1531" s="1" t="s">
        <v>31273</v>
      </c>
      <c r="S1531" s="6" t="s">
        <v>132</v>
      </c>
      <c r="T1531" s="1" t="s">
        <v>31274</v>
      </c>
      <c r="U1531" s="1" t="s">
        <v>31275</v>
      </c>
      <c r="V1531" s="7" t="str">
        <f>IFERROR(__xludf.DUMMYFUNCTION("GOOGLETRANSLATE(C1531, ""en"", ""ms"")"),"Mesej yang disulitkan. Sila pasang OpenKeychain untuk menyahsulit.")</f>
        <v>Mesej yang disulitkan. Sila pasang OpenKeychain untuk menyahsulit.</v>
      </c>
      <c r="W1531" s="1" t="s">
        <v>31276</v>
      </c>
      <c r="X1531" s="7" t="str">
        <f>IFERROR(__xludf.DUMMYFUNCTION("GOOGLETRANSLATE(C1531, ""en"", ""no"")"),"Kryptert melding. Vennligst installer OpenKeychain for å dekryptere.")</f>
        <v>Kryptert melding. Vennligst installer OpenKeychain for å dekryptere.</v>
      </c>
      <c r="Y1531" s="1" t="s">
        <v>31277</v>
      </c>
      <c r="Z1531" s="1" t="s">
        <v>31278</v>
      </c>
      <c r="AA1531" s="7" t="str">
        <f>IFERROR(__xludf.DUMMYFUNCTION("GOOGLETRANSLATE(C1531, ""en"", ""ro"")"),"Mesaj criptat. Instalați Openkeychain pentru a decripta.")</f>
        <v>Mesaj criptat. Instalați Openkeychain pentru a decripta.</v>
      </c>
      <c r="AB1531" s="1" t="s">
        <v>31279</v>
      </c>
      <c r="AC1531" s="1" t="s">
        <v>31280</v>
      </c>
      <c r="AD1531" s="6" t="s">
        <v>132</v>
      </c>
      <c r="AE1531" s="1" t="s">
        <v>31281</v>
      </c>
      <c r="AF1531" s="1" t="s">
        <v>31282</v>
      </c>
      <c r="AG1531" s="6" t="s">
        <v>132</v>
      </c>
      <c r="AH1531" s="13" t="s">
        <v>31283</v>
      </c>
      <c r="AI1531" s="6" t="s">
        <v>31284</v>
      </c>
      <c r="AJ1531" s="6" t="s">
        <v>31285</v>
      </c>
      <c r="AK1531" s="7" t="str">
        <f>IFERROR(__xludf.DUMMYFUNCTION("GOOGLETRANSLATE(C1531, ""en"", ""zh"")"),"加密消息。请安装OpenKeychain解密。")</f>
        <v>加密消息。请安装OpenKeychain解密。</v>
      </c>
      <c r="AL1531" s="6" t="s">
        <v>31286</v>
      </c>
    </row>
    <row r="1532" ht="15.75" hidden="1" customHeight="1">
      <c r="A1532" s="1" t="s">
        <v>38</v>
      </c>
      <c r="B1532" s="1" t="s">
        <v>31287</v>
      </c>
      <c r="C1532" s="1" t="s">
        <v>31288</v>
      </c>
      <c r="D1532" s="8" t="s">
        <v>31289</v>
      </c>
      <c r="E1532" s="1" t="s">
        <v>31290</v>
      </c>
      <c r="F1532" s="6" t="s">
        <v>31291</v>
      </c>
      <c r="G1532" s="7" t="str">
        <f>IFERROR(__xludf.DUMMYFUNCTION("GOOGLETRANSLATE(C1532, ""en"", ""cs"")"),"% 1 $ s opustil skupinový chat!")</f>
        <v>% 1 $ s opustil skupinový chat!</v>
      </c>
      <c r="H1532" s="7" t="str">
        <f>IFERROR(__xludf.DUMMYFUNCTION("GOOGLETRANSLATE(C1532, ""en"", ""da"")"),"% 1 $ S har forladt gruppens chat!")</f>
        <v>% 1 $ S har forladt gruppens chat!</v>
      </c>
      <c r="I1532" s="1" t="s">
        <v>31292</v>
      </c>
      <c r="J1532" s="6" t="s">
        <v>132</v>
      </c>
      <c r="K1532" s="1" t="s">
        <v>31293</v>
      </c>
      <c r="L1532" s="7" t="str">
        <f>IFERROR(__xludf.DUMMYFUNCTION("GOOGLETRANSLATE(C1532, ""en"", ""fi"")"),"% 1 $ s on lähtenyt ryhmän chat!")</f>
        <v>% 1 $ s on lähtenyt ryhmän chat!</v>
      </c>
      <c r="M1532" s="1" t="s">
        <v>31294</v>
      </c>
      <c r="N1532" s="6" t="s">
        <v>31295</v>
      </c>
      <c r="O1532" s="6" t="s">
        <v>132</v>
      </c>
      <c r="P1532" s="1" t="s">
        <v>31296</v>
      </c>
      <c r="Q1532" s="7" t="str">
        <f>IFERROR(__xludf.DUMMYFUNCTION("GOOGLETRANSLATE(C1532, ""en"", ""in"")"),"% 1 $ S telah meninggalkan obrolan grup!")</f>
        <v>% 1 $ S telah meninggalkan obrolan grup!</v>
      </c>
      <c r="R1532" s="1" t="s">
        <v>31297</v>
      </c>
      <c r="S1532" s="6" t="s">
        <v>132</v>
      </c>
      <c r="T1532" s="1" t="s">
        <v>31298</v>
      </c>
      <c r="U1532" s="7" t="str">
        <f>IFERROR(__xludf.DUMMYFUNCTION("GOOGLETRANSLATE(C1532, ""en"", ""ko"")"),"% 1 $ s가 그룹 채팅을 떠났습니다!")</f>
        <v>% 1 $ s가 그룹 채팅을 떠났습니다!</v>
      </c>
      <c r="V1532" s="7" t="str">
        <f>IFERROR(__xludf.DUMMYFUNCTION("GOOGLETRANSLATE(C1532, ""en"", ""ms"")"),"% 1 $ s telah meninggalkan sembang kumpulan!")</f>
        <v>% 1 $ s telah meninggalkan sembang kumpulan!</v>
      </c>
      <c r="W1532" s="1" t="s">
        <v>31299</v>
      </c>
      <c r="X1532" s="7" t="str">
        <f>IFERROR(__xludf.DUMMYFUNCTION("GOOGLETRANSLATE(C1532, ""en"", ""no"")"),"% 1 $ s har forlatt gruppen chat!")</f>
        <v>% 1 $ s har forlatt gruppen chat!</v>
      </c>
      <c r="Y1532" s="1" t="s">
        <v>31300</v>
      </c>
      <c r="Z1532" s="1" t="s">
        <v>31301</v>
      </c>
      <c r="AA1532" s="7" t="str">
        <f>IFERROR(__xludf.DUMMYFUNCTION("GOOGLETRANSLATE(C1532, ""en"", ""ro"")"),"% 1 $ s a părăsit grupul de chat!")</f>
        <v>% 1 $ s a părăsit grupul de chat!</v>
      </c>
      <c r="AB1532" s="1" t="s">
        <v>31302</v>
      </c>
      <c r="AC1532" s="7" t="str">
        <f>IFERROR(__xludf.DUMMYFUNCTION("GOOGLETRANSLATE(C1532, ""en"", ""sk"")"),"% 1 $ S opustil skupinový chat!")</f>
        <v>% 1 $ S opustil skupinový chat!</v>
      </c>
      <c r="AD1532" s="6" t="s">
        <v>132</v>
      </c>
      <c r="AE1532" s="1" t="s">
        <v>31303</v>
      </c>
      <c r="AF1532" s="7" t="str">
        <f>IFERROR(__xludf.DUMMYFUNCTION("GOOGLETRANSLATE(C1532, ""en"", ""sv"")"),"% 1 $ s har lämnat gruppchatten!")</f>
        <v>% 1 $ s har lämnat gruppchatten!</v>
      </c>
      <c r="AG1532" s="6" t="s">
        <v>132</v>
      </c>
      <c r="AH1532" s="7" t="str">
        <f>IFERROR(__xludf.DUMMYFUNCTION("GOOGLETRANSLATE(C1532, ""en"", ""tr"")"),"% 1 $ S Grup sohbeti bıraktı!")</f>
        <v>% 1 $ S Grup sohbeti bıraktı!</v>
      </c>
      <c r="AI1532" s="6" t="s">
        <v>132</v>
      </c>
      <c r="AJ1532" s="6" t="s">
        <v>132</v>
      </c>
      <c r="AK1532" s="7" t="str">
        <f>IFERROR(__xludf.DUMMYFUNCTION("GOOGLETRANSLATE(C1532, ""en"", ""zh"")"),"％1 $ s离开了小组聊天！")</f>
        <v>％1 $ s离开了小组聊天！</v>
      </c>
      <c r="AL1532" s="6" t="s">
        <v>132</v>
      </c>
    </row>
    <row r="1533" ht="15.75" hidden="1" customHeight="1">
      <c r="A1533" s="1" t="s">
        <v>38</v>
      </c>
      <c r="B1533" s="1" t="s">
        <v>31304</v>
      </c>
      <c r="C1533" s="1" t="s">
        <v>31305</v>
      </c>
      <c r="D1533" s="8" t="s">
        <v>31306</v>
      </c>
      <c r="E1533" s="1" t="s">
        <v>31307</v>
      </c>
      <c r="F1533" s="6" t="s">
        <v>31308</v>
      </c>
      <c r="G1533" s="7" t="str">
        <f>IFERROR(__xludf.DUMMYFUNCTION("GOOGLETRANSLATE(C1533, ""en"", ""cs"")"),"Přidat účet")</f>
        <v>Přidat účet</v>
      </c>
      <c r="H1533" s="7" t="str">
        <f>IFERROR(__xludf.DUMMYFUNCTION("GOOGLETRANSLATE(C1533, ""en"", ""da"")"),"Tilføj konto")</f>
        <v>Tilføj konto</v>
      </c>
      <c r="I1533" s="1" t="s">
        <v>31309</v>
      </c>
      <c r="J1533" s="6" t="s">
        <v>132</v>
      </c>
      <c r="K1533" s="1" t="s">
        <v>31310</v>
      </c>
      <c r="L1533" s="7" t="str">
        <f>IFERROR(__xludf.DUMMYFUNCTION("GOOGLETRANSLATE(C1533, ""en"", ""fi"")"),"Lisää tili")</f>
        <v>Lisää tili</v>
      </c>
      <c r="M1533" s="1" t="s">
        <v>31311</v>
      </c>
      <c r="N1533" s="6" t="s">
        <v>31312</v>
      </c>
      <c r="O1533" s="6" t="s">
        <v>132</v>
      </c>
      <c r="P1533" s="1" t="s">
        <v>31313</v>
      </c>
      <c r="Q1533" s="9" t="s">
        <v>31314</v>
      </c>
      <c r="R1533" s="1" t="s">
        <v>31315</v>
      </c>
      <c r="S1533" s="6" t="s">
        <v>132</v>
      </c>
      <c r="T1533" s="1" t="s">
        <v>31316</v>
      </c>
      <c r="U1533" s="1" t="s">
        <v>31317</v>
      </c>
      <c r="V1533" s="7" t="str">
        <f>IFERROR(__xludf.DUMMYFUNCTION("GOOGLETRANSLATE(C1533, ""en"", ""ms"")"),"Tambah akaun")</f>
        <v>Tambah akaun</v>
      </c>
      <c r="W1533" s="1" t="s">
        <v>31318</v>
      </c>
      <c r="X1533" s="7" t="str">
        <f>IFERROR(__xludf.DUMMYFUNCTION("GOOGLETRANSLATE(C1533, ""en"", ""no"")"),"Legg til konto")</f>
        <v>Legg til konto</v>
      </c>
      <c r="Y1533" s="1" t="s">
        <v>31319</v>
      </c>
      <c r="Z1533" s="1" t="s">
        <v>31320</v>
      </c>
      <c r="AA1533" s="7" t="str">
        <f>IFERROR(__xludf.DUMMYFUNCTION("GOOGLETRANSLATE(C1533, ""en"", ""ro"")"),"Adaugă cont")</f>
        <v>Adaugă cont</v>
      </c>
      <c r="AB1533" s="1" t="s">
        <v>31321</v>
      </c>
      <c r="AC1533" s="1" t="s">
        <v>31322</v>
      </c>
      <c r="AD1533" s="6" t="s">
        <v>132</v>
      </c>
      <c r="AE1533" s="1" t="s">
        <v>31323</v>
      </c>
      <c r="AF1533" s="1" t="s">
        <v>31324</v>
      </c>
      <c r="AG1533" s="6" t="s">
        <v>132</v>
      </c>
      <c r="AH1533" s="7" t="str">
        <f>IFERROR(__xludf.DUMMYFUNCTION("GOOGLETRANSLATE(C1533, ""en"", ""tr"")"),"Hesap eklemek")</f>
        <v>Hesap eklemek</v>
      </c>
      <c r="AI1533" s="6" t="s">
        <v>31325</v>
      </c>
      <c r="AJ1533" s="6" t="s">
        <v>31326</v>
      </c>
      <c r="AK1533" s="7" t="str">
        <f>IFERROR(__xludf.DUMMYFUNCTION("GOOGLETRANSLATE(C1533, ""en"", ""zh"")"),"新增帐户")</f>
        <v>新增帐户</v>
      </c>
      <c r="AL1533" s="6" t="s">
        <v>31327</v>
      </c>
    </row>
    <row r="1534" ht="15.75" hidden="1" customHeight="1">
      <c r="A1534" s="1" t="s">
        <v>38</v>
      </c>
      <c r="B1534" s="1" t="s">
        <v>31328</v>
      </c>
      <c r="C1534" s="1" t="s">
        <v>31329</v>
      </c>
      <c r="D1534" s="8" t="s">
        <v>31330</v>
      </c>
      <c r="E1534" s="1" t="s">
        <v>31331</v>
      </c>
      <c r="F1534" s="6" t="s">
        <v>31332</v>
      </c>
      <c r="G1534" s="7" t="str">
        <f>IFERROR(__xludf.DUMMYFUNCTION("GOOGLETRANSLATE(C1534, ""en"", ""cs"")"),"Použijte zelené pozadí pro přijaté zprávy")</f>
        <v>Použijte zelené pozadí pro přijaté zprávy</v>
      </c>
      <c r="H1534" s="7" t="str">
        <f>IFERROR(__xludf.DUMMYFUNCTION("GOOGLETRANSLATE(C1534, ""en"", ""da"")"),"Brug grøn baggrund for modtagne meddelelser")</f>
        <v>Brug grøn baggrund for modtagne meddelelser</v>
      </c>
      <c r="I1534" s="1" t="s">
        <v>31333</v>
      </c>
      <c r="J1534" s="6" t="s">
        <v>132</v>
      </c>
      <c r="K1534" s="1" t="s">
        <v>31334</v>
      </c>
      <c r="L1534" s="7" t="str">
        <f>IFERROR(__xludf.DUMMYFUNCTION("GOOGLETRANSLATE(C1534, ""en"", ""fi"")"),"Käytä vihreää taustaa vastaanotetuille viesteille")</f>
        <v>Käytä vihreää taustaa vastaanotetuille viesteille</v>
      </c>
      <c r="M1534" s="1" t="s">
        <v>31335</v>
      </c>
      <c r="N1534" s="6" t="s">
        <v>31336</v>
      </c>
      <c r="O1534" s="6" t="s">
        <v>132</v>
      </c>
      <c r="P1534" s="1" t="s">
        <v>31337</v>
      </c>
      <c r="Q1534" s="9" t="s">
        <v>31338</v>
      </c>
      <c r="R1534" s="1" t="s">
        <v>31339</v>
      </c>
      <c r="S1534" s="6" t="s">
        <v>132</v>
      </c>
      <c r="T1534" s="1" t="s">
        <v>31340</v>
      </c>
      <c r="U1534" s="1" t="s">
        <v>31341</v>
      </c>
      <c r="V1534" s="7" t="str">
        <f>IFERROR(__xludf.DUMMYFUNCTION("GOOGLETRANSLATE(C1534, ""en"", ""ms"")"),"Gunakan latar belakang hijau untuk mesej yang diterima")</f>
        <v>Gunakan latar belakang hijau untuk mesej yang diterima</v>
      </c>
      <c r="W1534" s="1" t="s">
        <v>31342</v>
      </c>
      <c r="X1534" s="7" t="str">
        <f>IFERROR(__xludf.DUMMYFUNCTION("GOOGLETRANSLATE(C1534, ""en"", ""no"")"),"Bruk grønn bakgrunn for mottatte meldinger")</f>
        <v>Bruk grønn bakgrunn for mottatte meldinger</v>
      </c>
      <c r="Y1534" s="1" t="s">
        <v>31343</v>
      </c>
      <c r="Z1534" s="1" t="s">
        <v>31344</v>
      </c>
      <c r="AA1534" s="7" t="str">
        <f>IFERROR(__xludf.DUMMYFUNCTION("GOOGLETRANSLATE(C1534, ""en"", ""ro"")"),"Utilizați fundalul verde pentru mesajele primite")</f>
        <v>Utilizați fundalul verde pentru mesajele primite</v>
      </c>
      <c r="AB1534" s="1" t="s">
        <v>31345</v>
      </c>
      <c r="AC1534" s="7" t="str">
        <f>IFERROR(__xludf.DUMMYFUNCTION("GOOGLETRANSLATE(C1534, ""en"", ""sk"")"),"Použite zelené pozadie pre prijaté správy")</f>
        <v>Použite zelené pozadie pre prijaté správy</v>
      </c>
      <c r="AD1534" s="6" t="s">
        <v>132</v>
      </c>
      <c r="AE1534" s="1" t="s">
        <v>31346</v>
      </c>
      <c r="AF1534" s="1" t="s">
        <v>31347</v>
      </c>
      <c r="AG1534" s="6" t="s">
        <v>132</v>
      </c>
      <c r="AH1534" s="7" t="str">
        <f>IFERROR(__xludf.DUMMYFUNCTION("GOOGLETRANSLATE(C1534, ""en"", ""tr"")"),"Alınan mesajlar için yeşil renkli kullanın")</f>
        <v>Alınan mesajlar için yeşil renkli kullanın</v>
      </c>
      <c r="AI1534" s="6" t="s">
        <v>31348</v>
      </c>
      <c r="AJ1534" s="6" t="s">
        <v>132</v>
      </c>
      <c r="AK1534" s="7" t="str">
        <f>IFERROR(__xludf.DUMMYFUNCTION("GOOGLETRANSLATE(C1534, ""en"", ""zh"")"),"使用绿色背景为收到的消息")</f>
        <v>使用绿色背景为收到的消息</v>
      </c>
      <c r="AL1534" s="6" t="s">
        <v>31349</v>
      </c>
    </row>
    <row r="1535" ht="15.75" customHeight="1">
      <c r="A1535" s="1" t="s">
        <v>127</v>
      </c>
      <c r="B1535" s="1" t="s">
        <v>31350</v>
      </c>
      <c r="C1535" s="1" t="s">
        <v>31351</v>
      </c>
      <c r="D1535" s="8" t="s">
        <v>31352</v>
      </c>
      <c r="E1535" s="1" t="s">
        <v>31353</v>
      </c>
      <c r="F1535" s="6" t="s">
        <v>132</v>
      </c>
      <c r="G1535" s="1" t="s">
        <v>31354</v>
      </c>
      <c r="H1535" s="1" t="s">
        <v>31355</v>
      </c>
      <c r="I1535" s="1" t="s">
        <v>31356</v>
      </c>
      <c r="J1535" s="6" t="s">
        <v>31357</v>
      </c>
      <c r="K1535" s="1" t="s">
        <v>31358</v>
      </c>
      <c r="L1535" s="1" t="s">
        <v>31359</v>
      </c>
      <c r="M1535" s="1" t="s">
        <v>31360</v>
      </c>
      <c r="N1535" s="6" t="s">
        <v>132</v>
      </c>
      <c r="O1535" s="6" t="s">
        <v>31361</v>
      </c>
      <c r="P1535" s="1" t="s">
        <v>31351</v>
      </c>
      <c r="Q1535" s="1" t="s">
        <v>31362</v>
      </c>
      <c r="R1535" s="1" t="s">
        <v>31363</v>
      </c>
      <c r="S1535" s="10" t="s">
        <v>31364</v>
      </c>
      <c r="T1535" s="1" t="s">
        <v>31365</v>
      </c>
      <c r="U1535" s="1" t="s">
        <v>31366</v>
      </c>
      <c r="V1535" s="1" t="s">
        <v>31362</v>
      </c>
      <c r="W1535" s="1" t="s">
        <v>31367</v>
      </c>
      <c r="X1535" s="1" t="s">
        <v>31368</v>
      </c>
      <c r="Y1535" s="11" t="s">
        <v>31369</v>
      </c>
      <c r="Z1535" s="1" t="s">
        <v>31370</v>
      </c>
      <c r="AA1535" s="1" t="s">
        <v>31371</v>
      </c>
      <c r="AB1535" s="1" t="s">
        <v>31372</v>
      </c>
      <c r="AC1535" s="1" t="s">
        <v>31373</v>
      </c>
      <c r="AD1535" s="6" t="s">
        <v>31374</v>
      </c>
      <c r="AE1535" s="1" t="s">
        <v>31351</v>
      </c>
      <c r="AF1535" s="1" t="s">
        <v>31375</v>
      </c>
      <c r="AG1535" s="6" t="s">
        <v>31376</v>
      </c>
      <c r="AH1535" s="1" t="s">
        <v>31377</v>
      </c>
      <c r="AI1535" s="6" t="s">
        <v>132</v>
      </c>
      <c r="AJ1535" s="6" t="s">
        <v>31378</v>
      </c>
      <c r="AK1535" s="1" t="s">
        <v>31379</v>
      </c>
      <c r="AL1535" s="6" t="s">
        <v>132</v>
      </c>
    </row>
    <row r="1536" ht="15.75" customHeight="1">
      <c r="A1536" s="1" t="s">
        <v>127</v>
      </c>
      <c r="B1536" s="1" t="s">
        <v>31380</v>
      </c>
      <c r="C1536" s="1" t="s">
        <v>31381</v>
      </c>
      <c r="D1536" s="8" t="s">
        <v>31382</v>
      </c>
      <c r="E1536" s="1" t="s">
        <v>31383</v>
      </c>
      <c r="F1536" s="6" t="s">
        <v>132</v>
      </c>
      <c r="G1536" s="1" t="s">
        <v>31384</v>
      </c>
      <c r="H1536" s="1" t="s">
        <v>31385</v>
      </c>
      <c r="I1536" s="1" t="s">
        <v>31386</v>
      </c>
      <c r="J1536" s="6" t="s">
        <v>31387</v>
      </c>
      <c r="K1536" s="1" t="s">
        <v>31388</v>
      </c>
      <c r="L1536" s="1" t="s">
        <v>31389</v>
      </c>
      <c r="M1536" s="1" t="s">
        <v>31390</v>
      </c>
      <c r="N1536" s="6" t="s">
        <v>132</v>
      </c>
      <c r="O1536" s="6" t="s">
        <v>31391</v>
      </c>
      <c r="P1536" s="1" t="s">
        <v>31392</v>
      </c>
      <c r="Q1536" s="1" t="s">
        <v>31393</v>
      </c>
      <c r="R1536" s="1" t="s">
        <v>31394</v>
      </c>
      <c r="S1536" s="10" t="s">
        <v>31395</v>
      </c>
      <c r="T1536" s="1" t="s">
        <v>31396</v>
      </c>
      <c r="U1536" s="1" t="s">
        <v>31397</v>
      </c>
      <c r="V1536" s="1" t="s">
        <v>31398</v>
      </c>
      <c r="W1536" s="1" t="s">
        <v>31399</v>
      </c>
      <c r="X1536" s="1" t="s">
        <v>31400</v>
      </c>
      <c r="Y1536" s="1" t="s">
        <v>31401</v>
      </c>
      <c r="Z1536" s="1" t="s">
        <v>31402</v>
      </c>
      <c r="AA1536" s="1" t="s">
        <v>31403</v>
      </c>
      <c r="AB1536" s="1" t="s">
        <v>31404</v>
      </c>
      <c r="AC1536" s="1" t="s">
        <v>31405</v>
      </c>
      <c r="AD1536" s="6" t="s">
        <v>31406</v>
      </c>
      <c r="AE1536" s="1" t="s">
        <v>31407</v>
      </c>
      <c r="AF1536" s="1" t="s">
        <v>31408</v>
      </c>
      <c r="AG1536" s="6" t="s">
        <v>31409</v>
      </c>
      <c r="AH1536" s="1" t="s">
        <v>31410</v>
      </c>
      <c r="AI1536" s="6" t="s">
        <v>132</v>
      </c>
      <c r="AJ1536" s="6" t="s">
        <v>31411</v>
      </c>
      <c r="AK1536" s="1" t="s">
        <v>31412</v>
      </c>
      <c r="AL1536" s="6" t="s">
        <v>31413</v>
      </c>
    </row>
    <row r="1537" ht="15.75" hidden="1" customHeight="1">
      <c r="A1537" s="1" t="s">
        <v>38</v>
      </c>
      <c r="B1537" s="1" t="s">
        <v>31414</v>
      </c>
      <c r="C1537" s="1" t="s">
        <v>31415</v>
      </c>
      <c r="D1537" s="7" t="str">
        <f>IFERROR(__xludf.DUMMYFUNCTION("GOOGLETRANSLATE(C1537, ""en"", ""ar"")"),"غابون")</f>
        <v>غابون</v>
      </c>
      <c r="E1537" s="7" t="str">
        <f>IFERROR(__xludf.DUMMYFUNCTION("GOOGLETRANSLATE(C1537, ""en"", ""bg"")"),"Габон")</f>
        <v>Габон</v>
      </c>
      <c r="F1537" s="6" t="s">
        <v>132</v>
      </c>
      <c r="G1537" s="7" t="str">
        <f>IFERROR(__xludf.DUMMYFUNCTION("GOOGLETRANSLATE(C1537, ""en"", ""cs"")"),"Gabon.")</f>
        <v>Gabon.</v>
      </c>
      <c r="H1537" s="7" t="str">
        <f>IFERROR(__xludf.DUMMYFUNCTION("GOOGLETRANSLATE(C1537, ""en"", ""da"")"),"Gabon.")</f>
        <v>Gabon.</v>
      </c>
      <c r="I1537" s="1" t="s">
        <v>31416</v>
      </c>
      <c r="J1537" s="6" t="s">
        <v>132</v>
      </c>
      <c r="K1537" s="1" t="s">
        <v>31417</v>
      </c>
      <c r="L1537" s="7" t="str">
        <f>IFERROR(__xludf.DUMMYFUNCTION("GOOGLETRANSLATE(C1537, ""en"", ""fi"")"),"Gabon")</f>
        <v>Gabon</v>
      </c>
      <c r="M1537" s="1" t="s">
        <v>31415</v>
      </c>
      <c r="N1537" s="6" t="s">
        <v>132</v>
      </c>
      <c r="O1537" s="6" t="s">
        <v>132</v>
      </c>
      <c r="P1537" s="1" t="s">
        <v>31415</v>
      </c>
      <c r="Q1537" s="7" t="str">
        <f>IFERROR(__xludf.DUMMYFUNCTION("GOOGLETRANSLATE(C1537, ""en"", ""in"")"),"Gabon.")</f>
        <v>Gabon.</v>
      </c>
      <c r="R1537" s="7" t="str">
        <f>IFERROR(__xludf.DUMMYFUNCTION("GOOGLETRANSLATE(C1537, ""en"", ""it"")"),"Gabon")</f>
        <v>Gabon</v>
      </c>
      <c r="S1537" s="6" t="s">
        <v>132</v>
      </c>
      <c r="T1537" s="7" t="str">
        <f>IFERROR(__xludf.DUMMYFUNCTION("GOOGLETRANSLATE(C1537, ""en"", ""ja"")"),"ガボン")</f>
        <v>ガボン</v>
      </c>
      <c r="U1537" s="7" t="str">
        <f>IFERROR(__xludf.DUMMYFUNCTION("GOOGLETRANSLATE(C1537, ""en"", ""ko"")"),"가봉")</f>
        <v>가봉</v>
      </c>
      <c r="V1537" s="7" t="str">
        <f>IFERROR(__xludf.DUMMYFUNCTION("GOOGLETRANSLATE(C1537, ""en"", ""ms"")"),"Gabon")</f>
        <v>Gabon</v>
      </c>
      <c r="W1537" s="7" t="str">
        <f>IFERROR(__xludf.DUMMYFUNCTION("GOOGLETRANSLATE(C1537, ""en"", ""nl"")"),"Gabon")</f>
        <v>Gabon</v>
      </c>
      <c r="X1537" s="7" t="str">
        <f>IFERROR(__xludf.DUMMYFUNCTION("GOOGLETRANSLATE(C1537, ""en"", ""no"")"),"Gabon.")</f>
        <v>Gabon.</v>
      </c>
      <c r="Y1537" s="7" t="str">
        <f>IFERROR(__xludf.DUMMYFUNCTION("GOOGLETRANSLATE(C1537, ""en"", ""pl"")"),"Gabon")</f>
        <v>Gabon</v>
      </c>
      <c r="Z1537" s="7" t="str">
        <f>IFERROR(__xludf.DUMMYFUNCTION("GOOGLETRANSLATE(C1537, ""en"", ""pt"")"),"Gabão")</f>
        <v>Gabão</v>
      </c>
      <c r="AA1537" s="7" t="str">
        <f>IFERROR(__xludf.DUMMYFUNCTION("GOOGLETRANSLATE(C1537, ""en"", ""ro"")"),"Gabon")</f>
        <v>Gabon</v>
      </c>
      <c r="AB1537" s="1" t="s">
        <v>31418</v>
      </c>
      <c r="AC1537" s="7" t="str">
        <f>IFERROR(__xludf.DUMMYFUNCTION("GOOGLETRANSLATE(C1537, ""en"", ""sk"")"),"Gabon")</f>
        <v>Gabon</v>
      </c>
      <c r="AD1537" s="6" t="s">
        <v>132</v>
      </c>
      <c r="AE1537" s="1" t="s">
        <v>31415</v>
      </c>
      <c r="AF1537" s="7" t="str">
        <f>IFERROR(__xludf.DUMMYFUNCTION("GOOGLETRANSLATE(C1537, ""en"", ""sv"")"),"Gabon")</f>
        <v>Gabon</v>
      </c>
      <c r="AG1537" s="6" t="s">
        <v>132</v>
      </c>
      <c r="AH1537" s="7" t="str">
        <f>IFERROR(__xludf.DUMMYFUNCTION("GOOGLETRANSLATE(C1537, ""en"", ""tr"")"),"Gabon")</f>
        <v>Gabon</v>
      </c>
      <c r="AI1537" s="6" t="s">
        <v>132</v>
      </c>
      <c r="AJ1537" s="6" t="s">
        <v>132</v>
      </c>
      <c r="AK1537" s="7" t="str">
        <f>IFERROR(__xludf.DUMMYFUNCTION("GOOGLETRANSLATE(C1537, ""en"", ""zh"")"),"加蓬")</f>
        <v>加蓬</v>
      </c>
      <c r="AL1537" s="6" t="s">
        <v>132</v>
      </c>
    </row>
    <row r="1538" ht="15.75" customHeight="1">
      <c r="A1538" s="1" t="s">
        <v>127</v>
      </c>
      <c r="B1538" s="1" t="s">
        <v>31419</v>
      </c>
      <c r="C1538" s="1" t="s">
        <v>31420</v>
      </c>
      <c r="D1538" s="7" t="str">
        <f>IFERROR(__xludf.DUMMYFUNCTION("GOOGLETRANSLATE(C1538, ""en"", ""ar"")"),"قم بتنزيل التطبيق الرائد ل \ Ncurrency تحويل \ Ncurrency Converter App")</f>
        <v>قم بتنزيل التطبيق الرائد ل \ Ncurrency تحويل \ Ncurrency Converter App</v>
      </c>
      <c r="E1538" s="7" t="str">
        <f>IFERROR(__xludf.DUMMYFUNCTION("GOOGLETRANSLATE(C1538, ""en"", ""bg"")"),"Изтеглете водещото приложение за конвертиране на NCurrency Converter App")</f>
        <v>Изтеглете водещото приложение за конвертиране на NCurrency Converter App</v>
      </c>
      <c r="F1538" s="6" t="s">
        <v>132</v>
      </c>
      <c r="G1538" s="7" t="str">
        <f>IFERROR(__xludf.DUMMYFUNCTION("GOOGLETRANSLATE(C1538, ""en"", ""cs"")"),"Stáhněte si přední aplikaci pro NCurrency Converting Ncurrency Converter App")</f>
        <v>Stáhněte si přední aplikaci pro NCurrency Converting Ncurrency Converter App</v>
      </c>
      <c r="H1538" s="1" t="s">
        <v>31421</v>
      </c>
      <c r="I1538" s="1" t="s">
        <v>31422</v>
      </c>
      <c r="J1538" s="6" t="s">
        <v>132</v>
      </c>
      <c r="K1538" s="1" t="s">
        <v>31423</v>
      </c>
      <c r="L1538" s="1" t="s">
        <v>31424</v>
      </c>
      <c r="M1538" s="1" t="s">
        <v>31425</v>
      </c>
      <c r="N1538" s="6" t="s">
        <v>132</v>
      </c>
      <c r="O1538" s="6" t="s">
        <v>132</v>
      </c>
      <c r="P1538" s="1" t="s">
        <v>31426</v>
      </c>
      <c r="Q1538" s="1" t="s">
        <v>31427</v>
      </c>
      <c r="R1538" s="1" t="s">
        <v>31428</v>
      </c>
      <c r="S1538" s="6" t="s">
        <v>132</v>
      </c>
      <c r="T1538" s="1" t="s">
        <v>31429</v>
      </c>
      <c r="U1538" s="1" t="s">
        <v>31430</v>
      </c>
      <c r="V1538" s="1" t="s">
        <v>31431</v>
      </c>
      <c r="W1538" s="1" t="s">
        <v>31432</v>
      </c>
      <c r="X1538" s="1" t="s">
        <v>31433</v>
      </c>
      <c r="Y1538" s="1" t="s">
        <v>31434</v>
      </c>
      <c r="Z1538" s="1" t="s">
        <v>31435</v>
      </c>
      <c r="AA1538" s="7" t="str">
        <f>IFERROR(__xludf.DUMMYFUNCTION("GOOGLETRANSLATE(C1538, ""en"", ""ro"")"),"Descărcați aplicația de lider pentru \ Ncurrency Converting \ Ncurrency Converter App")</f>
        <v>Descărcați aplicația de lider pentru \ Ncurrency Converting \ Ncurrency Converter App</v>
      </c>
      <c r="AB1538" s="1" t="s">
        <v>31436</v>
      </c>
      <c r="AC1538" s="7" t="str">
        <f>IFERROR(__xludf.DUMMYFUNCTION("GOOGLETRANSLATE(C1538, ""en"", ""sk"")"),"Stiahnite si poprednú aplikáciu pre konvertovanie converter converter ncurrency")</f>
        <v>Stiahnite si poprednú aplikáciu pre konvertovanie converter converter ncurrency</v>
      </c>
      <c r="AD1538" s="6" t="s">
        <v>132</v>
      </c>
      <c r="AE1538" s="1" t="s">
        <v>31437</v>
      </c>
      <c r="AF1538" s="1" t="s">
        <v>31438</v>
      </c>
      <c r="AG1538" s="6" t="s">
        <v>132</v>
      </c>
      <c r="AH1538" s="1" t="s">
        <v>31439</v>
      </c>
      <c r="AI1538" s="6" t="s">
        <v>132</v>
      </c>
      <c r="AJ1538" s="6" t="s">
        <v>132</v>
      </c>
      <c r="AK1538" s="1" t="s">
        <v>31440</v>
      </c>
      <c r="AL1538" s="6" t="s">
        <v>132</v>
      </c>
    </row>
    <row r="1539" ht="15.75" customHeight="1">
      <c r="A1539" s="1" t="s">
        <v>127</v>
      </c>
      <c r="B1539" s="1" t="s">
        <v>31441</v>
      </c>
      <c r="C1539" s="1" t="s">
        <v>31442</v>
      </c>
      <c r="D1539" s="8" t="s">
        <v>31443</v>
      </c>
      <c r="E1539" s="1" t="s">
        <v>31444</v>
      </c>
      <c r="F1539" s="6" t="s">
        <v>132</v>
      </c>
      <c r="G1539" s="1" t="s">
        <v>31445</v>
      </c>
      <c r="H1539" s="1" t="s">
        <v>31446</v>
      </c>
      <c r="I1539" s="1" t="s">
        <v>31447</v>
      </c>
      <c r="J1539" s="6" t="s">
        <v>31448</v>
      </c>
      <c r="K1539" s="1" t="s">
        <v>31449</v>
      </c>
      <c r="L1539" s="1" t="s">
        <v>31450</v>
      </c>
      <c r="M1539" s="1" t="s">
        <v>31451</v>
      </c>
      <c r="N1539" s="6" t="s">
        <v>132</v>
      </c>
      <c r="O1539" s="6" t="s">
        <v>31452</v>
      </c>
      <c r="P1539" s="1" t="s">
        <v>31453</v>
      </c>
      <c r="Q1539" s="1" t="s">
        <v>31454</v>
      </c>
      <c r="R1539" s="1" t="s">
        <v>31455</v>
      </c>
      <c r="S1539" s="10" t="s">
        <v>31456</v>
      </c>
      <c r="T1539" s="1" t="s">
        <v>31457</v>
      </c>
      <c r="U1539" s="1" t="s">
        <v>31458</v>
      </c>
      <c r="V1539" s="1" t="s">
        <v>31454</v>
      </c>
      <c r="W1539" s="1" t="s">
        <v>31459</v>
      </c>
      <c r="X1539" s="1" t="s">
        <v>31446</v>
      </c>
      <c r="Y1539" s="1" t="s">
        <v>31460</v>
      </c>
      <c r="Z1539" s="1" t="s">
        <v>31461</v>
      </c>
      <c r="AA1539" s="1" t="s">
        <v>31462</v>
      </c>
      <c r="AB1539" s="1" t="s">
        <v>31463</v>
      </c>
      <c r="AC1539" s="1" t="s">
        <v>31464</v>
      </c>
      <c r="AD1539" s="6" t="s">
        <v>31465</v>
      </c>
      <c r="AE1539" s="1" t="s">
        <v>31466</v>
      </c>
      <c r="AF1539" s="1" t="s">
        <v>31467</v>
      </c>
      <c r="AG1539" s="6" t="s">
        <v>31468</v>
      </c>
      <c r="AH1539" s="1" t="s">
        <v>31469</v>
      </c>
      <c r="AI1539" s="6" t="s">
        <v>132</v>
      </c>
      <c r="AJ1539" s="6" t="s">
        <v>31470</v>
      </c>
      <c r="AK1539" s="1" t="s">
        <v>31457</v>
      </c>
      <c r="AL1539" s="6" t="s">
        <v>31471</v>
      </c>
    </row>
    <row r="1540" ht="15.75" customHeight="1">
      <c r="A1540" s="1" t="s">
        <v>127</v>
      </c>
      <c r="B1540" s="1" t="s">
        <v>31472</v>
      </c>
      <c r="C1540" s="1" t="s">
        <v>31473</v>
      </c>
      <c r="D1540" s="8" t="s">
        <v>31474</v>
      </c>
      <c r="E1540" s="1" t="s">
        <v>31475</v>
      </c>
      <c r="F1540" s="6" t="s">
        <v>132</v>
      </c>
      <c r="G1540" s="1" t="s">
        <v>31476</v>
      </c>
      <c r="H1540" s="1" t="s">
        <v>31477</v>
      </c>
      <c r="I1540" s="1" t="s">
        <v>31478</v>
      </c>
      <c r="J1540" s="6" t="s">
        <v>31479</v>
      </c>
      <c r="K1540" s="1" t="s">
        <v>31480</v>
      </c>
      <c r="L1540" s="1" t="s">
        <v>31481</v>
      </c>
      <c r="M1540" s="1" t="s">
        <v>31482</v>
      </c>
      <c r="N1540" s="6" t="s">
        <v>132</v>
      </c>
      <c r="O1540" s="6" t="s">
        <v>31483</v>
      </c>
      <c r="P1540" s="1" t="s">
        <v>31484</v>
      </c>
      <c r="Q1540" s="1" t="s">
        <v>31485</v>
      </c>
      <c r="R1540" s="1" t="s">
        <v>31486</v>
      </c>
      <c r="S1540" s="10" t="s">
        <v>31487</v>
      </c>
      <c r="T1540" s="1" t="s">
        <v>31488</v>
      </c>
      <c r="U1540" s="1" t="s">
        <v>31489</v>
      </c>
      <c r="V1540" s="1" t="s">
        <v>31490</v>
      </c>
      <c r="W1540" s="1" t="s">
        <v>31491</v>
      </c>
      <c r="X1540" s="1" t="s">
        <v>31492</v>
      </c>
      <c r="Y1540" s="1" t="s">
        <v>31493</v>
      </c>
      <c r="Z1540" s="1" t="s">
        <v>31494</v>
      </c>
      <c r="AA1540" s="1" t="s">
        <v>31495</v>
      </c>
      <c r="AB1540" s="1" t="s">
        <v>31496</v>
      </c>
      <c r="AC1540" s="1" t="s">
        <v>31497</v>
      </c>
      <c r="AD1540" s="6" t="s">
        <v>31498</v>
      </c>
      <c r="AE1540" s="1" t="s">
        <v>31499</v>
      </c>
      <c r="AF1540" s="1" t="s">
        <v>31500</v>
      </c>
      <c r="AG1540" s="6" t="s">
        <v>31501</v>
      </c>
      <c r="AH1540" s="1" t="s">
        <v>31502</v>
      </c>
      <c r="AI1540" s="6" t="s">
        <v>132</v>
      </c>
      <c r="AJ1540" s="6" t="s">
        <v>31503</v>
      </c>
      <c r="AK1540" s="1" t="s">
        <v>31504</v>
      </c>
      <c r="AL1540" s="6" t="s">
        <v>31505</v>
      </c>
    </row>
    <row r="1541" ht="15.75" hidden="1" customHeight="1">
      <c r="A1541" s="1" t="s">
        <v>38</v>
      </c>
      <c r="B1541" s="1" t="s">
        <v>31506</v>
      </c>
      <c r="C1541" s="1" t="s">
        <v>31507</v>
      </c>
      <c r="D1541" s="8" t="s">
        <v>31508</v>
      </c>
      <c r="E1541" s="1" t="s">
        <v>31509</v>
      </c>
      <c r="F1541" s="6" t="s">
        <v>31510</v>
      </c>
      <c r="G1541" s="7" t="str">
        <f>IFERROR(__xludf.DUMMYFUNCTION("GOOGLETRANSLATE(C1541, ""en"", ""cs"")"),"Připojte se přes Tor")</f>
        <v>Připojte se přes Tor</v>
      </c>
      <c r="H1541" s="7" t="str">
        <f>IFERROR(__xludf.DUMMYFUNCTION("GOOGLETRANSLATE(C1541, ""en"", ""da"")"),"Tilslut via Tor.")</f>
        <v>Tilslut via Tor.</v>
      </c>
      <c r="I1541" s="1" t="s">
        <v>31511</v>
      </c>
      <c r="J1541" s="6" t="s">
        <v>132</v>
      </c>
      <c r="K1541" s="1" t="s">
        <v>31512</v>
      </c>
      <c r="L1541" s="7" t="str">
        <f>IFERROR(__xludf.DUMMYFUNCTION("GOOGLETRANSLATE(C1541, ""en"", ""fi"")"),"Yhdistä Via Tor")</f>
        <v>Yhdistä Via Tor</v>
      </c>
      <c r="M1541" s="1" t="s">
        <v>31513</v>
      </c>
      <c r="N1541" s="6" t="s">
        <v>31514</v>
      </c>
      <c r="O1541" s="6" t="s">
        <v>132</v>
      </c>
      <c r="P1541" s="1" t="s">
        <v>31515</v>
      </c>
      <c r="Q1541" s="9" t="s">
        <v>31516</v>
      </c>
      <c r="R1541" s="1" t="s">
        <v>31517</v>
      </c>
      <c r="S1541" s="6" t="s">
        <v>132</v>
      </c>
      <c r="T1541" s="1" t="s">
        <v>31518</v>
      </c>
      <c r="U1541" s="1" t="s">
        <v>31519</v>
      </c>
      <c r="V1541" s="7" t="str">
        <f>IFERROR(__xludf.DUMMYFUNCTION("GOOGLETRANSLATE(C1541, ""en"", ""ms"")"),"Sambungkan melalui Tor.")</f>
        <v>Sambungkan melalui Tor.</v>
      </c>
      <c r="W1541" s="1" t="s">
        <v>31520</v>
      </c>
      <c r="X1541" s="7" t="str">
        <f>IFERROR(__xludf.DUMMYFUNCTION("GOOGLETRANSLATE(C1541, ""en"", ""no"")"),"Koble til via Tor.")</f>
        <v>Koble til via Tor.</v>
      </c>
      <c r="Y1541" s="1" t="s">
        <v>31521</v>
      </c>
      <c r="Z1541" s="1" t="s">
        <v>31522</v>
      </c>
      <c r="AA1541" s="7" t="str">
        <f>IFERROR(__xludf.DUMMYFUNCTION("GOOGLETRANSLATE(C1541, ""en"", ""ro"")"),"Conectați-vă prin Tor.")</f>
        <v>Conectați-vă prin Tor.</v>
      </c>
      <c r="AB1541" s="1" t="s">
        <v>31523</v>
      </c>
      <c r="AC1541" s="7" t="str">
        <f>IFERROR(__xludf.DUMMYFUNCTION("GOOGLETRANSLATE(C1541, ""en"", ""sk"")"),"Pripojenie cez tor")</f>
        <v>Pripojenie cez tor</v>
      </c>
      <c r="AD1541" s="6" t="s">
        <v>132</v>
      </c>
      <c r="AE1541" s="1" t="s">
        <v>31524</v>
      </c>
      <c r="AF1541" s="1" t="s">
        <v>31525</v>
      </c>
      <c r="AG1541" s="6" t="s">
        <v>132</v>
      </c>
      <c r="AH1541" s="7" t="str">
        <f>IFERROR(__xludf.DUMMYFUNCTION("GOOGLETRANSLATE(C1541, ""en"", ""tr"")"),"Tor üzerinden bağlan")</f>
        <v>Tor üzerinden bağlan</v>
      </c>
      <c r="AI1541" s="6" t="s">
        <v>31526</v>
      </c>
      <c r="AJ1541" s="6" t="s">
        <v>31527</v>
      </c>
      <c r="AK1541" s="7" t="str">
        <f>IFERROR(__xludf.DUMMYFUNCTION("GOOGLETRANSLATE(C1541, ""en"", ""zh"")"),"通过TOR连接")</f>
        <v>通过TOR连接</v>
      </c>
      <c r="AL1541" s="6" t="s">
        <v>31528</v>
      </c>
    </row>
    <row r="1542" ht="15.75" hidden="1" customHeight="1">
      <c r="A1542" s="1" t="s">
        <v>38</v>
      </c>
      <c r="B1542" s="1" t="s">
        <v>31529</v>
      </c>
      <c r="C1542" s="1" t="s">
        <v>31530</v>
      </c>
      <c r="D1542" s="8" t="s">
        <v>31531</v>
      </c>
      <c r="E1542" s="1" t="s">
        <v>31532</v>
      </c>
      <c r="F1542" s="6" t="s">
        <v>31533</v>
      </c>
      <c r="G1542" s="7" t="str">
        <f>IFERROR(__xludf.DUMMYFUNCTION("GOOGLETRANSLATE(C1542, ""en"", ""cs"")"),"Odstranit certifikáty")</f>
        <v>Odstranit certifikáty</v>
      </c>
      <c r="H1542" s="7" t="str">
        <f>IFERROR(__xludf.DUMMYFUNCTION("GOOGLETRANSLATE(C1542, ""en"", ""da"")"),"Fjern certifikater.")</f>
        <v>Fjern certifikater.</v>
      </c>
      <c r="I1542" s="1" t="s">
        <v>31534</v>
      </c>
      <c r="J1542" s="6" t="s">
        <v>132</v>
      </c>
      <c r="K1542" s="1" t="s">
        <v>31535</v>
      </c>
      <c r="L1542" s="7" t="str">
        <f>IFERROR(__xludf.DUMMYFUNCTION("GOOGLETRANSLATE(C1542, ""en"", ""fi"")"),"Poista varmenteet")</f>
        <v>Poista varmenteet</v>
      </c>
      <c r="M1542" s="1" t="s">
        <v>31536</v>
      </c>
      <c r="N1542" s="6" t="s">
        <v>31535</v>
      </c>
      <c r="O1542" s="6" t="s">
        <v>132</v>
      </c>
      <c r="P1542" s="1" t="s">
        <v>31537</v>
      </c>
      <c r="Q1542" s="9" t="s">
        <v>31538</v>
      </c>
      <c r="R1542" s="1" t="s">
        <v>31539</v>
      </c>
      <c r="S1542" s="6" t="s">
        <v>132</v>
      </c>
      <c r="T1542" s="1" t="s">
        <v>31540</v>
      </c>
      <c r="U1542" s="1" t="s">
        <v>31541</v>
      </c>
      <c r="V1542" s="7" t="str">
        <f>IFERROR(__xludf.DUMMYFUNCTION("GOOGLETRANSLATE(C1542, ""en"", ""ms"")"),"Keluarkan sijil")</f>
        <v>Keluarkan sijil</v>
      </c>
      <c r="W1542" s="1" t="s">
        <v>31542</v>
      </c>
      <c r="X1542" s="7" t="str">
        <f>IFERROR(__xludf.DUMMYFUNCTION("GOOGLETRANSLATE(C1542, ""en"", ""no"")"),"Fjern sertifikater")</f>
        <v>Fjern sertifikater</v>
      </c>
      <c r="Y1542" s="1" t="s">
        <v>31543</v>
      </c>
      <c r="Z1542" s="1" t="s">
        <v>31544</v>
      </c>
      <c r="AA1542" s="7" t="str">
        <f>IFERROR(__xludf.DUMMYFUNCTION("GOOGLETRANSLATE(C1542, ""en"", ""ro"")"),"Eliminați certificatele")</f>
        <v>Eliminați certificatele</v>
      </c>
      <c r="AB1542" s="1" t="s">
        <v>31545</v>
      </c>
      <c r="AC1542" s="1" t="s">
        <v>31546</v>
      </c>
      <c r="AD1542" s="6" t="s">
        <v>132</v>
      </c>
      <c r="AE1542" s="1" t="s">
        <v>31547</v>
      </c>
      <c r="AF1542" s="1" t="s">
        <v>31548</v>
      </c>
      <c r="AG1542" s="6" t="s">
        <v>132</v>
      </c>
      <c r="AH1542" s="7" t="str">
        <f>IFERROR(__xludf.DUMMYFUNCTION("GOOGLETRANSLATE(C1542, ""en"", ""tr"")"),"Sertifikaları kaldır")</f>
        <v>Sertifikaları kaldır</v>
      </c>
      <c r="AI1542" s="6" t="s">
        <v>31549</v>
      </c>
      <c r="AJ1542" s="6" t="s">
        <v>31550</v>
      </c>
      <c r="AK1542" s="7" t="str">
        <f>IFERROR(__xludf.DUMMYFUNCTION("GOOGLETRANSLATE(C1542, ""en"", ""zh"")"),"删除证书")</f>
        <v>删除证书</v>
      </c>
      <c r="AL1542" s="6" t="s">
        <v>31551</v>
      </c>
    </row>
    <row r="1543" ht="15.75" hidden="1" customHeight="1">
      <c r="A1543" s="1" t="s">
        <v>38</v>
      </c>
      <c r="B1543" s="1" t="s">
        <v>31552</v>
      </c>
      <c r="C1543" s="1" t="s">
        <v>31553</v>
      </c>
      <c r="D1543" s="8" t="s">
        <v>31554</v>
      </c>
      <c r="E1543" s="1" t="s">
        <v>31555</v>
      </c>
      <c r="F1543" s="6" t="s">
        <v>31556</v>
      </c>
      <c r="G1543" s="7" t="str">
        <f>IFERROR(__xludf.DUMMYFUNCTION("GOOGLETRANSLATE(C1543, ""en"", ""cs"")"),"Nelze vytvořit dočasný soubor")</f>
        <v>Nelze vytvořit dočasný soubor</v>
      </c>
      <c r="H1543" s="7" t="str">
        <f>IFERROR(__xludf.DUMMYFUNCTION("GOOGLETRANSLATE(C1543, ""en"", ""da"")"),"Kan ikke oprette midlertidig fil")</f>
        <v>Kan ikke oprette midlertidig fil</v>
      </c>
      <c r="I1543" s="1" t="s">
        <v>31557</v>
      </c>
      <c r="J1543" s="6" t="s">
        <v>132</v>
      </c>
      <c r="K1543" s="1" t="s">
        <v>31558</v>
      </c>
      <c r="L1543" s="7" t="str">
        <f>IFERROR(__xludf.DUMMYFUNCTION("GOOGLETRANSLATE(C1543, ""en"", ""fi"")"),"Väliaikaista tiedostoa ei voi luoda")</f>
        <v>Väliaikaista tiedostoa ei voi luoda</v>
      </c>
      <c r="M1543" s="1" t="s">
        <v>31559</v>
      </c>
      <c r="N1543" s="6" t="s">
        <v>31560</v>
      </c>
      <c r="O1543" s="6" t="s">
        <v>132</v>
      </c>
      <c r="P1543" s="1" t="s">
        <v>31561</v>
      </c>
      <c r="Q1543" s="7" t="str">
        <f>IFERROR(__xludf.DUMMYFUNCTION("GOOGLETRANSLATE(C1543, ""en"", ""in"")"),"Tidak dapat membuat file sementara")</f>
        <v>Tidak dapat membuat file sementara</v>
      </c>
      <c r="R1543" s="1" t="s">
        <v>31562</v>
      </c>
      <c r="S1543" s="6" t="s">
        <v>132</v>
      </c>
      <c r="T1543" s="1" t="s">
        <v>31563</v>
      </c>
      <c r="U1543" s="7" t="str">
        <f>IFERROR(__xludf.DUMMYFUNCTION("GOOGLETRANSLATE(C1543, ""en"", ""ko"")"),"임시 파일을 만들 수 없습니다")</f>
        <v>임시 파일을 만들 수 없습니다</v>
      </c>
      <c r="V1543" s="7" t="str">
        <f>IFERROR(__xludf.DUMMYFUNCTION("GOOGLETRANSLATE(C1543, ""en"", ""ms"")"),"Tidak dapat membuat fail sementara")</f>
        <v>Tidak dapat membuat fail sementara</v>
      </c>
      <c r="W1543" s="1" t="s">
        <v>31564</v>
      </c>
      <c r="X1543" s="7" t="str">
        <f>IFERROR(__xludf.DUMMYFUNCTION("GOOGLETRANSLATE(C1543, ""en"", ""no"")"),"Kan ikke opprette midlertidig fil")</f>
        <v>Kan ikke opprette midlertidig fil</v>
      </c>
      <c r="Y1543" s="1" t="s">
        <v>31565</v>
      </c>
      <c r="Z1543" s="7" t="str">
        <f>IFERROR(__xludf.DUMMYFUNCTION("GOOGLETRANSLATE(C1543, ""en"", ""pt"")"),"Não é possível criar um arquivo temporário")</f>
        <v>Não é possível criar um arquivo temporário</v>
      </c>
      <c r="AA1543" s="7" t="str">
        <f>IFERROR(__xludf.DUMMYFUNCTION("GOOGLETRANSLATE(C1543, ""en"", ""ro"")"),"Imposibil de creat fișier temporar")</f>
        <v>Imposibil de creat fișier temporar</v>
      </c>
      <c r="AB1543" s="1" t="s">
        <v>31566</v>
      </c>
      <c r="AC1543" s="7" t="str">
        <f>IFERROR(__xludf.DUMMYFUNCTION("GOOGLETRANSLATE(C1543, ""en"", ""sk"")"),"Nie je možné vytvoriť dočasný súbor")</f>
        <v>Nie je možné vytvoriť dočasný súbor</v>
      </c>
      <c r="AD1543" s="6" t="s">
        <v>132</v>
      </c>
      <c r="AE1543" s="1" t="s">
        <v>31567</v>
      </c>
      <c r="AF1543" s="1" t="s">
        <v>31568</v>
      </c>
      <c r="AG1543" s="6" t="s">
        <v>132</v>
      </c>
      <c r="AH1543" s="7" t="str">
        <f>IFERROR(__xludf.DUMMYFUNCTION("GOOGLETRANSLATE(C1543, ""en"", ""tr"")"),"Geçici dosya oluşturulamıyor")</f>
        <v>Geçici dosya oluşturulamıyor</v>
      </c>
      <c r="AI1543" s="6" t="s">
        <v>31569</v>
      </c>
      <c r="AJ1543" s="6" t="s">
        <v>132</v>
      </c>
      <c r="AK1543" s="7" t="str">
        <f>IFERROR(__xludf.DUMMYFUNCTION("GOOGLETRANSLATE(C1543, ""en"", ""zh"")"),"无法创建临时文件")</f>
        <v>无法创建临时文件</v>
      </c>
      <c r="AL1543" s="6" t="s">
        <v>31570</v>
      </c>
    </row>
    <row r="1544" ht="15.75" customHeight="1">
      <c r="A1544" s="1" t="s">
        <v>127</v>
      </c>
      <c r="B1544" s="1" t="s">
        <v>31571</v>
      </c>
      <c r="C1544" s="1" t="s">
        <v>31572</v>
      </c>
      <c r="D1544" s="8" t="s">
        <v>31573</v>
      </c>
      <c r="E1544" s="1" t="s">
        <v>31574</v>
      </c>
      <c r="F1544" s="6" t="s">
        <v>132</v>
      </c>
      <c r="G1544" s="1" t="s">
        <v>31575</v>
      </c>
      <c r="H1544" s="1" t="s">
        <v>31576</v>
      </c>
      <c r="I1544" s="1" t="s">
        <v>31572</v>
      </c>
      <c r="J1544" s="6" t="s">
        <v>31577</v>
      </c>
      <c r="K1544" s="1" t="s">
        <v>31578</v>
      </c>
      <c r="L1544" s="1" t="s">
        <v>31579</v>
      </c>
      <c r="M1544" s="1" t="s">
        <v>31580</v>
      </c>
      <c r="N1544" s="6" t="s">
        <v>132</v>
      </c>
      <c r="O1544" s="6" t="s">
        <v>31581</v>
      </c>
      <c r="P1544" s="1" t="s">
        <v>31572</v>
      </c>
      <c r="Q1544" s="1" t="s">
        <v>31582</v>
      </c>
      <c r="R1544" s="1" t="s">
        <v>31572</v>
      </c>
      <c r="S1544" s="10" t="s">
        <v>31583</v>
      </c>
      <c r="T1544" s="1" t="s">
        <v>31584</v>
      </c>
      <c r="U1544" s="1" t="s">
        <v>31585</v>
      </c>
      <c r="V1544" s="1" t="s">
        <v>31582</v>
      </c>
      <c r="W1544" s="1" t="s">
        <v>31572</v>
      </c>
      <c r="X1544" s="1" t="s">
        <v>31586</v>
      </c>
      <c r="Y1544" s="1" t="s">
        <v>31587</v>
      </c>
      <c r="Z1544" s="1" t="s">
        <v>31588</v>
      </c>
      <c r="AA1544" s="1" t="s">
        <v>31589</v>
      </c>
      <c r="AB1544" s="1" t="s">
        <v>31590</v>
      </c>
      <c r="AC1544" s="1" t="s">
        <v>31591</v>
      </c>
      <c r="AD1544" s="6" t="s">
        <v>31592</v>
      </c>
      <c r="AE1544" s="1" t="s">
        <v>31572</v>
      </c>
      <c r="AF1544" s="1" t="s">
        <v>31593</v>
      </c>
      <c r="AG1544" s="6" t="s">
        <v>31594</v>
      </c>
      <c r="AH1544" s="1" t="s">
        <v>31595</v>
      </c>
      <c r="AI1544" s="6" t="s">
        <v>132</v>
      </c>
      <c r="AJ1544" s="6" t="s">
        <v>31596</v>
      </c>
      <c r="AK1544" s="1" t="s">
        <v>31597</v>
      </c>
      <c r="AL1544" s="6" t="s">
        <v>132</v>
      </c>
    </row>
    <row r="1545" ht="15.75" hidden="1" customHeight="1">
      <c r="A1545" s="1" t="s">
        <v>38</v>
      </c>
      <c r="B1545" s="1" t="s">
        <v>31598</v>
      </c>
      <c r="C1545" s="1" t="s">
        <v>31599</v>
      </c>
      <c r="D1545" s="8" t="s">
        <v>31600</v>
      </c>
      <c r="E1545" s="1" t="s">
        <v>31601</v>
      </c>
      <c r="F1545" s="6" t="s">
        <v>31602</v>
      </c>
      <c r="G1545" s="7" t="str">
        <f>IFERROR(__xludf.DUMMYFUNCTION("GOOGLETRANSLATE(C1545, ""en"", ""cs"")"),"právě teď")</f>
        <v>právě teď</v>
      </c>
      <c r="H1545" s="7" t="str">
        <f>IFERROR(__xludf.DUMMYFUNCTION("GOOGLETRANSLATE(C1545, ""en"", ""da"")"),"lige nu")</f>
        <v>lige nu</v>
      </c>
      <c r="I1545" s="1" t="s">
        <v>31603</v>
      </c>
      <c r="J1545" s="6" t="s">
        <v>132</v>
      </c>
      <c r="K1545" s="1" t="s">
        <v>31604</v>
      </c>
      <c r="L1545" s="7" t="str">
        <f>IFERROR(__xludf.DUMMYFUNCTION("GOOGLETRANSLATE(C1545, ""en"", ""fi"")"),"juuri nyt")</f>
        <v>juuri nyt</v>
      </c>
      <c r="M1545" s="1" t="s">
        <v>31605</v>
      </c>
      <c r="N1545" s="6" t="s">
        <v>31606</v>
      </c>
      <c r="O1545" s="6" t="s">
        <v>132</v>
      </c>
      <c r="P1545" s="1" t="s">
        <v>31607</v>
      </c>
      <c r="Q1545" s="9" t="s">
        <v>31608</v>
      </c>
      <c r="R1545" s="1" t="s">
        <v>31609</v>
      </c>
      <c r="S1545" s="6" t="s">
        <v>132</v>
      </c>
      <c r="T1545" s="1" t="s">
        <v>31610</v>
      </c>
      <c r="U1545" s="1" t="s">
        <v>31611</v>
      </c>
      <c r="V1545" s="7" t="str">
        <f>IFERROR(__xludf.DUMMYFUNCTION("GOOGLETRANSLATE(C1545, ""en"", ""ms"")"),"sekarang sekarang")</f>
        <v>sekarang sekarang</v>
      </c>
      <c r="W1545" s="1" t="s">
        <v>31612</v>
      </c>
      <c r="X1545" s="7" t="str">
        <f>IFERROR(__xludf.DUMMYFUNCTION("GOOGLETRANSLATE(C1545, ""en"", ""no"")"),"akkurat nå")</f>
        <v>akkurat nå</v>
      </c>
      <c r="Y1545" s="1" t="s">
        <v>31613</v>
      </c>
      <c r="Z1545" s="1" t="s">
        <v>31614</v>
      </c>
      <c r="AA1545" s="7" t="str">
        <f>IFERROR(__xludf.DUMMYFUNCTION("GOOGLETRANSLATE(C1545, ""en"", ""ro"")"),"chiar acum")</f>
        <v>chiar acum</v>
      </c>
      <c r="AB1545" s="1" t="s">
        <v>31615</v>
      </c>
      <c r="AC1545" s="1" t="s">
        <v>31616</v>
      </c>
      <c r="AD1545" s="6" t="s">
        <v>132</v>
      </c>
      <c r="AE1545" s="1" t="s">
        <v>31617</v>
      </c>
      <c r="AF1545" s="1" t="s">
        <v>31618</v>
      </c>
      <c r="AG1545" s="6" t="s">
        <v>132</v>
      </c>
      <c r="AH1545" s="7" t="str">
        <f>IFERROR(__xludf.DUMMYFUNCTION("GOOGLETRANSLATE(C1545, ""en"", ""tr"")"),"Şu anda")</f>
        <v>Şu anda</v>
      </c>
      <c r="AI1545" s="6" t="s">
        <v>31619</v>
      </c>
      <c r="AJ1545" s="6" t="s">
        <v>31620</v>
      </c>
      <c r="AK1545" s="7" t="str">
        <f>IFERROR(__xludf.DUMMYFUNCTION("GOOGLETRANSLATE(C1545, ""en"", ""zh"")"),"现在")</f>
        <v>现在</v>
      </c>
      <c r="AL1545" s="6" t="s">
        <v>31621</v>
      </c>
    </row>
    <row r="1546" ht="15.75" hidden="1" customHeight="1">
      <c r="A1546" s="1" t="s">
        <v>38</v>
      </c>
      <c r="B1546" s="1" t="s">
        <v>31622</v>
      </c>
      <c r="C1546" s="1" t="s">
        <v>31623</v>
      </c>
      <c r="D1546" s="8" t="s">
        <v>31624</v>
      </c>
      <c r="E1546" s="1" t="s">
        <v>31625</v>
      </c>
      <c r="F1546" s="6" t="s">
        <v>31626</v>
      </c>
      <c r="G1546" s="7" t="str">
        <f>IFERROR(__xludf.DUMMYFUNCTION("GOOGLETRANSLATE(C1546, ""en"", ""cs"")"),"smazat účet")</f>
        <v>smazat účet</v>
      </c>
      <c r="H1546" s="7" t="str">
        <f>IFERROR(__xludf.DUMMYFUNCTION("GOOGLETRANSLATE(C1546, ""en"", ""da"")"),"Slet konto.")</f>
        <v>Slet konto.</v>
      </c>
      <c r="I1546" s="1" t="s">
        <v>17407</v>
      </c>
      <c r="J1546" s="6" t="s">
        <v>132</v>
      </c>
      <c r="K1546" s="1" t="s">
        <v>31627</v>
      </c>
      <c r="L1546" s="7" t="str">
        <f>IFERROR(__xludf.DUMMYFUNCTION("GOOGLETRANSLATE(C1546, ""en"", ""fi"")"),"Poista tili")</f>
        <v>Poista tili</v>
      </c>
      <c r="M1546" s="1" t="s">
        <v>2802</v>
      </c>
      <c r="N1546" s="6" t="s">
        <v>31628</v>
      </c>
      <c r="O1546" s="6" t="s">
        <v>132</v>
      </c>
      <c r="P1546" s="1" t="s">
        <v>31629</v>
      </c>
      <c r="Q1546" s="9" t="s">
        <v>31630</v>
      </c>
      <c r="R1546" s="1" t="s">
        <v>31631</v>
      </c>
      <c r="S1546" s="6" t="s">
        <v>132</v>
      </c>
      <c r="T1546" s="1" t="s">
        <v>31632</v>
      </c>
      <c r="U1546" s="1" t="s">
        <v>31633</v>
      </c>
      <c r="V1546" s="7" t="str">
        <f>IFERROR(__xludf.DUMMYFUNCTION("GOOGLETRANSLATE(C1546, ""en"", ""ms"")"),"Padam akaun")</f>
        <v>Padam akaun</v>
      </c>
      <c r="W1546" s="1" t="s">
        <v>31634</v>
      </c>
      <c r="X1546" s="7" t="str">
        <f>IFERROR(__xludf.DUMMYFUNCTION("GOOGLETRANSLATE(C1546, ""en"", ""no"")"),"Slett konto")</f>
        <v>Slett konto</v>
      </c>
      <c r="Y1546" s="1" t="s">
        <v>31635</v>
      </c>
      <c r="Z1546" s="1" t="s">
        <v>31636</v>
      </c>
      <c r="AA1546" s="7" t="str">
        <f>IFERROR(__xludf.DUMMYFUNCTION("GOOGLETRANSLATE(C1546, ""en"", ""ro"")"),"Șterge cont")</f>
        <v>Șterge cont</v>
      </c>
      <c r="AB1546" s="1" t="s">
        <v>31637</v>
      </c>
      <c r="AC1546" s="1" t="s">
        <v>31638</v>
      </c>
      <c r="AD1546" s="6" t="s">
        <v>132</v>
      </c>
      <c r="AE1546" s="1" t="s">
        <v>31639</v>
      </c>
      <c r="AF1546" s="1" t="s">
        <v>31640</v>
      </c>
      <c r="AG1546" s="6" t="s">
        <v>132</v>
      </c>
      <c r="AH1546" s="7" t="str">
        <f>IFERROR(__xludf.DUMMYFUNCTION("GOOGLETRANSLATE(C1546, ""en"", ""tr"")"),"Hesabı sil")</f>
        <v>Hesabı sil</v>
      </c>
      <c r="AI1546" s="6" t="s">
        <v>31641</v>
      </c>
      <c r="AJ1546" s="6" t="s">
        <v>31642</v>
      </c>
      <c r="AK1546" s="7" t="str">
        <f>IFERROR(__xludf.DUMMYFUNCTION("GOOGLETRANSLATE(C1546, ""en"", ""zh"")"),"删除帐户")</f>
        <v>删除帐户</v>
      </c>
      <c r="AL1546" s="6" t="s">
        <v>31643</v>
      </c>
    </row>
    <row r="1547" ht="15.75" customHeight="1">
      <c r="A1547" s="1" t="s">
        <v>127</v>
      </c>
      <c r="B1547" s="1" t="s">
        <v>31644</v>
      </c>
      <c r="C1547" s="1" t="s">
        <v>31645</v>
      </c>
      <c r="D1547" s="8" t="s">
        <v>31646</v>
      </c>
      <c r="E1547" s="1" t="s">
        <v>31647</v>
      </c>
      <c r="F1547" s="6" t="s">
        <v>132</v>
      </c>
      <c r="G1547" s="1" t="s">
        <v>31648</v>
      </c>
      <c r="H1547" s="1" t="s">
        <v>31649</v>
      </c>
      <c r="I1547" s="1" t="s">
        <v>31650</v>
      </c>
      <c r="J1547" s="6" t="s">
        <v>31651</v>
      </c>
      <c r="K1547" s="1" t="s">
        <v>31652</v>
      </c>
      <c r="L1547" s="1" t="s">
        <v>31653</v>
      </c>
      <c r="M1547" s="1" t="s">
        <v>31654</v>
      </c>
      <c r="N1547" s="6" t="s">
        <v>132</v>
      </c>
      <c r="O1547" s="6" t="s">
        <v>31655</v>
      </c>
      <c r="P1547" s="1" t="s">
        <v>31656</v>
      </c>
      <c r="Q1547" s="1" t="s">
        <v>31657</v>
      </c>
      <c r="R1547" s="1" t="s">
        <v>31658</v>
      </c>
      <c r="S1547" s="10" t="s">
        <v>31659</v>
      </c>
      <c r="T1547" s="1" t="s">
        <v>31660</v>
      </c>
      <c r="U1547" s="1" t="s">
        <v>31661</v>
      </c>
      <c r="V1547" s="1" t="s">
        <v>31662</v>
      </c>
      <c r="W1547" s="1" t="s">
        <v>31663</v>
      </c>
      <c r="X1547" s="1" t="s">
        <v>31664</v>
      </c>
      <c r="Y1547" s="1" t="s">
        <v>31665</v>
      </c>
      <c r="Z1547" s="1" t="s">
        <v>31666</v>
      </c>
      <c r="AA1547" s="1" t="s">
        <v>31667</v>
      </c>
      <c r="AB1547" s="1" t="s">
        <v>31668</v>
      </c>
      <c r="AC1547" s="1" t="s">
        <v>31669</v>
      </c>
      <c r="AD1547" s="6" t="s">
        <v>31670</v>
      </c>
      <c r="AE1547" s="1" t="s">
        <v>31671</v>
      </c>
      <c r="AF1547" s="1" t="s">
        <v>31672</v>
      </c>
      <c r="AG1547" s="6" t="s">
        <v>31673</v>
      </c>
      <c r="AH1547" s="1" t="s">
        <v>31674</v>
      </c>
      <c r="AI1547" s="6" t="s">
        <v>132</v>
      </c>
      <c r="AJ1547" s="6" t="s">
        <v>31675</v>
      </c>
      <c r="AK1547" s="1" t="s">
        <v>31676</v>
      </c>
      <c r="AL1547" s="6" t="s">
        <v>132</v>
      </c>
    </row>
    <row r="1548" ht="15.75" customHeight="1">
      <c r="A1548" s="1" t="s">
        <v>127</v>
      </c>
      <c r="B1548" s="1" t="s">
        <v>31677</v>
      </c>
      <c r="C1548" s="1" t="s">
        <v>31678</v>
      </c>
      <c r="D1548" s="8" t="s">
        <v>31679</v>
      </c>
      <c r="E1548" s="1" t="s">
        <v>31680</v>
      </c>
      <c r="F1548" s="6" t="s">
        <v>132</v>
      </c>
      <c r="G1548" s="1" t="s">
        <v>31681</v>
      </c>
      <c r="H1548" s="1" t="s">
        <v>31682</v>
      </c>
      <c r="I1548" s="1" t="s">
        <v>31683</v>
      </c>
      <c r="J1548" s="6" t="s">
        <v>31684</v>
      </c>
      <c r="K1548" s="1" t="s">
        <v>31685</v>
      </c>
      <c r="L1548" s="1" t="s">
        <v>31686</v>
      </c>
      <c r="M1548" s="1" t="s">
        <v>31687</v>
      </c>
      <c r="N1548" s="6" t="s">
        <v>132</v>
      </c>
      <c r="O1548" s="6" t="s">
        <v>31688</v>
      </c>
      <c r="P1548" s="1" t="s">
        <v>31689</v>
      </c>
      <c r="Q1548" s="1" t="s">
        <v>31690</v>
      </c>
      <c r="R1548" s="1" t="s">
        <v>31691</v>
      </c>
      <c r="S1548" s="10" t="s">
        <v>31692</v>
      </c>
      <c r="T1548" s="1" t="s">
        <v>31693</v>
      </c>
      <c r="U1548" s="1" t="s">
        <v>31694</v>
      </c>
      <c r="V1548" s="1" t="s">
        <v>31690</v>
      </c>
      <c r="W1548" s="1" t="s">
        <v>31695</v>
      </c>
      <c r="X1548" s="1" t="s">
        <v>31696</v>
      </c>
      <c r="Y1548" s="1" t="s">
        <v>31697</v>
      </c>
      <c r="Z1548" s="1" t="s">
        <v>31698</v>
      </c>
      <c r="AA1548" s="1" t="s">
        <v>31699</v>
      </c>
      <c r="AB1548" s="1" t="s">
        <v>31700</v>
      </c>
      <c r="AC1548" s="1" t="s">
        <v>31701</v>
      </c>
      <c r="AD1548" s="6" t="s">
        <v>31702</v>
      </c>
      <c r="AE1548" s="1" t="s">
        <v>31703</v>
      </c>
      <c r="AF1548" s="1" t="s">
        <v>31704</v>
      </c>
      <c r="AG1548" s="6" t="s">
        <v>31705</v>
      </c>
      <c r="AH1548" s="1" t="s">
        <v>31706</v>
      </c>
      <c r="AI1548" s="6" t="s">
        <v>132</v>
      </c>
      <c r="AJ1548" s="6" t="s">
        <v>31707</v>
      </c>
      <c r="AK1548" s="1" t="s">
        <v>31708</v>
      </c>
      <c r="AL1548" s="6" t="s">
        <v>132</v>
      </c>
    </row>
    <row r="1549" ht="15.75" hidden="1" customHeight="1">
      <c r="A1549" s="1" t="s">
        <v>38</v>
      </c>
      <c r="B1549" s="1" t="s">
        <v>31709</v>
      </c>
      <c r="C1549" s="1" t="s">
        <v>31710</v>
      </c>
      <c r="D1549" s="7" t="str">
        <f>IFERROR(__xludf.DUMMYFUNCTION("GOOGLETRANSLATE(C1549, ""en"", ""ar"")"),"يرجى كتابة رسالة")</f>
        <v>يرجى كتابة رسالة</v>
      </c>
      <c r="E1549" s="7" t="str">
        <f>IFERROR(__xludf.DUMMYFUNCTION("GOOGLETRANSLATE(C1549, ""en"", ""bg"")"),"Моля, напишете съобщение")</f>
        <v>Моля, напишете съобщение</v>
      </c>
      <c r="F1549" s="6" t="s">
        <v>132</v>
      </c>
      <c r="G1549" s="7" t="str">
        <f>IFERROR(__xludf.DUMMYFUNCTION("GOOGLETRANSLATE(C1549, ""en"", ""cs"")"),"Napište prosím zprávu")</f>
        <v>Napište prosím zprávu</v>
      </c>
      <c r="H1549" s="7" t="str">
        <f>IFERROR(__xludf.DUMMYFUNCTION("GOOGLETRANSLATE(C1549, ""en"", ""da"")"),"Skriv venligst en besked")</f>
        <v>Skriv venligst en besked</v>
      </c>
      <c r="I1549" s="1" t="s">
        <v>31711</v>
      </c>
      <c r="J1549" s="6" t="s">
        <v>132</v>
      </c>
      <c r="K1549" s="1" t="s">
        <v>31712</v>
      </c>
      <c r="L1549" s="7" t="str">
        <f>IFERROR(__xludf.DUMMYFUNCTION("GOOGLETRANSLATE(C1549, ""en"", ""fi"")"),"Kirjoita viesti")</f>
        <v>Kirjoita viesti</v>
      </c>
      <c r="M1549" s="1" t="s">
        <v>31713</v>
      </c>
      <c r="N1549" s="6" t="s">
        <v>132</v>
      </c>
      <c r="O1549" s="6" t="s">
        <v>132</v>
      </c>
      <c r="P1549" s="1" t="s">
        <v>31714</v>
      </c>
      <c r="Q1549" s="7" t="str">
        <f>IFERROR(__xludf.DUMMYFUNCTION("GOOGLETRANSLATE(C1549, ""en"", ""in"")"),"Silakan tulis pesan")</f>
        <v>Silakan tulis pesan</v>
      </c>
      <c r="R1549" s="7" t="str">
        <f>IFERROR(__xludf.DUMMYFUNCTION("GOOGLETRANSLATE(C1549, ""en"", ""it"")"),"Si prega di scrivere un messaggio")</f>
        <v>Si prega di scrivere un messaggio</v>
      </c>
      <c r="S1549" s="6" t="s">
        <v>132</v>
      </c>
      <c r="T1549" s="7" t="str">
        <f>IFERROR(__xludf.DUMMYFUNCTION("GOOGLETRANSLATE(C1549, ""en"", ""ja"")"),"メッセージを書いてください")</f>
        <v>メッセージを書いてください</v>
      </c>
      <c r="U1549" s="7" t="str">
        <f>IFERROR(__xludf.DUMMYFUNCTION("GOOGLETRANSLATE(C1549, ""en"", ""ko"")"),"메시지를 써주세요")</f>
        <v>메시지를 써주세요</v>
      </c>
      <c r="V1549" s="7" t="str">
        <f>IFERROR(__xludf.DUMMYFUNCTION("GOOGLETRANSLATE(C1549, ""en"", ""ms"")"),"Sila tulis mesej")</f>
        <v>Sila tulis mesej</v>
      </c>
      <c r="W1549" s="7" t="str">
        <f>IFERROR(__xludf.DUMMYFUNCTION("GOOGLETRANSLATE(C1549, ""en"", ""nl"")"),"Schrijf alstublieft een bericht")</f>
        <v>Schrijf alstublieft een bericht</v>
      </c>
      <c r="X1549" s="7" t="str">
        <f>IFERROR(__xludf.DUMMYFUNCTION("GOOGLETRANSLATE(C1549, ""en"", ""no"")"),"Vennligst skriv en melding")</f>
        <v>Vennligst skriv en melding</v>
      </c>
      <c r="Y1549" s="7" t="str">
        <f>IFERROR(__xludf.DUMMYFUNCTION("GOOGLETRANSLATE(C1549, ""en"", ""pl"")"),"Napisz wiadomość")</f>
        <v>Napisz wiadomość</v>
      </c>
      <c r="Z1549" s="7" t="str">
        <f>IFERROR(__xludf.DUMMYFUNCTION("GOOGLETRANSLATE(C1549, ""en"", ""pt"")"),"Por favor, escreva uma mensagem")</f>
        <v>Por favor, escreva uma mensagem</v>
      </c>
      <c r="AA1549" s="7" t="str">
        <f>IFERROR(__xludf.DUMMYFUNCTION("GOOGLETRANSLATE(C1549, ""en"", ""ro"")"),"Scrieți un mesaj")</f>
        <v>Scrieți un mesaj</v>
      </c>
      <c r="AB1549" s="1" t="s">
        <v>31715</v>
      </c>
      <c r="AC1549" s="7" t="str">
        <f>IFERROR(__xludf.DUMMYFUNCTION("GOOGLETRANSLATE(C1549, ""en"", ""sk"")"),"Napíšte správu")</f>
        <v>Napíšte správu</v>
      </c>
      <c r="AD1549" s="6" t="s">
        <v>132</v>
      </c>
      <c r="AE1549" s="1" t="s">
        <v>31716</v>
      </c>
      <c r="AF1549" s="7" t="str">
        <f>IFERROR(__xludf.DUMMYFUNCTION("GOOGLETRANSLATE(C1549, ""en"", ""sv"")"),"Vänligen skriv ett meddelande")</f>
        <v>Vänligen skriv ett meddelande</v>
      </c>
      <c r="AG1549" s="6" t="s">
        <v>132</v>
      </c>
      <c r="AH1549" s="7" t="str">
        <f>IFERROR(__xludf.DUMMYFUNCTION("GOOGLETRANSLATE(C1549, ""en"", ""tr"")"),"Lütfen bir mesaj yaz")</f>
        <v>Lütfen bir mesaj yaz</v>
      </c>
      <c r="AI1549" s="6" t="s">
        <v>132</v>
      </c>
      <c r="AJ1549" s="6" t="s">
        <v>132</v>
      </c>
      <c r="AK1549" s="7" t="str">
        <f>IFERROR(__xludf.DUMMYFUNCTION("GOOGLETRANSLATE(C1549, ""en"", ""zh"")"),"请写一条消息")</f>
        <v>请写一条消息</v>
      </c>
      <c r="AL1549" s="6" t="s">
        <v>132</v>
      </c>
    </row>
    <row r="1550" ht="15.75" customHeight="1">
      <c r="A1550" s="1" t="s">
        <v>127</v>
      </c>
      <c r="B1550" s="1" t="s">
        <v>31717</v>
      </c>
      <c r="C1550" s="1" t="s">
        <v>31718</v>
      </c>
      <c r="D1550" s="8" t="s">
        <v>31719</v>
      </c>
      <c r="E1550" s="1" t="s">
        <v>31720</v>
      </c>
      <c r="F1550" s="6" t="s">
        <v>132</v>
      </c>
      <c r="G1550" s="1" t="s">
        <v>31721</v>
      </c>
      <c r="H1550" s="1" t="s">
        <v>31722</v>
      </c>
      <c r="I1550" s="1" t="s">
        <v>31723</v>
      </c>
      <c r="J1550" s="6" t="s">
        <v>31724</v>
      </c>
      <c r="K1550" s="1" t="s">
        <v>31725</v>
      </c>
      <c r="L1550" s="1" t="s">
        <v>31726</v>
      </c>
      <c r="M1550" s="1" t="s">
        <v>31727</v>
      </c>
      <c r="N1550" s="6" t="s">
        <v>132</v>
      </c>
      <c r="O1550" s="6" t="s">
        <v>31728</v>
      </c>
      <c r="P1550" s="1" t="s">
        <v>31729</v>
      </c>
      <c r="Q1550" s="1" t="s">
        <v>31730</v>
      </c>
      <c r="R1550" s="1" t="s">
        <v>31731</v>
      </c>
      <c r="S1550" s="10" t="s">
        <v>31732</v>
      </c>
      <c r="T1550" s="1" t="s">
        <v>31733</v>
      </c>
      <c r="U1550" s="1" t="s">
        <v>31734</v>
      </c>
      <c r="V1550" s="1" t="s">
        <v>31730</v>
      </c>
      <c r="W1550" s="1" t="s">
        <v>31735</v>
      </c>
      <c r="X1550" s="1" t="s">
        <v>31736</v>
      </c>
      <c r="Y1550" s="1" t="s">
        <v>31737</v>
      </c>
      <c r="Z1550" s="1" t="s">
        <v>31738</v>
      </c>
      <c r="AA1550" s="1" t="s">
        <v>31739</v>
      </c>
      <c r="AB1550" s="1" t="s">
        <v>31740</v>
      </c>
      <c r="AC1550" s="1" t="s">
        <v>31741</v>
      </c>
      <c r="AD1550" s="6" t="s">
        <v>31742</v>
      </c>
      <c r="AE1550" s="1" t="s">
        <v>31743</v>
      </c>
      <c r="AF1550" s="1" t="s">
        <v>31744</v>
      </c>
      <c r="AG1550" s="6" t="s">
        <v>31745</v>
      </c>
      <c r="AH1550" s="1" t="s">
        <v>31746</v>
      </c>
      <c r="AI1550" s="6" t="s">
        <v>132</v>
      </c>
      <c r="AJ1550" s="6" t="s">
        <v>31747</v>
      </c>
      <c r="AK1550" s="1" t="s">
        <v>31748</v>
      </c>
      <c r="AL1550" s="6" t="s">
        <v>132</v>
      </c>
    </row>
    <row r="1551" ht="15.75" customHeight="1">
      <c r="A1551" s="1" t="s">
        <v>127</v>
      </c>
      <c r="B1551" s="1" t="s">
        <v>31749</v>
      </c>
      <c r="C1551" s="1" t="s">
        <v>31750</v>
      </c>
      <c r="D1551" s="8" t="s">
        <v>31751</v>
      </c>
      <c r="E1551" s="1" t="s">
        <v>31752</v>
      </c>
      <c r="F1551" s="6" t="s">
        <v>132</v>
      </c>
      <c r="G1551" s="1" t="s">
        <v>31753</v>
      </c>
      <c r="H1551" s="1" t="s">
        <v>31754</v>
      </c>
      <c r="I1551" s="1" t="s">
        <v>31755</v>
      </c>
      <c r="J1551" s="6" t="s">
        <v>31756</v>
      </c>
      <c r="K1551" s="1" t="s">
        <v>31757</v>
      </c>
      <c r="L1551" s="1" t="s">
        <v>31758</v>
      </c>
      <c r="M1551" s="1" t="s">
        <v>31759</v>
      </c>
      <c r="N1551" s="6" t="s">
        <v>132</v>
      </c>
      <c r="O1551" s="6" t="s">
        <v>31760</v>
      </c>
      <c r="P1551" s="1" t="s">
        <v>31750</v>
      </c>
      <c r="Q1551" s="1" t="s">
        <v>31761</v>
      </c>
      <c r="R1551" s="1" t="s">
        <v>31762</v>
      </c>
      <c r="S1551" s="10" t="s">
        <v>31763</v>
      </c>
      <c r="T1551" s="1" t="s">
        <v>31764</v>
      </c>
      <c r="U1551" s="1" t="s">
        <v>31765</v>
      </c>
      <c r="V1551" s="1" t="s">
        <v>31766</v>
      </c>
      <c r="W1551" s="1" t="s">
        <v>31767</v>
      </c>
      <c r="X1551" s="1" t="s">
        <v>31768</v>
      </c>
      <c r="Y1551" s="1" t="s">
        <v>30286</v>
      </c>
      <c r="Z1551" s="1" t="s">
        <v>31769</v>
      </c>
      <c r="AA1551" s="1" t="s">
        <v>31770</v>
      </c>
      <c r="AB1551" s="1" t="s">
        <v>31771</v>
      </c>
      <c r="AC1551" s="1" t="s">
        <v>31772</v>
      </c>
      <c r="AD1551" s="6" t="s">
        <v>31773</v>
      </c>
      <c r="AE1551" s="1" t="s">
        <v>31774</v>
      </c>
      <c r="AF1551" s="1" t="s">
        <v>31775</v>
      </c>
      <c r="AG1551" s="6" t="s">
        <v>31776</v>
      </c>
      <c r="AH1551" s="1" t="s">
        <v>31777</v>
      </c>
      <c r="AI1551" s="6" t="s">
        <v>132</v>
      </c>
      <c r="AJ1551" s="6" t="s">
        <v>31778</v>
      </c>
      <c r="AK1551" s="1" t="s">
        <v>31779</v>
      </c>
      <c r="AL1551" s="6" t="s">
        <v>132</v>
      </c>
    </row>
    <row r="1552" ht="15.75" hidden="1" customHeight="1">
      <c r="A1552" s="1" t="s">
        <v>38</v>
      </c>
      <c r="B1552" s="1" t="s">
        <v>31780</v>
      </c>
      <c r="C1552" s="1" t="s">
        <v>31781</v>
      </c>
      <c r="D1552" s="7" t="str">
        <f>IFERROR(__xludf.DUMMYFUNCTION("GOOGLETRANSLATE(C1552, ""en"", ""ar"")"),"تجديد مفاتيح OMEMO الخاصة بك. جميع جهات الاتصال الخاصة بك يجب أن تحقق منك مرة أخرى. استخدم هذا فقط كملاذ أخير.")</f>
        <v>تجديد مفاتيح OMEMO الخاصة بك. جميع جهات الاتصال الخاصة بك يجب أن تحقق منك مرة أخرى. استخدم هذا فقط كملاذ أخير.</v>
      </c>
      <c r="E1552" s="1" t="s">
        <v>31782</v>
      </c>
      <c r="F1552" s="6" t="s">
        <v>31783</v>
      </c>
      <c r="G1552" s="7" t="str">
        <f>IFERROR(__xludf.DUMMYFUNCTION("GOOGLETRANSLATE(C1552, ""en"", ""cs"")"),"Regenerovat klíče Omemo. Všechny vaše kontakty budou muset znovu ověřit. Použijte to pouze jako poslední možnost.")</f>
        <v>Regenerovat klíče Omemo. Všechny vaše kontakty budou muset znovu ověřit. Použijte to pouze jako poslední možnost.</v>
      </c>
      <c r="H1552" s="7" t="str">
        <f>IFERROR(__xludf.DUMMYFUNCTION("GOOGLETRANSLATE(C1552, ""en"", ""da"")"),"Regenerere dine omemo nøgler. Alle dine kontakter bliver nødt til at bekræfte dig igen. Brug kun dette som en sidste udvej.")</f>
        <v>Regenerere dine omemo nøgler. Alle dine kontakter bliver nødt til at bekræfte dig igen. Brug kun dette som en sidste udvej.</v>
      </c>
      <c r="I1552" s="1" t="s">
        <v>31784</v>
      </c>
      <c r="J1552" s="6" t="s">
        <v>132</v>
      </c>
      <c r="K1552" s="1" t="s">
        <v>31785</v>
      </c>
      <c r="L1552" s="7" t="str">
        <f>IFERROR(__xludf.DUMMYFUNCTION("GOOGLETRANSLATE(C1552, ""en"", ""fi"")"),"Regeneroi omemon avaimesi. Kaikki yhteystietosi on vahvistettava uudelleen. Käytä tätä vain viimeisenä keinona.")</f>
        <v>Regeneroi omemon avaimesi. Kaikki yhteystietosi on vahvistettava uudelleen. Käytä tätä vain viimeisenä keinona.</v>
      </c>
      <c r="M1552" s="1" t="s">
        <v>31786</v>
      </c>
      <c r="N1552" s="6" t="s">
        <v>31787</v>
      </c>
      <c r="O1552" s="6" t="s">
        <v>132</v>
      </c>
      <c r="P1552" s="1" t="s">
        <v>31788</v>
      </c>
      <c r="Q1552" s="7" t="str">
        <f>IFERROR(__xludf.DUMMYFUNCTION("GOOGLETRANSLATE(C1552, ""en"", ""in"")"),"Regenerasi kunci omemo Anda. Semua kontak Anda harus memverifikasi Anda lagi. Gunakan ini hanya sebagai pilihan terakhir.")</f>
        <v>Regenerasi kunci omemo Anda. Semua kontak Anda harus memverifikasi Anda lagi. Gunakan ini hanya sebagai pilihan terakhir.</v>
      </c>
      <c r="R1552" s="1" t="s">
        <v>31789</v>
      </c>
      <c r="S1552" s="6" t="s">
        <v>132</v>
      </c>
      <c r="T1552" s="1" t="s">
        <v>31790</v>
      </c>
      <c r="U1552" s="1" t="s">
        <v>31791</v>
      </c>
      <c r="V1552" s="7" t="str">
        <f>IFERROR(__xludf.DUMMYFUNCTION("GOOGLETRANSLATE(C1552, ""en"", ""ms"")"),"Menumbuhkan semula kunci Omemo anda. Semua kenalan anda perlu mengesahkan anda sekali lagi. Gunakan ini hanya sebagai usaha terakhir.")</f>
        <v>Menumbuhkan semula kunci Omemo anda. Semua kenalan anda perlu mengesahkan anda sekali lagi. Gunakan ini hanya sebagai usaha terakhir.</v>
      </c>
      <c r="W1552" s="1" t="s">
        <v>31792</v>
      </c>
      <c r="X1552" s="7" t="str">
        <f>IFERROR(__xludf.DUMMYFUNCTION("GOOGLETRANSLATE(C1552, ""en"", ""no"")"),"Regenerere din OMEMO-nøkler. Alle dine kontakter må verifisere deg igjen. Bruk dette bare som en siste utvei.")</f>
        <v>Regenerere din OMEMO-nøkler. Alle dine kontakter må verifisere deg igjen. Bruk dette bare som en siste utvei.</v>
      </c>
      <c r="Y1552" s="1" t="s">
        <v>31793</v>
      </c>
      <c r="Z1552" s="7" t="str">
        <f>IFERROR(__xludf.DUMMYFUNCTION("GOOGLETRANSLATE(C1552, ""en"", ""pt"")"),"Regenere suas chaves omemo. Todos os seus contatos terão que confirmar você novamente. Use isso apenas como último recurso.")</f>
        <v>Regenere suas chaves omemo. Todos os seus contatos terão que confirmar você novamente. Use isso apenas como último recurso.</v>
      </c>
      <c r="AA1552" s="7" t="str">
        <f>IFERROR(__xludf.DUMMYFUNCTION("GOOGLETRANSLATE(C1552, ""en"", ""ro"")"),"Regenerați cheile de omemo. Toate contactele dvs. vor trebui să vă verifice din nou. Utilizați acest lucru numai ca o ultimă soluție.")</f>
        <v>Regenerați cheile de omemo. Toate contactele dvs. vor trebui să vă verifice din nou. Utilizați acest lucru numai ca o ultimă soluție.</v>
      </c>
      <c r="AB1552" s="1" t="s">
        <v>31794</v>
      </c>
      <c r="AC1552" s="7" t="str">
        <f>IFERROR(__xludf.DUMMYFUNCTION("GOOGLETRANSLATE(C1552, ""en"", ""sk"")"),"Regenerujte svoje omemické kľúče. Všetky vaše kontakty vás budú musieť znova overiť. Použite to len ako poslednú možnosť.")</f>
        <v>Regenerujte svoje omemické kľúče. Všetky vaše kontakty vás budú musieť znova overiť. Použite to len ako poslednú možnosť.</v>
      </c>
      <c r="AD1552" s="6" t="s">
        <v>132</v>
      </c>
      <c r="AE1552" s="1" t="s">
        <v>31795</v>
      </c>
      <c r="AF1552" s="1" t="s">
        <v>31796</v>
      </c>
      <c r="AG1552" s="6" t="s">
        <v>132</v>
      </c>
      <c r="AH1552" s="7" t="str">
        <f>IFERROR(__xludf.DUMMYFUNCTION("GOOGLETRANSLATE(C1552, ""en"", ""tr"")"),"OMEMO tuşlarını yenileyin. Tüm kişileriniz sizi tekrar doğrulamalıdır. Bunu sadece son çare olarak kullanın.")</f>
        <v>OMEMO tuşlarını yenileyin. Tüm kişileriniz sizi tekrar doğrulamalıdır. Bunu sadece son çare olarak kullanın.</v>
      </c>
      <c r="AI1552" s="6" t="s">
        <v>31797</v>
      </c>
      <c r="AJ1552" s="6" t="s">
        <v>132</v>
      </c>
      <c r="AK1552" s="7" t="str">
        <f>IFERROR(__xludf.DUMMYFUNCTION("GOOGLETRANSLATE(C1552, ""en"", ""zh"")"),"重新生成您的omemo键。您所有的联系人都必须再次验证您。仅使用这仅作为最后的手段。")</f>
        <v>重新生成您的omemo键。您所有的联系人都必须再次验证您。仅使用这仅作为最后的手段。</v>
      </c>
      <c r="AL1552" s="6" t="s">
        <v>31798</v>
      </c>
    </row>
    <row r="1553" ht="15.75" hidden="1" customHeight="1">
      <c r="A1553" s="1" t="s">
        <v>38</v>
      </c>
      <c r="B1553" s="1" t="s">
        <v>31799</v>
      </c>
      <c r="C1553" s="1" t="s">
        <v>31800</v>
      </c>
      <c r="D1553" s="8" t="s">
        <v>16776</v>
      </c>
      <c r="E1553" s="1" t="s">
        <v>31801</v>
      </c>
      <c r="F1553" s="6" t="s">
        <v>31802</v>
      </c>
      <c r="G1553" s="7" t="str">
        <f>IFERROR(__xludf.DUMMYFUNCTION("GOOGLETRANSLATE(C1553, ""en"", ""cs"")"),"Konverzace nemohou šifrovat vaše zprávy, protože kontakty nejsou oznamovány jejich veřejný klíč. N \ n")</f>
        <v>Konverzace nemohou šifrovat vaše zprávy, protože kontakty nejsou oznamovány jejich veřejný klíč. N \ n</v>
      </c>
      <c r="H1553" s="7" t="str">
        <f>IFERROR(__xludf.DUMMYFUNCTION("GOOGLETRANSLATE(C1553, ""en"", ""da"")"),"Samtaler kan ikke kryptere dine beskeder, fordi dine kontakter ikke annoncerer deres offentlige nøgle. \ N \ n")</f>
        <v>Samtaler kan ikke kryptere dine beskeder, fordi dine kontakter ikke annoncerer deres offentlige nøgle. \ N \ n</v>
      </c>
      <c r="I1553" s="1" t="s">
        <v>31803</v>
      </c>
      <c r="J1553" s="6" t="s">
        <v>132</v>
      </c>
      <c r="K1553" s="1" t="s">
        <v>31804</v>
      </c>
      <c r="L1553" s="7" t="str">
        <f>IFERROR(__xludf.DUMMYFUNCTION("GOOGLETRANSLATE(C1553, ""en"", ""fi"")"),"Keskustelut eivät pysty salaamaan viestejäsi, koska yhteystiedot eivät ilmoita julkisen avaimensa. \ N \ n")</f>
        <v>Keskustelut eivät pysty salaamaan viestejäsi, koska yhteystiedot eivät ilmoita julkisen avaimensa. \ N \ n</v>
      </c>
      <c r="M1553" s="1" t="s">
        <v>31805</v>
      </c>
      <c r="N1553" s="6" t="s">
        <v>31806</v>
      </c>
      <c r="O1553" s="6" t="s">
        <v>132</v>
      </c>
      <c r="P1553" s="1" t="s">
        <v>31807</v>
      </c>
      <c r="Q1553" s="9" t="s">
        <v>31808</v>
      </c>
      <c r="R1553" s="1" t="s">
        <v>31809</v>
      </c>
      <c r="S1553" s="6" t="s">
        <v>132</v>
      </c>
      <c r="T1553" s="1" t="s">
        <v>16786</v>
      </c>
      <c r="U1553" s="1" t="s">
        <v>16787</v>
      </c>
      <c r="V1553" s="7" t="str">
        <f>IFERROR(__xludf.DUMMYFUNCTION("GOOGLETRANSLATE(C1553, ""en"", ""ms"")"),"Perbualan tidak dapat menyulitkan mesej anda kerana kenalan anda tidak mengumumkan kunci awam mereka. \ N \ n")</f>
        <v>Perbualan tidak dapat menyulitkan mesej anda kerana kenalan anda tidak mengumumkan kunci awam mereka. \ N \ n</v>
      </c>
      <c r="W1553" s="1" t="s">
        <v>31810</v>
      </c>
      <c r="X1553" s="7" t="str">
        <f>IFERROR(__xludf.DUMMYFUNCTION("GOOGLETRANSLATE(C1553, ""en"", ""no"")"),"Samtaler kan ikke kryptere meldingene dine fordi kontaktene dine ikke annonserer deres offentlige nøkkel. \ N \ n")</f>
        <v>Samtaler kan ikke kryptere meldingene dine fordi kontaktene dine ikke annonserer deres offentlige nøkkel. \ N \ n</v>
      </c>
      <c r="Y1553" s="1" t="s">
        <v>31811</v>
      </c>
      <c r="Z1553" s="1" t="s">
        <v>31812</v>
      </c>
      <c r="AA1553" s="7" t="str">
        <f>IFERROR(__xludf.DUMMYFUNCTION("GOOGLETRANSLATE(C1553, ""en"", ""ro"")"),"Conversațiile nu pot cripta mesajele, deoarece contactele dvs. nu anunță cheia publică. \ N \ n")</f>
        <v>Conversațiile nu pot cripta mesajele, deoarece contactele dvs. nu anunță cheia publică. \ N \ n</v>
      </c>
      <c r="AB1553" s="1" t="s">
        <v>31813</v>
      </c>
      <c r="AC1553" s="1" t="s">
        <v>31814</v>
      </c>
      <c r="AD1553" s="6" t="s">
        <v>132</v>
      </c>
      <c r="AE1553" s="1" t="s">
        <v>31815</v>
      </c>
      <c r="AF1553" s="1" t="s">
        <v>16794</v>
      </c>
      <c r="AG1553" s="6" t="s">
        <v>132</v>
      </c>
      <c r="AH1553" s="7" t="str">
        <f>IFERROR(__xludf.DUMMYFUNCTION("GOOGLETRANSLATE(C1553, ""en"", ""tr"")"),"Konuşmalar mesajlarınızı şifreleyemez çünkü kişileriniz ortak anahtarlarını açıklamıyor. \ N \ n")</f>
        <v>Konuşmalar mesajlarınızı şifreleyemez çünkü kişileriniz ortak anahtarlarını açıklamıyor. \ N \ n</v>
      </c>
      <c r="AI1553" s="6" t="s">
        <v>16796</v>
      </c>
      <c r="AJ1553" s="6" t="s">
        <v>31816</v>
      </c>
      <c r="AK1553" s="7" t="str">
        <f>IFERROR(__xludf.DUMMYFUNCTION("GOOGLETRANSLATE(C1553, ""en"", ""zh"")"),"对话无法加密消息，因为您的联系人不公布他们的公钥。\ n \ n")</f>
        <v>对话无法加密消息，因为您的联系人不公布他们的公钥。\ n \ n</v>
      </c>
      <c r="AL1553" s="6" t="s">
        <v>31817</v>
      </c>
    </row>
    <row r="1554" ht="15.75" customHeight="1">
      <c r="A1554" s="1" t="s">
        <v>127</v>
      </c>
      <c r="B1554" s="1" t="s">
        <v>31818</v>
      </c>
      <c r="C1554" s="1" t="s">
        <v>31819</v>
      </c>
      <c r="D1554" s="8" t="s">
        <v>31820</v>
      </c>
      <c r="E1554" s="1" t="s">
        <v>31821</v>
      </c>
      <c r="F1554" s="6" t="s">
        <v>132</v>
      </c>
      <c r="G1554" s="1" t="s">
        <v>31822</v>
      </c>
      <c r="H1554" s="1" t="s">
        <v>31823</v>
      </c>
      <c r="I1554" s="1" t="s">
        <v>31824</v>
      </c>
      <c r="J1554" s="6" t="s">
        <v>31825</v>
      </c>
      <c r="K1554" s="1" t="s">
        <v>31826</v>
      </c>
      <c r="L1554" s="1" t="s">
        <v>31827</v>
      </c>
      <c r="M1554" s="1" t="s">
        <v>31828</v>
      </c>
      <c r="N1554" s="6" t="s">
        <v>132</v>
      </c>
      <c r="O1554" s="6" t="s">
        <v>31829</v>
      </c>
      <c r="P1554" s="1" t="s">
        <v>31830</v>
      </c>
      <c r="Q1554" s="1" t="s">
        <v>31831</v>
      </c>
      <c r="R1554" s="1" t="s">
        <v>31832</v>
      </c>
      <c r="S1554" s="10" t="s">
        <v>31833</v>
      </c>
      <c r="T1554" s="1" t="s">
        <v>31834</v>
      </c>
      <c r="U1554" s="1" t="s">
        <v>31835</v>
      </c>
      <c r="V1554" s="1" t="s">
        <v>31836</v>
      </c>
      <c r="W1554" s="1" t="s">
        <v>31837</v>
      </c>
      <c r="X1554" s="1" t="s">
        <v>31838</v>
      </c>
      <c r="Y1554" s="1" t="s">
        <v>31839</v>
      </c>
      <c r="Z1554" s="1" t="s">
        <v>31840</v>
      </c>
      <c r="AA1554" s="1" t="s">
        <v>31841</v>
      </c>
      <c r="AB1554" s="1" t="s">
        <v>31842</v>
      </c>
      <c r="AC1554" s="1" t="s">
        <v>31843</v>
      </c>
      <c r="AD1554" s="6" t="s">
        <v>31844</v>
      </c>
      <c r="AE1554" s="1" t="s">
        <v>31845</v>
      </c>
      <c r="AF1554" s="1" t="s">
        <v>31846</v>
      </c>
      <c r="AG1554" s="6" t="s">
        <v>31847</v>
      </c>
      <c r="AH1554" s="1" t="s">
        <v>31848</v>
      </c>
      <c r="AI1554" s="6" t="s">
        <v>132</v>
      </c>
      <c r="AJ1554" s="6" t="s">
        <v>31849</v>
      </c>
      <c r="AK1554" s="1" t="s">
        <v>31850</v>
      </c>
      <c r="AL1554" s="6" t="s">
        <v>132</v>
      </c>
    </row>
    <row r="1555" ht="15.75" customHeight="1">
      <c r="A1555" s="1" t="s">
        <v>127</v>
      </c>
      <c r="B1555" s="1" t="s">
        <v>31851</v>
      </c>
      <c r="C1555" s="1" t="s">
        <v>31852</v>
      </c>
      <c r="D1555" s="8" t="s">
        <v>5008</v>
      </c>
      <c r="E1555" s="1" t="s">
        <v>5009</v>
      </c>
      <c r="F1555" s="6" t="s">
        <v>132</v>
      </c>
      <c r="G1555" s="1" t="s">
        <v>31853</v>
      </c>
      <c r="H1555" s="1" t="s">
        <v>31852</v>
      </c>
      <c r="I1555" s="1" t="s">
        <v>31854</v>
      </c>
      <c r="J1555" s="6" t="s">
        <v>31855</v>
      </c>
      <c r="K1555" s="1" t="s">
        <v>31856</v>
      </c>
      <c r="L1555" s="1" t="s">
        <v>31857</v>
      </c>
      <c r="M1555" s="1" t="s">
        <v>31856</v>
      </c>
      <c r="N1555" s="6" t="s">
        <v>132</v>
      </c>
      <c r="O1555" s="6" t="s">
        <v>31858</v>
      </c>
      <c r="P1555" s="1" t="s">
        <v>31859</v>
      </c>
      <c r="Q1555" s="1" t="s">
        <v>31860</v>
      </c>
      <c r="R1555" s="1" t="s">
        <v>31852</v>
      </c>
      <c r="S1555" s="10" t="s">
        <v>5021</v>
      </c>
      <c r="T1555" s="1" t="s">
        <v>31852</v>
      </c>
      <c r="U1555" s="1" t="s">
        <v>5023</v>
      </c>
      <c r="V1555" s="1" t="s">
        <v>31860</v>
      </c>
      <c r="W1555" s="1" t="s">
        <v>31852</v>
      </c>
      <c r="X1555" s="1" t="s">
        <v>31861</v>
      </c>
      <c r="Y1555" s="1" t="s">
        <v>31862</v>
      </c>
      <c r="Z1555" s="1" t="s">
        <v>5027</v>
      </c>
      <c r="AA1555" s="1" t="s">
        <v>31856</v>
      </c>
      <c r="AB1555" s="1" t="s">
        <v>31863</v>
      </c>
      <c r="AC1555" s="1" t="s">
        <v>31852</v>
      </c>
      <c r="AD1555" s="6" t="s">
        <v>31852</v>
      </c>
      <c r="AE1555" s="1" t="s">
        <v>31864</v>
      </c>
      <c r="AF1555" s="1" t="s">
        <v>31861</v>
      </c>
      <c r="AG1555" s="6" t="s">
        <v>5032</v>
      </c>
      <c r="AH1555" s="1" t="s">
        <v>26195</v>
      </c>
      <c r="AI1555" s="6" t="s">
        <v>132</v>
      </c>
      <c r="AJ1555" s="6" t="s">
        <v>31865</v>
      </c>
      <c r="AK1555" s="1" t="s">
        <v>5035</v>
      </c>
      <c r="AL1555" s="6" t="s">
        <v>5036</v>
      </c>
    </row>
    <row r="1556" ht="15.75" hidden="1" customHeight="1">
      <c r="A1556" s="1" t="s">
        <v>38</v>
      </c>
      <c r="B1556" s="1" t="s">
        <v>31866</v>
      </c>
      <c r="C1556" s="1" t="s">
        <v>31867</v>
      </c>
      <c r="D1556" s="8" t="s">
        <v>31868</v>
      </c>
      <c r="E1556" s="1" t="s">
        <v>17175</v>
      </c>
      <c r="F1556" s="6" t="s">
        <v>31867</v>
      </c>
      <c r="G1556" s="7" t="str">
        <f>IFERROR(__xludf.DUMMYFUNCTION("GOOGLETRANSLATE(C1556, ""en"", ""cs"")"),"Účastník")</f>
        <v>Účastník</v>
      </c>
      <c r="H1556" s="7" t="str">
        <f>IFERROR(__xludf.DUMMYFUNCTION("GOOGLETRANSLATE(C1556, ""en"", ""da"")"),"Deltager")</f>
        <v>Deltager</v>
      </c>
      <c r="I1556" s="1" t="s">
        <v>31869</v>
      </c>
      <c r="J1556" s="6" t="s">
        <v>132</v>
      </c>
      <c r="K1556" s="1" t="s">
        <v>31870</v>
      </c>
      <c r="L1556" s="7" t="str">
        <f>IFERROR(__xludf.DUMMYFUNCTION("GOOGLETRANSLATE(C1556, ""en"", ""fi"")"),"Osallistuja")</f>
        <v>Osallistuja</v>
      </c>
      <c r="M1556" s="1" t="s">
        <v>31867</v>
      </c>
      <c r="N1556" s="6" t="s">
        <v>31870</v>
      </c>
      <c r="O1556" s="6" t="s">
        <v>132</v>
      </c>
      <c r="P1556" s="1" t="s">
        <v>31871</v>
      </c>
      <c r="Q1556" s="9" t="s">
        <v>31872</v>
      </c>
      <c r="R1556" s="1" t="s">
        <v>31873</v>
      </c>
      <c r="S1556" s="6" t="s">
        <v>132</v>
      </c>
      <c r="T1556" s="1" t="s">
        <v>31874</v>
      </c>
      <c r="U1556" s="1" t="s">
        <v>31875</v>
      </c>
      <c r="V1556" s="7" t="str">
        <f>IFERROR(__xludf.DUMMYFUNCTION("GOOGLETRANSLATE(C1556, ""en"", ""ms"")"),"Peserta")</f>
        <v>Peserta</v>
      </c>
      <c r="W1556" s="1" t="s">
        <v>31876</v>
      </c>
      <c r="X1556" s="7" t="str">
        <f>IFERROR(__xludf.DUMMYFUNCTION("GOOGLETRANSLATE(C1556, ""en"", ""no"")"),"Deltager")</f>
        <v>Deltager</v>
      </c>
      <c r="Y1556" s="1" t="s">
        <v>31877</v>
      </c>
      <c r="Z1556" s="1" t="s">
        <v>31870</v>
      </c>
      <c r="AA1556" s="7" t="str">
        <f>IFERROR(__xludf.DUMMYFUNCTION("GOOGLETRANSLATE(C1556, ""en"", ""ro"")"),"Participant")</f>
        <v>Participant</v>
      </c>
      <c r="AB1556" s="1" t="s">
        <v>17175</v>
      </c>
      <c r="AC1556" s="1" t="s">
        <v>31878</v>
      </c>
      <c r="AD1556" s="6" t="s">
        <v>132</v>
      </c>
      <c r="AE1556" s="1" t="s">
        <v>31879</v>
      </c>
      <c r="AF1556" s="1" t="s">
        <v>31880</v>
      </c>
      <c r="AG1556" s="6" t="s">
        <v>132</v>
      </c>
      <c r="AH1556" s="7" t="str">
        <f>IFERROR(__xludf.DUMMYFUNCTION("GOOGLETRANSLATE(C1556, ""en"", ""tr"")"),"Katılımcı")</f>
        <v>Katılımcı</v>
      </c>
      <c r="AI1556" s="6" t="s">
        <v>17179</v>
      </c>
      <c r="AJ1556" s="6" t="s">
        <v>17180</v>
      </c>
      <c r="AK1556" s="7" t="str">
        <f>IFERROR(__xludf.DUMMYFUNCTION("GOOGLETRANSLATE(C1556, ""en"", ""zh"")"),"参与者")</f>
        <v>参与者</v>
      </c>
      <c r="AL1556" s="6" t="s">
        <v>31881</v>
      </c>
    </row>
    <row r="1557" ht="15.75" hidden="1" customHeight="1">
      <c r="A1557" s="1" t="s">
        <v>38</v>
      </c>
      <c r="B1557" s="1" t="s">
        <v>31882</v>
      </c>
      <c r="C1557" s="1" t="s">
        <v>31883</v>
      </c>
      <c r="D1557" s="7" t="str">
        <f>IFERROR(__xludf.DUMMYFUNCTION("GOOGLETRANSLATE(C1557, ""en"", ""ar"")"),"باراجواي")</f>
        <v>باراجواي</v>
      </c>
      <c r="E1557" s="7" t="str">
        <f>IFERROR(__xludf.DUMMYFUNCTION("GOOGLETRANSLATE(C1557, ""en"", ""bg"")"),"Парагвай")</f>
        <v>Парагвай</v>
      </c>
      <c r="F1557" s="6" t="s">
        <v>132</v>
      </c>
      <c r="G1557" s="7" t="str">
        <f>IFERROR(__xludf.DUMMYFUNCTION("GOOGLETRANSLATE(C1557, ""en"", ""cs"")"),"Paraguay")</f>
        <v>Paraguay</v>
      </c>
      <c r="H1557" s="7" t="str">
        <f>IFERROR(__xludf.DUMMYFUNCTION("GOOGLETRANSLATE(C1557, ""en"", ""da"")"),"Paraguay.")</f>
        <v>Paraguay.</v>
      </c>
      <c r="I1557" s="1" t="s">
        <v>31883</v>
      </c>
      <c r="J1557" s="6" t="s">
        <v>132</v>
      </c>
      <c r="K1557" s="1" t="s">
        <v>31883</v>
      </c>
      <c r="L1557" s="7" t="str">
        <f>IFERROR(__xludf.DUMMYFUNCTION("GOOGLETRANSLATE(C1557, ""en"", ""fi"")"),"Paraguay")</f>
        <v>Paraguay</v>
      </c>
      <c r="M1557" s="1" t="s">
        <v>31883</v>
      </c>
      <c r="N1557" s="6" t="s">
        <v>132</v>
      </c>
      <c r="O1557" s="6" t="s">
        <v>132</v>
      </c>
      <c r="P1557" s="1" t="s">
        <v>31883</v>
      </c>
      <c r="Q1557" s="7" t="str">
        <f>IFERROR(__xludf.DUMMYFUNCTION("GOOGLETRANSLATE(C1557, ""en"", ""in"")"),"Paraguay.")</f>
        <v>Paraguay.</v>
      </c>
      <c r="R1557" s="7" t="str">
        <f>IFERROR(__xludf.DUMMYFUNCTION("GOOGLETRANSLATE(C1557, ""en"", ""it"")"),"Paraguay.")</f>
        <v>Paraguay.</v>
      </c>
      <c r="S1557" s="6" t="s">
        <v>132</v>
      </c>
      <c r="T1557" s="7" t="str">
        <f>IFERROR(__xludf.DUMMYFUNCTION("GOOGLETRANSLATE(C1557, ""en"", ""ja"")"),"パラグアイ")</f>
        <v>パラグアイ</v>
      </c>
      <c r="U1557" s="7" t="str">
        <f>IFERROR(__xludf.DUMMYFUNCTION("GOOGLETRANSLATE(C1557, ""en"", ""ko"")"),"파라과이")</f>
        <v>파라과이</v>
      </c>
      <c r="V1557" s="7" t="str">
        <f>IFERROR(__xludf.DUMMYFUNCTION("GOOGLETRANSLATE(C1557, ""en"", ""ms"")"),"Paraguay.")</f>
        <v>Paraguay.</v>
      </c>
      <c r="W1557" s="7" t="str">
        <f>IFERROR(__xludf.DUMMYFUNCTION("GOOGLETRANSLATE(C1557, ""en"", ""nl"")"),"Paraguay")</f>
        <v>Paraguay</v>
      </c>
      <c r="X1557" s="7" t="str">
        <f>IFERROR(__xludf.DUMMYFUNCTION("GOOGLETRANSLATE(C1557, ""en"", ""no"")"),"Paraguay.")</f>
        <v>Paraguay.</v>
      </c>
      <c r="Y1557" s="7" t="str">
        <f>IFERROR(__xludf.DUMMYFUNCTION("GOOGLETRANSLATE(C1557, ""en"", ""pl"")"),"Paragwaj")</f>
        <v>Paragwaj</v>
      </c>
      <c r="Z1557" s="7" t="str">
        <f>IFERROR(__xludf.DUMMYFUNCTION("GOOGLETRANSLATE(C1557, ""en"", ""pt"")"),"Paraguai")</f>
        <v>Paraguai</v>
      </c>
      <c r="AA1557" s="7" t="str">
        <f>IFERROR(__xludf.DUMMYFUNCTION("GOOGLETRANSLATE(C1557, ""en"", ""ro"")"),"Paraguay")</f>
        <v>Paraguay</v>
      </c>
      <c r="AB1557" s="1" t="s">
        <v>31884</v>
      </c>
      <c r="AC1557" s="7" t="str">
        <f>IFERROR(__xludf.DUMMYFUNCTION("GOOGLETRANSLATE(C1557, ""en"", ""sk"")"),"Paraguay")</f>
        <v>Paraguay</v>
      </c>
      <c r="AD1557" s="6" t="s">
        <v>132</v>
      </c>
      <c r="AE1557" s="1" t="s">
        <v>31885</v>
      </c>
      <c r="AF1557" s="7" t="str">
        <f>IFERROR(__xludf.DUMMYFUNCTION("GOOGLETRANSLATE(C1557, ""en"", ""sv"")"),"Paraguay")</f>
        <v>Paraguay</v>
      </c>
      <c r="AG1557" s="6" t="s">
        <v>132</v>
      </c>
      <c r="AH1557" s="7" t="str">
        <f>IFERROR(__xludf.DUMMYFUNCTION("GOOGLETRANSLATE(C1557, ""en"", ""tr"")"),"Paraguay")</f>
        <v>Paraguay</v>
      </c>
      <c r="AI1557" s="6" t="s">
        <v>132</v>
      </c>
      <c r="AJ1557" s="6" t="s">
        <v>132</v>
      </c>
      <c r="AK1557" s="7" t="str">
        <f>IFERROR(__xludf.DUMMYFUNCTION("GOOGLETRANSLATE(C1557, ""en"", ""zh"")"),"巴拉圭")</f>
        <v>巴拉圭</v>
      </c>
      <c r="AL1557" s="6" t="s">
        <v>132</v>
      </c>
    </row>
    <row r="1558" ht="15.75" customHeight="1">
      <c r="A1558" s="1" t="s">
        <v>127</v>
      </c>
      <c r="B1558" s="1" t="s">
        <v>31886</v>
      </c>
      <c r="C1558" s="1" t="s">
        <v>31887</v>
      </c>
      <c r="D1558" s="8" t="s">
        <v>31888</v>
      </c>
      <c r="E1558" s="1" t="s">
        <v>31889</v>
      </c>
      <c r="F1558" s="6" t="s">
        <v>132</v>
      </c>
      <c r="G1558" s="1" t="s">
        <v>31890</v>
      </c>
      <c r="H1558" s="1" t="s">
        <v>31891</v>
      </c>
      <c r="I1558" s="1" t="s">
        <v>31892</v>
      </c>
      <c r="J1558" s="6" t="s">
        <v>31893</v>
      </c>
      <c r="K1558" s="1" t="s">
        <v>31894</v>
      </c>
      <c r="L1558" s="1" t="s">
        <v>31895</v>
      </c>
      <c r="M1558" s="1" t="s">
        <v>31896</v>
      </c>
      <c r="N1558" s="6" t="s">
        <v>132</v>
      </c>
      <c r="O1558" s="6" t="s">
        <v>31897</v>
      </c>
      <c r="P1558" s="1" t="s">
        <v>31898</v>
      </c>
      <c r="Q1558" s="1" t="s">
        <v>31899</v>
      </c>
      <c r="R1558" s="1" t="s">
        <v>31900</v>
      </c>
      <c r="S1558" s="10" t="s">
        <v>31901</v>
      </c>
      <c r="T1558" s="1" t="s">
        <v>31902</v>
      </c>
      <c r="U1558" s="1" t="s">
        <v>31903</v>
      </c>
      <c r="V1558" s="1" t="s">
        <v>31904</v>
      </c>
      <c r="W1558" s="1" t="s">
        <v>31905</v>
      </c>
      <c r="X1558" s="1" t="s">
        <v>31906</v>
      </c>
      <c r="Y1558" s="1" t="s">
        <v>31907</v>
      </c>
      <c r="Z1558" s="1" t="s">
        <v>31908</v>
      </c>
      <c r="AA1558" s="1" t="s">
        <v>31909</v>
      </c>
      <c r="AB1558" s="1" t="s">
        <v>31910</v>
      </c>
      <c r="AC1558" s="1" t="s">
        <v>31911</v>
      </c>
      <c r="AD1558" s="6" t="s">
        <v>31912</v>
      </c>
      <c r="AE1558" s="1" t="s">
        <v>31913</v>
      </c>
      <c r="AF1558" s="1" t="s">
        <v>31914</v>
      </c>
      <c r="AG1558" s="6" t="s">
        <v>31915</v>
      </c>
      <c r="AH1558" s="1" t="s">
        <v>31916</v>
      </c>
      <c r="AI1558" s="6" t="s">
        <v>132</v>
      </c>
      <c r="AJ1558" s="6" t="s">
        <v>31917</v>
      </c>
      <c r="AK1558" s="1" t="s">
        <v>31918</v>
      </c>
      <c r="AL1558" s="6" t="s">
        <v>132</v>
      </c>
    </row>
    <row r="1559" ht="15.75" customHeight="1">
      <c r="A1559" s="1" t="s">
        <v>127</v>
      </c>
      <c r="B1559" s="1" t="s">
        <v>31919</v>
      </c>
      <c r="C1559" s="1" t="s">
        <v>11752</v>
      </c>
      <c r="D1559" s="8" t="s">
        <v>31920</v>
      </c>
      <c r="E1559" s="1" t="s">
        <v>11754</v>
      </c>
      <c r="F1559" s="6" t="s">
        <v>132</v>
      </c>
      <c r="G1559" s="1" t="s">
        <v>11755</v>
      </c>
      <c r="H1559" s="1" t="s">
        <v>11756</v>
      </c>
      <c r="I1559" s="1" t="s">
        <v>11752</v>
      </c>
      <c r="J1559" s="6" t="s">
        <v>11752</v>
      </c>
      <c r="K1559" s="1" t="s">
        <v>11752</v>
      </c>
      <c r="L1559" s="1" t="s">
        <v>11757</v>
      </c>
      <c r="M1559" s="1" t="s">
        <v>11752</v>
      </c>
      <c r="N1559" s="6" t="s">
        <v>132</v>
      </c>
      <c r="O1559" s="6" t="s">
        <v>11758</v>
      </c>
      <c r="P1559" s="1" t="s">
        <v>11752</v>
      </c>
      <c r="Q1559" s="1" t="s">
        <v>31921</v>
      </c>
      <c r="R1559" s="1" t="s">
        <v>11752</v>
      </c>
      <c r="S1559" s="10" t="s">
        <v>11760</v>
      </c>
      <c r="T1559" s="1" t="s">
        <v>11761</v>
      </c>
      <c r="U1559" s="1" t="s">
        <v>11762</v>
      </c>
      <c r="V1559" s="1" t="s">
        <v>11759</v>
      </c>
      <c r="W1559" s="1" t="s">
        <v>11752</v>
      </c>
      <c r="X1559" s="1" t="s">
        <v>11763</v>
      </c>
      <c r="Y1559" s="1" t="s">
        <v>11752</v>
      </c>
      <c r="Z1559" s="1" t="s">
        <v>11764</v>
      </c>
      <c r="AA1559" s="7" t="str">
        <f>IFERROR(__xludf.DUMMYFUNCTION("GOOGLETRANSLATE(C1559, ""en"", ""ro"")"),"Ultimate oscilator")</f>
        <v>Ultimate oscilator</v>
      </c>
      <c r="AB1559" s="1" t="s">
        <v>11766</v>
      </c>
      <c r="AC1559" s="1" t="s">
        <v>11767</v>
      </c>
      <c r="AD1559" s="6" t="s">
        <v>11768</v>
      </c>
      <c r="AE1559" s="1" t="s">
        <v>11752</v>
      </c>
      <c r="AF1559" s="1" t="s">
        <v>11752</v>
      </c>
      <c r="AG1559" s="6" t="s">
        <v>11769</v>
      </c>
      <c r="AH1559" s="1" t="s">
        <v>31922</v>
      </c>
      <c r="AI1559" s="6" t="s">
        <v>132</v>
      </c>
      <c r="AJ1559" s="6" t="s">
        <v>11771</v>
      </c>
      <c r="AK1559" s="1" t="s">
        <v>31923</v>
      </c>
      <c r="AL1559" s="6" t="s">
        <v>31924</v>
      </c>
    </row>
    <row r="1560" ht="15.75" customHeight="1">
      <c r="A1560" s="1" t="s">
        <v>127</v>
      </c>
      <c r="B1560" s="1" t="s">
        <v>31925</v>
      </c>
      <c r="C1560" s="1" t="s">
        <v>31926</v>
      </c>
      <c r="D1560" s="8" t="s">
        <v>31927</v>
      </c>
      <c r="E1560" s="1" t="s">
        <v>31928</v>
      </c>
      <c r="F1560" s="6" t="s">
        <v>132</v>
      </c>
      <c r="G1560" s="1" t="s">
        <v>31929</v>
      </c>
      <c r="H1560" s="1" t="s">
        <v>31930</v>
      </c>
      <c r="I1560" s="1" t="s">
        <v>31931</v>
      </c>
      <c r="J1560" s="6" t="s">
        <v>31932</v>
      </c>
      <c r="K1560" s="1" t="s">
        <v>31933</v>
      </c>
      <c r="L1560" s="1" t="s">
        <v>31934</v>
      </c>
      <c r="M1560" s="1" t="s">
        <v>31935</v>
      </c>
      <c r="N1560" s="6" t="s">
        <v>132</v>
      </c>
      <c r="O1560" s="6" t="s">
        <v>31936</v>
      </c>
      <c r="P1560" s="1" t="s">
        <v>31937</v>
      </c>
      <c r="Q1560" s="1" t="s">
        <v>31938</v>
      </c>
      <c r="R1560" s="1" t="s">
        <v>31939</v>
      </c>
      <c r="S1560" s="10" t="s">
        <v>31940</v>
      </c>
      <c r="T1560" s="1" t="s">
        <v>31941</v>
      </c>
      <c r="U1560" s="1" t="s">
        <v>31942</v>
      </c>
      <c r="V1560" s="1" t="s">
        <v>31938</v>
      </c>
      <c r="W1560" s="1" t="s">
        <v>31943</v>
      </c>
      <c r="X1560" s="1" t="s">
        <v>31944</v>
      </c>
      <c r="Y1560" s="1" t="s">
        <v>31945</v>
      </c>
      <c r="Z1560" s="1" t="s">
        <v>31946</v>
      </c>
      <c r="AA1560" s="7" t="str">
        <f>IFERROR(__xludf.DUMMYFUNCTION("GOOGLETRANSLATE(C1560, ""en"", ""ro"")"),"Raportați o valoare greșită")</f>
        <v>Raportați o valoare greșită</v>
      </c>
      <c r="AB1560" s="1" t="s">
        <v>31947</v>
      </c>
      <c r="AC1560" s="1" t="s">
        <v>31948</v>
      </c>
      <c r="AD1560" s="6" t="s">
        <v>31949</v>
      </c>
      <c r="AE1560" s="1" t="s">
        <v>31950</v>
      </c>
      <c r="AF1560" s="1" t="s">
        <v>31951</v>
      </c>
      <c r="AG1560" s="6" t="s">
        <v>31952</v>
      </c>
      <c r="AH1560" s="1" t="s">
        <v>31953</v>
      </c>
      <c r="AI1560" s="6" t="s">
        <v>132</v>
      </c>
      <c r="AJ1560" s="6" t="s">
        <v>31954</v>
      </c>
      <c r="AK1560" s="1" t="s">
        <v>31955</v>
      </c>
      <c r="AL1560" s="6" t="s">
        <v>132</v>
      </c>
    </row>
    <row r="1561" ht="15.75" hidden="1" customHeight="1">
      <c r="A1561" s="1" t="s">
        <v>38</v>
      </c>
      <c r="B1561" s="1" t="s">
        <v>31956</v>
      </c>
      <c r="C1561" s="1" t="s">
        <v>31957</v>
      </c>
      <c r="D1561" s="7" t="str">
        <f>IFERROR(__xludf.DUMMYFUNCTION("GOOGLETRANSLATE(C1561, ""en"", ""ar"")"),"بيرو")</f>
        <v>بيرو</v>
      </c>
      <c r="E1561" s="7" t="str">
        <f>IFERROR(__xludf.DUMMYFUNCTION("GOOGLETRANSLATE(C1561, ""en"", ""bg"")"),"Перу")</f>
        <v>Перу</v>
      </c>
      <c r="F1561" s="6" t="s">
        <v>132</v>
      </c>
      <c r="G1561" s="7" t="str">
        <f>IFERROR(__xludf.DUMMYFUNCTION("GOOGLETRANSLATE(C1561, ""en"", ""cs"")"),"Peru")</f>
        <v>Peru</v>
      </c>
      <c r="H1561" s="7" t="str">
        <f>IFERROR(__xludf.DUMMYFUNCTION("GOOGLETRANSLATE(C1561, ""en"", ""da"")"),"Peru.")</f>
        <v>Peru.</v>
      </c>
      <c r="I1561" s="1" t="s">
        <v>31957</v>
      </c>
      <c r="J1561" s="6" t="s">
        <v>132</v>
      </c>
      <c r="K1561" s="1" t="s">
        <v>31958</v>
      </c>
      <c r="L1561" s="7" t="str">
        <f>IFERROR(__xludf.DUMMYFUNCTION("GOOGLETRANSLATE(C1561, ""en"", ""fi"")"),"Peru")</f>
        <v>Peru</v>
      </c>
      <c r="M1561" s="1" t="s">
        <v>31959</v>
      </c>
      <c r="N1561" s="6" t="s">
        <v>132</v>
      </c>
      <c r="O1561" s="6" t="s">
        <v>132</v>
      </c>
      <c r="P1561" s="1" t="s">
        <v>31957</v>
      </c>
      <c r="Q1561" s="7" t="str">
        <f>IFERROR(__xludf.DUMMYFUNCTION("GOOGLETRANSLATE(C1561, ""en"", ""in"")"),"Peru")</f>
        <v>Peru</v>
      </c>
      <c r="R1561" s="7" t="str">
        <f>IFERROR(__xludf.DUMMYFUNCTION("GOOGLETRANSLATE(C1561, ""en"", ""it"")"),"Perù")</f>
        <v>Perù</v>
      </c>
      <c r="S1561" s="6" t="s">
        <v>132</v>
      </c>
      <c r="T1561" s="7" t="str">
        <f>IFERROR(__xludf.DUMMYFUNCTION("GOOGLETRANSLATE(C1561, ""en"", ""ja"")"),"ペルー")</f>
        <v>ペルー</v>
      </c>
      <c r="U1561" s="7" t="str">
        <f>IFERROR(__xludf.DUMMYFUNCTION("GOOGLETRANSLATE(C1561, ""en"", ""ko"")"),"페루")</f>
        <v>페루</v>
      </c>
      <c r="V1561" s="7" t="str">
        <f>IFERROR(__xludf.DUMMYFUNCTION("GOOGLETRANSLATE(C1561, ""en"", ""ms"")"),"Peru.")</f>
        <v>Peru.</v>
      </c>
      <c r="W1561" s="7" t="str">
        <f>IFERROR(__xludf.DUMMYFUNCTION("GOOGLETRANSLATE(C1561, ""en"", ""nl"")"),"Peru")</f>
        <v>Peru</v>
      </c>
      <c r="X1561" s="7" t="str">
        <f>IFERROR(__xludf.DUMMYFUNCTION("GOOGLETRANSLATE(C1561, ""en"", ""no"")"),"Peru.")</f>
        <v>Peru.</v>
      </c>
      <c r="Y1561" s="7" t="str">
        <f>IFERROR(__xludf.DUMMYFUNCTION("GOOGLETRANSLATE(C1561, ""en"", ""pl"")"),"Peru")</f>
        <v>Peru</v>
      </c>
      <c r="Z1561" s="7" t="str">
        <f>IFERROR(__xludf.DUMMYFUNCTION("GOOGLETRANSLATE(C1561, ""en"", ""pt"")"),"Peru")</f>
        <v>Peru</v>
      </c>
      <c r="AA1561" s="7" t="str">
        <f>IFERROR(__xludf.DUMMYFUNCTION("GOOGLETRANSLATE(C1561, ""en"", ""ro"")"),"Peru")</f>
        <v>Peru</v>
      </c>
      <c r="AB1561" s="1" t="s">
        <v>31960</v>
      </c>
      <c r="AC1561" s="7" t="str">
        <f>IFERROR(__xludf.DUMMYFUNCTION("GOOGLETRANSLATE(C1561, ""en"", ""sk"")"),"Peru")</f>
        <v>Peru</v>
      </c>
      <c r="AD1561" s="6" t="s">
        <v>132</v>
      </c>
      <c r="AE1561" s="1" t="s">
        <v>31957</v>
      </c>
      <c r="AF1561" s="7" t="str">
        <f>IFERROR(__xludf.DUMMYFUNCTION("GOOGLETRANSLATE(C1561, ""en"", ""sv"")"),"Peru")</f>
        <v>Peru</v>
      </c>
      <c r="AG1561" s="6" t="s">
        <v>132</v>
      </c>
      <c r="AH1561" s="7" t="str">
        <f>IFERROR(__xludf.DUMMYFUNCTION("GOOGLETRANSLATE(C1561, ""en"", ""tr"")"),"Peru")</f>
        <v>Peru</v>
      </c>
      <c r="AI1561" s="6" t="s">
        <v>132</v>
      </c>
      <c r="AJ1561" s="6" t="s">
        <v>132</v>
      </c>
      <c r="AK1561" s="7" t="str">
        <f>IFERROR(__xludf.DUMMYFUNCTION("GOOGLETRANSLATE(C1561, ""en"", ""zh"")"),"秘鲁")</f>
        <v>秘鲁</v>
      </c>
      <c r="AL1561" s="6" t="s">
        <v>132</v>
      </c>
    </row>
    <row r="1562" ht="15.75" customHeight="1">
      <c r="A1562" s="1" t="s">
        <v>127</v>
      </c>
      <c r="B1562" s="1" t="s">
        <v>31961</v>
      </c>
      <c r="C1562" s="1" t="s">
        <v>31962</v>
      </c>
      <c r="D1562" s="8" t="s">
        <v>30631</v>
      </c>
      <c r="E1562" s="1" t="s">
        <v>30632</v>
      </c>
      <c r="F1562" s="6" t="s">
        <v>132</v>
      </c>
      <c r="G1562" s="1" t="s">
        <v>31962</v>
      </c>
      <c r="H1562" s="1" t="s">
        <v>31962</v>
      </c>
      <c r="I1562" s="1" t="s">
        <v>31962</v>
      </c>
      <c r="J1562" s="6" t="s">
        <v>30634</v>
      </c>
      <c r="K1562" s="1" t="s">
        <v>31962</v>
      </c>
      <c r="L1562" s="1" t="s">
        <v>15882</v>
      </c>
      <c r="M1562" s="1" t="s">
        <v>31962</v>
      </c>
      <c r="N1562" s="6" t="s">
        <v>132</v>
      </c>
      <c r="O1562" s="6" t="s">
        <v>30637</v>
      </c>
      <c r="P1562" s="1" t="s">
        <v>31962</v>
      </c>
      <c r="Q1562" s="1" t="s">
        <v>30639</v>
      </c>
      <c r="R1562" s="1" t="s">
        <v>31962</v>
      </c>
      <c r="S1562" s="10" t="s">
        <v>30641</v>
      </c>
      <c r="T1562" s="1" t="s">
        <v>30642</v>
      </c>
      <c r="U1562" s="1" t="s">
        <v>30643</v>
      </c>
      <c r="V1562" s="1" t="s">
        <v>30644</v>
      </c>
      <c r="W1562" s="1" t="s">
        <v>30645</v>
      </c>
      <c r="X1562" s="1" t="s">
        <v>31962</v>
      </c>
      <c r="Y1562" s="1" t="s">
        <v>31962</v>
      </c>
      <c r="Z1562" s="1" t="s">
        <v>31963</v>
      </c>
      <c r="AA1562" s="7" t="str">
        <f>IFERROR(__xludf.DUMMYFUNCTION("GOOGLETRANSLATE(C1562, ""en"", ""ro"")"),"Info.")</f>
        <v>Info.</v>
      </c>
      <c r="AB1562" s="1" t="s">
        <v>30632</v>
      </c>
      <c r="AC1562" s="1" t="s">
        <v>30650</v>
      </c>
      <c r="AD1562" s="6" t="s">
        <v>30651</v>
      </c>
      <c r="AE1562" s="1" t="s">
        <v>31962</v>
      </c>
      <c r="AF1562" s="1" t="s">
        <v>31962</v>
      </c>
      <c r="AG1562" s="6" t="s">
        <v>15896</v>
      </c>
      <c r="AH1562" s="1" t="s">
        <v>30652</v>
      </c>
      <c r="AI1562" s="6" t="s">
        <v>132</v>
      </c>
      <c r="AJ1562" s="6" t="s">
        <v>30653</v>
      </c>
      <c r="AK1562" s="1" t="s">
        <v>31964</v>
      </c>
      <c r="AL1562" s="6" t="s">
        <v>31965</v>
      </c>
    </row>
    <row r="1563" ht="15.75" customHeight="1">
      <c r="A1563" s="1" t="s">
        <v>127</v>
      </c>
      <c r="B1563" s="1" t="s">
        <v>31966</v>
      </c>
      <c r="C1563" s="1" t="s">
        <v>5686</v>
      </c>
      <c r="D1563" s="8" t="s">
        <v>5687</v>
      </c>
      <c r="E1563" s="1" t="s">
        <v>5688</v>
      </c>
      <c r="F1563" s="6" t="s">
        <v>132</v>
      </c>
      <c r="G1563" s="1" t="s">
        <v>5689</v>
      </c>
      <c r="H1563" s="1" t="s">
        <v>5690</v>
      </c>
      <c r="I1563" s="1" t="s">
        <v>5691</v>
      </c>
      <c r="J1563" s="6" t="s">
        <v>5692</v>
      </c>
      <c r="K1563" s="1" t="s">
        <v>5693</v>
      </c>
      <c r="L1563" s="1" t="s">
        <v>5694</v>
      </c>
      <c r="M1563" s="1" t="s">
        <v>5695</v>
      </c>
      <c r="N1563" s="6" t="s">
        <v>132</v>
      </c>
      <c r="O1563" s="6" t="s">
        <v>5696</v>
      </c>
      <c r="P1563" s="1" t="s">
        <v>5697</v>
      </c>
      <c r="Q1563" s="1" t="s">
        <v>5698</v>
      </c>
      <c r="R1563" s="1" t="s">
        <v>5699</v>
      </c>
      <c r="S1563" s="10" t="s">
        <v>5700</v>
      </c>
      <c r="T1563" s="1" t="s">
        <v>5701</v>
      </c>
      <c r="U1563" s="1" t="s">
        <v>5702</v>
      </c>
      <c r="V1563" s="1" t="s">
        <v>5703</v>
      </c>
      <c r="W1563" s="1" t="s">
        <v>5704</v>
      </c>
      <c r="X1563" s="1" t="s">
        <v>5705</v>
      </c>
      <c r="Y1563" s="1" t="s">
        <v>5706</v>
      </c>
      <c r="Z1563" s="1" t="s">
        <v>5707</v>
      </c>
      <c r="AA1563" s="7" t="str">
        <f>IFERROR(__xludf.DUMMYFUNCTION("GOOGLETRANSLATE(C1563, ""en"", ""ro"")"),"Capitalul investit")</f>
        <v>Capitalul investit</v>
      </c>
      <c r="AB1563" s="1" t="s">
        <v>5709</v>
      </c>
      <c r="AC1563" s="1" t="s">
        <v>5689</v>
      </c>
      <c r="AD1563" s="6" t="s">
        <v>5710</v>
      </c>
      <c r="AE1563" s="1" t="s">
        <v>5711</v>
      </c>
      <c r="AF1563" s="1" t="s">
        <v>5712</v>
      </c>
      <c r="AG1563" s="6" t="s">
        <v>5713</v>
      </c>
      <c r="AH1563" s="1" t="s">
        <v>5714</v>
      </c>
      <c r="AI1563" s="6" t="s">
        <v>132</v>
      </c>
      <c r="AJ1563" s="6" t="s">
        <v>5715</v>
      </c>
      <c r="AK1563" s="1" t="s">
        <v>5716</v>
      </c>
      <c r="AL1563" s="6" t="s">
        <v>5717</v>
      </c>
    </row>
    <row r="1564" ht="15.75" customHeight="1">
      <c r="A1564" s="1" t="s">
        <v>127</v>
      </c>
      <c r="B1564" s="1" t="s">
        <v>31967</v>
      </c>
      <c r="C1564" s="1" t="s">
        <v>31968</v>
      </c>
      <c r="D1564" s="8" t="s">
        <v>31969</v>
      </c>
      <c r="E1564" s="1" t="s">
        <v>31968</v>
      </c>
      <c r="F1564" s="6" t="s">
        <v>132</v>
      </c>
      <c r="G1564" s="1" t="s">
        <v>31968</v>
      </c>
      <c r="H1564" s="1" t="s">
        <v>31970</v>
      </c>
      <c r="I1564" s="1" t="s">
        <v>31968</v>
      </c>
      <c r="J1564" s="6" t="s">
        <v>31968</v>
      </c>
      <c r="K1564" s="1" t="s">
        <v>31968</v>
      </c>
      <c r="L1564" s="1" t="s">
        <v>31971</v>
      </c>
      <c r="M1564" s="1" t="s">
        <v>31968</v>
      </c>
      <c r="N1564" s="6" t="s">
        <v>132</v>
      </c>
      <c r="O1564" s="6" t="s">
        <v>31972</v>
      </c>
      <c r="P1564" s="1" t="s">
        <v>31968</v>
      </c>
      <c r="Q1564" s="1" t="s">
        <v>31973</v>
      </c>
      <c r="R1564" s="1" t="s">
        <v>31968</v>
      </c>
      <c r="S1564" s="6" t="s">
        <v>31968</v>
      </c>
      <c r="T1564" s="1" t="s">
        <v>31968</v>
      </c>
      <c r="U1564" s="1" t="s">
        <v>31974</v>
      </c>
      <c r="V1564" s="1" t="s">
        <v>31973</v>
      </c>
      <c r="W1564" s="1" t="s">
        <v>31970</v>
      </c>
      <c r="X1564" s="1" t="s">
        <v>31975</v>
      </c>
      <c r="Y1564" s="1" t="s">
        <v>31968</v>
      </c>
      <c r="Z1564" s="1" t="s">
        <v>31976</v>
      </c>
      <c r="AA1564" s="7" t="str">
        <f>IFERROR(__xludf.DUMMYFUNCTION("GOOGLETRANSLATE(C1564, ""en"", ""ro"")"),"K_period.")</f>
        <v>K_period.</v>
      </c>
      <c r="AB1564" s="1" t="s">
        <v>31977</v>
      </c>
      <c r="AC1564" s="1" t="s">
        <v>31978</v>
      </c>
      <c r="AD1564" s="6" t="s">
        <v>31968</v>
      </c>
      <c r="AE1564" s="1" t="s">
        <v>31968</v>
      </c>
      <c r="AF1564" s="1" t="s">
        <v>31968</v>
      </c>
      <c r="AG1564" s="6" t="s">
        <v>31979</v>
      </c>
      <c r="AH1564" s="1" t="s">
        <v>31980</v>
      </c>
      <c r="AI1564" s="6" t="s">
        <v>132</v>
      </c>
      <c r="AJ1564" s="6" t="s">
        <v>31968</v>
      </c>
      <c r="AK1564" s="1" t="s">
        <v>31981</v>
      </c>
      <c r="AL1564" s="6" t="s">
        <v>31982</v>
      </c>
    </row>
    <row r="1565" ht="15.75" hidden="1" customHeight="1">
      <c r="A1565" s="1" t="s">
        <v>38</v>
      </c>
      <c r="B1565" s="1" t="s">
        <v>31983</v>
      </c>
      <c r="C1565" s="1" t="s">
        <v>31984</v>
      </c>
      <c r="D1565" s="7" t="str">
        <f>IFERROR(__xludf.DUMMYFUNCTION("GOOGLETRANSLATE(C1565, ""en"", ""ar"")"),"أنت بالفعل تثق في هذا الاتصال. عن طريق تحديد \ 'done \' أنت تؤكد فقط أن٪ S جزء من الدردشة هذه المجموعة.")</f>
        <v>أنت بالفعل تثق في هذا الاتصال. عن طريق تحديد \ 'done \' أنت تؤكد فقط أن٪ S جزء من الدردشة هذه المجموعة.</v>
      </c>
      <c r="E1565" s="1" t="s">
        <v>31985</v>
      </c>
      <c r="F1565" s="6" t="s">
        <v>31986</v>
      </c>
      <c r="G1565" s="7" t="str">
        <f>IFERROR(__xludf.DUMMYFUNCTION("GOOGLETRANSLATE(C1565, ""en"", ""cs"")"),"Tento kontakt již důvěřujete. Výběrem ""Hotovo"" jste právě potvrdili, že% S je součástí tohoto skupinového chatu.")</f>
        <v>Tento kontakt již důvěřujete. Výběrem "Hotovo" jste právě potvrdili, že% S je součástí tohoto skupinového chatu.</v>
      </c>
      <c r="H1565" s="7" t="str">
        <f>IFERROR(__xludf.DUMMYFUNCTION("GOOGLETRANSLATE(C1565, ""en"", ""da"")"),"Du stoler allerede på denne kontakt. Ved at vælge \ 'DONE \', bekræfter du bare, at% s er en del af denne gruppe chat.")</f>
        <v>Du stoler allerede på denne kontakt. Ved at vælge \ 'DONE \', bekræfter du bare, at% s er en del af denne gruppe chat.</v>
      </c>
      <c r="I1565" s="1" t="s">
        <v>31987</v>
      </c>
      <c r="J1565" s="6" t="s">
        <v>132</v>
      </c>
      <c r="K1565" s="1" t="s">
        <v>31988</v>
      </c>
      <c r="L1565" s="7" t="str">
        <f>IFERROR(__xludf.DUMMYFUNCTION("GOOGLETRANSLATE(C1565, ""en"", ""fi"")"),"Luotat tähän yhteystietoon. Valitsemalla \ 'Done \' olet vain vahvistanut, että% s on osa tätä ryhmäkeskustelua.")</f>
        <v>Luotat tähän yhteystietoon. Valitsemalla \ 'Done \' olet vain vahvistanut, että% s on osa tätä ryhmäkeskustelua.</v>
      </c>
      <c r="M1565" s="1" t="s">
        <v>31989</v>
      </c>
      <c r="N1565" s="6" t="s">
        <v>31990</v>
      </c>
      <c r="O1565" s="6" t="s">
        <v>132</v>
      </c>
      <c r="P1565" s="1" t="s">
        <v>31991</v>
      </c>
      <c r="Q1565" s="7" t="str">
        <f>IFERROR(__xludf.DUMMYFUNCTION("GOOGLETRANSLATE(C1565, ""en"", ""in"")"),"Anda sudah mempercayai kontak ini. Dengan memilih \ 'selesai \' Anda hanya mengonfirmasi bahwa% S adalah bagian dari obrolan grup ini.")</f>
        <v>Anda sudah mempercayai kontak ini. Dengan memilih \ 'selesai \' Anda hanya mengonfirmasi bahwa% S adalah bagian dari obrolan grup ini.</v>
      </c>
      <c r="R1565" s="1" t="s">
        <v>31992</v>
      </c>
      <c r="S1565" s="6" t="s">
        <v>132</v>
      </c>
      <c r="T1565" s="1" t="s">
        <v>31993</v>
      </c>
      <c r="U1565" s="7" t="str">
        <f>IFERROR(__xludf.DUMMYFUNCTION("GOOGLETRANSLATE(C1565, ""en"", ""ko"")"),"이미이 연락처를 신뢰합니다. \ 'done \'을 선택하면 % s 이이 그룹 채팅의 일부임을 확인하는 것입니다.")</f>
        <v>이미이 연락처를 신뢰합니다. \ 'done \'을 선택하면 % s 이이 그룹 채팅의 일부임을 확인하는 것입니다.</v>
      </c>
      <c r="V1565" s="7" t="str">
        <f>IFERROR(__xludf.DUMMYFUNCTION("GOOGLETRANSLATE(C1565, ""en"", ""ms"")"),"Anda sudah mempercayai kenalan ini. Dengan memilih \ 'selesai \' anda hanya mengesahkan bahawa% s adalah sebahagian daripada sembang kumpulan ini.")</f>
        <v>Anda sudah mempercayai kenalan ini. Dengan memilih \ 'selesai \' anda hanya mengesahkan bahawa% s adalah sebahagian daripada sembang kumpulan ini.</v>
      </c>
      <c r="W1565" s="1" t="s">
        <v>31994</v>
      </c>
      <c r="X1565" s="7" t="str">
        <f>IFERROR(__xludf.DUMMYFUNCTION("GOOGLETRANSLATE(C1565, ""en"", ""no"")"),"Du stoler allerede på denne kontakten. Ved å velge \ 'ferdig \' bekrefter du bare at% s er en del av denne gruppen chat.")</f>
        <v>Du stoler allerede på denne kontakten. Ved å velge \ 'ferdig \' bekrefter du bare at% s er en del av denne gruppen chat.</v>
      </c>
      <c r="Y1565" s="1" t="s">
        <v>31995</v>
      </c>
      <c r="Z1565" s="1" t="s">
        <v>31996</v>
      </c>
      <c r="AA1565" s="21" t="s">
        <v>31997</v>
      </c>
      <c r="AB1565" s="1" t="s">
        <v>31998</v>
      </c>
      <c r="AC1565" s="7" t="str">
        <f>IFERROR(__xludf.DUMMYFUNCTION("GOOGLETRANSLATE(C1565, ""en"", ""sk"")"),"Túto kontakt dôverujete. Výberom ""DONE"" práve potvrdzujete, že% s je súčasťou tejto skupiny Chat.")</f>
        <v>Túto kontakt dôverujete. Výberom "DONE" práve potvrdzujete, že% s je súčasťou tejto skupiny Chat.</v>
      </c>
      <c r="AD1565" s="6" t="s">
        <v>132</v>
      </c>
      <c r="AE1565" s="7" t="str">
        <f>IFERROR(__xludf.DUMMYFUNCTION("GOOGLETRANSLATE(C1565, ""en"", ""sr"")"),"Већ верујете у овом контакту. Одабиром \ 'Готово \' само потврђујете да је% с део ове групе Цхат.")</f>
        <v>Већ верујете у овом контакту. Одабиром \ 'Готово \' само потврђујете да је% с део ове групе Цхат.</v>
      </c>
      <c r="AF1565" s="7" t="str">
        <f>IFERROR(__xludf.DUMMYFUNCTION("GOOGLETRANSLATE(C1565, ""en"", ""sv"")"),"Du litar redan på den här kontakten. Genom att välja \ 'Done \' bekräftar du bara att% s är en del av denna gruppchatt.")</f>
        <v>Du litar redan på den här kontakten. Genom att välja \ 'Done \' bekräftar du bara att% s är en del av denna gruppchatt.</v>
      </c>
      <c r="AG1565" s="6" t="s">
        <v>132</v>
      </c>
      <c r="AH1565" s="13" t="s">
        <v>31999</v>
      </c>
      <c r="AI1565" s="6" t="s">
        <v>132</v>
      </c>
      <c r="AJ1565" s="6" t="s">
        <v>132</v>
      </c>
      <c r="AK1565" s="7" t="str">
        <f>IFERROR(__xludf.DUMMYFUNCTION("GOOGLETRANSLATE(C1565, ""en"", ""zh"")"),"您已经相信此联系人。通过选择“完成”，您只是确认％s是此群组聊天的一部分。")</f>
        <v>您已经相信此联系人。通过选择“完成”，您只是确认％s是此群组聊天的一部分。</v>
      </c>
      <c r="AL1565" s="6" t="s">
        <v>132</v>
      </c>
    </row>
    <row r="1566" ht="15.75" hidden="1" customHeight="1">
      <c r="A1566" s="1" t="s">
        <v>38</v>
      </c>
      <c r="B1566" s="1" t="s">
        <v>32000</v>
      </c>
      <c r="C1566" s="1" t="s">
        <v>2258</v>
      </c>
      <c r="D1566" s="7" t="str">
        <f>IFERROR(__xludf.DUMMYFUNCTION("GOOGLETRANSLATE(C1566, ""en"", ""ar"")"),"صورة الدردشة.")</f>
        <v>صورة الدردشة.</v>
      </c>
      <c r="E1566" s="7" t="str">
        <f>IFERROR(__xludf.DUMMYFUNCTION("GOOGLETRANSLATE(C1566, ""en"", ""bg"")"),"Чат изображение.")</f>
        <v>Чат изображение.</v>
      </c>
      <c r="F1566" s="6" t="s">
        <v>132</v>
      </c>
      <c r="G1566" s="7" t="str">
        <f>IFERROR(__xludf.DUMMYFUNCTION("GOOGLETRANSLATE(C1566, ""en"", ""cs"")"),"Obraz chatu.")</f>
        <v>Obraz chatu.</v>
      </c>
      <c r="H1566" s="7" t="str">
        <f>IFERROR(__xludf.DUMMYFUNCTION("GOOGLETRANSLATE(C1566, ""en"", ""da"")"),"Chat billede.")</f>
        <v>Chat billede.</v>
      </c>
      <c r="I1566" s="1" t="s">
        <v>2259</v>
      </c>
      <c r="J1566" s="6" t="s">
        <v>132</v>
      </c>
      <c r="K1566" s="1" t="s">
        <v>2260</v>
      </c>
      <c r="L1566" s="7" t="str">
        <f>IFERROR(__xludf.DUMMYFUNCTION("GOOGLETRANSLATE(C1566, ""en"", ""fi"")"),"Chat-kuva.")</f>
        <v>Chat-kuva.</v>
      </c>
      <c r="M1566" s="1" t="s">
        <v>2261</v>
      </c>
      <c r="N1566" s="6" t="s">
        <v>132</v>
      </c>
      <c r="O1566" s="6" t="s">
        <v>132</v>
      </c>
      <c r="P1566" s="1" t="s">
        <v>2262</v>
      </c>
      <c r="Q1566" s="7" t="str">
        <f>IFERROR(__xludf.DUMMYFUNCTION("GOOGLETRANSLATE(C1566, ""en"", ""in"")"),"Gambar obrolan.")</f>
        <v>Gambar obrolan.</v>
      </c>
      <c r="R1566" s="7" t="str">
        <f>IFERROR(__xludf.DUMMYFUNCTION("GOOGLETRANSLATE(C1566, ""en"", ""it"")"),"Immagine della chat.")</f>
        <v>Immagine della chat.</v>
      </c>
      <c r="S1566" s="6" t="s">
        <v>132</v>
      </c>
      <c r="T1566" s="7" t="str">
        <f>IFERROR(__xludf.DUMMYFUNCTION("GOOGLETRANSLATE(C1566, ""en"", ""ja"")"),"チャット画像")</f>
        <v>チャット画像</v>
      </c>
      <c r="U1566" s="7" t="str">
        <f>IFERROR(__xludf.DUMMYFUNCTION("GOOGLETRANSLATE(C1566, ""en"", ""ko"")"),"채팅 이미지.")</f>
        <v>채팅 이미지.</v>
      </c>
      <c r="V1566" s="7" t="str">
        <f>IFERROR(__xludf.DUMMYFUNCTION("GOOGLETRANSLATE(C1566, ""en"", ""ms"")"),"Imej sembang.")</f>
        <v>Imej sembang.</v>
      </c>
      <c r="W1566" s="7" t="str">
        <f>IFERROR(__xludf.DUMMYFUNCTION("GOOGLETRANSLATE(C1566, ""en"", ""nl"")"),"Chat afbeelding.")</f>
        <v>Chat afbeelding.</v>
      </c>
      <c r="X1566" s="7" t="str">
        <f>IFERROR(__xludf.DUMMYFUNCTION("GOOGLETRANSLATE(C1566, ""en"", ""no"")"),"Chat-bilde.")</f>
        <v>Chat-bilde.</v>
      </c>
      <c r="Y1566" s="7" t="str">
        <f>IFERROR(__xludf.DUMMYFUNCTION("GOOGLETRANSLATE(C1566, ""en"", ""pl"")"),"Obraz czatu.")</f>
        <v>Obraz czatu.</v>
      </c>
      <c r="Z1566" s="7" t="str">
        <f>IFERROR(__xludf.DUMMYFUNCTION("GOOGLETRANSLATE(C1566, ""en"", ""pt"")"),"Imagem de bate-papo.")</f>
        <v>Imagem de bate-papo.</v>
      </c>
      <c r="AA1566" s="7" t="str">
        <f>IFERROR(__xludf.DUMMYFUNCTION("GOOGLETRANSLATE(C1566, ""en"", ""ro"")"),"Chat imagine.")</f>
        <v>Chat imagine.</v>
      </c>
      <c r="AB1566" s="1" t="s">
        <v>2263</v>
      </c>
      <c r="AC1566" s="7" t="str">
        <f>IFERROR(__xludf.DUMMYFUNCTION("GOOGLETRANSLATE(C1566, ""en"", ""sk"")"),"Obraz.")</f>
        <v>Obraz.</v>
      </c>
      <c r="AD1566" s="6" t="s">
        <v>132</v>
      </c>
      <c r="AE1566" s="1" t="s">
        <v>2264</v>
      </c>
      <c r="AF1566" s="7" t="str">
        <f>IFERROR(__xludf.DUMMYFUNCTION("GOOGLETRANSLATE(C1566, ""en"", ""sv"")"),"Chat bild.")</f>
        <v>Chat bild.</v>
      </c>
      <c r="AG1566" s="6" t="s">
        <v>132</v>
      </c>
      <c r="AH1566" s="7" t="str">
        <f>IFERROR(__xludf.DUMMYFUNCTION("GOOGLETRANSLATE(C1566, ""en"", ""tr"")"),"Sohbet görüntüsü.")</f>
        <v>Sohbet görüntüsü.</v>
      </c>
      <c r="AI1566" s="6" t="s">
        <v>132</v>
      </c>
      <c r="AJ1566" s="6" t="s">
        <v>132</v>
      </c>
      <c r="AK1566" s="7" t="str">
        <f>IFERROR(__xludf.DUMMYFUNCTION("GOOGLETRANSLATE(C1566, ""en"", ""zh"")"),"聊天图像。")</f>
        <v>聊天图像。</v>
      </c>
      <c r="AL1566" s="6" t="s">
        <v>132</v>
      </c>
    </row>
    <row r="1567" ht="15.75" customHeight="1">
      <c r="A1567" s="1" t="s">
        <v>127</v>
      </c>
      <c r="B1567" s="1" t="s">
        <v>32001</v>
      </c>
      <c r="C1567" s="1" t="s">
        <v>32002</v>
      </c>
      <c r="D1567" s="8" t="s">
        <v>32003</v>
      </c>
      <c r="E1567" s="1" t="s">
        <v>32002</v>
      </c>
      <c r="F1567" s="6" t="s">
        <v>132</v>
      </c>
      <c r="G1567" s="1" t="s">
        <v>32002</v>
      </c>
      <c r="H1567" s="1" t="s">
        <v>32002</v>
      </c>
      <c r="I1567" s="1" t="s">
        <v>32002</v>
      </c>
      <c r="J1567" s="6" t="s">
        <v>32002</v>
      </c>
      <c r="K1567" s="1" t="s">
        <v>32002</v>
      </c>
      <c r="L1567" s="1" t="s">
        <v>32002</v>
      </c>
      <c r="M1567" s="1" t="s">
        <v>32002</v>
      </c>
      <c r="N1567" s="6" t="s">
        <v>132</v>
      </c>
      <c r="O1567" s="6" t="s">
        <v>32004</v>
      </c>
      <c r="P1567" s="1" t="s">
        <v>32002</v>
      </c>
      <c r="Q1567" s="1" t="s">
        <v>32002</v>
      </c>
      <c r="R1567" s="1" t="s">
        <v>32002</v>
      </c>
      <c r="S1567" s="6" t="s">
        <v>32002</v>
      </c>
      <c r="T1567" s="1" t="s">
        <v>32002</v>
      </c>
      <c r="U1567" s="1" t="s">
        <v>32002</v>
      </c>
      <c r="V1567" s="1" t="s">
        <v>32002</v>
      </c>
      <c r="W1567" s="1" t="s">
        <v>32002</v>
      </c>
      <c r="X1567" s="1" t="s">
        <v>32002</v>
      </c>
      <c r="Y1567" s="1" t="s">
        <v>32002</v>
      </c>
      <c r="Z1567" s="1" t="s">
        <v>32002</v>
      </c>
      <c r="AA1567" s="7" t="str">
        <f>IFERROR(__xludf.DUMMYFUNCTION("GOOGLETRANSLATE(C1567, ""en"", ""ro"")"),"EBITDA.")</f>
        <v>EBITDA.</v>
      </c>
      <c r="AB1567" s="1" t="s">
        <v>32005</v>
      </c>
      <c r="AC1567" s="1" t="s">
        <v>32002</v>
      </c>
      <c r="AD1567" s="6" t="s">
        <v>32002</v>
      </c>
      <c r="AE1567" s="1" t="s">
        <v>32002</v>
      </c>
      <c r="AF1567" s="1" t="s">
        <v>32002</v>
      </c>
      <c r="AG1567" s="6" t="s">
        <v>32006</v>
      </c>
      <c r="AH1567" s="1" t="s">
        <v>32007</v>
      </c>
      <c r="AI1567" s="6" t="s">
        <v>132</v>
      </c>
      <c r="AJ1567" s="6" t="s">
        <v>32002</v>
      </c>
      <c r="AK1567" s="1" t="s">
        <v>32008</v>
      </c>
      <c r="AL1567" s="6" t="s">
        <v>32009</v>
      </c>
    </row>
    <row r="1568" ht="15.75" customHeight="1">
      <c r="A1568" s="1" t="s">
        <v>127</v>
      </c>
      <c r="B1568" s="1" t="s">
        <v>32010</v>
      </c>
      <c r="C1568" s="1" t="s">
        <v>32011</v>
      </c>
      <c r="D1568" s="8" t="s">
        <v>32012</v>
      </c>
      <c r="E1568" s="1" t="s">
        <v>32013</v>
      </c>
      <c r="F1568" s="6" t="s">
        <v>132</v>
      </c>
      <c r="G1568" s="1" t="s">
        <v>32014</v>
      </c>
      <c r="H1568" s="1" t="s">
        <v>32015</v>
      </c>
      <c r="I1568" s="1" t="s">
        <v>32016</v>
      </c>
      <c r="J1568" s="6" t="s">
        <v>32017</v>
      </c>
      <c r="K1568" s="1" t="s">
        <v>32018</v>
      </c>
      <c r="L1568" s="1" t="s">
        <v>32019</v>
      </c>
      <c r="M1568" s="1" t="s">
        <v>32020</v>
      </c>
      <c r="N1568" s="6" t="s">
        <v>132</v>
      </c>
      <c r="O1568" s="6" t="s">
        <v>32021</v>
      </c>
      <c r="P1568" s="1" t="s">
        <v>32011</v>
      </c>
      <c r="Q1568" s="1" t="s">
        <v>32022</v>
      </c>
      <c r="R1568" s="1" t="s">
        <v>32023</v>
      </c>
      <c r="S1568" s="10" t="s">
        <v>32024</v>
      </c>
      <c r="T1568" s="1" t="s">
        <v>32025</v>
      </c>
      <c r="U1568" s="1" t="s">
        <v>32026</v>
      </c>
      <c r="V1568" s="1" t="s">
        <v>32027</v>
      </c>
      <c r="W1568" s="1" t="s">
        <v>32028</v>
      </c>
      <c r="X1568" s="1" t="s">
        <v>32029</v>
      </c>
      <c r="Y1568" s="1" t="s">
        <v>32030</v>
      </c>
      <c r="Z1568" s="1" t="s">
        <v>32031</v>
      </c>
      <c r="AA1568" s="7" t="str">
        <f>IFERROR(__xludf.DUMMYFUNCTION("GOOGLETRANSLATE(C1568, ""en"", ""ro"")"),"Reveniți la capitalul propriu")</f>
        <v>Reveniți la capitalul propriu</v>
      </c>
      <c r="AB1568" s="1" t="s">
        <v>32032</v>
      </c>
      <c r="AC1568" s="1" t="s">
        <v>32033</v>
      </c>
      <c r="AD1568" s="6" t="s">
        <v>32034</v>
      </c>
      <c r="AE1568" s="1" t="s">
        <v>32035</v>
      </c>
      <c r="AF1568" s="1" t="s">
        <v>32036</v>
      </c>
      <c r="AG1568" s="6" t="s">
        <v>32037</v>
      </c>
      <c r="AH1568" s="1" t="s">
        <v>32038</v>
      </c>
      <c r="AI1568" s="6" t="s">
        <v>132</v>
      </c>
      <c r="AJ1568" s="6" t="s">
        <v>32039</v>
      </c>
      <c r="AK1568" s="1" t="s">
        <v>32040</v>
      </c>
      <c r="AL1568" s="6" t="s">
        <v>132</v>
      </c>
    </row>
    <row r="1569" ht="15.75" customHeight="1">
      <c r="A1569" s="1" t="s">
        <v>127</v>
      </c>
      <c r="B1569" s="1" t="s">
        <v>32041</v>
      </c>
      <c r="C1569" s="1" t="s">
        <v>24728</v>
      </c>
      <c r="D1569" s="8" t="s">
        <v>24729</v>
      </c>
      <c r="E1569" s="1" t="s">
        <v>24730</v>
      </c>
      <c r="F1569" s="6" t="s">
        <v>132</v>
      </c>
      <c r="G1569" s="1" t="s">
        <v>24731</v>
      </c>
      <c r="H1569" s="1" t="s">
        <v>24732</v>
      </c>
      <c r="I1569" s="1" t="s">
        <v>32042</v>
      </c>
      <c r="J1569" s="6" t="s">
        <v>24734</v>
      </c>
      <c r="K1569" s="1" t="s">
        <v>24735</v>
      </c>
      <c r="L1569" s="1" t="s">
        <v>24736</v>
      </c>
      <c r="M1569" s="1" t="s">
        <v>24737</v>
      </c>
      <c r="N1569" s="6" t="s">
        <v>132</v>
      </c>
      <c r="O1569" s="6" t="s">
        <v>24738</v>
      </c>
      <c r="P1569" s="1" t="s">
        <v>24739</v>
      </c>
      <c r="Q1569" s="1" t="s">
        <v>24740</v>
      </c>
      <c r="R1569" s="1" t="s">
        <v>32043</v>
      </c>
      <c r="S1569" s="10" t="s">
        <v>24742</v>
      </c>
      <c r="T1569" s="1" t="s">
        <v>24743</v>
      </c>
      <c r="U1569" s="1" t="s">
        <v>24744</v>
      </c>
      <c r="V1569" s="1" t="s">
        <v>24740</v>
      </c>
      <c r="W1569" s="1" t="s">
        <v>24745</v>
      </c>
      <c r="X1569" s="1" t="s">
        <v>24746</v>
      </c>
      <c r="Y1569" s="1" t="s">
        <v>32044</v>
      </c>
      <c r="Z1569" s="1" t="s">
        <v>24748</v>
      </c>
      <c r="AA1569" s="7" t="str">
        <f>IFERROR(__xludf.DUMMYFUNCTION("GOOGLETRANSLATE(C1569, ""en"", ""ro"")"),"Acțiuni")</f>
        <v>Acțiuni</v>
      </c>
      <c r="AB1569" s="1" t="s">
        <v>24730</v>
      </c>
      <c r="AC1569" s="1" t="s">
        <v>24750</v>
      </c>
      <c r="AD1569" s="6" t="s">
        <v>24751</v>
      </c>
      <c r="AE1569" s="1" t="s">
        <v>32045</v>
      </c>
      <c r="AF1569" s="1" t="s">
        <v>24732</v>
      </c>
      <c r="AG1569" s="6" t="s">
        <v>24753</v>
      </c>
      <c r="AH1569" s="1" t="s">
        <v>32046</v>
      </c>
      <c r="AI1569" s="6" t="s">
        <v>132</v>
      </c>
      <c r="AJ1569" s="6" t="s">
        <v>24755</v>
      </c>
      <c r="AK1569" s="1" t="s">
        <v>26449</v>
      </c>
      <c r="AL1569" s="6" t="s">
        <v>132</v>
      </c>
    </row>
    <row r="1570" ht="15.75" customHeight="1">
      <c r="A1570" s="1" t="s">
        <v>127</v>
      </c>
      <c r="B1570" s="1" t="s">
        <v>32047</v>
      </c>
      <c r="C1570" s="12" t="s">
        <v>132</v>
      </c>
      <c r="D1570" s="8" t="s">
        <v>32048</v>
      </c>
      <c r="E1570" s="7" t="str">
        <f>IFERROR(__xludf.DUMMYFUNCTION("GOOGLETRANSLATE(C1570, ""en"", ""bg"")"),"#VALUE!")</f>
        <v>#VALUE!</v>
      </c>
      <c r="F1570" s="6" t="s">
        <v>132</v>
      </c>
      <c r="G1570" s="7" t="str">
        <f>IFERROR(__xludf.DUMMYFUNCTION("GOOGLETRANSLATE(C1570, ""en"", ""cs"")"),"#VALUE!")</f>
        <v>#VALUE!</v>
      </c>
      <c r="H1570" s="7" t="str">
        <f>IFERROR(__xludf.DUMMYFUNCTION("GOOGLETRANSLATE(C1570, ""en"", ""da"")"),"#VALUE!")</f>
        <v>#VALUE!</v>
      </c>
      <c r="I1570" s="7" t="str">
        <f>IFERROR(__xludf.DUMMYFUNCTION("GOOGLETRANSLATE(C1570, ""en"", ""de"")"),"#VALUE!")</f>
        <v>#VALUE!</v>
      </c>
      <c r="J1570" s="6" t="s">
        <v>132</v>
      </c>
      <c r="K1570" s="7" t="str">
        <f>IFERROR(__xludf.DUMMYFUNCTION("GOOGLETRANSLATE(C1570, ""en"", ""es"")"),"#VALUE!")</f>
        <v>#VALUE!</v>
      </c>
      <c r="L1570" s="7" t="str">
        <f>IFERROR(__xludf.DUMMYFUNCTION("GOOGLETRANSLATE(C1570, ""en"", ""fi"")"),"#VALUE!")</f>
        <v>#VALUE!</v>
      </c>
      <c r="M1570" s="7" t="str">
        <f>IFERROR(__xludf.DUMMYFUNCTION("GOOGLETRANSLATE(C1570, ""en"", ""fr"")"),"#VALUE!")</f>
        <v>#VALUE!</v>
      </c>
      <c r="N1570" s="6" t="s">
        <v>132</v>
      </c>
      <c r="O1570" s="6" t="s">
        <v>132</v>
      </c>
      <c r="P1570" s="7" t="str">
        <f>IFERROR(__xludf.DUMMYFUNCTION("GOOGLETRANSLATE(C1570, ""en"", ""hu"")"),"#VALUE!")</f>
        <v>#VALUE!</v>
      </c>
      <c r="Q1570" s="7" t="str">
        <f>IFERROR(__xludf.DUMMYFUNCTION("GOOGLETRANSLATE(C1570, ""en"", ""in"")"),"#VALUE!")</f>
        <v>#VALUE!</v>
      </c>
      <c r="R1570" s="7" t="str">
        <f>IFERROR(__xludf.DUMMYFUNCTION("GOOGLETRANSLATE(C1570, ""en"", ""it"")"),"#VALUE!")</f>
        <v>#VALUE!</v>
      </c>
      <c r="S1570" s="6" t="s">
        <v>132</v>
      </c>
      <c r="T1570" s="7" t="str">
        <f>IFERROR(__xludf.DUMMYFUNCTION("GOOGLETRANSLATE(C1570, ""en"", ""ja"")"),"#VALUE!")</f>
        <v>#VALUE!</v>
      </c>
      <c r="U1570" s="1" t="s">
        <v>7047</v>
      </c>
      <c r="V1570" s="7" t="str">
        <f>IFERROR(__xludf.DUMMYFUNCTION("GOOGLETRANSLATE(C1570, ""en"", ""ms"")"),"#VALUE!")</f>
        <v>#VALUE!</v>
      </c>
      <c r="W1570" s="7" t="str">
        <f>IFERROR(__xludf.DUMMYFUNCTION("GOOGLETRANSLATE(C1570, ""en"", ""nl"")"),"#VALUE!")</f>
        <v>#VALUE!</v>
      </c>
      <c r="X1570" s="7" t="str">
        <f>IFERROR(__xludf.DUMMYFUNCTION("GOOGLETRANSLATE(C1570, ""en"", ""no"")"),"#VALUE!")</f>
        <v>#VALUE!</v>
      </c>
      <c r="Y1570" s="7" t="str">
        <f>IFERROR(__xludf.DUMMYFUNCTION("GOOGLETRANSLATE(C1570, ""en"", ""pl"")"),"#VALUE!")</f>
        <v>#VALUE!</v>
      </c>
      <c r="Z1570" s="7" t="str">
        <f>IFERROR(__xludf.DUMMYFUNCTION("GOOGLETRANSLATE(C1570, ""en"", ""pt"")"),"#VALUE!")</f>
        <v>#VALUE!</v>
      </c>
      <c r="AA1570" s="7" t="str">
        <f>IFERROR(__xludf.DUMMYFUNCTION("GOOGLETRANSLATE(C1570, ""en"", ""ro"")"),"#VALUE!")</f>
        <v>#VALUE!</v>
      </c>
      <c r="AB1570" s="7" t="str">
        <f>IFERROR(__xludf.DUMMYFUNCTION("GOOGLETRANSLATE(C1570, ""en"", ""ru"")"),"#VALUE!")</f>
        <v>#VALUE!</v>
      </c>
      <c r="AC1570" s="7" t="str">
        <f>IFERROR(__xludf.DUMMYFUNCTION("GOOGLETRANSLATE(C1570, ""en"", ""sk"")"),"#VALUE!")</f>
        <v>#VALUE!</v>
      </c>
      <c r="AD1570" s="6" t="s">
        <v>132</v>
      </c>
      <c r="AE1570" s="7" t="str">
        <f>IFERROR(__xludf.DUMMYFUNCTION("GOOGLETRANSLATE(C1570, ""en"", ""sr"")"),"#VALUE!")</f>
        <v>#VALUE!</v>
      </c>
      <c r="AF1570" s="7" t="str">
        <f>IFERROR(__xludf.DUMMYFUNCTION("GOOGLETRANSLATE(C1570, ""en"", ""sv"")"),"#VALUE!")</f>
        <v>#VALUE!</v>
      </c>
      <c r="AG1570" s="6" t="s">
        <v>132</v>
      </c>
      <c r="AH1570" s="7" t="str">
        <f>IFERROR(__xludf.DUMMYFUNCTION("GOOGLETRANSLATE(C1570, ""en"", ""tr"")"),"#VALUE!")</f>
        <v>#VALUE!</v>
      </c>
      <c r="AI1570" s="6" t="s">
        <v>132</v>
      </c>
      <c r="AJ1570" s="6" t="s">
        <v>132</v>
      </c>
      <c r="AK1570" s="7" t="str">
        <f>IFERROR(__xludf.DUMMYFUNCTION("GOOGLETRANSLATE(C1570, ""en"", ""zh"")"),"#VALUE!")</f>
        <v>#VALUE!</v>
      </c>
      <c r="AL1570" s="6" t="s">
        <v>132</v>
      </c>
    </row>
    <row r="1571" ht="15.75" hidden="1" customHeight="1">
      <c r="A1571" s="1" t="s">
        <v>38</v>
      </c>
      <c r="B1571" s="1" t="s">
        <v>32049</v>
      </c>
      <c r="C1571" s="1" t="s">
        <v>32050</v>
      </c>
      <c r="D1571" s="7" t="str">
        <f>IFERROR(__xludf.DUMMYFUNCTION("GOOGLETRANSLATE(C1571, ""en"", ""ar"")"),"أهمية، الصوت، تهتز")</f>
        <v>أهمية، الصوت، تهتز</v>
      </c>
      <c r="E1571" s="1" t="s">
        <v>32051</v>
      </c>
      <c r="F1571" s="6" t="s">
        <v>132</v>
      </c>
      <c r="G1571" s="7" t="str">
        <f>IFERROR(__xludf.DUMMYFUNCTION("GOOGLETRANSLATE(C1571, ""en"", ""cs"")"),"Význam, zvuk, vibrovat")</f>
        <v>Význam, zvuk, vibrovat</v>
      </c>
      <c r="H1571" s="7" t="str">
        <f>IFERROR(__xludf.DUMMYFUNCTION("GOOGLETRANSLATE(C1571, ""en"", ""da"")"),"Betydning, lyd, vibrere")</f>
        <v>Betydning, lyd, vibrere</v>
      </c>
      <c r="I1571" s="1" t="s">
        <v>32052</v>
      </c>
      <c r="J1571" s="6" t="s">
        <v>132</v>
      </c>
      <c r="K1571" s="1" t="s">
        <v>32053</v>
      </c>
      <c r="L1571" s="7" t="str">
        <f>IFERROR(__xludf.DUMMYFUNCTION("GOOGLETRANSLATE(C1571, ""en"", ""fi"")"),"Merkitys, ääni, värähtelevät")</f>
        <v>Merkitys, ääni, värähtelevät</v>
      </c>
      <c r="M1571" s="1" t="s">
        <v>32054</v>
      </c>
      <c r="N1571" s="6" t="s">
        <v>32055</v>
      </c>
      <c r="O1571" s="6" t="s">
        <v>132</v>
      </c>
      <c r="P1571" s="1" t="s">
        <v>32056</v>
      </c>
      <c r="Q1571" s="7" t="str">
        <f>IFERROR(__xludf.DUMMYFUNCTION("GOOGLETRANSLATE(C1571, ""en"", ""in"")"),"Pentingnya, Suara, Getar")</f>
        <v>Pentingnya, Suara, Getar</v>
      </c>
      <c r="R1571" s="1" t="s">
        <v>32057</v>
      </c>
      <c r="S1571" s="6" t="s">
        <v>132</v>
      </c>
      <c r="T1571" s="7" t="str">
        <f>IFERROR(__xludf.DUMMYFUNCTION("GOOGLETRANSLATE(C1571, ""en"", ""ja"")"),"重要性、音、バイブレート")</f>
        <v>重要性、音、バイブレート</v>
      </c>
      <c r="U1571" s="7" t="str">
        <f>IFERROR(__xludf.DUMMYFUNCTION("GOOGLETRANSLATE(C1571, ""en"", ""ko"")"),"중요도, 소리, 진동")</f>
        <v>중요도, 소리, 진동</v>
      </c>
      <c r="V1571" s="7" t="str">
        <f>IFERROR(__xludf.DUMMYFUNCTION("GOOGLETRANSLATE(C1571, ""en"", ""ms"")"),"Kepentingan, bunyi, bergetar")</f>
        <v>Kepentingan, bunyi, bergetar</v>
      </c>
      <c r="W1571" s="1" t="s">
        <v>32058</v>
      </c>
      <c r="X1571" s="7" t="str">
        <f>IFERROR(__xludf.DUMMYFUNCTION("GOOGLETRANSLATE(C1571, ""en"", ""no"")"),"Betydning, lyd, vibrere")</f>
        <v>Betydning, lyd, vibrere</v>
      </c>
      <c r="Y1571" s="1" t="s">
        <v>32059</v>
      </c>
      <c r="Z1571" s="7" t="str">
        <f>IFERROR(__xludf.DUMMYFUNCTION("GOOGLETRANSLATE(C1571, ""en"", ""pt"")"),"Importância, som, vibrar")</f>
        <v>Importância, som, vibrar</v>
      </c>
      <c r="AA1571" s="7" t="str">
        <f>IFERROR(__xludf.DUMMYFUNCTION("GOOGLETRANSLATE(C1571, ""en"", ""ro"")"),"Importanță, sunet, vibrează")</f>
        <v>Importanță, sunet, vibrează</v>
      </c>
      <c r="AB1571" s="7" t="str">
        <f>IFERROR(__xludf.DUMMYFUNCTION("GOOGLETRANSLATE(C1571, ""en"", ""ru"")"),"Важность, звук, вибрировать")</f>
        <v>Важность, звук, вибрировать</v>
      </c>
      <c r="AC1571" s="7" t="str">
        <f>IFERROR(__xludf.DUMMYFUNCTION("GOOGLETRANSLATE(C1571, ""en"", ""sk"")"),"Dôležitosť, zvuk, vibráciu")</f>
        <v>Dôležitosť, zvuk, vibráciu</v>
      </c>
      <c r="AD1571" s="6" t="s">
        <v>132</v>
      </c>
      <c r="AE1571" s="7" t="str">
        <f>IFERROR(__xludf.DUMMYFUNCTION("GOOGLETRANSLATE(C1571, ""en"", ""sr"")"),"Значај, звук, вибрирај")</f>
        <v>Значај, звук, вибрирај</v>
      </c>
      <c r="AF1571" s="7" t="str">
        <f>IFERROR(__xludf.DUMMYFUNCTION("GOOGLETRANSLATE(C1571, ""en"", ""sv"")"),"Betydelse, ljud, vibrera")</f>
        <v>Betydelse, ljud, vibrera</v>
      </c>
      <c r="AG1571" s="6" t="s">
        <v>132</v>
      </c>
      <c r="AH1571" s="7" t="str">
        <f>IFERROR(__xludf.DUMMYFUNCTION("GOOGLETRANSLATE(C1571, ""en"", ""tr"")"),"Önem, ses, titreşim")</f>
        <v>Önem, ses, titreşim</v>
      </c>
      <c r="AI1571" s="6" t="s">
        <v>132</v>
      </c>
      <c r="AJ1571" s="6" t="s">
        <v>132</v>
      </c>
      <c r="AK1571" s="7" t="str">
        <f>IFERROR(__xludf.DUMMYFUNCTION("GOOGLETRANSLATE(C1571, ""en"", ""zh"")"),"重要性，声音，振动")</f>
        <v>重要性，声音，振动</v>
      </c>
      <c r="AL1571" s="6" t="s">
        <v>132</v>
      </c>
    </row>
    <row r="1572" ht="15.75" customHeight="1">
      <c r="A1572" s="1" t="s">
        <v>127</v>
      </c>
      <c r="B1572" s="1" t="s">
        <v>32060</v>
      </c>
      <c r="C1572" s="1" t="s">
        <v>32061</v>
      </c>
      <c r="D1572" s="8" t="s">
        <v>32062</v>
      </c>
      <c r="E1572" s="1" t="s">
        <v>32063</v>
      </c>
      <c r="F1572" s="6" t="s">
        <v>132</v>
      </c>
      <c r="G1572" s="1" t="s">
        <v>32064</v>
      </c>
      <c r="H1572" s="1" t="s">
        <v>32065</v>
      </c>
      <c r="I1572" s="1" t="s">
        <v>32066</v>
      </c>
      <c r="J1572" s="6" t="s">
        <v>32067</v>
      </c>
      <c r="K1572" s="1" t="s">
        <v>32068</v>
      </c>
      <c r="L1572" s="1" t="s">
        <v>32069</v>
      </c>
      <c r="M1572" s="1" t="s">
        <v>32070</v>
      </c>
      <c r="N1572" s="6" t="s">
        <v>132</v>
      </c>
      <c r="O1572" s="6" t="s">
        <v>32071</v>
      </c>
      <c r="P1572" s="1" t="s">
        <v>32072</v>
      </c>
      <c r="Q1572" s="1" t="s">
        <v>32073</v>
      </c>
      <c r="R1572" s="1" t="s">
        <v>32074</v>
      </c>
      <c r="S1572" s="10" t="s">
        <v>32075</v>
      </c>
      <c r="T1572" s="1" t="s">
        <v>32076</v>
      </c>
      <c r="U1572" s="1" t="s">
        <v>32077</v>
      </c>
      <c r="V1572" s="1" t="s">
        <v>32078</v>
      </c>
      <c r="W1572" s="1" t="s">
        <v>32079</v>
      </c>
      <c r="X1572" s="1" t="s">
        <v>32080</v>
      </c>
      <c r="Y1572" s="1" t="s">
        <v>32081</v>
      </c>
      <c r="Z1572" s="1" t="s">
        <v>32082</v>
      </c>
      <c r="AA1572" s="7" t="str">
        <f>IFERROR(__xludf.DUMMYFUNCTION("GOOGLETRANSLATE(C1572, ""en"", ""ro"")"),"Parola gresita.")</f>
        <v>Parola gresita.</v>
      </c>
      <c r="AB1572" s="1" t="s">
        <v>32083</v>
      </c>
      <c r="AC1572" s="1" t="s">
        <v>32084</v>
      </c>
      <c r="AD1572" s="6" t="s">
        <v>32085</v>
      </c>
      <c r="AE1572" s="1" t="s">
        <v>32086</v>
      </c>
      <c r="AF1572" s="1" t="s">
        <v>32087</v>
      </c>
      <c r="AG1572" s="6" t="s">
        <v>32088</v>
      </c>
      <c r="AH1572" s="1" t="s">
        <v>32089</v>
      </c>
      <c r="AI1572" s="6" t="s">
        <v>132</v>
      </c>
      <c r="AJ1572" s="6" t="s">
        <v>32090</v>
      </c>
      <c r="AK1572" s="1" t="s">
        <v>32091</v>
      </c>
      <c r="AL1572" s="6" t="s">
        <v>32092</v>
      </c>
    </row>
    <row r="1573" ht="15.75" customHeight="1">
      <c r="A1573" s="1" t="s">
        <v>127</v>
      </c>
      <c r="B1573" s="1" t="s">
        <v>32093</v>
      </c>
      <c r="C1573" s="1" t="s">
        <v>32094</v>
      </c>
      <c r="D1573" s="8" t="s">
        <v>32095</v>
      </c>
      <c r="E1573" s="1" t="s">
        <v>32096</v>
      </c>
      <c r="F1573" s="6" t="s">
        <v>132</v>
      </c>
      <c r="G1573" s="1" t="s">
        <v>32097</v>
      </c>
      <c r="H1573" s="1" t="s">
        <v>32098</v>
      </c>
      <c r="I1573" s="1" t="s">
        <v>32099</v>
      </c>
      <c r="J1573" s="6" t="s">
        <v>32100</v>
      </c>
      <c r="K1573" s="1" t="s">
        <v>32101</v>
      </c>
      <c r="L1573" s="1" t="s">
        <v>32102</v>
      </c>
      <c r="M1573" s="1" t="s">
        <v>32103</v>
      </c>
      <c r="N1573" s="6" t="s">
        <v>132</v>
      </c>
      <c r="O1573" s="6" t="s">
        <v>32104</v>
      </c>
      <c r="P1573" s="1" t="s">
        <v>32105</v>
      </c>
      <c r="Q1573" s="1" t="s">
        <v>32106</v>
      </c>
      <c r="R1573" s="1" t="s">
        <v>32107</v>
      </c>
      <c r="S1573" s="10" t="s">
        <v>32108</v>
      </c>
      <c r="T1573" s="1" t="s">
        <v>32109</v>
      </c>
      <c r="U1573" s="1" t="s">
        <v>32110</v>
      </c>
      <c r="V1573" s="1" t="s">
        <v>32111</v>
      </c>
      <c r="W1573" s="1" t="s">
        <v>32112</v>
      </c>
      <c r="X1573" s="1" t="s">
        <v>32113</v>
      </c>
      <c r="Y1573" s="1" t="s">
        <v>32114</v>
      </c>
      <c r="Z1573" s="1" t="s">
        <v>32115</v>
      </c>
      <c r="AA1573" s="7" t="str">
        <f>IFERROR(__xludf.DUMMYFUNCTION("GOOGLETRANSLATE(C1573, ""en"", ""ro"")"),"Creați un portofoliu nou")</f>
        <v>Creați un portofoliu nou</v>
      </c>
      <c r="AB1573" s="1" t="s">
        <v>32116</v>
      </c>
      <c r="AC1573" s="1" t="s">
        <v>32117</v>
      </c>
      <c r="AD1573" s="6" t="s">
        <v>32118</v>
      </c>
      <c r="AE1573" s="1" t="s">
        <v>32119</v>
      </c>
      <c r="AF1573" s="1" t="s">
        <v>32120</v>
      </c>
      <c r="AG1573" s="6" t="s">
        <v>32121</v>
      </c>
      <c r="AH1573" s="1" t="s">
        <v>32122</v>
      </c>
      <c r="AI1573" s="6" t="s">
        <v>132</v>
      </c>
      <c r="AJ1573" s="6" t="s">
        <v>32123</v>
      </c>
      <c r="AK1573" s="1" t="s">
        <v>32124</v>
      </c>
      <c r="AL1573" s="6" t="s">
        <v>32125</v>
      </c>
    </row>
    <row r="1574" ht="15.75" customHeight="1">
      <c r="A1574" s="1" t="s">
        <v>127</v>
      </c>
      <c r="B1574" s="1" t="s">
        <v>32126</v>
      </c>
      <c r="C1574" s="1" t="s">
        <v>32127</v>
      </c>
      <c r="D1574" s="8" t="s">
        <v>5556</v>
      </c>
      <c r="E1574" s="1" t="s">
        <v>5557</v>
      </c>
      <c r="F1574" s="6" t="s">
        <v>132</v>
      </c>
      <c r="G1574" s="1" t="s">
        <v>32127</v>
      </c>
      <c r="H1574" s="1" t="s">
        <v>32127</v>
      </c>
      <c r="I1574" s="1" t="s">
        <v>32127</v>
      </c>
      <c r="J1574" s="6" t="s">
        <v>32127</v>
      </c>
      <c r="K1574" s="1" t="s">
        <v>32127</v>
      </c>
      <c r="L1574" s="1" t="s">
        <v>32128</v>
      </c>
      <c r="M1574" s="1" t="s">
        <v>32127</v>
      </c>
      <c r="N1574" s="6" t="s">
        <v>132</v>
      </c>
      <c r="O1574" s="6" t="s">
        <v>32129</v>
      </c>
      <c r="P1574" s="1" t="s">
        <v>32130</v>
      </c>
      <c r="Q1574" s="1" t="s">
        <v>32131</v>
      </c>
      <c r="R1574" s="1" t="s">
        <v>32127</v>
      </c>
      <c r="S1574" s="10" t="s">
        <v>5569</v>
      </c>
      <c r="T1574" s="1" t="s">
        <v>32127</v>
      </c>
      <c r="U1574" s="1" t="s">
        <v>5571</v>
      </c>
      <c r="V1574" s="1" t="s">
        <v>32131</v>
      </c>
      <c r="W1574" s="1" t="s">
        <v>32127</v>
      </c>
      <c r="X1574" s="1" t="s">
        <v>32127</v>
      </c>
      <c r="Y1574" s="1" t="s">
        <v>32127</v>
      </c>
      <c r="Z1574" s="1" t="s">
        <v>5574</v>
      </c>
      <c r="AA1574" s="7" t="str">
        <f>IFERROR(__xludf.DUMMYFUNCTION("GOOGLETRANSLATE(C1574, ""en"", ""ro"")"),"1m.")</f>
        <v>1m.</v>
      </c>
      <c r="AB1574" s="1" t="s">
        <v>32132</v>
      </c>
      <c r="AC1574" s="1" t="s">
        <v>32127</v>
      </c>
      <c r="AD1574" s="6" t="s">
        <v>32127</v>
      </c>
      <c r="AE1574" s="1" t="s">
        <v>32127</v>
      </c>
      <c r="AF1574" s="1" t="s">
        <v>32127</v>
      </c>
      <c r="AG1574" s="6" t="s">
        <v>5580</v>
      </c>
      <c r="AH1574" s="1" t="s">
        <v>22963</v>
      </c>
      <c r="AI1574" s="6" t="s">
        <v>132</v>
      </c>
      <c r="AJ1574" s="6" t="s">
        <v>32133</v>
      </c>
      <c r="AK1574" s="1" t="s">
        <v>5583</v>
      </c>
      <c r="AL1574" s="6" t="s">
        <v>5584</v>
      </c>
    </row>
    <row r="1575" ht="15.75" customHeight="1">
      <c r="A1575" s="1" t="s">
        <v>127</v>
      </c>
      <c r="B1575" s="1" t="s">
        <v>32134</v>
      </c>
      <c r="C1575" s="1" t="s">
        <v>32135</v>
      </c>
      <c r="D1575" s="8" t="s">
        <v>32136</v>
      </c>
      <c r="E1575" s="1" t="s">
        <v>32137</v>
      </c>
      <c r="F1575" s="6" t="s">
        <v>132</v>
      </c>
      <c r="G1575" s="1" t="s">
        <v>32138</v>
      </c>
      <c r="H1575" s="1" t="s">
        <v>32139</v>
      </c>
      <c r="I1575" s="1" t="s">
        <v>32140</v>
      </c>
      <c r="J1575" s="6" t="s">
        <v>32141</v>
      </c>
      <c r="K1575" s="1" t="s">
        <v>32142</v>
      </c>
      <c r="L1575" s="1" t="s">
        <v>32143</v>
      </c>
      <c r="M1575" s="1" t="s">
        <v>32144</v>
      </c>
      <c r="N1575" s="6" t="s">
        <v>132</v>
      </c>
      <c r="O1575" s="6" t="s">
        <v>32145</v>
      </c>
      <c r="P1575" s="1" t="s">
        <v>32146</v>
      </c>
      <c r="Q1575" s="1" t="s">
        <v>32147</v>
      </c>
      <c r="R1575" s="1" t="s">
        <v>20117</v>
      </c>
      <c r="S1575" s="10" t="s">
        <v>32148</v>
      </c>
      <c r="T1575" s="1" t="s">
        <v>32149</v>
      </c>
      <c r="U1575" s="1" t="s">
        <v>32150</v>
      </c>
      <c r="V1575" s="1" t="s">
        <v>32147</v>
      </c>
      <c r="W1575" s="1" t="s">
        <v>32151</v>
      </c>
      <c r="X1575" s="1" t="s">
        <v>32152</v>
      </c>
      <c r="Y1575" s="1" t="s">
        <v>32153</v>
      </c>
      <c r="Z1575" s="1" t="s">
        <v>32154</v>
      </c>
      <c r="AA1575" s="7" t="str">
        <f>IFERROR(__xludf.DUMMYFUNCTION("GOOGLETRANSLATE(C1575, ""en"", ""ro"")"),"Introduceți numele dvs. de utilizator.")</f>
        <v>Introduceți numele dvs. de utilizator.</v>
      </c>
      <c r="AB1575" s="1" t="s">
        <v>32155</v>
      </c>
      <c r="AC1575" s="1" t="s">
        <v>32156</v>
      </c>
      <c r="AD1575" s="6" t="s">
        <v>32157</v>
      </c>
      <c r="AE1575" s="1" t="s">
        <v>32158</v>
      </c>
      <c r="AF1575" s="1" t="s">
        <v>32159</v>
      </c>
      <c r="AG1575" s="6" t="s">
        <v>32160</v>
      </c>
      <c r="AH1575" s="1" t="s">
        <v>32161</v>
      </c>
      <c r="AI1575" s="6" t="s">
        <v>132</v>
      </c>
      <c r="AJ1575" s="6" t="s">
        <v>32162</v>
      </c>
      <c r="AK1575" s="1" t="s">
        <v>32163</v>
      </c>
      <c r="AL1575" s="6" t="s">
        <v>32164</v>
      </c>
    </row>
    <row r="1576" ht="15.75" customHeight="1">
      <c r="A1576" s="1" t="s">
        <v>127</v>
      </c>
      <c r="B1576" s="1" t="s">
        <v>32165</v>
      </c>
      <c r="C1576" s="1" t="s">
        <v>32166</v>
      </c>
      <c r="D1576" s="8" t="s">
        <v>32167</v>
      </c>
      <c r="E1576" s="1" t="s">
        <v>32168</v>
      </c>
      <c r="F1576" s="6" t="s">
        <v>132</v>
      </c>
      <c r="G1576" s="1" t="s">
        <v>32169</v>
      </c>
      <c r="H1576" s="1" t="s">
        <v>32170</v>
      </c>
      <c r="I1576" s="1" t="s">
        <v>32171</v>
      </c>
      <c r="J1576" s="6" t="s">
        <v>32172</v>
      </c>
      <c r="K1576" s="1" t="s">
        <v>32173</v>
      </c>
      <c r="L1576" s="1" t="s">
        <v>32174</v>
      </c>
      <c r="M1576" s="1" t="s">
        <v>32175</v>
      </c>
      <c r="N1576" s="6" t="s">
        <v>132</v>
      </c>
      <c r="O1576" s="6" t="s">
        <v>32176</v>
      </c>
      <c r="P1576" s="1" t="s">
        <v>32177</v>
      </c>
      <c r="Q1576" s="1" t="s">
        <v>32178</v>
      </c>
      <c r="R1576" s="1" t="s">
        <v>32179</v>
      </c>
      <c r="S1576" s="10" t="s">
        <v>32180</v>
      </c>
      <c r="T1576" s="1" t="s">
        <v>32181</v>
      </c>
      <c r="U1576" s="1" t="s">
        <v>32182</v>
      </c>
      <c r="V1576" s="1" t="s">
        <v>32183</v>
      </c>
      <c r="W1576" s="1" t="s">
        <v>32184</v>
      </c>
      <c r="X1576" s="1" t="s">
        <v>32185</v>
      </c>
      <c r="Y1576" s="1" t="s">
        <v>32186</v>
      </c>
      <c r="Z1576" s="1" t="s">
        <v>32187</v>
      </c>
      <c r="AA1576" s="7" t="str">
        <f>IFERROR(__xludf.DUMMYFUNCTION("GOOGLETRANSLATE(C1576, ""en"", ""ro"")"),"Rata în App Store")</f>
        <v>Rata în App Store</v>
      </c>
      <c r="AB1576" s="1" t="s">
        <v>32188</v>
      </c>
      <c r="AC1576" s="1" t="s">
        <v>32169</v>
      </c>
      <c r="AD1576" s="6" t="s">
        <v>32189</v>
      </c>
      <c r="AE1576" s="1" t="s">
        <v>32190</v>
      </c>
      <c r="AF1576" s="1" t="s">
        <v>32191</v>
      </c>
      <c r="AG1576" s="6" t="s">
        <v>32192</v>
      </c>
      <c r="AH1576" s="1" t="s">
        <v>32193</v>
      </c>
      <c r="AI1576" s="6" t="s">
        <v>132</v>
      </c>
      <c r="AJ1576" s="6" t="s">
        <v>32194</v>
      </c>
      <c r="AK1576" s="1" t="s">
        <v>32195</v>
      </c>
      <c r="AL1576" s="6" t="s">
        <v>32196</v>
      </c>
    </row>
    <row r="1577" ht="15.75" hidden="1" customHeight="1">
      <c r="A1577" s="1" t="s">
        <v>38</v>
      </c>
      <c r="B1577" s="1" t="s">
        <v>32197</v>
      </c>
      <c r="C1577" s="1" t="s">
        <v>32198</v>
      </c>
      <c r="D1577" s="7" t="str">
        <f>IFERROR(__xludf.DUMMYFUNCTION("GOOGLETRANSLATE(C1577, ""en"", ""ar"")"),"جودة الفيديو")</f>
        <v>جودة الفيديو</v>
      </c>
      <c r="E1577" s="1" t="s">
        <v>32199</v>
      </c>
      <c r="F1577" s="6" t="s">
        <v>132</v>
      </c>
      <c r="G1577" s="7" t="str">
        <f>IFERROR(__xludf.DUMMYFUNCTION("GOOGLETRANSLATE(C1577, ""en"", ""cs"")"),"Kvalita videa")</f>
        <v>Kvalita videa</v>
      </c>
      <c r="H1577" s="7" t="str">
        <f>IFERROR(__xludf.DUMMYFUNCTION("GOOGLETRANSLATE(C1577, ""en"", ""da"")"),"Videokvalitet")</f>
        <v>Videokvalitet</v>
      </c>
      <c r="I1577" s="1" t="s">
        <v>32200</v>
      </c>
      <c r="J1577" s="6" t="s">
        <v>132</v>
      </c>
      <c r="K1577" s="1" t="s">
        <v>32201</v>
      </c>
      <c r="L1577" s="7" t="str">
        <f>IFERROR(__xludf.DUMMYFUNCTION("GOOGLETRANSLATE(C1577, ""en"", ""fi"")"),"Videon laatu")</f>
        <v>Videon laatu</v>
      </c>
      <c r="M1577" s="1" t="s">
        <v>32202</v>
      </c>
      <c r="N1577" s="6" t="s">
        <v>32203</v>
      </c>
      <c r="O1577" s="6" t="s">
        <v>132</v>
      </c>
      <c r="P1577" s="1" t="s">
        <v>32204</v>
      </c>
      <c r="Q1577" s="7" t="str">
        <f>IFERROR(__xludf.DUMMYFUNCTION("GOOGLETRANSLATE(C1577, ""en"", ""in"")"),"Kualitas video")</f>
        <v>Kualitas video</v>
      </c>
      <c r="R1577" s="1" t="s">
        <v>32205</v>
      </c>
      <c r="S1577" s="6" t="s">
        <v>132</v>
      </c>
      <c r="T1577" s="7" t="str">
        <f>IFERROR(__xludf.DUMMYFUNCTION("GOOGLETRANSLATE(C1577, ""en"", ""ja"")"),"ビデオ品質")</f>
        <v>ビデオ品質</v>
      </c>
      <c r="U1577" s="7" t="str">
        <f>IFERROR(__xludf.DUMMYFUNCTION("GOOGLETRANSLATE(C1577, ""en"", ""ko"")"),"비디오 품질")</f>
        <v>비디오 품질</v>
      </c>
      <c r="V1577" s="7" t="str">
        <f>IFERROR(__xludf.DUMMYFUNCTION("GOOGLETRANSLATE(C1577, ""en"", ""ms"")"),"Kualiti video")</f>
        <v>Kualiti video</v>
      </c>
      <c r="W1577" s="1" t="s">
        <v>32206</v>
      </c>
      <c r="X1577" s="7" t="str">
        <f>IFERROR(__xludf.DUMMYFUNCTION("GOOGLETRANSLATE(C1577, ""en"", ""no"")"),"Video kvalitet")</f>
        <v>Video kvalitet</v>
      </c>
      <c r="Y1577" s="1" t="s">
        <v>32207</v>
      </c>
      <c r="Z1577" s="7" t="str">
        <f>IFERROR(__xludf.DUMMYFUNCTION("GOOGLETRANSLATE(C1577, ""en"", ""pt"")"),"Qualidade de vídeo")</f>
        <v>Qualidade de vídeo</v>
      </c>
      <c r="AA1577" s="7" t="str">
        <f>IFERROR(__xludf.DUMMYFUNCTION("GOOGLETRANSLATE(C1577, ""en"", ""ro"")"),"Calitate video")</f>
        <v>Calitate video</v>
      </c>
      <c r="AB1577" s="7" t="str">
        <f>IFERROR(__xludf.DUMMYFUNCTION("GOOGLETRANSLATE(C1577, ""en"", ""ru"")"),"Качество видео")</f>
        <v>Качество видео</v>
      </c>
      <c r="AC1577" s="7" t="str">
        <f>IFERROR(__xludf.DUMMYFUNCTION("GOOGLETRANSLATE(C1577, ""en"", ""sk"")"),"Kvalita videa")</f>
        <v>Kvalita videa</v>
      </c>
      <c r="AD1577" s="6" t="s">
        <v>132</v>
      </c>
      <c r="AE1577" s="7" t="str">
        <f>IFERROR(__xludf.DUMMYFUNCTION("GOOGLETRANSLATE(C1577, ""en"", ""sr"")"),"Видео квалитет")</f>
        <v>Видео квалитет</v>
      </c>
      <c r="AF1577" s="7" t="str">
        <f>IFERROR(__xludf.DUMMYFUNCTION("GOOGLETRANSLATE(C1577, ""en"", ""sv"")"),"Videokvalitét")</f>
        <v>Videokvalitét</v>
      </c>
      <c r="AG1577" s="6" t="s">
        <v>132</v>
      </c>
      <c r="AH1577" s="7" t="str">
        <f>IFERROR(__xludf.DUMMYFUNCTION("GOOGLETRANSLATE(C1577, ""en"", ""tr"")"),"Video kalitesi")</f>
        <v>Video kalitesi</v>
      </c>
      <c r="AI1577" s="6" t="s">
        <v>132</v>
      </c>
      <c r="AJ1577" s="6" t="s">
        <v>132</v>
      </c>
      <c r="AK1577" s="7" t="str">
        <f>IFERROR(__xludf.DUMMYFUNCTION("GOOGLETRANSLATE(C1577, ""en"", ""zh"")"),"视频质量")</f>
        <v>视频质量</v>
      </c>
      <c r="AL1577" s="6" t="s">
        <v>132</v>
      </c>
    </row>
    <row r="1578" ht="15.75" customHeight="1">
      <c r="A1578" s="1" t="s">
        <v>2265</v>
      </c>
      <c r="B1578" s="1" t="s">
        <v>32208</v>
      </c>
      <c r="C1578" s="1" t="s">
        <v>32209</v>
      </c>
      <c r="D1578" s="8" t="s">
        <v>32210</v>
      </c>
      <c r="E1578" s="1" t="s">
        <v>32211</v>
      </c>
      <c r="F1578" s="6" t="s">
        <v>132</v>
      </c>
      <c r="G1578" s="1" t="s">
        <v>32212</v>
      </c>
      <c r="H1578" s="1" t="s">
        <v>32213</v>
      </c>
      <c r="I1578" s="1" t="s">
        <v>32214</v>
      </c>
      <c r="J1578" s="6" t="s">
        <v>32215</v>
      </c>
      <c r="K1578" s="1" t="s">
        <v>32216</v>
      </c>
      <c r="L1578" s="1" t="s">
        <v>32217</v>
      </c>
      <c r="M1578" s="1" t="s">
        <v>32218</v>
      </c>
      <c r="N1578" s="6" t="s">
        <v>132</v>
      </c>
      <c r="O1578" s="6" t="s">
        <v>32219</v>
      </c>
      <c r="P1578" s="1" t="s">
        <v>32220</v>
      </c>
      <c r="Q1578" s="1" t="s">
        <v>32221</v>
      </c>
      <c r="R1578" s="1" t="s">
        <v>32222</v>
      </c>
      <c r="S1578" s="10" t="s">
        <v>32223</v>
      </c>
      <c r="T1578" s="1" t="s">
        <v>32224</v>
      </c>
      <c r="U1578" s="1" t="s">
        <v>32225</v>
      </c>
      <c r="V1578" s="1" t="s">
        <v>32226</v>
      </c>
      <c r="W1578" s="1" t="s">
        <v>32227</v>
      </c>
      <c r="X1578" s="1" t="s">
        <v>32228</v>
      </c>
      <c r="Y1578" s="1" t="s">
        <v>32229</v>
      </c>
      <c r="Z1578" s="1" t="s">
        <v>32230</v>
      </c>
      <c r="AA1578" s="7" t="str">
        <f>IFERROR(__xludf.DUMMYFUNCTION("GOOGLETRANSLATE(C1578, ""en"", ""ro"")"),"Axa verticala")</f>
        <v>Axa verticala</v>
      </c>
      <c r="AB1578" s="1" t="s">
        <v>32231</v>
      </c>
      <c r="AC1578" s="1" t="s">
        <v>32232</v>
      </c>
      <c r="AD1578" s="6" t="s">
        <v>32233</v>
      </c>
      <c r="AE1578" s="1" t="s">
        <v>32234</v>
      </c>
      <c r="AF1578" s="1" t="s">
        <v>32235</v>
      </c>
      <c r="AG1578" s="6" t="s">
        <v>32236</v>
      </c>
      <c r="AH1578" s="1" t="s">
        <v>32237</v>
      </c>
      <c r="AI1578" s="6" t="s">
        <v>132</v>
      </c>
      <c r="AJ1578" s="6" t="s">
        <v>32238</v>
      </c>
      <c r="AK1578" s="14" t="s">
        <v>32239</v>
      </c>
      <c r="AL1578" s="6" t="s">
        <v>132</v>
      </c>
    </row>
    <row r="1579" ht="15.75" hidden="1" customHeight="1">
      <c r="A1579" s="1" t="s">
        <v>38</v>
      </c>
      <c r="B1579" s="1" t="s">
        <v>32240</v>
      </c>
      <c r="C1579" s="1" t="s">
        <v>32241</v>
      </c>
      <c r="D1579" s="8" t="s">
        <v>32242</v>
      </c>
      <c r="E1579" s="1" t="s">
        <v>32243</v>
      </c>
      <c r="F1579" s="6" t="s">
        <v>32244</v>
      </c>
      <c r="G1579" s="7" t="str">
        <f>IFERROR(__xludf.DUMMYFUNCTION("GOOGLETRANSLATE(C1579, ""en"", ""cs"")"),"Vyberte si své uživatelské jméno")</f>
        <v>Vyberte si své uživatelské jméno</v>
      </c>
      <c r="H1579" s="7" t="str">
        <f>IFERROR(__xludf.DUMMYFUNCTION("GOOGLETRANSLATE(C1579, ""en"", ""da"")"),"Vælg dit brugernavn.")</f>
        <v>Vælg dit brugernavn.</v>
      </c>
      <c r="I1579" s="1" t="s">
        <v>32245</v>
      </c>
      <c r="J1579" s="6" t="s">
        <v>132</v>
      </c>
      <c r="K1579" s="1" t="s">
        <v>32246</v>
      </c>
      <c r="L1579" s="7" t="str">
        <f>IFERROR(__xludf.DUMMYFUNCTION("GOOGLETRANSLATE(C1579, ""en"", ""fi"")"),"Valitse käyttäjätunnuksesi")</f>
        <v>Valitse käyttäjätunnuksesi</v>
      </c>
      <c r="M1579" s="1" t="s">
        <v>32247</v>
      </c>
      <c r="N1579" s="6" t="s">
        <v>32248</v>
      </c>
      <c r="O1579" s="6" t="s">
        <v>132</v>
      </c>
      <c r="P1579" s="1" t="s">
        <v>32249</v>
      </c>
      <c r="Q1579" s="9" t="s">
        <v>32250</v>
      </c>
      <c r="R1579" s="1" t="s">
        <v>32251</v>
      </c>
      <c r="S1579" s="6" t="s">
        <v>132</v>
      </c>
      <c r="T1579" s="1" t="s">
        <v>32252</v>
      </c>
      <c r="U1579" s="1" t="s">
        <v>32253</v>
      </c>
      <c r="V1579" s="7" t="str">
        <f>IFERROR(__xludf.DUMMYFUNCTION("GOOGLETRANSLATE(C1579, ""en"", ""ms"")"),"Pilih nama pengguna anda")</f>
        <v>Pilih nama pengguna anda</v>
      </c>
      <c r="W1579" s="1" t="s">
        <v>32254</v>
      </c>
      <c r="X1579" s="7" t="str">
        <f>IFERROR(__xludf.DUMMYFUNCTION("GOOGLETRANSLATE(C1579, ""en"", ""no"")"),"Velg ditt brukernavn")</f>
        <v>Velg ditt brukernavn</v>
      </c>
      <c r="Y1579" s="1" t="s">
        <v>32255</v>
      </c>
      <c r="Z1579" s="1" t="s">
        <v>32256</v>
      </c>
      <c r="AA1579" s="7" t="str">
        <f>IFERROR(__xludf.DUMMYFUNCTION("GOOGLETRANSLATE(C1579, ""en"", ""ro"")"),"Alegeți numele dvs. de utilizator")</f>
        <v>Alegeți numele dvs. de utilizator</v>
      </c>
      <c r="AB1579" s="1" t="s">
        <v>32257</v>
      </c>
      <c r="AC1579" s="7" t="str">
        <f>IFERROR(__xludf.DUMMYFUNCTION("GOOGLETRANSLATE(C1579, ""en"", ""sk"")"),"Vyberte si svoje používateľské meno")</f>
        <v>Vyberte si svoje používateľské meno</v>
      </c>
      <c r="AD1579" s="6" t="s">
        <v>132</v>
      </c>
      <c r="AE1579" s="1" t="s">
        <v>32258</v>
      </c>
      <c r="AF1579" s="1" t="s">
        <v>32259</v>
      </c>
      <c r="AG1579" s="6" t="s">
        <v>132</v>
      </c>
      <c r="AH1579" s="7" t="str">
        <f>IFERROR(__xludf.DUMMYFUNCTION("GOOGLETRANSLATE(C1579, ""en"", ""tr"")"),"Kullanıcı adınızı seçin")</f>
        <v>Kullanıcı adınızı seçin</v>
      </c>
      <c r="AI1579" s="6" t="s">
        <v>32260</v>
      </c>
      <c r="AJ1579" s="6" t="s">
        <v>132</v>
      </c>
      <c r="AK1579" s="7" t="str">
        <f>IFERROR(__xludf.DUMMYFUNCTION("GOOGLETRANSLATE(C1579, ""en"", ""zh"")"),"选择您的用户名")</f>
        <v>选择您的用户名</v>
      </c>
      <c r="AL1579" s="6" t="s">
        <v>32261</v>
      </c>
    </row>
    <row r="1580" ht="15.75" customHeight="1">
      <c r="A1580" s="1" t="s">
        <v>127</v>
      </c>
      <c r="B1580" s="1" t="s">
        <v>32262</v>
      </c>
      <c r="C1580" s="1" t="s">
        <v>19316</v>
      </c>
      <c r="D1580" s="8" t="s">
        <v>19317</v>
      </c>
      <c r="E1580" s="1" t="s">
        <v>19318</v>
      </c>
      <c r="F1580" s="6" t="s">
        <v>132</v>
      </c>
      <c r="G1580" s="1" t="s">
        <v>19319</v>
      </c>
      <c r="H1580" s="1" t="s">
        <v>19320</v>
      </c>
      <c r="I1580" s="1" t="s">
        <v>19321</v>
      </c>
      <c r="J1580" s="6" t="s">
        <v>19322</v>
      </c>
      <c r="K1580" s="1" t="s">
        <v>32263</v>
      </c>
      <c r="L1580" s="1" t="s">
        <v>19324</v>
      </c>
      <c r="M1580" s="1" t="s">
        <v>32264</v>
      </c>
      <c r="N1580" s="6" t="s">
        <v>132</v>
      </c>
      <c r="O1580" s="6" t="s">
        <v>19326</v>
      </c>
      <c r="P1580" s="1" t="s">
        <v>32265</v>
      </c>
      <c r="Q1580" s="1" t="s">
        <v>19328</v>
      </c>
      <c r="R1580" s="1" t="s">
        <v>19329</v>
      </c>
      <c r="S1580" s="10" t="s">
        <v>19330</v>
      </c>
      <c r="T1580" s="1" t="s">
        <v>32266</v>
      </c>
      <c r="U1580" s="1" t="s">
        <v>19332</v>
      </c>
      <c r="V1580" s="1" t="s">
        <v>19328</v>
      </c>
      <c r="W1580" s="1" t="s">
        <v>19333</v>
      </c>
      <c r="X1580" s="1" t="s">
        <v>19334</v>
      </c>
      <c r="Y1580" s="1" t="s">
        <v>17260</v>
      </c>
      <c r="Z1580" s="1" t="s">
        <v>32267</v>
      </c>
      <c r="AA1580" s="7" t="str">
        <f>IFERROR(__xludf.DUMMYFUNCTION("GOOGLETRANSLATE(C1580, ""en"", ""ro"")"),"Cele mai mari poziții")</f>
        <v>Cele mai mari poziții</v>
      </c>
      <c r="AB1580" s="1" t="s">
        <v>32268</v>
      </c>
      <c r="AC1580" s="1" t="s">
        <v>19339</v>
      </c>
      <c r="AD1580" s="6" t="s">
        <v>19340</v>
      </c>
      <c r="AE1580" s="1" t="s">
        <v>19341</v>
      </c>
      <c r="AF1580" s="1" t="s">
        <v>19342</v>
      </c>
      <c r="AG1580" s="6" t="s">
        <v>19343</v>
      </c>
      <c r="AH1580" s="1" t="s">
        <v>19344</v>
      </c>
      <c r="AI1580" s="6" t="s">
        <v>132</v>
      </c>
      <c r="AJ1580" s="6" t="s">
        <v>19345</v>
      </c>
      <c r="AK1580" s="1" t="s">
        <v>19346</v>
      </c>
      <c r="AL1580" s="6" t="s">
        <v>132</v>
      </c>
    </row>
    <row r="1581" ht="15.75" hidden="1" customHeight="1">
      <c r="A1581" s="1" t="s">
        <v>38</v>
      </c>
      <c r="B1581" s="1" t="s">
        <v>32269</v>
      </c>
      <c r="C1581" s="1" t="s">
        <v>32270</v>
      </c>
      <c r="D1581" s="7" t="str">
        <f>IFERROR(__xludf.DUMMYFUNCTION("GOOGLETRANSLATE(C1581, ""en"", ""ar"")"),"بث تفاعل المستخدم الأخير")</f>
        <v>بث تفاعل المستخدم الأخير</v>
      </c>
      <c r="E1581" s="1" t="s">
        <v>32271</v>
      </c>
      <c r="F1581" s="6" t="s">
        <v>32272</v>
      </c>
      <c r="G1581" s="7" t="str">
        <f>IFERROR(__xludf.DUMMYFUNCTION("GOOGLETRANSLATE(C1581, ""en"", ""cs"")"),"Vysílání Poslední interakce uživatelů")</f>
        <v>Vysílání Poslední interakce uživatelů</v>
      </c>
      <c r="H1581" s="7" t="str">
        <f>IFERROR(__xludf.DUMMYFUNCTION("GOOGLETRANSLATE(C1581, ""en"", ""da"")"),"Broadcast Sidste Bruger Interaktion")</f>
        <v>Broadcast Sidste Bruger Interaktion</v>
      </c>
      <c r="I1581" s="1" t="s">
        <v>32273</v>
      </c>
      <c r="J1581" s="6" t="s">
        <v>132</v>
      </c>
      <c r="K1581" s="1" t="s">
        <v>32274</v>
      </c>
      <c r="L1581" s="7" t="str">
        <f>IFERROR(__xludf.DUMMYFUNCTION("GOOGLETRANSLATE(C1581, ""en"", ""fi"")"),"Lähetys Viimeinen käyttäjän vuorovaikutus")</f>
        <v>Lähetys Viimeinen käyttäjän vuorovaikutus</v>
      </c>
      <c r="M1581" s="1" t="s">
        <v>32275</v>
      </c>
      <c r="N1581" s="6" t="s">
        <v>32276</v>
      </c>
      <c r="O1581" s="6" t="s">
        <v>132</v>
      </c>
      <c r="P1581" s="1" t="s">
        <v>32277</v>
      </c>
      <c r="Q1581" s="7" t="str">
        <f>IFERROR(__xludf.DUMMYFUNCTION("GOOGLETRANSLATE(C1581, ""en"", ""in"")"),"Broadcast Interaksi Pengguna Terakhir")</f>
        <v>Broadcast Interaksi Pengguna Terakhir</v>
      </c>
      <c r="R1581" s="1" t="s">
        <v>32278</v>
      </c>
      <c r="S1581" s="6" t="s">
        <v>132</v>
      </c>
      <c r="T1581" s="1" t="s">
        <v>32279</v>
      </c>
      <c r="U1581" s="1" t="s">
        <v>32280</v>
      </c>
      <c r="V1581" s="7" t="str">
        <f>IFERROR(__xludf.DUMMYFUNCTION("GOOGLETRANSLATE(C1581, ""en"", ""ms"")"),"Penyiaran Interaksi Pengguna Terakhir")</f>
        <v>Penyiaran Interaksi Pengguna Terakhir</v>
      </c>
      <c r="W1581" s="1" t="s">
        <v>32281</v>
      </c>
      <c r="X1581" s="7" t="str">
        <f>IFERROR(__xludf.DUMMYFUNCTION("GOOGLETRANSLATE(C1581, ""en"", ""no"")"),"Broadcast sist brukerinteraksjon")</f>
        <v>Broadcast sist brukerinteraksjon</v>
      </c>
      <c r="Y1581" s="1" t="s">
        <v>32282</v>
      </c>
      <c r="Z1581" s="7" t="str">
        <f>IFERROR(__xludf.DUMMYFUNCTION("GOOGLETRANSLATE(C1581, ""en"", ""pt"")"),"Broadcast última interação do usuário")</f>
        <v>Broadcast última interação do usuário</v>
      </c>
      <c r="AA1581" s="7" t="str">
        <f>IFERROR(__xludf.DUMMYFUNCTION("GOOGLETRANSLATE(C1581, ""en"", ""ro"")"),"Difuzați ultima interacțiune a utilizatorului")</f>
        <v>Difuzați ultima interacțiune a utilizatorului</v>
      </c>
      <c r="AB1581" s="1" t="s">
        <v>32283</v>
      </c>
      <c r="AC1581" s="7" t="str">
        <f>IFERROR(__xludf.DUMMYFUNCTION("GOOGLETRANSLATE(C1581, ""en"", ""sk"")"),"Vysielať poslednú interakciu používateľa")</f>
        <v>Vysielať poslednú interakciu používateľa</v>
      </c>
      <c r="AD1581" s="6" t="s">
        <v>132</v>
      </c>
      <c r="AE1581" s="1" t="s">
        <v>32284</v>
      </c>
      <c r="AF1581" s="1" t="s">
        <v>32285</v>
      </c>
      <c r="AG1581" s="6" t="s">
        <v>132</v>
      </c>
      <c r="AH1581" s="7" t="str">
        <f>IFERROR(__xludf.DUMMYFUNCTION("GOOGLETRANSLATE(C1581, ""en"", ""tr"")"),"Son kullanıcı etkileşimini yayınlayın")</f>
        <v>Son kullanıcı etkileşimini yayınlayın</v>
      </c>
      <c r="AI1581" s="6" t="s">
        <v>32286</v>
      </c>
      <c r="AJ1581" s="6" t="s">
        <v>132</v>
      </c>
      <c r="AK1581" s="7" t="str">
        <f>IFERROR(__xludf.DUMMYFUNCTION("GOOGLETRANSLATE(C1581, ""en"", ""zh"")"),"广播上次用户交互")</f>
        <v>广播上次用户交互</v>
      </c>
      <c r="AL1581" s="6" t="s">
        <v>32287</v>
      </c>
    </row>
    <row r="1582" ht="15.75" hidden="1" customHeight="1">
      <c r="A1582" s="1" t="s">
        <v>38</v>
      </c>
      <c r="B1582" s="1" t="s">
        <v>32288</v>
      </c>
      <c r="C1582" s="1" t="s">
        <v>32289</v>
      </c>
      <c r="D1582" s="8" t="s">
        <v>32290</v>
      </c>
      <c r="E1582" s="1" t="s">
        <v>32291</v>
      </c>
      <c r="F1582" s="6" t="s">
        <v>32292</v>
      </c>
      <c r="G1582" s="7" t="str">
        <f>IFERROR(__xludf.DUMMYFUNCTION("GOOGLETRANSLATE(C1582, ""en"", ""cs"")"),"Použijte fotoaparát pro skenování čárového kódu kontaktu")</f>
        <v>Použijte fotoaparát pro skenování čárového kódu kontaktu</v>
      </c>
      <c r="H1582" s="7" t="str">
        <f>IFERROR(__xludf.DUMMYFUNCTION("GOOGLETRANSLATE(C1582, ""en"", ""da"")"),"Brug kameraet til at scanne en kontaktens stregkode")</f>
        <v>Brug kameraet til at scanne en kontaktens stregkode</v>
      </c>
      <c r="I1582" s="1" t="s">
        <v>32293</v>
      </c>
      <c r="J1582" s="6" t="s">
        <v>132</v>
      </c>
      <c r="K1582" s="1" t="s">
        <v>32294</v>
      </c>
      <c r="L1582" s="7" t="str">
        <f>IFERROR(__xludf.DUMMYFUNCTION("GOOGLETRANSLATE(C1582, ""en"", ""fi"")"),"Skannaa yhteyshenkilön viivakoodi")</f>
        <v>Skannaa yhteyshenkilön viivakoodi</v>
      </c>
      <c r="M1582" s="1" t="s">
        <v>32295</v>
      </c>
      <c r="N1582" s="6" t="s">
        <v>32296</v>
      </c>
      <c r="O1582" s="6" t="s">
        <v>132</v>
      </c>
      <c r="P1582" s="1" t="s">
        <v>32297</v>
      </c>
      <c r="Q1582" s="7" t="str">
        <f>IFERROR(__xludf.DUMMYFUNCTION("GOOGLETRANSLATE(C1582, ""en"", ""in"")"),"Gunakan kamera untuk memindai barcode kontak")</f>
        <v>Gunakan kamera untuk memindai barcode kontak</v>
      </c>
      <c r="R1582" s="1" t="s">
        <v>32298</v>
      </c>
      <c r="S1582" s="6" t="s">
        <v>132</v>
      </c>
      <c r="T1582" s="1" t="s">
        <v>32299</v>
      </c>
      <c r="U1582" s="7" t="str">
        <f>IFERROR(__xludf.DUMMYFUNCTION("GOOGLETRANSLATE(C1582, ""en"", ""ko"")"),"카메라를 사용하여 연락처 바코드를 검사하십시오")</f>
        <v>카메라를 사용하여 연락처 바코드를 검사하십시오</v>
      </c>
      <c r="V1582" s="7" t="str">
        <f>IFERROR(__xludf.DUMMYFUNCTION("GOOGLETRANSLATE(C1582, ""en"", ""ms"")"),"Gunakan kamera untuk mengimbas kod bar kenalan")</f>
        <v>Gunakan kamera untuk mengimbas kod bar kenalan</v>
      </c>
      <c r="W1582" s="1" t="s">
        <v>32300</v>
      </c>
      <c r="X1582" s="7" t="str">
        <f>IFERROR(__xludf.DUMMYFUNCTION("GOOGLETRANSLATE(C1582, ""en"", ""no"")"),"Bruk kameraet til å skanne en kontakts strekkode")</f>
        <v>Bruk kameraet til å skanne en kontakts strekkode</v>
      </c>
      <c r="Y1582" s="1" t="s">
        <v>32301</v>
      </c>
      <c r="Z1582" s="7" t="str">
        <f>IFERROR(__xludf.DUMMYFUNCTION("GOOGLETRANSLATE(C1582, ""en"", ""pt"")"),"Use a câmera para digitalizar o código de barras de um contato")</f>
        <v>Use a câmera para digitalizar o código de barras de um contato</v>
      </c>
      <c r="AA1582" s="7" t="str">
        <f>IFERROR(__xludf.DUMMYFUNCTION("GOOGLETRANSLATE(C1582, ""en"", ""ro"")"),"Utilizați camera pentru a scana codul de bare al unui contact")</f>
        <v>Utilizați camera pentru a scana codul de bare al unui contact</v>
      </c>
      <c r="AB1582" s="1" t="s">
        <v>32302</v>
      </c>
      <c r="AC1582" s="7" t="str">
        <f>IFERROR(__xludf.DUMMYFUNCTION("GOOGLETRANSLATE(C1582, ""en"", ""sk"")"),"Použite fotoaparát na skenovanie čiarového kódu kontaktu")</f>
        <v>Použite fotoaparát na skenovanie čiarového kódu kontaktu</v>
      </c>
      <c r="AD1582" s="6" t="s">
        <v>132</v>
      </c>
      <c r="AE1582" s="1" t="s">
        <v>32303</v>
      </c>
      <c r="AF1582" s="1" t="s">
        <v>32304</v>
      </c>
      <c r="AG1582" s="6" t="s">
        <v>132</v>
      </c>
      <c r="AH1582" s="7" t="str">
        <f>IFERROR(__xludf.DUMMYFUNCTION("GOOGLETRANSLATE(C1582, ""en"", ""tr"")"),"Bir kişinin barkodunu taramak için kamerayı kullanın")</f>
        <v>Bir kişinin barkodunu taramak için kamerayı kullanın</v>
      </c>
      <c r="AI1582" s="6" t="s">
        <v>32305</v>
      </c>
      <c r="AJ1582" s="6" t="s">
        <v>132</v>
      </c>
      <c r="AK1582" s="7" t="str">
        <f>IFERROR(__xludf.DUMMYFUNCTION("GOOGLETRANSLATE(C1582, ""en"", ""zh"")"),"使用相机扫描联系人的条形码")</f>
        <v>使用相机扫描联系人的条形码</v>
      </c>
      <c r="AL1582" s="6" t="s">
        <v>32306</v>
      </c>
    </row>
    <row r="1583" ht="15.75" customHeight="1">
      <c r="A1583" s="1" t="s">
        <v>127</v>
      </c>
      <c r="B1583" s="1" t="s">
        <v>32307</v>
      </c>
      <c r="C1583" s="1" t="s">
        <v>4471</v>
      </c>
      <c r="D1583" s="8" t="s">
        <v>4472</v>
      </c>
      <c r="E1583" s="1" t="s">
        <v>4473</v>
      </c>
      <c r="F1583" s="6" t="s">
        <v>132</v>
      </c>
      <c r="G1583" s="1" t="s">
        <v>4474</v>
      </c>
      <c r="H1583" s="1" t="s">
        <v>4475</v>
      </c>
      <c r="I1583" s="1" t="s">
        <v>4471</v>
      </c>
      <c r="J1583" s="6" t="s">
        <v>4476</v>
      </c>
      <c r="K1583" s="1" t="s">
        <v>4477</v>
      </c>
      <c r="L1583" s="1" t="s">
        <v>4478</v>
      </c>
      <c r="M1583" s="1" t="s">
        <v>4479</v>
      </c>
      <c r="N1583" s="6" t="s">
        <v>132</v>
      </c>
      <c r="O1583" s="6" t="s">
        <v>4480</v>
      </c>
      <c r="P1583" s="1" t="s">
        <v>4481</v>
      </c>
      <c r="Q1583" s="1" t="s">
        <v>4482</v>
      </c>
      <c r="R1583" s="1" t="s">
        <v>4477</v>
      </c>
      <c r="S1583" s="10" t="s">
        <v>4483</v>
      </c>
      <c r="T1583" s="1" t="s">
        <v>4484</v>
      </c>
      <c r="U1583" s="1" t="s">
        <v>4485</v>
      </c>
      <c r="V1583" s="1" t="s">
        <v>4482</v>
      </c>
      <c r="W1583" s="1" t="s">
        <v>4486</v>
      </c>
      <c r="X1583" s="1" t="s">
        <v>4487</v>
      </c>
      <c r="Y1583" s="1" t="s">
        <v>4488</v>
      </c>
      <c r="Z1583" s="1" t="s">
        <v>4489</v>
      </c>
      <c r="AA1583" s="7" t="str">
        <f>IFERROR(__xludf.DUMMYFUNCTION("GOOGLETRANSLATE(C1583, ""en"", ""ro"")"),"Aur")</f>
        <v>Aur</v>
      </c>
      <c r="AB1583" s="1" t="s">
        <v>4491</v>
      </c>
      <c r="AC1583" s="1" t="s">
        <v>4474</v>
      </c>
      <c r="AD1583" s="6" t="s">
        <v>4474</v>
      </c>
      <c r="AE1583" s="1" t="s">
        <v>4474</v>
      </c>
      <c r="AF1583" s="1" t="s">
        <v>4475</v>
      </c>
      <c r="AG1583" s="6" t="s">
        <v>4492</v>
      </c>
      <c r="AH1583" s="1" t="s">
        <v>4493</v>
      </c>
      <c r="AI1583" s="6" t="s">
        <v>132</v>
      </c>
      <c r="AJ1583" s="6" t="s">
        <v>4494</v>
      </c>
      <c r="AK1583" s="1" t="s">
        <v>4495</v>
      </c>
      <c r="AL1583" s="6" t="s">
        <v>4496</v>
      </c>
    </row>
    <row r="1584" ht="15.75" hidden="1" customHeight="1">
      <c r="A1584" s="1" t="s">
        <v>38</v>
      </c>
      <c r="B1584" s="1" t="s">
        <v>32308</v>
      </c>
      <c r="C1584" s="1" t="s">
        <v>32309</v>
      </c>
      <c r="D1584" s="7" t="str">
        <f>IFERROR(__xludf.DUMMYFUNCTION("GOOGLETRANSLATE(C1584, ""en"", ""ar"")"),"التحقق ...")</f>
        <v>التحقق ...</v>
      </c>
      <c r="E1584" s="1" t="s">
        <v>32310</v>
      </c>
      <c r="F1584" s="6" t="s">
        <v>132</v>
      </c>
      <c r="G1584" s="7" t="str">
        <f>IFERROR(__xludf.DUMMYFUNCTION("GOOGLETRANSLATE(C1584, ""en"", ""cs"")"),"Ověření ...")</f>
        <v>Ověření ...</v>
      </c>
      <c r="H1584" s="7" t="str">
        <f>IFERROR(__xludf.DUMMYFUNCTION("GOOGLETRANSLATE(C1584, ""en"", ""da"")"),"Verificere ...")</f>
        <v>Verificere ...</v>
      </c>
      <c r="I1584" s="1" t="s">
        <v>32311</v>
      </c>
      <c r="J1584" s="6" t="s">
        <v>132</v>
      </c>
      <c r="K1584" s="1" t="s">
        <v>32312</v>
      </c>
      <c r="L1584" s="7" t="str">
        <f>IFERROR(__xludf.DUMMYFUNCTION("GOOGLETRANSLATE(C1584, ""en"", ""fi"")"),"Vahvista ...")</f>
        <v>Vahvista ...</v>
      </c>
      <c r="M1584" s="7" t="str">
        <f>IFERROR(__xludf.DUMMYFUNCTION("GOOGLETRANSLATE(C1584, ""en"", ""fr"")"),"Vérification ...")</f>
        <v>Vérification ...</v>
      </c>
      <c r="N1584" s="6" t="s">
        <v>32313</v>
      </c>
      <c r="O1584" s="6" t="s">
        <v>132</v>
      </c>
      <c r="P1584" s="1" t="s">
        <v>32314</v>
      </c>
      <c r="Q1584" s="7" t="str">
        <f>IFERROR(__xludf.DUMMYFUNCTION("GOOGLETRANSLATE(C1584, ""en"", ""in"")"),"Memverifikasi ...")</f>
        <v>Memverifikasi ...</v>
      </c>
      <c r="R1584" s="1" t="s">
        <v>32315</v>
      </c>
      <c r="S1584" s="6" t="s">
        <v>132</v>
      </c>
      <c r="T1584" s="1" t="s">
        <v>32316</v>
      </c>
      <c r="U1584" s="7" t="str">
        <f>IFERROR(__xludf.DUMMYFUNCTION("GOOGLETRANSLATE(C1584, ""en"", ""ko"")"),"확인 ...")</f>
        <v>확인 ...</v>
      </c>
      <c r="V1584" s="7" t="str">
        <f>IFERROR(__xludf.DUMMYFUNCTION("GOOGLETRANSLATE(C1584, ""en"", ""ms"")"),"Mengesahkan ...")</f>
        <v>Mengesahkan ...</v>
      </c>
      <c r="W1584" s="1" t="s">
        <v>32317</v>
      </c>
      <c r="X1584" s="7" t="str">
        <f>IFERROR(__xludf.DUMMYFUNCTION("GOOGLETRANSLATE(C1584, ""en"", ""no"")"),"Verifiserer ...")</f>
        <v>Verifiserer ...</v>
      </c>
      <c r="Y1584" s="1" t="s">
        <v>32318</v>
      </c>
      <c r="Z1584" s="7" t="str">
        <f>IFERROR(__xludf.DUMMYFUNCTION("GOOGLETRANSLATE(C1584, ""en"", ""pt"")"),"Verificando ...")</f>
        <v>Verificando ...</v>
      </c>
      <c r="AA1584" s="7" t="str">
        <f>IFERROR(__xludf.DUMMYFUNCTION("GOOGLETRANSLATE(C1584, ""en"", ""ro"")"),"Verificarea ...")</f>
        <v>Verificarea ...</v>
      </c>
      <c r="AB1584" s="7" t="str">
        <f>IFERROR(__xludf.DUMMYFUNCTION("GOOGLETRANSLATE(C1584, ""en"", ""ru"")"),"Проверка ...")</f>
        <v>Проверка ...</v>
      </c>
      <c r="AC1584" s="7" t="str">
        <f>IFERROR(__xludf.DUMMYFUNCTION("GOOGLETRANSLATE(C1584, ""en"", ""sk"")"),"Overovanie ...")</f>
        <v>Overovanie ...</v>
      </c>
      <c r="AD1584" s="6" t="s">
        <v>132</v>
      </c>
      <c r="AE1584" s="7" t="str">
        <f>IFERROR(__xludf.DUMMYFUNCTION("GOOGLETRANSLATE(C1584, ""en"", ""sr"")"),"Провера ...")</f>
        <v>Провера ...</v>
      </c>
      <c r="AF1584" s="7" t="str">
        <f>IFERROR(__xludf.DUMMYFUNCTION("GOOGLETRANSLATE(C1584, ""en"", ""sv"")"),"Verifiera ...")</f>
        <v>Verifiera ...</v>
      </c>
      <c r="AG1584" s="6" t="s">
        <v>132</v>
      </c>
      <c r="AH1584" s="7" t="str">
        <f>IFERROR(__xludf.DUMMYFUNCTION("GOOGLETRANSLATE(C1584, ""en"", ""tr"")"),"Doğrulanıyor…")</f>
        <v>Doğrulanıyor…</v>
      </c>
      <c r="AI1584" s="6" t="s">
        <v>132</v>
      </c>
      <c r="AJ1584" s="6" t="s">
        <v>132</v>
      </c>
      <c r="AK1584" s="7" t="str">
        <f>IFERROR(__xludf.DUMMYFUNCTION("GOOGLETRANSLATE(C1584, ""en"", ""zh"")"),"验证......")</f>
        <v>验证......</v>
      </c>
      <c r="AL1584" s="6" t="s">
        <v>132</v>
      </c>
    </row>
    <row r="1585" ht="15.75" hidden="1" customHeight="1">
      <c r="A1585" s="1" t="s">
        <v>38</v>
      </c>
      <c r="B1585" s="1" t="s">
        <v>32319</v>
      </c>
      <c r="C1585" s="1" t="s">
        <v>32320</v>
      </c>
      <c r="D1585" s="7" t="str">
        <f>IFERROR(__xludf.DUMMYFUNCTION("GOOGLETRANSLATE(C1585, ""en"", ""ar"")"),"العراق")</f>
        <v>العراق</v>
      </c>
      <c r="E1585" s="7" t="str">
        <f>IFERROR(__xludf.DUMMYFUNCTION("GOOGLETRANSLATE(C1585, ""en"", ""bg"")"),"Ирак")</f>
        <v>Ирак</v>
      </c>
      <c r="F1585" s="6" t="s">
        <v>132</v>
      </c>
      <c r="G1585" s="7" t="str">
        <f>IFERROR(__xludf.DUMMYFUNCTION("GOOGLETRANSLATE(C1585, ""en"", ""cs"")"),"Irák")</f>
        <v>Irák</v>
      </c>
      <c r="H1585" s="7" t="str">
        <f>IFERROR(__xludf.DUMMYFUNCTION("GOOGLETRANSLATE(C1585, ""en"", ""da"")"),"Irak.")</f>
        <v>Irak.</v>
      </c>
      <c r="I1585" s="1" t="s">
        <v>32321</v>
      </c>
      <c r="J1585" s="6" t="s">
        <v>132</v>
      </c>
      <c r="K1585" s="1" t="s">
        <v>32320</v>
      </c>
      <c r="L1585" s="7" t="str">
        <f>IFERROR(__xludf.DUMMYFUNCTION("GOOGLETRANSLATE(C1585, ""en"", ""fi"")"),"Iraq")</f>
        <v>Iraq</v>
      </c>
      <c r="M1585" s="1" t="s">
        <v>32321</v>
      </c>
      <c r="N1585" s="6" t="s">
        <v>132</v>
      </c>
      <c r="O1585" s="6" t="s">
        <v>132</v>
      </c>
      <c r="P1585" s="1" t="s">
        <v>32320</v>
      </c>
      <c r="Q1585" s="7" t="str">
        <f>IFERROR(__xludf.DUMMYFUNCTION("GOOGLETRANSLATE(C1585, ""en"", ""in"")"),"Irak")</f>
        <v>Irak</v>
      </c>
      <c r="R1585" s="7" t="str">
        <f>IFERROR(__xludf.DUMMYFUNCTION("GOOGLETRANSLATE(C1585, ""en"", ""it"")"),"Iraq")</f>
        <v>Iraq</v>
      </c>
      <c r="S1585" s="6" t="s">
        <v>132</v>
      </c>
      <c r="T1585" s="7" t="str">
        <f>IFERROR(__xludf.DUMMYFUNCTION("GOOGLETRANSLATE(C1585, ""en"", ""ja"")"),"イラク")</f>
        <v>イラク</v>
      </c>
      <c r="U1585" s="7" t="str">
        <f>IFERROR(__xludf.DUMMYFUNCTION("GOOGLETRANSLATE(C1585, ""en"", ""ko"")"),"이라크")</f>
        <v>이라크</v>
      </c>
      <c r="V1585" s="7" t="str">
        <f>IFERROR(__xludf.DUMMYFUNCTION("GOOGLETRANSLATE(C1585, ""en"", ""ms"")"),"Iraq.")</f>
        <v>Iraq.</v>
      </c>
      <c r="W1585" s="7" t="str">
        <f>IFERROR(__xludf.DUMMYFUNCTION("GOOGLETRANSLATE(C1585, ""en"", ""nl"")"),"Irak")</f>
        <v>Irak</v>
      </c>
      <c r="X1585" s="7" t="str">
        <f>IFERROR(__xludf.DUMMYFUNCTION("GOOGLETRANSLATE(C1585, ""en"", ""no"")"),"Irak.")</f>
        <v>Irak.</v>
      </c>
      <c r="Y1585" s="7" t="str">
        <f>IFERROR(__xludf.DUMMYFUNCTION("GOOGLETRANSLATE(C1585, ""en"", ""pl"")"),"Irak")</f>
        <v>Irak</v>
      </c>
      <c r="Z1585" s="7" t="str">
        <f>IFERROR(__xludf.DUMMYFUNCTION("GOOGLETRANSLATE(C1585, ""en"", ""pt"")"),"Iraque")</f>
        <v>Iraque</v>
      </c>
      <c r="AA1585" s="7" t="str">
        <f>IFERROR(__xludf.DUMMYFUNCTION("GOOGLETRANSLATE(C1585, ""en"", ""ro"")"),"Irak")</f>
        <v>Irak</v>
      </c>
      <c r="AB1585" s="1" t="s">
        <v>32322</v>
      </c>
      <c r="AC1585" s="7" t="str">
        <f>IFERROR(__xludf.DUMMYFUNCTION("GOOGLETRANSLATE(C1585, ""en"", ""sk"")"),"Irak")</f>
        <v>Irak</v>
      </c>
      <c r="AD1585" s="6" t="s">
        <v>132</v>
      </c>
      <c r="AE1585" s="1" t="s">
        <v>32321</v>
      </c>
      <c r="AF1585" s="7" t="str">
        <f>IFERROR(__xludf.DUMMYFUNCTION("GOOGLETRANSLATE(C1585, ""en"", ""sv"")"),"Irak")</f>
        <v>Irak</v>
      </c>
      <c r="AG1585" s="6" t="s">
        <v>132</v>
      </c>
      <c r="AH1585" s="7" t="str">
        <f>IFERROR(__xludf.DUMMYFUNCTION("GOOGLETRANSLATE(C1585, ""en"", ""tr"")"),"Irak")</f>
        <v>Irak</v>
      </c>
      <c r="AI1585" s="6" t="s">
        <v>132</v>
      </c>
      <c r="AJ1585" s="6" t="s">
        <v>132</v>
      </c>
      <c r="AK1585" s="7" t="str">
        <f>IFERROR(__xludf.DUMMYFUNCTION("GOOGLETRANSLATE(C1585, ""en"", ""zh"")"),"伊拉克")</f>
        <v>伊拉克</v>
      </c>
      <c r="AL1585" s="6" t="s">
        <v>132</v>
      </c>
    </row>
    <row r="1586" ht="15.75" hidden="1" customHeight="1">
      <c r="A1586" s="1" t="s">
        <v>38</v>
      </c>
      <c r="B1586" s="1" t="s">
        <v>32323</v>
      </c>
      <c r="C1586" s="1" t="s">
        <v>32324</v>
      </c>
      <c r="D1586" s="8" t="s">
        <v>32325</v>
      </c>
      <c r="E1586" s="1" t="s">
        <v>32326</v>
      </c>
      <c r="F1586" s="6" t="s">
        <v>32327</v>
      </c>
      <c r="G1586" s="7" t="str">
        <f>IFERROR(__xludf.DUMMYFUNCTION("GOOGLETRANSLATE(C1586, ""en"", ""cs"")"),"Ignorovat")</f>
        <v>Ignorovat</v>
      </c>
      <c r="H1586" s="7" t="str">
        <f>IFERROR(__xludf.DUMMYFUNCTION("GOOGLETRANSLATE(C1586, ""en"", ""da"")"),"Ignorere")</f>
        <v>Ignorere</v>
      </c>
      <c r="I1586" s="1" t="s">
        <v>32328</v>
      </c>
      <c r="J1586" s="6" t="s">
        <v>132</v>
      </c>
      <c r="K1586" s="1" t="s">
        <v>32329</v>
      </c>
      <c r="L1586" s="7" t="str">
        <f>IFERROR(__xludf.DUMMYFUNCTION("GOOGLETRANSLATE(C1586, ""en"", ""fi"")"),"Jättää huomiotta")</f>
        <v>Jättää huomiotta</v>
      </c>
      <c r="M1586" s="1" t="s">
        <v>32330</v>
      </c>
      <c r="N1586" s="6" t="s">
        <v>32329</v>
      </c>
      <c r="O1586" s="6" t="s">
        <v>132</v>
      </c>
      <c r="P1586" s="1" t="s">
        <v>32331</v>
      </c>
      <c r="Q1586" s="9" t="s">
        <v>32332</v>
      </c>
      <c r="R1586" s="1" t="s">
        <v>32327</v>
      </c>
      <c r="S1586" s="6" t="s">
        <v>132</v>
      </c>
      <c r="T1586" s="1" t="s">
        <v>32333</v>
      </c>
      <c r="U1586" s="1" t="s">
        <v>32334</v>
      </c>
      <c r="V1586" s="7" t="str">
        <f>IFERROR(__xludf.DUMMYFUNCTION("GOOGLETRANSLATE(C1586, ""en"", ""ms"")"),"Abai")</f>
        <v>Abai</v>
      </c>
      <c r="W1586" s="1" t="s">
        <v>32335</v>
      </c>
      <c r="X1586" s="7" t="str">
        <f>IFERROR(__xludf.DUMMYFUNCTION("GOOGLETRANSLATE(C1586, ""en"", ""no"")"),"Overse")</f>
        <v>Overse</v>
      </c>
      <c r="Y1586" s="1" t="s">
        <v>32336</v>
      </c>
      <c r="Z1586" s="1" t="s">
        <v>32329</v>
      </c>
      <c r="AA1586" s="7" t="str">
        <f>IFERROR(__xludf.DUMMYFUNCTION("GOOGLETRANSLATE(C1586, ""en"", ""ro"")"),"Ignora")</f>
        <v>Ignora</v>
      </c>
      <c r="AB1586" s="1" t="s">
        <v>32337</v>
      </c>
      <c r="AC1586" s="1" t="s">
        <v>32338</v>
      </c>
      <c r="AD1586" s="6" t="s">
        <v>132</v>
      </c>
      <c r="AE1586" s="1" t="s">
        <v>32339</v>
      </c>
      <c r="AF1586" s="1" t="s">
        <v>32340</v>
      </c>
      <c r="AG1586" s="6" t="s">
        <v>132</v>
      </c>
      <c r="AH1586" s="7" t="str">
        <f>IFERROR(__xludf.DUMMYFUNCTION("GOOGLETRANSLATE(C1586, ""en"", ""tr"")"),"Göz ardı etmek")</f>
        <v>Göz ardı etmek</v>
      </c>
      <c r="AI1586" s="6" t="s">
        <v>32341</v>
      </c>
      <c r="AJ1586" s="6" t="s">
        <v>24261</v>
      </c>
      <c r="AK1586" s="7" t="str">
        <f>IFERROR(__xludf.DUMMYFUNCTION("GOOGLETRANSLATE(C1586, ""en"", ""zh"")"),"忽略")</f>
        <v>忽略</v>
      </c>
      <c r="AL1586" s="6" t="s">
        <v>32342</v>
      </c>
    </row>
    <row r="1587" ht="15.75" customHeight="1">
      <c r="A1587" s="1" t="s">
        <v>127</v>
      </c>
      <c r="B1587" s="1" t="s">
        <v>32343</v>
      </c>
      <c r="C1587" s="1" t="s">
        <v>10058</v>
      </c>
      <c r="D1587" s="8" t="s">
        <v>10059</v>
      </c>
      <c r="E1587" s="1" t="s">
        <v>10060</v>
      </c>
      <c r="F1587" s="6" t="s">
        <v>132</v>
      </c>
      <c r="G1587" s="1" t="s">
        <v>10061</v>
      </c>
      <c r="H1587" s="1" t="s">
        <v>10062</v>
      </c>
      <c r="I1587" s="1" t="s">
        <v>32344</v>
      </c>
      <c r="J1587" s="6" t="s">
        <v>10064</v>
      </c>
      <c r="K1587" s="1" t="s">
        <v>10065</v>
      </c>
      <c r="L1587" s="1" t="s">
        <v>10066</v>
      </c>
      <c r="M1587" s="1" t="s">
        <v>10067</v>
      </c>
      <c r="N1587" s="6" t="s">
        <v>132</v>
      </c>
      <c r="O1587" s="6" t="s">
        <v>10068</v>
      </c>
      <c r="P1587" s="1" t="s">
        <v>10069</v>
      </c>
      <c r="Q1587" s="1" t="s">
        <v>10070</v>
      </c>
      <c r="R1587" s="1" t="s">
        <v>10071</v>
      </c>
      <c r="S1587" s="10" t="s">
        <v>10072</v>
      </c>
      <c r="T1587" s="1" t="s">
        <v>10073</v>
      </c>
      <c r="U1587" s="1" t="s">
        <v>10074</v>
      </c>
      <c r="V1587" s="1" t="s">
        <v>10070</v>
      </c>
      <c r="W1587" s="1" t="s">
        <v>10075</v>
      </c>
      <c r="X1587" s="1" t="s">
        <v>10076</v>
      </c>
      <c r="Y1587" s="1" t="s">
        <v>32345</v>
      </c>
      <c r="Z1587" s="1" t="s">
        <v>10065</v>
      </c>
      <c r="AA1587" s="7" t="str">
        <f>IFERROR(__xludf.DUMMYFUNCTION("GOOGLETRANSLATE(C1587, ""en"", ""ro"")"),"Vinde")</f>
        <v>Vinde</v>
      </c>
      <c r="AB1587" s="1" t="s">
        <v>10079</v>
      </c>
      <c r="AC1587" s="1" t="s">
        <v>10080</v>
      </c>
      <c r="AD1587" s="6" t="s">
        <v>10081</v>
      </c>
      <c r="AE1587" s="1" t="s">
        <v>10081</v>
      </c>
      <c r="AF1587" s="1" t="s">
        <v>10083</v>
      </c>
      <c r="AG1587" s="6" t="s">
        <v>10084</v>
      </c>
      <c r="AH1587" s="1" t="s">
        <v>10085</v>
      </c>
      <c r="AI1587" s="6" t="s">
        <v>132</v>
      </c>
      <c r="AJ1587" s="6" t="s">
        <v>10086</v>
      </c>
      <c r="AK1587" s="1" t="s">
        <v>10087</v>
      </c>
      <c r="AL1587" s="6" t="s">
        <v>10088</v>
      </c>
    </row>
    <row r="1588" ht="15.75" hidden="1" customHeight="1">
      <c r="A1588" s="1" t="s">
        <v>38</v>
      </c>
      <c r="B1588" s="1" t="s">
        <v>32346</v>
      </c>
      <c r="C1588" s="1" t="s">
        <v>32347</v>
      </c>
      <c r="D1588" s="7" t="str">
        <f>IFERROR(__xludf.DUMMYFUNCTION("GOOGLETRANSLATE(C1588, ""en"", ""ar"")"),"إيران، جمهورية إسلامية")</f>
        <v>إيران، جمهورية إسلامية</v>
      </c>
      <c r="E1588" s="7" t="str">
        <f>IFERROR(__xludf.DUMMYFUNCTION("GOOGLETRANSLATE(C1588, ""en"", ""bg"")"),"Иран, Ислямска република")</f>
        <v>Иран, Ислямска република</v>
      </c>
      <c r="F1588" s="6" t="s">
        <v>132</v>
      </c>
      <c r="G1588" s="7" t="str">
        <f>IFERROR(__xludf.DUMMYFUNCTION("GOOGLETRANSLATE(C1588, ""en"", ""cs"")"),"Írán, islámská republika")</f>
        <v>Írán, islámská republika</v>
      </c>
      <c r="H1588" s="7" t="str">
        <f>IFERROR(__xludf.DUMMYFUNCTION("GOOGLETRANSLATE(C1588, ""en"", ""da"")"),"Iran, Islamic Republic of")</f>
        <v>Iran, Islamic Republic of</v>
      </c>
      <c r="I1588" s="1" t="s">
        <v>32348</v>
      </c>
      <c r="J1588" s="6" t="s">
        <v>132</v>
      </c>
      <c r="K1588" s="1" t="s">
        <v>32349</v>
      </c>
      <c r="L1588" s="7" t="str">
        <f>IFERROR(__xludf.DUMMYFUNCTION("GOOGLETRANSLATE(C1588, ""en"", ""fi"")"),"Iran, islamilainen tasavalta")</f>
        <v>Iran, islamilainen tasavalta</v>
      </c>
      <c r="M1588" s="1" t="s">
        <v>32350</v>
      </c>
      <c r="N1588" s="6" t="s">
        <v>132</v>
      </c>
      <c r="O1588" s="6" t="s">
        <v>132</v>
      </c>
      <c r="P1588" s="1" t="s">
        <v>32347</v>
      </c>
      <c r="Q1588" s="7" t="str">
        <f>IFERROR(__xludf.DUMMYFUNCTION("GOOGLETRANSLATE(C1588, ""en"", ""in"")"),"Iran (Republik Islam")</f>
        <v>Iran (Republik Islam</v>
      </c>
      <c r="R1588" s="7" t="str">
        <f>IFERROR(__xludf.DUMMYFUNCTION("GOOGLETRANSLATE(C1588, ""en"", ""it"")"),"Iran (Repubblica Islamica del")</f>
        <v>Iran (Repubblica Islamica del</v>
      </c>
      <c r="S1588" s="6" t="s">
        <v>132</v>
      </c>
      <c r="T1588" s="7" t="str">
        <f>IFERROR(__xludf.DUMMYFUNCTION("GOOGLETRANSLATE(C1588, ""en"", ""ja"")"),"イスラム共和国")</f>
        <v>イスラム共和国</v>
      </c>
      <c r="U1588" s="7" t="str">
        <f>IFERROR(__xludf.DUMMYFUNCTION("GOOGLETRANSLATE(C1588, ""en"", ""ko"")"),"이란, 이슬람 공화국")</f>
        <v>이란, 이슬람 공화국</v>
      </c>
      <c r="V1588" s="7" t="str">
        <f>IFERROR(__xludf.DUMMYFUNCTION("GOOGLETRANSLATE(C1588, ""en"", ""ms"")"),"Iran, Republik Islam")</f>
        <v>Iran, Republik Islam</v>
      </c>
      <c r="W1588" s="7" t="str">
        <f>IFERROR(__xludf.DUMMYFUNCTION("GOOGLETRANSLATE(C1588, ""en"", ""nl"")"),"Iran, Islamitische Republiek")</f>
        <v>Iran, Islamitische Republiek</v>
      </c>
      <c r="X1588" s="7" t="str">
        <f>IFERROR(__xludf.DUMMYFUNCTION("GOOGLETRANSLATE(C1588, ""en"", ""no"")"),"Iran, islamsk republikk")</f>
        <v>Iran, islamsk republikk</v>
      </c>
      <c r="Y1588" s="7" t="str">
        <f>IFERROR(__xludf.DUMMYFUNCTION("GOOGLETRANSLATE(C1588, ""en"", ""pl"")"),"Iran (Islamska Republika")</f>
        <v>Iran (Islamska Republika</v>
      </c>
      <c r="Z1588" s="7" t="str">
        <f>IFERROR(__xludf.DUMMYFUNCTION("GOOGLETRANSLATE(C1588, ""en"", ""pt"")"),"Irã (Republic Islâmica do Irã")</f>
        <v>Irã (Republic Islâmica do Irã</v>
      </c>
      <c r="AA1588" s="7" t="str">
        <f>IFERROR(__xludf.DUMMYFUNCTION("GOOGLETRANSLATE(C1588, ""en"", ""ro"")"),"Iran (Republica Islamica a")</f>
        <v>Iran (Republica Islamica a</v>
      </c>
      <c r="AB1588" s="1" t="s">
        <v>32351</v>
      </c>
      <c r="AC1588" s="7" t="str">
        <f>IFERROR(__xludf.DUMMYFUNCTION("GOOGLETRANSLATE(C1588, ""en"", ""sk"")"),"Irán, Islamská republika")</f>
        <v>Irán, Islamská republika</v>
      </c>
      <c r="AD1588" s="6" t="s">
        <v>132</v>
      </c>
      <c r="AE1588" s="1" t="s">
        <v>32348</v>
      </c>
      <c r="AF1588" s="7" t="str">
        <f>IFERROR(__xludf.DUMMYFUNCTION("GOOGLETRANSLATE(C1588, ""en"", ""sv"")"),"Iran, Islamic Republic of")</f>
        <v>Iran, Islamic Republic of</v>
      </c>
      <c r="AG1588" s="6" t="s">
        <v>132</v>
      </c>
      <c r="AH1588" s="7" t="str">
        <f>IFERROR(__xludf.DUMMYFUNCTION("GOOGLETRANSLATE(C1588, ""en"", ""tr"")"),"İran, İslam Cumhuriyeti")</f>
        <v>İran, İslam Cumhuriyeti</v>
      </c>
      <c r="AI1588" s="6" t="s">
        <v>132</v>
      </c>
      <c r="AJ1588" s="6" t="s">
        <v>132</v>
      </c>
      <c r="AK1588" s="7" t="str">
        <f>IFERROR(__xludf.DUMMYFUNCTION("GOOGLETRANSLATE(C1588, ""en"", ""zh"")"),"伊朗，伊斯兰共和国")</f>
        <v>伊朗，伊斯兰共和国</v>
      </c>
      <c r="AL1588" s="6" t="s">
        <v>132</v>
      </c>
    </row>
    <row r="1589" ht="15.75" hidden="1" customHeight="1">
      <c r="A1589" s="1" t="s">
        <v>38</v>
      </c>
      <c r="B1589" s="1" t="s">
        <v>32352</v>
      </c>
      <c r="C1589" s="1" t="s">
        <v>32353</v>
      </c>
      <c r="D1589" s="8" t="s">
        <v>3927</v>
      </c>
      <c r="E1589" s="1" t="s">
        <v>32354</v>
      </c>
      <c r="F1589" s="6" t="s">
        <v>32355</v>
      </c>
      <c r="G1589" s="7" t="str">
        <f>IFERROR(__xludf.DUMMYFUNCTION("GOOGLETRANSLATE(C1589, ""en"", ""cs"")"),"Zaneprázdněný")</f>
        <v>Zaneprázdněný</v>
      </c>
      <c r="H1589" s="7" t="str">
        <f>IFERROR(__xludf.DUMMYFUNCTION("GOOGLETRANSLATE(C1589, ""en"", ""da"")"),"Travl")</f>
        <v>Travl</v>
      </c>
      <c r="I1589" s="1" t="s">
        <v>32356</v>
      </c>
      <c r="J1589" s="6" t="s">
        <v>132</v>
      </c>
      <c r="K1589" s="1" t="s">
        <v>32357</v>
      </c>
      <c r="L1589" s="7" t="str">
        <f>IFERROR(__xludf.DUMMYFUNCTION("GOOGLETRANSLATE(C1589, ""en"", ""fi"")"),"Kiireinen")</f>
        <v>Kiireinen</v>
      </c>
      <c r="M1589" s="1" t="s">
        <v>32358</v>
      </c>
      <c r="N1589" s="6" t="s">
        <v>32359</v>
      </c>
      <c r="O1589" s="6" t="s">
        <v>132</v>
      </c>
      <c r="P1589" s="1" t="s">
        <v>32360</v>
      </c>
      <c r="Q1589" s="9" t="s">
        <v>32361</v>
      </c>
      <c r="R1589" s="1" t="s">
        <v>32362</v>
      </c>
      <c r="S1589" s="6" t="s">
        <v>132</v>
      </c>
      <c r="T1589" s="1" t="s">
        <v>32363</v>
      </c>
      <c r="U1589" s="1" t="s">
        <v>32364</v>
      </c>
      <c r="V1589" s="7" t="str">
        <f>IFERROR(__xludf.DUMMYFUNCTION("GOOGLETRANSLATE(C1589, ""en"", ""ms"")"),"Sibuk")</f>
        <v>Sibuk</v>
      </c>
      <c r="W1589" s="1" t="s">
        <v>32365</v>
      </c>
      <c r="X1589" s="7" t="str">
        <f>IFERROR(__xludf.DUMMYFUNCTION("GOOGLETRANSLATE(C1589, ""en"", ""no"")"),"Travel")</f>
        <v>Travel</v>
      </c>
      <c r="Y1589" s="1" t="s">
        <v>32366</v>
      </c>
      <c r="Z1589" s="1" t="s">
        <v>32357</v>
      </c>
      <c r="AA1589" s="7" t="str">
        <f>IFERROR(__xludf.DUMMYFUNCTION("GOOGLETRANSLATE(C1589, ""en"", ""ro"")"),"Ocupat")</f>
        <v>Ocupat</v>
      </c>
      <c r="AB1589" s="1" t="s">
        <v>32367</v>
      </c>
      <c r="AC1589" s="7" t="str">
        <f>IFERROR(__xludf.DUMMYFUNCTION("GOOGLETRANSLATE(C1589, ""en"", ""sk"")"),"Zaneprázdnený")</f>
        <v>Zaneprázdnený</v>
      </c>
      <c r="AD1589" s="6" t="s">
        <v>132</v>
      </c>
      <c r="AE1589" s="1" t="s">
        <v>32368</v>
      </c>
      <c r="AF1589" s="1" t="s">
        <v>32369</v>
      </c>
      <c r="AG1589" s="6" t="s">
        <v>132</v>
      </c>
      <c r="AH1589" s="7" t="str">
        <f>IFERROR(__xludf.DUMMYFUNCTION("GOOGLETRANSLATE(C1589, ""en"", ""tr"")"),"Meşgul")</f>
        <v>Meşgul</v>
      </c>
      <c r="AI1589" s="6" t="s">
        <v>32370</v>
      </c>
      <c r="AJ1589" s="6" t="s">
        <v>132</v>
      </c>
      <c r="AK1589" s="7" t="str">
        <f>IFERROR(__xludf.DUMMYFUNCTION("GOOGLETRANSLATE(C1589, ""en"", ""zh"")"),"忙")</f>
        <v>忙</v>
      </c>
      <c r="AL1589" s="6" t="s">
        <v>32371</v>
      </c>
    </row>
    <row r="1590" ht="15.75" hidden="1" customHeight="1">
      <c r="A1590" s="1" t="s">
        <v>38</v>
      </c>
      <c r="B1590" s="1" t="s">
        <v>32372</v>
      </c>
      <c r="C1590" s="12" t="s">
        <v>132</v>
      </c>
      <c r="D1590" s="7" t="str">
        <f>IFERROR(__xludf.DUMMYFUNCTION("GOOGLETRANSLATE(C1590, ""en"", ""ar"")"),"#VALUE!")</f>
        <v>#VALUE!</v>
      </c>
      <c r="E1590" s="7" t="str">
        <f>IFERROR(__xludf.DUMMYFUNCTION("GOOGLETRANSLATE(C1590, ""en"", ""bg"")"),"#VALUE!")</f>
        <v>#VALUE!</v>
      </c>
      <c r="F1590" s="6" t="s">
        <v>132</v>
      </c>
      <c r="G1590" s="7" t="str">
        <f>IFERROR(__xludf.DUMMYFUNCTION("GOOGLETRANSLATE(C1590, ""en"", ""cs"")"),"#VALUE!")</f>
        <v>#VALUE!</v>
      </c>
      <c r="H1590" s="7" t="str">
        <f>IFERROR(__xludf.DUMMYFUNCTION("GOOGLETRANSLATE(C1590, ""en"", ""da"")"),"#VALUE!")</f>
        <v>#VALUE!</v>
      </c>
      <c r="I1590" s="7" t="str">
        <f>IFERROR(__xludf.DUMMYFUNCTION("GOOGLETRANSLATE(C1590, ""en"", ""de"")"),"#VALUE!")</f>
        <v>#VALUE!</v>
      </c>
      <c r="J1590" s="6" t="s">
        <v>132</v>
      </c>
      <c r="K1590" s="7" t="str">
        <f>IFERROR(__xludf.DUMMYFUNCTION("GOOGLETRANSLATE(C1590, ""en"", ""es"")"),"#VALUE!")</f>
        <v>#VALUE!</v>
      </c>
      <c r="L1590" s="7" t="str">
        <f>IFERROR(__xludf.DUMMYFUNCTION("GOOGLETRANSLATE(C1590, ""en"", ""fi"")"),"#VALUE!")</f>
        <v>#VALUE!</v>
      </c>
      <c r="M1590" s="7" t="str">
        <f>IFERROR(__xludf.DUMMYFUNCTION("GOOGLETRANSLATE(C1590, ""en"", ""fr"")"),"#VALUE!")</f>
        <v>#VALUE!</v>
      </c>
      <c r="N1590" s="6" t="s">
        <v>132</v>
      </c>
      <c r="O1590" s="6" t="s">
        <v>132</v>
      </c>
      <c r="P1590" s="7" t="str">
        <f>IFERROR(__xludf.DUMMYFUNCTION("GOOGLETRANSLATE(C1590, ""en"", ""hu"")"),"#VALUE!")</f>
        <v>#VALUE!</v>
      </c>
      <c r="Q1590" s="7" t="str">
        <f>IFERROR(__xludf.DUMMYFUNCTION("GOOGLETRANSLATE(C1590, ""en"", ""in"")"),"#VALUE!")</f>
        <v>#VALUE!</v>
      </c>
      <c r="R1590" s="7" t="str">
        <f>IFERROR(__xludf.DUMMYFUNCTION("GOOGLETRANSLATE(C1590, ""en"", ""it"")"),"#VALUE!")</f>
        <v>#VALUE!</v>
      </c>
      <c r="S1590" s="6" t="s">
        <v>132</v>
      </c>
      <c r="T1590" s="7" t="str">
        <f>IFERROR(__xludf.DUMMYFUNCTION("GOOGLETRANSLATE(C1590, ""en"", ""ja"")"),"#VALUE!")</f>
        <v>#VALUE!</v>
      </c>
      <c r="U1590" s="1" t="s">
        <v>32373</v>
      </c>
      <c r="V1590" s="7" t="str">
        <f>IFERROR(__xludf.DUMMYFUNCTION("GOOGLETRANSLATE(C1590, ""en"", ""ms"")"),"#VALUE!")</f>
        <v>#VALUE!</v>
      </c>
      <c r="W1590" s="7" t="str">
        <f>IFERROR(__xludf.DUMMYFUNCTION("GOOGLETRANSLATE(C1590, ""en"", ""nl"")"),"#VALUE!")</f>
        <v>#VALUE!</v>
      </c>
      <c r="X1590" s="7" t="str">
        <f>IFERROR(__xludf.DUMMYFUNCTION("GOOGLETRANSLATE(C1590, ""en"", ""no"")"),"#VALUE!")</f>
        <v>#VALUE!</v>
      </c>
      <c r="Y1590" s="7" t="str">
        <f>IFERROR(__xludf.DUMMYFUNCTION("GOOGLETRANSLATE(C1590, ""en"", ""pl"")"),"#VALUE!")</f>
        <v>#VALUE!</v>
      </c>
      <c r="Z1590" s="7" t="str">
        <f>IFERROR(__xludf.DUMMYFUNCTION("GOOGLETRANSLATE(C1590, ""en"", ""pt"")"),"#VALUE!")</f>
        <v>#VALUE!</v>
      </c>
      <c r="AA1590" s="7" t="str">
        <f>IFERROR(__xludf.DUMMYFUNCTION("GOOGLETRANSLATE(C1590, ""en"", ""ro"")"),"#VALUE!")</f>
        <v>#VALUE!</v>
      </c>
      <c r="AB1590" s="7" t="str">
        <f>IFERROR(__xludf.DUMMYFUNCTION("GOOGLETRANSLATE(C1590, ""en"", ""ru"")"),"#VALUE!")</f>
        <v>#VALUE!</v>
      </c>
      <c r="AC1590" s="7" t="str">
        <f>IFERROR(__xludf.DUMMYFUNCTION("GOOGLETRANSLATE(C1590, ""en"", ""sk"")"),"#VALUE!")</f>
        <v>#VALUE!</v>
      </c>
      <c r="AD1590" s="6" t="s">
        <v>132</v>
      </c>
      <c r="AE1590" s="7" t="str">
        <f>IFERROR(__xludf.DUMMYFUNCTION("GOOGLETRANSLATE(C1590, ""en"", ""sr"")"),"#VALUE!")</f>
        <v>#VALUE!</v>
      </c>
      <c r="AF1590" s="7" t="str">
        <f>IFERROR(__xludf.DUMMYFUNCTION("GOOGLETRANSLATE(C1590, ""en"", ""sv"")"),"#VALUE!")</f>
        <v>#VALUE!</v>
      </c>
      <c r="AG1590" s="6" t="s">
        <v>132</v>
      </c>
      <c r="AH1590" s="7" t="str">
        <f>IFERROR(__xludf.DUMMYFUNCTION("GOOGLETRANSLATE(C1590, ""en"", ""tr"")"),"#VALUE!")</f>
        <v>#VALUE!</v>
      </c>
      <c r="AI1590" s="6" t="s">
        <v>132</v>
      </c>
      <c r="AJ1590" s="6" t="s">
        <v>132</v>
      </c>
      <c r="AK1590" s="7" t="str">
        <f>IFERROR(__xludf.DUMMYFUNCTION("GOOGLETRANSLATE(C1590, ""en"", ""zh"")"),"#VALUE!")</f>
        <v>#VALUE!</v>
      </c>
      <c r="AL1590" s="6" t="s">
        <v>32374</v>
      </c>
    </row>
    <row r="1591" ht="15.75" hidden="1" customHeight="1">
      <c r="A1591" s="1" t="s">
        <v>38</v>
      </c>
      <c r="B1591" s="1" t="s">
        <v>32375</v>
      </c>
      <c r="C1591" s="1" t="s">
        <v>32375</v>
      </c>
      <c r="D1591" s="8" t="s">
        <v>32376</v>
      </c>
      <c r="E1591" s="1" t="s">
        <v>32377</v>
      </c>
      <c r="F1591" s="6" t="s">
        <v>32375</v>
      </c>
      <c r="G1591" s="7" t="str">
        <f>IFERROR(__xludf.DUMMYFUNCTION("GOOGLETRANSLATE(C1591, ""en"", ""cs"")"),"video")</f>
        <v>video</v>
      </c>
      <c r="H1591" s="7" t="str">
        <f>IFERROR(__xludf.DUMMYFUNCTION("GOOGLETRANSLATE(C1591, ""en"", ""da"")"),"Video.")</f>
        <v>Video.</v>
      </c>
      <c r="I1591" s="1" t="s">
        <v>32378</v>
      </c>
      <c r="J1591" s="6" t="s">
        <v>132</v>
      </c>
      <c r="K1591" s="1" t="s">
        <v>32379</v>
      </c>
      <c r="L1591" s="7" t="str">
        <f>IFERROR(__xludf.DUMMYFUNCTION("GOOGLETRANSLATE(C1591, ""en"", ""fi"")"),"video-")</f>
        <v>video-</v>
      </c>
      <c r="M1591" s="1" t="s">
        <v>32380</v>
      </c>
      <c r="N1591" s="6" t="s">
        <v>32375</v>
      </c>
      <c r="O1591" s="6" t="s">
        <v>132</v>
      </c>
      <c r="P1591" s="1" t="s">
        <v>32381</v>
      </c>
      <c r="Q1591" s="9" t="s">
        <v>32375</v>
      </c>
      <c r="R1591" s="1" t="s">
        <v>32375</v>
      </c>
      <c r="S1591" s="6" t="s">
        <v>132</v>
      </c>
      <c r="T1591" s="1" t="s">
        <v>32382</v>
      </c>
      <c r="U1591" s="1" t="s">
        <v>32383</v>
      </c>
      <c r="V1591" s="7" t="str">
        <f>IFERROR(__xludf.DUMMYFUNCTION("GOOGLETRANSLATE(C1591, ""en"", ""ms"")"),"video.")</f>
        <v>video.</v>
      </c>
      <c r="W1591" s="1" t="s">
        <v>32375</v>
      </c>
      <c r="X1591" s="7" t="str">
        <f>IFERROR(__xludf.DUMMYFUNCTION("GOOGLETRANSLATE(C1591, ""en"", ""no"")"),"Video")</f>
        <v>Video</v>
      </c>
      <c r="Y1591" s="1" t="s">
        <v>32384</v>
      </c>
      <c r="Z1591" s="1" t="s">
        <v>32379</v>
      </c>
      <c r="AA1591" s="7" t="str">
        <f>IFERROR(__xludf.DUMMYFUNCTION("GOOGLETRANSLATE(C1591, ""en"", ""ro"")"),"video")</f>
        <v>video</v>
      </c>
      <c r="AB1591" s="1" t="s">
        <v>20711</v>
      </c>
      <c r="AC1591" s="1" t="s">
        <v>32375</v>
      </c>
      <c r="AD1591" s="6" t="s">
        <v>132</v>
      </c>
      <c r="AE1591" s="1" t="s">
        <v>32377</v>
      </c>
      <c r="AF1591" s="1" t="s">
        <v>32375</v>
      </c>
      <c r="AG1591" s="6" t="s">
        <v>132</v>
      </c>
      <c r="AH1591" s="7" t="str">
        <f>IFERROR(__xludf.DUMMYFUNCTION("GOOGLETRANSLATE(C1591, ""en"", ""tr"")"),"video")</f>
        <v>video</v>
      </c>
      <c r="AI1591" s="6" t="s">
        <v>32385</v>
      </c>
      <c r="AJ1591" s="6" t="s">
        <v>32375</v>
      </c>
      <c r="AK1591" s="7" t="str">
        <f>IFERROR(__xludf.DUMMYFUNCTION("GOOGLETRANSLATE(C1591, ""en"", ""zh"")"),"视频")</f>
        <v>视频</v>
      </c>
      <c r="AL1591" s="6" t="s">
        <v>32386</v>
      </c>
    </row>
    <row r="1592" ht="15.75" customHeight="1">
      <c r="A1592" s="1" t="s">
        <v>127</v>
      </c>
      <c r="B1592" s="1" t="s">
        <v>32387</v>
      </c>
      <c r="C1592" s="1" t="s">
        <v>14769</v>
      </c>
      <c r="D1592" s="8" t="s">
        <v>14770</v>
      </c>
      <c r="E1592" s="1" t="s">
        <v>14771</v>
      </c>
      <c r="F1592" s="6" t="s">
        <v>132</v>
      </c>
      <c r="G1592" s="1" t="s">
        <v>14772</v>
      </c>
      <c r="H1592" s="1" t="s">
        <v>14773</v>
      </c>
      <c r="I1592" s="1" t="s">
        <v>32388</v>
      </c>
      <c r="J1592" s="6" t="s">
        <v>14774</v>
      </c>
      <c r="K1592" s="1" t="s">
        <v>14775</v>
      </c>
      <c r="L1592" s="1" t="s">
        <v>14776</v>
      </c>
      <c r="M1592" s="1" t="s">
        <v>32389</v>
      </c>
      <c r="N1592" s="6" t="s">
        <v>132</v>
      </c>
      <c r="O1592" s="6" t="s">
        <v>14778</v>
      </c>
      <c r="P1592" s="1" t="s">
        <v>14779</v>
      </c>
      <c r="Q1592" s="1" t="s">
        <v>14780</v>
      </c>
      <c r="R1592" s="1" t="s">
        <v>14781</v>
      </c>
      <c r="S1592" s="10" t="s">
        <v>14782</v>
      </c>
      <c r="T1592" s="1" t="s">
        <v>384</v>
      </c>
      <c r="U1592" s="1" t="s">
        <v>14783</v>
      </c>
      <c r="V1592" s="1" t="s">
        <v>14780</v>
      </c>
      <c r="W1592" s="1" t="s">
        <v>14784</v>
      </c>
      <c r="X1592" s="1" t="s">
        <v>14773</v>
      </c>
      <c r="Y1592" s="1" t="s">
        <v>389</v>
      </c>
      <c r="Z1592" s="1" t="s">
        <v>390</v>
      </c>
      <c r="AA1592" s="7" t="str">
        <f>IFERROR(__xludf.DUMMYFUNCTION("GOOGLETRANSLATE(C1592, ""en"", ""ro"")"),"Metale")</f>
        <v>Metale</v>
      </c>
      <c r="AB1592" s="1" t="s">
        <v>14785</v>
      </c>
      <c r="AC1592" s="1" t="s">
        <v>14772</v>
      </c>
      <c r="AD1592" s="6" t="s">
        <v>14786</v>
      </c>
      <c r="AE1592" s="1" t="s">
        <v>395</v>
      </c>
      <c r="AF1592" s="1" t="s">
        <v>14773</v>
      </c>
      <c r="AG1592" s="6" t="s">
        <v>14787</v>
      </c>
      <c r="AH1592" s="1" t="s">
        <v>14773</v>
      </c>
      <c r="AI1592" s="6" t="s">
        <v>132</v>
      </c>
      <c r="AJ1592" s="6" t="s">
        <v>14788</v>
      </c>
      <c r="AK1592" s="1" t="s">
        <v>384</v>
      </c>
      <c r="AL1592" s="6" t="s">
        <v>132</v>
      </c>
    </row>
    <row r="1593" ht="15.75" hidden="1" customHeight="1">
      <c r="A1593" s="1" t="s">
        <v>38</v>
      </c>
      <c r="B1593" s="1" t="s">
        <v>32390</v>
      </c>
      <c r="C1593" s="1" t="s">
        <v>32391</v>
      </c>
      <c r="D1593" s="8" t="s">
        <v>32392</v>
      </c>
      <c r="E1593" s="1" t="s">
        <v>32393</v>
      </c>
      <c r="F1593" s="6" t="s">
        <v>32394</v>
      </c>
      <c r="G1593" s="7" t="str">
        <f>IFERROR(__xludf.DUMMYFUNCTION("GOOGLETRANSLATE(C1593, ""en"", ""cs"")"),"Poslat zprávu do% s")</f>
        <v>Poslat zprávu do% s</v>
      </c>
      <c r="H1593" s="7" t="str">
        <f>IFERROR(__xludf.DUMMYFUNCTION("GOOGLETRANSLATE(C1593, ""en"", ""da"")"),"Send besked til% s")</f>
        <v>Send besked til% s</v>
      </c>
      <c r="I1593" s="1" t="s">
        <v>32395</v>
      </c>
      <c r="J1593" s="6" t="s">
        <v>132</v>
      </c>
      <c r="K1593" s="1" t="s">
        <v>32396</v>
      </c>
      <c r="L1593" s="7" t="str">
        <f>IFERROR(__xludf.DUMMYFUNCTION("GOOGLETRANSLATE(C1593, ""en"", ""fi"")"),"Lähetä viesti%: lle")</f>
        <v>Lähetä viesti%: lle</v>
      </c>
      <c r="M1593" s="1" t="s">
        <v>32397</v>
      </c>
      <c r="N1593" s="6" t="s">
        <v>32398</v>
      </c>
      <c r="O1593" s="6" t="s">
        <v>132</v>
      </c>
      <c r="P1593" s="1" t="s">
        <v>32399</v>
      </c>
      <c r="Q1593" s="7" t="str">
        <f>IFERROR(__xludf.DUMMYFUNCTION("GOOGLETRANSLATE(C1593, ""en"", ""in"")"),"Kirim pesan ke% s")</f>
        <v>Kirim pesan ke% s</v>
      </c>
      <c r="R1593" s="1" t="s">
        <v>32400</v>
      </c>
      <c r="S1593" s="6" t="s">
        <v>132</v>
      </c>
      <c r="T1593" s="1" t="s">
        <v>32401</v>
      </c>
      <c r="U1593" s="1" t="s">
        <v>32402</v>
      </c>
      <c r="V1593" s="7" t="str">
        <f>IFERROR(__xludf.DUMMYFUNCTION("GOOGLETRANSLATE(C1593, ""en"", ""ms"")"),"Hantar mesej kepada% s")</f>
        <v>Hantar mesej kepada% s</v>
      </c>
      <c r="W1593" s="1" t="s">
        <v>32403</v>
      </c>
      <c r="X1593" s="7" t="str">
        <f>IFERROR(__xludf.DUMMYFUNCTION("GOOGLETRANSLATE(C1593, ""en"", ""no"")"),"Send melding til% s")</f>
        <v>Send melding til% s</v>
      </c>
      <c r="Y1593" s="1" t="s">
        <v>32404</v>
      </c>
      <c r="Z1593" s="1" t="s">
        <v>32405</v>
      </c>
      <c r="AA1593" s="7" t="str">
        <f>IFERROR(__xludf.DUMMYFUNCTION("GOOGLETRANSLATE(C1593, ""en"", ""ro"")"),"Trimite mesaj la% s")</f>
        <v>Trimite mesaj la% s</v>
      </c>
      <c r="AB1593" s="1" t="s">
        <v>32406</v>
      </c>
      <c r="AC1593" s="7" t="str">
        <f>IFERROR(__xludf.DUMMYFUNCTION("GOOGLETRANSLATE(C1593, ""en"", ""sk"")"),"Poslať správu% S")</f>
        <v>Poslať správu% S</v>
      </c>
      <c r="AD1593" s="6" t="s">
        <v>132</v>
      </c>
      <c r="AE1593" s="1" t="s">
        <v>32407</v>
      </c>
      <c r="AF1593" s="1" t="s">
        <v>32408</v>
      </c>
      <c r="AG1593" s="6" t="s">
        <v>132</v>
      </c>
      <c r="AH1593" s="13" t="s">
        <v>32409</v>
      </c>
      <c r="AI1593" s="6" t="s">
        <v>32410</v>
      </c>
      <c r="AJ1593" s="6" t="s">
        <v>32411</v>
      </c>
      <c r="AK1593" s="7" t="str">
        <f>IFERROR(__xludf.DUMMYFUNCTION("GOOGLETRANSLATE(C1593, ""en"", ""zh"")"),"发送消息到％s")</f>
        <v>发送消息到％s</v>
      </c>
      <c r="AL1593" s="6" t="s">
        <v>32412</v>
      </c>
    </row>
    <row r="1594" ht="15.75" hidden="1" customHeight="1">
      <c r="A1594" s="1" t="s">
        <v>38</v>
      </c>
      <c r="B1594" s="1" t="s">
        <v>32413</v>
      </c>
      <c r="C1594" s="1" t="s">
        <v>32414</v>
      </c>
      <c r="D1594" s="8" t="s">
        <v>32415</v>
      </c>
      <c r="E1594" s="1" t="s">
        <v>32416</v>
      </c>
      <c r="F1594" s="6" t="s">
        <v>32417</v>
      </c>
      <c r="G1594" s="7" t="str">
        <f>IFERROR(__xludf.DUMMYFUNCTION("GOOGLETRANSLATE(C1594, ""en"", ""cs"")"),"Private, pouze členové")</f>
        <v>Private, pouze členové</v>
      </c>
      <c r="H1594" s="7" t="str">
        <f>IFERROR(__xludf.DUMMYFUNCTION("GOOGLETRANSLATE(C1594, ""en"", ""da"")"),"Privat, kun medlemmer")</f>
        <v>Privat, kun medlemmer</v>
      </c>
      <c r="I1594" s="1" t="s">
        <v>32418</v>
      </c>
      <c r="J1594" s="6" t="s">
        <v>132</v>
      </c>
      <c r="K1594" s="1" t="s">
        <v>32419</v>
      </c>
      <c r="L1594" s="7" t="str">
        <f>IFERROR(__xludf.DUMMYFUNCTION("GOOGLETRANSLATE(C1594, ""en"", ""fi"")"),"Yksityinen vain jäsenet")</f>
        <v>Yksityinen vain jäsenet</v>
      </c>
      <c r="M1594" s="1" t="s">
        <v>32420</v>
      </c>
      <c r="N1594" s="6" t="s">
        <v>32421</v>
      </c>
      <c r="O1594" s="6" t="s">
        <v>132</v>
      </c>
      <c r="P1594" s="1" t="s">
        <v>32422</v>
      </c>
      <c r="Q1594" s="7" t="str">
        <f>IFERROR(__xludf.DUMMYFUNCTION("GOOGLETRANSLATE(C1594, ""en"", ""in"")"),"Pribadi, hanya anggota")</f>
        <v>Pribadi, hanya anggota</v>
      </c>
      <c r="R1594" s="1" t="s">
        <v>32423</v>
      </c>
      <c r="S1594" s="6" t="s">
        <v>132</v>
      </c>
      <c r="T1594" s="1" t="s">
        <v>32424</v>
      </c>
      <c r="U1594" s="1" t="s">
        <v>32425</v>
      </c>
      <c r="V1594" s="7" t="str">
        <f>IFERROR(__xludf.DUMMYFUNCTION("GOOGLETRANSLATE(C1594, ""en"", ""ms"")"),"Persendirian, hanya ahli")</f>
        <v>Persendirian, hanya ahli</v>
      </c>
      <c r="W1594" s="1" t="s">
        <v>32426</v>
      </c>
      <c r="X1594" s="7" t="str">
        <f>IFERROR(__xludf.DUMMYFUNCTION("GOOGLETRANSLATE(C1594, ""en"", ""no"")"),"Privat, bare medlemmer")</f>
        <v>Privat, bare medlemmer</v>
      </c>
      <c r="Y1594" s="1" t="s">
        <v>32427</v>
      </c>
      <c r="Z1594" s="1" t="s">
        <v>32428</v>
      </c>
      <c r="AA1594" s="7" t="str">
        <f>IFERROR(__xludf.DUMMYFUNCTION("GOOGLETRANSLATE(C1594, ""en"", ""ro"")"),"Numai membri privați")</f>
        <v>Numai membri privați</v>
      </c>
      <c r="AB1594" s="1" t="s">
        <v>32429</v>
      </c>
      <c r="AC1594" s="7" t="str">
        <f>IFERROR(__xludf.DUMMYFUNCTION("GOOGLETRANSLATE(C1594, ""en"", ""sk"")"),"Súkromní, len členovia")</f>
        <v>Súkromní, len členovia</v>
      </c>
      <c r="AD1594" s="6" t="s">
        <v>132</v>
      </c>
      <c r="AE1594" s="1" t="s">
        <v>32430</v>
      </c>
      <c r="AF1594" s="1" t="s">
        <v>32431</v>
      </c>
      <c r="AG1594" s="6" t="s">
        <v>132</v>
      </c>
      <c r="AH1594" s="7" t="str">
        <f>IFERROR(__xludf.DUMMYFUNCTION("GOOGLETRANSLATE(C1594, ""en"", ""tr"")"),"Özel, sadece üyeler")</f>
        <v>Özel, sadece üyeler</v>
      </c>
      <c r="AI1594" s="6" t="s">
        <v>32432</v>
      </c>
      <c r="AJ1594" s="6" t="s">
        <v>32433</v>
      </c>
      <c r="AK1594" s="7" t="str">
        <f>IFERROR(__xludf.DUMMYFUNCTION("GOOGLETRANSLATE(C1594, ""en"", ""zh"")"),"私人，员工")</f>
        <v>私人，员工</v>
      </c>
      <c r="AL1594" s="6" t="s">
        <v>32434</v>
      </c>
    </row>
    <row r="1595" ht="15.75" customHeight="1">
      <c r="A1595" s="1" t="s">
        <v>127</v>
      </c>
      <c r="B1595" s="1" t="s">
        <v>32435</v>
      </c>
      <c r="C1595" s="1" t="s">
        <v>32436</v>
      </c>
      <c r="D1595" s="8" t="s">
        <v>32437</v>
      </c>
      <c r="E1595" s="1" t="s">
        <v>32438</v>
      </c>
      <c r="F1595" s="6" t="s">
        <v>132</v>
      </c>
      <c r="G1595" s="1" t="s">
        <v>32439</v>
      </c>
      <c r="H1595" s="1" t="s">
        <v>32440</v>
      </c>
      <c r="I1595" s="1" t="s">
        <v>32441</v>
      </c>
      <c r="J1595" s="6" t="s">
        <v>32442</v>
      </c>
      <c r="K1595" s="1" t="s">
        <v>32443</v>
      </c>
      <c r="L1595" s="1" t="s">
        <v>32444</v>
      </c>
      <c r="M1595" s="1" t="s">
        <v>32445</v>
      </c>
      <c r="N1595" s="6" t="s">
        <v>132</v>
      </c>
      <c r="O1595" s="6" t="s">
        <v>32446</v>
      </c>
      <c r="P1595" s="1" t="s">
        <v>32436</v>
      </c>
      <c r="Q1595" s="1" t="s">
        <v>32447</v>
      </c>
      <c r="R1595" s="1" t="s">
        <v>32448</v>
      </c>
      <c r="S1595" s="10" t="s">
        <v>32449</v>
      </c>
      <c r="T1595" s="1" t="s">
        <v>32450</v>
      </c>
      <c r="U1595" s="1" t="s">
        <v>32451</v>
      </c>
      <c r="V1595" s="1" t="s">
        <v>32452</v>
      </c>
      <c r="W1595" s="1" t="s">
        <v>32436</v>
      </c>
      <c r="X1595" s="1" t="s">
        <v>32453</v>
      </c>
      <c r="Y1595" s="1" t="s">
        <v>32454</v>
      </c>
      <c r="Z1595" s="1" t="s">
        <v>32455</v>
      </c>
      <c r="AA1595" s="7" t="str">
        <f>IFERROR(__xludf.DUMMYFUNCTION("GOOGLETRANSLATE(C1595, ""en"", ""ro"")"),"Situația fluxurilor de trezorerie")</f>
        <v>Situația fluxurilor de trezorerie</v>
      </c>
      <c r="AB1595" s="1" t="s">
        <v>32456</v>
      </c>
      <c r="AC1595" s="1" t="s">
        <v>32457</v>
      </c>
      <c r="AD1595" s="6" t="s">
        <v>32458</v>
      </c>
      <c r="AE1595" s="1" t="s">
        <v>32459</v>
      </c>
      <c r="AF1595" s="1" t="s">
        <v>32460</v>
      </c>
      <c r="AG1595" s="6" t="s">
        <v>32461</v>
      </c>
      <c r="AH1595" s="1" t="s">
        <v>32462</v>
      </c>
      <c r="AI1595" s="6" t="s">
        <v>132</v>
      </c>
      <c r="AJ1595" s="6" t="s">
        <v>32463</v>
      </c>
      <c r="AK1595" s="1" t="s">
        <v>32464</v>
      </c>
      <c r="AL1595" s="6" t="s">
        <v>132</v>
      </c>
    </row>
    <row r="1596" ht="15.75" customHeight="1">
      <c r="A1596" s="1" t="s">
        <v>127</v>
      </c>
      <c r="B1596" s="1" t="s">
        <v>32465</v>
      </c>
      <c r="C1596" s="1" t="s">
        <v>32466</v>
      </c>
      <c r="D1596" s="8" t="s">
        <v>32467</v>
      </c>
      <c r="E1596" s="13" t="s">
        <v>32468</v>
      </c>
      <c r="F1596" s="6" t="s">
        <v>132</v>
      </c>
      <c r="G1596" s="1" t="s">
        <v>32469</v>
      </c>
      <c r="H1596" s="1" t="s">
        <v>32470</v>
      </c>
      <c r="I1596" s="13" t="s">
        <v>32471</v>
      </c>
      <c r="J1596" s="6" t="s">
        <v>32472</v>
      </c>
      <c r="K1596" s="1" t="s">
        <v>32473</v>
      </c>
      <c r="L1596" s="1" t="s">
        <v>32474</v>
      </c>
      <c r="M1596" s="1" t="s">
        <v>32475</v>
      </c>
      <c r="N1596" s="6" t="s">
        <v>132</v>
      </c>
      <c r="O1596" s="6" t="s">
        <v>32476</v>
      </c>
      <c r="P1596" s="1" t="s">
        <v>32477</v>
      </c>
      <c r="Q1596" s="1" t="s">
        <v>32478</v>
      </c>
      <c r="R1596" s="1" t="s">
        <v>32479</v>
      </c>
      <c r="S1596" s="10" t="s">
        <v>32480</v>
      </c>
      <c r="T1596" s="1" t="s">
        <v>32481</v>
      </c>
      <c r="U1596" s="1" t="s">
        <v>32482</v>
      </c>
      <c r="V1596" s="1" t="s">
        <v>32483</v>
      </c>
      <c r="W1596" s="1" t="s">
        <v>32484</v>
      </c>
      <c r="X1596" s="1" t="s">
        <v>32485</v>
      </c>
      <c r="Y1596" s="1" t="s">
        <v>32486</v>
      </c>
      <c r="Z1596" s="1" t="s">
        <v>32487</v>
      </c>
      <c r="AA1596" s="7" t="str">
        <f>IFERROR(__xludf.DUMMYFUNCTION("GOOGLETRANSLATE(C1596, ""en"", ""ro"")"),"Multe mulțumiri pentru înregistrarea unui cont de utilizator pe aplicația Baha iPhone! Accesul utilizatorului pe care l-ați creat este valabil atât pe iPhone, cât și pe portalul financiar Baha.com la http://www.baha.com/. Poate fi folosit și cu Baha Mobil"&amp;"e (http://m.baha.com) în browserul web de pe orice smartphone. ""Br / și gt; în afară de stocuri, mărfuri cum ar fi metalele (aur, platină, paladiu) și energia, produsele agricole sau animale, sunt acoperite și obligațiuni și fonduri. Am inclus date în ti"&amp;"mp real din Tradegate și Lang &amp; Amp; Schwarz, precum și cele mai importante valute. Întreaga aplicație are prețuri de împingere live, ceea ce înseamnă atâta timp cât este disponibilă o conexiune la internet, nu va fi necesară reîncărcarea manuală a datelo"&amp;"r. &amp; Lt; br / &amp; gt; liste de ceasuri personale, portofolii virtuale și alerte pot să fie setat și utilizat împreună pe toate platformele. În plus, puteți încărca spații de lucru profesionale Baha pe aplicația iPhone și Baha Mobile și răsfoiți-le pe telefo"&amp;"nul dvs. mobil. Cu serviciul de alertă, limitele pot fi definite și alarmele vor fi trimise automat de Apple Push, E-mail și mesaj text și liste zilnice de valori mobiliare pot fi trimise automat prin e-mail. &amp; Lt; br / &amp; gt; / &amp; gt nume de utilizator: [u"&amp;"sername] &amp; lt; sht; Br / &amp; gt; The Echipa de portal financiar Baha &amp; lt; br / &amp; gt;")</f>
        <v>Multe mulțumiri pentru înregistrarea unui cont de utilizator pe aplicația Baha iPhone! Accesul utilizatorului pe care l-ați creat este valabil atât pe iPhone, cât și pe portalul financiar Baha.com la http://www.baha.com/. Poate fi folosit și cu Baha Mobile (http://m.baha.com) în browserul web de pe orice smartphone. "Br / și gt; în afară de stocuri, mărfuri cum ar fi metalele (aur, platină, paladiu) și energia, produsele agricole sau animale, sunt acoperite și obligațiuni și fonduri. Am inclus date în timp real din Tradegate și Lang &amp; Amp; Schwarz, precum și cele mai importante valute. Întreaga aplicație are prețuri de împingere live, ceea ce înseamnă atâta timp cât este disponibilă o conexiune la internet, nu va fi necesară reîncărcarea manuală a datelor. &amp; Lt; br / &amp; gt; liste de ceasuri personale, portofolii virtuale și alerte pot să fie setat și utilizat împreună pe toate platformele. În plus, puteți încărca spații de lucru profesionale Baha pe aplicația iPhone și Baha Mobile și răsfoiți-le pe telefonul dvs. mobil. Cu serviciul de alertă, limitele pot fi definite și alarmele vor fi trimise automat de Apple Push, E-mail și mesaj text și liste zilnice de valori mobiliare pot fi trimise automat prin e-mail. &amp; Lt; br / &amp; gt; / &amp; gt nume de utilizator: [username] &amp; lt; sht; Br / &amp; gt; The Echipa de portal financiar Baha &amp; lt; br / &amp; gt;</v>
      </c>
      <c r="AB1596" s="1" t="s">
        <v>32488</v>
      </c>
      <c r="AC1596" s="1" t="s">
        <v>32489</v>
      </c>
      <c r="AD1596" s="6" t="s">
        <v>32490</v>
      </c>
      <c r="AE1596" s="1" t="s">
        <v>32491</v>
      </c>
      <c r="AF1596" s="1" t="s">
        <v>32492</v>
      </c>
      <c r="AG1596" s="6" t="s">
        <v>32493</v>
      </c>
      <c r="AH1596" s="1" t="s">
        <v>32494</v>
      </c>
      <c r="AI1596" s="6" t="s">
        <v>132</v>
      </c>
      <c r="AJ1596" s="6" t="s">
        <v>32495</v>
      </c>
      <c r="AK1596" s="1" t="s">
        <v>32496</v>
      </c>
      <c r="AL1596" s="6" t="s">
        <v>32497</v>
      </c>
    </row>
    <row r="1597" ht="15.75" hidden="1" customHeight="1">
      <c r="A1597" s="1" t="s">
        <v>38</v>
      </c>
      <c r="B1597" s="1" t="s">
        <v>32498</v>
      </c>
      <c r="C1597" s="1" t="s">
        <v>32499</v>
      </c>
      <c r="D1597" s="7" t="str">
        <f>IFERROR(__xludf.DUMMYFUNCTION("GOOGLETRANSLATE(C1597, ""en"", ""ar"")"),"أيرلندا")</f>
        <v>أيرلندا</v>
      </c>
      <c r="E1597" s="7" t="str">
        <f>IFERROR(__xludf.DUMMYFUNCTION("GOOGLETRANSLATE(C1597, ""en"", ""bg"")"),"Ирландия")</f>
        <v>Ирландия</v>
      </c>
      <c r="F1597" s="6" t="s">
        <v>132</v>
      </c>
      <c r="G1597" s="7" t="str">
        <f>IFERROR(__xludf.DUMMYFUNCTION("GOOGLETRANSLATE(C1597, ""en"", ""cs"")"),"Irsko")</f>
        <v>Irsko</v>
      </c>
      <c r="H1597" s="7" t="str">
        <f>IFERROR(__xludf.DUMMYFUNCTION("GOOGLETRANSLATE(C1597, ""en"", ""da"")"),"Irland.")</f>
        <v>Irland.</v>
      </c>
      <c r="I1597" s="1" t="s">
        <v>32500</v>
      </c>
      <c r="J1597" s="6" t="s">
        <v>132</v>
      </c>
      <c r="K1597" s="1" t="s">
        <v>32501</v>
      </c>
      <c r="L1597" s="7" t="str">
        <f>IFERROR(__xludf.DUMMYFUNCTION("GOOGLETRANSLATE(C1597, ""en"", ""fi"")"),"Irlanti")</f>
        <v>Irlanti</v>
      </c>
      <c r="M1597" s="1" t="s">
        <v>32502</v>
      </c>
      <c r="N1597" s="6" t="s">
        <v>132</v>
      </c>
      <c r="O1597" s="6" t="s">
        <v>132</v>
      </c>
      <c r="P1597" s="1" t="s">
        <v>32499</v>
      </c>
      <c r="Q1597" s="7" t="str">
        <f>IFERROR(__xludf.DUMMYFUNCTION("GOOGLETRANSLATE(C1597, ""en"", ""in"")"),"Irlandia")</f>
        <v>Irlandia</v>
      </c>
      <c r="R1597" s="7" t="str">
        <f>IFERROR(__xludf.DUMMYFUNCTION("GOOGLETRANSLATE(C1597, ""en"", ""it"")"),"Irlanda")</f>
        <v>Irlanda</v>
      </c>
      <c r="S1597" s="6" t="s">
        <v>132</v>
      </c>
      <c r="T1597" s="7" t="str">
        <f>IFERROR(__xludf.DUMMYFUNCTION("GOOGLETRANSLATE(C1597, ""en"", ""ja"")"),"アイルランド")</f>
        <v>アイルランド</v>
      </c>
      <c r="U1597" s="7" t="str">
        <f>IFERROR(__xludf.DUMMYFUNCTION("GOOGLETRANSLATE(C1597, ""en"", ""ko"")"),"아일랜드")</f>
        <v>아일랜드</v>
      </c>
      <c r="V1597" s="7" t="str">
        <f>IFERROR(__xludf.DUMMYFUNCTION("GOOGLETRANSLATE(C1597, ""en"", ""ms"")"),"Ireland")</f>
        <v>Ireland</v>
      </c>
      <c r="W1597" s="7" t="str">
        <f>IFERROR(__xludf.DUMMYFUNCTION("GOOGLETRANSLATE(C1597, ""en"", ""nl"")"),"Ierland")</f>
        <v>Ierland</v>
      </c>
      <c r="X1597" s="7" t="str">
        <f>IFERROR(__xludf.DUMMYFUNCTION("GOOGLETRANSLATE(C1597, ""en"", ""no"")"),"Irland")</f>
        <v>Irland</v>
      </c>
      <c r="Y1597" s="7" t="str">
        <f>IFERROR(__xludf.DUMMYFUNCTION("GOOGLETRANSLATE(C1597, ""en"", ""pl"")"),"Irlandia")</f>
        <v>Irlandia</v>
      </c>
      <c r="Z1597" s="7" t="str">
        <f>IFERROR(__xludf.DUMMYFUNCTION("GOOGLETRANSLATE(C1597, ""en"", ""pt"")"),"Irlanda")</f>
        <v>Irlanda</v>
      </c>
      <c r="AA1597" s="7" t="str">
        <f>IFERROR(__xludf.DUMMYFUNCTION("GOOGLETRANSLATE(C1597, ""en"", ""ro"")"),"Irlanda")</f>
        <v>Irlanda</v>
      </c>
      <c r="AB1597" s="1" t="s">
        <v>32503</v>
      </c>
      <c r="AC1597" s="7" t="str">
        <f>IFERROR(__xludf.DUMMYFUNCTION("GOOGLETRANSLATE(C1597, ""en"", ""sk"")"),"Írsko")</f>
        <v>Írsko</v>
      </c>
      <c r="AD1597" s="6" t="s">
        <v>132</v>
      </c>
      <c r="AE1597" s="1" t="s">
        <v>32504</v>
      </c>
      <c r="AF1597" s="7" t="str">
        <f>IFERROR(__xludf.DUMMYFUNCTION("GOOGLETRANSLATE(C1597, ""en"", ""sv"")"),"Irland")</f>
        <v>Irland</v>
      </c>
      <c r="AG1597" s="6" t="s">
        <v>132</v>
      </c>
      <c r="AH1597" s="7" t="str">
        <f>IFERROR(__xludf.DUMMYFUNCTION("GOOGLETRANSLATE(C1597, ""en"", ""tr"")"),"İrlanda")</f>
        <v>İrlanda</v>
      </c>
      <c r="AI1597" s="6" t="s">
        <v>132</v>
      </c>
      <c r="AJ1597" s="6" t="s">
        <v>132</v>
      </c>
      <c r="AK1597" s="7" t="str">
        <f>IFERROR(__xludf.DUMMYFUNCTION("GOOGLETRANSLATE(C1597, ""en"", ""zh"")"),"爱尔兰")</f>
        <v>爱尔兰</v>
      </c>
      <c r="AL1597" s="6" t="s">
        <v>132</v>
      </c>
    </row>
    <row r="1598" ht="15.75" customHeight="1">
      <c r="A1598" s="1" t="s">
        <v>127</v>
      </c>
      <c r="B1598" s="1" t="s">
        <v>32505</v>
      </c>
      <c r="C1598" s="1" t="s">
        <v>32506</v>
      </c>
      <c r="D1598" s="8" t="s">
        <v>32507</v>
      </c>
      <c r="E1598" s="1" t="s">
        <v>32508</v>
      </c>
      <c r="F1598" s="6" t="s">
        <v>132</v>
      </c>
      <c r="G1598" s="1" t="s">
        <v>32509</v>
      </c>
      <c r="H1598" s="1" t="s">
        <v>32510</v>
      </c>
      <c r="I1598" s="1" t="s">
        <v>32511</v>
      </c>
      <c r="J1598" s="6" t="s">
        <v>32512</v>
      </c>
      <c r="K1598" s="1" t="s">
        <v>32513</v>
      </c>
      <c r="L1598" s="1" t="s">
        <v>32514</v>
      </c>
      <c r="M1598" s="1" t="s">
        <v>32515</v>
      </c>
      <c r="N1598" s="6" t="s">
        <v>132</v>
      </c>
      <c r="O1598" s="6" t="s">
        <v>32516</v>
      </c>
      <c r="P1598" s="1" t="s">
        <v>32517</v>
      </c>
      <c r="Q1598" s="1" t="s">
        <v>32518</v>
      </c>
      <c r="R1598" s="1" t="s">
        <v>32519</v>
      </c>
      <c r="S1598" s="10" t="s">
        <v>32520</v>
      </c>
      <c r="T1598" s="1" t="s">
        <v>32521</v>
      </c>
      <c r="U1598" s="1" t="s">
        <v>32522</v>
      </c>
      <c r="V1598" s="1" t="s">
        <v>32518</v>
      </c>
      <c r="W1598" s="1" t="s">
        <v>32523</v>
      </c>
      <c r="X1598" s="1" t="s">
        <v>32510</v>
      </c>
      <c r="Y1598" s="1" t="s">
        <v>32524</v>
      </c>
      <c r="Z1598" s="1" t="s">
        <v>32525</v>
      </c>
      <c r="AA1598" s="1" t="s">
        <v>32526</v>
      </c>
      <c r="AB1598" s="1" t="s">
        <v>32527</v>
      </c>
      <c r="AC1598" s="1" t="s">
        <v>32509</v>
      </c>
      <c r="AD1598" s="6" t="s">
        <v>32528</v>
      </c>
      <c r="AE1598" s="1" t="s">
        <v>32529</v>
      </c>
      <c r="AF1598" s="1" t="s">
        <v>32530</v>
      </c>
      <c r="AG1598" s="6" t="s">
        <v>32531</v>
      </c>
      <c r="AH1598" s="1" t="s">
        <v>32532</v>
      </c>
      <c r="AI1598" s="6" t="s">
        <v>132</v>
      </c>
      <c r="AJ1598" s="6" t="s">
        <v>32533</v>
      </c>
      <c r="AK1598" s="1" t="s">
        <v>32534</v>
      </c>
      <c r="AL1598" s="6" t="s">
        <v>32535</v>
      </c>
    </row>
    <row r="1599" ht="15.75" hidden="1" customHeight="1">
      <c r="A1599" s="1" t="s">
        <v>38</v>
      </c>
      <c r="B1599" s="1" t="s">
        <v>32536</v>
      </c>
      <c r="C1599" s="1" t="s">
        <v>32537</v>
      </c>
      <c r="D1599" s="8" t="s">
        <v>32538</v>
      </c>
      <c r="E1599" s="1" t="s">
        <v>32539</v>
      </c>
      <c r="F1599" s="6" t="s">
        <v>32540</v>
      </c>
      <c r="G1599" s="7" t="str">
        <f>IFERROR(__xludf.DUMMYFUNCTION("GOOGLETRANSLATE(C1599, ""en"", ""cs"")"),"XEP-0363: Upload HTTP souboru")</f>
        <v>XEP-0363: Upload HTTP souboru</v>
      </c>
      <c r="H1599" s="7" t="str">
        <f>IFERROR(__xludf.DUMMYFUNCTION("GOOGLETRANSLATE(C1599, ""en"", ""da"")"),"XEP-0363: HTTP-fil Upload")</f>
        <v>XEP-0363: HTTP-fil Upload</v>
      </c>
      <c r="I1599" s="1" t="s">
        <v>32537</v>
      </c>
      <c r="J1599" s="6" t="s">
        <v>132</v>
      </c>
      <c r="K1599" s="1" t="s">
        <v>32537</v>
      </c>
      <c r="L1599" s="7" t="str">
        <f>IFERROR(__xludf.DUMMYFUNCTION("GOOGLETRANSLATE(C1599, ""en"", ""fi"")"),"XEP-0363: http File Upload")</f>
        <v>XEP-0363: http File Upload</v>
      </c>
      <c r="M1599" s="1" t="s">
        <v>32541</v>
      </c>
      <c r="N1599" s="6" t="s">
        <v>32537</v>
      </c>
      <c r="O1599" s="6" t="s">
        <v>132</v>
      </c>
      <c r="P1599" s="1" t="s">
        <v>32537</v>
      </c>
      <c r="Q1599" s="9" t="s">
        <v>32537</v>
      </c>
      <c r="R1599" s="1" t="s">
        <v>32537</v>
      </c>
      <c r="S1599" s="6" t="s">
        <v>132</v>
      </c>
      <c r="T1599" s="1" t="s">
        <v>32542</v>
      </c>
      <c r="U1599" s="1" t="s">
        <v>32543</v>
      </c>
      <c r="V1599" s="7" t="str">
        <f>IFERROR(__xludf.DUMMYFUNCTION("GOOGLETRANSLATE(C1599, ""en"", ""ms"")"),"Xep-0363: Muat naik fail HTTP")</f>
        <v>Xep-0363: Muat naik fail HTTP</v>
      </c>
      <c r="W1599" s="1" t="s">
        <v>32537</v>
      </c>
      <c r="X1599" s="7" t="str">
        <f>IFERROR(__xludf.DUMMYFUNCTION("GOOGLETRANSLATE(C1599, ""en"", ""no"")"),"XEP-0363: HTTP-filopplasting")</f>
        <v>XEP-0363: HTTP-filopplasting</v>
      </c>
      <c r="Y1599" s="1" t="s">
        <v>32544</v>
      </c>
      <c r="Z1599" s="1" t="s">
        <v>32537</v>
      </c>
      <c r="AA1599" s="7" t="str">
        <f>IFERROR(__xludf.DUMMYFUNCTION("GOOGLETRANSLATE(C1599, ""en"", ""ro"")"),"XEP-0363: Încărcarea fișierelor HTTP")</f>
        <v>XEP-0363: Încărcarea fișierelor HTTP</v>
      </c>
      <c r="AB1599" s="1" t="s">
        <v>32545</v>
      </c>
      <c r="AC1599" s="1" t="s">
        <v>32537</v>
      </c>
      <c r="AD1599" s="6" t="s">
        <v>132</v>
      </c>
      <c r="AE1599" s="1" t="s">
        <v>32546</v>
      </c>
      <c r="AF1599" s="1" t="s">
        <v>32547</v>
      </c>
      <c r="AG1599" s="6" t="s">
        <v>132</v>
      </c>
      <c r="AH1599" s="7" t="str">
        <f>IFERROR(__xludf.DUMMYFUNCTION("GOOGLETRANSLATE(C1599, ""en"", ""tr"")"),"XEP-0363: HTTP Dosya Yükleme")</f>
        <v>XEP-0363: HTTP Dosya Yükleme</v>
      </c>
      <c r="AI1599" s="6" t="s">
        <v>32548</v>
      </c>
      <c r="AJ1599" s="6" t="s">
        <v>32537</v>
      </c>
      <c r="AK1599" s="7" t="str">
        <f>IFERROR(__xludf.DUMMYFUNCTION("GOOGLETRANSLATE(C1599, ""en"", ""zh"")"),"XEP-0363：http文件上传")</f>
        <v>XEP-0363：http文件上传</v>
      </c>
      <c r="AL1599" s="6" t="s">
        <v>32549</v>
      </c>
    </row>
    <row r="1600" ht="15.75" hidden="1" customHeight="1">
      <c r="A1600" s="1" t="s">
        <v>38</v>
      </c>
      <c r="B1600" s="1" t="s">
        <v>32550</v>
      </c>
      <c r="C1600" s="1" t="s">
        <v>32551</v>
      </c>
      <c r="D1600" s="7" t="str">
        <f>IFERROR(__xludf.DUMMYFUNCTION("GOOGLETRANSLATE(C1600, ""en"", ""ar"")"),"البحرين")</f>
        <v>البحرين</v>
      </c>
      <c r="E1600" s="7" t="str">
        <f>IFERROR(__xludf.DUMMYFUNCTION("GOOGLETRANSLATE(C1600, ""en"", ""bg"")"),"Бахрейн")</f>
        <v>Бахрейн</v>
      </c>
      <c r="F1600" s="6" t="s">
        <v>132</v>
      </c>
      <c r="G1600" s="7" t="str">
        <f>IFERROR(__xludf.DUMMYFUNCTION("GOOGLETRANSLATE(C1600, ""en"", ""cs"")"),"Bahrajn")</f>
        <v>Bahrajn</v>
      </c>
      <c r="H1600" s="7" t="str">
        <f>IFERROR(__xludf.DUMMYFUNCTION("GOOGLETRANSLATE(C1600, ""en"", ""da"")"),"Bahrain.")</f>
        <v>Bahrain.</v>
      </c>
      <c r="I1600" s="1" t="s">
        <v>32552</v>
      </c>
      <c r="J1600" s="6" t="s">
        <v>132</v>
      </c>
      <c r="K1600" s="1" t="s">
        <v>32551</v>
      </c>
      <c r="L1600" s="7" t="str">
        <f>IFERROR(__xludf.DUMMYFUNCTION("GOOGLETRANSLATE(C1600, ""en"", ""fi"")"),"Bahrain")</f>
        <v>Bahrain</v>
      </c>
      <c r="M1600" s="1" t="s">
        <v>32553</v>
      </c>
      <c r="N1600" s="6" t="s">
        <v>132</v>
      </c>
      <c r="O1600" s="6" t="s">
        <v>132</v>
      </c>
      <c r="P1600" s="1" t="s">
        <v>32551</v>
      </c>
      <c r="Q1600" s="7" t="str">
        <f>IFERROR(__xludf.DUMMYFUNCTION("GOOGLETRANSLATE(C1600, ""en"", ""in"")"),"Bahrain.")</f>
        <v>Bahrain.</v>
      </c>
      <c r="R1600" s="7" t="str">
        <f>IFERROR(__xludf.DUMMYFUNCTION("GOOGLETRANSLATE(C1600, ""en"", ""it"")"),"Bahrain.")</f>
        <v>Bahrain.</v>
      </c>
      <c r="S1600" s="6" t="s">
        <v>132</v>
      </c>
      <c r="T1600" s="7" t="str">
        <f>IFERROR(__xludf.DUMMYFUNCTION("GOOGLETRANSLATE(C1600, ""en"", ""ja"")"),"バーレーン")</f>
        <v>バーレーン</v>
      </c>
      <c r="U1600" s="7" t="str">
        <f>IFERROR(__xludf.DUMMYFUNCTION("GOOGLETRANSLATE(C1600, ""en"", ""ko"")"),"바레인")</f>
        <v>바레인</v>
      </c>
      <c r="V1600" s="7" t="str">
        <f>IFERROR(__xludf.DUMMYFUNCTION("GOOGLETRANSLATE(C1600, ""en"", ""ms"")"),"Bahrain.")</f>
        <v>Bahrain.</v>
      </c>
      <c r="W1600" s="7" t="str">
        <f>IFERROR(__xludf.DUMMYFUNCTION("GOOGLETRANSLATE(C1600, ""en"", ""nl"")"),"Bahrein")</f>
        <v>Bahrein</v>
      </c>
      <c r="X1600" s="7" t="str">
        <f>IFERROR(__xludf.DUMMYFUNCTION("GOOGLETRANSLATE(C1600, ""en"", ""no"")"),"Bahrain.")</f>
        <v>Bahrain.</v>
      </c>
      <c r="Y1600" s="7" t="str">
        <f>IFERROR(__xludf.DUMMYFUNCTION("GOOGLETRANSLATE(C1600, ""en"", ""pl"")"),"Bahrajn")</f>
        <v>Bahrajn</v>
      </c>
      <c r="Z1600" s="7" t="str">
        <f>IFERROR(__xludf.DUMMYFUNCTION("GOOGLETRANSLATE(C1600, ""en"", ""pt"")"),"Bahrein")</f>
        <v>Bahrein</v>
      </c>
      <c r="AA1600" s="7" t="str">
        <f>IFERROR(__xludf.DUMMYFUNCTION("GOOGLETRANSLATE(C1600, ""en"", ""ro"")"),"Bahrain.")</f>
        <v>Bahrain.</v>
      </c>
      <c r="AB1600" s="1" t="s">
        <v>32554</v>
      </c>
      <c r="AC1600" s="7" t="str">
        <f>IFERROR(__xludf.DUMMYFUNCTION("GOOGLETRANSLATE(C1600, ""en"", ""sk"")"),"Brain")</f>
        <v>Brain</v>
      </c>
      <c r="AD1600" s="6" t="s">
        <v>132</v>
      </c>
      <c r="AE1600" s="1" t="s">
        <v>32552</v>
      </c>
      <c r="AF1600" s="7" t="str">
        <f>IFERROR(__xludf.DUMMYFUNCTION("GOOGLETRANSLATE(C1600, ""en"", ""sv"")"),"Bahrain")</f>
        <v>Bahrain</v>
      </c>
      <c r="AG1600" s="6" t="s">
        <v>132</v>
      </c>
      <c r="AH1600" s="7" t="str">
        <f>IFERROR(__xludf.DUMMYFUNCTION("GOOGLETRANSLATE(C1600, ""en"", ""tr"")"),"Bahreyn")</f>
        <v>Bahreyn</v>
      </c>
      <c r="AI1600" s="6" t="s">
        <v>132</v>
      </c>
      <c r="AJ1600" s="6" t="s">
        <v>132</v>
      </c>
      <c r="AK1600" s="7" t="str">
        <f>IFERROR(__xludf.DUMMYFUNCTION("GOOGLETRANSLATE(C1600, ""en"", ""zh"")"),"巴林")</f>
        <v>巴林</v>
      </c>
      <c r="AL1600" s="6" t="s">
        <v>132</v>
      </c>
    </row>
    <row r="1601" ht="15.75" customHeight="1">
      <c r="A1601" s="1" t="s">
        <v>127</v>
      </c>
      <c r="B1601" s="1" t="s">
        <v>32555</v>
      </c>
      <c r="C1601" s="1" t="s">
        <v>32556</v>
      </c>
      <c r="D1601" s="8" t="s">
        <v>32557</v>
      </c>
      <c r="E1601" s="1" t="s">
        <v>32558</v>
      </c>
      <c r="F1601" s="6" t="s">
        <v>132</v>
      </c>
      <c r="G1601" s="1" t="s">
        <v>32559</v>
      </c>
      <c r="H1601" s="1" t="s">
        <v>32560</v>
      </c>
      <c r="I1601" s="1" t="s">
        <v>32556</v>
      </c>
      <c r="J1601" s="6" t="s">
        <v>32561</v>
      </c>
      <c r="K1601" s="1" t="s">
        <v>32562</v>
      </c>
      <c r="L1601" s="1" t="s">
        <v>32563</v>
      </c>
      <c r="M1601" s="1" t="s">
        <v>32564</v>
      </c>
      <c r="N1601" s="6" t="s">
        <v>132</v>
      </c>
      <c r="O1601" s="6" t="s">
        <v>32565</v>
      </c>
      <c r="P1601" s="1" t="s">
        <v>32566</v>
      </c>
      <c r="Q1601" s="1" t="s">
        <v>32567</v>
      </c>
      <c r="R1601" s="1" t="s">
        <v>32568</v>
      </c>
      <c r="S1601" s="10" t="s">
        <v>32569</v>
      </c>
      <c r="T1601" s="1" t="s">
        <v>32570</v>
      </c>
      <c r="U1601" s="1" t="s">
        <v>32571</v>
      </c>
      <c r="V1601" s="1" t="s">
        <v>32572</v>
      </c>
      <c r="W1601" s="1" t="s">
        <v>32573</v>
      </c>
      <c r="X1601" s="1" t="s">
        <v>32574</v>
      </c>
      <c r="Y1601" s="1" t="s">
        <v>32575</v>
      </c>
      <c r="Z1601" s="1" t="s">
        <v>32576</v>
      </c>
      <c r="AA1601" s="1" t="s">
        <v>32577</v>
      </c>
      <c r="AB1601" s="1" t="s">
        <v>32578</v>
      </c>
      <c r="AC1601" s="1" t="s">
        <v>32579</v>
      </c>
      <c r="AD1601" s="6" t="s">
        <v>32580</v>
      </c>
      <c r="AE1601" s="1" t="s">
        <v>32581</v>
      </c>
      <c r="AF1601" s="1" t="s">
        <v>32574</v>
      </c>
      <c r="AG1601" s="6" t="s">
        <v>32582</v>
      </c>
      <c r="AH1601" s="1" t="s">
        <v>32583</v>
      </c>
      <c r="AI1601" s="6" t="s">
        <v>132</v>
      </c>
      <c r="AJ1601" s="6" t="s">
        <v>32584</v>
      </c>
      <c r="AK1601" s="1" t="s">
        <v>32585</v>
      </c>
      <c r="AL1601" s="6" t="s">
        <v>132</v>
      </c>
    </row>
    <row r="1602" ht="15.75" hidden="1" customHeight="1">
      <c r="A1602" s="1" t="s">
        <v>38</v>
      </c>
      <c r="B1602" s="1" t="s">
        <v>32586</v>
      </c>
      <c r="C1602" s="1" t="s">
        <v>32587</v>
      </c>
      <c r="D1602" s="7" t="str">
        <f>IFERROR(__xludf.DUMMYFUNCTION("GOOGLETRANSLATE(C1602, ""en"", ""ar"")"),"طول المحادثات الزمنية تواصل هادئا بعد رؤية النشاط على جهاز آخر")</f>
        <v>طول المحادثات الزمنية تواصل هادئا بعد رؤية النشاط على جهاز آخر</v>
      </c>
      <c r="E1602" s="1" t="s">
        <v>32588</v>
      </c>
      <c r="F1602" s="6" t="s">
        <v>32589</v>
      </c>
      <c r="G1602" s="7" t="str">
        <f>IFERROR(__xludf.DUMMYFUNCTION("GOOGLETRANSLATE(C1602, ""en"", ""cs"")"),"Délka časových konverzací udržuje ticho po vidění aktivity na jiném zařízení")</f>
        <v>Délka časových konverzací udržuje ticho po vidění aktivity na jiném zařízení</v>
      </c>
      <c r="H1602" s="7" t="str">
        <f>IFERROR(__xludf.DUMMYFUNCTION("GOOGLETRANSLATE(C1602, ""en"", ""da"")"),"Længden af ​​tidssamtaler holder stille efter at have set aktivitet på en anden enhed")</f>
        <v>Længden af ​​tidssamtaler holder stille efter at have set aktivitet på en anden enhed</v>
      </c>
      <c r="I1602" s="1" t="s">
        <v>32590</v>
      </c>
      <c r="J1602" s="6" t="s">
        <v>132</v>
      </c>
      <c r="K1602" s="1" t="s">
        <v>32591</v>
      </c>
      <c r="L1602" s="7" t="str">
        <f>IFERROR(__xludf.DUMMYFUNCTION("GOOGLETRANSLATE(C1602, ""en"", ""fi"")"),"Aikakeskustelujen pituus pitää hiljaa näkemisen jälkeen toisella laitteella")</f>
        <v>Aikakeskustelujen pituus pitää hiljaa näkemisen jälkeen toisella laitteella</v>
      </c>
      <c r="M1602" s="1" t="s">
        <v>32592</v>
      </c>
      <c r="N1602" s="6" t="s">
        <v>32593</v>
      </c>
      <c r="O1602" s="6" t="s">
        <v>132</v>
      </c>
      <c r="P1602" s="1" t="s">
        <v>32594</v>
      </c>
      <c r="Q1602" s="7" t="str">
        <f>IFERROR(__xludf.DUMMYFUNCTION("GOOGLETRANSLATE(C1602, ""en"", ""in"")"),"Lamanya percakapan terus diam setelah melihat aktivitas di perangkat lain")</f>
        <v>Lamanya percakapan terus diam setelah melihat aktivitas di perangkat lain</v>
      </c>
      <c r="R1602" s="1" t="s">
        <v>32595</v>
      </c>
      <c r="S1602" s="6" t="s">
        <v>132</v>
      </c>
      <c r="T1602" s="1" t="s">
        <v>32596</v>
      </c>
      <c r="U1602" s="7" t="str">
        <f>IFERROR(__xludf.DUMMYFUNCTION("GOOGLETRANSLATE(C1602, ""en"", ""ko"")"),"시간 대화의 길이는 다른 장치에서 활동을 보면 조용합니다.")</f>
        <v>시간 대화의 길이는 다른 장치에서 활동을 보면 조용합니다.</v>
      </c>
      <c r="V1602" s="7" t="str">
        <f>IFERROR(__xludf.DUMMYFUNCTION("GOOGLETRANSLATE(C1602, ""en"", ""ms"")"),"Tempoh perbualan masa terus diam selepas melihat aktiviti pada peranti lain")</f>
        <v>Tempoh perbualan masa terus diam selepas melihat aktiviti pada peranti lain</v>
      </c>
      <c r="W1602" s="1" t="s">
        <v>32597</v>
      </c>
      <c r="X1602" s="7" t="str">
        <f>IFERROR(__xludf.DUMMYFUNCTION("GOOGLETRANSLATE(C1602, ""en"", ""no"")"),"Lengden på tidssamtaler holder stille etter å ha sett aktivitet på en annen enhet")</f>
        <v>Lengden på tidssamtaler holder stille etter å ha sett aktivitet på en annen enhet</v>
      </c>
      <c r="Y1602" s="1" t="s">
        <v>32598</v>
      </c>
      <c r="Z1602" s="7" t="str">
        <f>IFERROR(__xludf.DUMMYFUNCTION("GOOGLETRANSLATE(C1602, ""en"", ""pt"")"),"A longações de tempo mantém quieta depois de ver a atividade em outro dispositivo")</f>
        <v>A longações de tempo mantém quieta depois de ver a atividade em outro dispositivo</v>
      </c>
      <c r="AA1602" s="7" t="str">
        <f>IFERROR(__xludf.DUMMYFUNCTION("GOOGLETRANSLATE(C1602, ""en"", ""ro"")"),"Durata conversațiilor de timp păstrează liniște după ce a văzut activitatea pe un alt dispozitiv")</f>
        <v>Durata conversațiilor de timp păstrează liniște după ce a văzut activitatea pe un alt dispozitiv</v>
      </c>
      <c r="AB1602" s="1" t="s">
        <v>32599</v>
      </c>
      <c r="AC1602" s="7" t="str">
        <f>IFERROR(__xludf.DUMMYFUNCTION("GOOGLETRANSLATE(C1602, ""en"", ""sk"")"),"Dĺžka časových konverzácií udržuje po návšteve aktivity na inom zariadení")</f>
        <v>Dĺžka časových konverzácií udržuje po návšteve aktivity na inom zariadení</v>
      </c>
      <c r="AD1602" s="6" t="s">
        <v>132</v>
      </c>
      <c r="AE1602" s="1" t="s">
        <v>32600</v>
      </c>
      <c r="AF1602" s="1" t="s">
        <v>32601</v>
      </c>
      <c r="AG1602" s="6" t="s">
        <v>132</v>
      </c>
      <c r="AH1602" s="7" t="str">
        <f>IFERROR(__xludf.DUMMYFUNCTION("GOOGLETRANSLATE(C1602, ""en"", ""tr"")"),"Zamanın uzunluğu, başka bir cihazdaki aktiviteyi gördükten sonra sessiz kalır")</f>
        <v>Zamanın uzunluğu, başka bir cihazdaki aktiviteyi gördükten sonra sessiz kalır</v>
      </c>
      <c r="AI1602" s="6" t="s">
        <v>32602</v>
      </c>
      <c r="AJ1602" s="6" t="s">
        <v>32603</v>
      </c>
      <c r="AK1602" s="7" t="str">
        <f>IFERROR(__xludf.DUMMYFUNCTION("GOOGLETRANSLATE(C1602, ""en"", ""zh"")"),"在查看另一台设备的活动后，时间长度会保持安静")</f>
        <v>在查看另一台设备的活动后，时间长度会保持安静</v>
      </c>
      <c r="AL1602" s="6" t="s">
        <v>32604</v>
      </c>
    </row>
    <row r="1603" ht="15.75" hidden="1" customHeight="1">
      <c r="A1603" s="1" t="s">
        <v>38</v>
      </c>
      <c r="B1603" s="1" t="s">
        <v>32605</v>
      </c>
      <c r="C1603" s="1" t="s">
        <v>32606</v>
      </c>
      <c r="D1603" s="7" t="str">
        <f>IFERROR(__xludf.DUMMYFUNCTION("GOOGLETRANSLATE(C1603, ""en"", ""ar"")"),"مشاركة الموقع")</f>
        <v>مشاركة الموقع</v>
      </c>
      <c r="E1603" s="1" t="s">
        <v>29495</v>
      </c>
      <c r="F1603" s="6" t="s">
        <v>29496</v>
      </c>
      <c r="G1603" s="7" t="str">
        <f>IFERROR(__xludf.DUMMYFUNCTION("GOOGLETRANSLATE(C1603, ""en"", ""cs"")"),"Sdílení umístění")</f>
        <v>Sdílení umístění</v>
      </c>
      <c r="H1603" s="7" t="str">
        <f>IFERROR(__xludf.DUMMYFUNCTION("GOOGLETRANSLATE(C1603, ""en"", ""da"")"),"Del placering")</f>
        <v>Del placering</v>
      </c>
      <c r="I1603" s="1" t="s">
        <v>29497</v>
      </c>
      <c r="J1603" s="6" t="s">
        <v>132</v>
      </c>
      <c r="K1603" s="1" t="s">
        <v>32607</v>
      </c>
      <c r="L1603" s="7" t="str">
        <f>IFERROR(__xludf.DUMMYFUNCTION("GOOGLETRANSLATE(C1603, ""en"", ""fi"")"),"Jaa sijainti")</f>
        <v>Jaa sijainti</v>
      </c>
      <c r="M1603" s="1" t="s">
        <v>29499</v>
      </c>
      <c r="N1603" s="6" t="s">
        <v>32608</v>
      </c>
      <c r="O1603" s="6" t="s">
        <v>132</v>
      </c>
      <c r="P1603" s="1" t="s">
        <v>32609</v>
      </c>
      <c r="Q1603" s="7" t="str">
        <f>IFERROR(__xludf.DUMMYFUNCTION("GOOGLETRANSLATE(C1603, ""en"", ""in"")"),"Berbagi lokasi")</f>
        <v>Berbagi lokasi</v>
      </c>
      <c r="R1603" s="1" t="s">
        <v>29502</v>
      </c>
      <c r="S1603" s="6" t="s">
        <v>132</v>
      </c>
      <c r="T1603" s="7" t="str">
        <f>IFERROR(__xludf.DUMMYFUNCTION("GOOGLETRANSLATE(C1603, ""en"", ""ja"")"),"場所を共有")</f>
        <v>場所を共有</v>
      </c>
      <c r="U1603" s="7" t="str">
        <f>IFERROR(__xludf.DUMMYFUNCTION("GOOGLETRANSLATE(C1603, ""en"", ""ko"")"),"위치 공유")</f>
        <v>위치 공유</v>
      </c>
      <c r="V1603" s="7" t="str">
        <f>IFERROR(__xludf.DUMMYFUNCTION("GOOGLETRANSLATE(C1603, ""en"", ""ms"")"),"Kongsi lokasi")</f>
        <v>Kongsi lokasi</v>
      </c>
      <c r="W1603" s="1" t="s">
        <v>29503</v>
      </c>
      <c r="X1603" s="7" t="str">
        <f>IFERROR(__xludf.DUMMYFUNCTION("GOOGLETRANSLATE(C1603, ""en"", ""no"")"),"Del lokasjon")</f>
        <v>Del lokasjon</v>
      </c>
      <c r="Y1603" s="1" t="s">
        <v>29504</v>
      </c>
      <c r="Z1603" s="7" t="str">
        <f>IFERROR(__xludf.DUMMYFUNCTION("GOOGLETRANSLATE(C1603, ""en"", ""pt"")"),"Compartilhar localização")</f>
        <v>Compartilhar localização</v>
      </c>
      <c r="AA1603" s="7" t="str">
        <f>IFERROR(__xludf.DUMMYFUNCTION("GOOGLETRANSLATE(C1603, ""en"", ""ro"")"),"Distribuie locatia")</f>
        <v>Distribuie locatia</v>
      </c>
      <c r="AB1603" s="1" t="s">
        <v>29505</v>
      </c>
      <c r="AC1603" s="7" t="str">
        <f>IFERROR(__xludf.DUMMYFUNCTION("GOOGLETRANSLATE(C1603, ""en"", ""sk"")"),"Umiestnenie zdieľania")</f>
        <v>Umiestnenie zdieľania</v>
      </c>
      <c r="AD1603" s="6" t="s">
        <v>132</v>
      </c>
      <c r="AE1603" s="1" t="s">
        <v>29506</v>
      </c>
      <c r="AF1603" s="7" t="str">
        <f>IFERROR(__xludf.DUMMYFUNCTION("GOOGLETRANSLATE(C1603, ""en"", ""sv"")"),"Dela plats")</f>
        <v>Dela plats</v>
      </c>
      <c r="AG1603" s="6" t="s">
        <v>132</v>
      </c>
      <c r="AH1603" s="7" t="str">
        <f>IFERROR(__xludf.DUMMYFUNCTION("GOOGLETRANSLATE(C1603, ""en"", ""tr"")"),"Konumu paylaş")</f>
        <v>Konumu paylaş</v>
      </c>
      <c r="AI1603" s="6" t="s">
        <v>132</v>
      </c>
      <c r="AJ1603" s="6" t="s">
        <v>132</v>
      </c>
      <c r="AK1603" s="7" t="str">
        <f>IFERROR(__xludf.DUMMYFUNCTION("GOOGLETRANSLATE(C1603, ""en"", ""zh"")"),"定位共享")</f>
        <v>定位共享</v>
      </c>
      <c r="AL1603" s="6" t="s">
        <v>132</v>
      </c>
    </row>
    <row r="1604" ht="15.75" customHeight="1">
      <c r="A1604" s="1" t="s">
        <v>127</v>
      </c>
      <c r="B1604" s="1" t="s">
        <v>32610</v>
      </c>
      <c r="C1604" s="1" t="s">
        <v>32611</v>
      </c>
      <c r="D1604" s="8" t="s">
        <v>32612</v>
      </c>
      <c r="E1604" s="1" t="s">
        <v>32613</v>
      </c>
      <c r="F1604" s="6" t="s">
        <v>132</v>
      </c>
      <c r="G1604" s="1" t="s">
        <v>32614</v>
      </c>
      <c r="H1604" s="1" t="s">
        <v>32615</v>
      </c>
      <c r="I1604" s="1" t="s">
        <v>32616</v>
      </c>
      <c r="J1604" s="6" t="s">
        <v>32617</v>
      </c>
      <c r="K1604" s="1" t="s">
        <v>32618</v>
      </c>
      <c r="L1604" s="1" t="s">
        <v>32619</v>
      </c>
      <c r="M1604" s="1" t="s">
        <v>32620</v>
      </c>
      <c r="N1604" s="6" t="s">
        <v>132</v>
      </c>
      <c r="O1604" s="6" t="s">
        <v>32621</v>
      </c>
      <c r="P1604" s="1" t="s">
        <v>32622</v>
      </c>
      <c r="Q1604" s="1" t="s">
        <v>32623</v>
      </c>
      <c r="R1604" s="1" t="s">
        <v>32624</v>
      </c>
      <c r="S1604" s="10" t="s">
        <v>32625</v>
      </c>
      <c r="T1604" s="1" t="s">
        <v>32626</v>
      </c>
      <c r="U1604" s="1" t="s">
        <v>32627</v>
      </c>
      <c r="V1604" s="1" t="s">
        <v>32628</v>
      </c>
      <c r="W1604" s="1" t="s">
        <v>32629</v>
      </c>
      <c r="X1604" s="1" t="s">
        <v>32630</v>
      </c>
      <c r="Y1604" s="1" t="s">
        <v>32631</v>
      </c>
      <c r="Z1604" s="1" t="s">
        <v>32632</v>
      </c>
      <c r="AA1604" s="1" t="s">
        <v>32633</v>
      </c>
      <c r="AB1604" s="1" t="s">
        <v>32634</v>
      </c>
      <c r="AC1604" s="1" t="s">
        <v>32635</v>
      </c>
      <c r="AD1604" s="6" t="s">
        <v>32636</v>
      </c>
      <c r="AE1604" s="1" t="s">
        <v>32637</v>
      </c>
      <c r="AF1604" s="1" t="s">
        <v>32638</v>
      </c>
      <c r="AG1604" s="6" t="s">
        <v>32639</v>
      </c>
      <c r="AH1604" s="1" t="s">
        <v>32640</v>
      </c>
      <c r="AI1604" s="6" t="s">
        <v>132</v>
      </c>
      <c r="AJ1604" s="6" t="s">
        <v>32641</v>
      </c>
      <c r="AK1604" s="1" t="s">
        <v>32642</v>
      </c>
      <c r="AL1604" s="6" t="s">
        <v>32643</v>
      </c>
    </row>
    <row r="1605" ht="15.75" hidden="1" customHeight="1">
      <c r="A1605" s="1" t="s">
        <v>38</v>
      </c>
      <c r="B1605" s="1" t="s">
        <v>32644</v>
      </c>
      <c r="C1605" s="1" t="s">
        <v>32645</v>
      </c>
      <c r="D1605" s="7" t="str">
        <f>IFERROR(__xludf.DUMMYFUNCTION("GOOGLETRANSLATE(C1605, ""en"", ""ar"")"),"قم بالتمرير لأسفل بعد إرسال رسالة")</f>
        <v>قم بالتمرير لأسفل بعد إرسال رسالة</v>
      </c>
      <c r="E1605" s="1" t="s">
        <v>32646</v>
      </c>
      <c r="F1605" s="6" t="s">
        <v>32647</v>
      </c>
      <c r="G1605" s="7" t="str">
        <f>IFERROR(__xludf.DUMMYFUNCTION("GOOGLETRANSLATE(C1605, ""en"", ""cs"")"),"Po odeslání zprávy se posuňte dolů")</f>
        <v>Po odeslání zprávy se posuňte dolů</v>
      </c>
      <c r="H1605" s="7" t="str">
        <f>IFERROR(__xludf.DUMMYFUNCTION("GOOGLETRANSLATE(C1605, ""en"", ""da"")"),"Rul ned efter at have sendt en besked")</f>
        <v>Rul ned efter at have sendt en besked</v>
      </c>
      <c r="I1605" s="1" t="s">
        <v>32648</v>
      </c>
      <c r="J1605" s="6" t="s">
        <v>132</v>
      </c>
      <c r="K1605" s="1" t="s">
        <v>32649</v>
      </c>
      <c r="L1605" s="7" t="str">
        <f>IFERROR(__xludf.DUMMYFUNCTION("GOOGLETRANSLATE(C1605, ""en"", ""fi"")"),"Selaa alaspäin lähettämisen jälkeen")</f>
        <v>Selaa alaspäin lähettämisen jälkeen</v>
      </c>
      <c r="M1605" s="1" t="s">
        <v>32650</v>
      </c>
      <c r="N1605" s="6" t="s">
        <v>32651</v>
      </c>
      <c r="O1605" s="6" t="s">
        <v>132</v>
      </c>
      <c r="P1605" s="1" t="s">
        <v>32652</v>
      </c>
      <c r="Q1605" s="7" t="str">
        <f>IFERROR(__xludf.DUMMYFUNCTION("GOOGLETRANSLATE(C1605, ""en"", ""in"")"),"Gulir ke bawah setelah mengirim pesan")</f>
        <v>Gulir ke bawah setelah mengirim pesan</v>
      </c>
      <c r="R1605" s="1" t="s">
        <v>32653</v>
      </c>
      <c r="S1605" s="6" t="s">
        <v>132</v>
      </c>
      <c r="T1605" s="7" t="str">
        <f>IFERROR(__xludf.DUMMYFUNCTION("GOOGLETRANSLATE(C1605, ""en"", ""ja"")"),"メッセージを送信した後にスクロールしてください")</f>
        <v>メッセージを送信した後にスクロールしてください</v>
      </c>
      <c r="U1605" s="7" t="str">
        <f>IFERROR(__xludf.DUMMYFUNCTION("GOOGLETRANSLATE(C1605, ""en"", ""ko"")"),"메시지를 보낸 후 아래로 스크롤하십시오")</f>
        <v>메시지를 보낸 후 아래로 스크롤하십시오</v>
      </c>
      <c r="V1605" s="7" t="str">
        <f>IFERROR(__xludf.DUMMYFUNCTION("GOOGLETRANSLATE(C1605, ""en"", ""ms"")"),"Tatal ke bawah selepas menghantar mesej")</f>
        <v>Tatal ke bawah selepas menghantar mesej</v>
      </c>
      <c r="W1605" s="1" t="s">
        <v>32654</v>
      </c>
      <c r="X1605" s="7" t="str">
        <f>IFERROR(__xludf.DUMMYFUNCTION("GOOGLETRANSLATE(C1605, ""en"", ""no"")"),"Rull ned etter å ha sendt en melding")</f>
        <v>Rull ned etter å ha sendt en melding</v>
      </c>
      <c r="Y1605" s="1" t="s">
        <v>32655</v>
      </c>
      <c r="Z1605" s="7" t="str">
        <f>IFERROR(__xludf.DUMMYFUNCTION("GOOGLETRANSLATE(C1605, ""en"", ""pt"")"),"Role para baixo depois de enviar uma mensagem")</f>
        <v>Role para baixo depois de enviar uma mensagem</v>
      </c>
      <c r="AA1605" s="7" t="str">
        <f>IFERROR(__xludf.DUMMYFUNCTION("GOOGLETRANSLATE(C1605, ""en"", ""ro"")"),"Derulați în jos după trimiterea unui mesaj")</f>
        <v>Derulați în jos după trimiterea unui mesaj</v>
      </c>
      <c r="AB1605" s="7" t="str">
        <f>IFERROR(__xludf.DUMMYFUNCTION("GOOGLETRANSLATE(C1605, ""en"", ""ru"")"),"Прокрутите вниз после отправки сообщения")</f>
        <v>Прокрутите вниз после отправки сообщения</v>
      </c>
      <c r="AC1605" s="7" t="str">
        <f>IFERROR(__xludf.DUMMYFUNCTION("GOOGLETRANSLATE(C1605, ""en"", ""sk"")"),"Po odoslaní správy sa prejdite nadol")</f>
        <v>Po odoslaní správy sa prejdite nadol</v>
      </c>
      <c r="AD1605" s="6" t="s">
        <v>132</v>
      </c>
      <c r="AE1605" s="7" t="str">
        <f>IFERROR(__xludf.DUMMYFUNCTION("GOOGLETRANSLATE(C1605, ""en"", ""sr"")"),"Помичите се доле након слања поруке")</f>
        <v>Помичите се доле након слања поруке</v>
      </c>
      <c r="AF1605" s="7" t="str">
        <f>IFERROR(__xludf.DUMMYFUNCTION("GOOGLETRANSLATE(C1605, ""en"", ""sv"")"),"Bläddra ner efter att ha skickat ett meddelande")</f>
        <v>Bläddra ner efter att ha skickat ett meddelande</v>
      </c>
      <c r="AG1605" s="6" t="s">
        <v>132</v>
      </c>
      <c r="AH1605" s="7" t="str">
        <f>IFERROR(__xludf.DUMMYFUNCTION("GOOGLETRANSLATE(C1605, ""en"", ""tr"")"),"Bir mesaj gönderdikten sonra aşağı kaydırın")</f>
        <v>Bir mesaj gönderdikten sonra aşağı kaydırın</v>
      </c>
      <c r="AI1605" s="6" t="s">
        <v>132</v>
      </c>
      <c r="AJ1605" s="6" t="s">
        <v>132</v>
      </c>
      <c r="AK1605" s="7" t="str">
        <f>IFERROR(__xludf.DUMMYFUNCTION("GOOGLETRANSLATE(C1605, ""en"", ""zh"")"),"发送消息后向下滚动")</f>
        <v>发送消息后向下滚动</v>
      </c>
      <c r="AL1605" s="6" t="s">
        <v>132</v>
      </c>
    </row>
    <row r="1606" ht="15.75" hidden="1" customHeight="1">
      <c r="A1606" s="1" t="s">
        <v>38</v>
      </c>
      <c r="B1606" s="1" t="s">
        <v>32656</v>
      </c>
      <c r="C1606" s="1" t="s">
        <v>32657</v>
      </c>
      <c r="D1606" s="7" t="str">
        <f>IFERROR(__xludf.DUMMYFUNCTION("GOOGLETRANSLATE(C1606, ""en"", ""ar"")"),"غير قادر على جلب حزم الجهاز")</f>
        <v>غير قادر على جلب حزم الجهاز</v>
      </c>
      <c r="E1606" s="1" t="s">
        <v>32658</v>
      </c>
      <c r="F1606" s="6" t="s">
        <v>32659</v>
      </c>
      <c r="G1606" s="7" t="str">
        <f>IFERROR(__xludf.DUMMYFUNCTION("GOOGLETRANSLATE(C1606, ""en"", ""cs"")"),"Nelze narazit svazky zařízení")</f>
        <v>Nelze narazit svazky zařízení</v>
      </c>
      <c r="H1606" s="7" t="str">
        <f>IFERROR(__xludf.DUMMYFUNCTION("GOOGLETRANSLATE(C1606, ""en"", ""da"")"),"Kan ikke hente enhedsbundter")</f>
        <v>Kan ikke hente enhedsbundter</v>
      </c>
      <c r="I1606" s="1" t="s">
        <v>32660</v>
      </c>
      <c r="J1606" s="6" t="s">
        <v>132</v>
      </c>
      <c r="K1606" s="1" t="s">
        <v>32661</v>
      </c>
      <c r="L1606" s="7" t="str">
        <f>IFERROR(__xludf.DUMMYFUNCTION("GOOGLETRANSLATE(C1606, ""en"", ""fi"")"),"Laitteen nippuja ei voi hakea")</f>
        <v>Laitteen nippuja ei voi hakea</v>
      </c>
      <c r="M1606" s="1" t="s">
        <v>32662</v>
      </c>
      <c r="N1606" s="6" t="s">
        <v>32663</v>
      </c>
      <c r="O1606" s="6" t="s">
        <v>132</v>
      </c>
      <c r="P1606" s="1" t="s">
        <v>32664</v>
      </c>
      <c r="Q1606" s="7" t="str">
        <f>IFERROR(__xludf.DUMMYFUNCTION("GOOGLETRANSLATE(C1606, ""en"", ""in"")"),"Tidak dapat mengambil bundel perangkat")</f>
        <v>Tidak dapat mengambil bundel perangkat</v>
      </c>
      <c r="R1606" s="1" t="s">
        <v>32665</v>
      </c>
      <c r="S1606" s="6" t="s">
        <v>132</v>
      </c>
      <c r="T1606" s="7" t="str">
        <f>IFERROR(__xludf.DUMMYFUNCTION("GOOGLETRANSLATE(C1606, ""en"", ""ja"")"),"デバイスバンドルを取得できません")</f>
        <v>デバイスバンドルを取得できません</v>
      </c>
      <c r="U1606" s="7" t="str">
        <f>IFERROR(__xludf.DUMMYFUNCTION("GOOGLETRANSLATE(C1606, ""en"", ""ko"")"),"장치 번들을 가져올 수 없습니다")</f>
        <v>장치 번들을 가져올 수 없습니다</v>
      </c>
      <c r="V1606" s="7" t="str">
        <f>IFERROR(__xludf.DUMMYFUNCTION("GOOGLETRANSLATE(C1606, ""en"", ""ms"")"),"Tidak dapat mengambil bungkusan peranti")</f>
        <v>Tidak dapat mengambil bungkusan peranti</v>
      </c>
      <c r="W1606" s="1" t="s">
        <v>32666</v>
      </c>
      <c r="X1606" s="7" t="str">
        <f>IFERROR(__xludf.DUMMYFUNCTION("GOOGLETRANSLATE(C1606, ""en"", ""no"")"),"Kan ikke hente enhetsbunter")</f>
        <v>Kan ikke hente enhetsbunter</v>
      </c>
      <c r="Y1606" s="1" t="s">
        <v>32667</v>
      </c>
      <c r="Z1606" s="7" t="str">
        <f>IFERROR(__xludf.DUMMYFUNCTION("GOOGLETRANSLATE(C1606, ""en"", ""pt"")"),"Não é possível buscar pacotes de dispositivos")</f>
        <v>Não é possível buscar pacotes de dispositivos</v>
      </c>
      <c r="AA1606" s="7" t="str">
        <f>IFERROR(__xludf.DUMMYFUNCTION("GOOGLETRANSLATE(C1606, ""en"", ""ro"")"),"Imposibil de urmat pachetele de dispozitive")</f>
        <v>Imposibil de urmat pachetele de dispozitive</v>
      </c>
      <c r="AB1606" s="7" t="str">
        <f>IFERROR(__xludf.DUMMYFUNCTION("GOOGLETRANSLATE(C1606, ""en"", ""ru"")"),"Невозможно извлечь пакеты устройства")</f>
        <v>Невозможно извлечь пакеты устройства</v>
      </c>
      <c r="AC1606" s="7" t="str">
        <f>IFERROR(__xludf.DUMMYFUNCTION("GOOGLETRANSLATE(C1606, ""en"", ""sk"")"),"Nie je možné získať zväzky zariadenia")</f>
        <v>Nie je možné získať zväzky zariadenia</v>
      </c>
      <c r="AD1606" s="6" t="s">
        <v>132</v>
      </c>
      <c r="AE1606" s="7" t="str">
        <f>IFERROR(__xludf.DUMMYFUNCTION("GOOGLETRANSLATE(C1606, ""en"", ""sr"")"),"Није могуће донети пакете уређаја")</f>
        <v>Није могуће донети пакете уређаја</v>
      </c>
      <c r="AF1606" s="7" t="str">
        <f>IFERROR(__xludf.DUMMYFUNCTION("GOOGLETRANSLATE(C1606, ""en"", ""sv"")"),"Det gick inte att hämta enhetsbuntar")</f>
        <v>Det gick inte att hämta enhetsbuntar</v>
      </c>
      <c r="AG1606" s="6" t="s">
        <v>132</v>
      </c>
      <c r="AH1606" s="7" t="str">
        <f>IFERROR(__xludf.DUMMYFUNCTION("GOOGLETRANSLATE(C1606, ""en"", ""tr"")"),"Cihaz demetleri alamıyor")</f>
        <v>Cihaz demetleri alamıyor</v>
      </c>
      <c r="AI1606" s="6" t="s">
        <v>132</v>
      </c>
      <c r="AJ1606" s="6" t="s">
        <v>132</v>
      </c>
      <c r="AK1606" s="7" t="str">
        <f>IFERROR(__xludf.DUMMYFUNCTION("GOOGLETRANSLATE(C1606, ""en"", ""zh"")"),"无法获取设备捆绑包")</f>
        <v>无法获取设备捆绑包</v>
      </c>
      <c r="AL1606" s="6" t="s">
        <v>132</v>
      </c>
    </row>
    <row r="1607" ht="15.75" hidden="1" customHeight="1">
      <c r="A1607" s="1" t="s">
        <v>38</v>
      </c>
      <c r="B1607" s="1" t="s">
        <v>32668</v>
      </c>
      <c r="C1607" s="1" t="s">
        <v>32669</v>
      </c>
      <c r="D1607" s="8" t="s">
        <v>32670</v>
      </c>
      <c r="E1607" s="1" t="s">
        <v>32671</v>
      </c>
      <c r="F1607" s="6" t="s">
        <v>32672</v>
      </c>
      <c r="G1607" s="7" t="str">
        <f>IFERROR(__xludf.DUMMYFUNCTION("GOOGLETRANSLATE(C1607, ""en"", ""cs"")"),"do% S.")</f>
        <v>do% S.</v>
      </c>
      <c r="H1607" s="7" t="str">
        <f>IFERROR(__xludf.DUMMYFUNCTION("GOOGLETRANSLATE(C1607, ""en"", ""da"")"),"til% S.")</f>
        <v>til% S.</v>
      </c>
      <c r="I1607" s="1" t="s">
        <v>32673</v>
      </c>
      <c r="J1607" s="6" t="s">
        <v>132</v>
      </c>
      <c r="K1607" s="1" t="s">
        <v>32674</v>
      </c>
      <c r="L1607" s="7" t="str">
        <f>IFERROR(__xludf.DUMMYFUNCTION("GOOGLETRANSLATE(C1607, ""en"", ""fi"")"),"% s")</f>
        <v>% s</v>
      </c>
      <c r="M1607" s="1" t="s">
        <v>32675</v>
      </c>
      <c r="N1607" s="6" t="s">
        <v>32672</v>
      </c>
      <c r="O1607" s="6" t="s">
        <v>132</v>
      </c>
      <c r="P1607" s="1" t="s">
        <v>32676</v>
      </c>
      <c r="Q1607" s="9" t="s">
        <v>32677</v>
      </c>
      <c r="R1607" s="1" t="s">
        <v>32672</v>
      </c>
      <c r="S1607" s="6" t="s">
        <v>132</v>
      </c>
      <c r="T1607" s="1" t="s">
        <v>32678</v>
      </c>
      <c r="U1607" s="1" t="s">
        <v>32679</v>
      </c>
      <c r="V1607" s="7" t="str">
        <f>IFERROR(__xludf.DUMMYFUNCTION("GOOGLETRANSLATE(C1607, ""en"", ""ms"")"),"kepada% S.")</f>
        <v>kepada% S.</v>
      </c>
      <c r="W1607" s="1" t="s">
        <v>32680</v>
      </c>
      <c r="X1607" s="7" t="str">
        <f>IFERROR(__xludf.DUMMYFUNCTION("GOOGLETRANSLATE(C1607, ""en"", ""no"")"),"til% S.")</f>
        <v>til% S.</v>
      </c>
      <c r="Y1607" s="1" t="s">
        <v>32681</v>
      </c>
      <c r="Z1607" s="1" t="s">
        <v>32682</v>
      </c>
      <c r="AA1607" s="7" t="str">
        <f>IFERROR(__xludf.DUMMYFUNCTION("GOOGLETRANSLATE(C1607, ""en"", ""ro"")"),"la% S.")</f>
        <v>la% S.</v>
      </c>
      <c r="AB1607" s="1" t="s">
        <v>32683</v>
      </c>
      <c r="AC1607" s="1" t="s">
        <v>32684</v>
      </c>
      <c r="AD1607" s="6" t="s">
        <v>132</v>
      </c>
      <c r="AE1607" s="1" t="s">
        <v>32685</v>
      </c>
      <c r="AF1607" s="1" t="s">
        <v>32686</v>
      </c>
      <c r="AG1607" s="6" t="s">
        <v>132</v>
      </c>
      <c r="AH1607" s="7" t="str">
        <f>IFERROR(__xludf.DUMMYFUNCTION("GOOGLETRANSLATE(C1607, ""en"", ""tr"")"),"% s")</f>
        <v>% s</v>
      </c>
      <c r="AI1607" s="6" t="s">
        <v>32687</v>
      </c>
      <c r="AJ1607" s="6" t="s">
        <v>32688</v>
      </c>
      <c r="AK1607" s="7" t="str">
        <f>IFERROR(__xludf.DUMMYFUNCTION("GOOGLETRANSLATE(C1607, ""en"", ""zh"")"),"％s")</f>
        <v>％s</v>
      </c>
      <c r="AL1607" s="6" t="s">
        <v>32689</v>
      </c>
    </row>
    <row r="1608" ht="15.75" customHeight="1">
      <c r="A1608" s="1" t="s">
        <v>127</v>
      </c>
      <c r="B1608" s="1" t="s">
        <v>32690</v>
      </c>
      <c r="C1608" s="1" t="s">
        <v>14624</v>
      </c>
      <c r="D1608" s="8" t="s">
        <v>14625</v>
      </c>
      <c r="E1608" s="1" t="s">
        <v>14626</v>
      </c>
      <c r="F1608" s="6" t="s">
        <v>132</v>
      </c>
      <c r="G1608" s="1" t="s">
        <v>14627</v>
      </c>
      <c r="H1608" s="1" t="s">
        <v>14628</v>
      </c>
      <c r="I1608" s="1" t="s">
        <v>32691</v>
      </c>
      <c r="J1608" s="6" t="s">
        <v>14630</v>
      </c>
      <c r="K1608" s="1" t="s">
        <v>32692</v>
      </c>
      <c r="L1608" s="1" t="s">
        <v>14632</v>
      </c>
      <c r="M1608" s="1" t="s">
        <v>32693</v>
      </c>
      <c r="N1608" s="6" t="s">
        <v>132</v>
      </c>
      <c r="O1608" s="6" t="s">
        <v>14634</v>
      </c>
      <c r="P1608" s="1" t="s">
        <v>32694</v>
      </c>
      <c r="Q1608" s="1" t="s">
        <v>14636</v>
      </c>
      <c r="R1608" s="1" t="s">
        <v>14637</v>
      </c>
      <c r="S1608" s="10" t="s">
        <v>14638</v>
      </c>
      <c r="T1608" s="1" t="s">
        <v>14639</v>
      </c>
      <c r="U1608" s="1" t="s">
        <v>14640</v>
      </c>
      <c r="V1608" s="1" t="s">
        <v>14636</v>
      </c>
      <c r="W1608" s="1" t="s">
        <v>32695</v>
      </c>
      <c r="X1608" s="1" t="s">
        <v>14642</v>
      </c>
      <c r="Y1608" s="1" t="s">
        <v>32696</v>
      </c>
      <c r="Z1608" s="1" t="s">
        <v>14644</v>
      </c>
      <c r="AA1608" s="1" t="s">
        <v>32697</v>
      </c>
      <c r="AB1608" s="1" t="s">
        <v>32698</v>
      </c>
      <c r="AC1608" s="1" t="s">
        <v>14647</v>
      </c>
      <c r="AD1608" s="6" t="s">
        <v>14648</v>
      </c>
      <c r="AE1608" s="1" t="s">
        <v>32699</v>
      </c>
      <c r="AF1608" s="1" t="s">
        <v>14650</v>
      </c>
      <c r="AG1608" s="6" t="s">
        <v>14651</v>
      </c>
      <c r="AH1608" s="1" t="s">
        <v>14652</v>
      </c>
      <c r="AI1608" s="6" t="s">
        <v>132</v>
      </c>
      <c r="AJ1608" s="6" t="s">
        <v>14653</v>
      </c>
      <c r="AK1608" s="1" t="s">
        <v>14654</v>
      </c>
      <c r="AL1608" s="6" t="s">
        <v>132</v>
      </c>
    </row>
    <row r="1609" ht="15.75" customHeight="1">
      <c r="A1609" s="1" t="s">
        <v>127</v>
      </c>
      <c r="B1609" s="1" t="s">
        <v>32700</v>
      </c>
      <c r="C1609" s="1" t="s">
        <v>32701</v>
      </c>
      <c r="D1609" s="8" t="s">
        <v>32702</v>
      </c>
      <c r="E1609" s="1" t="s">
        <v>32703</v>
      </c>
      <c r="F1609" s="6" t="s">
        <v>132</v>
      </c>
      <c r="G1609" s="1" t="s">
        <v>32704</v>
      </c>
      <c r="H1609" s="1" t="s">
        <v>32705</v>
      </c>
      <c r="I1609" s="1" t="s">
        <v>32701</v>
      </c>
      <c r="J1609" s="6" t="s">
        <v>32706</v>
      </c>
      <c r="K1609" s="1" t="s">
        <v>32707</v>
      </c>
      <c r="L1609" s="1" t="s">
        <v>32708</v>
      </c>
      <c r="M1609" s="1" t="s">
        <v>32709</v>
      </c>
      <c r="N1609" s="6" t="s">
        <v>132</v>
      </c>
      <c r="O1609" s="6" t="s">
        <v>32710</v>
      </c>
      <c r="P1609" s="1" t="s">
        <v>32711</v>
      </c>
      <c r="Q1609" s="1" t="s">
        <v>32712</v>
      </c>
      <c r="R1609" s="1" t="s">
        <v>32713</v>
      </c>
      <c r="S1609" s="10" t="s">
        <v>32714</v>
      </c>
      <c r="T1609" s="1" t="s">
        <v>32715</v>
      </c>
      <c r="U1609" s="1" t="s">
        <v>32716</v>
      </c>
      <c r="V1609" s="1" t="s">
        <v>32717</v>
      </c>
      <c r="W1609" s="1" t="s">
        <v>32701</v>
      </c>
      <c r="X1609" s="1" t="s">
        <v>32718</v>
      </c>
      <c r="Y1609" s="1" t="s">
        <v>32719</v>
      </c>
      <c r="Z1609" s="1" t="s">
        <v>32720</v>
      </c>
      <c r="AA1609" s="1" t="s">
        <v>32721</v>
      </c>
      <c r="AB1609" s="1" t="s">
        <v>32722</v>
      </c>
      <c r="AC1609" s="1" t="s">
        <v>32723</v>
      </c>
      <c r="AD1609" s="6" t="s">
        <v>32724</v>
      </c>
      <c r="AE1609" s="1" t="s">
        <v>32725</v>
      </c>
      <c r="AF1609" s="1" t="s">
        <v>32726</v>
      </c>
      <c r="AG1609" s="6" t="s">
        <v>32727</v>
      </c>
      <c r="AH1609" s="1" t="s">
        <v>32728</v>
      </c>
      <c r="AI1609" s="6" t="s">
        <v>132</v>
      </c>
      <c r="AJ1609" s="6" t="s">
        <v>32729</v>
      </c>
      <c r="AK1609" s="1" t="s">
        <v>32730</v>
      </c>
      <c r="AL1609" s="6" t="s">
        <v>32731</v>
      </c>
    </row>
    <row r="1610" ht="15.75" hidden="1" customHeight="1">
      <c r="A1610" s="1" t="s">
        <v>38</v>
      </c>
      <c r="B1610" s="1" t="s">
        <v>32732</v>
      </c>
      <c r="C1610" s="1" t="s">
        <v>32733</v>
      </c>
      <c r="D1610" s="7" t="str">
        <f>IFERROR(__xludf.DUMMYFUNCTION("GOOGLETRANSLATE(C1610, ""en"", ""ar"")"),"التحقق من٪ s على مضيف HTTP")</f>
        <v>التحقق من٪ s على مضيف HTTP</v>
      </c>
      <c r="E1610" s="1" t="s">
        <v>32734</v>
      </c>
      <c r="F1610" s="6" t="s">
        <v>32735</v>
      </c>
      <c r="G1610" s="7" t="str">
        <f>IFERROR(__xludf.DUMMYFUNCTION("GOOGLETRANSLATE(C1610, ""en"", ""cs"")"),"Kontrola% s na HTTP Host")</f>
        <v>Kontrola% s na HTTP Host</v>
      </c>
      <c r="H1610" s="7" t="str">
        <f>IFERROR(__xludf.DUMMYFUNCTION("GOOGLETRANSLATE(C1610, ""en"", ""da"")"),"Kontrollerer% s på HTTP Host")</f>
        <v>Kontrollerer% s på HTTP Host</v>
      </c>
      <c r="I1610" s="1" t="s">
        <v>32736</v>
      </c>
      <c r="J1610" s="6" t="s">
        <v>132</v>
      </c>
      <c r="K1610" s="1" t="s">
        <v>32737</v>
      </c>
      <c r="L1610" s="7" t="str">
        <f>IFERROR(__xludf.DUMMYFUNCTION("GOOGLETRANSLATE(C1610, ""en"", ""fi"")"),"Tarkista% s osoitteessa http-isäntä")</f>
        <v>Tarkista% s osoitteessa http-isäntä</v>
      </c>
      <c r="M1610" s="1" t="s">
        <v>32738</v>
      </c>
      <c r="N1610" s="6" t="s">
        <v>32739</v>
      </c>
      <c r="O1610" s="6" t="s">
        <v>132</v>
      </c>
      <c r="P1610" s="1" t="s">
        <v>32740</v>
      </c>
      <c r="Q1610" s="7" t="str">
        <f>IFERROR(__xludf.DUMMYFUNCTION("GOOGLETRANSLATE(C1610, ""en"", ""in"")"),"Memeriksa% s pada host http")</f>
        <v>Memeriksa% s pada host http</v>
      </c>
      <c r="R1610" s="1" t="s">
        <v>32741</v>
      </c>
      <c r="S1610" s="6" t="s">
        <v>132</v>
      </c>
      <c r="T1610" s="1" t="s">
        <v>32742</v>
      </c>
      <c r="U1610" s="1" t="s">
        <v>32743</v>
      </c>
      <c r="V1610" s="7" t="str">
        <f>IFERROR(__xludf.DUMMYFUNCTION("GOOGLETRANSLATE(C1610, ""en"", ""ms"")"),"Memeriksa% s pada HTTP Host")</f>
        <v>Memeriksa% s pada HTTP Host</v>
      </c>
      <c r="W1610" s="1" t="s">
        <v>32744</v>
      </c>
      <c r="X1610" s="7" t="str">
        <f>IFERROR(__xludf.DUMMYFUNCTION("GOOGLETRANSLATE(C1610, ""en"", ""no"")"),"Kontrollerer% S på HTTP-vert")</f>
        <v>Kontrollerer% S på HTTP-vert</v>
      </c>
      <c r="Y1610" s="1" t="s">
        <v>32745</v>
      </c>
      <c r="Z1610" s="1" t="s">
        <v>32746</v>
      </c>
      <c r="AA1610" s="7" t="str">
        <f>IFERROR(__xludf.DUMMYFUNCTION("GOOGLETRANSLATE(C1610, ""en"", ""ro"")"),"Verificarea% s pe HTTP Host")</f>
        <v>Verificarea% s pe HTTP Host</v>
      </c>
      <c r="AB1610" s="1" t="s">
        <v>32747</v>
      </c>
      <c r="AC1610" s="1" t="s">
        <v>32748</v>
      </c>
      <c r="AD1610" s="6" t="s">
        <v>132</v>
      </c>
      <c r="AE1610" s="1" t="s">
        <v>32749</v>
      </c>
      <c r="AF1610" s="1" t="s">
        <v>32750</v>
      </c>
      <c r="AG1610" s="6" t="s">
        <v>132</v>
      </c>
      <c r="AH1610" s="7" t="str">
        <f>IFERROR(__xludf.DUMMYFUNCTION("GOOGLETRANSLATE(C1610, ""en"", ""tr"")"),"Http ana bilgisayarında% s kontrol")</f>
        <v>Http ana bilgisayarında% s kontrol</v>
      </c>
      <c r="AI1610" s="6" t="s">
        <v>32751</v>
      </c>
      <c r="AJ1610" s="6" t="s">
        <v>32752</v>
      </c>
      <c r="AK1610" s="7" t="str">
        <f>IFERROR(__xludf.DUMMYFUNCTION("GOOGLETRANSLATE(C1610, ""en"", ""zh"")"),"在HTTP主机上检查％s")</f>
        <v>在HTTP主机上检查％s</v>
      </c>
      <c r="AL1610" s="6" t="s">
        <v>32753</v>
      </c>
    </row>
    <row r="1611" ht="15.75" hidden="1" customHeight="1">
      <c r="A1611" s="1" t="s">
        <v>38</v>
      </c>
      <c r="B1611" s="1" t="s">
        <v>32754</v>
      </c>
      <c r="C1611" s="1" t="s">
        <v>32755</v>
      </c>
      <c r="D1611" s="8" t="s">
        <v>32756</v>
      </c>
      <c r="E1611" s="1" t="s">
        <v>32757</v>
      </c>
      <c r="F1611" s="6" t="s">
        <v>32758</v>
      </c>
      <c r="G1611" s="7" t="str">
        <f>IFERROR(__xludf.DUMMYFUNCTION("GOOGLETRANSLATE(C1611, ""en"", ""cs"")"),"Soukromé, členové pouze skupiny Chat")</f>
        <v>Soukromé, členové pouze skupiny Chat</v>
      </c>
      <c r="H1611" s="7" t="str">
        <f>IFERROR(__xludf.DUMMYFUNCTION("GOOGLETRANSLATE(C1611, ""en"", ""da"")"),"Privat, medlemmer kun gruppe chat")</f>
        <v>Privat, medlemmer kun gruppe chat</v>
      </c>
      <c r="I1611" s="1" t="s">
        <v>32759</v>
      </c>
      <c r="J1611" s="6" t="s">
        <v>132</v>
      </c>
      <c r="K1611" s="1" t="s">
        <v>32760</v>
      </c>
      <c r="L1611" s="7" t="str">
        <f>IFERROR(__xludf.DUMMYFUNCTION("GOOGLETRANSLATE(C1611, ""en"", ""fi"")"),"Yksityinen, jäsenet vain ryhmäkeskustelu")</f>
        <v>Yksityinen, jäsenet vain ryhmäkeskustelu</v>
      </c>
      <c r="M1611" s="1" t="s">
        <v>32761</v>
      </c>
      <c r="N1611" s="6" t="s">
        <v>32762</v>
      </c>
      <c r="O1611" s="6" t="s">
        <v>132</v>
      </c>
      <c r="P1611" s="1" t="s">
        <v>32763</v>
      </c>
      <c r="Q1611" s="7" t="str">
        <f>IFERROR(__xludf.DUMMYFUNCTION("GOOGLETRANSLATE(C1611, ""en"", ""in"")"),"Pribadi, Anggota Only Group Chat")</f>
        <v>Pribadi, Anggota Only Group Chat</v>
      </c>
      <c r="R1611" s="1" t="s">
        <v>32764</v>
      </c>
      <c r="S1611" s="6" t="s">
        <v>132</v>
      </c>
      <c r="T1611" s="7" t="str">
        <f>IFERROR(__xludf.DUMMYFUNCTION("GOOGLETRANSLATE(C1611, ""en"", ""ja"")"),"プライベート、メンバーのみグループチャット")</f>
        <v>プライベート、メンバーのみグループチャット</v>
      </c>
      <c r="U1611" s="7" t="str">
        <f>IFERROR(__xludf.DUMMYFUNCTION("GOOGLETRANSLATE(C1611, ""en"", ""ko"")"),"비공개, 회원 전용 그룹 채팅")</f>
        <v>비공개, 회원 전용 그룹 채팅</v>
      </c>
      <c r="V1611" s="7" t="str">
        <f>IFERROR(__xludf.DUMMYFUNCTION("GOOGLETRANSLATE(C1611, ""en"", ""ms"")"),"Swasta, ahli hanya sembang kumpulan")</f>
        <v>Swasta, ahli hanya sembang kumpulan</v>
      </c>
      <c r="W1611" s="1" t="s">
        <v>32765</v>
      </c>
      <c r="X1611" s="7" t="str">
        <f>IFERROR(__xludf.DUMMYFUNCTION("GOOGLETRANSLATE(C1611, ""en"", ""no"")"),"Privat, medlemmer kun gruppemelding")</f>
        <v>Privat, medlemmer kun gruppemelding</v>
      </c>
      <c r="Y1611" s="1" t="s">
        <v>32766</v>
      </c>
      <c r="Z1611" s="1" t="s">
        <v>32767</v>
      </c>
      <c r="AA1611" s="7" t="str">
        <f>IFERROR(__xludf.DUMMYFUNCTION("GOOGLETRANSLATE(C1611, ""en"", ""ro"")"),"Private, membrii numai pentru grupul de chat")</f>
        <v>Private, membrii numai pentru grupul de chat</v>
      </c>
      <c r="AB1611" s="1" t="s">
        <v>32768</v>
      </c>
      <c r="AC1611" s="7" t="str">
        <f>IFERROR(__xludf.DUMMYFUNCTION("GOOGLETRANSLATE(C1611, ""en"", ""sk"")"),"Súkromné, členovia len skupinový chat")</f>
        <v>Súkromné, členovia len skupinový chat</v>
      </c>
      <c r="AD1611" s="6" t="s">
        <v>132</v>
      </c>
      <c r="AE1611" s="1" t="s">
        <v>32769</v>
      </c>
      <c r="AF1611" s="7" t="str">
        <f>IFERROR(__xludf.DUMMYFUNCTION("GOOGLETRANSLATE(C1611, ""en"", ""sv"")"),"Privat, medlemmar bara gruppchatt")</f>
        <v>Privat, medlemmar bara gruppchatt</v>
      </c>
      <c r="AG1611" s="6" t="s">
        <v>132</v>
      </c>
      <c r="AH1611" s="7" t="str">
        <f>IFERROR(__xludf.DUMMYFUNCTION("GOOGLETRANSLATE(C1611, ""en"", ""tr"")"),"Özel, üyeler sadece grup sohbeti")</f>
        <v>Özel, üyeler sadece grup sohbeti</v>
      </c>
      <c r="AI1611" s="6" t="s">
        <v>132</v>
      </c>
      <c r="AJ1611" s="6" t="s">
        <v>132</v>
      </c>
      <c r="AK1611" s="7" t="str">
        <f>IFERROR(__xludf.DUMMYFUNCTION("GOOGLETRANSLATE(C1611, ""en"", ""zh"")"),"私人，会员只有群组聊天")</f>
        <v>私人，会员只有群组聊天</v>
      </c>
      <c r="AL1611" s="6" t="s">
        <v>132</v>
      </c>
    </row>
    <row r="1612" ht="15.75" hidden="1" customHeight="1">
      <c r="A1612" s="1" t="s">
        <v>38</v>
      </c>
      <c r="B1612" s="1" t="s">
        <v>32770</v>
      </c>
      <c r="C1612" s="1" t="s">
        <v>32771</v>
      </c>
      <c r="D1612" s="7" t="str">
        <f>IFERROR(__xludf.DUMMYFUNCTION("GOOGLETRANSLATE(C1612, ""en"", ""ar"")"),"فنلندا")</f>
        <v>فنلندا</v>
      </c>
      <c r="E1612" s="7" t="str">
        <f>IFERROR(__xludf.DUMMYFUNCTION("GOOGLETRANSLATE(C1612, ""en"", ""bg"")"),"Финландия")</f>
        <v>Финландия</v>
      </c>
      <c r="F1612" s="6" t="s">
        <v>132</v>
      </c>
      <c r="G1612" s="7" t="str">
        <f>IFERROR(__xludf.DUMMYFUNCTION("GOOGLETRANSLATE(C1612, ""en"", ""cs"")"),"Finsko")</f>
        <v>Finsko</v>
      </c>
      <c r="H1612" s="7" t="str">
        <f>IFERROR(__xludf.DUMMYFUNCTION("GOOGLETRANSLATE(C1612, ""en"", ""da"")"),"Finland.")</f>
        <v>Finland.</v>
      </c>
      <c r="I1612" s="1" t="s">
        <v>32772</v>
      </c>
      <c r="J1612" s="6" t="s">
        <v>132</v>
      </c>
      <c r="K1612" s="1" t="s">
        <v>32773</v>
      </c>
      <c r="L1612" s="7" t="str">
        <f>IFERROR(__xludf.DUMMYFUNCTION("GOOGLETRANSLATE(C1612, ""en"", ""fi"")"),"Suomi")</f>
        <v>Suomi</v>
      </c>
      <c r="M1612" s="1" t="s">
        <v>32774</v>
      </c>
      <c r="N1612" s="6" t="s">
        <v>132</v>
      </c>
      <c r="O1612" s="6" t="s">
        <v>132</v>
      </c>
      <c r="P1612" s="1" t="s">
        <v>32771</v>
      </c>
      <c r="Q1612" s="7" t="str">
        <f>IFERROR(__xludf.DUMMYFUNCTION("GOOGLETRANSLATE(C1612, ""en"", ""in"")"),"Finlandia")</f>
        <v>Finlandia</v>
      </c>
      <c r="R1612" s="7" t="str">
        <f>IFERROR(__xludf.DUMMYFUNCTION("GOOGLETRANSLATE(C1612, ""en"", ""it"")"),"Finlandia")</f>
        <v>Finlandia</v>
      </c>
      <c r="S1612" s="6" t="s">
        <v>132</v>
      </c>
      <c r="T1612" s="7" t="str">
        <f>IFERROR(__xludf.DUMMYFUNCTION("GOOGLETRANSLATE(C1612, ""en"", ""ja"")"),"フィンランド")</f>
        <v>フィンランド</v>
      </c>
      <c r="U1612" s="7" t="str">
        <f>IFERROR(__xludf.DUMMYFUNCTION("GOOGLETRANSLATE(C1612, ""en"", ""ko"")"),"핀란드")</f>
        <v>핀란드</v>
      </c>
      <c r="V1612" s="7" t="str">
        <f>IFERROR(__xludf.DUMMYFUNCTION("GOOGLETRANSLATE(C1612, ""en"", ""ms"")"),"Finland.")</f>
        <v>Finland.</v>
      </c>
      <c r="W1612" s="7" t="str">
        <f>IFERROR(__xludf.DUMMYFUNCTION("GOOGLETRANSLATE(C1612, ""en"", ""nl"")"),"Finland")</f>
        <v>Finland</v>
      </c>
      <c r="X1612" s="7" t="str">
        <f>IFERROR(__xludf.DUMMYFUNCTION("GOOGLETRANSLATE(C1612, ""en"", ""no"")"),"Finland.")</f>
        <v>Finland.</v>
      </c>
      <c r="Y1612" s="7" t="str">
        <f>IFERROR(__xludf.DUMMYFUNCTION("GOOGLETRANSLATE(C1612, ""en"", ""pl"")"),"Finlandia")</f>
        <v>Finlandia</v>
      </c>
      <c r="Z1612" s="7" t="str">
        <f>IFERROR(__xludf.DUMMYFUNCTION("GOOGLETRANSLATE(C1612, ""en"", ""pt"")"),"Finlândia")</f>
        <v>Finlândia</v>
      </c>
      <c r="AA1612" s="7" t="str">
        <f>IFERROR(__xludf.DUMMYFUNCTION("GOOGLETRANSLATE(C1612, ""en"", ""ro"")"),"Finlanda")</f>
        <v>Finlanda</v>
      </c>
      <c r="AB1612" s="1" t="s">
        <v>32775</v>
      </c>
      <c r="AC1612" s="7" t="str">
        <f>IFERROR(__xludf.DUMMYFUNCTION("GOOGLETRANSLATE(C1612, ""en"", ""sk"")"),"Fínsko")</f>
        <v>Fínsko</v>
      </c>
      <c r="AD1612" s="6" t="s">
        <v>132</v>
      </c>
      <c r="AE1612" s="1" t="s">
        <v>32776</v>
      </c>
      <c r="AF1612" s="7" t="str">
        <f>IFERROR(__xludf.DUMMYFUNCTION("GOOGLETRANSLATE(C1612, ""en"", ""sv"")"),"Finland")</f>
        <v>Finland</v>
      </c>
      <c r="AG1612" s="6" t="s">
        <v>132</v>
      </c>
      <c r="AH1612" s="7" t="str">
        <f>IFERROR(__xludf.DUMMYFUNCTION("GOOGLETRANSLATE(C1612, ""en"", ""tr"")"),"Finlandiya")</f>
        <v>Finlandiya</v>
      </c>
      <c r="AI1612" s="6" t="s">
        <v>132</v>
      </c>
      <c r="AJ1612" s="6" t="s">
        <v>132</v>
      </c>
      <c r="AK1612" s="7" t="str">
        <f>IFERROR(__xludf.DUMMYFUNCTION("GOOGLETRANSLATE(C1612, ""en"", ""zh"")"),"芬兰")</f>
        <v>芬兰</v>
      </c>
      <c r="AL1612" s="6" t="s">
        <v>132</v>
      </c>
    </row>
    <row r="1613" ht="15.75" customHeight="1">
      <c r="A1613" s="1" t="s">
        <v>127</v>
      </c>
      <c r="B1613" s="1" t="s">
        <v>32777</v>
      </c>
      <c r="C1613" s="1" t="s">
        <v>32778</v>
      </c>
      <c r="D1613" s="8" t="s">
        <v>32779</v>
      </c>
      <c r="E1613" s="1" t="s">
        <v>32780</v>
      </c>
      <c r="F1613" s="6" t="s">
        <v>132</v>
      </c>
      <c r="G1613" s="1" t="s">
        <v>32781</v>
      </c>
      <c r="H1613" s="1" t="s">
        <v>32782</v>
      </c>
      <c r="I1613" s="1" t="s">
        <v>32783</v>
      </c>
      <c r="J1613" s="6" t="s">
        <v>32784</v>
      </c>
      <c r="K1613" s="1" t="s">
        <v>32785</v>
      </c>
      <c r="L1613" s="1" t="s">
        <v>32786</v>
      </c>
      <c r="M1613" s="1" t="s">
        <v>32787</v>
      </c>
      <c r="N1613" s="6" t="s">
        <v>132</v>
      </c>
      <c r="O1613" s="6" t="s">
        <v>32788</v>
      </c>
      <c r="P1613" s="1" t="s">
        <v>32789</v>
      </c>
      <c r="Q1613" s="1" t="s">
        <v>32790</v>
      </c>
      <c r="R1613" s="1" t="s">
        <v>32791</v>
      </c>
      <c r="S1613" s="10" t="s">
        <v>32792</v>
      </c>
      <c r="T1613" s="1" t="s">
        <v>32793</v>
      </c>
      <c r="U1613" s="1" t="s">
        <v>32794</v>
      </c>
      <c r="V1613" s="1" t="s">
        <v>32795</v>
      </c>
      <c r="W1613" s="1" t="s">
        <v>32796</v>
      </c>
      <c r="X1613" s="1" t="s">
        <v>32797</v>
      </c>
      <c r="Y1613" s="1" t="s">
        <v>32798</v>
      </c>
      <c r="Z1613" s="1" t="s">
        <v>32799</v>
      </c>
      <c r="AA1613" s="1" t="s">
        <v>32800</v>
      </c>
      <c r="AB1613" s="1" t="s">
        <v>32801</v>
      </c>
      <c r="AC1613" s="1" t="s">
        <v>32802</v>
      </c>
      <c r="AD1613" s="6" t="s">
        <v>32803</v>
      </c>
      <c r="AE1613" s="1" t="s">
        <v>32804</v>
      </c>
      <c r="AF1613" s="1" t="s">
        <v>32805</v>
      </c>
      <c r="AG1613" s="6" t="s">
        <v>32806</v>
      </c>
      <c r="AH1613" s="1" t="s">
        <v>32807</v>
      </c>
      <c r="AI1613" s="6" t="s">
        <v>132</v>
      </c>
      <c r="AJ1613" s="6" t="s">
        <v>32808</v>
      </c>
      <c r="AK1613" s="1" t="s">
        <v>32809</v>
      </c>
      <c r="AL1613" s="6" t="s">
        <v>132</v>
      </c>
    </row>
    <row r="1614" ht="15.75" hidden="1" customHeight="1">
      <c r="A1614" s="1" t="s">
        <v>38</v>
      </c>
      <c r="B1614" s="1" t="s">
        <v>32810</v>
      </c>
      <c r="C1614" s="1" t="s">
        <v>32811</v>
      </c>
      <c r="D1614" s="7" t="str">
        <f>IFERROR(__xludf.DUMMYFUNCTION("GOOGLETRANSLATE(C1614, ""en"", ""ar"")"),"مصر")</f>
        <v>مصر</v>
      </c>
      <c r="E1614" s="7" t="str">
        <f>IFERROR(__xludf.DUMMYFUNCTION("GOOGLETRANSLATE(C1614, ""en"", ""bg"")"),"Египет")</f>
        <v>Египет</v>
      </c>
      <c r="F1614" s="6" t="s">
        <v>132</v>
      </c>
      <c r="G1614" s="7" t="str">
        <f>IFERROR(__xludf.DUMMYFUNCTION("GOOGLETRANSLATE(C1614, ""en"", ""cs"")"),"Egypt")</f>
        <v>Egypt</v>
      </c>
      <c r="H1614" s="7" t="str">
        <f>IFERROR(__xludf.DUMMYFUNCTION("GOOGLETRANSLATE(C1614, ""en"", ""da"")"),"Egypten")</f>
        <v>Egypten</v>
      </c>
      <c r="I1614" s="1" t="s">
        <v>32812</v>
      </c>
      <c r="J1614" s="6" t="s">
        <v>132</v>
      </c>
      <c r="K1614" s="1" t="s">
        <v>32813</v>
      </c>
      <c r="L1614" s="7" t="str">
        <f>IFERROR(__xludf.DUMMYFUNCTION("GOOGLETRANSLATE(C1614, ""en"", ""fi"")"),"Egypti")</f>
        <v>Egypti</v>
      </c>
      <c r="M1614" s="1" t="s">
        <v>32814</v>
      </c>
      <c r="N1614" s="6" t="s">
        <v>132</v>
      </c>
      <c r="O1614" s="6" t="s">
        <v>132</v>
      </c>
      <c r="P1614" s="1" t="s">
        <v>32811</v>
      </c>
      <c r="Q1614" s="7" t="str">
        <f>IFERROR(__xludf.DUMMYFUNCTION("GOOGLETRANSLATE(C1614, ""en"", ""in"")"),"Mesir")</f>
        <v>Mesir</v>
      </c>
      <c r="R1614" s="7" t="str">
        <f>IFERROR(__xludf.DUMMYFUNCTION("GOOGLETRANSLATE(C1614, ""en"", ""it"")"),"Egitto")</f>
        <v>Egitto</v>
      </c>
      <c r="S1614" s="6" t="s">
        <v>132</v>
      </c>
      <c r="T1614" s="7" t="str">
        <f>IFERROR(__xludf.DUMMYFUNCTION("GOOGLETRANSLATE(C1614, ""en"", ""ja"")"),"エジプト")</f>
        <v>エジプト</v>
      </c>
      <c r="U1614" s="7" t="str">
        <f>IFERROR(__xludf.DUMMYFUNCTION("GOOGLETRANSLATE(C1614, ""en"", ""ko"")"),"이집트")</f>
        <v>이집트</v>
      </c>
      <c r="V1614" s="7" t="str">
        <f>IFERROR(__xludf.DUMMYFUNCTION("GOOGLETRANSLATE(C1614, ""en"", ""ms"")"),"Mesir")</f>
        <v>Mesir</v>
      </c>
      <c r="W1614" s="7" t="str">
        <f>IFERROR(__xludf.DUMMYFUNCTION("GOOGLETRANSLATE(C1614, ""en"", ""nl"")"),"Egypte")</f>
        <v>Egypte</v>
      </c>
      <c r="X1614" s="7" t="str">
        <f>IFERROR(__xludf.DUMMYFUNCTION("GOOGLETRANSLATE(C1614, ""en"", ""no"")"),"Egypt")</f>
        <v>Egypt</v>
      </c>
      <c r="Y1614" s="7" t="str">
        <f>IFERROR(__xludf.DUMMYFUNCTION("GOOGLETRANSLATE(C1614, ""en"", ""pl"")"),"Egipt")</f>
        <v>Egipt</v>
      </c>
      <c r="Z1614" s="7" t="str">
        <f>IFERROR(__xludf.DUMMYFUNCTION("GOOGLETRANSLATE(C1614, ""en"", ""pt"")"),"Egito")</f>
        <v>Egito</v>
      </c>
      <c r="AA1614" s="7" t="str">
        <f>IFERROR(__xludf.DUMMYFUNCTION("GOOGLETRANSLATE(C1614, ""en"", ""ro"")"),"Egipt")</f>
        <v>Egipt</v>
      </c>
      <c r="AB1614" s="1" t="s">
        <v>32815</v>
      </c>
      <c r="AC1614" s="7" t="str">
        <f>IFERROR(__xludf.DUMMYFUNCTION("GOOGLETRANSLATE(C1614, ""en"", ""sk"")"),"Egypt")</f>
        <v>Egypt</v>
      </c>
      <c r="AD1614" s="6" t="s">
        <v>132</v>
      </c>
      <c r="AE1614" s="1" t="s">
        <v>32816</v>
      </c>
      <c r="AF1614" s="7" t="str">
        <f>IFERROR(__xludf.DUMMYFUNCTION("GOOGLETRANSLATE(C1614, ""en"", ""sv"")"),"Egypten")</f>
        <v>Egypten</v>
      </c>
      <c r="AG1614" s="6" t="s">
        <v>132</v>
      </c>
      <c r="AH1614" s="7" t="str">
        <f>IFERROR(__xludf.DUMMYFUNCTION("GOOGLETRANSLATE(C1614, ""en"", ""tr"")"),"Mısır")</f>
        <v>Mısır</v>
      </c>
      <c r="AI1614" s="6" t="s">
        <v>132</v>
      </c>
      <c r="AJ1614" s="6" t="s">
        <v>132</v>
      </c>
      <c r="AK1614" s="7" t="str">
        <f>IFERROR(__xludf.DUMMYFUNCTION("GOOGLETRANSLATE(C1614, ""en"", ""zh"")"),"埃及")</f>
        <v>埃及</v>
      </c>
      <c r="AL1614" s="6" t="s">
        <v>132</v>
      </c>
    </row>
    <row r="1615" ht="15.75" hidden="1" customHeight="1">
      <c r="A1615" s="1" t="s">
        <v>38</v>
      </c>
      <c r="B1615" s="1" t="s">
        <v>32817</v>
      </c>
      <c r="C1615" s="1" t="s">
        <v>32818</v>
      </c>
      <c r="D1615" s="8" t="s">
        <v>32819</v>
      </c>
      <c r="E1615" s="1" t="s">
        <v>32820</v>
      </c>
      <c r="F1615" s="6" t="s">
        <v>32821</v>
      </c>
      <c r="G1615" s="7" t="str">
        <f>IFERROR(__xludf.DUMMYFUNCTION("GOOGLETRANSLATE(C1615, ""en"", ""cs"")"),"Poslat znovu")</f>
        <v>Poslat znovu</v>
      </c>
      <c r="H1615" s="7" t="str">
        <f>IFERROR(__xludf.DUMMYFUNCTION("GOOGLETRANSLATE(C1615, ""en"", ""da"")"),"Send igen")</f>
        <v>Send igen</v>
      </c>
      <c r="I1615" s="1" t="s">
        <v>32822</v>
      </c>
      <c r="J1615" s="6" t="s">
        <v>132</v>
      </c>
      <c r="K1615" s="1" t="s">
        <v>32823</v>
      </c>
      <c r="L1615" s="7" t="str">
        <f>IFERROR(__xludf.DUMMYFUNCTION("GOOGLETRANSLATE(C1615, ""en"", ""fi"")"),"Lähetä uudestaan")</f>
        <v>Lähetä uudestaan</v>
      </c>
      <c r="M1615" s="1" t="s">
        <v>32824</v>
      </c>
      <c r="N1615" s="6" t="s">
        <v>32825</v>
      </c>
      <c r="O1615" s="6" t="s">
        <v>132</v>
      </c>
      <c r="P1615" s="1" t="s">
        <v>32826</v>
      </c>
      <c r="Q1615" s="9" t="s">
        <v>32827</v>
      </c>
      <c r="R1615" s="1" t="s">
        <v>32828</v>
      </c>
      <c r="S1615" s="6" t="s">
        <v>132</v>
      </c>
      <c r="T1615" s="1" t="s">
        <v>32829</v>
      </c>
      <c r="U1615" s="1" t="s">
        <v>32830</v>
      </c>
      <c r="V1615" s="7" t="str">
        <f>IFERROR(__xludf.DUMMYFUNCTION("GOOGLETRANSLATE(C1615, ""en"", ""ms"")"),"Hantar semula")</f>
        <v>Hantar semula</v>
      </c>
      <c r="W1615" s="1" t="s">
        <v>32831</v>
      </c>
      <c r="X1615" s="7" t="str">
        <f>IFERROR(__xludf.DUMMYFUNCTION("GOOGLETRANSLATE(C1615, ""en"", ""no"")"),"Send igjen")</f>
        <v>Send igjen</v>
      </c>
      <c r="Y1615" s="1" t="s">
        <v>32832</v>
      </c>
      <c r="Z1615" s="1" t="s">
        <v>32833</v>
      </c>
      <c r="AA1615" s="7" t="str">
        <f>IFERROR(__xludf.DUMMYFUNCTION("GOOGLETRANSLATE(C1615, ""en"", ""ro"")"),"Trimite din nou")</f>
        <v>Trimite din nou</v>
      </c>
      <c r="AB1615" s="1" t="s">
        <v>32834</v>
      </c>
      <c r="AC1615" s="1" t="s">
        <v>32835</v>
      </c>
      <c r="AD1615" s="6" t="s">
        <v>132</v>
      </c>
      <c r="AE1615" s="1" t="s">
        <v>32836</v>
      </c>
      <c r="AF1615" s="1" t="s">
        <v>32837</v>
      </c>
      <c r="AG1615" s="6" t="s">
        <v>132</v>
      </c>
      <c r="AH1615" s="7" t="str">
        <f>IFERROR(__xludf.DUMMYFUNCTION("GOOGLETRANSLATE(C1615, ""en"", ""tr"")"),"Tekrar gönderin")</f>
        <v>Tekrar gönderin</v>
      </c>
      <c r="AI1615" s="6" t="s">
        <v>32838</v>
      </c>
      <c r="AJ1615" s="6" t="s">
        <v>32839</v>
      </c>
      <c r="AK1615" s="7" t="str">
        <f>IFERROR(__xludf.DUMMYFUNCTION("GOOGLETRANSLATE(C1615, ""en"", ""zh"")"),"重新发送")</f>
        <v>重新发送</v>
      </c>
      <c r="AL1615" s="6" t="s">
        <v>32840</v>
      </c>
    </row>
    <row r="1616" ht="15.75" hidden="1" customHeight="1">
      <c r="A1616" s="1" t="s">
        <v>38</v>
      </c>
      <c r="B1616" s="1" t="s">
        <v>32841</v>
      </c>
      <c r="C1616" s="1" t="s">
        <v>32842</v>
      </c>
      <c r="D1616" s="8" t="s">
        <v>32843</v>
      </c>
      <c r="E1616" s="1" t="s">
        <v>32844</v>
      </c>
      <c r="F1616" s="6" t="s">
        <v>32845</v>
      </c>
      <c r="G1616" s="7" t="str">
        <f>IFERROR(__xludf.DUMMYFUNCTION("GOOGLETRANSLATE(C1616, ""en"", ""cs"")"),"Nelze se připojit k OpenKeychain")</f>
        <v>Nelze se připojit k OpenKeychain</v>
      </c>
      <c r="H1616" s="7" t="str">
        <f>IFERROR(__xludf.DUMMYFUNCTION("GOOGLETRANSLATE(C1616, ""en"", ""da"")"),"Kan ikke oprette forbindelse til OpenKeyChain")</f>
        <v>Kan ikke oprette forbindelse til OpenKeyChain</v>
      </c>
      <c r="I1616" s="1" t="s">
        <v>32846</v>
      </c>
      <c r="J1616" s="6" t="s">
        <v>132</v>
      </c>
      <c r="K1616" s="1" t="s">
        <v>32847</v>
      </c>
      <c r="L1616" s="7" t="str">
        <f>IFERROR(__xludf.DUMMYFUNCTION("GOOGLETRANSLATE(C1616, ""en"", ""fi"")"),"Openkeychain ei voi muodostaa yhteyttä")</f>
        <v>Openkeychain ei voi muodostaa yhteyttä</v>
      </c>
      <c r="M1616" s="1" t="s">
        <v>32848</v>
      </c>
      <c r="N1616" s="6" t="s">
        <v>32849</v>
      </c>
      <c r="O1616" s="6" t="s">
        <v>132</v>
      </c>
      <c r="P1616" s="1" t="s">
        <v>32850</v>
      </c>
      <c r="Q1616" s="7" t="str">
        <f>IFERROR(__xludf.DUMMYFUNCTION("GOOGLETRANSLATE(C1616, ""en"", ""in"")"),"Tidak dapat terhubung ke OpenKeychain")</f>
        <v>Tidak dapat terhubung ke OpenKeychain</v>
      </c>
      <c r="R1616" s="1" t="s">
        <v>32851</v>
      </c>
      <c r="S1616" s="6" t="s">
        <v>132</v>
      </c>
      <c r="T1616" s="1" t="s">
        <v>32852</v>
      </c>
      <c r="U1616" s="1" t="s">
        <v>32853</v>
      </c>
      <c r="V1616" s="7" t="str">
        <f>IFERROR(__xludf.DUMMYFUNCTION("GOOGLETRANSLATE(C1616, ""en"", ""ms"")"),"Tidak dapat menyambung ke OpenKeychain")</f>
        <v>Tidak dapat menyambung ke OpenKeychain</v>
      </c>
      <c r="W1616" s="1" t="s">
        <v>32854</v>
      </c>
      <c r="X1616" s="7" t="str">
        <f>IFERROR(__xludf.DUMMYFUNCTION("GOOGLETRANSLATE(C1616, ""en"", ""no"")"),"Kan ikke koble til OpenKeyChain")</f>
        <v>Kan ikke koble til OpenKeyChain</v>
      </c>
      <c r="Y1616" s="1" t="s">
        <v>32855</v>
      </c>
      <c r="Z1616" s="1" t="s">
        <v>32856</v>
      </c>
      <c r="AA1616" s="7" t="str">
        <f>IFERROR(__xludf.DUMMYFUNCTION("GOOGLETRANSLATE(C1616, ""en"", ""ro"")"),"Imposibil de conectat la Openkeychain")</f>
        <v>Imposibil de conectat la Openkeychain</v>
      </c>
      <c r="AB1616" s="1" t="s">
        <v>32857</v>
      </c>
      <c r="AC1616" s="7" t="str">
        <f>IFERROR(__xludf.DUMMYFUNCTION("GOOGLETRANSLATE(C1616, ""en"", ""sk"")"),"Nie je možné pripojiť sa k OpenKychain")</f>
        <v>Nie je možné pripojiť sa k OpenKychain</v>
      </c>
      <c r="AD1616" s="6" t="s">
        <v>132</v>
      </c>
      <c r="AE1616" s="1" t="s">
        <v>32858</v>
      </c>
      <c r="AF1616" s="1" t="s">
        <v>32859</v>
      </c>
      <c r="AG1616" s="6" t="s">
        <v>132</v>
      </c>
      <c r="AH1616" s="13" t="s">
        <v>32860</v>
      </c>
      <c r="AI1616" s="6" t="s">
        <v>32861</v>
      </c>
      <c r="AJ1616" s="6" t="s">
        <v>132</v>
      </c>
      <c r="AK1616" s="7" t="str">
        <f>IFERROR(__xludf.DUMMYFUNCTION("GOOGLETRANSLATE(C1616, ""en"", ""zh"")"),"无法连接到OpenKeychain")</f>
        <v>无法连接到OpenKeychain</v>
      </c>
      <c r="AL1616" s="6" t="s">
        <v>32862</v>
      </c>
    </row>
    <row r="1617" ht="15.75" hidden="1" customHeight="1">
      <c r="A1617" s="1" t="s">
        <v>38</v>
      </c>
      <c r="B1617" s="1" t="s">
        <v>32863</v>
      </c>
      <c r="C1617" s="1" t="s">
        <v>32864</v>
      </c>
      <c r="D1617" s="8" t="s">
        <v>32865</v>
      </c>
      <c r="E1617" s="1" t="s">
        <v>32866</v>
      </c>
      <c r="F1617" s="6" t="s">
        <v>32867</v>
      </c>
      <c r="G1617" s="7" t="str">
        <f>IFERROR(__xludf.DUMMYFUNCTION("GOOGLETRANSLATE(C1617, ""en"", ""cs"")"),"Nový konverzace")</f>
        <v>Nový konverzace</v>
      </c>
      <c r="H1617" s="7" t="str">
        <f>IFERROR(__xludf.DUMMYFUNCTION("GOOGLETRANSLATE(C1617, ""en"", ""da"")"),"Ny samtale")</f>
        <v>Ny samtale</v>
      </c>
      <c r="I1617" s="1" t="s">
        <v>32868</v>
      </c>
      <c r="J1617" s="6" t="s">
        <v>132</v>
      </c>
      <c r="K1617" s="1" t="s">
        <v>32869</v>
      </c>
      <c r="L1617" s="7" t="str">
        <f>IFERROR(__xludf.DUMMYFUNCTION("GOOGLETRANSLATE(C1617, ""en"", ""fi"")"),"Uusi keskustelu")</f>
        <v>Uusi keskustelu</v>
      </c>
      <c r="M1617" s="1" t="s">
        <v>32870</v>
      </c>
      <c r="N1617" s="6" t="s">
        <v>32867</v>
      </c>
      <c r="O1617" s="6" t="s">
        <v>132</v>
      </c>
      <c r="P1617" s="1" t="s">
        <v>32871</v>
      </c>
      <c r="Q1617" s="9" t="s">
        <v>32872</v>
      </c>
      <c r="R1617" s="1" t="s">
        <v>32873</v>
      </c>
      <c r="S1617" s="6" t="s">
        <v>132</v>
      </c>
      <c r="T1617" s="1" t="s">
        <v>32874</v>
      </c>
      <c r="U1617" s="1" t="s">
        <v>32875</v>
      </c>
      <c r="V1617" s="7" t="str">
        <f>IFERROR(__xludf.DUMMYFUNCTION("GOOGLETRANSLATE(C1617, ""en"", ""ms"")"),"Perbualan baru.")</f>
        <v>Perbualan baru.</v>
      </c>
      <c r="W1617" s="1" t="s">
        <v>32876</v>
      </c>
      <c r="X1617" s="7" t="str">
        <f>IFERROR(__xludf.DUMMYFUNCTION("GOOGLETRANSLATE(C1617, ""en"", ""no"")"),"Ny samtale")</f>
        <v>Ny samtale</v>
      </c>
      <c r="Y1617" s="1" t="s">
        <v>32877</v>
      </c>
      <c r="Z1617" s="1" t="s">
        <v>32867</v>
      </c>
      <c r="AA1617" s="7" t="str">
        <f>IFERROR(__xludf.DUMMYFUNCTION("GOOGLETRANSLATE(C1617, ""en"", ""ro"")"),"Noua conversație")</f>
        <v>Noua conversație</v>
      </c>
      <c r="AB1617" s="1" t="s">
        <v>32878</v>
      </c>
      <c r="AC1617" s="1" t="s">
        <v>32879</v>
      </c>
      <c r="AD1617" s="6" t="s">
        <v>132</v>
      </c>
      <c r="AE1617" s="1" t="s">
        <v>32880</v>
      </c>
      <c r="AF1617" s="1" t="s">
        <v>32881</v>
      </c>
      <c r="AG1617" s="6" t="s">
        <v>132</v>
      </c>
      <c r="AH1617" s="7" t="str">
        <f>IFERROR(__xludf.DUMMYFUNCTION("GOOGLETRANSLATE(C1617, ""en"", ""tr"")"),"Yeni konuşma")</f>
        <v>Yeni konuşma</v>
      </c>
      <c r="AI1617" s="6" t="s">
        <v>32882</v>
      </c>
      <c r="AJ1617" s="6" t="s">
        <v>32883</v>
      </c>
      <c r="AK1617" s="7" t="str">
        <f>IFERROR(__xludf.DUMMYFUNCTION("GOOGLETRANSLATE(C1617, ""en"", ""zh"")"),"新的谈话")</f>
        <v>新的谈话</v>
      </c>
      <c r="AL1617" s="6" t="s">
        <v>32884</v>
      </c>
    </row>
    <row r="1618" ht="15.75" hidden="1" customHeight="1">
      <c r="A1618" s="1" t="s">
        <v>38</v>
      </c>
      <c r="B1618" s="1" t="s">
        <v>32885</v>
      </c>
      <c r="C1618" s="1" t="s">
        <v>32886</v>
      </c>
      <c r="D1618" s="7" t="str">
        <f>IFERROR(__xludf.DUMMYFUNCTION("GOOGLETRANSLATE(C1618, ""en"", ""ar"")"),"كوستا ريكا")</f>
        <v>كوستا ريكا</v>
      </c>
      <c r="E1618" s="7" t="str">
        <f>IFERROR(__xludf.DUMMYFUNCTION("GOOGLETRANSLATE(C1618, ""en"", ""bg"")"),"Коста Рика")</f>
        <v>Коста Рика</v>
      </c>
      <c r="F1618" s="6" t="s">
        <v>132</v>
      </c>
      <c r="G1618" s="7" t="str">
        <f>IFERROR(__xludf.DUMMYFUNCTION("GOOGLETRANSLATE(C1618, ""en"", ""cs"")"),"Kostarika")</f>
        <v>Kostarika</v>
      </c>
      <c r="H1618" s="7" t="str">
        <f>IFERROR(__xludf.DUMMYFUNCTION("GOOGLETRANSLATE(C1618, ""en"", ""da"")"),"Costa Rica.")</f>
        <v>Costa Rica.</v>
      </c>
      <c r="I1618" s="1" t="s">
        <v>32886</v>
      </c>
      <c r="J1618" s="6" t="s">
        <v>132</v>
      </c>
      <c r="K1618" s="1" t="s">
        <v>32886</v>
      </c>
      <c r="L1618" s="7" t="str">
        <f>IFERROR(__xludf.DUMMYFUNCTION("GOOGLETRANSLATE(C1618, ""en"", ""fi"")"),"Costa Rica")</f>
        <v>Costa Rica</v>
      </c>
      <c r="M1618" s="1" t="s">
        <v>32886</v>
      </c>
      <c r="N1618" s="6" t="s">
        <v>132</v>
      </c>
      <c r="O1618" s="6" t="s">
        <v>132</v>
      </c>
      <c r="P1618" s="1" t="s">
        <v>32886</v>
      </c>
      <c r="Q1618" s="7" t="str">
        <f>IFERROR(__xludf.DUMMYFUNCTION("GOOGLETRANSLATE(C1618, ""en"", ""in"")"),"Kosta Rika")</f>
        <v>Kosta Rika</v>
      </c>
      <c r="R1618" s="7" t="str">
        <f>IFERROR(__xludf.DUMMYFUNCTION("GOOGLETRANSLATE(C1618, ""en"", ""it"")"),"Costa Rica")</f>
        <v>Costa Rica</v>
      </c>
      <c r="S1618" s="6" t="s">
        <v>132</v>
      </c>
      <c r="T1618" s="7" t="str">
        <f>IFERROR(__xludf.DUMMYFUNCTION("GOOGLETRANSLATE(C1618, ""en"", ""ja"")"),"コスタリカ")</f>
        <v>コスタリカ</v>
      </c>
      <c r="U1618" s="7" t="str">
        <f>IFERROR(__xludf.DUMMYFUNCTION("GOOGLETRANSLATE(C1618, ""en"", ""ko"")"),"코스타리카")</f>
        <v>코스타리카</v>
      </c>
      <c r="V1618" s="7" t="str">
        <f>IFERROR(__xludf.DUMMYFUNCTION("GOOGLETRANSLATE(C1618, ""en"", ""ms"")"),"Costa rica")</f>
        <v>Costa rica</v>
      </c>
      <c r="W1618" s="7" t="str">
        <f>IFERROR(__xludf.DUMMYFUNCTION("GOOGLETRANSLATE(C1618, ""en"", ""nl"")"),"Costa Rica")</f>
        <v>Costa Rica</v>
      </c>
      <c r="X1618" s="7" t="str">
        <f>IFERROR(__xludf.DUMMYFUNCTION("GOOGLETRANSLATE(C1618, ""en"", ""no"")"),"Costa Rica.")</f>
        <v>Costa Rica.</v>
      </c>
      <c r="Y1618" s="7" t="str">
        <f>IFERROR(__xludf.DUMMYFUNCTION("GOOGLETRANSLATE(C1618, ""en"", ""pl"")"),"Kostaryka")</f>
        <v>Kostaryka</v>
      </c>
      <c r="Z1618" s="7" t="str">
        <f>IFERROR(__xludf.DUMMYFUNCTION("GOOGLETRANSLATE(C1618, ""en"", ""pt"")"),"Costa Rica")</f>
        <v>Costa Rica</v>
      </c>
      <c r="AA1618" s="7" t="str">
        <f>IFERROR(__xludf.DUMMYFUNCTION("GOOGLETRANSLATE(C1618, ""en"", ""ro"")"),"Costa Rica")</f>
        <v>Costa Rica</v>
      </c>
      <c r="AB1618" s="1" t="s">
        <v>32887</v>
      </c>
      <c r="AC1618" s="7" t="str">
        <f>IFERROR(__xludf.DUMMYFUNCTION("GOOGLETRANSLATE(C1618, ""en"", ""sk"")"),"Kostarika")</f>
        <v>Kostarika</v>
      </c>
      <c r="AD1618" s="6" t="s">
        <v>132</v>
      </c>
      <c r="AE1618" s="1" t="s">
        <v>32888</v>
      </c>
      <c r="AF1618" s="7" t="str">
        <f>IFERROR(__xludf.DUMMYFUNCTION("GOOGLETRANSLATE(C1618, ""en"", ""sv"")"),"Costa Rica")</f>
        <v>Costa Rica</v>
      </c>
      <c r="AG1618" s="6" t="s">
        <v>132</v>
      </c>
      <c r="AH1618" s="7" t="str">
        <f>IFERROR(__xludf.DUMMYFUNCTION("GOOGLETRANSLATE(C1618, ""en"", ""tr"")"),"Kosta Rika")</f>
        <v>Kosta Rika</v>
      </c>
      <c r="AI1618" s="6" t="s">
        <v>132</v>
      </c>
      <c r="AJ1618" s="6" t="s">
        <v>132</v>
      </c>
      <c r="AK1618" s="7" t="str">
        <f>IFERROR(__xludf.DUMMYFUNCTION("GOOGLETRANSLATE(C1618, ""en"", ""zh"")"),"哥斯达黎加")</f>
        <v>哥斯达黎加</v>
      </c>
      <c r="AL1618" s="6" t="s">
        <v>132</v>
      </c>
    </row>
    <row r="1619" ht="15.75" hidden="1" customHeight="1">
      <c r="A1619" s="1" t="s">
        <v>38</v>
      </c>
      <c r="B1619" s="1" t="s">
        <v>32889</v>
      </c>
      <c r="C1619" s="1" t="s">
        <v>32890</v>
      </c>
      <c r="D1619" s="7" t="str">
        <f>IFERROR(__xludf.DUMMYFUNCTION("GOOGLETRANSLATE(C1619, ""en"", ""ar"")"),"حدد الدولة")</f>
        <v>حدد الدولة</v>
      </c>
      <c r="E1619" s="7" t="str">
        <f>IFERROR(__xludf.DUMMYFUNCTION("GOOGLETRANSLATE(C1619, ""en"", ""bg"")"),"Изберете държава")</f>
        <v>Изберете държава</v>
      </c>
      <c r="F1619" s="6" t="s">
        <v>132</v>
      </c>
      <c r="G1619" s="7" t="str">
        <f>IFERROR(__xludf.DUMMYFUNCTION("GOOGLETRANSLATE(C1619, ""en"", ""cs"")"),"Vyberte zemi")</f>
        <v>Vyberte zemi</v>
      </c>
      <c r="H1619" s="7" t="str">
        <f>IFERROR(__xludf.DUMMYFUNCTION("GOOGLETRANSLATE(C1619, ""en"", ""da"")"),"Vælg land")</f>
        <v>Vælg land</v>
      </c>
      <c r="I1619" s="1" t="s">
        <v>28978</v>
      </c>
      <c r="J1619" s="6" t="s">
        <v>132</v>
      </c>
      <c r="K1619" s="1" t="s">
        <v>32891</v>
      </c>
      <c r="L1619" s="7" t="str">
        <f>IFERROR(__xludf.DUMMYFUNCTION("GOOGLETRANSLATE(C1619, ""en"", ""fi"")"),"Valitse maa")</f>
        <v>Valitse maa</v>
      </c>
      <c r="M1619" s="1" t="s">
        <v>32892</v>
      </c>
      <c r="N1619" s="6" t="s">
        <v>132</v>
      </c>
      <c r="O1619" s="6" t="s">
        <v>132</v>
      </c>
      <c r="P1619" s="1" t="s">
        <v>32893</v>
      </c>
      <c r="Q1619" s="7" t="str">
        <f>IFERROR(__xludf.DUMMYFUNCTION("GOOGLETRANSLATE(C1619, ""en"", ""in"")"),"Pilih negara")</f>
        <v>Pilih negara</v>
      </c>
      <c r="R1619" s="7" t="str">
        <f>IFERROR(__xludf.DUMMYFUNCTION("GOOGLETRANSLATE(C1619, ""en"", ""it"")"),"Seleziona il paese")</f>
        <v>Seleziona il paese</v>
      </c>
      <c r="S1619" s="6" t="s">
        <v>132</v>
      </c>
      <c r="T1619" s="7" t="str">
        <f>IFERROR(__xludf.DUMMYFUNCTION("GOOGLETRANSLATE(C1619, ""en"", ""ja"")"),"国を選択")</f>
        <v>国を選択</v>
      </c>
      <c r="U1619" s="7" t="str">
        <f>IFERROR(__xludf.DUMMYFUNCTION("GOOGLETRANSLATE(C1619, ""en"", ""ko"")"),"국가를 선택하십시오")</f>
        <v>국가를 선택하십시오</v>
      </c>
      <c r="V1619" s="7" t="str">
        <f>IFERROR(__xludf.DUMMYFUNCTION("GOOGLETRANSLATE(C1619, ""en"", ""ms"")"),"Pilih negara")</f>
        <v>Pilih negara</v>
      </c>
      <c r="W1619" s="7" t="str">
        <f>IFERROR(__xludf.DUMMYFUNCTION("GOOGLETRANSLATE(C1619, ""en"", ""nl"")"),"Selecteer land")</f>
        <v>Selecteer land</v>
      </c>
      <c r="X1619" s="7" t="str">
        <f>IFERROR(__xludf.DUMMYFUNCTION("GOOGLETRANSLATE(C1619, ""en"", ""no"")"),"Velg land")</f>
        <v>Velg land</v>
      </c>
      <c r="Y1619" s="7" t="str">
        <f>IFERROR(__xludf.DUMMYFUNCTION("GOOGLETRANSLATE(C1619, ""en"", ""pl"")"),"Wybierz kraj")</f>
        <v>Wybierz kraj</v>
      </c>
      <c r="Z1619" s="7" t="str">
        <f>IFERROR(__xludf.DUMMYFUNCTION("GOOGLETRANSLATE(C1619, ""en"", ""pt"")"),"Selecione o pais")</f>
        <v>Selecione o pais</v>
      </c>
      <c r="AA1619" s="7" t="str">
        <f>IFERROR(__xludf.DUMMYFUNCTION("GOOGLETRANSLATE(C1619, ""en"", ""ro"")"),"Selecteaza tara")</f>
        <v>Selecteaza tara</v>
      </c>
      <c r="AB1619" s="1" t="s">
        <v>32894</v>
      </c>
      <c r="AC1619" s="7" t="str">
        <f>IFERROR(__xludf.DUMMYFUNCTION("GOOGLETRANSLATE(C1619, ""en"", ""sk"")"),"Vyberte krajinu")</f>
        <v>Vyberte krajinu</v>
      </c>
      <c r="AD1619" s="6" t="s">
        <v>132</v>
      </c>
      <c r="AE1619" s="1" t="s">
        <v>32895</v>
      </c>
      <c r="AF1619" s="7" t="str">
        <f>IFERROR(__xludf.DUMMYFUNCTION("GOOGLETRANSLATE(C1619, ""en"", ""sv"")"),"Välj land")</f>
        <v>Välj land</v>
      </c>
      <c r="AG1619" s="6" t="s">
        <v>132</v>
      </c>
      <c r="AH1619" s="13" t="s">
        <v>32896</v>
      </c>
      <c r="AI1619" s="6" t="s">
        <v>132</v>
      </c>
      <c r="AJ1619" s="6" t="s">
        <v>132</v>
      </c>
      <c r="AK1619" s="7" t="str">
        <f>IFERROR(__xludf.DUMMYFUNCTION("GOOGLETRANSLATE(C1619, ""en"", ""zh"")"),"选择国家")</f>
        <v>选择国家</v>
      </c>
      <c r="AL1619" s="6" t="s">
        <v>132</v>
      </c>
    </row>
    <row r="1620" ht="15.75" hidden="1" customHeight="1">
      <c r="A1620" s="1" t="s">
        <v>38</v>
      </c>
      <c r="B1620" s="1" t="s">
        <v>32897</v>
      </c>
      <c r="C1620" s="1" t="s">
        <v>32898</v>
      </c>
      <c r="D1620" s="7" t="str">
        <f>IFERROR(__xludf.DUMMYFUNCTION("GOOGLETRANSLATE(C1620, ""en"", ""ar"")"),"علاج الاهتزاز كما وضع صامت")</f>
        <v>علاج الاهتزاز كما وضع صامت</v>
      </c>
      <c r="E1620" s="1" t="s">
        <v>32899</v>
      </c>
      <c r="F1620" s="6" t="s">
        <v>32900</v>
      </c>
      <c r="G1620" s="7" t="str">
        <f>IFERROR(__xludf.DUMMYFUNCTION("GOOGLETRANSLATE(C1620, ""en"", ""cs"")"),"Léčit vibrace jako tichý režim")</f>
        <v>Léčit vibrace jako tichý režim</v>
      </c>
      <c r="H1620" s="7" t="str">
        <f>IFERROR(__xludf.DUMMYFUNCTION("GOOGLETRANSLATE(C1620, ""en"", ""da"")"),"Behandle vibrere som lydløs tilstand")</f>
        <v>Behandle vibrere som lydløs tilstand</v>
      </c>
      <c r="I1620" s="1" t="s">
        <v>32901</v>
      </c>
      <c r="J1620" s="6" t="s">
        <v>132</v>
      </c>
      <c r="K1620" s="1" t="s">
        <v>32902</v>
      </c>
      <c r="L1620" s="7" t="str">
        <f>IFERROR(__xludf.DUMMYFUNCTION("GOOGLETRANSLATE(C1620, ""en"", ""fi"")"),"Hemmottele värähtelyä hiljaisena tilana")</f>
        <v>Hemmottele värähtelyä hiljaisena tilana</v>
      </c>
      <c r="M1620" s="1" t="s">
        <v>32903</v>
      </c>
      <c r="N1620" s="6" t="s">
        <v>32904</v>
      </c>
      <c r="O1620" s="6" t="s">
        <v>132</v>
      </c>
      <c r="P1620" s="1" t="s">
        <v>32905</v>
      </c>
      <c r="Q1620" s="7" t="str">
        <f>IFERROR(__xludf.DUMMYFUNCTION("GOOGLETRANSLATE(C1620, ""en"", ""in"")"),"Perlakukan bergetar sebagai mode diam")</f>
        <v>Perlakukan bergetar sebagai mode diam</v>
      </c>
      <c r="R1620" s="1" t="s">
        <v>32906</v>
      </c>
      <c r="S1620" s="6" t="s">
        <v>132</v>
      </c>
      <c r="T1620" s="1" t="s">
        <v>32907</v>
      </c>
      <c r="U1620" s="1" t="s">
        <v>32908</v>
      </c>
      <c r="V1620" s="7" t="str">
        <f>IFERROR(__xludf.DUMMYFUNCTION("GOOGLETRANSLATE(C1620, ""en"", ""ms"")"),"Rawat bergetar sebagai mod senyap")</f>
        <v>Rawat bergetar sebagai mod senyap</v>
      </c>
      <c r="W1620" s="1" t="s">
        <v>32909</v>
      </c>
      <c r="X1620" s="7" t="str">
        <f>IFERROR(__xludf.DUMMYFUNCTION("GOOGLETRANSLATE(C1620, ""en"", ""no"")"),"Behandle vibrere som stille modus")</f>
        <v>Behandle vibrere som stille modus</v>
      </c>
      <c r="Y1620" s="1" t="s">
        <v>32910</v>
      </c>
      <c r="Z1620" s="1" t="s">
        <v>32911</v>
      </c>
      <c r="AA1620" s="7" t="str">
        <f>IFERROR(__xludf.DUMMYFUNCTION("GOOGLETRANSLATE(C1620, ""en"", ""ro"")"),"Tratați vibrațiile ca mod silențios")</f>
        <v>Tratați vibrațiile ca mod silențios</v>
      </c>
      <c r="AB1620" s="1" t="s">
        <v>32912</v>
      </c>
      <c r="AC1620" s="7" t="str">
        <f>IFERROR(__xludf.DUMMYFUNCTION("GOOGLETRANSLATE(C1620, ""en"", ""sk"")"),"Liečiť vibráciou ako tichý režim")</f>
        <v>Liečiť vibráciou ako tichý režim</v>
      </c>
      <c r="AD1620" s="6" t="s">
        <v>132</v>
      </c>
      <c r="AE1620" s="1" t="s">
        <v>32913</v>
      </c>
      <c r="AF1620" s="1" t="s">
        <v>32914</v>
      </c>
      <c r="AG1620" s="6" t="s">
        <v>132</v>
      </c>
      <c r="AH1620" s="7" t="str">
        <f>IFERROR(__xludf.DUMMYFUNCTION("GOOGLETRANSLATE(C1620, ""en"", ""tr"")"),"Sessiz mod olarak titreşim tedavisi")</f>
        <v>Sessiz mod olarak titreşim tedavisi</v>
      </c>
      <c r="AI1620" s="6" t="s">
        <v>32915</v>
      </c>
      <c r="AJ1620" s="6" t="s">
        <v>132</v>
      </c>
      <c r="AK1620" s="7" t="str">
        <f>IFERROR(__xludf.DUMMYFUNCTION("GOOGLETRANSLATE(C1620, ""en"", ""zh"")"),"以静音模式对待振动")</f>
        <v>以静音模式对待振动</v>
      </c>
      <c r="AL1620" s="6" t="s">
        <v>32916</v>
      </c>
    </row>
    <row r="1621" ht="15.75" customHeight="1">
      <c r="A1621" s="1" t="s">
        <v>127</v>
      </c>
      <c r="B1621" s="1" t="s">
        <v>32917</v>
      </c>
      <c r="C1621" s="1" t="s">
        <v>32918</v>
      </c>
      <c r="D1621" s="8" t="s">
        <v>32919</v>
      </c>
      <c r="E1621" s="1" t="s">
        <v>32920</v>
      </c>
      <c r="F1621" s="6" t="s">
        <v>132</v>
      </c>
      <c r="G1621" s="1" t="s">
        <v>32921</v>
      </c>
      <c r="H1621" s="1" t="s">
        <v>32922</v>
      </c>
      <c r="I1621" s="1" t="s">
        <v>32923</v>
      </c>
      <c r="J1621" s="6" t="s">
        <v>32924</v>
      </c>
      <c r="K1621" s="1" t="s">
        <v>32925</v>
      </c>
      <c r="L1621" s="1" t="s">
        <v>32926</v>
      </c>
      <c r="M1621" s="1" t="s">
        <v>32927</v>
      </c>
      <c r="N1621" s="6" t="s">
        <v>132</v>
      </c>
      <c r="O1621" s="6" t="s">
        <v>32928</v>
      </c>
      <c r="P1621" s="1" t="s">
        <v>32929</v>
      </c>
      <c r="Q1621" s="1" t="s">
        <v>32930</v>
      </c>
      <c r="R1621" s="1" t="s">
        <v>32931</v>
      </c>
      <c r="S1621" s="10" t="s">
        <v>32932</v>
      </c>
      <c r="T1621" s="1" t="s">
        <v>32933</v>
      </c>
      <c r="U1621" s="1" t="s">
        <v>32934</v>
      </c>
      <c r="V1621" s="1" t="s">
        <v>32935</v>
      </c>
      <c r="W1621" s="1" t="s">
        <v>32936</v>
      </c>
      <c r="X1621" s="1" t="s">
        <v>32937</v>
      </c>
      <c r="Y1621" s="1" t="s">
        <v>32938</v>
      </c>
      <c r="Z1621" s="1" t="s">
        <v>32925</v>
      </c>
      <c r="AA1621" s="1" t="s">
        <v>32939</v>
      </c>
      <c r="AB1621" s="1" t="s">
        <v>32940</v>
      </c>
      <c r="AC1621" s="1" t="s">
        <v>32941</v>
      </c>
      <c r="AD1621" s="6" t="s">
        <v>32942</v>
      </c>
      <c r="AE1621" s="1" t="s">
        <v>32943</v>
      </c>
      <c r="AF1621" s="1" t="s">
        <v>32944</v>
      </c>
      <c r="AG1621" s="6" t="s">
        <v>32945</v>
      </c>
      <c r="AH1621" s="1" t="s">
        <v>32946</v>
      </c>
      <c r="AI1621" s="6" t="s">
        <v>132</v>
      </c>
      <c r="AJ1621" s="6" t="s">
        <v>32947</v>
      </c>
      <c r="AK1621" s="1" t="s">
        <v>32948</v>
      </c>
      <c r="AL1621" s="6" t="s">
        <v>32949</v>
      </c>
    </row>
    <row r="1622" ht="15.75" hidden="1" customHeight="1">
      <c r="A1622" s="1" t="s">
        <v>38</v>
      </c>
      <c r="B1622" s="1" t="s">
        <v>32950</v>
      </c>
      <c r="C1622" s="1" t="s">
        <v>32951</v>
      </c>
      <c r="D1622" s="7" t="str">
        <f>IFERROR(__xludf.DUMMYFUNCTION("GOOGLETRANSLATE(C1622, ""en"", ""ar"")"),"يرجى إدخال رقم الهاتف الخاص بك.")</f>
        <v>يرجى إدخال رقم الهاتف الخاص بك.</v>
      </c>
      <c r="E1622" s="1" t="s">
        <v>32952</v>
      </c>
      <c r="F1622" s="6" t="s">
        <v>132</v>
      </c>
      <c r="G1622" s="7" t="str">
        <f>IFERROR(__xludf.DUMMYFUNCTION("GOOGLETRANSLATE(C1622, ""en"", ""cs"")"),"Zadejte své telefonní číslo.")</f>
        <v>Zadejte své telefonní číslo.</v>
      </c>
      <c r="H1622" s="7" t="str">
        <f>IFERROR(__xludf.DUMMYFUNCTION("GOOGLETRANSLATE(C1622, ""en"", ""da"")"),"Indtast venligst dit telefonnummer.")</f>
        <v>Indtast venligst dit telefonnummer.</v>
      </c>
      <c r="I1622" s="1" t="s">
        <v>32953</v>
      </c>
      <c r="J1622" s="6" t="s">
        <v>132</v>
      </c>
      <c r="K1622" s="1" t="s">
        <v>32954</v>
      </c>
      <c r="L1622" s="7" t="str">
        <f>IFERROR(__xludf.DUMMYFUNCTION("GOOGLETRANSLATE(C1622, ""en"", ""fi"")"),"Ole hyvä ja anna puhelinnumerosi.")</f>
        <v>Ole hyvä ja anna puhelinnumerosi.</v>
      </c>
      <c r="M1622" s="1" t="s">
        <v>32955</v>
      </c>
      <c r="N1622" s="6" t="s">
        <v>32956</v>
      </c>
      <c r="O1622" s="6" t="s">
        <v>132</v>
      </c>
      <c r="P1622" s="1" t="s">
        <v>32957</v>
      </c>
      <c r="Q1622" s="7" t="str">
        <f>IFERROR(__xludf.DUMMYFUNCTION("GOOGLETRANSLATE(C1622, ""en"", ""in"")"),"Masukkan nomor telepon anda.")</f>
        <v>Masukkan nomor telepon anda.</v>
      </c>
      <c r="R1622" s="1" t="s">
        <v>32958</v>
      </c>
      <c r="S1622" s="6" t="s">
        <v>132</v>
      </c>
      <c r="T1622" s="7" t="str">
        <f>IFERROR(__xludf.DUMMYFUNCTION("GOOGLETRANSLATE(C1622, ""en"", ""ja"")"),"電話番号を入力してください。")</f>
        <v>電話番号を入力してください。</v>
      </c>
      <c r="U1622" s="7" t="str">
        <f>IFERROR(__xludf.DUMMYFUNCTION("GOOGLETRANSLATE(C1622, ""en"", ""ko"")"),"전화 번호를 입력하십시오.")</f>
        <v>전화 번호를 입력하십시오.</v>
      </c>
      <c r="V1622" s="7" t="str">
        <f>IFERROR(__xludf.DUMMYFUNCTION("GOOGLETRANSLATE(C1622, ""en"", ""ms"")"),"Sila masukkan nombor telefon anda.")</f>
        <v>Sila masukkan nombor telefon anda.</v>
      </c>
      <c r="W1622" s="1" t="s">
        <v>32959</v>
      </c>
      <c r="X1622" s="7" t="str">
        <f>IFERROR(__xludf.DUMMYFUNCTION("GOOGLETRANSLATE(C1622, ""en"", ""no"")"),"Vennligst skriv inn telefonnummeret ditt.")</f>
        <v>Vennligst skriv inn telefonnummeret ditt.</v>
      </c>
      <c r="Y1622" s="1" t="s">
        <v>32960</v>
      </c>
      <c r="Z1622" s="7" t="str">
        <f>IFERROR(__xludf.DUMMYFUNCTION("GOOGLETRANSLATE(C1622, ""en"", ""pt"")"),"Por favor, digite seu número de telefone.")</f>
        <v>Por favor, digite seu número de telefone.</v>
      </c>
      <c r="AA1622" s="7" t="str">
        <f>IFERROR(__xludf.DUMMYFUNCTION("GOOGLETRANSLATE(C1622, ""en"", ""ro"")"),"Introduceți numărul dvs. de telefon.")</f>
        <v>Introduceți numărul dvs. de telefon.</v>
      </c>
      <c r="AB1622" s="7" t="str">
        <f>IFERROR(__xludf.DUMMYFUNCTION("GOOGLETRANSLATE(C1622, ""en"", ""ru"")"),"Пожалуйста, введите свой номер телефона.")</f>
        <v>Пожалуйста, введите свой номер телефона.</v>
      </c>
      <c r="AC1622" s="7" t="str">
        <f>IFERROR(__xludf.DUMMYFUNCTION("GOOGLETRANSLATE(C1622, ""en"", ""sk"")"),"Zadajte svoje telefónne číslo.")</f>
        <v>Zadajte svoje telefónne číslo.</v>
      </c>
      <c r="AD1622" s="6" t="s">
        <v>132</v>
      </c>
      <c r="AE1622" s="7" t="str">
        <f>IFERROR(__xludf.DUMMYFUNCTION("GOOGLETRANSLATE(C1622, ""en"", ""sr"")"),"Унесите Ваш број телефона.")</f>
        <v>Унесите Ваш број телефона.</v>
      </c>
      <c r="AF1622" s="7" t="str">
        <f>IFERROR(__xludf.DUMMYFUNCTION("GOOGLETRANSLATE(C1622, ""en"", ""sv"")"),"Vänligen skriv in ditt telefonnummer.")</f>
        <v>Vänligen skriv in ditt telefonnummer.</v>
      </c>
      <c r="AG1622" s="6" t="s">
        <v>132</v>
      </c>
      <c r="AH1622" s="7" t="str">
        <f>IFERROR(__xludf.DUMMYFUNCTION("GOOGLETRANSLATE(C1622, ""en"", ""tr"")"),"Lütfen telefon numaranızı girin.")</f>
        <v>Lütfen telefon numaranızı girin.</v>
      </c>
      <c r="AI1622" s="6" t="s">
        <v>132</v>
      </c>
      <c r="AJ1622" s="6" t="s">
        <v>132</v>
      </c>
      <c r="AK1622" s="7" t="str">
        <f>IFERROR(__xludf.DUMMYFUNCTION("GOOGLETRANSLATE(C1622, ""en"", ""zh"")"),"请输入您的电话号码。")</f>
        <v>请输入您的电话号码。</v>
      </c>
      <c r="AL1622" s="6" t="s">
        <v>132</v>
      </c>
    </row>
    <row r="1623" ht="15.75" hidden="1" customHeight="1">
      <c r="A1623" s="1" t="s">
        <v>38</v>
      </c>
      <c r="B1623" s="1" t="s">
        <v>32961</v>
      </c>
      <c r="C1623" s="1" t="s">
        <v>32962</v>
      </c>
      <c r="D1623" s="7" t="str">
        <f>IFERROR(__xludf.DUMMYFUNCTION("GOOGLETRANSLATE(C1623, ""en"", ""ar"")"),"الرسالة مسحت!")</f>
        <v>الرسالة مسحت!</v>
      </c>
      <c r="E1623" s="7" t="str">
        <f>IFERROR(__xludf.DUMMYFUNCTION("GOOGLETRANSLATE(C1623, ""en"", ""bg"")"),"Съобщение за изтриване!")</f>
        <v>Съобщение за изтриване!</v>
      </c>
      <c r="F1623" s="6" t="s">
        <v>132</v>
      </c>
      <c r="G1623" s="7" t="str">
        <f>IFERROR(__xludf.DUMMYFUNCTION("GOOGLETRANSLATE(C1623, ""en"", ""cs"")"),"Zpráva smazána!")</f>
        <v>Zpráva smazána!</v>
      </c>
      <c r="H1623" s="7" t="str">
        <f>IFERROR(__xludf.DUMMYFUNCTION("GOOGLETRANSLATE(C1623, ""en"", ""da"")"),"Meddelelse slettet!")</f>
        <v>Meddelelse slettet!</v>
      </c>
      <c r="I1623" s="1" t="s">
        <v>32963</v>
      </c>
      <c r="J1623" s="6" t="s">
        <v>132</v>
      </c>
      <c r="K1623" s="1" t="s">
        <v>32964</v>
      </c>
      <c r="L1623" s="7" t="str">
        <f>IFERROR(__xludf.DUMMYFUNCTION("GOOGLETRANSLATE(C1623, ""en"", ""fi"")"),"Viesti poistettu!")</f>
        <v>Viesti poistettu!</v>
      </c>
      <c r="M1623" s="1" t="s">
        <v>32965</v>
      </c>
      <c r="N1623" s="6" t="s">
        <v>132</v>
      </c>
      <c r="O1623" s="6" t="s">
        <v>132</v>
      </c>
      <c r="P1623" s="1" t="s">
        <v>32966</v>
      </c>
      <c r="Q1623" s="7" t="str">
        <f>IFERROR(__xludf.DUMMYFUNCTION("GOOGLETRANSLATE(C1623, ""en"", ""in"")"),"Pesan dihapus!")</f>
        <v>Pesan dihapus!</v>
      </c>
      <c r="R1623" s="7" t="str">
        <f>IFERROR(__xludf.DUMMYFUNCTION("GOOGLETRANSLATE(C1623, ""en"", ""it"")"),"Messaggio cancellato!")</f>
        <v>Messaggio cancellato!</v>
      </c>
      <c r="S1623" s="6" t="s">
        <v>132</v>
      </c>
      <c r="T1623" s="7" t="str">
        <f>IFERROR(__xludf.DUMMYFUNCTION("GOOGLETRANSLATE(C1623, ""en"", ""ja"")"),"メッセージが削除されました！")</f>
        <v>メッセージが削除されました！</v>
      </c>
      <c r="U1623" s="7" t="str">
        <f>IFERROR(__xludf.DUMMYFUNCTION("GOOGLETRANSLATE(C1623, ""en"", ""ko"")"),"삭제 된 메시지!")</f>
        <v>삭제 된 메시지!</v>
      </c>
      <c r="V1623" s="7" t="str">
        <f>IFERROR(__xludf.DUMMYFUNCTION("GOOGLETRANSLATE(C1623, ""en"", ""ms"")"),"Mesej dipadam!")</f>
        <v>Mesej dipadam!</v>
      </c>
      <c r="W1623" s="7" t="str">
        <f>IFERROR(__xludf.DUMMYFUNCTION("GOOGLETRANSLATE(C1623, ""en"", ""nl"")"),"Bericht verwijderd!")</f>
        <v>Bericht verwijderd!</v>
      </c>
      <c r="X1623" s="7" t="str">
        <f>IFERROR(__xludf.DUMMYFUNCTION("GOOGLETRANSLATE(C1623, ""en"", ""no"")"),"Melding slettet!")</f>
        <v>Melding slettet!</v>
      </c>
      <c r="Y1623" s="7" t="str">
        <f>IFERROR(__xludf.DUMMYFUNCTION("GOOGLETRANSLATE(C1623, ""en"", ""pl"")"),"Wiadomość usunięta!")</f>
        <v>Wiadomość usunięta!</v>
      </c>
      <c r="Z1623" s="7" t="str">
        <f>IFERROR(__xludf.DUMMYFUNCTION("GOOGLETRANSLATE(C1623, ""en"", ""pt"")"),"Mensagem apagada!")</f>
        <v>Mensagem apagada!</v>
      </c>
      <c r="AA1623" s="7" t="str">
        <f>IFERROR(__xludf.DUMMYFUNCTION("GOOGLETRANSLATE(C1623, ""en"", ""ro"")"),"Mesaj sters!")</f>
        <v>Mesaj sters!</v>
      </c>
      <c r="AB1623" s="1" t="s">
        <v>32967</v>
      </c>
      <c r="AC1623" s="7" t="str">
        <f>IFERROR(__xludf.DUMMYFUNCTION("GOOGLETRANSLATE(C1623, ""en"", ""sk"")"),"Správa vymazala!")</f>
        <v>Správa vymazala!</v>
      </c>
      <c r="AD1623" s="6" t="s">
        <v>132</v>
      </c>
      <c r="AE1623" s="1" t="s">
        <v>32968</v>
      </c>
      <c r="AF1623" s="7" t="str">
        <f>IFERROR(__xludf.DUMMYFUNCTION("GOOGLETRANSLATE(C1623, ""en"", ""sv"")"),"Meddelande raderas!")</f>
        <v>Meddelande raderas!</v>
      </c>
      <c r="AG1623" s="6" t="s">
        <v>132</v>
      </c>
      <c r="AH1623" s="7" t="str">
        <f>IFERROR(__xludf.DUMMYFUNCTION("GOOGLETRANSLATE(C1623, ""en"", ""tr"")"),"Mesaj silindi!")</f>
        <v>Mesaj silindi!</v>
      </c>
      <c r="AI1623" s="6" t="s">
        <v>132</v>
      </c>
      <c r="AJ1623" s="6" t="s">
        <v>132</v>
      </c>
      <c r="AK1623" s="7" t="str">
        <f>IFERROR(__xludf.DUMMYFUNCTION("GOOGLETRANSLATE(C1623, ""en"", ""zh"")"),"邮件删除！")</f>
        <v>邮件删除！</v>
      </c>
      <c r="AL1623" s="6" t="s">
        <v>132</v>
      </c>
    </row>
    <row r="1624" ht="15.75" hidden="1" customHeight="1">
      <c r="A1624" s="1" t="s">
        <v>38</v>
      </c>
      <c r="B1624" s="1" t="s">
        <v>32969</v>
      </c>
      <c r="C1624" s="1" t="s">
        <v>20315</v>
      </c>
      <c r="D1624" s="8" t="s">
        <v>32970</v>
      </c>
      <c r="E1624" s="1" t="s">
        <v>20316</v>
      </c>
      <c r="F1624" s="6" t="s">
        <v>20317</v>
      </c>
      <c r="G1624" s="7" t="str">
        <f>IFERROR(__xludf.DUMMYFUNCTION("GOOGLETRANSLATE(C1624, ""en"", ""cs"")"),"Kontakt")</f>
        <v>Kontakt</v>
      </c>
      <c r="H1624" s="7" t="str">
        <f>IFERROR(__xludf.DUMMYFUNCTION("GOOGLETRANSLATE(C1624, ""en"", ""da"")"),"Kontakt")</f>
        <v>Kontakt</v>
      </c>
      <c r="I1624" s="1" t="s">
        <v>20318</v>
      </c>
      <c r="J1624" s="6" t="s">
        <v>132</v>
      </c>
      <c r="K1624" s="1" t="s">
        <v>20319</v>
      </c>
      <c r="L1624" s="7" t="str">
        <f>IFERROR(__xludf.DUMMYFUNCTION("GOOGLETRANSLATE(C1624, ""en"", ""fi"")"),"Ottaa yhteyttä")</f>
        <v>Ottaa yhteyttä</v>
      </c>
      <c r="M1624" s="1" t="s">
        <v>20315</v>
      </c>
      <c r="N1624" s="6" t="s">
        <v>20319</v>
      </c>
      <c r="O1624" s="6" t="s">
        <v>132</v>
      </c>
      <c r="P1624" s="1" t="s">
        <v>32971</v>
      </c>
      <c r="Q1624" s="9" t="s">
        <v>7197</v>
      </c>
      <c r="R1624" s="1" t="s">
        <v>20320</v>
      </c>
      <c r="S1624" s="6" t="s">
        <v>132</v>
      </c>
      <c r="T1624" s="1" t="s">
        <v>7199</v>
      </c>
      <c r="U1624" s="1" t="s">
        <v>7200</v>
      </c>
      <c r="V1624" s="7" t="str">
        <f>IFERROR(__xludf.DUMMYFUNCTION("GOOGLETRANSLATE(C1624, ""en"", ""ms"")"),"Hubungi")</f>
        <v>Hubungi</v>
      </c>
      <c r="W1624" s="1" t="s">
        <v>20315</v>
      </c>
      <c r="X1624" s="7" t="str">
        <f>IFERROR(__xludf.DUMMYFUNCTION("GOOGLETRANSLATE(C1624, ""en"", ""no"")"),"Ta kontakt med")</f>
        <v>Ta kontakt med</v>
      </c>
      <c r="Y1624" s="1" t="s">
        <v>20318</v>
      </c>
      <c r="Z1624" s="1" t="s">
        <v>20319</v>
      </c>
      <c r="AA1624" s="7" t="str">
        <f>IFERROR(__xludf.DUMMYFUNCTION("GOOGLETRANSLATE(C1624, ""en"", ""ro"")"),"a lua legatura")</f>
        <v>a lua legatura</v>
      </c>
      <c r="AB1624" s="1" t="s">
        <v>20316</v>
      </c>
      <c r="AC1624" s="1" t="s">
        <v>20318</v>
      </c>
      <c r="AD1624" s="6" t="s">
        <v>132</v>
      </c>
      <c r="AE1624" s="1" t="s">
        <v>20316</v>
      </c>
      <c r="AF1624" s="1" t="s">
        <v>20318</v>
      </c>
      <c r="AG1624" s="6" t="s">
        <v>132</v>
      </c>
      <c r="AH1624" s="7" t="str">
        <f>IFERROR(__xludf.DUMMYFUNCTION("GOOGLETRANSLATE(C1624, ""en"", ""tr"")"),"İletişim")</f>
        <v>İletişim</v>
      </c>
      <c r="AI1624" s="6" t="s">
        <v>20316</v>
      </c>
      <c r="AJ1624" s="6" t="s">
        <v>32972</v>
      </c>
      <c r="AK1624" s="7" t="str">
        <f>IFERROR(__xludf.DUMMYFUNCTION("GOOGLETRANSLATE(C1624, ""en"", ""zh"")"),"接触")</f>
        <v>接触</v>
      </c>
      <c r="AL1624" s="6" t="s">
        <v>7206</v>
      </c>
    </row>
    <row r="1625" ht="15.75" hidden="1" customHeight="1">
      <c r="A1625" s="1" t="s">
        <v>38</v>
      </c>
      <c r="B1625" s="1" t="s">
        <v>32973</v>
      </c>
      <c r="C1625" s="1" t="s">
        <v>32974</v>
      </c>
      <c r="D1625" s="8" t="s">
        <v>32975</v>
      </c>
      <c r="E1625" s="1" t="s">
        <v>32976</v>
      </c>
      <c r="F1625" s="6" t="s">
        <v>32977</v>
      </c>
      <c r="G1625" s="7" t="str">
        <f>IFERROR(__xludf.DUMMYFUNCTION("GOOGLETRANSLATE(C1625, ""en"", ""cs"")"),"ENTER je odeslán")</f>
        <v>ENTER je odeslán</v>
      </c>
      <c r="H1625" s="7" t="str">
        <f>IFERROR(__xludf.DUMMYFUNCTION("GOOGLETRANSLATE(C1625, ""en"", ""da"")"),"Enter er send")</f>
        <v>Enter er send</v>
      </c>
      <c r="I1625" s="1" t="s">
        <v>32978</v>
      </c>
      <c r="J1625" s="6" t="s">
        <v>132</v>
      </c>
      <c r="K1625" s="1" t="s">
        <v>32979</v>
      </c>
      <c r="L1625" s="7" t="str">
        <f>IFERROR(__xludf.DUMMYFUNCTION("GOOGLETRANSLATE(C1625, ""en"", ""fi"")"),"Enter on Lähetä")</f>
        <v>Enter on Lähetä</v>
      </c>
      <c r="M1625" s="1" t="s">
        <v>32980</v>
      </c>
      <c r="N1625" s="6" t="s">
        <v>32981</v>
      </c>
      <c r="O1625" s="6" t="s">
        <v>132</v>
      </c>
      <c r="P1625" s="1" t="s">
        <v>32982</v>
      </c>
      <c r="Q1625" s="9" t="s">
        <v>32983</v>
      </c>
      <c r="R1625" s="1" t="s">
        <v>32984</v>
      </c>
      <c r="S1625" s="6" t="s">
        <v>132</v>
      </c>
      <c r="T1625" s="1" t="s">
        <v>32985</v>
      </c>
      <c r="U1625" s="1" t="s">
        <v>32986</v>
      </c>
      <c r="V1625" s="7" t="str">
        <f>IFERROR(__xludf.DUMMYFUNCTION("GOOGLETRANSLATE(C1625, ""en"", ""ms"")"),"Enter adalah Hantar")</f>
        <v>Enter adalah Hantar</v>
      </c>
      <c r="W1625" s="1" t="s">
        <v>32987</v>
      </c>
      <c r="X1625" s="7" t="str">
        <f>IFERROR(__xludf.DUMMYFUNCTION("GOOGLETRANSLATE(C1625, ""en"", ""no"")"),"Enter er Send.")</f>
        <v>Enter er Send.</v>
      </c>
      <c r="Y1625" s="1" t="s">
        <v>32988</v>
      </c>
      <c r="Z1625" s="1" t="s">
        <v>32989</v>
      </c>
      <c r="AA1625" s="7" t="str">
        <f>IFERROR(__xludf.DUMMYFUNCTION("GOOGLETRANSLATE(C1625, ""en"", ""ro"")"),"Introduceți este trimis.")</f>
        <v>Introduceți este trimis.</v>
      </c>
      <c r="AB1625" s="1" t="s">
        <v>32990</v>
      </c>
      <c r="AC1625" s="1" t="s">
        <v>32991</v>
      </c>
      <c r="AD1625" s="6" t="s">
        <v>132</v>
      </c>
      <c r="AE1625" s="1" t="s">
        <v>32992</v>
      </c>
      <c r="AF1625" s="1" t="s">
        <v>32993</v>
      </c>
      <c r="AG1625" s="6" t="s">
        <v>132</v>
      </c>
      <c r="AH1625" s="7" t="str">
        <f>IFERROR(__xludf.DUMMYFUNCTION("GOOGLETRANSLATE(C1625, ""en"", ""tr"")"),"Giriş gönder")</f>
        <v>Giriş gönder</v>
      </c>
      <c r="AI1625" s="6" t="s">
        <v>32994</v>
      </c>
      <c r="AJ1625" s="6" t="s">
        <v>32995</v>
      </c>
      <c r="AK1625" s="7" t="str">
        <f>IFERROR(__xludf.DUMMYFUNCTION("GOOGLETRANSLATE(C1625, ""en"", ""zh"")"),"输入是发送的")</f>
        <v>输入是发送的</v>
      </c>
      <c r="AL1625" s="6" t="s">
        <v>32996</v>
      </c>
    </row>
    <row r="1626" ht="15.75" customHeight="1">
      <c r="A1626" s="1" t="s">
        <v>127</v>
      </c>
      <c r="B1626" s="13" t="s">
        <v>32997</v>
      </c>
      <c r="C1626" s="1" t="s">
        <v>32998</v>
      </c>
      <c r="D1626" s="8" t="s">
        <v>32999</v>
      </c>
      <c r="E1626" s="1" t="s">
        <v>33000</v>
      </c>
      <c r="F1626" s="6" t="s">
        <v>132</v>
      </c>
      <c r="G1626" s="1" t="s">
        <v>33001</v>
      </c>
      <c r="H1626" s="1" t="s">
        <v>33002</v>
      </c>
      <c r="I1626" s="1" t="s">
        <v>33003</v>
      </c>
      <c r="J1626" s="6" t="s">
        <v>33004</v>
      </c>
      <c r="K1626" s="13" t="s">
        <v>33005</v>
      </c>
      <c r="L1626" s="1" t="s">
        <v>33006</v>
      </c>
      <c r="M1626" s="13" t="s">
        <v>33007</v>
      </c>
      <c r="N1626" s="6" t="s">
        <v>132</v>
      </c>
      <c r="O1626" s="6" t="s">
        <v>33008</v>
      </c>
      <c r="P1626" s="1" t="s">
        <v>33009</v>
      </c>
      <c r="Q1626" s="1" t="s">
        <v>33010</v>
      </c>
      <c r="R1626" s="13" t="s">
        <v>33011</v>
      </c>
      <c r="S1626" s="10" t="s">
        <v>33012</v>
      </c>
      <c r="T1626" s="1" t="s">
        <v>33013</v>
      </c>
      <c r="U1626" s="1" t="s">
        <v>33014</v>
      </c>
      <c r="V1626" s="1" t="s">
        <v>33015</v>
      </c>
      <c r="W1626" s="13" t="s">
        <v>33016</v>
      </c>
      <c r="X1626" s="1" t="s">
        <v>33017</v>
      </c>
      <c r="Y1626" s="11" t="s">
        <v>33018</v>
      </c>
      <c r="Z1626" s="1" t="s">
        <v>33019</v>
      </c>
      <c r="AA1626" s="1" t="s">
        <v>33020</v>
      </c>
      <c r="AB1626" s="13" t="s">
        <v>33021</v>
      </c>
      <c r="AC1626" s="1" t="s">
        <v>33022</v>
      </c>
      <c r="AD1626" s="6" t="s">
        <v>33023</v>
      </c>
      <c r="AE1626" s="7" t="str">
        <f>IFERROR(__xludf.DUMMYFUNCTION("GOOGLETRANSLATE(C1626, ""en"", ""sr"")"),"[Б] Подаци о вилини на планину [/ Б] (МВД) [Б] Црипто Оцена [/ б] се награђује у [Б] планина [/ б]. Валуте са најбољим прогнозема развоја добијају највишу оцену [Б] 5 планина [/ б], а затим ++ и + оцене. Због рејтинга програма који се развијају по подацим"&amp;"а о приказу планине, може се посматрати велики број података криптокурненција, анализирати, у поређењу и обрађивати месечно. [п /] значајно за израчунавање вијека МВД Црипто је [Б] квалитативно [/ б] и [б] квантитативни [/ б] подаци дигиталних валута: [ул"&amp;"] [ЛИ] анализа белог папира - шта је Главни циљ криптокурленције? [/ ЛИ] [ЛИ] Анализа тренутних података о цени и флуктуацијама цена [/ ЛИ] [ЛИ] Механизам за дигиталну валуту [/ ЛИ] [ЛИ] Прорачун перформанси, волатилности, оштрије односа [/ ли] [ли] Тргов"&amp;"ина / прихватање валуте у тржишту виртуалног валута [/ ЛИ] [ЛИ] Јавни форуми и степен учешћа у ГитХубској заједници [/ ЛИ] [ЛИ] Трендови на тржишту виртуалног валута, Тржишна дисторзија итд. [/ ЛИ] [/ ул]")</f>
        <v>[Б] Подаци о вилини на планину [/ Б] (МВД) [Б] Црипто Оцена [/ б] се награђује у [Б] планина [/ б]. Валуте са најбољим прогнозема развоја добијају највишу оцену [Б] 5 планина [/ б], а затим ++ и + оцене. Због рејтинга програма који се развијају по подацима о приказу планине, може се посматрати велики број података криптокурненција, анализирати, у поређењу и обрађивати месечно. [п /] значајно за израчунавање вијека МВД Црипто је [Б] квалитативно [/ б] и [б] квантитативни [/ б] подаци дигиталних валута: [ул] [ЛИ] анализа белог папира - шта је Главни циљ криптокурленције? [/ ЛИ] [ЛИ] Анализа тренутних података о цени и флуктуацијама цена [/ ЛИ] [ЛИ] Механизам за дигиталну валуту [/ ЛИ] [ЛИ] Прорачун перформанси, волатилности, оштрије односа [/ ли] [ли] Трговина / прихватање валуте у тржишту виртуалног валута [/ ЛИ] [ЛИ] Јавни форуми и степен учешћа у ГитХубској заједници [/ ЛИ] [ЛИ] Трендови на тржишту виртуалног валута, Тржишна дисторзија итд. [/ ЛИ] [/ ул]</v>
      </c>
      <c r="AF1626" s="1" t="s">
        <v>33024</v>
      </c>
      <c r="AG1626" s="6" t="s">
        <v>33025</v>
      </c>
      <c r="AH1626" s="1" t="s">
        <v>33026</v>
      </c>
      <c r="AI1626" s="6" t="s">
        <v>132</v>
      </c>
      <c r="AJ1626" s="6" t="s">
        <v>33027</v>
      </c>
      <c r="AK1626" s="22" t="s">
        <v>33028</v>
      </c>
      <c r="AL1626" s="6" t="s">
        <v>132</v>
      </c>
    </row>
    <row r="1627" ht="15.75" hidden="1" customHeight="1">
      <c r="A1627" s="1" t="s">
        <v>38</v>
      </c>
      <c r="B1627" s="1" t="s">
        <v>33029</v>
      </c>
      <c r="C1627" s="1" t="s">
        <v>33030</v>
      </c>
      <c r="D1627" s="7" t="str">
        <f>IFERROR(__xludf.DUMMYFUNCTION("GOOGLETRANSLATE(C1627, ""en"", ""ar"")"),"هايتي")</f>
        <v>هايتي</v>
      </c>
      <c r="E1627" s="7" t="str">
        <f>IFERROR(__xludf.DUMMYFUNCTION("GOOGLETRANSLATE(C1627, ""en"", ""bg"")"),"Хаити")</f>
        <v>Хаити</v>
      </c>
      <c r="F1627" s="6" t="s">
        <v>132</v>
      </c>
      <c r="G1627" s="7" t="str">
        <f>IFERROR(__xludf.DUMMYFUNCTION("GOOGLETRANSLATE(C1627, ""en"", ""cs"")"),"Haiti")</f>
        <v>Haiti</v>
      </c>
      <c r="H1627" s="7" t="str">
        <f>IFERROR(__xludf.DUMMYFUNCTION("GOOGLETRANSLATE(C1627, ""en"", ""da"")"),"Haiti.")</f>
        <v>Haiti.</v>
      </c>
      <c r="I1627" s="1" t="s">
        <v>33030</v>
      </c>
      <c r="J1627" s="6" t="s">
        <v>132</v>
      </c>
      <c r="K1627" s="1" t="s">
        <v>33030</v>
      </c>
      <c r="L1627" s="7" t="str">
        <f>IFERROR(__xludf.DUMMYFUNCTION("GOOGLETRANSLATE(C1627, ""en"", ""fi"")"),"Haiti")</f>
        <v>Haiti</v>
      </c>
      <c r="M1627" s="1" t="s">
        <v>33031</v>
      </c>
      <c r="N1627" s="6" t="s">
        <v>132</v>
      </c>
      <c r="O1627" s="6" t="s">
        <v>132</v>
      </c>
      <c r="P1627" s="1" t="s">
        <v>33030</v>
      </c>
      <c r="Q1627" s="7" t="str">
        <f>IFERROR(__xludf.DUMMYFUNCTION("GOOGLETRANSLATE(C1627, ""en"", ""in"")"),"Haiti")</f>
        <v>Haiti</v>
      </c>
      <c r="R1627" s="7" t="str">
        <f>IFERROR(__xludf.DUMMYFUNCTION("GOOGLETRANSLATE(C1627, ""en"", ""it"")"),"Haiti")</f>
        <v>Haiti</v>
      </c>
      <c r="S1627" s="6" t="s">
        <v>132</v>
      </c>
      <c r="T1627" s="7" t="str">
        <f>IFERROR(__xludf.DUMMYFUNCTION("GOOGLETRANSLATE(C1627, ""en"", ""ja"")"),"ハイチ")</f>
        <v>ハイチ</v>
      </c>
      <c r="U1627" s="7" t="str">
        <f>IFERROR(__xludf.DUMMYFUNCTION("GOOGLETRANSLATE(C1627, ""en"", ""ko"")"),"아이티")</f>
        <v>아이티</v>
      </c>
      <c r="V1627" s="7" t="str">
        <f>IFERROR(__xludf.DUMMYFUNCTION("GOOGLETRANSLATE(C1627, ""en"", ""ms"")"),"Haiti.")</f>
        <v>Haiti.</v>
      </c>
      <c r="W1627" s="7" t="str">
        <f>IFERROR(__xludf.DUMMYFUNCTION("GOOGLETRANSLATE(C1627, ""en"", ""nl"")"),"Haïti")</f>
        <v>Haïti</v>
      </c>
      <c r="X1627" s="7" t="str">
        <f>IFERROR(__xludf.DUMMYFUNCTION("GOOGLETRANSLATE(C1627, ""en"", ""no"")"),"Haiti.")</f>
        <v>Haiti.</v>
      </c>
      <c r="Y1627" s="7" t="str">
        <f>IFERROR(__xludf.DUMMYFUNCTION("GOOGLETRANSLATE(C1627, ""en"", ""pl"")"),"Haiti")</f>
        <v>Haiti</v>
      </c>
      <c r="Z1627" s="7" t="str">
        <f>IFERROR(__xludf.DUMMYFUNCTION("GOOGLETRANSLATE(C1627, ""en"", ""pt"")"),"Haiti")</f>
        <v>Haiti</v>
      </c>
      <c r="AA1627" s="7" t="str">
        <f>IFERROR(__xludf.DUMMYFUNCTION("GOOGLETRANSLATE(C1627, ""en"", ""ro"")"),"Haiti")</f>
        <v>Haiti</v>
      </c>
      <c r="AB1627" s="1" t="s">
        <v>33032</v>
      </c>
      <c r="AC1627" s="7" t="str">
        <f>IFERROR(__xludf.DUMMYFUNCTION("GOOGLETRANSLATE(C1627, ""en"", ""sk"")"),"Haiti")</f>
        <v>Haiti</v>
      </c>
      <c r="AD1627" s="6" t="s">
        <v>132</v>
      </c>
      <c r="AE1627" s="1" t="s">
        <v>33030</v>
      </c>
      <c r="AF1627" s="7" t="str">
        <f>IFERROR(__xludf.DUMMYFUNCTION("GOOGLETRANSLATE(C1627, ""en"", ""sv"")"),"Haiti")</f>
        <v>Haiti</v>
      </c>
      <c r="AG1627" s="6" t="s">
        <v>132</v>
      </c>
      <c r="AH1627" s="7" t="str">
        <f>IFERROR(__xludf.DUMMYFUNCTION("GOOGLETRANSLATE(C1627, ""en"", ""tr"")"),"Haiti")</f>
        <v>Haiti</v>
      </c>
      <c r="AI1627" s="6" t="s">
        <v>132</v>
      </c>
      <c r="AJ1627" s="6" t="s">
        <v>132</v>
      </c>
      <c r="AK1627" s="7" t="str">
        <f>IFERROR(__xludf.DUMMYFUNCTION("GOOGLETRANSLATE(C1627, ""en"", ""zh"")"),"海地")</f>
        <v>海地</v>
      </c>
      <c r="AL1627" s="6" t="s">
        <v>132</v>
      </c>
    </row>
    <row r="1628" ht="15.75" hidden="1" customHeight="1">
      <c r="A1628" s="1" t="s">
        <v>38</v>
      </c>
      <c r="B1628" s="1" t="s">
        <v>33033</v>
      </c>
      <c r="C1628" s="1" t="s">
        <v>33034</v>
      </c>
      <c r="D1628" s="8" t="s">
        <v>33035</v>
      </c>
      <c r="E1628" s="1" t="s">
        <v>33036</v>
      </c>
      <c r="F1628" s="6" t="s">
        <v>33037</v>
      </c>
      <c r="G1628" s="7" t="str">
        <f>IFERROR(__xludf.DUMMYFUNCTION("GOOGLETRANSLATE(C1628, ""en"", ""cs"")"),"Hostname")</f>
        <v>Hostname</v>
      </c>
      <c r="H1628" s="7" t="str">
        <f>IFERROR(__xludf.DUMMYFUNCTION("GOOGLETRANSLATE(C1628, ""en"", ""da"")"),"Værtsnavn")</f>
        <v>Værtsnavn</v>
      </c>
      <c r="I1628" s="1" t="s">
        <v>33034</v>
      </c>
      <c r="J1628" s="6" t="s">
        <v>132</v>
      </c>
      <c r="K1628" s="1" t="s">
        <v>33034</v>
      </c>
      <c r="L1628" s="7" t="str">
        <f>IFERROR(__xludf.DUMMYFUNCTION("GOOGLETRANSLATE(C1628, ""en"", ""fi"")"),"Isäntänimi")</f>
        <v>Isäntänimi</v>
      </c>
      <c r="M1628" s="1" t="s">
        <v>33038</v>
      </c>
      <c r="N1628" s="6" t="s">
        <v>33039</v>
      </c>
      <c r="O1628" s="6" t="s">
        <v>132</v>
      </c>
      <c r="P1628" s="1" t="s">
        <v>33040</v>
      </c>
      <c r="Q1628" s="9" t="s">
        <v>33034</v>
      </c>
      <c r="R1628" s="1" t="s">
        <v>33041</v>
      </c>
      <c r="S1628" s="6" t="s">
        <v>132</v>
      </c>
      <c r="T1628" s="1" t="s">
        <v>33042</v>
      </c>
      <c r="U1628" s="1" t="s">
        <v>33043</v>
      </c>
      <c r="V1628" s="7" t="str">
        <f>IFERROR(__xludf.DUMMYFUNCTION("GOOGLETRANSLATE(C1628, ""en"", ""ms"")"),"Nama hos")</f>
        <v>Nama hos</v>
      </c>
      <c r="W1628" s="1" t="s">
        <v>33044</v>
      </c>
      <c r="X1628" s="7" t="str">
        <f>IFERROR(__xludf.DUMMYFUNCTION("GOOGLETRANSLATE(C1628, ""en"", ""no"")"),"Vertsnavn")</f>
        <v>Vertsnavn</v>
      </c>
      <c r="Y1628" s="1" t="s">
        <v>33045</v>
      </c>
      <c r="Z1628" s="1" t="s">
        <v>33034</v>
      </c>
      <c r="AA1628" s="7" t="str">
        <f>IFERROR(__xludf.DUMMYFUNCTION("GOOGLETRANSLATE(C1628, ""en"", ""ro"")"),"Numele de gazdă")</f>
        <v>Numele de gazdă</v>
      </c>
      <c r="AB1628" s="1" t="s">
        <v>33046</v>
      </c>
      <c r="AC1628" s="7" t="str">
        <f>IFERROR(__xludf.DUMMYFUNCTION("GOOGLETRANSLATE(C1628, ""en"", ""sk"")"),"Meno hosťa")</f>
        <v>Meno hosťa</v>
      </c>
      <c r="AD1628" s="6" t="s">
        <v>132</v>
      </c>
      <c r="AE1628" s="1" t="s">
        <v>33047</v>
      </c>
      <c r="AF1628" s="1" t="s">
        <v>33048</v>
      </c>
      <c r="AG1628" s="6" t="s">
        <v>132</v>
      </c>
      <c r="AH1628" s="7" t="str">
        <f>IFERROR(__xludf.DUMMYFUNCTION("GOOGLETRANSLATE(C1628, ""en"", ""tr"")"),"Ana bilgisayar adı")</f>
        <v>Ana bilgisayar adı</v>
      </c>
      <c r="AI1628" s="6" t="s">
        <v>33049</v>
      </c>
      <c r="AJ1628" s="6" t="s">
        <v>33050</v>
      </c>
      <c r="AK1628" s="7" t="str">
        <f>IFERROR(__xludf.DUMMYFUNCTION("GOOGLETRANSLATE(C1628, ""en"", ""zh"")"),"主机名")</f>
        <v>主机名</v>
      </c>
      <c r="AL1628" s="6" t="s">
        <v>33051</v>
      </c>
    </row>
    <row r="1629" ht="15.75" customHeight="1">
      <c r="A1629" s="1" t="s">
        <v>127</v>
      </c>
      <c r="B1629" s="1" t="s">
        <v>33052</v>
      </c>
      <c r="C1629" s="1" t="s">
        <v>33053</v>
      </c>
      <c r="D1629" s="8" t="s">
        <v>33054</v>
      </c>
      <c r="E1629" s="1" t="s">
        <v>33055</v>
      </c>
      <c r="F1629" s="6" t="s">
        <v>132</v>
      </c>
      <c r="G1629" s="1" t="s">
        <v>33056</v>
      </c>
      <c r="H1629" s="1" t="s">
        <v>33057</v>
      </c>
      <c r="I1629" s="1" t="s">
        <v>33058</v>
      </c>
      <c r="J1629" s="6" t="s">
        <v>33059</v>
      </c>
      <c r="K1629" s="1" t="s">
        <v>33060</v>
      </c>
      <c r="L1629" s="1" t="s">
        <v>33061</v>
      </c>
      <c r="M1629" s="1" t="s">
        <v>33062</v>
      </c>
      <c r="N1629" s="6" t="s">
        <v>132</v>
      </c>
      <c r="O1629" s="6" t="s">
        <v>33063</v>
      </c>
      <c r="P1629" s="1" t="s">
        <v>33053</v>
      </c>
      <c r="Q1629" s="1" t="s">
        <v>33064</v>
      </c>
      <c r="R1629" s="1" t="s">
        <v>33065</v>
      </c>
      <c r="S1629" s="10" t="s">
        <v>33066</v>
      </c>
      <c r="T1629" s="1" t="s">
        <v>33067</v>
      </c>
      <c r="U1629" s="1" t="s">
        <v>33068</v>
      </c>
      <c r="V1629" s="1" t="s">
        <v>33064</v>
      </c>
      <c r="W1629" s="1" t="s">
        <v>33053</v>
      </c>
      <c r="X1629" s="1" t="s">
        <v>33069</v>
      </c>
      <c r="Y1629" s="1" t="s">
        <v>22179</v>
      </c>
      <c r="Z1629" s="1" t="s">
        <v>33070</v>
      </c>
      <c r="AA1629" s="1" t="s">
        <v>33071</v>
      </c>
      <c r="AB1629" s="1" t="s">
        <v>33072</v>
      </c>
      <c r="AC1629" s="1" t="s">
        <v>33056</v>
      </c>
      <c r="AD1629" s="6" t="s">
        <v>33073</v>
      </c>
      <c r="AE1629" s="1" t="s">
        <v>33074</v>
      </c>
      <c r="AF1629" s="1" t="s">
        <v>33075</v>
      </c>
      <c r="AG1629" s="6" t="s">
        <v>33076</v>
      </c>
      <c r="AH1629" s="1" t="s">
        <v>33077</v>
      </c>
      <c r="AI1629" s="6" t="s">
        <v>132</v>
      </c>
      <c r="AJ1629" s="6" t="s">
        <v>33078</v>
      </c>
      <c r="AK1629" s="1" t="s">
        <v>33079</v>
      </c>
      <c r="AL1629" s="6" t="s">
        <v>132</v>
      </c>
    </row>
    <row r="1630" ht="15.75" customHeight="1">
      <c r="A1630" s="1" t="s">
        <v>127</v>
      </c>
      <c r="B1630" s="1" t="s">
        <v>33080</v>
      </c>
      <c r="C1630" s="1" t="s">
        <v>33081</v>
      </c>
      <c r="D1630" s="8" t="s">
        <v>1089</v>
      </c>
      <c r="E1630" s="1" t="s">
        <v>33081</v>
      </c>
      <c r="F1630" s="6" t="s">
        <v>132</v>
      </c>
      <c r="G1630" s="1" t="s">
        <v>33081</v>
      </c>
      <c r="H1630" s="1" t="s">
        <v>33081</v>
      </c>
      <c r="I1630" s="1" t="s">
        <v>33082</v>
      </c>
      <c r="J1630" s="6" t="s">
        <v>33081</v>
      </c>
      <c r="K1630" s="1" t="s">
        <v>33081</v>
      </c>
      <c r="L1630" s="1" t="s">
        <v>21934</v>
      </c>
      <c r="M1630" s="1" t="s">
        <v>33083</v>
      </c>
      <c r="N1630" s="6" t="s">
        <v>132</v>
      </c>
      <c r="O1630" s="6" t="s">
        <v>33084</v>
      </c>
      <c r="P1630" s="1" t="s">
        <v>33085</v>
      </c>
      <c r="Q1630" s="1" t="s">
        <v>33081</v>
      </c>
      <c r="R1630" s="1" t="s">
        <v>33081</v>
      </c>
      <c r="S1630" s="6" t="s">
        <v>33081</v>
      </c>
      <c r="T1630" s="1" t="s">
        <v>3404</v>
      </c>
      <c r="U1630" s="1" t="s">
        <v>3405</v>
      </c>
      <c r="V1630" s="1" t="s">
        <v>33081</v>
      </c>
      <c r="W1630" s="1" t="s">
        <v>33086</v>
      </c>
      <c r="X1630" s="1" t="s">
        <v>33081</v>
      </c>
      <c r="Y1630" s="1" t="s">
        <v>33081</v>
      </c>
      <c r="Z1630" s="1" t="s">
        <v>33081</v>
      </c>
      <c r="AA1630" s="1" t="s">
        <v>33087</v>
      </c>
      <c r="AB1630" s="1" t="s">
        <v>33088</v>
      </c>
      <c r="AC1630" s="1" t="s">
        <v>33081</v>
      </c>
      <c r="AD1630" s="6" t="s">
        <v>33081</v>
      </c>
      <c r="AE1630" s="1" t="s">
        <v>33081</v>
      </c>
      <c r="AF1630" s="1" t="s">
        <v>33081</v>
      </c>
      <c r="AG1630" s="6" t="s">
        <v>33081</v>
      </c>
      <c r="AH1630" s="1" t="s">
        <v>33089</v>
      </c>
      <c r="AI1630" s="6" t="s">
        <v>132</v>
      </c>
      <c r="AJ1630" s="6" t="s">
        <v>33090</v>
      </c>
      <c r="AK1630" s="1" t="s">
        <v>3417</v>
      </c>
      <c r="AL1630" s="6" t="s">
        <v>132</v>
      </c>
    </row>
    <row r="1631" ht="15.75" hidden="1" customHeight="1">
      <c r="A1631" s="1" t="s">
        <v>38</v>
      </c>
      <c r="B1631" s="1" t="s">
        <v>33091</v>
      </c>
      <c r="C1631" s="1" t="s">
        <v>33092</v>
      </c>
      <c r="D1631" s="7" t="str">
        <f>IFERROR(__xludf.DUMMYFUNCTION("GOOGLETRANSLATE(C1631, ""en"", ""ar"")"),"\ u0020day غير متصل")</f>
        <v>\ u0020day غير متصل</v>
      </c>
      <c r="E1631" s="7" t="str">
        <f>IFERROR(__xludf.DUMMYFUNCTION("GOOGLETRANSLATE(C1631, ""en"", ""bg"")"),"U0020day офлайн. \ T")</f>
        <v>U0020day офлайн. \ T</v>
      </c>
      <c r="F1631" s="6" t="s">
        <v>132</v>
      </c>
      <c r="G1631" s="7" t="str">
        <f>IFERROR(__xludf.DUMMYFUNCTION("GOOGLETRANSLATE(C1631, ""en"", ""cs"")"),"U0020day offline. \ t")</f>
        <v>U0020day offline. \ t</v>
      </c>
      <c r="H1631" s="7" t="str">
        <f>IFERROR(__xludf.DUMMYFUNCTION("GOOGLETRANSLATE(C1631, ""en"", ""da"")"),"\ u0020DAY OFFLINE.")</f>
        <v>\ u0020DAY OFFLINE.</v>
      </c>
      <c r="I1631" s="1" t="s">
        <v>33093</v>
      </c>
      <c r="J1631" s="6" t="s">
        <v>132</v>
      </c>
      <c r="K1631" s="1" t="s">
        <v>33094</v>
      </c>
      <c r="L1631" s="7" t="str">
        <f>IFERROR(__xludf.DUMMYFUNCTION("GOOGLETRANSLATE(C1631, ""en"", ""fi"")"),"\ u0020Day offline")</f>
        <v>\ u0020Day offline</v>
      </c>
      <c r="M1631" s="1" t="s">
        <v>33095</v>
      </c>
      <c r="N1631" s="6" t="s">
        <v>132</v>
      </c>
      <c r="O1631" s="6" t="s">
        <v>132</v>
      </c>
      <c r="P1631" s="1" t="s">
        <v>33096</v>
      </c>
      <c r="Q1631" s="7" t="str">
        <f>IFERROR(__xludf.DUMMYFUNCTION("GOOGLETRANSLATE(C1631, ""en"", ""in"")"),"\ u0020day offline.")</f>
        <v>\ u0020day offline.</v>
      </c>
      <c r="R1631" s="7" t="str">
        <f>IFERROR(__xludf.DUMMYFUNCTION("GOOGLETRANSLATE(C1631, ""en"", ""it"")"),"\ u0020 giorni offline.")</f>
        <v>\ u0020 giorni offline.</v>
      </c>
      <c r="S1631" s="6" t="s">
        <v>132</v>
      </c>
      <c r="T1631" s="7" t="str">
        <f>IFERROR(__xludf.DUMMYFUNCTION("GOOGLETRANSLATE(C1631, ""en"", ""ja"")"),"\ u0020dayオフライン")</f>
        <v>\ u0020dayオフライン</v>
      </c>
      <c r="U1631" s="7" t="str">
        <f>IFERROR(__xludf.DUMMYFUNCTION("GOOGLETRANSLATE(C1631, ""en"", ""ko"")"),"\ u0020day 오프라인")</f>
        <v>\ u0020day 오프라인</v>
      </c>
      <c r="V1631" s="7" t="str">
        <f>IFERROR(__xludf.DUMMYFUNCTION("GOOGLETRANSLATE(C1631, ""en"", ""ms"")"),"\ u0020day offline.")</f>
        <v>\ u0020day offline.</v>
      </c>
      <c r="W1631" s="7" t="str">
        <f>IFERROR(__xludf.DUMMYFUNCTION("GOOGLETRANSLATE(C1631, ""en"", ""nl"")"),"\ U0020DAY OFFLINE")</f>
        <v>\ U0020DAY OFFLINE</v>
      </c>
      <c r="X1631" s="7" t="str">
        <f>IFERROR(__xludf.DUMMYFUNCTION("GOOGLETRANSLATE(C1631, ""en"", ""no"")"),"\ u0020 day offline.")</f>
        <v>\ u0020 day offline.</v>
      </c>
      <c r="Y1631" s="7" t="str">
        <f>IFERROR(__xludf.DUMMYFUNCTION("GOOGLETRANSLATE(C1631, ""en"", ""pl"")"),"U0020day offline.")</f>
        <v>U0020day offline.</v>
      </c>
      <c r="Z1631" s="7" t="str">
        <f>IFERROR(__xludf.DUMMYFUNCTION("GOOGLETRANSLATE(C1631, ""en"", ""pt"")"),"\ u0020day offline.")</f>
        <v>\ u0020day offline.</v>
      </c>
      <c r="AA1631" s="7" t="str">
        <f>IFERROR(__xludf.DUMMYFUNCTION("GOOGLETRANSLATE(C1631, ""en"", ""ro"")"),"\ u0020Day offline")</f>
        <v>\ u0020Day offline</v>
      </c>
      <c r="AB1631" s="1" t="s">
        <v>33097</v>
      </c>
      <c r="AC1631" s="7" t="str">
        <f>IFERROR(__xludf.DUMMYFUNCTION("GOOGLETRANSLATE(C1631, ""en"", ""sk"")"),"u0020day offline")</f>
        <v>u0020day offline</v>
      </c>
      <c r="AD1631" s="6" t="s">
        <v>132</v>
      </c>
      <c r="AE1631" s="1" t="s">
        <v>33098</v>
      </c>
      <c r="AF1631" s="7" t="str">
        <f>IFERROR(__xludf.DUMMYFUNCTION("GOOGLETRANSLATE(C1631, ""en"", ""sv"")"),"\ u0020day offline")</f>
        <v>\ u0020day offline</v>
      </c>
      <c r="AG1631" s="6" t="s">
        <v>132</v>
      </c>
      <c r="AH1631" s="7" t="str">
        <f>IFERROR(__xludf.DUMMYFUNCTION("GOOGLETRANSLATE(C1631, ""en"", ""tr"")"),"\ u0020day çevrimdışı")</f>
        <v>\ u0020day çevrimdışı</v>
      </c>
      <c r="AI1631" s="6" t="s">
        <v>132</v>
      </c>
      <c r="AJ1631" s="6" t="s">
        <v>132</v>
      </c>
      <c r="AK1631" s="7" t="str">
        <f>IFERROR(__xludf.DUMMYFUNCTION("GOOGLETRANSLATE(C1631, ""en"", ""zh"")"),"\ u0020day离线")</f>
        <v>\ u0020day离线</v>
      </c>
      <c r="AL1631" s="6" t="s">
        <v>132</v>
      </c>
    </row>
    <row r="1632" ht="15.75" hidden="1" customHeight="1">
      <c r="A1632" s="1" t="s">
        <v>38</v>
      </c>
      <c r="B1632" s="1" t="s">
        <v>33099</v>
      </c>
      <c r="C1632" s="1" t="s">
        <v>33100</v>
      </c>
      <c r="D1632" s="7" t="str">
        <f>IFERROR(__xludf.DUMMYFUNCTION("GOOGLETRANSLATE(C1632, ""en"", ""ar"")"),"سانت كيتس ونيفيس")</f>
        <v>سانت كيتس ونيفيس</v>
      </c>
      <c r="E1632" s="7" t="str">
        <f>IFERROR(__xludf.DUMMYFUNCTION("GOOGLETRANSLATE(C1632, ""en"", ""bg"")"),"Сейнт Китс и Невис")</f>
        <v>Сейнт Китс и Невис</v>
      </c>
      <c r="F1632" s="6" t="s">
        <v>132</v>
      </c>
      <c r="G1632" s="7" t="str">
        <f>IFERROR(__xludf.DUMMYFUNCTION("GOOGLETRANSLATE(C1632, ""en"", ""cs"")"),"Svatý Kryštof a Nevis")</f>
        <v>Svatý Kryštof a Nevis</v>
      </c>
      <c r="H1632" s="7" t="str">
        <f>IFERROR(__xludf.DUMMYFUNCTION("GOOGLETRANSLATE(C1632, ""en"", ""da"")"),"Saint Kitts og Nevis")</f>
        <v>Saint Kitts og Nevis</v>
      </c>
      <c r="I1632" s="1" t="s">
        <v>33101</v>
      </c>
      <c r="J1632" s="6" t="s">
        <v>132</v>
      </c>
      <c r="K1632" s="1" t="s">
        <v>33102</v>
      </c>
      <c r="L1632" s="7" t="str">
        <f>IFERROR(__xludf.DUMMYFUNCTION("GOOGLETRANSLATE(C1632, ""en"", ""fi"")"),"Saint Kitts ja Nevis")</f>
        <v>Saint Kitts ja Nevis</v>
      </c>
      <c r="M1632" s="1" t="s">
        <v>33103</v>
      </c>
      <c r="N1632" s="6" t="s">
        <v>132</v>
      </c>
      <c r="O1632" s="6" t="s">
        <v>132</v>
      </c>
      <c r="P1632" s="1" t="s">
        <v>33100</v>
      </c>
      <c r="Q1632" s="7" t="str">
        <f>IFERROR(__xludf.DUMMYFUNCTION("GOOGLETRANSLATE(C1632, ""en"", ""in"")"),"Saint Kitts dan Nevis")</f>
        <v>Saint Kitts dan Nevis</v>
      </c>
      <c r="R1632" s="7" t="str">
        <f>IFERROR(__xludf.DUMMYFUNCTION("GOOGLETRANSLATE(C1632, ""en"", ""it"")"),"Saint Kitts e Nevis")</f>
        <v>Saint Kitts e Nevis</v>
      </c>
      <c r="S1632" s="6" t="s">
        <v>132</v>
      </c>
      <c r="T1632" s="7" t="str">
        <f>IFERROR(__xludf.DUMMYFUNCTION("GOOGLETRANSLATE(C1632, ""en"", ""ja"")"),"セントキッツとネビス")</f>
        <v>セントキッツとネビス</v>
      </c>
      <c r="U1632" s="7" t="str">
        <f>IFERROR(__xludf.DUMMYFUNCTION("GOOGLETRANSLATE(C1632, ""en"", ""ko"")"),"세인트 키츠 네비스")</f>
        <v>세인트 키츠 네비스</v>
      </c>
      <c r="V1632" s="7" t="str">
        <f>IFERROR(__xludf.DUMMYFUNCTION("GOOGLETRANSLATE(C1632, ""en"", ""ms"")"),"Saint Kitts dan Nevis")</f>
        <v>Saint Kitts dan Nevis</v>
      </c>
      <c r="W1632" s="7" t="str">
        <f>IFERROR(__xludf.DUMMYFUNCTION("GOOGLETRANSLATE(C1632, ""en"", ""nl"")"),"Saint Kitts en Nevis")</f>
        <v>Saint Kitts en Nevis</v>
      </c>
      <c r="X1632" s="7" t="str">
        <f>IFERROR(__xludf.DUMMYFUNCTION("GOOGLETRANSLATE(C1632, ""en"", ""no"")"),"Saint Kitts og Nevis")</f>
        <v>Saint Kitts og Nevis</v>
      </c>
      <c r="Y1632" s="7" t="str">
        <f>IFERROR(__xludf.DUMMYFUNCTION("GOOGLETRANSLATE(C1632, ""en"", ""pl"")"),"Saint Kitts i Nevis")</f>
        <v>Saint Kitts i Nevis</v>
      </c>
      <c r="Z1632" s="7" t="str">
        <f>IFERROR(__xludf.DUMMYFUNCTION("GOOGLETRANSLATE(C1632, ""en"", ""pt"")"),"São Cristóvão e Nevis")</f>
        <v>São Cristóvão e Nevis</v>
      </c>
      <c r="AA1632" s="7" t="str">
        <f>IFERROR(__xludf.DUMMYFUNCTION("GOOGLETRANSLATE(C1632, ""en"", ""ro"")"),"Saint Kitts și Nevis")</f>
        <v>Saint Kitts și Nevis</v>
      </c>
      <c r="AB1632" s="1" t="s">
        <v>33104</v>
      </c>
      <c r="AC1632" s="7" t="str">
        <f>IFERROR(__xludf.DUMMYFUNCTION("GOOGLETRANSLATE(C1632, ""en"", ""sk"")"),"Svätý Krištof a Nevis")</f>
        <v>Svätý Krištof a Nevis</v>
      </c>
      <c r="AD1632" s="6" t="s">
        <v>132</v>
      </c>
      <c r="AE1632" s="1" t="s">
        <v>33105</v>
      </c>
      <c r="AF1632" s="7" t="str">
        <f>IFERROR(__xludf.DUMMYFUNCTION("GOOGLETRANSLATE(C1632, ""en"", ""sv"")"),"Saint Kitts och Nevis")</f>
        <v>Saint Kitts och Nevis</v>
      </c>
      <c r="AG1632" s="6" t="s">
        <v>132</v>
      </c>
      <c r="AH1632" s="7" t="str">
        <f>IFERROR(__xludf.DUMMYFUNCTION("GOOGLETRANSLATE(C1632, ""en"", ""tr"")"),"Saint Kitts ve Nevis")</f>
        <v>Saint Kitts ve Nevis</v>
      </c>
      <c r="AI1632" s="6" t="s">
        <v>132</v>
      </c>
      <c r="AJ1632" s="6" t="s">
        <v>132</v>
      </c>
      <c r="AK1632" s="7" t="str">
        <f>IFERROR(__xludf.DUMMYFUNCTION("GOOGLETRANSLATE(C1632, ""en"", ""zh"")"),"圣基茨和尼维斯")</f>
        <v>圣基茨和尼维斯</v>
      </c>
      <c r="AL1632" s="6" t="s">
        <v>132</v>
      </c>
    </row>
    <row r="1633" ht="15.75" hidden="1" customHeight="1">
      <c r="A1633" s="1" t="s">
        <v>38</v>
      </c>
      <c r="B1633" s="1" t="s">
        <v>33106</v>
      </c>
      <c r="C1633" s="1" t="s">
        <v>33107</v>
      </c>
      <c r="D1633" s="8" t="s">
        <v>33108</v>
      </c>
      <c r="E1633" s="1" t="s">
        <v>33109</v>
      </c>
      <c r="F1633" s="6" t="s">
        <v>33110</v>
      </c>
      <c r="G1633" s="7" t="str">
        <f>IFERROR(__xludf.DUMMYFUNCTION("GOOGLETRANSLATE(C1633, ""en"", ""cs"")"),"Platba vyžadována")</f>
        <v>Platba vyžadována</v>
      </c>
      <c r="H1633" s="7" t="str">
        <f>IFERROR(__xludf.DUMMYFUNCTION("GOOGLETRANSLATE(C1633, ""en"", ""da"")"),"Betaling påkrævet")</f>
        <v>Betaling påkrævet</v>
      </c>
      <c r="I1633" s="1" t="s">
        <v>33111</v>
      </c>
      <c r="J1633" s="6" t="s">
        <v>132</v>
      </c>
      <c r="K1633" s="1" t="s">
        <v>33112</v>
      </c>
      <c r="L1633" s="7" t="str">
        <f>IFERROR(__xludf.DUMMYFUNCTION("GOOGLETRANSLATE(C1633, ""en"", ""fi"")"),"Maksua vaaditaan")</f>
        <v>Maksua vaaditaan</v>
      </c>
      <c r="M1633" s="1" t="s">
        <v>33113</v>
      </c>
      <c r="N1633" s="6" t="s">
        <v>33114</v>
      </c>
      <c r="O1633" s="6" t="s">
        <v>132</v>
      </c>
      <c r="P1633" s="1" t="s">
        <v>33115</v>
      </c>
      <c r="Q1633" s="7" t="str">
        <f>IFERROR(__xludf.DUMMYFUNCTION("GOOGLETRANSLATE(C1633, ""en"", ""in"")"),"Diperlukan pembayaran")</f>
        <v>Diperlukan pembayaran</v>
      </c>
      <c r="R1633" s="1" t="s">
        <v>33116</v>
      </c>
      <c r="S1633" s="6" t="s">
        <v>132</v>
      </c>
      <c r="T1633" s="1" t="s">
        <v>33117</v>
      </c>
      <c r="U1633" s="1" t="s">
        <v>33118</v>
      </c>
      <c r="V1633" s="7" t="str">
        <f>IFERROR(__xludf.DUMMYFUNCTION("GOOGLETRANSLATE(C1633, ""en"", ""ms"")"),"Pembayaran diperlukan")</f>
        <v>Pembayaran diperlukan</v>
      </c>
      <c r="W1633" s="1" t="s">
        <v>33119</v>
      </c>
      <c r="X1633" s="7" t="str">
        <f>IFERROR(__xludf.DUMMYFUNCTION("GOOGLETRANSLATE(C1633, ""en"", ""no"")"),"Betaling kreves")</f>
        <v>Betaling kreves</v>
      </c>
      <c r="Y1633" s="1" t="s">
        <v>33120</v>
      </c>
      <c r="Z1633" s="1" t="s">
        <v>33121</v>
      </c>
      <c r="AA1633" s="7" t="str">
        <f>IFERROR(__xludf.DUMMYFUNCTION("GOOGLETRANSLATE(C1633, ""en"", ""ro"")"),"Plata necesară")</f>
        <v>Plata necesară</v>
      </c>
      <c r="AB1633" s="1" t="s">
        <v>33122</v>
      </c>
      <c r="AC1633" s="7" t="str">
        <f>IFERROR(__xludf.DUMMYFUNCTION("GOOGLETRANSLATE(C1633, ""en"", ""sk"")"),"Požadovaná platba")</f>
        <v>Požadovaná platba</v>
      </c>
      <c r="AD1633" s="6" t="s">
        <v>132</v>
      </c>
      <c r="AE1633" s="1" t="s">
        <v>33123</v>
      </c>
      <c r="AF1633" s="1" t="s">
        <v>33124</v>
      </c>
      <c r="AG1633" s="6" t="s">
        <v>132</v>
      </c>
      <c r="AH1633" s="7" t="str">
        <f>IFERROR(__xludf.DUMMYFUNCTION("GOOGLETRANSLATE(C1633, ""en"", ""tr"")"),"Ödeme gerekli")</f>
        <v>Ödeme gerekli</v>
      </c>
      <c r="AI1633" s="6" t="s">
        <v>33125</v>
      </c>
      <c r="AJ1633" s="6" t="s">
        <v>132</v>
      </c>
      <c r="AK1633" s="7" t="str">
        <f>IFERROR(__xludf.DUMMYFUNCTION("GOOGLETRANSLATE(C1633, ""en"", ""zh"")"),"需要付款")</f>
        <v>需要付款</v>
      </c>
      <c r="AL1633" s="6" t="s">
        <v>33126</v>
      </c>
    </row>
    <row r="1634" ht="15.75" customHeight="1">
      <c r="A1634" s="1" t="s">
        <v>127</v>
      </c>
      <c r="B1634" s="1" t="s">
        <v>33127</v>
      </c>
      <c r="C1634" s="1" t="s">
        <v>4084</v>
      </c>
      <c r="D1634" s="8" t="s">
        <v>4085</v>
      </c>
      <c r="E1634" s="1" t="s">
        <v>4086</v>
      </c>
      <c r="F1634" s="6" t="s">
        <v>132</v>
      </c>
      <c r="G1634" s="1" t="s">
        <v>4087</v>
      </c>
      <c r="H1634" s="1" t="s">
        <v>4088</v>
      </c>
      <c r="I1634" s="1" t="s">
        <v>4089</v>
      </c>
      <c r="J1634" s="6" t="s">
        <v>4090</v>
      </c>
      <c r="K1634" s="1" t="s">
        <v>33128</v>
      </c>
      <c r="L1634" s="1" t="s">
        <v>4092</v>
      </c>
      <c r="M1634" s="1" t="s">
        <v>4093</v>
      </c>
      <c r="N1634" s="6" t="s">
        <v>132</v>
      </c>
      <c r="O1634" s="6" t="s">
        <v>4094</v>
      </c>
      <c r="P1634" s="1" t="s">
        <v>4095</v>
      </c>
      <c r="Q1634" s="1" t="s">
        <v>4096</v>
      </c>
      <c r="R1634" s="1" t="s">
        <v>33129</v>
      </c>
      <c r="S1634" s="10" t="s">
        <v>4098</v>
      </c>
      <c r="T1634" s="1" t="s">
        <v>4099</v>
      </c>
      <c r="U1634" s="1" t="s">
        <v>4100</v>
      </c>
      <c r="V1634" s="1" t="s">
        <v>4101</v>
      </c>
      <c r="W1634" s="1" t="s">
        <v>4102</v>
      </c>
      <c r="X1634" s="1" t="s">
        <v>4088</v>
      </c>
      <c r="Y1634" s="1" t="s">
        <v>33130</v>
      </c>
      <c r="Z1634" s="1" t="s">
        <v>4104</v>
      </c>
      <c r="AA1634" s="1" t="s">
        <v>4105</v>
      </c>
      <c r="AB1634" s="1" t="s">
        <v>4106</v>
      </c>
      <c r="AC1634" s="1" t="s">
        <v>4087</v>
      </c>
      <c r="AD1634" s="6" t="s">
        <v>4107</v>
      </c>
      <c r="AE1634" s="1" t="s">
        <v>33131</v>
      </c>
      <c r="AF1634" s="1" t="s">
        <v>4109</v>
      </c>
      <c r="AG1634" s="6" t="s">
        <v>33132</v>
      </c>
      <c r="AH1634" s="1" t="s">
        <v>4111</v>
      </c>
      <c r="AI1634" s="6" t="s">
        <v>132</v>
      </c>
      <c r="AJ1634" s="6" t="s">
        <v>4112</v>
      </c>
      <c r="AK1634" s="1" t="s">
        <v>4099</v>
      </c>
      <c r="AL1634" s="6" t="s">
        <v>4113</v>
      </c>
    </row>
    <row r="1635" ht="15.75" hidden="1" customHeight="1">
      <c r="A1635" s="1" t="s">
        <v>38</v>
      </c>
      <c r="B1635" s="1" t="s">
        <v>33133</v>
      </c>
      <c r="C1635" s="1" t="s">
        <v>33134</v>
      </c>
      <c r="D1635" s="8" t="s">
        <v>33135</v>
      </c>
      <c r="E1635" s="1" t="s">
        <v>33136</v>
      </c>
      <c r="F1635" s="6" t="s">
        <v>33137</v>
      </c>
      <c r="G1635" s="7" t="str">
        <f>IFERROR(__xludf.DUMMYFUNCTION("GOOGLETRANSLATE(C1635, ""en"", ""cs"")"),"Udělení správy správy")</f>
        <v>Udělení správy správy</v>
      </c>
      <c r="H1635" s="7" t="str">
        <f>IFERROR(__xludf.DUMMYFUNCTION("GOOGLETRANSLATE(C1635, ""en"", ""da"")"),"Grant Admin Privileges.")</f>
        <v>Grant Admin Privileges.</v>
      </c>
      <c r="I1635" s="1" t="s">
        <v>33138</v>
      </c>
      <c r="J1635" s="6" t="s">
        <v>132</v>
      </c>
      <c r="K1635" s="1" t="s">
        <v>33139</v>
      </c>
      <c r="L1635" s="7" t="str">
        <f>IFERROR(__xludf.DUMMYFUNCTION("GOOGLETRANSLATE(C1635, ""en"", ""fi"")"),"Grant Admin Privileges")</f>
        <v>Grant Admin Privileges</v>
      </c>
      <c r="M1635" s="1" t="s">
        <v>33140</v>
      </c>
      <c r="N1635" s="6" t="s">
        <v>33141</v>
      </c>
      <c r="O1635" s="6" t="s">
        <v>132</v>
      </c>
      <c r="P1635" s="1" t="s">
        <v>33142</v>
      </c>
      <c r="Q1635" s="9" t="s">
        <v>33143</v>
      </c>
      <c r="R1635" s="1" t="s">
        <v>33144</v>
      </c>
      <c r="S1635" s="6" t="s">
        <v>132</v>
      </c>
      <c r="T1635" s="1" t="s">
        <v>33145</v>
      </c>
      <c r="U1635" s="1" t="s">
        <v>33146</v>
      </c>
      <c r="V1635" s="7" t="str">
        <f>IFERROR(__xludf.DUMMYFUNCTION("GOOGLETRANSLATE(C1635, ""en"", ""ms"")"),"Geran Keistimewaan Admin.")</f>
        <v>Geran Keistimewaan Admin.</v>
      </c>
      <c r="W1635" s="1" t="s">
        <v>33147</v>
      </c>
      <c r="X1635" s="7" t="str">
        <f>IFERROR(__xludf.DUMMYFUNCTION("GOOGLETRANSLATE(C1635, ""en"", ""no"")"),"Gi admin privilegier")</f>
        <v>Gi admin privilegier</v>
      </c>
      <c r="Y1635" s="1" t="s">
        <v>33148</v>
      </c>
      <c r="Z1635" s="1" t="s">
        <v>33149</v>
      </c>
      <c r="AA1635" s="7" t="str">
        <f>IFERROR(__xludf.DUMMYFUNCTION("GOOGLETRANSLATE(C1635, ""en"", ""ro"")"),"Grant privilegii de admin")</f>
        <v>Grant privilegii de admin</v>
      </c>
      <c r="AB1635" s="1" t="s">
        <v>33150</v>
      </c>
      <c r="AC1635" s="1" t="s">
        <v>33151</v>
      </c>
      <c r="AD1635" s="6" t="s">
        <v>132</v>
      </c>
      <c r="AE1635" s="1" t="s">
        <v>15544</v>
      </c>
      <c r="AF1635" s="1" t="s">
        <v>33152</v>
      </c>
      <c r="AG1635" s="6" t="s">
        <v>132</v>
      </c>
      <c r="AH1635" s="7" t="str">
        <f>IFERROR(__xludf.DUMMYFUNCTION("GOOGLETRANSLATE(C1635, ""en"", ""tr"")"),"Yönetici ayrıcalıkları")</f>
        <v>Yönetici ayrıcalıkları</v>
      </c>
      <c r="AI1635" s="6" t="s">
        <v>33153</v>
      </c>
      <c r="AJ1635" s="6" t="s">
        <v>33154</v>
      </c>
      <c r="AK1635" s="7" t="str">
        <f>IFERROR(__xludf.DUMMYFUNCTION("GOOGLETRANSLATE(C1635, ""en"", ""zh"")"),"授予管理员权限")</f>
        <v>授予管理员权限</v>
      </c>
      <c r="AL1635" s="6" t="s">
        <v>33155</v>
      </c>
    </row>
    <row r="1636" ht="15.75" customHeight="1">
      <c r="A1636" s="1" t="s">
        <v>127</v>
      </c>
      <c r="B1636" s="1" t="s">
        <v>33156</v>
      </c>
      <c r="C1636" s="1" t="s">
        <v>29641</v>
      </c>
      <c r="D1636" s="8" t="s">
        <v>33157</v>
      </c>
      <c r="E1636" s="1" t="s">
        <v>29643</v>
      </c>
      <c r="F1636" s="6" t="s">
        <v>132</v>
      </c>
      <c r="G1636" s="1" t="s">
        <v>29644</v>
      </c>
      <c r="H1636" s="1" t="s">
        <v>29645</v>
      </c>
      <c r="I1636" s="1" t="s">
        <v>29646</v>
      </c>
      <c r="J1636" s="6" t="s">
        <v>29647</v>
      </c>
      <c r="K1636" s="1" t="s">
        <v>29648</v>
      </c>
      <c r="L1636" s="1" t="s">
        <v>29649</v>
      </c>
      <c r="M1636" s="1" t="s">
        <v>29650</v>
      </c>
      <c r="N1636" s="6" t="s">
        <v>132</v>
      </c>
      <c r="O1636" s="6" t="s">
        <v>29651</v>
      </c>
      <c r="P1636" s="1" t="s">
        <v>11639</v>
      </c>
      <c r="Q1636" s="1" t="s">
        <v>864</v>
      </c>
      <c r="R1636" s="1" t="s">
        <v>29645</v>
      </c>
      <c r="S1636" s="10" t="s">
        <v>29652</v>
      </c>
      <c r="T1636" s="1" t="s">
        <v>867</v>
      </c>
      <c r="U1636" s="1" t="s">
        <v>868</v>
      </c>
      <c r="V1636" s="1" t="s">
        <v>869</v>
      </c>
      <c r="W1636" s="1" t="s">
        <v>29645</v>
      </c>
      <c r="X1636" s="1" t="s">
        <v>29645</v>
      </c>
      <c r="Y1636" s="1" t="s">
        <v>29653</v>
      </c>
      <c r="Z1636" s="1" t="s">
        <v>29654</v>
      </c>
      <c r="AA1636" s="1" t="s">
        <v>29655</v>
      </c>
      <c r="AB1636" s="1" t="s">
        <v>29656</v>
      </c>
      <c r="AC1636" s="1" t="s">
        <v>29657</v>
      </c>
      <c r="AD1636" s="6" t="s">
        <v>29645</v>
      </c>
      <c r="AE1636" s="1" t="s">
        <v>29645</v>
      </c>
      <c r="AF1636" s="1" t="s">
        <v>29645</v>
      </c>
      <c r="AG1636" s="6" t="s">
        <v>876</v>
      </c>
      <c r="AH1636" s="1" t="s">
        <v>12384</v>
      </c>
      <c r="AI1636" s="6" t="s">
        <v>132</v>
      </c>
      <c r="AJ1636" s="6" t="s">
        <v>878</v>
      </c>
      <c r="AK1636" s="1" t="s">
        <v>11642</v>
      </c>
      <c r="AL1636" s="6" t="s">
        <v>11643</v>
      </c>
    </row>
    <row r="1637" ht="15.75" customHeight="1">
      <c r="A1637" s="1" t="s">
        <v>127</v>
      </c>
      <c r="B1637" s="1" t="s">
        <v>33158</v>
      </c>
      <c r="C1637" s="1" t="s">
        <v>33159</v>
      </c>
      <c r="D1637" s="8" t="s">
        <v>33160</v>
      </c>
      <c r="E1637" s="1" t="s">
        <v>33161</v>
      </c>
      <c r="F1637" s="6" t="s">
        <v>132</v>
      </c>
      <c r="G1637" s="1" t="s">
        <v>33162</v>
      </c>
      <c r="H1637" s="1" t="s">
        <v>33163</v>
      </c>
      <c r="I1637" s="1" t="s">
        <v>33159</v>
      </c>
      <c r="J1637" s="6" t="s">
        <v>33164</v>
      </c>
      <c r="K1637" s="1" t="s">
        <v>33165</v>
      </c>
      <c r="L1637" s="1" t="s">
        <v>33166</v>
      </c>
      <c r="M1637" s="1" t="s">
        <v>33167</v>
      </c>
      <c r="N1637" s="6" t="s">
        <v>132</v>
      </c>
      <c r="O1637" s="6" t="s">
        <v>33168</v>
      </c>
      <c r="P1637" s="1" t="s">
        <v>33169</v>
      </c>
      <c r="Q1637" s="1" t="s">
        <v>33170</v>
      </c>
      <c r="R1637" s="1" t="s">
        <v>33159</v>
      </c>
      <c r="S1637" s="10" t="s">
        <v>33171</v>
      </c>
      <c r="T1637" s="1" t="s">
        <v>33172</v>
      </c>
      <c r="U1637" s="1" t="s">
        <v>33173</v>
      </c>
      <c r="V1637" s="1" t="s">
        <v>33174</v>
      </c>
      <c r="W1637" s="1" t="s">
        <v>33163</v>
      </c>
      <c r="X1637" s="1" t="s">
        <v>33163</v>
      </c>
      <c r="Y1637" s="1" t="s">
        <v>33175</v>
      </c>
      <c r="Z1637" s="1" t="s">
        <v>33176</v>
      </c>
      <c r="AA1637" s="1" t="s">
        <v>33177</v>
      </c>
      <c r="AB1637" s="1" t="s">
        <v>33161</v>
      </c>
      <c r="AC1637" s="1" t="s">
        <v>33178</v>
      </c>
      <c r="AD1637" s="6" t="s">
        <v>33179</v>
      </c>
      <c r="AE1637" s="1" t="s">
        <v>33159</v>
      </c>
      <c r="AF1637" s="1" t="s">
        <v>33159</v>
      </c>
      <c r="AG1637" s="6" t="s">
        <v>33180</v>
      </c>
      <c r="AH1637" s="1" t="s">
        <v>33181</v>
      </c>
      <c r="AI1637" s="6" t="s">
        <v>132</v>
      </c>
      <c r="AJ1637" s="6" t="s">
        <v>33182</v>
      </c>
      <c r="AK1637" s="1" t="s">
        <v>33183</v>
      </c>
      <c r="AL1637" s="6" t="s">
        <v>33184</v>
      </c>
    </row>
    <row r="1638" ht="15.75" customHeight="1">
      <c r="A1638" s="1" t="s">
        <v>127</v>
      </c>
      <c r="B1638" s="1" t="s">
        <v>33185</v>
      </c>
      <c r="C1638" s="1" t="s">
        <v>33186</v>
      </c>
      <c r="D1638" s="8" t="s">
        <v>33187</v>
      </c>
      <c r="E1638" s="1" t="s">
        <v>6501</v>
      </c>
      <c r="F1638" s="6" t="s">
        <v>132</v>
      </c>
      <c r="G1638" s="1" t="s">
        <v>33188</v>
      </c>
      <c r="H1638" s="1" t="s">
        <v>33189</v>
      </c>
      <c r="I1638" s="1" t="s">
        <v>33190</v>
      </c>
      <c r="J1638" s="6" t="s">
        <v>33191</v>
      </c>
      <c r="K1638" s="1" t="s">
        <v>6504</v>
      </c>
      <c r="L1638" s="1" t="s">
        <v>33192</v>
      </c>
      <c r="M1638" s="1" t="s">
        <v>6505</v>
      </c>
      <c r="N1638" s="6" t="s">
        <v>132</v>
      </c>
      <c r="O1638" s="6" t="s">
        <v>33193</v>
      </c>
      <c r="P1638" s="1" t="s">
        <v>6507</v>
      </c>
      <c r="Q1638" s="1" t="s">
        <v>33194</v>
      </c>
      <c r="R1638" s="1" t="s">
        <v>6509</v>
      </c>
      <c r="S1638" s="10" t="s">
        <v>33195</v>
      </c>
      <c r="T1638" s="1" t="s">
        <v>6510</v>
      </c>
      <c r="U1638" s="1" t="s">
        <v>6511</v>
      </c>
      <c r="V1638" s="1" t="s">
        <v>33194</v>
      </c>
      <c r="W1638" s="1" t="s">
        <v>6512</v>
      </c>
      <c r="X1638" s="1" t="s">
        <v>33189</v>
      </c>
      <c r="Y1638" s="1" t="s">
        <v>6513</v>
      </c>
      <c r="Z1638" s="1" t="s">
        <v>6514</v>
      </c>
      <c r="AA1638" s="1" t="s">
        <v>33196</v>
      </c>
      <c r="AB1638" s="1" t="s">
        <v>6515</v>
      </c>
      <c r="AC1638" s="1" t="s">
        <v>33197</v>
      </c>
      <c r="AD1638" s="6" t="s">
        <v>33198</v>
      </c>
      <c r="AE1638" s="1" t="s">
        <v>33199</v>
      </c>
      <c r="AF1638" s="1" t="s">
        <v>33200</v>
      </c>
      <c r="AG1638" s="6" t="s">
        <v>33201</v>
      </c>
      <c r="AH1638" s="1" t="s">
        <v>33202</v>
      </c>
      <c r="AI1638" s="6" t="s">
        <v>132</v>
      </c>
      <c r="AJ1638" s="6" t="s">
        <v>6519</v>
      </c>
      <c r="AK1638" s="1" t="s">
        <v>6520</v>
      </c>
      <c r="AL1638" s="6" t="s">
        <v>33203</v>
      </c>
    </row>
    <row r="1639" ht="15.75" customHeight="1">
      <c r="A1639" s="1" t="s">
        <v>127</v>
      </c>
      <c r="B1639" s="1" t="s">
        <v>33204</v>
      </c>
      <c r="C1639" s="1" t="s">
        <v>25892</v>
      </c>
      <c r="D1639" s="8" t="s">
        <v>25893</v>
      </c>
      <c r="E1639" s="1" t="s">
        <v>33205</v>
      </c>
      <c r="F1639" s="6" t="s">
        <v>132</v>
      </c>
      <c r="G1639" s="1" t="s">
        <v>25895</v>
      </c>
      <c r="H1639" s="1" t="s">
        <v>25896</v>
      </c>
      <c r="I1639" s="1" t="s">
        <v>33206</v>
      </c>
      <c r="J1639" s="6" t="s">
        <v>25898</v>
      </c>
      <c r="K1639" s="1" t="s">
        <v>25899</v>
      </c>
      <c r="L1639" s="1" t="s">
        <v>25900</v>
      </c>
      <c r="M1639" s="1" t="s">
        <v>25901</v>
      </c>
      <c r="N1639" s="6" t="s">
        <v>132</v>
      </c>
      <c r="O1639" s="6" t="s">
        <v>25902</v>
      </c>
      <c r="P1639" s="1" t="s">
        <v>33207</v>
      </c>
      <c r="Q1639" s="1" t="s">
        <v>25903</v>
      </c>
      <c r="R1639" s="1" t="s">
        <v>25904</v>
      </c>
      <c r="S1639" s="10" t="s">
        <v>25905</v>
      </c>
      <c r="T1639" s="1" t="s">
        <v>33208</v>
      </c>
      <c r="U1639" s="1" t="s">
        <v>25907</v>
      </c>
      <c r="V1639" s="1" t="s">
        <v>25903</v>
      </c>
      <c r="W1639" s="1" t="s">
        <v>33209</v>
      </c>
      <c r="X1639" s="1" t="s">
        <v>25909</v>
      </c>
      <c r="Y1639" s="1" t="s">
        <v>25910</v>
      </c>
      <c r="Z1639" s="1" t="s">
        <v>33210</v>
      </c>
      <c r="AA1639" s="1" t="s">
        <v>25912</v>
      </c>
      <c r="AB1639" s="1" t="s">
        <v>33211</v>
      </c>
      <c r="AC1639" s="1" t="s">
        <v>25914</v>
      </c>
      <c r="AD1639" s="6" t="s">
        <v>25915</v>
      </c>
      <c r="AE1639" s="1" t="s">
        <v>25916</v>
      </c>
      <c r="AF1639" s="1" t="s">
        <v>25917</v>
      </c>
      <c r="AG1639" s="6" t="s">
        <v>25918</v>
      </c>
      <c r="AH1639" s="1" t="s">
        <v>33212</v>
      </c>
      <c r="AI1639" s="6" t="s">
        <v>132</v>
      </c>
      <c r="AJ1639" s="6" t="s">
        <v>25920</v>
      </c>
      <c r="AK1639" s="1" t="s">
        <v>33213</v>
      </c>
      <c r="AL1639" s="6" t="s">
        <v>33214</v>
      </c>
    </row>
    <row r="1640" ht="15.75" customHeight="1">
      <c r="A1640" s="1" t="s">
        <v>127</v>
      </c>
      <c r="B1640" s="1" t="s">
        <v>33215</v>
      </c>
      <c r="C1640" s="1" t="s">
        <v>21637</v>
      </c>
      <c r="D1640" s="8" t="s">
        <v>21638</v>
      </c>
      <c r="E1640" s="1" t="s">
        <v>21639</v>
      </c>
      <c r="F1640" s="6" t="s">
        <v>132</v>
      </c>
      <c r="G1640" s="1" t="s">
        <v>21637</v>
      </c>
      <c r="H1640" s="1" t="s">
        <v>21637</v>
      </c>
      <c r="I1640" s="1" t="s">
        <v>21637</v>
      </c>
      <c r="J1640" s="6" t="s">
        <v>21640</v>
      </c>
      <c r="K1640" s="1" t="s">
        <v>21637</v>
      </c>
      <c r="L1640" s="1" t="s">
        <v>21641</v>
      </c>
      <c r="M1640" s="1" t="s">
        <v>21637</v>
      </c>
      <c r="N1640" s="6" t="s">
        <v>132</v>
      </c>
      <c r="O1640" s="6" t="s">
        <v>21642</v>
      </c>
      <c r="P1640" s="1" t="s">
        <v>21637</v>
      </c>
      <c r="Q1640" s="1" t="s">
        <v>21643</v>
      </c>
      <c r="R1640" s="1" t="s">
        <v>21637</v>
      </c>
      <c r="S1640" s="10" t="s">
        <v>21644</v>
      </c>
      <c r="T1640" s="1" t="s">
        <v>33216</v>
      </c>
      <c r="U1640" s="1" t="s">
        <v>21646</v>
      </c>
      <c r="V1640" s="1" t="s">
        <v>21647</v>
      </c>
      <c r="W1640" s="1" t="s">
        <v>21637</v>
      </c>
      <c r="X1640" s="1" t="s">
        <v>21648</v>
      </c>
      <c r="Y1640" s="1" t="s">
        <v>21637</v>
      </c>
      <c r="Z1640" s="1" t="s">
        <v>21637</v>
      </c>
      <c r="AA1640" s="1" t="s">
        <v>21637</v>
      </c>
      <c r="AB1640" s="1" t="s">
        <v>25084</v>
      </c>
      <c r="AC1640" s="1" t="s">
        <v>21650</v>
      </c>
      <c r="AD1640" s="6" t="s">
        <v>21651</v>
      </c>
      <c r="AE1640" s="1" t="s">
        <v>21637</v>
      </c>
      <c r="AF1640" s="1" t="s">
        <v>21637</v>
      </c>
      <c r="AG1640" s="6" t="s">
        <v>21652</v>
      </c>
      <c r="AH1640" s="1" t="s">
        <v>21653</v>
      </c>
      <c r="AI1640" s="6" t="s">
        <v>132</v>
      </c>
      <c r="AJ1640" s="6" t="s">
        <v>21654</v>
      </c>
      <c r="AK1640" s="1" t="s">
        <v>33217</v>
      </c>
      <c r="AL1640" s="6" t="s">
        <v>33218</v>
      </c>
    </row>
    <row r="1641" ht="15.75" hidden="1" customHeight="1">
      <c r="A1641" s="1" t="s">
        <v>38</v>
      </c>
      <c r="B1641" s="1" t="s">
        <v>33219</v>
      </c>
      <c r="C1641" s="1" t="s">
        <v>33220</v>
      </c>
      <c r="D1641" s="7" t="str">
        <f>IFERROR(__xludf.DUMMYFUNCTION("GOOGLETRANSLATE(C1641, ""en"", ""ar"")"),"\ u0020minutes غير متصل")</f>
        <v>\ u0020minutes غير متصل</v>
      </c>
      <c r="E1641" s="7" t="str">
        <f>IFERROR(__xludf.DUMMYFUNCTION("GOOGLETRANSLATE(C1641, ""en"", ""bg"")"),"u0020minutes офлайн. \ T")</f>
        <v>u0020minutes офлайн. \ T</v>
      </c>
      <c r="F1641" s="6" t="s">
        <v>132</v>
      </c>
      <c r="G1641" s="7" t="str">
        <f>IFERROR(__xludf.DUMMYFUNCTION("GOOGLETRANSLATE(C1641, ""en"", ""cs"")"),"U0020Minutes offline.")</f>
        <v>U0020Minutes offline.</v>
      </c>
      <c r="H1641" s="7" t="str">
        <f>IFERROR(__xludf.DUMMYFUNCTION("GOOGLETRANSLATE(C1641, ""en"", ""da"")"),"\ u0020minutes offline.")</f>
        <v>\ u0020minutes offline.</v>
      </c>
      <c r="I1641" s="1" t="s">
        <v>33221</v>
      </c>
      <c r="J1641" s="6" t="s">
        <v>132</v>
      </c>
      <c r="K1641" s="1" t="s">
        <v>33222</v>
      </c>
      <c r="L1641" s="7" t="str">
        <f>IFERROR(__xludf.DUMMYFUNCTION("GOOGLETRANSLATE(C1641, ""en"", ""fi"")"),"\ u0020Mines offline-tilassa")</f>
        <v>\ u0020Mines offline-tilassa</v>
      </c>
      <c r="M1641" s="1" t="s">
        <v>33223</v>
      </c>
      <c r="N1641" s="6" t="s">
        <v>132</v>
      </c>
      <c r="O1641" s="6" t="s">
        <v>132</v>
      </c>
      <c r="P1641" s="1" t="s">
        <v>33224</v>
      </c>
      <c r="Q1641" s="7" t="str">
        <f>IFERROR(__xludf.DUMMYFUNCTION("GOOGLETRANSLATE(C1641, ""en"", ""in"")"),"\ u0020minutes offline.")</f>
        <v>\ u0020minutes offline.</v>
      </c>
      <c r="R1641" s="7" t="str">
        <f>IFERROR(__xludf.DUMMYFUNCTION("GOOGLETRANSLATE(C1641, ""en"", ""it"")"),"\ u0020minutes offline.")</f>
        <v>\ u0020minutes offline.</v>
      </c>
      <c r="S1641" s="6" t="s">
        <v>132</v>
      </c>
      <c r="T1641" s="7" t="str">
        <f>IFERROR(__xludf.DUMMYFUNCTION("GOOGLETRANSLATE(C1641, ""en"", ""ja"")"),"\ u0020minutesオフライン")</f>
        <v>\ u0020minutesオフライン</v>
      </c>
      <c r="U1641" s="7" t="str">
        <f>IFERROR(__xludf.DUMMYFUNCTION("GOOGLETRANSLATE(C1641, ""en"", ""ko"")"),"\ U0020minutes 오프라인")</f>
        <v>\ U0020minutes 오프라인</v>
      </c>
      <c r="V1641" s="7" t="str">
        <f>IFERROR(__xludf.DUMMYFUNCTION("GOOGLETRANSLATE(C1641, ""en"", ""ms"")"),"\ u0020minutes offline.")</f>
        <v>\ u0020minutes offline.</v>
      </c>
      <c r="W1641" s="7" t="str">
        <f>IFERROR(__xludf.DUMMYFUNCTION("GOOGLETRANSLATE(C1641, ""en"", ""nl"")"),"\ u0020minutes offline")</f>
        <v>\ u0020minutes offline</v>
      </c>
      <c r="X1641" s="7" t="str">
        <f>IFERROR(__xludf.DUMMYFUNCTION("GOOGLETRANSLATE(C1641, ""en"", ""no"")"),"\ u0020minutes offline.")</f>
        <v>\ u0020minutes offline.</v>
      </c>
      <c r="Y1641" s="7" t="str">
        <f>IFERROR(__xludf.DUMMYFUNCTION("GOOGLETRANSLATE(C1641, ""en"", ""pl"")"),"U0020minutes Offline.")</f>
        <v>U0020minutes Offline.</v>
      </c>
      <c r="Z1641" s="7" t="str">
        <f>IFERROR(__xludf.DUMMYFUNCTION("GOOGLETRANSLATE(C1641, ""en"", ""pt"")"),"\ u0020minutes offline.")</f>
        <v>\ u0020minutes offline.</v>
      </c>
      <c r="AA1641" s="7" t="str">
        <f>IFERROR(__xludf.DUMMYFUNCTION("GOOGLETRANSLATE(C1641, ""en"", ""ro"")"),"\ u0020minute offline")</f>
        <v>\ u0020minute offline</v>
      </c>
      <c r="AB1641" s="1" t="s">
        <v>33225</v>
      </c>
      <c r="AC1641" s="7" t="str">
        <f>IFERROR(__xludf.DUMMYFUNCTION("GOOGLETRANSLATE(C1641, ""en"", ""sk"")"),"u0020Minutes offline")</f>
        <v>u0020Minutes offline</v>
      </c>
      <c r="AD1641" s="6" t="s">
        <v>132</v>
      </c>
      <c r="AE1641" s="1" t="s">
        <v>33226</v>
      </c>
      <c r="AF1641" s="7" t="str">
        <f>IFERROR(__xludf.DUMMYFUNCTION("GOOGLETRANSLATE(C1641, ""en"", ""sv"")"),"\ u0020minutes offline")</f>
        <v>\ u0020minutes offline</v>
      </c>
      <c r="AG1641" s="6" t="s">
        <v>132</v>
      </c>
      <c r="AH1641" s="7" t="str">
        <f>IFERROR(__xludf.DUMMYFUNCTION("GOOGLETRANSLATE(C1641, ""en"", ""tr"")"),"\ u0020mines çevrimdışı")</f>
        <v>\ u0020mines çevrimdışı</v>
      </c>
      <c r="AI1641" s="6" t="s">
        <v>132</v>
      </c>
      <c r="AJ1641" s="6" t="s">
        <v>132</v>
      </c>
      <c r="AK1641" s="7" t="str">
        <f>IFERROR(__xludf.DUMMYFUNCTION("GOOGLETRANSLATE(C1641, ""en"", ""zh"")"),"\ U0020minute离线")</f>
        <v>\ U0020minute离线</v>
      </c>
      <c r="AL1641" s="6" t="s">
        <v>132</v>
      </c>
    </row>
    <row r="1642" ht="15.75" customHeight="1">
      <c r="A1642" s="1" t="s">
        <v>127</v>
      </c>
      <c r="B1642" s="1" t="s">
        <v>33227</v>
      </c>
      <c r="C1642" s="1" t="s">
        <v>6246</v>
      </c>
      <c r="D1642" s="8" t="s">
        <v>33228</v>
      </c>
      <c r="E1642" s="1" t="s">
        <v>33229</v>
      </c>
      <c r="F1642" s="6" t="s">
        <v>132</v>
      </c>
      <c r="G1642" s="1" t="s">
        <v>6246</v>
      </c>
      <c r="H1642" s="1" t="s">
        <v>6246</v>
      </c>
      <c r="I1642" s="1" t="s">
        <v>6246</v>
      </c>
      <c r="J1642" s="6" t="s">
        <v>33230</v>
      </c>
      <c r="K1642" s="1" t="s">
        <v>6250</v>
      </c>
      <c r="L1642" s="1" t="s">
        <v>6246</v>
      </c>
      <c r="M1642" s="1" t="s">
        <v>6246</v>
      </c>
      <c r="N1642" s="6" t="s">
        <v>132</v>
      </c>
      <c r="O1642" s="6" t="s">
        <v>33231</v>
      </c>
      <c r="P1642" s="1" t="s">
        <v>6246</v>
      </c>
      <c r="Q1642" s="1" t="s">
        <v>6246</v>
      </c>
      <c r="R1642" s="1" t="s">
        <v>18995</v>
      </c>
      <c r="S1642" s="10" t="s">
        <v>33232</v>
      </c>
      <c r="T1642" s="1" t="s">
        <v>6253</v>
      </c>
      <c r="U1642" s="1" t="s">
        <v>6254</v>
      </c>
      <c r="V1642" s="1" t="s">
        <v>33233</v>
      </c>
      <c r="W1642" s="1" t="s">
        <v>6246</v>
      </c>
      <c r="X1642" s="1" t="s">
        <v>33234</v>
      </c>
      <c r="Y1642" s="1" t="s">
        <v>6246</v>
      </c>
      <c r="Z1642" s="1" t="s">
        <v>6246</v>
      </c>
      <c r="AA1642" s="1" t="s">
        <v>33235</v>
      </c>
      <c r="AB1642" s="1" t="s">
        <v>6256</v>
      </c>
      <c r="AC1642" s="1" t="s">
        <v>6246</v>
      </c>
      <c r="AD1642" s="6" t="s">
        <v>33236</v>
      </c>
      <c r="AE1642" s="1" t="s">
        <v>6246</v>
      </c>
      <c r="AF1642" s="1" t="s">
        <v>33237</v>
      </c>
      <c r="AG1642" s="6" t="s">
        <v>33238</v>
      </c>
      <c r="AH1642" s="1" t="s">
        <v>33239</v>
      </c>
      <c r="AI1642" s="6" t="s">
        <v>132</v>
      </c>
      <c r="AJ1642" s="6" t="s">
        <v>6259</v>
      </c>
      <c r="AK1642" s="1" t="s">
        <v>33240</v>
      </c>
      <c r="AL1642" s="6" t="s">
        <v>33241</v>
      </c>
    </row>
    <row r="1643" ht="15.75" customHeight="1">
      <c r="A1643" s="1" t="s">
        <v>127</v>
      </c>
      <c r="B1643" s="1" t="s">
        <v>33242</v>
      </c>
      <c r="C1643" s="1" t="s">
        <v>33243</v>
      </c>
      <c r="D1643" s="8" t="s">
        <v>33244</v>
      </c>
      <c r="E1643" s="1" t="s">
        <v>33245</v>
      </c>
      <c r="F1643" s="6" t="s">
        <v>132</v>
      </c>
      <c r="G1643" s="1" t="s">
        <v>33243</v>
      </c>
      <c r="H1643" s="1" t="s">
        <v>33243</v>
      </c>
      <c r="I1643" s="1" t="s">
        <v>33243</v>
      </c>
      <c r="J1643" s="6" t="s">
        <v>33246</v>
      </c>
      <c r="K1643" s="1" t="s">
        <v>33247</v>
      </c>
      <c r="L1643" s="1" t="s">
        <v>33243</v>
      </c>
      <c r="M1643" s="1" t="s">
        <v>33243</v>
      </c>
      <c r="N1643" s="6" t="s">
        <v>132</v>
      </c>
      <c r="O1643" s="6" t="s">
        <v>33248</v>
      </c>
      <c r="P1643" s="1" t="s">
        <v>33243</v>
      </c>
      <c r="Q1643" s="1" t="s">
        <v>33243</v>
      </c>
      <c r="R1643" s="1" t="s">
        <v>33243</v>
      </c>
      <c r="S1643" s="10" t="s">
        <v>33249</v>
      </c>
      <c r="T1643" s="1" t="s">
        <v>33250</v>
      </c>
      <c r="U1643" s="1" t="s">
        <v>33251</v>
      </c>
      <c r="V1643" s="1" t="s">
        <v>33243</v>
      </c>
      <c r="W1643" s="1" t="s">
        <v>33243</v>
      </c>
      <c r="X1643" s="1" t="s">
        <v>33243</v>
      </c>
      <c r="Y1643" s="1" t="s">
        <v>33243</v>
      </c>
      <c r="Z1643" s="1" t="s">
        <v>33243</v>
      </c>
      <c r="AA1643" s="1" t="s">
        <v>33243</v>
      </c>
      <c r="AB1643" s="1" t="s">
        <v>33252</v>
      </c>
      <c r="AC1643" s="1" t="s">
        <v>33243</v>
      </c>
      <c r="AD1643" s="6" t="s">
        <v>33247</v>
      </c>
      <c r="AE1643" s="1" t="s">
        <v>33243</v>
      </c>
      <c r="AF1643" s="1" t="s">
        <v>33243</v>
      </c>
      <c r="AG1643" s="6" t="s">
        <v>33253</v>
      </c>
      <c r="AH1643" s="1" t="s">
        <v>33247</v>
      </c>
      <c r="AI1643" s="6" t="s">
        <v>132</v>
      </c>
      <c r="AJ1643" s="6" t="s">
        <v>33243</v>
      </c>
      <c r="AK1643" s="1" t="s">
        <v>33243</v>
      </c>
      <c r="AL1643" s="6" t="s">
        <v>132</v>
      </c>
    </row>
    <row r="1644" ht="15.75" hidden="1" customHeight="1">
      <c r="A1644" s="1" t="s">
        <v>38</v>
      </c>
      <c r="B1644" s="1" t="s">
        <v>33254</v>
      </c>
      <c r="C1644" s="1" t="s">
        <v>33255</v>
      </c>
      <c r="D1644" s="8" t="s">
        <v>33256</v>
      </c>
      <c r="E1644" s="1" t="s">
        <v>33257</v>
      </c>
      <c r="F1644" s="6" t="s">
        <v>33258</v>
      </c>
      <c r="G1644" s="7" t="str">
        <f>IFERROR(__xludf.DUMMYFUNCTION("GOOGLETRANSLATE(C1644, ""en"", ""cs"")"),"Zeptejte se na aktualizace přítomnosti")</f>
        <v>Zeptejte se na aktualizace přítomnosti</v>
      </c>
      <c r="H1644" s="7" t="str">
        <f>IFERROR(__xludf.DUMMYFUNCTION("GOOGLETRANSLATE(C1644, ""en"", ""da"")"),"Bede om tilstedeværelsesopdateringer")</f>
        <v>Bede om tilstedeværelsesopdateringer</v>
      </c>
      <c r="I1644" s="1" t="s">
        <v>33259</v>
      </c>
      <c r="J1644" s="6" t="s">
        <v>132</v>
      </c>
      <c r="K1644" s="1" t="s">
        <v>33260</v>
      </c>
      <c r="L1644" s="7" t="str">
        <f>IFERROR(__xludf.DUMMYFUNCTION("GOOGLETRANSLATE(C1644, ""en"", ""fi"")"),"Kysy läsnäolopäivityksiä")</f>
        <v>Kysy läsnäolopäivityksiä</v>
      </c>
      <c r="M1644" s="1" t="s">
        <v>33261</v>
      </c>
      <c r="N1644" s="6" t="s">
        <v>33262</v>
      </c>
      <c r="O1644" s="6" t="s">
        <v>132</v>
      </c>
      <c r="P1644" s="1" t="s">
        <v>33263</v>
      </c>
      <c r="Q1644" s="9" t="s">
        <v>33264</v>
      </c>
      <c r="R1644" s="1" t="s">
        <v>33265</v>
      </c>
      <c r="S1644" s="6" t="s">
        <v>132</v>
      </c>
      <c r="T1644" s="1" t="s">
        <v>33266</v>
      </c>
      <c r="U1644" s="1" t="s">
        <v>33267</v>
      </c>
      <c r="V1644" s="7" t="str">
        <f>IFERROR(__xludf.DUMMYFUNCTION("GOOGLETRANSLATE(C1644, ""en"", ""ms"")"),"Minta kemas kini kehadiran")</f>
        <v>Minta kemas kini kehadiran</v>
      </c>
      <c r="W1644" s="1" t="s">
        <v>33268</v>
      </c>
      <c r="X1644" s="7" t="str">
        <f>IFERROR(__xludf.DUMMYFUNCTION("GOOGLETRANSLATE(C1644, ""en"", ""no"")"),"Be om tilstedeværelsesoppdateringer")</f>
        <v>Be om tilstedeværelsesoppdateringer</v>
      </c>
      <c r="Y1644" s="1" t="s">
        <v>33269</v>
      </c>
      <c r="Z1644" s="1" t="s">
        <v>33270</v>
      </c>
      <c r="AA1644" s="7" t="str">
        <f>IFERROR(__xludf.DUMMYFUNCTION("GOOGLETRANSLATE(C1644, ""en"", ""ro"")"),"Cereți actualizări de prezență")</f>
        <v>Cereți actualizări de prezență</v>
      </c>
      <c r="AB1644" s="1" t="s">
        <v>33271</v>
      </c>
      <c r="AC1644" s="1" t="s">
        <v>33272</v>
      </c>
      <c r="AD1644" s="6" t="s">
        <v>132</v>
      </c>
      <c r="AE1644" s="1" t="s">
        <v>33273</v>
      </c>
      <c r="AF1644" s="1" t="s">
        <v>33274</v>
      </c>
      <c r="AG1644" s="6" t="s">
        <v>132</v>
      </c>
      <c r="AH1644" s="7" t="str">
        <f>IFERROR(__xludf.DUMMYFUNCTION("GOOGLETRANSLATE(C1644, ""en"", ""tr"")"),"Varlık güncellemelerini isteyin")</f>
        <v>Varlık güncellemelerini isteyin</v>
      </c>
      <c r="AI1644" s="6" t="s">
        <v>33275</v>
      </c>
      <c r="AJ1644" s="6" t="s">
        <v>33276</v>
      </c>
      <c r="AK1644" s="7" t="str">
        <f>IFERROR(__xludf.DUMMYFUNCTION("GOOGLETRANSLATE(C1644, ""en"", ""zh"")"),"询问存在更新")</f>
        <v>询问存在更新</v>
      </c>
      <c r="AL1644" s="6" t="s">
        <v>33277</v>
      </c>
    </row>
    <row r="1645" ht="15.75" hidden="1" customHeight="1">
      <c r="A1645" s="1" t="s">
        <v>38</v>
      </c>
      <c r="B1645" s="1" t="s">
        <v>33278</v>
      </c>
      <c r="C1645" s="1" t="s">
        <v>33279</v>
      </c>
      <c r="D1645" s="7" t="str">
        <f>IFERROR(__xludf.DUMMYFUNCTION("GOOGLETRANSLATE(C1645, ""en"", ""ar"")"),"إريتريا")</f>
        <v>إريتريا</v>
      </c>
      <c r="E1645" s="7" t="str">
        <f>IFERROR(__xludf.DUMMYFUNCTION("GOOGLETRANSLATE(C1645, ""en"", ""bg"")"),"Еритрея")</f>
        <v>Еритрея</v>
      </c>
      <c r="F1645" s="6" t="s">
        <v>132</v>
      </c>
      <c r="G1645" s="7" t="str">
        <f>IFERROR(__xludf.DUMMYFUNCTION("GOOGLETRANSLATE(C1645, ""en"", ""cs"")"),"Eritrea.")</f>
        <v>Eritrea.</v>
      </c>
      <c r="H1645" s="7" t="str">
        <f>IFERROR(__xludf.DUMMYFUNCTION("GOOGLETRANSLATE(C1645, ""en"", ""da"")"),"Eritrea")</f>
        <v>Eritrea</v>
      </c>
      <c r="I1645" s="1" t="s">
        <v>33279</v>
      </c>
      <c r="J1645" s="6" t="s">
        <v>132</v>
      </c>
      <c r="K1645" s="1" t="s">
        <v>33279</v>
      </c>
      <c r="L1645" s="7" t="str">
        <f>IFERROR(__xludf.DUMMYFUNCTION("GOOGLETRANSLATE(C1645, ""en"", ""fi"")"),"Eritrea")</f>
        <v>Eritrea</v>
      </c>
      <c r="M1645" s="1" t="s">
        <v>33280</v>
      </c>
      <c r="N1645" s="6" t="s">
        <v>132</v>
      </c>
      <c r="O1645" s="6" t="s">
        <v>132</v>
      </c>
      <c r="P1645" s="1" t="s">
        <v>33279</v>
      </c>
      <c r="Q1645" s="7" t="str">
        <f>IFERROR(__xludf.DUMMYFUNCTION("GOOGLETRANSLATE(C1645, ""en"", ""in"")"),"Eritrea.")</f>
        <v>Eritrea.</v>
      </c>
      <c r="R1645" s="7" t="str">
        <f>IFERROR(__xludf.DUMMYFUNCTION("GOOGLETRANSLATE(C1645, ""en"", ""it"")"),"Eritrea.")</f>
        <v>Eritrea.</v>
      </c>
      <c r="S1645" s="6" t="s">
        <v>132</v>
      </c>
      <c r="T1645" s="7" t="str">
        <f>IFERROR(__xludf.DUMMYFUNCTION("GOOGLETRANSLATE(C1645, ""en"", ""ja"")"),"エリトリア")</f>
        <v>エリトリア</v>
      </c>
      <c r="U1645" s="7" t="str">
        <f>IFERROR(__xludf.DUMMYFUNCTION("GOOGLETRANSLATE(C1645, ""en"", ""ko"")"),"eritrea.")</f>
        <v>eritrea.</v>
      </c>
      <c r="V1645" s="7" t="str">
        <f>IFERROR(__xludf.DUMMYFUNCTION("GOOGLETRANSLATE(C1645, ""en"", ""ms"")"),"Eritrea.")</f>
        <v>Eritrea.</v>
      </c>
      <c r="W1645" s="7" t="str">
        <f>IFERROR(__xludf.DUMMYFUNCTION("GOOGLETRANSLATE(C1645, ""en"", ""nl"")"),"Eritrea")</f>
        <v>Eritrea</v>
      </c>
      <c r="X1645" s="7" t="str">
        <f>IFERROR(__xludf.DUMMYFUNCTION("GOOGLETRANSLATE(C1645, ""en"", ""no"")"),"Eritrea.")</f>
        <v>Eritrea.</v>
      </c>
      <c r="Y1645" s="7" t="str">
        <f>IFERROR(__xludf.DUMMYFUNCTION("GOOGLETRANSLATE(C1645, ""en"", ""pl"")"),"Erytrea.")</f>
        <v>Erytrea.</v>
      </c>
      <c r="Z1645" s="7" t="str">
        <f>IFERROR(__xludf.DUMMYFUNCTION("GOOGLETRANSLATE(C1645, ""en"", ""pt"")"),"Eritreia.")</f>
        <v>Eritreia.</v>
      </c>
      <c r="AA1645" s="7" t="str">
        <f>IFERROR(__xludf.DUMMYFUNCTION("GOOGLETRANSLATE(C1645, ""en"", ""ro"")"),"Eritreea")</f>
        <v>Eritreea</v>
      </c>
      <c r="AB1645" s="1" t="s">
        <v>33281</v>
      </c>
      <c r="AC1645" s="7" t="str">
        <f>IFERROR(__xludf.DUMMYFUNCTION("GOOGLETRANSLATE(C1645, ""en"", ""sk"")"),"Eritrea")</f>
        <v>Eritrea</v>
      </c>
      <c r="AD1645" s="6" t="s">
        <v>132</v>
      </c>
      <c r="AE1645" s="1" t="s">
        <v>33279</v>
      </c>
      <c r="AF1645" s="7" t="str">
        <f>IFERROR(__xludf.DUMMYFUNCTION("GOOGLETRANSLATE(C1645, ""en"", ""sv"")"),"Eritrea")</f>
        <v>Eritrea</v>
      </c>
      <c r="AG1645" s="6" t="s">
        <v>132</v>
      </c>
      <c r="AH1645" s="7" t="str">
        <f>IFERROR(__xludf.DUMMYFUNCTION("GOOGLETRANSLATE(C1645, ""en"", ""tr"")"),"Eritre")</f>
        <v>Eritre</v>
      </c>
      <c r="AI1645" s="6" t="s">
        <v>132</v>
      </c>
      <c r="AJ1645" s="6" t="s">
        <v>132</v>
      </c>
      <c r="AK1645" s="7" t="str">
        <f>IFERROR(__xludf.DUMMYFUNCTION("GOOGLETRANSLATE(C1645, ""en"", ""zh"")"),"厄立特里亚")</f>
        <v>厄立特里亚</v>
      </c>
      <c r="AL1645" s="6" t="s">
        <v>132</v>
      </c>
    </row>
    <row r="1646" ht="15.75" customHeight="1">
      <c r="A1646" s="1" t="s">
        <v>127</v>
      </c>
      <c r="B1646" s="1" t="s">
        <v>33282</v>
      </c>
      <c r="C1646" s="1" t="s">
        <v>538</v>
      </c>
      <c r="D1646" s="8" t="s">
        <v>539</v>
      </c>
      <c r="E1646" s="1" t="s">
        <v>540</v>
      </c>
      <c r="F1646" s="6" t="s">
        <v>132</v>
      </c>
      <c r="G1646" s="1" t="s">
        <v>541</v>
      </c>
      <c r="H1646" s="1" t="s">
        <v>538</v>
      </c>
      <c r="I1646" s="1" t="s">
        <v>538</v>
      </c>
      <c r="J1646" s="6" t="s">
        <v>538</v>
      </c>
      <c r="K1646" s="1" t="s">
        <v>538</v>
      </c>
      <c r="L1646" s="1" t="s">
        <v>538</v>
      </c>
      <c r="M1646" s="1" t="s">
        <v>538</v>
      </c>
      <c r="N1646" s="6" t="s">
        <v>132</v>
      </c>
      <c r="O1646" s="6" t="s">
        <v>544</v>
      </c>
      <c r="P1646" s="1" t="s">
        <v>33283</v>
      </c>
      <c r="Q1646" s="1" t="s">
        <v>33284</v>
      </c>
      <c r="R1646" s="1" t="s">
        <v>538</v>
      </c>
      <c r="S1646" s="10" t="s">
        <v>546</v>
      </c>
      <c r="T1646" s="1" t="s">
        <v>547</v>
      </c>
      <c r="U1646" s="1" t="s">
        <v>548</v>
      </c>
      <c r="V1646" s="1" t="s">
        <v>549</v>
      </c>
      <c r="W1646" s="1" t="s">
        <v>538</v>
      </c>
      <c r="X1646" s="1" t="s">
        <v>538</v>
      </c>
      <c r="Y1646" s="1" t="s">
        <v>538</v>
      </c>
      <c r="Z1646" s="1" t="s">
        <v>33285</v>
      </c>
      <c r="AA1646" s="1" t="s">
        <v>550</v>
      </c>
      <c r="AB1646" s="1" t="s">
        <v>551</v>
      </c>
      <c r="AC1646" s="1" t="s">
        <v>552</v>
      </c>
      <c r="AD1646" s="6" t="s">
        <v>553</v>
      </c>
      <c r="AE1646" s="1" t="s">
        <v>538</v>
      </c>
      <c r="AF1646" s="1" t="s">
        <v>538</v>
      </c>
      <c r="AG1646" s="6" t="s">
        <v>554</v>
      </c>
      <c r="AH1646" s="1" t="s">
        <v>33286</v>
      </c>
      <c r="AI1646" s="6" t="s">
        <v>132</v>
      </c>
      <c r="AJ1646" s="6" t="s">
        <v>556</v>
      </c>
      <c r="AK1646" s="1" t="s">
        <v>33287</v>
      </c>
      <c r="AL1646" s="6" t="s">
        <v>33288</v>
      </c>
    </row>
    <row r="1647" ht="15.75" customHeight="1">
      <c r="A1647" s="1" t="s">
        <v>127</v>
      </c>
      <c r="B1647" s="1" t="s">
        <v>33289</v>
      </c>
      <c r="C1647" s="1" t="s">
        <v>33290</v>
      </c>
      <c r="D1647" s="8" t="s">
        <v>33291</v>
      </c>
      <c r="E1647" s="1" t="s">
        <v>33292</v>
      </c>
      <c r="F1647" s="6" t="s">
        <v>132</v>
      </c>
      <c r="G1647" s="1" t="s">
        <v>33293</v>
      </c>
      <c r="H1647" s="1" t="s">
        <v>33294</v>
      </c>
      <c r="I1647" s="1" t="s">
        <v>33295</v>
      </c>
      <c r="J1647" s="6" t="s">
        <v>33296</v>
      </c>
      <c r="K1647" s="1" t="s">
        <v>33297</v>
      </c>
      <c r="L1647" s="1" t="s">
        <v>33298</v>
      </c>
      <c r="M1647" s="1" t="s">
        <v>33299</v>
      </c>
      <c r="N1647" s="6" t="s">
        <v>132</v>
      </c>
      <c r="O1647" s="6" t="s">
        <v>33300</v>
      </c>
      <c r="P1647" s="1" t="s">
        <v>33301</v>
      </c>
      <c r="Q1647" s="1" t="s">
        <v>33302</v>
      </c>
      <c r="R1647" s="1" t="s">
        <v>33303</v>
      </c>
      <c r="S1647" s="10" t="s">
        <v>33304</v>
      </c>
      <c r="T1647" s="1" t="s">
        <v>33305</v>
      </c>
      <c r="U1647" s="1" t="s">
        <v>33306</v>
      </c>
      <c r="V1647" s="1" t="s">
        <v>33307</v>
      </c>
      <c r="W1647" s="1" t="s">
        <v>33308</v>
      </c>
      <c r="X1647" s="1" t="s">
        <v>33294</v>
      </c>
      <c r="Y1647" s="1" t="s">
        <v>33309</v>
      </c>
      <c r="Z1647" s="1" t="s">
        <v>33310</v>
      </c>
      <c r="AA1647" s="1" t="s">
        <v>33311</v>
      </c>
      <c r="AB1647" s="1" t="s">
        <v>33312</v>
      </c>
      <c r="AC1647" s="1" t="s">
        <v>33313</v>
      </c>
      <c r="AD1647" s="6" t="s">
        <v>33314</v>
      </c>
      <c r="AE1647" s="1" t="s">
        <v>33315</v>
      </c>
      <c r="AF1647" s="1" t="s">
        <v>33316</v>
      </c>
      <c r="AG1647" s="6" t="s">
        <v>33317</v>
      </c>
      <c r="AH1647" s="1" t="s">
        <v>33318</v>
      </c>
      <c r="AI1647" s="6" t="s">
        <v>132</v>
      </c>
      <c r="AJ1647" s="6" t="s">
        <v>33319</v>
      </c>
      <c r="AK1647" s="1" t="s">
        <v>33320</v>
      </c>
      <c r="AL1647" s="6" t="s">
        <v>33321</v>
      </c>
    </row>
    <row r="1648" ht="15.75" hidden="1" customHeight="1">
      <c r="A1648" s="1" t="s">
        <v>38</v>
      </c>
      <c r="B1648" s="1" t="s">
        <v>33322</v>
      </c>
      <c r="C1648" s="1" t="s">
        <v>33323</v>
      </c>
      <c r="D1648" s="7" t="str">
        <f>IFERROR(__xludf.DUMMYFUNCTION("GOOGLETRANSLATE(C1648, ""en"", ""ar"")"),"إسرائيل")</f>
        <v>إسرائيل</v>
      </c>
      <c r="E1648" s="7" t="str">
        <f>IFERROR(__xludf.DUMMYFUNCTION("GOOGLETRANSLATE(C1648, ""en"", ""bg"")"),"Израел")</f>
        <v>Израел</v>
      </c>
      <c r="F1648" s="6" t="s">
        <v>132</v>
      </c>
      <c r="G1648" s="7" t="str">
        <f>IFERROR(__xludf.DUMMYFUNCTION("GOOGLETRANSLATE(C1648, ""en"", ""cs"")"),"Izrael")</f>
        <v>Izrael</v>
      </c>
      <c r="H1648" s="7" t="str">
        <f>IFERROR(__xludf.DUMMYFUNCTION("GOOGLETRANSLATE(C1648, ""en"", ""da"")"),"Israel.")</f>
        <v>Israel.</v>
      </c>
      <c r="I1648" s="1" t="s">
        <v>33323</v>
      </c>
      <c r="J1648" s="6" t="s">
        <v>132</v>
      </c>
      <c r="K1648" s="1" t="s">
        <v>33323</v>
      </c>
      <c r="L1648" s="7" t="str">
        <f>IFERROR(__xludf.DUMMYFUNCTION("GOOGLETRANSLATE(C1648, ""en"", ""fi"")"),"Israel")</f>
        <v>Israel</v>
      </c>
      <c r="M1648" s="1" t="s">
        <v>33324</v>
      </c>
      <c r="N1648" s="6" t="s">
        <v>132</v>
      </c>
      <c r="O1648" s="6" t="s">
        <v>132</v>
      </c>
      <c r="P1648" s="1" t="s">
        <v>33323</v>
      </c>
      <c r="Q1648" s="7" t="str">
        <f>IFERROR(__xludf.DUMMYFUNCTION("GOOGLETRANSLATE(C1648, ""en"", ""in"")"),"Israel")</f>
        <v>Israel</v>
      </c>
      <c r="R1648" s="7" t="str">
        <f>IFERROR(__xludf.DUMMYFUNCTION("GOOGLETRANSLATE(C1648, ""en"", ""it"")"),"Israele")</f>
        <v>Israele</v>
      </c>
      <c r="S1648" s="6" t="s">
        <v>132</v>
      </c>
      <c r="T1648" s="7" t="str">
        <f>IFERROR(__xludf.DUMMYFUNCTION("GOOGLETRANSLATE(C1648, ""en"", ""ja"")"),"イスラエル")</f>
        <v>イスラエル</v>
      </c>
      <c r="U1648" s="7" t="str">
        <f>IFERROR(__xludf.DUMMYFUNCTION("GOOGLETRANSLATE(C1648, ""en"", ""ko"")"),"이스라엘")</f>
        <v>이스라엘</v>
      </c>
      <c r="V1648" s="7" t="str">
        <f>IFERROR(__xludf.DUMMYFUNCTION("GOOGLETRANSLATE(C1648, ""en"", ""ms"")"),"Israel")</f>
        <v>Israel</v>
      </c>
      <c r="W1648" s="7" t="str">
        <f>IFERROR(__xludf.DUMMYFUNCTION("GOOGLETRANSLATE(C1648, ""en"", ""nl"")"),"Israël")</f>
        <v>Israël</v>
      </c>
      <c r="X1648" s="7" t="str">
        <f>IFERROR(__xludf.DUMMYFUNCTION("GOOGLETRANSLATE(C1648, ""en"", ""no"")"),"Israel")</f>
        <v>Israel</v>
      </c>
      <c r="Y1648" s="7" t="str">
        <f>IFERROR(__xludf.DUMMYFUNCTION("GOOGLETRANSLATE(C1648, ""en"", ""pl"")"),"Izrael")</f>
        <v>Izrael</v>
      </c>
      <c r="Z1648" s="7" t="str">
        <f>IFERROR(__xludf.DUMMYFUNCTION("GOOGLETRANSLATE(C1648, ""en"", ""pt"")"),"Israel")</f>
        <v>Israel</v>
      </c>
      <c r="AA1648" s="7" t="str">
        <f>IFERROR(__xludf.DUMMYFUNCTION("GOOGLETRANSLATE(C1648, ""en"", ""ro"")"),"Israelul")</f>
        <v>Israelul</v>
      </c>
      <c r="AB1648" s="1" t="s">
        <v>33325</v>
      </c>
      <c r="AC1648" s="7" t="str">
        <f>IFERROR(__xludf.DUMMYFUNCTION("GOOGLETRANSLATE(C1648, ""en"", ""sk"")"),"Izrael")</f>
        <v>Izrael</v>
      </c>
      <c r="AD1648" s="6" t="s">
        <v>132</v>
      </c>
      <c r="AE1648" s="1" t="s">
        <v>33326</v>
      </c>
      <c r="AF1648" s="7" t="str">
        <f>IFERROR(__xludf.DUMMYFUNCTION("GOOGLETRANSLATE(C1648, ""en"", ""sv"")"),"Israel")</f>
        <v>Israel</v>
      </c>
      <c r="AG1648" s="6" t="s">
        <v>132</v>
      </c>
      <c r="AH1648" s="7" t="str">
        <f>IFERROR(__xludf.DUMMYFUNCTION("GOOGLETRANSLATE(C1648, ""en"", ""tr"")"),"İsrail")</f>
        <v>İsrail</v>
      </c>
      <c r="AI1648" s="6" t="s">
        <v>132</v>
      </c>
      <c r="AJ1648" s="6" t="s">
        <v>132</v>
      </c>
      <c r="AK1648" s="7" t="str">
        <f>IFERROR(__xludf.DUMMYFUNCTION("GOOGLETRANSLATE(C1648, ""en"", ""zh"")"),"以色列")</f>
        <v>以色列</v>
      </c>
      <c r="AL1648" s="6" t="s">
        <v>132</v>
      </c>
    </row>
    <row r="1649" ht="15.75" hidden="1" customHeight="1">
      <c r="A1649" s="1" t="s">
        <v>38</v>
      </c>
      <c r="B1649" s="1" t="s">
        <v>33327</v>
      </c>
      <c r="C1649" s="1" t="s">
        <v>33328</v>
      </c>
      <c r="D1649" s="7" t="str">
        <f>IFERROR(__xludf.DUMMYFUNCTION("GOOGLETRANSLATE(C1649, ""en"", ""ar"")"),"سوف ترسل Quicksy رسالة SMS (قد يتم تطبيق رسوم الناقل) للتحقق من رقم هاتفك. أدخل رمز البلد ورقم الهاتف:")</f>
        <v>سوف ترسل Quicksy رسالة SMS (قد يتم تطبيق رسوم الناقل) للتحقق من رقم هاتفك. أدخل رمز البلد ورقم الهاتف:</v>
      </c>
      <c r="E1649" s="1" t="s">
        <v>33329</v>
      </c>
      <c r="F1649" s="6" t="s">
        <v>132</v>
      </c>
      <c r="G1649" s="7" t="str">
        <f>IFERROR(__xludf.DUMMYFUNCTION("GOOGLETRANSLATE(C1649, ""en"", ""cs"")"),"QuickSy pošle zprávu SMS (mohou platit poplatky za dopravce) pro ověření telefonního čísla. Zadejte kód své země a telefonní číslo:")</f>
        <v>QuickSy pošle zprávu SMS (mohou platit poplatky za dopravce) pro ověření telefonního čísla. Zadejte kód své země a telefonní číslo:</v>
      </c>
      <c r="H1649" s="7" t="str">
        <f>IFERROR(__xludf.DUMMYFUNCTION("GOOGLETRANSLATE(C1649, ""en"", ""da"")"),"Quicksy vil sende en SMS-besked (Carrier-afgifter kan forekomme) for at bekræfte dit telefonnummer. Indtast din landekode og telefonnummer:")</f>
        <v>Quicksy vil sende en SMS-besked (Carrier-afgifter kan forekomme) for at bekræfte dit telefonnummer. Indtast din landekode og telefonnummer:</v>
      </c>
      <c r="I1649" s="1" t="s">
        <v>33330</v>
      </c>
      <c r="J1649" s="6" t="s">
        <v>132</v>
      </c>
      <c r="K1649" s="1" t="s">
        <v>33331</v>
      </c>
      <c r="L1649" s="7" t="str">
        <f>IFERROR(__xludf.DUMMYFUNCTION("GOOGLETRANSLATE(C1649, ""en"", ""fi"")"),"QuickSy lähettää tekstiviestin (Carrier-maksut voidaan käyttää), jotta voit tarkistaa puhelinnumerosi. Anna maakoodi ja puhelinnumero:")</f>
        <v>QuickSy lähettää tekstiviestin (Carrier-maksut voidaan käyttää), jotta voit tarkistaa puhelinnumerosi. Anna maakoodi ja puhelinnumero:</v>
      </c>
      <c r="M1649" s="1" t="s">
        <v>33332</v>
      </c>
      <c r="N1649" s="6" t="s">
        <v>33333</v>
      </c>
      <c r="O1649" s="6" t="s">
        <v>132</v>
      </c>
      <c r="P1649" s="1" t="s">
        <v>33334</v>
      </c>
      <c r="Q1649" s="7" t="str">
        <f>IFERROR(__xludf.DUMMYFUNCTION("GOOGLETRANSLATE(C1649, ""en"", ""in"")"),"Quicksy akan mengirim pesan SMS (biaya operator mungkin berlaku) untuk memverifikasi nomor telepon Anda. Masukkan kode negara dan nomor telepon Anda:")</f>
        <v>Quicksy akan mengirim pesan SMS (biaya operator mungkin berlaku) untuk memverifikasi nomor telepon Anda. Masukkan kode negara dan nomor telepon Anda:</v>
      </c>
      <c r="R1649" s="1" t="s">
        <v>33335</v>
      </c>
      <c r="S1649" s="6" t="s">
        <v>132</v>
      </c>
      <c r="T1649" s="7" t="str">
        <f>IFERROR(__xludf.DUMMYFUNCTION("GOOGLETRANSLATE(C1649, ""en"", ""ja"")"),"Quicksyはあなたの電話番号を確認するためにSMSメッセージ（キャリア料金が適用されるかもしれない）を送ります。国コードと電話番号を入力してください。")</f>
        <v>Quicksyはあなたの電話番号を確認するためにSMSメッセージ（キャリア料金が適用されるかもしれない）を送ります。国コードと電話番号を入力してください。</v>
      </c>
      <c r="U1649" s="7" t="str">
        <f>IFERROR(__xludf.DUMMYFUNCTION("GOOGLETRANSLATE(C1649, ""en"", ""ko"")"),"QuickSy는 SMS 메시지 (캐리어 요금가 적용될 수 있음)를 보내려면 전화 번호를 확인합니다. 귀하의 국가 코드와 전화 번호를 입력하십시오 :")</f>
        <v>QuickSy는 SMS 메시지 (캐리어 요금가 적용될 수 있음)를 보내려면 전화 번호를 확인합니다. 귀하의 국가 코드와 전화 번호를 입력하십시오 :</v>
      </c>
      <c r="V1649" s="7" t="str">
        <f>IFERROR(__xludf.DUMMYFUNCTION("GOOGLETRANSLATE(C1649, ""en"", ""ms"")"),"Quicksy akan menghantar mesej SMS (caj pembawa mungkin dikenakan) untuk mengesahkan nombor telefon anda. Masukkan kod negara anda dan nombor telefon:")</f>
        <v>Quicksy akan menghantar mesej SMS (caj pembawa mungkin dikenakan) untuk mengesahkan nombor telefon anda. Masukkan kod negara anda dan nombor telefon:</v>
      </c>
      <c r="W1649" s="1" t="s">
        <v>33336</v>
      </c>
      <c r="X1649" s="7" t="str">
        <f>IFERROR(__xludf.DUMMYFUNCTION("GOOGLETRANSLATE(C1649, ""en"", ""no"")"),"Quicksy vil sende en SMS-melding (Carrier-avgifter kan gjelde) for å bekrefte telefonnummeret ditt. Skriv inn landskoden og telefonnummeret ditt:")</f>
        <v>Quicksy vil sende en SMS-melding (Carrier-avgifter kan gjelde) for å bekrefte telefonnummeret ditt. Skriv inn landskoden og telefonnummeret ditt:</v>
      </c>
      <c r="Y1649" s="1" t="s">
        <v>33337</v>
      </c>
      <c r="Z1649" s="7" t="str">
        <f>IFERROR(__xludf.DUMMYFUNCTION("GOOGLETRANSLATE(C1649, ""en"", ""pt"")"),"Quicksy enviará uma mensagem SMS (taxa de operadora pode ser aplicada) para verificar seu número de telefone. Digite seu código de país e número de telefone:")</f>
        <v>Quicksy enviará uma mensagem SMS (taxa de operadora pode ser aplicada) para verificar seu número de telefone. Digite seu código de país e número de telefone:</v>
      </c>
      <c r="AA1649" s="7" t="str">
        <f>IFERROR(__xludf.DUMMYFUNCTION("GOOGLETRANSLATE(C1649, ""en"", ""ro"")"),"Quicksy va trimite un mesaj SMS (se poate aplica taxe de transport) pentru a verifica numărul dvs. de telefon. Introduceți codul țării și numărul de telefon:")</f>
        <v>Quicksy va trimite un mesaj SMS (se poate aplica taxe de transport) pentru a verifica numărul dvs. de telefon. Introduceți codul țării și numărul de telefon:</v>
      </c>
      <c r="AB1649" s="7" t="str">
        <f>IFERROR(__xludf.DUMMYFUNCTION("GOOGLETRANSLATE(C1649, ""en"", ""ru"")"),"QuickSy отправит сообщение SMS (может применяться зарядные загрузки), чтобы подтвердить свой номер телефона. Введите свой код страны и номер телефона:")</f>
        <v>QuickSy отправит сообщение SMS (может применяться зарядные загрузки), чтобы подтвердить свой номер телефона. Введите свой код страны и номер телефона:</v>
      </c>
      <c r="AC1649" s="7" t="str">
        <f>IFERROR(__xludf.DUMMYFUNCTION("GOOGLETRANSLATE(C1649, ""en"", ""sk"")"),"Quicksy bude posielať SMS správu (obopájanie operácií) na overenie vášho telefónneho čísla. Zadajte kód krajiny a telefónne číslo:")</f>
        <v>Quicksy bude posielať SMS správu (obopájanie operácií) na overenie vášho telefónneho čísla. Zadajte kód krajiny a telefónne číslo:</v>
      </c>
      <c r="AD1649" s="6" t="s">
        <v>132</v>
      </c>
      <c r="AE1649" s="7" t="str">
        <f>IFERROR(__xludf.DUMMYFUNCTION("GOOGLETRANSLATE(C1649, ""en"", ""sr"")"),"Куицкси ће послати СМС поруку (могу се применити носаче) да би се потврдила ваш телефонски број. Унесите свој код државе и број телефона:")</f>
        <v>Куицкси ће послати СМС поруку (могу се применити носаче) да би се потврдила ваш телефонски број. Унесите свој код државе и број телефона:</v>
      </c>
      <c r="AF1649" s="7" t="str">
        <f>IFERROR(__xludf.DUMMYFUNCTION("GOOGLETRANSLATE(C1649, ""en"", ""sv"")"),"QUICKSY skickar ett SMS-meddelande (bäraravgifter kan gälla) för att verifiera ditt telefonnummer. Ange din landskod och telefonnummer:")</f>
        <v>QUICKSY skickar ett SMS-meddelande (bäraravgifter kan gälla) för att verifiera ditt telefonnummer. Ange din landskod och telefonnummer:</v>
      </c>
      <c r="AG1649" s="6" t="s">
        <v>132</v>
      </c>
      <c r="AH1649" s="7" t="str">
        <f>IFERROR(__xludf.DUMMYFUNCTION("GOOGLETRANSLATE(C1649, ""en"", ""tr"")"),"QuickSy, telefon numaranızı doğrulamak için bir SMS mesajı (taşıyıcı ücretleri geçerli olabilir) gönderecektir. ÜRÜN kodunuzu ve telefon numaranızı girin:")</f>
        <v>QuickSy, telefon numaranızı doğrulamak için bir SMS mesajı (taşıyıcı ücretleri geçerli olabilir) gönderecektir. ÜRÜN kodunuzu ve telefon numaranızı girin:</v>
      </c>
      <c r="AI1649" s="6" t="s">
        <v>132</v>
      </c>
      <c r="AJ1649" s="6" t="s">
        <v>132</v>
      </c>
      <c r="AK1649" s="7" t="str">
        <f>IFERROR(__xludf.DUMMYFUNCTION("GOOGLETRANSLATE(C1649, ""en"", ""zh"")"),"Quicksy将发送SMS消息（可能会应用运营商费用）以验证您的电话号码。输入您的国家/地区代码和电话号码：")</f>
        <v>Quicksy将发送SMS消息（可能会应用运营商费用）以验证您的电话号码。输入您的国家/地区代码和电话号码：</v>
      </c>
      <c r="AL1649" s="6" t="s">
        <v>132</v>
      </c>
    </row>
    <row r="1650" ht="15.75" hidden="1" customHeight="1">
      <c r="A1650" s="1" t="s">
        <v>11050</v>
      </c>
      <c r="B1650" s="1" t="s">
        <v>33338</v>
      </c>
      <c r="C1650" s="12" t="s">
        <v>132</v>
      </c>
      <c r="D1650" s="8" t="s">
        <v>33339</v>
      </c>
      <c r="E1650" s="1" t="s">
        <v>33340</v>
      </c>
      <c r="F1650" s="6" t="s">
        <v>132</v>
      </c>
      <c r="G1650" s="7" t="str">
        <f>IFERROR(__xludf.DUMMYFUNCTION("GOOGLETRANSLATE(C1650, ""en"", ""cs"")"),"#VALUE!")</f>
        <v>#VALUE!</v>
      </c>
      <c r="H1650" s="7" t="str">
        <f>IFERROR(__xludf.DUMMYFUNCTION("GOOGLETRANSLATE(C1650, ""en"", ""da"")"),"#VALUE!")</f>
        <v>#VALUE!</v>
      </c>
      <c r="I1650" s="7" t="str">
        <f>IFERROR(__xludf.DUMMYFUNCTION("GOOGLETRANSLATE(C1650, ""en"", ""de"")"),"#VALUE!")</f>
        <v>#VALUE!</v>
      </c>
      <c r="J1650" s="6" t="s">
        <v>132</v>
      </c>
      <c r="K1650" s="7" t="str">
        <f>IFERROR(__xludf.DUMMYFUNCTION("GOOGLETRANSLATE(C1650, ""en"", ""es"")"),"#VALUE!")</f>
        <v>#VALUE!</v>
      </c>
      <c r="L1650" s="7" t="str">
        <f>IFERROR(__xludf.DUMMYFUNCTION("GOOGLETRANSLATE(C1650, ""en"", ""fi"")"),"#VALUE!")</f>
        <v>#VALUE!</v>
      </c>
      <c r="M1650" s="7" t="str">
        <f>IFERROR(__xludf.DUMMYFUNCTION("GOOGLETRANSLATE(C1650, ""en"", ""fr"")"),"#VALUE!")</f>
        <v>#VALUE!</v>
      </c>
      <c r="N1650" s="6" t="s">
        <v>132</v>
      </c>
      <c r="O1650" s="6" t="s">
        <v>132</v>
      </c>
      <c r="P1650" s="7" t="str">
        <f>IFERROR(__xludf.DUMMYFUNCTION("GOOGLETRANSLATE(C1650, ""en"", ""hu"")"),"#VALUE!")</f>
        <v>#VALUE!</v>
      </c>
      <c r="Q1650" s="7" t="str">
        <f>IFERROR(__xludf.DUMMYFUNCTION("GOOGLETRANSLATE(C1650, ""en"", ""in"")"),"#VALUE!")</f>
        <v>#VALUE!</v>
      </c>
      <c r="R1650" s="7" t="str">
        <f>IFERROR(__xludf.DUMMYFUNCTION("GOOGLETRANSLATE(C1650, ""en"", ""it"")"),"#VALUE!")</f>
        <v>#VALUE!</v>
      </c>
      <c r="S1650" s="6" t="s">
        <v>132</v>
      </c>
      <c r="T1650" s="7" t="str">
        <f>IFERROR(__xludf.DUMMYFUNCTION("GOOGLETRANSLATE(C1650, ""en"", ""ja"")"),"#VALUE!")</f>
        <v>#VALUE!</v>
      </c>
      <c r="U1650" s="1" t="s">
        <v>33341</v>
      </c>
      <c r="V1650" s="7" t="str">
        <f>IFERROR(__xludf.DUMMYFUNCTION("GOOGLETRANSLATE(C1650, ""en"", ""ms"")"),"#VALUE!")</f>
        <v>#VALUE!</v>
      </c>
      <c r="W1650" s="7" t="str">
        <f>IFERROR(__xludf.DUMMYFUNCTION("GOOGLETRANSLATE(C1650, ""en"", ""nl"")"),"#VALUE!")</f>
        <v>#VALUE!</v>
      </c>
      <c r="X1650" s="7" t="str">
        <f>IFERROR(__xludf.DUMMYFUNCTION("GOOGLETRANSLATE(C1650, ""en"", ""no"")"),"#VALUE!")</f>
        <v>#VALUE!</v>
      </c>
      <c r="Y1650" s="7" t="str">
        <f>IFERROR(__xludf.DUMMYFUNCTION("GOOGLETRANSLATE(C1650, ""en"", ""pl"")"),"#VALUE!")</f>
        <v>#VALUE!</v>
      </c>
      <c r="Z1650" s="7" t="str">
        <f>IFERROR(__xludf.DUMMYFUNCTION("GOOGLETRANSLATE(C1650, ""en"", ""pt"")"),"#VALUE!")</f>
        <v>#VALUE!</v>
      </c>
      <c r="AA1650" s="7" t="str">
        <f>IFERROR(__xludf.DUMMYFUNCTION("GOOGLETRANSLATE(C1650, ""en"", ""ro"")"),"#VALUE!")</f>
        <v>#VALUE!</v>
      </c>
      <c r="AB1650" s="7" t="str">
        <f>IFERROR(__xludf.DUMMYFUNCTION("GOOGLETRANSLATE(C1650, ""en"", ""ru"")"),"#VALUE!")</f>
        <v>#VALUE!</v>
      </c>
      <c r="AC1650" s="7" t="str">
        <f>IFERROR(__xludf.DUMMYFUNCTION("GOOGLETRANSLATE(C1650, ""en"", ""sk"")"),"#VALUE!")</f>
        <v>#VALUE!</v>
      </c>
      <c r="AD1650" s="6" t="s">
        <v>132</v>
      </c>
      <c r="AE1650" s="7" t="str">
        <f>IFERROR(__xludf.DUMMYFUNCTION("GOOGLETRANSLATE(C1650, ""en"", ""sr"")"),"#VALUE!")</f>
        <v>#VALUE!</v>
      </c>
      <c r="AF1650" s="7" t="str">
        <f>IFERROR(__xludf.DUMMYFUNCTION("GOOGLETRANSLATE(C1650, ""en"", ""sv"")"),"#VALUE!")</f>
        <v>#VALUE!</v>
      </c>
      <c r="AG1650" s="6" t="s">
        <v>132</v>
      </c>
      <c r="AH1650" s="7" t="str">
        <f>IFERROR(__xludf.DUMMYFUNCTION("GOOGLETRANSLATE(C1650, ""en"", ""tr"")"),"#VALUE!")</f>
        <v>#VALUE!</v>
      </c>
      <c r="AI1650" s="6" t="s">
        <v>132</v>
      </c>
      <c r="AJ1650" s="6" t="s">
        <v>132</v>
      </c>
      <c r="AK1650" s="7" t="str">
        <f>IFERROR(__xludf.DUMMYFUNCTION("GOOGLETRANSLATE(C1650, ""en"", ""zh"")"),"#VALUE!")</f>
        <v>#VALUE!</v>
      </c>
      <c r="AL1650" s="6" t="s">
        <v>132</v>
      </c>
    </row>
    <row r="1651" ht="15.75" hidden="1" customHeight="1">
      <c r="A1651" s="1" t="s">
        <v>38</v>
      </c>
      <c r="B1651" s="1" t="s">
        <v>33342</v>
      </c>
      <c r="C1651" s="1" t="s">
        <v>31530</v>
      </c>
      <c r="D1651" s="8" t="s">
        <v>33343</v>
      </c>
      <c r="E1651" s="1" t="s">
        <v>31532</v>
      </c>
      <c r="F1651" s="6" t="s">
        <v>33344</v>
      </c>
      <c r="G1651" s="7" t="str">
        <f>IFERROR(__xludf.DUMMYFUNCTION("GOOGLETRANSLATE(C1651, ""en"", ""cs"")"),"Odstranit certifikáty")</f>
        <v>Odstranit certifikáty</v>
      </c>
      <c r="H1651" s="7" t="str">
        <f>IFERROR(__xludf.DUMMYFUNCTION("GOOGLETRANSLATE(C1651, ""en"", ""da"")"),"Fjern certifikater.")</f>
        <v>Fjern certifikater.</v>
      </c>
      <c r="I1651" s="1" t="s">
        <v>31534</v>
      </c>
      <c r="J1651" s="6" t="s">
        <v>132</v>
      </c>
      <c r="K1651" s="1" t="s">
        <v>31535</v>
      </c>
      <c r="L1651" s="7" t="str">
        <f>IFERROR(__xludf.DUMMYFUNCTION("GOOGLETRANSLATE(C1651, ""en"", ""fi"")"),"Poista varmenteet")</f>
        <v>Poista varmenteet</v>
      </c>
      <c r="M1651" s="1" t="s">
        <v>31536</v>
      </c>
      <c r="N1651" s="6" t="s">
        <v>31535</v>
      </c>
      <c r="O1651" s="6" t="s">
        <v>132</v>
      </c>
      <c r="P1651" s="1" t="s">
        <v>31537</v>
      </c>
      <c r="Q1651" s="9" t="s">
        <v>31538</v>
      </c>
      <c r="R1651" s="1" t="s">
        <v>31539</v>
      </c>
      <c r="S1651" s="6" t="s">
        <v>132</v>
      </c>
      <c r="T1651" s="1" t="s">
        <v>31540</v>
      </c>
      <c r="U1651" s="1" t="s">
        <v>31541</v>
      </c>
      <c r="V1651" s="7" t="str">
        <f>IFERROR(__xludf.DUMMYFUNCTION("GOOGLETRANSLATE(C1651, ""en"", ""ms"")"),"Keluarkan sijil")</f>
        <v>Keluarkan sijil</v>
      </c>
      <c r="W1651" s="1" t="s">
        <v>31542</v>
      </c>
      <c r="X1651" s="7" t="str">
        <f>IFERROR(__xludf.DUMMYFUNCTION("GOOGLETRANSLATE(C1651, ""en"", ""no"")"),"Fjern sertifikater")</f>
        <v>Fjern sertifikater</v>
      </c>
      <c r="Y1651" s="1" t="s">
        <v>31543</v>
      </c>
      <c r="Z1651" s="1" t="s">
        <v>31544</v>
      </c>
      <c r="AA1651" s="7" t="str">
        <f>IFERROR(__xludf.DUMMYFUNCTION("GOOGLETRANSLATE(C1651, ""en"", ""ro"")"),"Eliminați certificatele")</f>
        <v>Eliminați certificatele</v>
      </c>
      <c r="AB1651" s="1" t="s">
        <v>31545</v>
      </c>
      <c r="AC1651" s="1" t="s">
        <v>31546</v>
      </c>
      <c r="AD1651" s="6" t="s">
        <v>132</v>
      </c>
      <c r="AE1651" s="1" t="s">
        <v>33345</v>
      </c>
      <c r="AF1651" s="1" t="s">
        <v>31548</v>
      </c>
      <c r="AG1651" s="6" t="s">
        <v>132</v>
      </c>
      <c r="AH1651" s="7" t="str">
        <f>IFERROR(__xludf.DUMMYFUNCTION("GOOGLETRANSLATE(C1651, ""en"", ""tr"")"),"Sertifikaları kaldır")</f>
        <v>Sertifikaları kaldır</v>
      </c>
      <c r="AI1651" s="6" t="s">
        <v>31549</v>
      </c>
      <c r="AJ1651" s="6" t="s">
        <v>31550</v>
      </c>
      <c r="AK1651" s="7" t="str">
        <f>IFERROR(__xludf.DUMMYFUNCTION("GOOGLETRANSLATE(C1651, ""en"", ""zh"")"),"删除证书")</f>
        <v>删除证书</v>
      </c>
      <c r="AL1651" s="6" t="s">
        <v>31551</v>
      </c>
    </row>
    <row r="1652" ht="15.75" customHeight="1">
      <c r="A1652" s="1" t="s">
        <v>127</v>
      </c>
      <c r="B1652" s="1" t="s">
        <v>33346</v>
      </c>
      <c r="C1652" s="1" t="s">
        <v>33347</v>
      </c>
      <c r="D1652" s="8" t="s">
        <v>33348</v>
      </c>
      <c r="E1652" s="1" t="s">
        <v>33349</v>
      </c>
      <c r="F1652" s="6" t="s">
        <v>132</v>
      </c>
      <c r="G1652" s="1" t="s">
        <v>33350</v>
      </c>
      <c r="H1652" s="1" t="s">
        <v>33351</v>
      </c>
      <c r="I1652" s="1" t="s">
        <v>33352</v>
      </c>
      <c r="J1652" s="6" t="s">
        <v>33353</v>
      </c>
      <c r="K1652" s="1" t="s">
        <v>33354</v>
      </c>
      <c r="L1652" s="1" t="s">
        <v>33355</v>
      </c>
      <c r="M1652" s="1" t="s">
        <v>33356</v>
      </c>
      <c r="N1652" s="6" t="s">
        <v>132</v>
      </c>
      <c r="O1652" s="6" t="s">
        <v>33357</v>
      </c>
      <c r="P1652" s="1" t="s">
        <v>33358</v>
      </c>
      <c r="Q1652" s="1" t="s">
        <v>33359</v>
      </c>
      <c r="R1652" s="1" t="s">
        <v>33360</v>
      </c>
      <c r="S1652" s="10" t="s">
        <v>33361</v>
      </c>
      <c r="T1652" s="1" t="s">
        <v>33362</v>
      </c>
      <c r="U1652" s="1" t="s">
        <v>33363</v>
      </c>
      <c r="V1652" s="1" t="s">
        <v>33359</v>
      </c>
      <c r="W1652" s="1" t="s">
        <v>33364</v>
      </c>
      <c r="X1652" s="1" t="s">
        <v>33365</v>
      </c>
      <c r="Y1652" s="1" t="s">
        <v>33366</v>
      </c>
      <c r="Z1652" s="1" t="s">
        <v>33367</v>
      </c>
      <c r="AA1652" s="1" t="s">
        <v>33368</v>
      </c>
      <c r="AB1652" s="1" t="s">
        <v>33369</v>
      </c>
      <c r="AC1652" s="1" t="s">
        <v>33370</v>
      </c>
      <c r="AD1652" s="6" t="s">
        <v>33371</v>
      </c>
      <c r="AE1652" s="1" t="s">
        <v>33372</v>
      </c>
      <c r="AF1652" s="1" t="s">
        <v>33373</v>
      </c>
      <c r="AG1652" s="6" t="s">
        <v>33374</v>
      </c>
      <c r="AH1652" s="1" t="s">
        <v>33375</v>
      </c>
      <c r="AI1652" s="6" t="s">
        <v>132</v>
      </c>
      <c r="AJ1652" s="6" t="s">
        <v>33376</v>
      </c>
      <c r="AK1652" s="1" t="s">
        <v>33377</v>
      </c>
      <c r="AL1652" s="6" t="s">
        <v>132</v>
      </c>
    </row>
    <row r="1653" ht="15.75" hidden="1" customHeight="1">
      <c r="A1653" s="1" t="s">
        <v>38</v>
      </c>
      <c r="B1653" s="1" t="s">
        <v>33378</v>
      </c>
      <c r="C1653" s="1" t="s">
        <v>33379</v>
      </c>
      <c r="D1653" s="8" t="s">
        <v>33380</v>
      </c>
      <c r="E1653" s="1" t="s">
        <v>33381</v>
      </c>
      <c r="F1653" s="6" t="s">
        <v>33382</v>
      </c>
      <c r="G1653" s="7" t="str">
        <f>IFERROR(__xludf.DUMMYFUNCTION("GOOGLETRANSLATE(C1653, ""en"", ""cs"")"),"částečný")</f>
        <v>částečný</v>
      </c>
      <c r="H1653" s="7" t="str">
        <f>IFERROR(__xludf.DUMMYFUNCTION("GOOGLETRANSLATE(C1653, ""en"", ""da"")"),"delvis")</f>
        <v>delvis</v>
      </c>
      <c r="I1653" s="1" t="s">
        <v>33383</v>
      </c>
      <c r="J1653" s="6" t="s">
        <v>132</v>
      </c>
      <c r="K1653" s="1" t="s">
        <v>33384</v>
      </c>
      <c r="L1653" s="7" t="str">
        <f>IFERROR(__xludf.DUMMYFUNCTION("GOOGLETRANSLATE(C1653, ""en"", ""fi"")"),"osittainen")</f>
        <v>osittainen</v>
      </c>
      <c r="M1653" s="1" t="s">
        <v>33385</v>
      </c>
      <c r="N1653" s="6" t="s">
        <v>33382</v>
      </c>
      <c r="O1653" s="6" t="s">
        <v>132</v>
      </c>
      <c r="P1653" s="1" t="s">
        <v>33386</v>
      </c>
      <c r="Q1653" s="7" t="str">
        <f>IFERROR(__xludf.DUMMYFUNCTION("GOOGLETRANSLATE(C1653, ""en"", ""in"")"),"sebagian")</f>
        <v>sebagian</v>
      </c>
      <c r="R1653" s="1" t="s">
        <v>33387</v>
      </c>
      <c r="S1653" s="6" t="s">
        <v>132</v>
      </c>
      <c r="T1653" s="1" t="s">
        <v>33388</v>
      </c>
      <c r="U1653" s="7" t="str">
        <f>IFERROR(__xludf.DUMMYFUNCTION("GOOGLETRANSLATE(C1653, ""en"", ""ko"")"),"부분")</f>
        <v>부분</v>
      </c>
      <c r="V1653" s="7" t="str">
        <f>IFERROR(__xludf.DUMMYFUNCTION("GOOGLETRANSLATE(C1653, ""en"", ""ms"")"),"sebahagiannya")</f>
        <v>sebahagiannya</v>
      </c>
      <c r="W1653" s="1" t="s">
        <v>33389</v>
      </c>
      <c r="X1653" s="7" t="str">
        <f>IFERROR(__xludf.DUMMYFUNCTION("GOOGLETRANSLATE(C1653, ""en"", ""no"")"),"delvis")</f>
        <v>delvis</v>
      </c>
      <c r="Y1653" s="1" t="s">
        <v>33390</v>
      </c>
      <c r="Z1653" s="7" t="str">
        <f>IFERROR(__xludf.DUMMYFUNCTION("GOOGLETRANSLATE(C1653, ""en"", ""pt"")"),"parcial")</f>
        <v>parcial</v>
      </c>
      <c r="AA1653" s="7" t="str">
        <f>IFERROR(__xludf.DUMMYFUNCTION("GOOGLETRANSLATE(C1653, ""en"", ""ro"")"),"parțial")</f>
        <v>parțial</v>
      </c>
      <c r="AB1653" s="1" t="s">
        <v>33391</v>
      </c>
      <c r="AC1653" s="7" t="str">
        <f>IFERROR(__xludf.DUMMYFUNCTION("GOOGLETRANSLATE(C1653, ""en"", ""sk"")"),"čiastočný")</f>
        <v>čiastočný</v>
      </c>
      <c r="AD1653" s="6" t="s">
        <v>132</v>
      </c>
      <c r="AE1653" s="1" t="s">
        <v>33392</v>
      </c>
      <c r="AF1653" s="7" t="str">
        <f>IFERROR(__xludf.DUMMYFUNCTION("GOOGLETRANSLATE(C1653, ""en"", ""sv"")"),"partiell")</f>
        <v>partiell</v>
      </c>
      <c r="AG1653" s="6" t="s">
        <v>132</v>
      </c>
      <c r="AH1653" s="7" t="str">
        <f>IFERROR(__xludf.DUMMYFUNCTION("GOOGLETRANSLATE(C1653, ""en"", ""tr"")"),"kısmi")</f>
        <v>kısmi</v>
      </c>
      <c r="AI1653" s="6" t="s">
        <v>33393</v>
      </c>
      <c r="AJ1653" s="6" t="s">
        <v>132</v>
      </c>
      <c r="AK1653" s="7" t="str">
        <f>IFERROR(__xludf.DUMMYFUNCTION("GOOGLETRANSLATE(C1653, ""en"", ""zh"")"),"部分的")</f>
        <v>部分的</v>
      </c>
      <c r="AL1653" s="6" t="s">
        <v>132</v>
      </c>
    </row>
    <row r="1654" ht="15.75" hidden="1" customHeight="1">
      <c r="A1654" s="1" t="s">
        <v>38</v>
      </c>
      <c r="B1654" s="1" t="s">
        <v>33394</v>
      </c>
      <c r="C1654" s="1" t="s">
        <v>33395</v>
      </c>
      <c r="D1654" s="8" t="s">
        <v>33396</v>
      </c>
      <c r="E1654" s="1" t="s">
        <v>33397</v>
      </c>
      <c r="F1654" s="6" t="s">
        <v>33398</v>
      </c>
      <c r="G1654" s="7" t="str">
        <f>IFERROR(__xludf.DUMMYFUNCTION("GOOGLETRANSLATE(C1654, ""en"", ""cs"")"),"Jednou")</f>
        <v>Jednou</v>
      </c>
      <c r="H1654" s="7" t="str">
        <f>IFERROR(__xludf.DUMMYFUNCTION("GOOGLETRANSLATE(C1654, ""en"", ""da"")"),"Enkelt gang")</f>
        <v>Enkelt gang</v>
      </c>
      <c r="I1654" s="1" t="s">
        <v>33399</v>
      </c>
      <c r="J1654" s="6" t="s">
        <v>132</v>
      </c>
      <c r="K1654" s="1" t="s">
        <v>33400</v>
      </c>
      <c r="L1654" s="7" t="str">
        <f>IFERROR(__xludf.DUMMYFUNCTION("GOOGLETRANSLATE(C1654, ""en"", ""fi"")"),"Kerran")</f>
        <v>Kerran</v>
      </c>
      <c r="M1654" s="1" t="s">
        <v>33401</v>
      </c>
      <c r="N1654" s="6" t="s">
        <v>33402</v>
      </c>
      <c r="O1654" s="6" t="s">
        <v>132</v>
      </c>
      <c r="P1654" s="1" t="s">
        <v>33403</v>
      </c>
      <c r="Q1654" s="7" t="str">
        <f>IFERROR(__xludf.DUMMYFUNCTION("GOOGLETRANSLATE(C1654, ""en"", ""in"")"),"Sekali")</f>
        <v>Sekali</v>
      </c>
      <c r="R1654" s="1" t="s">
        <v>33404</v>
      </c>
      <c r="S1654" s="6" t="s">
        <v>132</v>
      </c>
      <c r="T1654" s="7" t="str">
        <f>IFERROR(__xludf.DUMMYFUNCTION("GOOGLETRANSLATE(C1654, ""en"", ""ja"")"),"一度")</f>
        <v>一度</v>
      </c>
      <c r="U1654" s="7" t="str">
        <f>IFERROR(__xludf.DUMMYFUNCTION("GOOGLETRANSLATE(C1654, ""en"", ""ko"")"),"한번")</f>
        <v>한번</v>
      </c>
      <c r="V1654" s="7" t="str">
        <f>IFERROR(__xludf.DUMMYFUNCTION("GOOGLETRANSLATE(C1654, ""en"", ""ms"")"),"Sekali")</f>
        <v>Sekali</v>
      </c>
      <c r="W1654" s="1" t="s">
        <v>33405</v>
      </c>
      <c r="X1654" s="7" t="str">
        <f>IFERROR(__xludf.DUMMYFUNCTION("GOOGLETRANSLATE(C1654, ""en"", ""no"")"),"En gang")</f>
        <v>En gang</v>
      </c>
      <c r="Y1654" s="1" t="s">
        <v>33406</v>
      </c>
      <c r="Z1654" s="7" t="str">
        <f>IFERROR(__xludf.DUMMYFUNCTION("GOOGLETRANSLATE(C1654, ""en"", ""pt"")"),"Uma vez")</f>
        <v>Uma vez</v>
      </c>
      <c r="AA1654" s="7" t="str">
        <f>IFERROR(__xludf.DUMMYFUNCTION("GOOGLETRANSLATE(C1654, ""en"", ""ro"")"),"O singura data")</f>
        <v>O singura data</v>
      </c>
      <c r="AB1654" s="7" t="str">
        <f>IFERROR(__xludf.DUMMYFUNCTION("GOOGLETRANSLATE(C1654, ""en"", ""ru"")"),"Один раз")</f>
        <v>Один раз</v>
      </c>
      <c r="AC1654" s="7" t="str">
        <f>IFERROR(__xludf.DUMMYFUNCTION("GOOGLETRANSLATE(C1654, ""en"", ""sk"")"),"Raz")</f>
        <v>Raz</v>
      </c>
      <c r="AD1654" s="6" t="s">
        <v>132</v>
      </c>
      <c r="AE1654" s="7" t="str">
        <f>IFERROR(__xludf.DUMMYFUNCTION("GOOGLETRANSLATE(C1654, ""en"", ""sr"")"),"Једном")</f>
        <v>Једном</v>
      </c>
      <c r="AF1654" s="7" t="str">
        <f>IFERROR(__xludf.DUMMYFUNCTION("GOOGLETRANSLATE(C1654, ""en"", ""sv"")"),"En gång")</f>
        <v>En gång</v>
      </c>
      <c r="AG1654" s="6" t="s">
        <v>132</v>
      </c>
      <c r="AH1654" s="7" t="str">
        <f>IFERROR(__xludf.DUMMYFUNCTION("GOOGLETRANSLATE(C1654, ""en"", ""tr"")"),"bir Zamanlar")</f>
        <v>bir Zamanlar</v>
      </c>
      <c r="AI1654" s="6" t="s">
        <v>132</v>
      </c>
      <c r="AJ1654" s="6" t="s">
        <v>132</v>
      </c>
      <c r="AK1654" s="7" t="str">
        <f>IFERROR(__xludf.DUMMYFUNCTION("GOOGLETRANSLATE(C1654, ""en"", ""zh"")"),"一次")</f>
        <v>一次</v>
      </c>
      <c r="AL1654" s="6" t="s">
        <v>132</v>
      </c>
    </row>
    <row r="1655" ht="15.75" hidden="1" customHeight="1">
      <c r="A1655" s="1" t="s">
        <v>38</v>
      </c>
      <c r="B1655" s="1" t="s">
        <v>33407</v>
      </c>
      <c r="C1655" s="1" t="s">
        <v>33408</v>
      </c>
      <c r="D1655" s="8" t="s">
        <v>33409</v>
      </c>
      <c r="E1655" s="1" t="s">
        <v>33410</v>
      </c>
      <c r="F1655" s="6" t="s">
        <v>33411</v>
      </c>
      <c r="G1655" s="7" t="str">
        <f>IFERROR(__xludf.DUMMYFUNCTION("GOOGLETRANSLATE(C1655, ""en"", ""cs"")"),"Zakázat všechny účty")</f>
        <v>Zakázat všechny účty</v>
      </c>
      <c r="H1655" s="7" t="str">
        <f>IFERROR(__xludf.DUMMYFUNCTION("GOOGLETRANSLATE(C1655, ""en"", ""da"")"),"Deaktiver alle konti")</f>
        <v>Deaktiver alle konti</v>
      </c>
      <c r="I1655" s="1" t="s">
        <v>33412</v>
      </c>
      <c r="J1655" s="6" t="s">
        <v>132</v>
      </c>
      <c r="K1655" s="1" t="s">
        <v>33413</v>
      </c>
      <c r="L1655" s="7" t="str">
        <f>IFERROR(__xludf.DUMMYFUNCTION("GOOGLETRANSLATE(C1655, ""en"", ""fi"")"),"Poista kaikki tilit käytöstä")</f>
        <v>Poista kaikki tilit käytöstä</v>
      </c>
      <c r="M1655" s="1" t="s">
        <v>33414</v>
      </c>
      <c r="N1655" s="6" t="s">
        <v>33415</v>
      </c>
      <c r="O1655" s="6" t="s">
        <v>132</v>
      </c>
      <c r="P1655" s="1" t="s">
        <v>33416</v>
      </c>
      <c r="Q1655" s="9" t="s">
        <v>33417</v>
      </c>
      <c r="R1655" s="1" t="s">
        <v>33418</v>
      </c>
      <c r="S1655" s="6" t="s">
        <v>132</v>
      </c>
      <c r="T1655" s="1" t="s">
        <v>33419</v>
      </c>
      <c r="U1655" s="1" t="s">
        <v>33420</v>
      </c>
      <c r="V1655" s="7" t="str">
        <f>IFERROR(__xludf.DUMMYFUNCTION("GOOGLETRANSLATE(C1655, ""en"", ""ms"")"),"Lumpuhkan semua akaun")</f>
        <v>Lumpuhkan semua akaun</v>
      </c>
      <c r="W1655" s="1" t="s">
        <v>33421</v>
      </c>
      <c r="X1655" s="7" t="str">
        <f>IFERROR(__xludf.DUMMYFUNCTION("GOOGLETRANSLATE(C1655, ""en"", ""no"")"),"Deaktiver alle kontoer")</f>
        <v>Deaktiver alle kontoer</v>
      </c>
      <c r="Y1655" s="1" t="s">
        <v>33422</v>
      </c>
      <c r="Z1655" s="1" t="s">
        <v>33423</v>
      </c>
      <c r="AA1655" s="7" t="str">
        <f>IFERROR(__xludf.DUMMYFUNCTION("GOOGLETRANSLATE(C1655, ""en"", ""ro"")"),"Dezactivați toate conturile")</f>
        <v>Dezactivați toate conturile</v>
      </c>
      <c r="AB1655" s="1" t="s">
        <v>33424</v>
      </c>
      <c r="AC1655" s="1" t="s">
        <v>33425</v>
      </c>
      <c r="AD1655" s="6" t="s">
        <v>132</v>
      </c>
      <c r="AE1655" s="1" t="s">
        <v>33426</v>
      </c>
      <c r="AF1655" s="1" t="s">
        <v>33427</v>
      </c>
      <c r="AG1655" s="6" t="s">
        <v>132</v>
      </c>
      <c r="AH1655" s="7" t="str">
        <f>IFERROR(__xludf.DUMMYFUNCTION("GOOGLETRANSLATE(C1655, ""en"", ""tr"")"),"Tüm hesapları devre dışı bırak")</f>
        <v>Tüm hesapları devre dışı bırak</v>
      </c>
      <c r="AI1655" s="6" t="s">
        <v>33428</v>
      </c>
      <c r="AJ1655" s="6" t="s">
        <v>33429</v>
      </c>
      <c r="AK1655" s="7" t="str">
        <f>IFERROR(__xludf.DUMMYFUNCTION("GOOGLETRANSLATE(C1655, ""en"", ""zh"")"),"禁用所有帐户")</f>
        <v>禁用所有帐户</v>
      </c>
      <c r="AL1655" s="6" t="s">
        <v>33430</v>
      </c>
    </row>
    <row r="1656" ht="15.75" hidden="1" customHeight="1">
      <c r="A1656" s="1" t="s">
        <v>38</v>
      </c>
      <c r="B1656" s="1" t="s">
        <v>33431</v>
      </c>
      <c r="C1656" s="1" t="s">
        <v>33432</v>
      </c>
      <c r="D1656" s="7" t="str">
        <f>IFERROR(__xludf.DUMMYFUNCTION("GOOGLETRANSLATE(C1656, ""en"", ""ar"")"),"رمز البلد غير صالح")</f>
        <v>رمز البلد غير صالح</v>
      </c>
      <c r="E1656" s="1" t="s">
        <v>33433</v>
      </c>
      <c r="F1656" s="6" t="s">
        <v>132</v>
      </c>
      <c r="G1656" s="7" t="str">
        <f>IFERROR(__xludf.DUMMYFUNCTION("GOOGLETRANSLATE(C1656, ""en"", ""cs"")"),"Neplatný kód země")</f>
        <v>Neplatný kód země</v>
      </c>
      <c r="H1656" s="7" t="str">
        <f>IFERROR(__xludf.DUMMYFUNCTION("GOOGLETRANSLATE(C1656, ""en"", ""da"")"),"Ugyldig landekode")</f>
        <v>Ugyldig landekode</v>
      </c>
      <c r="I1656" s="1" t="s">
        <v>33434</v>
      </c>
      <c r="J1656" s="6" t="s">
        <v>132</v>
      </c>
      <c r="K1656" s="1" t="s">
        <v>33435</v>
      </c>
      <c r="L1656" s="7" t="str">
        <f>IFERROR(__xludf.DUMMYFUNCTION("GOOGLETRANSLATE(C1656, ""en"", ""fi"")"),"Virheellinen maakoodi")</f>
        <v>Virheellinen maakoodi</v>
      </c>
      <c r="M1656" s="1" t="s">
        <v>33436</v>
      </c>
      <c r="N1656" s="6" t="s">
        <v>33437</v>
      </c>
      <c r="O1656" s="6" t="s">
        <v>132</v>
      </c>
      <c r="P1656" s="1" t="s">
        <v>33438</v>
      </c>
      <c r="Q1656" s="7" t="str">
        <f>IFERROR(__xludf.DUMMYFUNCTION("GOOGLETRANSLATE(C1656, ""en"", ""in"")"),"Kode negara tidak valid.")</f>
        <v>Kode negara tidak valid.</v>
      </c>
      <c r="R1656" s="1" t="s">
        <v>33439</v>
      </c>
      <c r="S1656" s="6" t="s">
        <v>132</v>
      </c>
      <c r="T1656" s="7" t="str">
        <f>IFERROR(__xludf.DUMMYFUNCTION("GOOGLETRANSLATE(C1656, ""en"", ""ja"")"),"無効な国番号")</f>
        <v>無効な国番号</v>
      </c>
      <c r="U1656" s="7" t="str">
        <f>IFERROR(__xludf.DUMMYFUNCTION("GOOGLETRANSLATE(C1656, ""en"", ""ko"")"),"유효하지 않은 국가 코드")</f>
        <v>유효하지 않은 국가 코드</v>
      </c>
      <c r="V1656" s="7" t="str">
        <f>IFERROR(__xludf.DUMMYFUNCTION("GOOGLETRANSLATE(C1656, ""en"", ""ms"")"),"Kod Negara Tidak Sah.")</f>
        <v>Kod Negara Tidak Sah.</v>
      </c>
      <c r="W1656" s="1" t="s">
        <v>33440</v>
      </c>
      <c r="X1656" s="7" t="str">
        <f>IFERROR(__xludf.DUMMYFUNCTION("GOOGLETRANSLATE(C1656, ""en"", ""no"")"),"Ugyldig landskode")</f>
        <v>Ugyldig landskode</v>
      </c>
      <c r="Y1656" s="1" t="s">
        <v>33441</v>
      </c>
      <c r="Z1656" s="7" t="str">
        <f>IFERROR(__xludf.DUMMYFUNCTION("GOOGLETRANSLATE(C1656, ""en"", ""pt"")"),"Código do país inválido")</f>
        <v>Código do país inválido</v>
      </c>
      <c r="AA1656" s="7" t="str">
        <f>IFERROR(__xludf.DUMMYFUNCTION("GOOGLETRANSLATE(C1656, ""en"", ""ro"")"),"Codul țării nevalide")</f>
        <v>Codul țării nevalide</v>
      </c>
      <c r="AB1656" s="7" t="str">
        <f>IFERROR(__xludf.DUMMYFUNCTION("GOOGLETRANSLATE(C1656, ""en"", ""ru"")"),"Неверный код страны")</f>
        <v>Неверный код страны</v>
      </c>
      <c r="AC1656" s="7" t="str">
        <f>IFERROR(__xludf.DUMMYFUNCTION("GOOGLETRANSLATE(C1656, ""en"", ""sk"")"),"Neplatný kód krajiny")</f>
        <v>Neplatný kód krajiny</v>
      </c>
      <c r="AD1656" s="6" t="s">
        <v>132</v>
      </c>
      <c r="AE1656" s="7" t="str">
        <f>IFERROR(__xludf.DUMMYFUNCTION("GOOGLETRANSLATE(C1656, ""en"", ""sr"")"),"Неважећи код државе")</f>
        <v>Неважећи код државе</v>
      </c>
      <c r="AF1656" s="7" t="str">
        <f>IFERROR(__xludf.DUMMYFUNCTION("GOOGLETRANSLATE(C1656, ""en"", ""sv"")"),"Ogiltig landskod")</f>
        <v>Ogiltig landskod</v>
      </c>
      <c r="AG1656" s="6" t="s">
        <v>132</v>
      </c>
      <c r="AH1656" s="7" t="str">
        <f>IFERROR(__xludf.DUMMYFUNCTION("GOOGLETRANSLATE(C1656, ""en"", ""tr"")"),"Geçersiz ülke kodu")</f>
        <v>Geçersiz ülke kodu</v>
      </c>
      <c r="AI1656" s="6" t="s">
        <v>132</v>
      </c>
      <c r="AJ1656" s="6" t="s">
        <v>132</v>
      </c>
      <c r="AK1656" s="7" t="str">
        <f>IFERROR(__xludf.DUMMYFUNCTION("GOOGLETRANSLATE(C1656, ""en"", ""zh"")"),"国家代码无效")</f>
        <v>国家代码无效</v>
      </c>
      <c r="AL1656" s="6" t="s">
        <v>132</v>
      </c>
    </row>
    <row r="1657" ht="15.75" customHeight="1">
      <c r="A1657" s="1" t="s">
        <v>127</v>
      </c>
      <c r="B1657" s="1" t="s">
        <v>33442</v>
      </c>
      <c r="C1657" s="1" t="s">
        <v>33443</v>
      </c>
      <c r="D1657" s="8" t="s">
        <v>5994</v>
      </c>
      <c r="E1657" s="1" t="s">
        <v>5995</v>
      </c>
      <c r="F1657" s="6" t="s">
        <v>132</v>
      </c>
      <c r="G1657" s="1" t="s">
        <v>33444</v>
      </c>
      <c r="H1657" s="1" t="s">
        <v>33443</v>
      </c>
      <c r="I1657" s="1" t="s">
        <v>33445</v>
      </c>
      <c r="J1657" s="6" t="s">
        <v>33446</v>
      </c>
      <c r="K1657" s="1" t="s">
        <v>33447</v>
      </c>
      <c r="L1657" s="1" t="s">
        <v>33448</v>
      </c>
      <c r="M1657" s="1" t="s">
        <v>33447</v>
      </c>
      <c r="N1657" s="6" t="s">
        <v>132</v>
      </c>
      <c r="O1657" s="6" t="s">
        <v>33449</v>
      </c>
      <c r="P1657" s="1" t="s">
        <v>33450</v>
      </c>
      <c r="Q1657" s="1" t="s">
        <v>33451</v>
      </c>
      <c r="R1657" s="1" t="s">
        <v>33443</v>
      </c>
      <c r="S1657" s="10" t="s">
        <v>6007</v>
      </c>
      <c r="T1657" s="1" t="s">
        <v>33443</v>
      </c>
      <c r="U1657" s="1" t="s">
        <v>6009</v>
      </c>
      <c r="V1657" s="1" t="s">
        <v>33451</v>
      </c>
      <c r="W1657" s="1" t="s">
        <v>33443</v>
      </c>
      <c r="X1657" s="1" t="s">
        <v>33452</v>
      </c>
      <c r="Y1657" s="1" t="s">
        <v>33453</v>
      </c>
      <c r="Z1657" s="1" t="s">
        <v>6013</v>
      </c>
      <c r="AA1657" s="1" t="s">
        <v>33447</v>
      </c>
      <c r="AB1657" s="1" t="s">
        <v>33454</v>
      </c>
      <c r="AC1657" s="1" t="s">
        <v>33443</v>
      </c>
      <c r="AD1657" s="6" t="s">
        <v>33443</v>
      </c>
      <c r="AE1657" s="1" t="s">
        <v>33455</v>
      </c>
      <c r="AF1657" s="1" t="s">
        <v>33452</v>
      </c>
      <c r="AG1657" s="6" t="s">
        <v>6018</v>
      </c>
      <c r="AH1657" s="1" t="s">
        <v>33456</v>
      </c>
      <c r="AI1657" s="6" t="s">
        <v>132</v>
      </c>
      <c r="AJ1657" s="6" t="s">
        <v>33457</v>
      </c>
      <c r="AK1657" s="1" t="s">
        <v>6021</v>
      </c>
      <c r="AL1657" s="6" t="s">
        <v>6022</v>
      </c>
    </row>
    <row r="1658" ht="15.75" customHeight="1">
      <c r="A1658" s="1" t="s">
        <v>127</v>
      </c>
      <c r="B1658" s="1" t="s">
        <v>33458</v>
      </c>
      <c r="C1658" s="1" t="s">
        <v>33459</v>
      </c>
      <c r="D1658" s="8" t="s">
        <v>33460</v>
      </c>
      <c r="E1658" s="1" t="s">
        <v>33461</v>
      </c>
      <c r="F1658" s="6" t="s">
        <v>132</v>
      </c>
      <c r="G1658" s="1" t="s">
        <v>15646</v>
      </c>
      <c r="H1658" s="1" t="s">
        <v>33462</v>
      </c>
      <c r="I1658" s="1" t="s">
        <v>33463</v>
      </c>
      <c r="J1658" s="6" t="s">
        <v>33464</v>
      </c>
      <c r="K1658" s="1" t="s">
        <v>15650</v>
      </c>
      <c r="L1658" s="1" t="s">
        <v>33465</v>
      </c>
      <c r="M1658" s="1" t="s">
        <v>33466</v>
      </c>
      <c r="N1658" s="6" t="s">
        <v>132</v>
      </c>
      <c r="O1658" s="6" t="s">
        <v>33467</v>
      </c>
      <c r="P1658" s="1" t="s">
        <v>33468</v>
      </c>
      <c r="Q1658" s="1" t="s">
        <v>33469</v>
      </c>
      <c r="R1658" s="1" t="s">
        <v>33470</v>
      </c>
      <c r="S1658" s="10" t="s">
        <v>33471</v>
      </c>
      <c r="T1658" s="1" t="s">
        <v>33472</v>
      </c>
      <c r="U1658" s="1" t="s">
        <v>15657</v>
      </c>
      <c r="V1658" s="1" t="s">
        <v>33469</v>
      </c>
      <c r="W1658" s="1" t="s">
        <v>33473</v>
      </c>
      <c r="X1658" s="1" t="s">
        <v>33474</v>
      </c>
      <c r="Y1658" s="1" t="s">
        <v>33475</v>
      </c>
      <c r="Z1658" s="1" t="s">
        <v>33476</v>
      </c>
      <c r="AA1658" s="1" t="s">
        <v>33477</v>
      </c>
      <c r="AB1658" s="1" t="s">
        <v>15663</v>
      </c>
      <c r="AC1658" s="1" t="s">
        <v>33478</v>
      </c>
      <c r="AD1658" s="6" t="s">
        <v>33479</v>
      </c>
      <c r="AE1658" s="1" t="s">
        <v>33480</v>
      </c>
      <c r="AF1658" s="1" t="s">
        <v>33481</v>
      </c>
      <c r="AG1658" s="6" t="s">
        <v>15668</v>
      </c>
      <c r="AH1658" s="1" t="s">
        <v>33482</v>
      </c>
      <c r="AI1658" s="6" t="s">
        <v>132</v>
      </c>
      <c r="AJ1658" s="6" t="s">
        <v>33483</v>
      </c>
      <c r="AK1658" s="1" t="s">
        <v>33484</v>
      </c>
      <c r="AL1658" s="6" t="s">
        <v>33485</v>
      </c>
    </row>
    <row r="1659" ht="15.75" customHeight="1">
      <c r="A1659" s="1" t="s">
        <v>127</v>
      </c>
      <c r="B1659" s="1" t="s">
        <v>33486</v>
      </c>
      <c r="C1659" s="1" t="s">
        <v>33487</v>
      </c>
      <c r="D1659" s="8" t="s">
        <v>33488</v>
      </c>
      <c r="E1659" s="1" t="s">
        <v>33489</v>
      </c>
      <c r="F1659" s="6" t="s">
        <v>132</v>
      </c>
      <c r="G1659" s="1" t="s">
        <v>33490</v>
      </c>
      <c r="H1659" s="1" t="s">
        <v>33491</v>
      </c>
      <c r="I1659" s="1" t="s">
        <v>33492</v>
      </c>
      <c r="J1659" s="6" t="s">
        <v>33493</v>
      </c>
      <c r="K1659" s="1" t="s">
        <v>33494</v>
      </c>
      <c r="L1659" s="1" t="s">
        <v>33495</v>
      </c>
      <c r="M1659" s="1" t="s">
        <v>33496</v>
      </c>
      <c r="N1659" s="6" t="s">
        <v>132</v>
      </c>
      <c r="O1659" s="6" t="s">
        <v>33497</v>
      </c>
      <c r="P1659" s="1" t="s">
        <v>33498</v>
      </c>
      <c r="Q1659" s="1" t="s">
        <v>33499</v>
      </c>
      <c r="R1659" s="1" t="s">
        <v>33500</v>
      </c>
      <c r="S1659" s="10" t="s">
        <v>33501</v>
      </c>
      <c r="T1659" s="1" t="s">
        <v>33502</v>
      </c>
      <c r="U1659" s="1" t="s">
        <v>33503</v>
      </c>
      <c r="V1659" s="1" t="s">
        <v>33504</v>
      </c>
      <c r="W1659" s="1" t="s">
        <v>33505</v>
      </c>
      <c r="X1659" s="1" t="s">
        <v>33506</v>
      </c>
      <c r="Y1659" s="1" t="s">
        <v>33507</v>
      </c>
      <c r="Z1659" s="1" t="s">
        <v>33508</v>
      </c>
      <c r="AA1659" s="1" t="s">
        <v>33509</v>
      </c>
      <c r="AB1659" s="1" t="s">
        <v>33510</v>
      </c>
      <c r="AC1659" s="1" t="s">
        <v>33511</v>
      </c>
      <c r="AD1659" s="6" t="s">
        <v>33512</v>
      </c>
      <c r="AE1659" s="1" t="s">
        <v>33513</v>
      </c>
      <c r="AF1659" s="1" t="s">
        <v>33514</v>
      </c>
      <c r="AG1659" s="6" t="s">
        <v>33515</v>
      </c>
      <c r="AH1659" s="1" t="s">
        <v>33516</v>
      </c>
      <c r="AI1659" s="6" t="s">
        <v>132</v>
      </c>
      <c r="AJ1659" s="6" t="s">
        <v>33517</v>
      </c>
      <c r="AK1659" s="1" t="s">
        <v>33518</v>
      </c>
      <c r="AL1659" s="6" t="s">
        <v>132</v>
      </c>
    </row>
    <row r="1660" ht="15.75" hidden="1" customHeight="1">
      <c r="A1660" s="1" t="s">
        <v>38</v>
      </c>
      <c r="B1660" s="1" t="s">
        <v>33519</v>
      </c>
      <c r="C1660" s="1" t="s">
        <v>33520</v>
      </c>
      <c r="D1660" s="8" t="s">
        <v>33521</v>
      </c>
      <c r="E1660" s="1" t="s">
        <v>33522</v>
      </c>
      <c r="F1660" s="6" t="s">
        <v>33523</v>
      </c>
      <c r="G1660" s="7" t="str">
        <f>IFERROR(__xludf.DUMMYFUNCTION("GOOGLETRANSLATE(C1660, ""en"", ""cs"")"),"Neplatná přezdívka")</f>
        <v>Neplatná přezdívka</v>
      </c>
      <c r="H1660" s="7" t="str">
        <f>IFERROR(__xludf.DUMMYFUNCTION("GOOGLETRANSLATE(C1660, ""en"", ""da"")"),"Ugyldigt kaldenavn")</f>
        <v>Ugyldigt kaldenavn</v>
      </c>
      <c r="I1660" s="1" t="s">
        <v>33524</v>
      </c>
      <c r="J1660" s="6" t="s">
        <v>132</v>
      </c>
      <c r="K1660" s="1" t="s">
        <v>33525</v>
      </c>
      <c r="L1660" s="7" t="str">
        <f>IFERROR(__xludf.DUMMYFUNCTION("GOOGLETRANSLATE(C1660, ""en"", ""fi"")"),"Virheellinen lempinimi")</f>
        <v>Virheellinen lempinimi</v>
      </c>
      <c r="M1660" s="1" t="s">
        <v>33526</v>
      </c>
      <c r="N1660" s="6" t="s">
        <v>33527</v>
      </c>
      <c r="O1660" s="6" t="s">
        <v>132</v>
      </c>
      <c r="P1660" s="1" t="s">
        <v>33528</v>
      </c>
      <c r="Q1660" s="7" t="str">
        <f>IFERROR(__xludf.DUMMYFUNCTION("GOOGLETRANSLATE(C1660, ""en"", ""in"")"),"Nama panggilan tidak valid.")</f>
        <v>Nama panggilan tidak valid.</v>
      </c>
      <c r="R1660" s="1" t="s">
        <v>33529</v>
      </c>
      <c r="S1660" s="6" t="s">
        <v>132</v>
      </c>
      <c r="T1660" s="1" t="s">
        <v>33530</v>
      </c>
      <c r="U1660" s="7" t="str">
        <f>IFERROR(__xludf.DUMMYFUNCTION("GOOGLETRANSLATE(C1660, ""en"", ""ko"")"),"잘못된 닉네임")</f>
        <v>잘못된 닉네임</v>
      </c>
      <c r="V1660" s="7" t="str">
        <f>IFERROR(__xludf.DUMMYFUNCTION("GOOGLETRANSLATE(C1660, ""en"", ""ms"")"),"Nama panggilan tidak sah.")</f>
        <v>Nama panggilan tidak sah.</v>
      </c>
      <c r="W1660" s="1" t="s">
        <v>33531</v>
      </c>
      <c r="X1660" s="7" t="str">
        <f>IFERROR(__xludf.DUMMYFUNCTION("GOOGLETRANSLATE(C1660, ""en"", ""no"")"),"Ugyldig kallenavn")</f>
        <v>Ugyldig kallenavn</v>
      </c>
      <c r="Y1660" s="1" t="s">
        <v>33532</v>
      </c>
      <c r="Z1660" s="1" t="s">
        <v>33533</v>
      </c>
      <c r="AA1660" s="7" t="str">
        <f>IFERROR(__xludf.DUMMYFUNCTION("GOOGLETRANSLATE(C1660, ""en"", ""ro"")"),"Pseudonim nevalid")</f>
        <v>Pseudonim nevalid</v>
      </c>
      <c r="AB1660" s="1" t="s">
        <v>33534</v>
      </c>
      <c r="AC1660" s="7" t="str">
        <f>IFERROR(__xludf.DUMMYFUNCTION("GOOGLETRANSLATE(C1660, ""en"", ""sk"")"),"Neplatná prezývka")</f>
        <v>Neplatná prezývka</v>
      </c>
      <c r="AD1660" s="6" t="s">
        <v>132</v>
      </c>
      <c r="AE1660" s="1" t="s">
        <v>33535</v>
      </c>
      <c r="AF1660" s="7" t="str">
        <f>IFERROR(__xludf.DUMMYFUNCTION("GOOGLETRANSLATE(C1660, ""en"", ""sv"")"),"Ogiltigt smeknamn")</f>
        <v>Ogiltigt smeknamn</v>
      </c>
      <c r="AG1660" s="6" t="s">
        <v>132</v>
      </c>
      <c r="AH1660" s="7" t="str">
        <f>IFERROR(__xludf.DUMMYFUNCTION("GOOGLETRANSLATE(C1660, ""en"", ""tr"")"),"Geçersiz takma ad")</f>
        <v>Geçersiz takma ad</v>
      </c>
      <c r="AI1660" s="6" t="s">
        <v>132</v>
      </c>
      <c r="AJ1660" s="6" t="s">
        <v>132</v>
      </c>
      <c r="AK1660" s="7" t="str">
        <f>IFERROR(__xludf.DUMMYFUNCTION("GOOGLETRANSLATE(C1660, ""en"", ""zh"")"),"昵称无效")</f>
        <v>昵称无效</v>
      </c>
      <c r="AL1660" s="6" t="s">
        <v>132</v>
      </c>
    </row>
    <row r="1661" ht="15.75" hidden="1" customHeight="1">
      <c r="A1661" s="1" t="s">
        <v>38</v>
      </c>
      <c r="B1661" s="1" t="s">
        <v>33536</v>
      </c>
      <c r="C1661" s="1" t="s">
        <v>33537</v>
      </c>
      <c r="D1661" s="8" t="s">
        <v>33538</v>
      </c>
      <c r="E1661" s="1" t="s">
        <v>33539</v>
      </c>
      <c r="F1661" s="6" t="s">
        <v>33540</v>
      </c>
      <c r="G1661" s="7" t="str">
        <f>IFERROR(__xludf.DUMMYFUNCTION("GOOGLETRANSLATE(C1661, ""en"", ""cs"")"),"Znovu pozvat")</f>
        <v>Znovu pozvat</v>
      </c>
      <c r="H1661" s="7" t="str">
        <f>IFERROR(__xludf.DUMMYFUNCTION("GOOGLETRANSLATE(C1661, ""en"", ""da"")"),"Inviter igen")</f>
        <v>Inviter igen</v>
      </c>
      <c r="I1661" s="1" t="s">
        <v>33541</v>
      </c>
      <c r="J1661" s="6" t="s">
        <v>132</v>
      </c>
      <c r="K1661" s="1" t="s">
        <v>33542</v>
      </c>
      <c r="L1661" s="7" t="str">
        <f>IFERROR(__xludf.DUMMYFUNCTION("GOOGLETRANSLATE(C1661, ""en"", ""fi"")"),"Kutsu jälleen")</f>
        <v>Kutsu jälleen</v>
      </c>
      <c r="M1661" s="1" t="s">
        <v>33543</v>
      </c>
      <c r="N1661" s="6" t="s">
        <v>33544</v>
      </c>
      <c r="O1661" s="6" t="s">
        <v>132</v>
      </c>
      <c r="P1661" s="1" t="s">
        <v>33545</v>
      </c>
      <c r="Q1661" s="9" t="s">
        <v>33546</v>
      </c>
      <c r="R1661" s="1" t="s">
        <v>33547</v>
      </c>
      <c r="S1661" s="6" t="s">
        <v>132</v>
      </c>
      <c r="T1661" s="1" t="s">
        <v>33548</v>
      </c>
      <c r="U1661" s="1" t="s">
        <v>33549</v>
      </c>
      <c r="V1661" s="7" t="str">
        <f>IFERROR(__xludf.DUMMYFUNCTION("GOOGLETRANSLATE(C1661, ""en"", ""ms"")"),"Jemput lagi")</f>
        <v>Jemput lagi</v>
      </c>
      <c r="W1661" s="1" t="s">
        <v>33550</v>
      </c>
      <c r="X1661" s="7" t="str">
        <f>IFERROR(__xludf.DUMMYFUNCTION("GOOGLETRANSLATE(C1661, ""en"", ""no"")"),"Inviter igjen")</f>
        <v>Inviter igjen</v>
      </c>
      <c r="Y1661" s="1" t="s">
        <v>33551</v>
      </c>
      <c r="Z1661" s="1" t="s">
        <v>33552</v>
      </c>
      <c r="AA1661" s="7" t="str">
        <f>IFERROR(__xludf.DUMMYFUNCTION("GOOGLETRANSLATE(C1661, ""en"", ""ro"")"),"Invitați din nou")</f>
        <v>Invitați din nou</v>
      </c>
      <c r="AB1661" s="1" t="s">
        <v>33553</v>
      </c>
      <c r="AC1661" s="7" t="str">
        <f>IFERROR(__xludf.DUMMYFUNCTION("GOOGLETRANSLATE(C1661, ""en"", ""sk"")"),"Znovu pozvať")</f>
        <v>Znovu pozvať</v>
      </c>
      <c r="AD1661" s="6" t="s">
        <v>132</v>
      </c>
      <c r="AE1661" s="1" t="s">
        <v>32836</v>
      </c>
      <c r="AF1661" s="1" t="s">
        <v>33554</v>
      </c>
      <c r="AG1661" s="6" t="s">
        <v>132</v>
      </c>
      <c r="AH1661" s="7" t="str">
        <f>IFERROR(__xludf.DUMMYFUNCTION("GOOGLETRANSLATE(C1661, ""en"", ""tr"")"),"Tekrar davet et")</f>
        <v>Tekrar davet et</v>
      </c>
      <c r="AI1661" s="6" t="s">
        <v>33555</v>
      </c>
      <c r="AJ1661" s="6" t="s">
        <v>132</v>
      </c>
      <c r="AK1661" s="7" t="str">
        <f>IFERROR(__xludf.DUMMYFUNCTION("GOOGLETRANSLATE(C1661, ""en"", ""zh"")"),"再次邀请")</f>
        <v>再次邀请</v>
      </c>
      <c r="AL1661" s="6" t="s">
        <v>33556</v>
      </c>
    </row>
    <row r="1662" ht="15.75" customHeight="1">
      <c r="A1662" s="1" t="s">
        <v>127</v>
      </c>
      <c r="B1662" s="1" t="s">
        <v>33557</v>
      </c>
      <c r="C1662" s="1" t="s">
        <v>33558</v>
      </c>
      <c r="D1662" s="8" t="s">
        <v>33559</v>
      </c>
      <c r="E1662" s="1" t="s">
        <v>33560</v>
      </c>
      <c r="F1662" s="6" t="s">
        <v>132</v>
      </c>
      <c r="G1662" s="1" t="s">
        <v>33561</v>
      </c>
      <c r="H1662" s="1" t="s">
        <v>33562</v>
      </c>
      <c r="I1662" s="1" t="s">
        <v>33563</v>
      </c>
      <c r="J1662" s="6" t="s">
        <v>33564</v>
      </c>
      <c r="K1662" s="1" t="s">
        <v>33565</v>
      </c>
      <c r="L1662" s="1" t="s">
        <v>33566</v>
      </c>
      <c r="M1662" s="1" t="s">
        <v>28980</v>
      </c>
      <c r="N1662" s="6" t="s">
        <v>132</v>
      </c>
      <c r="O1662" s="6" t="s">
        <v>33567</v>
      </c>
      <c r="P1662" s="1" t="s">
        <v>32893</v>
      </c>
      <c r="Q1662" s="1" t="s">
        <v>33568</v>
      </c>
      <c r="R1662" s="1" t="s">
        <v>33569</v>
      </c>
      <c r="S1662" s="10" t="s">
        <v>33570</v>
      </c>
      <c r="T1662" s="1" t="s">
        <v>33571</v>
      </c>
      <c r="U1662" s="1" t="s">
        <v>33572</v>
      </c>
      <c r="V1662" s="1" t="s">
        <v>33568</v>
      </c>
      <c r="W1662" s="1" t="s">
        <v>33573</v>
      </c>
      <c r="X1662" s="1" t="s">
        <v>33574</v>
      </c>
      <c r="Y1662" s="1" t="s">
        <v>28985</v>
      </c>
      <c r="Z1662" s="1" t="s">
        <v>33575</v>
      </c>
      <c r="AA1662" s="1" t="s">
        <v>33576</v>
      </c>
      <c r="AB1662" s="1" t="s">
        <v>32894</v>
      </c>
      <c r="AC1662" s="1" t="s">
        <v>33577</v>
      </c>
      <c r="AD1662" s="6" t="s">
        <v>33578</v>
      </c>
      <c r="AE1662" s="1" t="s">
        <v>33579</v>
      </c>
      <c r="AF1662" s="1" t="s">
        <v>33580</v>
      </c>
      <c r="AG1662" s="6" t="s">
        <v>33581</v>
      </c>
      <c r="AH1662" s="1" t="s">
        <v>33582</v>
      </c>
      <c r="AI1662" s="6" t="s">
        <v>132</v>
      </c>
      <c r="AJ1662" s="6" t="s">
        <v>33583</v>
      </c>
      <c r="AK1662" s="1" t="s">
        <v>33584</v>
      </c>
      <c r="AL1662" s="6" t="s">
        <v>132</v>
      </c>
    </row>
    <row r="1663" ht="15.75" hidden="1" customHeight="1">
      <c r="A1663" s="1" t="s">
        <v>38</v>
      </c>
      <c r="B1663" s="1" t="s">
        <v>33585</v>
      </c>
      <c r="C1663" s="1" t="s">
        <v>33586</v>
      </c>
      <c r="D1663" s="7" t="str">
        <f>IFERROR(__xludf.DUMMYFUNCTION("GOOGLETRANSLATE(C1663, ""en"", ""ar"")"),"توفير اسم اختياري")</f>
        <v>توفير اسم اختياري</v>
      </c>
      <c r="E1663" s="1" t="s">
        <v>33587</v>
      </c>
      <c r="F1663" s="6" t="s">
        <v>33588</v>
      </c>
      <c r="G1663" s="7" t="str">
        <f>IFERROR(__xludf.DUMMYFUNCTION("GOOGLETRANSLATE(C1663, ""en"", ""cs"")"),"Poskytování jména je volitelný")</f>
        <v>Poskytování jména je volitelný</v>
      </c>
      <c r="H1663" s="7" t="str">
        <f>IFERROR(__xludf.DUMMYFUNCTION("GOOGLETRANSLATE(C1663, ""en"", ""da"")"),"At give et navn er valgfrit")</f>
        <v>At give et navn er valgfrit</v>
      </c>
      <c r="I1663" s="1" t="s">
        <v>33589</v>
      </c>
      <c r="J1663" s="6" t="s">
        <v>132</v>
      </c>
      <c r="K1663" s="1" t="s">
        <v>33590</v>
      </c>
      <c r="L1663" s="7" t="str">
        <f>IFERROR(__xludf.DUMMYFUNCTION("GOOGLETRANSLATE(C1663, ""en"", ""fi"")"),"Nimi on valinnainen")</f>
        <v>Nimi on valinnainen</v>
      </c>
      <c r="M1663" s="1" t="s">
        <v>33591</v>
      </c>
      <c r="N1663" s="6" t="s">
        <v>33592</v>
      </c>
      <c r="O1663" s="6" t="s">
        <v>132</v>
      </c>
      <c r="P1663" s="1" t="s">
        <v>33593</v>
      </c>
      <c r="Q1663" s="7" t="str">
        <f>IFERROR(__xludf.DUMMYFUNCTION("GOOGLETRANSLATE(C1663, ""en"", ""in"")"),"Memberikan nama adalah opsional")</f>
        <v>Memberikan nama adalah opsional</v>
      </c>
      <c r="R1663" s="1" t="s">
        <v>33594</v>
      </c>
      <c r="S1663" s="6" t="s">
        <v>132</v>
      </c>
      <c r="T1663" s="7" t="str">
        <f>IFERROR(__xludf.DUMMYFUNCTION("GOOGLETRANSLATE(C1663, ""en"", ""ja"")"),"名前を提供するのはオプションです")</f>
        <v>名前を提供するのはオプションです</v>
      </c>
      <c r="U1663" s="7" t="str">
        <f>IFERROR(__xludf.DUMMYFUNCTION("GOOGLETRANSLATE(C1663, ""en"", ""ko"")"),"이름을 제공하는 것은 선택 사항입니다")</f>
        <v>이름을 제공하는 것은 선택 사항입니다</v>
      </c>
      <c r="V1663" s="7" t="str">
        <f>IFERROR(__xludf.DUMMYFUNCTION("GOOGLETRANSLATE(C1663, ""en"", ""ms"")"),"Menyediakan nama adalah pilihan")</f>
        <v>Menyediakan nama adalah pilihan</v>
      </c>
      <c r="W1663" s="1" t="s">
        <v>33595</v>
      </c>
      <c r="X1663" s="7" t="str">
        <f>IFERROR(__xludf.DUMMYFUNCTION("GOOGLETRANSLATE(C1663, ""en"", ""no"")"),"Å gi et navn er valgfritt")</f>
        <v>Å gi et navn er valgfritt</v>
      </c>
      <c r="Y1663" s="1" t="s">
        <v>33596</v>
      </c>
      <c r="Z1663" s="7" t="str">
        <f>IFERROR(__xludf.DUMMYFUNCTION("GOOGLETRANSLATE(C1663, ""en"", ""pt"")"),"Fornecendo um nome é opcional")</f>
        <v>Fornecendo um nome é opcional</v>
      </c>
      <c r="AA1663" s="7" t="str">
        <f>IFERROR(__xludf.DUMMYFUNCTION("GOOGLETRANSLATE(C1663, ""en"", ""ro"")"),"Furnizarea unui nume este opțională")</f>
        <v>Furnizarea unui nume este opțională</v>
      </c>
      <c r="AB1663" s="7" t="str">
        <f>IFERROR(__xludf.DUMMYFUNCTION("GOOGLETRANSLATE(C1663, ""en"", ""ru"")"),"Предоставление имени необязательно")</f>
        <v>Предоставление имени необязательно</v>
      </c>
      <c r="AC1663" s="7" t="str">
        <f>IFERROR(__xludf.DUMMYFUNCTION("GOOGLETRANSLATE(C1663, ""en"", ""sk"")"),"Poskytnutie mena je nepovinné")</f>
        <v>Poskytnutie mena je nepovinné</v>
      </c>
      <c r="AD1663" s="6" t="s">
        <v>132</v>
      </c>
      <c r="AE1663" s="1" t="s">
        <v>33597</v>
      </c>
      <c r="AF1663" s="7" t="str">
        <f>IFERROR(__xludf.DUMMYFUNCTION("GOOGLETRANSLATE(C1663, ""en"", ""sv"")"),"Att ge ett namn är valfritt")</f>
        <v>Att ge ett namn är valfritt</v>
      </c>
      <c r="AG1663" s="6" t="s">
        <v>132</v>
      </c>
      <c r="AH1663" s="7" t="str">
        <f>IFERROR(__xludf.DUMMYFUNCTION("GOOGLETRANSLATE(C1663, ""en"", ""tr"")"),"Bir isim sağlamak isteğe bağlıdır")</f>
        <v>Bir isim sağlamak isteğe bağlıdır</v>
      </c>
      <c r="AI1663" s="6" t="s">
        <v>132</v>
      </c>
      <c r="AJ1663" s="6" t="s">
        <v>132</v>
      </c>
      <c r="AK1663" s="7" t="str">
        <f>IFERROR(__xludf.DUMMYFUNCTION("GOOGLETRANSLATE(C1663, ""en"", ""zh"")"),"提供名称是可选的")</f>
        <v>提供名称是可选的</v>
      </c>
      <c r="AL1663" s="6" t="s">
        <v>132</v>
      </c>
    </row>
    <row r="1664" ht="15.75" customHeight="1">
      <c r="A1664" s="1" t="s">
        <v>127</v>
      </c>
      <c r="B1664" s="1" t="s">
        <v>33598</v>
      </c>
      <c r="C1664" s="1" t="s">
        <v>33599</v>
      </c>
      <c r="D1664" s="8" t="s">
        <v>33600</v>
      </c>
      <c r="E1664" s="1" t="s">
        <v>33601</v>
      </c>
      <c r="F1664" s="6" t="s">
        <v>132</v>
      </c>
      <c r="G1664" s="1" t="s">
        <v>33602</v>
      </c>
      <c r="H1664" s="1" t="s">
        <v>33603</v>
      </c>
      <c r="I1664" s="1" t="s">
        <v>9392</v>
      </c>
      <c r="J1664" s="6" t="s">
        <v>33604</v>
      </c>
      <c r="K1664" s="1" t="s">
        <v>33605</v>
      </c>
      <c r="L1664" s="1" t="s">
        <v>33606</v>
      </c>
      <c r="M1664" s="1" t="s">
        <v>33599</v>
      </c>
      <c r="N1664" s="6" t="s">
        <v>132</v>
      </c>
      <c r="O1664" s="6" t="s">
        <v>29908</v>
      </c>
      <c r="P1664" s="1" t="s">
        <v>33599</v>
      </c>
      <c r="Q1664" s="1" t="s">
        <v>29910</v>
      </c>
      <c r="R1664" s="1" t="s">
        <v>33607</v>
      </c>
      <c r="S1664" s="10" t="s">
        <v>33608</v>
      </c>
      <c r="T1664" s="1" t="s">
        <v>29913</v>
      </c>
      <c r="U1664" s="1" t="s">
        <v>29914</v>
      </c>
      <c r="V1664" s="1" t="s">
        <v>29915</v>
      </c>
      <c r="W1664" s="1" t="s">
        <v>33609</v>
      </c>
      <c r="X1664" s="1" t="s">
        <v>33610</v>
      </c>
      <c r="Y1664" s="1" t="s">
        <v>23088</v>
      </c>
      <c r="Z1664" s="1" t="s">
        <v>33611</v>
      </c>
      <c r="AA1664" s="1" t="s">
        <v>33612</v>
      </c>
      <c r="AB1664" s="1" t="s">
        <v>33613</v>
      </c>
      <c r="AC1664" s="1" t="s">
        <v>33614</v>
      </c>
      <c r="AD1664" s="6" t="s">
        <v>33615</v>
      </c>
      <c r="AE1664" s="1" t="s">
        <v>33616</v>
      </c>
      <c r="AF1664" s="1" t="s">
        <v>33617</v>
      </c>
      <c r="AG1664" s="6" t="s">
        <v>29925</v>
      </c>
      <c r="AH1664" s="1" t="s">
        <v>33618</v>
      </c>
      <c r="AI1664" s="6" t="s">
        <v>132</v>
      </c>
      <c r="AJ1664" s="6" t="s">
        <v>29927</v>
      </c>
      <c r="AK1664" s="1" t="s">
        <v>29913</v>
      </c>
      <c r="AL1664" s="6" t="s">
        <v>132</v>
      </c>
    </row>
    <row r="1665" ht="15.75" customHeight="1">
      <c r="A1665" s="1" t="s">
        <v>127</v>
      </c>
      <c r="B1665" s="1" t="s">
        <v>33619</v>
      </c>
      <c r="C1665" s="1" t="s">
        <v>33620</v>
      </c>
      <c r="D1665" s="8" t="s">
        <v>33621</v>
      </c>
      <c r="E1665" s="1" t="s">
        <v>33622</v>
      </c>
      <c r="F1665" s="6" t="s">
        <v>132</v>
      </c>
      <c r="G1665" s="1" t="s">
        <v>33623</v>
      </c>
      <c r="H1665" s="1" t="s">
        <v>33624</v>
      </c>
      <c r="I1665" s="1" t="s">
        <v>33625</v>
      </c>
      <c r="J1665" s="6" t="s">
        <v>33626</v>
      </c>
      <c r="K1665" s="1" t="s">
        <v>33627</v>
      </c>
      <c r="L1665" s="1" t="s">
        <v>33628</v>
      </c>
      <c r="M1665" s="1" t="s">
        <v>32475</v>
      </c>
      <c r="N1665" s="6" t="s">
        <v>132</v>
      </c>
      <c r="O1665" s="6" t="s">
        <v>33629</v>
      </c>
      <c r="P1665" s="1" t="s">
        <v>33630</v>
      </c>
      <c r="Q1665" s="1" t="s">
        <v>33631</v>
      </c>
      <c r="R1665" s="1" t="s">
        <v>33632</v>
      </c>
      <c r="S1665" s="10" t="s">
        <v>33633</v>
      </c>
      <c r="T1665" s="1" t="s">
        <v>33634</v>
      </c>
      <c r="U1665" s="1" t="s">
        <v>33635</v>
      </c>
      <c r="V1665" s="1" t="s">
        <v>33636</v>
      </c>
      <c r="W1665" s="1" t="s">
        <v>33637</v>
      </c>
      <c r="X1665" s="1" t="s">
        <v>33638</v>
      </c>
      <c r="Y1665" s="1" t="s">
        <v>32486</v>
      </c>
      <c r="Z1665" s="1" t="s">
        <v>33639</v>
      </c>
      <c r="AA1665" s="1" t="s">
        <v>33640</v>
      </c>
      <c r="AB1665" s="1" t="s">
        <v>33641</v>
      </c>
      <c r="AC1665" s="1" t="s">
        <v>33642</v>
      </c>
      <c r="AD1665" s="6" t="s">
        <v>33643</v>
      </c>
      <c r="AE1665" s="1" t="s">
        <v>33644</v>
      </c>
      <c r="AF1665" s="1" t="s">
        <v>33645</v>
      </c>
      <c r="AG1665" s="6" t="s">
        <v>33646</v>
      </c>
      <c r="AH1665" s="1" t="s">
        <v>33647</v>
      </c>
      <c r="AI1665" s="6" t="s">
        <v>132</v>
      </c>
      <c r="AJ1665" s="6" t="s">
        <v>33648</v>
      </c>
      <c r="AK1665" s="1" t="s">
        <v>32496</v>
      </c>
      <c r="AL1665" s="6" t="s">
        <v>32497</v>
      </c>
    </row>
    <row r="1666" ht="15.75" hidden="1" customHeight="1">
      <c r="A1666" s="1" t="s">
        <v>38</v>
      </c>
      <c r="B1666" s="1" t="s">
        <v>33649</v>
      </c>
      <c r="C1666" s="1" t="s">
        <v>33650</v>
      </c>
      <c r="D1666" s="8" t="s">
        <v>33651</v>
      </c>
      <c r="E1666" s="1" t="s">
        <v>33652</v>
      </c>
      <c r="F1666" s="6" t="s">
        <v>33653</v>
      </c>
      <c r="G1666" s="7" t="str">
        <f>IFERROR(__xludf.DUMMYFUNCTION("GOOGLETRANSLATE(C1666, ""en"", ""cs"")"),"XEP-0357: Push")</f>
        <v>XEP-0357: Push</v>
      </c>
      <c r="H1666" s="7" t="str">
        <f>IFERROR(__xludf.DUMMYFUNCTION("GOOGLETRANSLATE(C1666, ""en"", ""da"")"),"XEP-0357: Tryk")</f>
        <v>XEP-0357: Tryk</v>
      </c>
      <c r="I1666" s="1" t="s">
        <v>33650</v>
      </c>
      <c r="J1666" s="6" t="s">
        <v>132</v>
      </c>
      <c r="K1666" s="1" t="s">
        <v>33650</v>
      </c>
      <c r="L1666" s="7" t="str">
        <f>IFERROR(__xludf.DUMMYFUNCTION("GOOGLETRANSLATE(C1666, ""en"", ""fi"")"),"XEP-0357: Työnnä")</f>
        <v>XEP-0357: Työnnä</v>
      </c>
      <c r="M1666" s="1" t="s">
        <v>33654</v>
      </c>
      <c r="N1666" s="6" t="s">
        <v>33650</v>
      </c>
      <c r="O1666" s="6" t="s">
        <v>132</v>
      </c>
      <c r="P1666" s="1" t="s">
        <v>33650</v>
      </c>
      <c r="Q1666" s="9" t="s">
        <v>33650</v>
      </c>
      <c r="R1666" s="1" t="s">
        <v>33650</v>
      </c>
      <c r="S1666" s="6" t="s">
        <v>132</v>
      </c>
      <c r="T1666" s="1" t="s">
        <v>33655</v>
      </c>
      <c r="U1666" s="1" t="s">
        <v>33650</v>
      </c>
      <c r="V1666" s="7" t="str">
        <f>IFERROR(__xludf.DUMMYFUNCTION("GOOGLETRANSLATE(C1666, ""en"", ""ms"")"),"Xep-0357: tolak")</f>
        <v>Xep-0357: tolak</v>
      </c>
      <c r="W1666" s="1" t="s">
        <v>33650</v>
      </c>
      <c r="X1666" s="7" t="str">
        <f>IFERROR(__xludf.DUMMYFUNCTION("GOOGLETRANSLATE(C1666, ""en"", ""no"")"),"XEP-0357: Trykk")</f>
        <v>XEP-0357: Trykk</v>
      </c>
      <c r="Y1666" s="1" t="s">
        <v>33650</v>
      </c>
      <c r="Z1666" s="1" t="s">
        <v>33650</v>
      </c>
      <c r="AA1666" s="7" t="str">
        <f>IFERROR(__xludf.DUMMYFUNCTION("GOOGLETRANSLATE(C1666, ""en"", ""ro"")"),"Xep-0357: împingere")</f>
        <v>Xep-0357: împingere</v>
      </c>
      <c r="AB1666" s="1" t="s">
        <v>33656</v>
      </c>
      <c r="AC1666" s="7" t="str">
        <f>IFERROR(__xludf.DUMMYFUNCTION("GOOGLETRANSLATE(C1666, ""en"", ""sk"")"),"XEP-0357:")</f>
        <v>XEP-0357:</v>
      </c>
      <c r="AD1666" s="6" t="s">
        <v>132</v>
      </c>
      <c r="AE1666" s="1" t="s">
        <v>33657</v>
      </c>
      <c r="AF1666" s="1" t="s">
        <v>33650</v>
      </c>
      <c r="AG1666" s="6" t="s">
        <v>132</v>
      </c>
      <c r="AH1666" s="7" t="str">
        <f>IFERROR(__xludf.DUMMYFUNCTION("GOOGLETRANSLATE(C1666, ""en"", ""tr"")"),"XEP-0357: İtme")</f>
        <v>XEP-0357: İtme</v>
      </c>
      <c r="AI1666" s="6" t="s">
        <v>33658</v>
      </c>
      <c r="AJ1666" s="6" t="s">
        <v>33650</v>
      </c>
      <c r="AK1666" s="7" t="str">
        <f>IFERROR(__xludf.DUMMYFUNCTION("GOOGLETRANSLATE(C1666, ""en"", ""zh"")"),"XEP-0357：推")</f>
        <v>XEP-0357：推</v>
      </c>
      <c r="AL1666" s="6" t="s">
        <v>33650</v>
      </c>
    </row>
    <row r="1667" ht="15.75" hidden="1" customHeight="1">
      <c r="A1667" s="1" t="s">
        <v>38</v>
      </c>
      <c r="B1667" s="1" t="s">
        <v>33659</v>
      </c>
      <c r="C1667" s="1" t="s">
        <v>33660</v>
      </c>
      <c r="D1667" s="7" t="str">
        <f>IFERROR(__xludf.DUMMYFUNCTION("GOOGLETRANSLATE(C1667, ""en"", ""ar"")"),"المملكة العربية السعودية")</f>
        <v>المملكة العربية السعودية</v>
      </c>
      <c r="E1667" s="7" t="str">
        <f>IFERROR(__xludf.DUMMYFUNCTION("GOOGLETRANSLATE(C1667, ""en"", ""bg"")"),"Саудитска Арабия")</f>
        <v>Саудитска Арабия</v>
      </c>
      <c r="F1667" s="6" t="s">
        <v>132</v>
      </c>
      <c r="G1667" s="7" t="str">
        <f>IFERROR(__xludf.DUMMYFUNCTION("GOOGLETRANSLATE(C1667, ""en"", ""cs"")"),"Saudská arábie")</f>
        <v>Saudská arábie</v>
      </c>
      <c r="H1667" s="7" t="str">
        <f>IFERROR(__xludf.DUMMYFUNCTION("GOOGLETRANSLATE(C1667, ""en"", ""da"")"),"Saudi Arabien")</f>
        <v>Saudi Arabien</v>
      </c>
      <c r="I1667" s="1" t="s">
        <v>33661</v>
      </c>
      <c r="J1667" s="6" t="s">
        <v>132</v>
      </c>
      <c r="K1667" s="1" t="s">
        <v>33662</v>
      </c>
      <c r="L1667" s="7" t="str">
        <f>IFERROR(__xludf.DUMMYFUNCTION("GOOGLETRANSLATE(C1667, ""en"", ""fi"")"),"Saudi-Arabia")</f>
        <v>Saudi-Arabia</v>
      </c>
      <c r="M1667" s="1" t="s">
        <v>33663</v>
      </c>
      <c r="N1667" s="6" t="s">
        <v>132</v>
      </c>
      <c r="O1667" s="6" t="s">
        <v>132</v>
      </c>
      <c r="P1667" s="1" t="s">
        <v>33660</v>
      </c>
      <c r="Q1667" s="7" t="str">
        <f>IFERROR(__xludf.DUMMYFUNCTION("GOOGLETRANSLATE(C1667, ""en"", ""in"")"),"Arab Saudi")</f>
        <v>Arab Saudi</v>
      </c>
      <c r="R1667" s="7" t="str">
        <f>IFERROR(__xludf.DUMMYFUNCTION("GOOGLETRANSLATE(C1667, ""en"", ""it"")"),"Arabia Saudita")</f>
        <v>Arabia Saudita</v>
      </c>
      <c r="S1667" s="6" t="s">
        <v>132</v>
      </c>
      <c r="T1667" s="7" t="str">
        <f>IFERROR(__xludf.DUMMYFUNCTION("GOOGLETRANSLATE(C1667, ""en"", ""ja"")"),"サウジアラビア")</f>
        <v>サウジアラビア</v>
      </c>
      <c r="U1667" s="7" t="str">
        <f>IFERROR(__xludf.DUMMYFUNCTION("GOOGLETRANSLATE(C1667, ""en"", ""ko"")"),"사우디 아라비아")</f>
        <v>사우디 아라비아</v>
      </c>
      <c r="V1667" s="7" t="str">
        <f>IFERROR(__xludf.DUMMYFUNCTION("GOOGLETRANSLATE(C1667, ""en"", ""ms"")"),"Arab Saudi")</f>
        <v>Arab Saudi</v>
      </c>
      <c r="W1667" s="7" t="str">
        <f>IFERROR(__xludf.DUMMYFUNCTION("GOOGLETRANSLATE(C1667, ""en"", ""nl"")"),"Saoedi-Arabië")</f>
        <v>Saoedi-Arabië</v>
      </c>
      <c r="X1667" s="7" t="str">
        <f>IFERROR(__xludf.DUMMYFUNCTION("GOOGLETRANSLATE(C1667, ""en"", ""no"")"),"Saudi-Arabia")</f>
        <v>Saudi-Arabia</v>
      </c>
      <c r="Y1667" s="7" t="str">
        <f>IFERROR(__xludf.DUMMYFUNCTION("GOOGLETRANSLATE(C1667, ""en"", ""pl"")"),"Arabia Saudyjska")</f>
        <v>Arabia Saudyjska</v>
      </c>
      <c r="Z1667" s="7" t="str">
        <f>IFERROR(__xludf.DUMMYFUNCTION("GOOGLETRANSLATE(C1667, ""en"", ""pt"")"),"Arábia Saudita")</f>
        <v>Arábia Saudita</v>
      </c>
      <c r="AA1667" s="7" t="str">
        <f>IFERROR(__xludf.DUMMYFUNCTION("GOOGLETRANSLATE(C1667, ""en"", ""ro"")"),"Arabia Saudită")</f>
        <v>Arabia Saudită</v>
      </c>
      <c r="AB1667" s="1" t="s">
        <v>33664</v>
      </c>
      <c r="AC1667" s="7" t="str">
        <f>IFERROR(__xludf.DUMMYFUNCTION("GOOGLETRANSLATE(C1667, ""en"", ""sk"")"),"Saudská Arábia")</f>
        <v>Saudská Arábia</v>
      </c>
      <c r="AD1667" s="6" t="s">
        <v>132</v>
      </c>
      <c r="AE1667" s="1" t="s">
        <v>33665</v>
      </c>
      <c r="AF1667" s="7" t="str">
        <f>IFERROR(__xludf.DUMMYFUNCTION("GOOGLETRANSLATE(C1667, ""en"", ""sv"")"),"Saudiarabien")</f>
        <v>Saudiarabien</v>
      </c>
      <c r="AG1667" s="6" t="s">
        <v>132</v>
      </c>
      <c r="AH1667" s="7" t="str">
        <f>IFERROR(__xludf.DUMMYFUNCTION("GOOGLETRANSLATE(C1667, ""en"", ""tr"")"),"Suudi Arabistan")</f>
        <v>Suudi Arabistan</v>
      </c>
      <c r="AI1667" s="6" t="s">
        <v>132</v>
      </c>
      <c r="AJ1667" s="6" t="s">
        <v>132</v>
      </c>
      <c r="AK1667" s="7" t="str">
        <f>IFERROR(__xludf.DUMMYFUNCTION("GOOGLETRANSLATE(C1667, ""en"", ""zh"")"),"沙特阿拉伯")</f>
        <v>沙特阿拉伯</v>
      </c>
      <c r="AL1667" s="6" t="s">
        <v>132</v>
      </c>
    </row>
    <row r="1668" ht="15.75" customHeight="1">
      <c r="A1668" s="1" t="s">
        <v>127</v>
      </c>
      <c r="B1668" s="1" t="s">
        <v>33666</v>
      </c>
      <c r="C1668" s="1" t="s">
        <v>33667</v>
      </c>
      <c r="D1668" s="8" t="s">
        <v>33668</v>
      </c>
      <c r="E1668" s="1" t="s">
        <v>33669</v>
      </c>
      <c r="F1668" s="6" t="s">
        <v>132</v>
      </c>
      <c r="G1668" s="1" t="s">
        <v>33670</v>
      </c>
      <c r="H1668" s="1" t="s">
        <v>33671</v>
      </c>
      <c r="I1668" s="1" t="s">
        <v>33671</v>
      </c>
      <c r="J1668" s="6" t="s">
        <v>33672</v>
      </c>
      <c r="K1668" s="1" t="s">
        <v>33673</v>
      </c>
      <c r="L1668" s="1" t="s">
        <v>33674</v>
      </c>
      <c r="M1668" s="1" t="s">
        <v>33675</v>
      </c>
      <c r="N1668" s="6" t="s">
        <v>132</v>
      </c>
      <c r="O1668" s="6" t="s">
        <v>33676</v>
      </c>
      <c r="P1668" s="1" t="s">
        <v>33677</v>
      </c>
      <c r="Q1668" s="1" t="s">
        <v>33671</v>
      </c>
      <c r="R1668" s="1" t="s">
        <v>33673</v>
      </c>
      <c r="S1668" s="10" t="s">
        <v>33678</v>
      </c>
      <c r="T1668" s="1" t="s">
        <v>33679</v>
      </c>
      <c r="U1668" s="1" t="s">
        <v>33680</v>
      </c>
      <c r="V1668" s="1" t="s">
        <v>33681</v>
      </c>
      <c r="W1668" s="1" t="s">
        <v>33671</v>
      </c>
      <c r="X1668" s="1" t="s">
        <v>33671</v>
      </c>
      <c r="Y1668" s="1" t="s">
        <v>33682</v>
      </c>
      <c r="Z1668" s="1" t="s">
        <v>33683</v>
      </c>
      <c r="AA1668" s="1" t="s">
        <v>33667</v>
      </c>
      <c r="AB1668" s="1" t="s">
        <v>33684</v>
      </c>
      <c r="AC1668" s="1" t="s">
        <v>33685</v>
      </c>
      <c r="AD1668" s="6" t="s">
        <v>33686</v>
      </c>
      <c r="AE1668" s="1" t="s">
        <v>33681</v>
      </c>
      <c r="AF1668" s="1" t="s">
        <v>33671</v>
      </c>
      <c r="AG1668" s="6" t="s">
        <v>33687</v>
      </c>
      <c r="AH1668" s="1" t="s">
        <v>33688</v>
      </c>
      <c r="AI1668" s="6" t="s">
        <v>132</v>
      </c>
      <c r="AJ1668" s="6" t="s">
        <v>33689</v>
      </c>
      <c r="AK1668" s="1" t="s">
        <v>33690</v>
      </c>
      <c r="AL1668" s="6" t="s">
        <v>132</v>
      </c>
    </row>
    <row r="1669" ht="15.75" customHeight="1">
      <c r="A1669" s="1" t="s">
        <v>127</v>
      </c>
      <c r="B1669" s="1" t="s">
        <v>33691</v>
      </c>
      <c r="C1669" s="1" t="s">
        <v>33692</v>
      </c>
      <c r="D1669" s="8" t="s">
        <v>33693</v>
      </c>
      <c r="E1669" s="1" t="s">
        <v>33694</v>
      </c>
      <c r="F1669" s="6" t="s">
        <v>132</v>
      </c>
      <c r="G1669" s="1" t="s">
        <v>33695</v>
      </c>
      <c r="H1669" s="1" t="s">
        <v>33696</v>
      </c>
      <c r="I1669" s="1" t="s">
        <v>33697</v>
      </c>
      <c r="J1669" s="6" t="s">
        <v>33698</v>
      </c>
      <c r="K1669" s="1" t="s">
        <v>33699</v>
      </c>
      <c r="L1669" s="1" t="s">
        <v>33700</v>
      </c>
      <c r="M1669" s="1" t="s">
        <v>33701</v>
      </c>
      <c r="N1669" s="6" t="s">
        <v>132</v>
      </c>
      <c r="O1669" s="6" t="s">
        <v>33702</v>
      </c>
      <c r="P1669" s="1" t="s">
        <v>33703</v>
      </c>
      <c r="Q1669" s="1" t="s">
        <v>33704</v>
      </c>
      <c r="R1669" s="1" t="s">
        <v>33705</v>
      </c>
      <c r="S1669" s="10" t="s">
        <v>33706</v>
      </c>
      <c r="T1669" s="1" t="s">
        <v>33692</v>
      </c>
      <c r="U1669" s="1" t="s">
        <v>33707</v>
      </c>
      <c r="V1669" s="1" t="s">
        <v>33704</v>
      </c>
      <c r="W1669" s="1" t="s">
        <v>33708</v>
      </c>
      <c r="X1669" s="1" t="s">
        <v>33696</v>
      </c>
      <c r="Y1669" s="1" t="s">
        <v>33709</v>
      </c>
      <c r="Z1669" s="1" t="s">
        <v>33710</v>
      </c>
      <c r="AA1669" s="1" t="s">
        <v>33711</v>
      </c>
      <c r="AB1669" s="1" t="s">
        <v>33712</v>
      </c>
      <c r="AC1669" s="1" t="s">
        <v>33713</v>
      </c>
      <c r="AD1669" s="6" t="s">
        <v>33714</v>
      </c>
      <c r="AE1669" s="1" t="s">
        <v>33715</v>
      </c>
      <c r="AF1669" s="1" t="s">
        <v>33716</v>
      </c>
      <c r="AG1669" s="6" t="s">
        <v>33717</v>
      </c>
      <c r="AH1669" s="1" t="s">
        <v>33718</v>
      </c>
      <c r="AI1669" s="6" t="s">
        <v>132</v>
      </c>
      <c r="AJ1669" s="6" t="s">
        <v>33719</v>
      </c>
      <c r="AK1669" s="1" t="s">
        <v>33720</v>
      </c>
      <c r="AL1669" s="6" t="s">
        <v>132</v>
      </c>
    </row>
    <row r="1670" ht="15.75" hidden="1" customHeight="1">
      <c r="A1670" s="1" t="s">
        <v>38</v>
      </c>
      <c r="B1670" s="1" t="s">
        <v>33721</v>
      </c>
      <c r="C1670" s="1" t="s">
        <v>33722</v>
      </c>
      <c r="D1670" s="8" t="s">
        <v>33723</v>
      </c>
      <c r="E1670" s="1" t="s">
        <v>33724</v>
      </c>
      <c r="F1670" s="6" t="s">
        <v>33725</v>
      </c>
      <c r="G1670" s="7" t="str">
        <f>IFERROR(__xludf.DUMMYFUNCTION("GOOGLETRANSLATE(C1670, ""en"", ""cs"")"),"XEP-0237: seznam verzí")</f>
        <v>XEP-0237: seznam verzí</v>
      </c>
      <c r="H1670" s="7" t="str">
        <f>IFERROR(__xludf.DUMMYFUNCTION("GOOGLETRANSLATE(C1670, ""en"", ""da"")"),"XEP-0237: Rostersversionering")</f>
        <v>XEP-0237: Rostersversionering</v>
      </c>
      <c r="I1670" s="1" t="s">
        <v>33722</v>
      </c>
      <c r="J1670" s="6" t="s">
        <v>132</v>
      </c>
      <c r="K1670" s="1" t="s">
        <v>33722</v>
      </c>
      <c r="L1670" s="7" t="str">
        <f>IFERROR(__xludf.DUMMYFUNCTION("GOOGLETRANSLATE(C1670, ""en"", ""fi"")"),"XEP-0237: Roster-versio")</f>
        <v>XEP-0237: Roster-versio</v>
      </c>
      <c r="M1670" s="1" t="s">
        <v>33726</v>
      </c>
      <c r="N1670" s="6" t="s">
        <v>33722</v>
      </c>
      <c r="O1670" s="6" t="s">
        <v>132</v>
      </c>
      <c r="P1670" s="1" t="s">
        <v>33722</v>
      </c>
      <c r="Q1670" s="9" t="s">
        <v>33722</v>
      </c>
      <c r="R1670" s="1" t="s">
        <v>33722</v>
      </c>
      <c r="S1670" s="6" t="s">
        <v>132</v>
      </c>
      <c r="T1670" s="1" t="s">
        <v>33727</v>
      </c>
      <c r="U1670" s="1" t="s">
        <v>33722</v>
      </c>
      <c r="V1670" s="7" t="str">
        <f>IFERROR(__xludf.DUMMYFUNCTION("GOOGLETRANSLATE(C1670, ""en"", ""ms"")"),"Xep-0237: Roster Versioning")</f>
        <v>Xep-0237: Roster Versioning</v>
      </c>
      <c r="W1670" s="1" t="s">
        <v>33722</v>
      </c>
      <c r="X1670" s="7" t="str">
        <f>IFERROR(__xludf.DUMMYFUNCTION("GOOGLETRANSLATE(C1670, ""en"", ""no"")"),"XEP-0237: Rostersversjon")</f>
        <v>XEP-0237: Rostersversjon</v>
      </c>
      <c r="Y1670" s="1" t="s">
        <v>33722</v>
      </c>
      <c r="Z1670" s="1" t="s">
        <v>33722</v>
      </c>
      <c r="AA1670" s="7" t="str">
        <f>IFERROR(__xludf.DUMMYFUNCTION("GOOGLETRANSLATE(C1670, ""en"", ""ro"")"),"XEP-0237: Versiune în rostru")</f>
        <v>XEP-0237: Versiune în rostru</v>
      </c>
      <c r="AB1670" s="1" t="s">
        <v>33728</v>
      </c>
      <c r="AC1670" s="1" t="s">
        <v>33722</v>
      </c>
      <c r="AD1670" s="6" t="s">
        <v>132</v>
      </c>
      <c r="AE1670" s="1" t="s">
        <v>33729</v>
      </c>
      <c r="AF1670" s="1" t="s">
        <v>33722</v>
      </c>
      <c r="AG1670" s="6" t="s">
        <v>132</v>
      </c>
      <c r="AH1670" s="7" t="str">
        <f>IFERROR(__xludf.DUMMYFUNCTION("GOOGLETRANSLATE(C1670, ""en"", ""tr"")"),"XEP-0237: Kadrosu Sürüm")</f>
        <v>XEP-0237: Kadrosu Sürüm</v>
      </c>
      <c r="AI1670" s="6" t="s">
        <v>33730</v>
      </c>
      <c r="AJ1670" s="6" t="s">
        <v>33731</v>
      </c>
      <c r="AK1670" s="7" t="str">
        <f>IFERROR(__xludf.DUMMYFUNCTION("GOOGLETRANSLATE(C1670, ""en"", ""zh"")"),"XEP-0237：名单版本控制")</f>
        <v>XEP-0237：名单版本控制</v>
      </c>
      <c r="AL1670" s="6" t="s">
        <v>33732</v>
      </c>
    </row>
    <row r="1671" ht="15.75" hidden="1" customHeight="1">
      <c r="A1671" s="1" t="s">
        <v>38</v>
      </c>
      <c r="B1671" s="1" t="s">
        <v>33733</v>
      </c>
      <c r="C1671" s="1" t="s">
        <v>5324</v>
      </c>
      <c r="D1671" s="8" t="s">
        <v>33734</v>
      </c>
      <c r="E1671" s="1" t="s">
        <v>5325</v>
      </c>
      <c r="F1671" s="6" t="s">
        <v>33735</v>
      </c>
      <c r="G1671" s="7" t="str">
        <f>IFERROR(__xludf.DUMMYFUNCTION("GOOGLETRANSLATE(C1671, ""en"", ""cs"")"),"Zobrazit umístění")</f>
        <v>Zobrazit umístění</v>
      </c>
      <c r="H1671" s="7" t="str">
        <f>IFERROR(__xludf.DUMMYFUNCTION("GOOGLETRANSLATE(C1671, ""en"", ""da"")"),"Vis beliggenhed")</f>
        <v>Vis beliggenhed</v>
      </c>
      <c r="I1671" s="1" t="s">
        <v>5327</v>
      </c>
      <c r="J1671" s="6" t="s">
        <v>132</v>
      </c>
      <c r="K1671" s="1" t="s">
        <v>5328</v>
      </c>
      <c r="L1671" s="7" t="str">
        <f>IFERROR(__xludf.DUMMYFUNCTION("GOOGLETRANSLATE(C1671, ""en"", ""fi"")"),"Näytä sijainti")</f>
        <v>Näytä sijainti</v>
      </c>
      <c r="M1671" s="1" t="s">
        <v>5329</v>
      </c>
      <c r="N1671" s="6" t="s">
        <v>5330</v>
      </c>
      <c r="O1671" s="6" t="s">
        <v>132</v>
      </c>
      <c r="P1671" s="1" t="s">
        <v>33736</v>
      </c>
      <c r="Q1671" s="9" t="s">
        <v>33737</v>
      </c>
      <c r="R1671" s="1" t="s">
        <v>5332</v>
      </c>
      <c r="S1671" s="6" t="s">
        <v>132</v>
      </c>
      <c r="T1671" s="1" t="s">
        <v>33738</v>
      </c>
      <c r="U1671" s="1" t="s">
        <v>33739</v>
      </c>
      <c r="V1671" s="7" t="str">
        <f>IFERROR(__xludf.DUMMYFUNCTION("GOOGLETRANSLATE(C1671, ""en"", ""ms"")"),"Tunjukkan lokasi")</f>
        <v>Tunjukkan lokasi</v>
      </c>
      <c r="W1671" s="1" t="s">
        <v>5333</v>
      </c>
      <c r="X1671" s="7" t="str">
        <f>IFERROR(__xludf.DUMMYFUNCTION("GOOGLETRANSLATE(C1671, ""en"", ""no"")"),"Vis sted")</f>
        <v>Vis sted</v>
      </c>
      <c r="Y1671" s="1" t="s">
        <v>5334</v>
      </c>
      <c r="Z1671" s="1" t="s">
        <v>33740</v>
      </c>
      <c r="AA1671" s="7" t="str">
        <f>IFERROR(__xludf.DUMMYFUNCTION("GOOGLETRANSLATE(C1671, ""en"", ""ro"")"),"Afișați locația")</f>
        <v>Afișați locația</v>
      </c>
      <c r="AB1671" s="1" t="s">
        <v>5335</v>
      </c>
      <c r="AC1671" s="1" t="s">
        <v>33741</v>
      </c>
      <c r="AD1671" s="6" t="s">
        <v>132</v>
      </c>
      <c r="AE1671" s="1" t="s">
        <v>5336</v>
      </c>
      <c r="AF1671" s="1" t="s">
        <v>33742</v>
      </c>
      <c r="AG1671" s="6" t="s">
        <v>132</v>
      </c>
      <c r="AH1671" s="7" t="str">
        <f>IFERROR(__xludf.DUMMYFUNCTION("GOOGLETRANSLATE(C1671, ""en"", ""tr"")"),"Konumu göster")</f>
        <v>Konumu göster</v>
      </c>
      <c r="AI1671" s="6" t="s">
        <v>33743</v>
      </c>
      <c r="AJ1671" s="6" t="s">
        <v>33744</v>
      </c>
      <c r="AK1671" s="7" t="str">
        <f>IFERROR(__xludf.DUMMYFUNCTION("GOOGLETRANSLATE(C1671, ""en"", ""zh"")"),"显示位置")</f>
        <v>显示位置</v>
      </c>
      <c r="AL1671" s="6" t="s">
        <v>33745</v>
      </c>
    </row>
    <row r="1672" ht="15.75" hidden="1" customHeight="1">
      <c r="A1672" s="1" t="s">
        <v>38</v>
      </c>
      <c r="B1672" s="1" t="s">
        <v>33746</v>
      </c>
      <c r="C1672" s="1" t="s">
        <v>33747</v>
      </c>
      <c r="D1672" s="8" t="s">
        <v>33748</v>
      </c>
      <c r="E1672" s="1" t="s">
        <v>33749</v>
      </c>
      <c r="F1672" s="6" t="s">
        <v>33750</v>
      </c>
      <c r="G1672" s="7" t="str">
        <f>IFERROR(__xludf.DUMMYFUNCTION("GOOGLETRANSLATE(C1672, ""en"", ""cs"")"),"Upozornit pouze v případě zmínění")</f>
        <v>Upozornit pouze v případě zmínění</v>
      </c>
      <c r="H1672" s="7" t="str">
        <f>IFERROR(__xludf.DUMMYFUNCTION("GOOGLETRANSLATE(C1672, ""en"", ""da"")"),"Kun kun underrette når de er nævnt")</f>
        <v>Kun kun underrette når de er nævnt</v>
      </c>
      <c r="I1672" s="1" t="s">
        <v>33751</v>
      </c>
      <c r="J1672" s="6" t="s">
        <v>132</v>
      </c>
      <c r="K1672" s="1" t="s">
        <v>33752</v>
      </c>
      <c r="L1672" s="7" t="str">
        <f>IFERROR(__xludf.DUMMYFUNCTION("GOOGLETRANSLATE(C1672, ""en"", ""fi"")"),"Ilmoita vain, kun mainittiin")</f>
        <v>Ilmoita vain, kun mainittiin</v>
      </c>
      <c r="M1672" s="1" t="s">
        <v>33753</v>
      </c>
      <c r="N1672" s="6" t="s">
        <v>33754</v>
      </c>
      <c r="O1672" s="6" t="s">
        <v>132</v>
      </c>
      <c r="P1672" s="1" t="s">
        <v>33755</v>
      </c>
      <c r="Q1672" s="7" t="str">
        <f>IFERROR(__xludf.DUMMYFUNCTION("GOOGLETRANSLATE(C1672, ""en"", ""in"")"),"Beritahu hanya ketika disebutkan")</f>
        <v>Beritahu hanya ketika disebutkan</v>
      </c>
      <c r="R1672" s="1" t="s">
        <v>33756</v>
      </c>
      <c r="S1672" s="6" t="s">
        <v>132</v>
      </c>
      <c r="T1672" s="1" t="s">
        <v>33757</v>
      </c>
      <c r="U1672" s="7" t="str">
        <f>IFERROR(__xludf.DUMMYFUNCTION("GOOGLETRANSLATE(C1672, ""en"", ""ko"")"),"언급 된 경우에만 알림하십시오")</f>
        <v>언급 된 경우에만 알림하십시오</v>
      </c>
      <c r="V1672" s="7" t="str">
        <f>IFERROR(__xludf.DUMMYFUNCTION("GOOGLETRANSLATE(C1672, ""en"", ""ms"")"),"Beritahu hanya apabila disebutkan")</f>
        <v>Beritahu hanya apabila disebutkan</v>
      </c>
      <c r="W1672" s="1" t="s">
        <v>33758</v>
      </c>
      <c r="X1672" s="7" t="str">
        <f>IFERROR(__xludf.DUMMYFUNCTION("GOOGLETRANSLATE(C1672, ""en"", ""no"")"),"Varsle bare når det er nevnt")</f>
        <v>Varsle bare når det er nevnt</v>
      </c>
      <c r="Y1672" s="1" t="s">
        <v>33759</v>
      </c>
      <c r="Z1672" s="1" t="s">
        <v>33760</v>
      </c>
      <c r="AA1672" s="7" t="str">
        <f>IFERROR(__xludf.DUMMYFUNCTION("GOOGLETRANSLATE(C1672, ""en"", ""ro"")"),"Notificați numai atunci când este menționat")</f>
        <v>Notificați numai atunci când este menționat</v>
      </c>
      <c r="AB1672" s="1" t="s">
        <v>33761</v>
      </c>
      <c r="AC1672" s="7" t="str">
        <f>IFERROR(__xludf.DUMMYFUNCTION("GOOGLETRANSLATE(C1672, ""en"", ""sk"")"),"Upozorniť len vtedy, keď je uvedené")</f>
        <v>Upozorniť len vtedy, keď je uvedené</v>
      </c>
      <c r="AD1672" s="6" t="s">
        <v>132</v>
      </c>
      <c r="AE1672" s="7" t="str">
        <f>IFERROR(__xludf.DUMMYFUNCTION("GOOGLETRANSLATE(C1672, ""en"", ""sr"")"),"Обавестите само када је поменуто")</f>
        <v>Обавестите само када је поменуто</v>
      </c>
      <c r="AF1672" s="7" t="str">
        <f>IFERROR(__xludf.DUMMYFUNCTION("GOOGLETRANSLATE(C1672, ""en"", ""sv"")"),"Anmäla endast när det nämns")</f>
        <v>Anmäla endast när det nämns</v>
      </c>
      <c r="AG1672" s="6" t="s">
        <v>132</v>
      </c>
      <c r="AH1672" s="7" t="str">
        <f>IFERROR(__xludf.DUMMYFUNCTION("GOOGLETRANSLATE(C1672, ""en"", ""tr"")"),"Sadece belirtildiğinde bildir")</f>
        <v>Sadece belirtildiğinde bildir</v>
      </c>
      <c r="AI1672" s="6" t="s">
        <v>33762</v>
      </c>
      <c r="AJ1672" s="6" t="s">
        <v>132</v>
      </c>
      <c r="AK1672" s="7" t="str">
        <f>IFERROR(__xludf.DUMMYFUNCTION("GOOGLETRANSLATE(C1672, ""en"", ""zh"")"),"仅在提到时才通知")</f>
        <v>仅在提到时才通知</v>
      </c>
      <c r="AL1672" s="6" t="s">
        <v>132</v>
      </c>
    </row>
    <row r="1673" ht="15.75" hidden="1" customHeight="1">
      <c r="A1673" s="1" t="s">
        <v>38</v>
      </c>
      <c r="B1673" s="1" t="s">
        <v>33763</v>
      </c>
      <c r="C1673" s="1" t="s">
        <v>33764</v>
      </c>
      <c r="D1673" s="7" t="str">
        <f>IFERROR(__xludf.DUMMYFUNCTION("GOOGLETRANSLATE(C1673, ""en"", ""ar"")"),"بدء محادثة جديدة")</f>
        <v>بدء محادثة جديدة</v>
      </c>
      <c r="E1673" s="7" t="str">
        <f>IFERROR(__xludf.DUMMYFUNCTION("GOOGLETRANSLATE(C1673, ""en"", ""bg"")"),"Започнете нов разговор")</f>
        <v>Започнете нов разговор</v>
      </c>
      <c r="F1673" s="6" t="s">
        <v>132</v>
      </c>
      <c r="G1673" s="7" t="str">
        <f>IFERROR(__xludf.DUMMYFUNCTION("GOOGLETRANSLATE(C1673, ""en"", ""cs"")"),"Začněte novou konverzaci")</f>
        <v>Začněte novou konverzaci</v>
      </c>
      <c r="H1673" s="7" t="str">
        <f>IFERROR(__xludf.DUMMYFUNCTION("GOOGLETRANSLATE(C1673, ""en"", ""da"")"),"Start ny samtale")</f>
        <v>Start ny samtale</v>
      </c>
      <c r="I1673" s="1" t="s">
        <v>33765</v>
      </c>
      <c r="J1673" s="6" t="s">
        <v>132</v>
      </c>
      <c r="K1673" s="1" t="s">
        <v>33766</v>
      </c>
      <c r="L1673" s="7" t="str">
        <f>IFERROR(__xludf.DUMMYFUNCTION("GOOGLETRANSLATE(C1673, ""en"", ""fi"")"),"Aloita uusi keskustelu")</f>
        <v>Aloita uusi keskustelu</v>
      </c>
      <c r="M1673" s="1" t="s">
        <v>33767</v>
      </c>
      <c r="N1673" s="6" t="s">
        <v>132</v>
      </c>
      <c r="O1673" s="6" t="s">
        <v>132</v>
      </c>
      <c r="P1673" s="1" t="s">
        <v>33768</v>
      </c>
      <c r="Q1673" s="7" t="str">
        <f>IFERROR(__xludf.DUMMYFUNCTION("GOOGLETRANSLATE(C1673, ""en"", ""in"")"),"Mulai percakapan baru")</f>
        <v>Mulai percakapan baru</v>
      </c>
      <c r="R1673" s="7" t="str">
        <f>IFERROR(__xludf.DUMMYFUNCTION("GOOGLETRANSLATE(C1673, ""en"", ""it"")"),"Inizia una nuova conversazione")</f>
        <v>Inizia una nuova conversazione</v>
      </c>
      <c r="S1673" s="6" t="s">
        <v>132</v>
      </c>
      <c r="T1673" s="7" t="str">
        <f>IFERROR(__xludf.DUMMYFUNCTION("GOOGLETRANSLATE(C1673, ""en"", ""ja"")"),"新しい会話を始めましょう")</f>
        <v>新しい会話を始めましょう</v>
      </c>
      <c r="U1673" s="7" t="str">
        <f>IFERROR(__xludf.DUMMYFUNCTION("GOOGLETRANSLATE(C1673, ""en"", ""ko"")"),"새로운 대화를 시작하십시오")</f>
        <v>새로운 대화를 시작하십시오</v>
      </c>
      <c r="V1673" s="7" t="str">
        <f>IFERROR(__xludf.DUMMYFUNCTION("GOOGLETRANSLATE(C1673, ""en"", ""ms"")"),"Mulakan perbualan baru")</f>
        <v>Mulakan perbualan baru</v>
      </c>
      <c r="W1673" s="7" t="str">
        <f>IFERROR(__xludf.DUMMYFUNCTION("GOOGLETRANSLATE(C1673, ""en"", ""nl"")"),"Start een nieuw gesprek")</f>
        <v>Start een nieuw gesprek</v>
      </c>
      <c r="X1673" s="7" t="str">
        <f>IFERROR(__xludf.DUMMYFUNCTION("GOOGLETRANSLATE(C1673, ""en"", ""no"")"),"Start ny samtale")</f>
        <v>Start ny samtale</v>
      </c>
      <c r="Y1673" s="7" t="str">
        <f>IFERROR(__xludf.DUMMYFUNCTION("GOOGLETRANSLATE(C1673, ""en"", ""pl"")"),"Rozpocznij nową rozmowę.")</f>
        <v>Rozpocznij nową rozmowę.</v>
      </c>
      <c r="Z1673" s="7" t="str">
        <f>IFERROR(__xludf.DUMMYFUNCTION("GOOGLETRANSLATE(C1673, ""en"", ""pt"")"),"Comece a nova conversa")</f>
        <v>Comece a nova conversa</v>
      </c>
      <c r="AA1673" s="7" t="str">
        <f>IFERROR(__xludf.DUMMYFUNCTION("GOOGLETRANSLATE(C1673, ""en"", ""ro"")"),"Porniți o nouă conversație")</f>
        <v>Porniți o nouă conversație</v>
      </c>
      <c r="AB1673" s="1" t="s">
        <v>33769</v>
      </c>
      <c r="AC1673" s="7" t="str">
        <f>IFERROR(__xludf.DUMMYFUNCTION("GOOGLETRANSLATE(C1673, ""en"", ""sk"")"),"Začiatok novej konverzácie")</f>
        <v>Začiatok novej konverzácie</v>
      </c>
      <c r="AD1673" s="6" t="s">
        <v>132</v>
      </c>
      <c r="AE1673" s="1" t="s">
        <v>33770</v>
      </c>
      <c r="AF1673" s="7" t="str">
        <f>IFERROR(__xludf.DUMMYFUNCTION("GOOGLETRANSLATE(C1673, ""en"", ""sv"")"),"Starta ny konversation")</f>
        <v>Starta ny konversation</v>
      </c>
      <c r="AG1673" s="6" t="s">
        <v>132</v>
      </c>
      <c r="AH1673" s="7" t="str">
        <f>IFERROR(__xludf.DUMMYFUNCTION("GOOGLETRANSLATE(C1673, ""en"", ""tr"")"),"Yeni konuşmaya başla")</f>
        <v>Yeni konuşmaya başla</v>
      </c>
      <c r="AI1673" s="6" t="s">
        <v>132</v>
      </c>
      <c r="AJ1673" s="6" t="s">
        <v>132</v>
      </c>
      <c r="AK1673" s="7" t="str">
        <f>IFERROR(__xludf.DUMMYFUNCTION("GOOGLETRANSLATE(C1673, ""en"", ""zh"")"),"开始新的对话")</f>
        <v>开始新的对话</v>
      </c>
      <c r="AL1673" s="6" t="s">
        <v>132</v>
      </c>
    </row>
    <row r="1674" ht="15.75" hidden="1" customHeight="1">
      <c r="A1674" s="1" t="s">
        <v>38</v>
      </c>
      <c r="B1674" s="1" t="s">
        <v>33771</v>
      </c>
      <c r="C1674" s="1" t="s">
        <v>33772</v>
      </c>
      <c r="D1674" s="7" t="str">
        <f>IFERROR(__xludf.DUMMYFUNCTION("GOOGLETRANSLATE(C1674, ""en"", ""ar"")"),"غامبيا")</f>
        <v>غامبيا</v>
      </c>
      <c r="E1674" s="7" t="str">
        <f>IFERROR(__xludf.DUMMYFUNCTION("GOOGLETRANSLATE(C1674, ""en"", ""bg"")"),"Гамбия")</f>
        <v>Гамбия</v>
      </c>
      <c r="F1674" s="6" t="s">
        <v>132</v>
      </c>
      <c r="G1674" s="7" t="str">
        <f>IFERROR(__xludf.DUMMYFUNCTION("GOOGLETRANSLATE(C1674, ""en"", ""cs"")"),"Gambie")</f>
        <v>Gambie</v>
      </c>
      <c r="H1674" s="7" t="str">
        <f>IFERROR(__xludf.DUMMYFUNCTION("GOOGLETRANSLATE(C1674, ""en"", ""da"")"),"Gambia.")</f>
        <v>Gambia.</v>
      </c>
      <c r="I1674" s="1" t="s">
        <v>33772</v>
      </c>
      <c r="J1674" s="6" t="s">
        <v>132</v>
      </c>
      <c r="K1674" s="1" t="s">
        <v>33772</v>
      </c>
      <c r="L1674" s="7" t="str">
        <f>IFERROR(__xludf.DUMMYFUNCTION("GOOGLETRANSLATE(C1674, ""en"", ""fi"")"),"Gambia")</f>
        <v>Gambia</v>
      </c>
      <c r="M1674" s="1" t="s">
        <v>33773</v>
      </c>
      <c r="N1674" s="6" t="s">
        <v>132</v>
      </c>
      <c r="O1674" s="6" t="s">
        <v>132</v>
      </c>
      <c r="P1674" s="1" t="s">
        <v>33772</v>
      </c>
      <c r="Q1674" s="7" t="str">
        <f>IFERROR(__xludf.DUMMYFUNCTION("GOOGLETRANSLATE(C1674, ""en"", ""in"")"),"Gambia")</f>
        <v>Gambia</v>
      </c>
      <c r="R1674" s="7" t="str">
        <f>IFERROR(__xludf.DUMMYFUNCTION("GOOGLETRANSLATE(C1674, ""en"", ""it"")"),"Gambia")</f>
        <v>Gambia</v>
      </c>
      <c r="S1674" s="6" t="s">
        <v>132</v>
      </c>
      <c r="T1674" s="7" t="str">
        <f>IFERROR(__xludf.DUMMYFUNCTION("GOOGLETRANSLATE(C1674, ""en"", ""ja"")"),"ガンビア")</f>
        <v>ガンビア</v>
      </c>
      <c r="U1674" s="7" t="str">
        <f>IFERROR(__xludf.DUMMYFUNCTION("GOOGLETRANSLATE(C1674, ""en"", ""ko"")"),"감비아")</f>
        <v>감비아</v>
      </c>
      <c r="V1674" s="7" t="str">
        <f>IFERROR(__xludf.DUMMYFUNCTION("GOOGLETRANSLATE(C1674, ""en"", ""ms"")"),"Gambia.")</f>
        <v>Gambia.</v>
      </c>
      <c r="W1674" s="7" t="str">
        <f>IFERROR(__xludf.DUMMYFUNCTION("GOOGLETRANSLATE(C1674, ""en"", ""nl"")"),"Gambia")</f>
        <v>Gambia</v>
      </c>
      <c r="X1674" s="7" t="str">
        <f>IFERROR(__xludf.DUMMYFUNCTION("GOOGLETRANSLATE(C1674, ""en"", ""no"")"),"Gambia.")</f>
        <v>Gambia.</v>
      </c>
      <c r="Y1674" s="7" t="str">
        <f>IFERROR(__xludf.DUMMYFUNCTION("GOOGLETRANSLATE(C1674, ""en"", ""pl"")"),"Gambia.")</f>
        <v>Gambia.</v>
      </c>
      <c r="Z1674" s="7" t="str">
        <f>IFERROR(__xludf.DUMMYFUNCTION("GOOGLETRANSLATE(C1674, ""en"", ""pt"")"),"Gâmbia")</f>
        <v>Gâmbia</v>
      </c>
      <c r="AA1674" s="7" t="str">
        <f>IFERROR(__xludf.DUMMYFUNCTION("GOOGLETRANSLATE(C1674, ""en"", ""ro"")"),"Gambia.")</f>
        <v>Gambia.</v>
      </c>
      <c r="AB1674" s="1" t="s">
        <v>33774</v>
      </c>
      <c r="AC1674" s="7" t="str">
        <f>IFERROR(__xludf.DUMMYFUNCTION("GOOGLETRANSLATE(C1674, ""en"", ""sk"")"),"Gambia")</f>
        <v>Gambia</v>
      </c>
      <c r="AD1674" s="6" t="s">
        <v>132</v>
      </c>
      <c r="AE1674" s="1" t="s">
        <v>33775</v>
      </c>
      <c r="AF1674" s="7" t="str">
        <f>IFERROR(__xludf.DUMMYFUNCTION("GOOGLETRANSLATE(C1674, ""en"", ""sv"")"),"Gambia")</f>
        <v>Gambia</v>
      </c>
      <c r="AG1674" s="6" t="s">
        <v>132</v>
      </c>
      <c r="AH1674" s="7" t="str">
        <f>IFERROR(__xludf.DUMMYFUNCTION("GOOGLETRANSLATE(C1674, ""en"", ""tr"")"),"Gambiya")</f>
        <v>Gambiya</v>
      </c>
      <c r="AI1674" s="6" t="s">
        <v>132</v>
      </c>
      <c r="AJ1674" s="6" t="s">
        <v>132</v>
      </c>
      <c r="AK1674" s="7" t="str">
        <f>IFERROR(__xludf.DUMMYFUNCTION("GOOGLETRANSLATE(C1674, ""en"", ""zh"")"),"冈比亚")</f>
        <v>冈比亚</v>
      </c>
      <c r="AL1674" s="6" t="s">
        <v>132</v>
      </c>
    </row>
    <row r="1675" ht="15.75" customHeight="1">
      <c r="A1675" s="1" t="s">
        <v>127</v>
      </c>
      <c r="B1675" s="1" t="s">
        <v>33776</v>
      </c>
      <c r="C1675" s="1" t="s">
        <v>33777</v>
      </c>
      <c r="D1675" s="8" t="s">
        <v>33778</v>
      </c>
      <c r="E1675" s="1" t="s">
        <v>33779</v>
      </c>
      <c r="F1675" s="6" t="s">
        <v>132</v>
      </c>
      <c r="G1675" s="1" t="s">
        <v>33780</v>
      </c>
      <c r="H1675" s="1" t="s">
        <v>33781</v>
      </c>
      <c r="I1675" s="1" t="s">
        <v>33782</v>
      </c>
      <c r="J1675" s="6" t="s">
        <v>33783</v>
      </c>
      <c r="K1675" s="1" t="s">
        <v>33784</v>
      </c>
      <c r="L1675" s="1" t="s">
        <v>33785</v>
      </c>
      <c r="M1675" s="1" t="s">
        <v>33786</v>
      </c>
      <c r="N1675" s="6" t="s">
        <v>132</v>
      </c>
      <c r="O1675" s="6" t="s">
        <v>33787</v>
      </c>
      <c r="P1675" s="1" t="s">
        <v>33788</v>
      </c>
      <c r="Q1675" s="1" t="s">
        <v>33789</v>
      </c>
      <c r="R1675" s="1" t="s">
        <v>33790</v>
      </c>
      <c r="S1675" s="10" t="s">
        <v>33791</v>
      </c>
      <c r="T1675" s="1" t="s">
        <v>33792</v>
      </c>
      <c r="U1675" s="1" t="s">
        <v>33793</v>
      </c>
      <c r="V1675" s="1" t="s">
        <v>33789</v>
      </c>
      <c r="W1675" s="1" t="s">
        <v>33794</v>
      </c>
      <c r="X1675" s="1" t="s">
        <v>33795</v>
      </c>
      <c r="Y1675" s="1" t="s">
        <v>33796</v>
      </c>
      <c r="Z1675" s="1" t="s">
        <v>33797</v>
      </c>
      <c r="AA1675" s="1" t="s">
        <v>33798</v>
      </c>
      <c r="AB1675" s="1" t="s">
        <v>33799</v>
      </c>
      <c r="AC1675" s="1" t="s">
        <v>33800</v>
      </c>
      <c r="AD1675" s="6" t="s">
        <v>33801</v>
      </c>
      <c r="AE1675" s="1" t="s">
        <v>33802</v>
      </c>
      <c r="AF1675" s="1" t="s">
        <v>33803</v>
      </c>
      <c r="AG1675" s="6" t="s">
        <v>33804</v>
      </c>
      <c r="AH1675" s="1" t="s">
        <v>33805</v>
      </c>
      <c r="AI1675" s="6" t="s">
        <v>132</v>
      </c>
      <c r="AJ1675" s="6" t="s">
        <v>33806</v>
      </c>
      <c r="AK1675" s="1" t="s">
        <v>33807</v>
      </c>
      <c r="AL1675" s="6" t="s">
        <v>132</v>
      </c>
    </row>
    <row r="1676" ht="15.75" hidden="1" customHeight="1">
      <c r="A1676" s="1" t="s">
        <v>38</v>
      </c>
      <c r="B1676" s="1" t="s">
        <v>33808</v>
      </c>
      <c r="C1676" s="1" t="s">
        <v>33809</v>
      </c>
      <c r="D1676" s="7" t="str">
        <f>IFERROR(__xludf.DUMMYFUNCTION("GOOGLETRANSLATE(C1676, ""en"", ""ar"")"),"جزر واليس وفوتونا")</f>
        <v>جزر واليس وفوتونا</v>
      </c>
      <c r="E1676" s="7" t="str">
        <f>IFERROR(__xludf.DUMMYFUNCTION("GOOGLETRANSLATE(C1676, ""en"", ""bg"")"),"Wallis и Futuna Islands")</f>
        <v>Wallis и Futuna Islands</v>
      </c>
      <c r="F1676" s="6" t="s">
        <v>132</v>
      </c>
      <c r="G1676" s="7" t="str">
        <f>IFERROR(__xludf.DUMMYFUNCTION("GOOGLETRANSLATE(C1676, ""en"", ""cs"")"),"Wallis a Futuna ostrovy")</f>
        <v>Wallis a Futuna ostrovy</v>
      </c>
      <c r="H1676" s="7" t="str">
        <f>IFERROR(__xludf.DUMMYFUNCTION("GOOGLETRANSLATE(C1676, ""en"", ""da"")"),"Wallis og Futuna Islands")</f>
        <v>Wallis og Futuna Islands</v>
      </c>
      <c r="I1676" s="1" t="s">
        <v>33810</v>
      </c>
      <c r="J1676" s="6" t="s">
        <v>132</v>
      </c>
      <c r="K1676" s="1" t="s">
        <v>33811</v>
      </c>
      <c r="L1676" s="7" t="str">
        <f>IFERROR(__xludf.DUMMYFUNCTION("GOOGLETRANSLATE(C1676, ""en"", ""fi"")"),"Wallis ja Futunasaaret")</f>
        <v>Wallis ja Futunasaaret</v>
      </c>
      <c r="M1676" s="1" t="s">
        <v>33812</v>
      </c>
      <c r="N1676" s="6" t="s">
        <v>132</v>
      </c>
      <c r="O1676" s="6" t="s">
        <v>132</v>
      </c>
      <c r="P1676" s="1" t="s">
        <v>33809</v>
      </c>
      <c r="Q1676" s="7" t="str">
        <f>IFERROR(__xludf.DUMMYFUNCTION("GOOGLETRANSLATE(C1676, ""en"", ""in"")"),"Pulau Wallis dan Futuna")</f>
        <v>Pulau Wallis dan Futuna</v>
      </c>
      <c r="R1676" s="7" t="str">
        <f>IFERROR(__xludf.DUMMYFUNCTION("GOOGLETRANSLATE(C1676, ""en"", ""it"")"),"Wallis e Isole Futuna")</f>
        <v>Wallis e Isole Futuna</v>
      </c>
      <c r="S1676" s="6" t="s">
        <v>132</v>
      </c>
      <c r="T1676" s="7" t="str">
        <f>IFERROR(__xludf.DUMMYFUNCTION("GOOGLETRANSLATE(C1676, ""en"", ""ja"")"),"ウォリスとフューナ諸島")</f>
        <v>ウォリスとフューナ諸島</v>
      </c>
      <c r="U1676" s="7" t="str">
        <f>IFERROR(__xludf.DUMMYFUNCTION("GOOGLETRANSLATE(C1676, ""en"", ""ko"")"),"월리스와 퓨 투나 제도")</f>
        <v>월리스와 퓨 투나 제도</v>
      </c>
      <c r="V1676" s="7" t="str">
        <f>IFERROR(__xludf.DUMMYFUNCTION("GOOGLETRANSLATE(C1676, ""en"", ""ms"")"),"Wallis dan Kepulauan Futuna")</f>
        <v>Wallis dan Kepulauan Futuna</v>
      </c>
      <c r="W1676" s="7" t="str">
        <f>IFERROR(__xludf.DUMMYFUNCTION("GOOGLETRANSLATE(C1676, ""en"", ""nl"")"),"Wallis en Futuna-eilanden")</f>
        <v>Wallis en Futuna-eilanden</v>
      </c>
      <c r="X1676" s="7" t="str">
        <f>IFERROR(__xludf.DUMMYFUNCTION("GOOGLETRANSLATE(C1676, ""en"", ""no"")"),"Wallis og Futuna Islands")</f>
        <v>Wallis og Futuna Islands</v>
      </c>
      <c r="Y1676" s="7" t="str">
        <f>IFERROR(__xludf.DUMMYFUNCTION("GOOGLETRANSLATE(C1676, ""en"", ""pl"")"),"Wallis i Futuna")</f>
        <v>Wallis i Futuna</v>
      </c>
      <c r="Z1676" s="7" t="str">
        <f>IFERROR(__xludf.DUMMYFUNCTION("GOOGLETRANSLATE(C1676, ""en"", ""pt"")"),"Ilhas Wallis e Futuna")</f>
        <v>Ilhas Wallis e Futuna</v>
      </c>
      <c r="AA1676" s="7" t="str">
        <f>IFERROR(__xludf.DUMMYFUNCTION("GOOGLETRANSLATE(C1676, ""en"", ""ro"")"),"Insulele Wallis și Futuna")</f>
        <v>Insulele Wallis și Futuna</v>
      </c>
      <c r="AB1676" s="1" t="s">
        <v>33813</v>
      </c>
      <c r="AC1676" s="7" t="str">
        <f>IFERROR(__xludf.DUMMYFUNCTION("GOOGLETRANSLATE(C1676, ""en"", ""sk"")"),"Wallis a Futuna Islands")</f>
        <v>Wallis a Futuna Islands</v>
      </c>
      <c r="AD1676" s="6" t="s">
        <v>132</v>
      </c>
      <c r="AE1676" s="1" t="s">
        <v>33814</v>
      </c>
      <c r="AF1676" s="7" t="str">
        <f>IFERROR(__xludf.DUMMYFUNCTION("GOOGLETRANSLATE(C1676, ""en"", ""sv"")"),"Wallis och Futuna Islands")</f>
        <v>Wallis och Futuna Islands</v>
      </c>
      <c r="AG1676" s="6" t="s">
        <v>132</v>
      </c>
      <c r="AH1676" s="7" t="str">
        <f>IFERROR(__xludf.DUMMYFUNCTION("GOOGLETRANSLATE(C1676, ""en"", ""tr"")"),"Wallis ve Futuna Adaları")</f>
        <v>Wallis ve Futuna Adaları</v>
      </c>
      <c r="AI1676" s="6" t="s">
        <v>132</v>
      </c>
      <c r="AJ1676" s="6" t="s">
        <v>132</v>
      </c>
      <c r="AK1676" s="7" t="str">
        <f>IFERROR(__xludf.DUMMYFUNCTION("GOOGLETRANSLATE(C1676, ""en"", ""zh"")"),"瓦利斯和福纳群岛")</f>
        <v>瓦利斯和福纳群岛</v>
      </c>
      <c r="AL1676" s="6" t="s">
        <v>132</v>
      </c>
    </row>
    <row r="1677" ht="15.75" customHeight="1">
      <c r="A1677" s="1" t="s">
        <v>127</v>
      </c>
      <c r="B1677" s="1" t="s">
        <v>33815</v>
      </c>
      <c r="C1677" s="1" t="s">
        <v>32094</v>
      </c>
      <c r="D1677" s="8" t="s">
        <v>32095</v>
      </c>
      <c r="E1677" s="1" t="s">
        <v>32096</v>
      </c>
      <c r="F1677" s="6" t="s">
        <v>132</v>
      </c>
      <c r="G1677" s="1" t="s">
        <v>32097</v>
      </c>
      <c r="H1677" s="1" t="s">
        <v>32098</v>
      </c>
      <c r="I1677" s="1" t="s">
        <v>32099</v>
      </c>
      <c r="J1677" s="6" t="s">
        <v>32100</v>
      </c>
      <c r="K1677" s="1" t="s">
        <v>33816</v>
      </c>
      <c r="L1677" s="1" t="s">
        <v>32102</v>
      </c>
      <c r="M1677" s="1" t="s">
        <v>32103</v>
      </c>
      <c r="N1677" s="6" t="s">
        <v>132</v>
      </c>
      <c r="O1677" s="6" t="s">
        <v>32104</v>
      </c>
      <c r="P1677" s="1" t="s">
        <v>32105</v>
      </c>
      <c r="Q1677" s="1" t="s">
        <v>33817</v>
      </c>
      <c r="R1677" s="1" t="s">
        <v>32107</v>
      </c>
      <c r="S1677" s="10" t="s">
        <v>32108</v>
      </c>
      <c r="T1677" s="1" t="s">
        <v>32109</v>
      </c>
      <c r="U1677" s="1" t="s">
        <v>32110</v>
      </c>
      <c r="V1677" s="1" t="s">
        <v>32111</v>
      </c>
      <c r="W1677" s="1" t="s">
        <v>32112</v>
      </c>
      <c r="X1677" s="1" t="s">
        <v>32113</v>
      </c>
      <c r="Y1677" s="1" t="s">
        <v>32114</v>
      </c>
      <c r="Z1677" s="1" t="s">
        <v>33818</v>
      </c>
      <c r="AA1677" s="1" t="s">
        <v>33819</v>
      </c>
      <c r="AB1677" s="1" t="s">
        <v>16146</v>
      </c>
      <c r="AC1677" s="1" t="s">
        <v>32117</v>
      </c>
      <c r="AD1677" s="6" t="s">
        <v>32118</v>
      </c>
      <c r="AE1677" s="1" t="s">
        <v>32119</v>
      </c>
      <c r="AF1677" s="1" t="s">
        <v>32120</v>
      </c>
      <c r="AG1677" s="6" t="s">
        <v>32121</v>
      </c>
      <c r="AH1677" s="1" t="s">
        <v>33820</v>
      </c>
      <c r="AI1677" s="6" t="s">
        <v>132</v>
      </c>
      <c r="AJ1677" s="6" t="s">
        <v>32123</v>
      </c>
      <c r="AK1677" s="1" t="s">
        <v>32124</v>
      </c>
      <c r="AL1677" s="6" t="s">
        <v>32125</v>
      </c>
    </row>
    <row r="1678" ht="15.75" hidden="1" customHeight="1">
      <c r="A1678" s="1" t="s">
        <v>38</v>
      </c>
      <c r="B1678" s="1" t="s">
        <v>33821</v>
      </c>
      <c r="C1678" s="1" t="s">
        <v>33822</v>
      </c>
      <c r="D1678" s="8" t="s">
        <v>33823</v>
      </c>
      <c r="E1678" s="1" t="s">
        <v>33824</v>
      </c>
      <c r="F1678" s="6" t="s">
        <v>33825</v>
      </c>
      <c r="G1678" s="7" t="str">
        <f>IFERROR(__xludf.DUMMYFUNCTION("GOOGLETRANSLATE(C1678, ""en"", ""cs"")"),"Zadejte text z obrázku výše")</f>
        <v>Zadejte text z obrázku výše</v>
      </c>
      <c r="H1678" s="7" t="str">
        <f>IFERROR(__xludf.DUMMYFUNCTION("GOOGLETRANSLATE(C1678, ""en"", ""da"")"),"Indtast teksten fra billedet ovenfor")</f>
        <v>Indtast teksten fra billedet ovenfor</v>
      </c>
      <c r="I1678" s="1" t="s">
        <v>33826</v>
      </c>
      <c r="J1678" s="6" t="s">
        <v>132</v>
      </c>
      <c r="K1678" s="1" t="s">
        <v>33827</v>
      </c>
      <c r="L1678" s="7" t="str">
        <f>IFERROR(__xludf.DUMMYFUNCTION("GOOGLETRANSLATE(C1678, ""en"", ""fi"")"),"Anna teksti yllä olevasta kuvasta")</f>
        <v>Anna teksti yllä olevasta kuvasta</v>
      </c>
      <c r="M1678" s="1" t="s">
        <v>33828</v>
      </c>
      <c r="N1678" s="6" t="s">
        <v>33829</v>
      </c>
      <c r="O1678" s="6" t="s">
        <v>132</v>
      </c>
      <c r="P1678" s="1" t="s">
        <v>33830</v>
      </c>
      <c r="Q1678" s="7" t="str">
        <f>IFERROR(__xludf.DUMMYFUNCTION("GOOGLETRANSLATE(C1678, ""en"", ""in"")"),"Masukkan teks dari gambar di atas")</f>
        <v>Masukkan teks dari gambar di atas</v>
      </c>
      <c r="R1678" s="1" t="s">
        <v>33831</v>
      </c>
      <c r="S1678" s="6" t="s">
        <v>132</v>
      </c>
      <c r="T1678" s="1" t="s">
        <v>33832</v>
      </c>
      <c r="U1678" s="1" t="s">
        <v>33833</v>
      </c>
      <c r="V1678" s="7" t="str">
        <f>IFERROR(__xludf.DUMMYFUNCTION("GOOGLETRANSLATE(C1678, ""en"", ""ms"")"),"Masukkan teks dari imej di atas")</f>
        <v>Masukkan teks dari imej di atas</v>
      </c>
      <c r="W1678" s="1" t="s">
        <v>33834</v>
      </c>
      <c r="X1678" s="7" t="str">
        <f>IFERROR(__xludf.DUMMYFUNCTION("GOOGLETRANSLATE(C1678, ""en"", ""no"")"),"Skriv inn teksten fra bildet ovenfor")</f>
        <v>Skriv inn teksten fra bildet ovenfor</v>
      </c>
      <c r="Y1678" s="1" t="s">
        <v>33835</v>
      </c>
      <c r="Z1678" s="1" t="s">
        <v>33836</v>
      </c>
      <c r="AA1678" s="7" t="str">
        <f>IFERROR(__xludf.DUMMYFUNCTION("GOOGLETRANSLATE(C1678, ""en"", ""ro"")"),"Introduceți textul din imaginea de mai sus")</f>
        <v>Introduceți textul din imaginea de mai sus</v>
      </c>
      <c r="AB1678" s="1" t="s">
        <v>33837</v>
      </c>
      <c r="AC1678" s="7" t="str">
        <f>IFERROR(__xludf.DUMMYFUNCTION("GOOGLETRANSLATE(C1678, ""en"", ""sk"")"),"Zadajte text z obrázku vyššie")</f>
        <v>Zadajte text z obrázku vyššie</v>
      </c>
      <c r="AD1678" s="6" t="s">
        <v>132</v>
      </c>
      <c r="AE1678" s="1" t="s">
        <v>33838</v>
      </c>
      <c r="AF1678" s="1" t="s">
        <v>33839</v>
      </c>
      <c r="AG1678" s="6" t="s">
        <v>132</v>
      </c>
      <c r="AH1678" s="7" t="str">
        <f>IFERROR(__xludf.DUMMYFUNCTION("GOOGLETRANSLATE(C1678, ""en"", ""tr"")"),"Metni yukarıdaki resimden girin")</f>
        <v>Metni yukarıdaki resimden girin</v>
      </c>
      <c r="AI1678" s="6" t="s">
        <v>33840</v>
      </c>
      <c r="AJ1678" s="6" t="s">
        <v>132</v>
      </c>
      <c r="AK1678" s="7" t="str">
        <f>IFERROR(__xludf.DUMMYFUNCTION("GOOGLETRANSLATE(C1678, ""en"", ""zh"")"),"从上面的图像中输入文本")</f>
        <v>从上面的图像中输入文本</v>
      </c>
      <c r="AL1678" s="6" t="s">
        <v>33841</v>
      </c>
    </row>
    <row r="1679" ht="15.75" hidden="1" customHeight="1">
      <c r="A1679" s="1" t="s">
        <v>38</v>
      </c>
      <c r="B1679" s="1" t="s">
        <v>33842</v>
      </c>
      <c r="C1679" s="1" t="s">
        <v>33843</v>
      </c>
      <c r="D1679" s="8" t="s">
        <v>33844</v>
      </c>
      <c r="E1679" s="1" t="s">
        <v>33845</v>
      </c>
      <c r="F1679" s="6" t="s">
        <v>33846</v>
      </c>
      <c r="G1679" s="7" t="str">
        <f>IFERROR(__xludf.DUMMYFUNCTION("GOOGLETRANSLATE(C1679, ""en"", ""cs"")"),"Zelené pozadí")</f>
        <v>Zelené pozadí</v>
      </c>
      <c r="H1679" s="7" t="str">
        <f>IFERROR(__xludf.DUMMYFUNCTION("GOOGLETRANSLATE(C1679, ""en"", ""da"")"),"Grøn baggrund")</f>
        <v>Grøn baggrund</v>
      </c>
      <c r="I1679" s="1" t="s">
        <v>33847</v>
      </c>
      <c r="J1679" s="6" t="s">
        <v>132</v>
      </c>
      <c r="K1679" s="1" t="s">
        <v>33848</v>
      </c>
      <c r="L1679" s="7" t="str">
        <f>IFERROR(__xludf.DUMMYFUNCTION("GOOGLETRANSLATE(C1679, ""en"", ""fi"")"),"Vihreä tausta")</f>
        <v>Vihreä tausta</v>
      </c>
      <c r="M1679" s="1" t="s">
        <v>33849</v>
      </c>
      <c r="N1679" s="6" t="s">
        <v>33848</v>
      </c>
      <c r="O1679" s="6" t="s">
        <v>132</v>
      </c>
      <c r="P1679" s="1" t="s">
        <v>33850</v>
      </c>
      <c r="Q1679" s="9" t="s">
        <v>33851</v>
      </c>
      <c r="R1679" s="1" t="s">
        <v>33852</v>
      </c>
      <c r="S1679" s="6" t="s">
        <v>132</v>
      </c>
      <c r="T1679" s="1" t="s">
        <v>33853</v>
      </c>
      <c r="U1679" s="1" t="s">
        <v>33854</v>
      </c>
      <c r="V1679" s="7" t="str">
        <f>IFERROR(__xludf.DUMMYFUNCTION("GOOGLETRANSLATE(C1679, ""en"", ""ms"")"),"Latar Belakang Hijau.")</f>
        <v>Latar Belakang Hijau.</v>
      </c>
      <c r="W1679" s="1" t="s">
        <v>33855</v>
      </c>
      <c r="X1679" s="7" t="str">
        <f>IFERROR(__xludf.DUMMYFUNCTION("GOOGLETRANSLATE(C1679, ""en"", ""no"")"),"Grønn bakgrunn")</f>
        <v>Grønn bakgrunn</v>
      </c>
      <c r="Y1679" s="1" t="s">
        <v>33856</v>
      </c>
      <c r="Z1679" s="1" t="s">
        <v>33857</v>
      </c>
      <c r="AA1679" s="7" t="str">
        <f>IFERROR(__xludf.DUMMYFUNCTION("GOOGLETRANSLATE(C1679, ""en"", ""ro"")"),"Fundal verde")</f>
        <v>Fundal verde</v>
      </c>
      <c r="AB1679" s="1" t="s">
        <v>33858</v>
      </c>
      <c r="AC1679" s="7" t="str">
        <f>IFERROR(__xludf.DUMMYFUNCTION("GOOGLETRANSLATE(C1679, ""en"", ""sk"")"),"Zelené pozadie")</f>
        <v>Zelené pozadie</v>
      </c>
      <c r="AD1679" s="6" t="s">
        <v>132</v>
      </c>
      <c r="AE1679" s="1" t="s">
        <v>33859</v>
      </c>
      <c r="AF1679" s="1" t="s">
        <v>33860</v>
      </c>
      <c r="AG1679" s="6" t="s">
        <v>132</v>
      </c>
      <c r="AH1679" s="7" t="str">
        <f>IFERROR(__xludf.DUMMYFUNCTION("GOOGLETRANSLATE(C1679, ""en"", ""tr"")"),"Yeşil arka plan")</f>
        <v>Yeşil arka plan</v>
      </c>
      <c r="AI1679" s="6" t="s">
        <v>33861</v>
      </c>
      <c r="AJ1679" s="6" t="s">
        <v>132</v>
      </c>
      <c r="AK1679" s="7" t="str">
        <f>IFERROR(__xludf.DUMMYFUNCTION("GOOGLETRANSLATE(C1679, ""en"", ""zh"")"),"绿色背景")</f>
        <v>绿色背景</v>
      </c>
      <c r="AL1679" s="6" t="s">
        <v>33862</v>
      </c>
    </row>
    <row r="1680" ht="15.75" customHeight="1">
      <c r="A1680" s="1" t="s">
        <v>127</v>
      </c>
      <c r="B1680" s="1" t="s">
        <v>33863</v>
      </c>
      <c r="C1680" s="1" t="s">
        <v>33864</v>
      </c>
      <c r="D1680" s="8" t="s">
        <v>3099</v>
      </c>
      <c r="E1680" s="1" t="s">
        <v>3100</v>
      </c>
      <c r="F1680" s="6" t="s">
        <v>132</v>
      </c>
      <c r="G1680" s="1" t="s">
        <v>33864</v>
      </c>
      <c r="H1680" s="1" t="s">
        <v>33864</v>
      </c>
      <c r="I1680" s="1" t="s">
        <v>33864</v>
      </c>
      <c r="J1680" s="6" t="s">
        <v>33865</v>
      </c>
      <c r="K1680" s="1" t="s">
        <v>33864</v>
      </c>
      <c r="L1680" s="1" t="s">
        <v>33866</v>
      </c>
      <c r="M1680" s="1" t="s">
        <v>33864</v>
      </c>
      <c r="N1680" s="6" t="s">
        <v>132</v>
      </c>
      <c r="O1680" s="6" t="s">
        <v>33867</v>
      </c>
      <c r="P1680" s="1" t="s">
        <v>33868</v>
      </c>
      <c r="Q1680" s="1" t="s">
        <v>33869</v>
      </c>
      <c r="R1680" s="1" t="s">
        <v>33864</v>
      </c>
      <c r="S1680" s="10" t="s">
        <v>3112</v>
      </c>
      <c r="T1680" s="1" t="s">
        <v>33864</v>
      </c>
      <c r="U1680" s="1" t="s">
        <v>3114</v>
      </c>
      <c r="V1680" s="1" t="s">
        <v>33869</v>
      </c>
      <c r="W1680" s="1" t="s">
        <v>33864</v>
      </c>
      <c r="X1680" s="1" t="s">
        <v>33864</v>
      </c>
      <c r="Y1680" s="1" t="s">
        <v>33864</v>
      </c>
      <c r="Z1680" s="1" t="s">
        <v>3118</v>
      </c>
      <c r="AA1680" s="1" t="s">
        <v>33870</v>
      </c>
      <c r="AB1680" s="1" t="s">
        <v>33871</v>
      </c>
      <c r="AC1680" s="1" t="s">
        <v>33864</v>
      </c>
      <c r="AD1680" s="6" t="s">
        <v>33864</v>
      </c>
      <c r="AE1680" s="1" t="s">
        <v>33864</v>
      </c>
      <c r="AF1680" s="1" t="s">
        <v>33864</v>
      </c>
      <c r="AG1680" s="6" t="s">
        <v>3125</v>
      </c>
      <c r="AH1680" s="1" t="s">
        <v>27233</v>
      </c>
      <c r="AI1680" s="6" t="s">
        <v>132</v>
      </c>
      <c r="AJ1680" s="6" t="s">
        <v>33872</v>
      </c>
      <c r="AK1680" s="1" t="s">
        <v>3128</v>
      </c>
      <c r="AL1680" s="6" t="s">
        <v>3129</v>
      </c>
    </row>
    <row r="1681" ht="15.75" hidden="1" customHeight="1">
      <c r="A1681" s="1" t="s">
        <v>38</v>
      </c>
      <c r="B1681" s="1" t="s">
        <v>33873</v>
      </c>
      <c r="C1681" s="1" t="s">
        <v>33874</v>
      </c>
      <c r="D1681" s="7" t="str">
        <f>IFERROR(__xludf.DUMMYFUNCTION("GOOGLETRANSLATE(C1681, ""en"", ""ar"")"),"سورينام")</f>
        <v>سورينام</v>
      </c>
      <c r="E1681" s="7" t="str">
        <f>IFERROR(__xludf.DUMMYFUNCTION("GOOGLETRANSLATE(C1681, ""en"", ""bg"")"),"Суринам")</f>
        <v>Суринам</v>
      </c>
      <c r="F1681" s="6" t="s">
        <v>132</v>
      </c>
      <c r="G1681" s="7" t="str">
        <f>IFERROR(__xludf.DUMMYFUNCTION("GOOGLETRANSLATE(C1681, ""en"", ""cs"")"),"Surinam")</f>
        <v>Surinam</v>
      </c>
      <c r="H1681" s="7" t="str">
        <f>IFERROR(__xludf.DUMMYFUNCTION("GOOGLETRANSLATE(C1681, ""en"", ""da"")"),"Surinam.")</f>
        <v>Surinam.</v>
      </c>
      <c r="I1681" s="1" t="s">
        <v>33874</v>
      </c>
      <c r="J1681" s="6" t="s">
        <v>132</v>
      </c>
      <c r="K1681" s="1" t="s">
        <v>33875</v>
      </c>
      <c r="L1681" s="7" t="str">
        <f>IFERROR(__xludf.DUMMYFUNCTION("GOOGLETRANSLATE(C1681, ""en"", ""fi"")"),"Suriname")</f>
        <v>Suriname</v>
      </c>
      <c r="M1681" s="1" t="s">
        <v>33874</v>
      </c>
      <c r="N1681" s="6" t="s">
        <v>132</v>
      </c>
      <c r="O1681" s="6" t="s">
        <v>132</v>
      </c>
      <c r="P1681" s="1" t="s">
        <v>33874</v>
      </c>
      <c r="Q1681" s="7" t="str">
        <f>IFERROR(__xludf.DUMMYFUNCTION("GOOGLETRANSLATE(C1681, ""en"", ""in"")"),"Suriname.")</f>
        <v>Suriname.</v>
      </c>
      <c r="R1681" s="7" t="str">
        <f>IFERROR(__xludf.DUMMYFUNCTION("GOOGLETRANSLATE(C1681, ""en"", ""it"")"),"Suriname.")</f>
        <v>Suriname.</v>
      </c>
      <c r="S1681" s="6" t="s">
        <v>132</v>
      </c>
      <c r="T1681" s="7" t="str">
        <f>IFERROR(__xludf.DUMMYFUNCTION("GOOGLETRANSLATE(C1681, ""en"", ""ja"")"),"スリナム")</f>
        <v>スリナム</v>
      </c>
      <c r="U1681" s="7" t="str">
        <f>IFERROR(__xludf.DUMMYFUNCTION("GOOGLETRANSLATE(C1681, ""en"", ""ko"")"),"수리남")</f>
        <v>수리남</v>
      </c>
      <c r="V1681" s="7" t="str">
        <f>IFERROR(__xludf.DUMMYFUNCTION("GOOGLETRANSLATE(C1681, ""en"", ""ms"")"),"Suriname.")</f>
        <v>Suriname.</v>
      </c>
      <c r="W1681" s="7" t="str">
        <f>IFERROR(__xludf.DUMMYFUNCTION("GOOGLETRANSLATE(C1681, ""en"", ""nl"")"),"Suriname")</f>
        <v>Suriname</v>
      </c>
      <c r="X1681" s="7" t="str">
        <f>IFERROR(__xludf.DUMMYFUNCTION("GOOGLETRANSLATE(C1681, ""en"", ""no"")"),"Surinam")</f>
        <v>Surinam</v>
      </c>
      <c r="Y1681" s="7" t="str">
        <f>IFERROR(__xludf.DUMMYFUNCTION("GOOGLETRANSLATE(C1681, ""en"", ""pl"")"),"Suriname.")</f>
        <v>Suriname.</v>
      </c>
      <c r="Z1681" s="7" t="str">
        <f>IFERROR(__xludf.DUMMYFUNCTION("GOOGLETRANSLATE(C1681, ""en"", ""pt"")"),"Suriname")</f>
        <v>Suriname</v>
      </c>
      <c r="AA1681" s="7" t="str">
        <f>IFERROR(__xludf.DUMMYFUNCTION("GOOGLETRANSLATE(C1681, ""en"", ""ro"")"),"Surinam.")</f>
        <v>Surinam.</v>
      </c>
      <c r="AB1681" s="1" t="s">
        <v>33876</v>
      </c>
      <c r="AC1681" s="7" t="str">
        <f>IFERROR(__xludf.DUMMYFUNCTION("GOOGLETRANSLATE(C1681, ""en"", ""sk"")"),"Surinam")</f>
        <v>Surinam</v>
      </c>
      <c r="AD1681" s="6" t="s">
        <v>132</v>
      </c>
      <c r="AE1681" s="1" t="s">
        <v>33875</v>
      </c>
      <c r="AF1681" s="7" t="str">
        <f>IFERROR(__xludf.DUMMYFUNCTION("GOOGLETRANSLATE(C1681, ""en"", ""sv"")"),"Surbinam")</f>
        <v>Surbinam</v>
      </c>
      <c r="AG1681" s="6" t="s">
        <v>132</v>
      </c>
      <c r="AH1681" s="7" t="str">
        <f>IFERROR(__xludf.DUMMYFUNCTION("GOOGLETRANSLATE(C1681, ""en"", ""tr"")"),"Surin")</f>
        <v>Surin</v>
      </c>
      <c r="AI1681" s="6" t="s">
        <v>132</v>
      </c>
      <c r="AJ1681" s="6" t="s">
        <v>132</v>
      </c>
      <c r="AK1681" s="7" t="str">
        <f>IFERROR(__xludf.DUMMYFUNCTION("GOOGLETRANSLATE(C1681, ""en"", ""zh"")"),"苏里南")</f>
        <v>苏里南</v>
      </c>
      <c r="AL1681" s="6" t="s">
        <v>132</v>
      </c>
    </row>
    <row r="1682" ht="15.75" hidden="1" customHeight="1">
      <c r="A1682" s="1" t="s">
        <v>38</v>
      </c>
      <c r="B1682" s="1" t="s">
        <v>33877</v>
      </c>
      <c r="C1682" s="1" t="s">
        <v>33878</v>
      </c>
      <c r="D1682" s="7" t="str">
        <f>IFERROR(__xludf.DUMMYFUNCTION("GOOGLETRANSLATE(C1682, ""en"", ""ar"")"),"هناك حاجة إلى أذونات التخزين.")</f>
        <v>هناك حاجة إلى أذونات التخزين.</v>
      </c>
      <c r="E1682" s="7" t="str">
        <f>IFERROR(__xludf.DUMMYFUNCTION("GOOGLETRANSLATE(C1682, ""en"", ""bg"")"),"Необходими са разрешения за съхранение.")</f>
        <v>Необходими са разрешения за съхранение.</v>
      </c>
      <c r="F1682" s="6" t="s">
        <v>132</v>
      </c>
      <c r="G1682" s="7" t="str">
        <f>IFERROR(__xludf.DUMMYFUNCTION("GOOGLETRANSLATE(C1682, ""en"", ""cs"")"),"Jsou zapotřebí oprávnění pro skladování.")</f>
        <v>Jsou zapotřebí oprávnění pro skladování.</v>
      </c>
      <c r="H1682" s="7" t="str">
        <f>IFERROR(__xludf.DUMMYFUNCTION("GOOGLETRANSLATE(C1682, ""en"", ""da"")"),"Opbevaringstilladelser er nødvendige.")</f>
        <v>Opbevaringstilladelser er nødvendige.</v>
      </c>
      <c r="I1682" s="1" t="s">
        <v>33879</v>
      </c>
      <c r="J1682" s="6" t="s">
        <v>132</v>
      </c>
      <c r="K1682" s="1" t="s">
        <v>33880</v>
      </c>
      <c r="L1682" s="7" t="str">
        <f>IFERROR(__xludf.DUMMYFUNCTION("GOOGLETRANSLATE(C1682, ""en"", ""fi"")"),"Varastointioikeuksia tarvitaan.")</f>
        <v>Varastointioikeuksia tarvitaan.</v>
      </c>
      <c r="M1682" s="1" t="s">
        <v>33881</v>
      </c>
      <c r="N1682" s="6" t="s">
        <v>132</v>
      </c>
      <c r="O1682" s="6" t="s">
        <v>132</v>
      </c>
      <c r="P1682" s="1" t="s">
        <v>33882</v>
      </c>
      <c r="Q1682" s="7" t="str">
        <f>IFERROR(__xludf.DUMMYFUNCTION("GOOGLETRANSLATE(C1682, ""en"", ""in"")"),"Diperlukan izin penyimpanan.")</f>
        <v>Diperlukan izin penyimpanan.</v>
      </c>
      <c r="R1682" s="7" t="str">
        <f>IFERROR(__xludf.DUMMYFUNCTION("GOOGLETRANSLATE(C1682, ""en"", ""it"")"),"Le autorizzazioni di archiviazione sono necessarie.")</f>
        <v>Le autorizzazioni di archiviazione sono necessarie.</v>
      </c>
      <c r="S1682" s="6" t="s">
        <v>132</v>
      </c>
      <c r="T1682" s="7" t="str">
        <f>IFERROR(__xludf.DUMMYFUNCTION("GOOGLETRANSLATE(C1682, ""en"", ""ja"")"),"ストレージパーミッションが必要です。")</f>
        <v>ストレージパーミッションが必要です。</v>
      </c>
      <c r="U1682" s="7" t="str">
        <f>IFERROR(__xludf.DUMMYFUNCTION("GOOGLETRANSLATE(C1682, ""en"", ""ko"")"),"스토리지 사용 권한이 필요합니다.")</f>
        <v>스토리지 사용 권한이 필요합니다.</v>
      </c>
      <c r="V1682" s="7" t="str">
        <f>IFERROR(__xludf.DUMMYFUNCTION("GOOGLETRANSLATE(C1682, ""en"", ""ms"")"),"Kebenaran penyimpanan diperlukan.")</f>
        <v>Kebenaran penyimpanan diperlukan.</v>
      </c>
      <c r="W1682" s="7" t="str">
        <f>IFERROR(__xludf.DUMMYFUNCTION("GOOGLETRANSLATE(C1682, ""en"", ""nl"")"),"Opslagmachtigingen zijn nodig.")</f>
        <v>Opslagmachtigingen zijn nodig.</v>
      </c>
      <c r="X1682" s="7" t="str">
        <f>IFERROR(__xludf.DUMMYFUNCTION("GOOGLETRANSLATE(C1682, ""en"", ""no"")"),"Lagringstillatelser er nødvendig.")</f>
        <v>Lagringstillatelser er nødvendig.</v>
      </c>
      <c r="Y1682" s="7" t="str">
        <f>IFERROR(__xludf.DUMMYFUNCTION("GOOGLETRANSLATE(C1682, ""en"", ""pl"")"),"Potrzebne są uprawnienia do przechowywania.")</f>
        <v>Potrzebne są uprawnienia do przechowywania.</v>
      </c>
      <c r="Z1682" s="7" t="str">
        <f>IFERROR(__xludf.DUMMYFUNCTION("GOOGLETRANSLATE(C1682, ""en"", ""pt"")"),"Permissões de armazenamento são necessárias.")</f>
        <v>Permissões de armazenamento são necessárias.</v>
      </c>
      <c r="AA1682" s="7" t="str">
        <f>IFERROR(__xludf.DUMMYFUNCTION("GOOGLETRANSLATE(C1682, ""en"", ""ro"")"),"Sunt necesare permisiuni de stocare.")</f>
        <v>Sunt necesare permisiuni de stocare.</v>
      </c>
      <c r="AB1682" s="1" t="s">
        <v>33883</v>
      </c>
      <c r="AC1682" s="7" t="str">
        <f>IFERROR(__xludf.DUMMYFUNCTION("GOOGLETRANSLATE(C1682, ""en"", ""sk"")"),"Potrebné sú povolenia skladovania.")</f>
        <v>Potrebné sú povolenia skladovania.</v>
      </c>
      <c r="AD1682" s="6" t="s">
        <v>132</v>
      </c>
      <c r="AE1682" s="1" t="s">
        <v>33884</v>
      </c>
      <c r="AF1682" s="7" t="str">
        <f>IFERROR(__xludf.DUMMYFUNCTION("GOOGLETRANSLATE(C1682, ""en"", ""sv"")"),"Lagringsbehörigheter behövs.")</f>
        <v>Lagringsbehörigheter behövs.</v>
      </c>
      <c r="AG1682" s="6" t="s">
        <v>132</v>
      </c>
      <c r="AH1682" s="7" t="str">
        <f>IFERROR(__xludf.DUMMYFUNCTION("GOOGLETRANSLATE(C1682, ""en"", ""tr"")"),"Depolama izinlerine ihtiyaç vardır.")</f>
        <v>Depolama izinlerine ihtiyaç vardır.</v>
      </c>
      <c r="AI1682" s="6" t="s">
        <v>132</v>
      </c>
      <c r="AJ1682" s="6" t="s">
        <v>132</v>
      </c>
      <c r="AK1682" s="7" t="str">
        <f>IFERROR(__xludf.DUMMYFUNCTION("GOOGLETRANSLATE(C1682, ""en"", ""zh"")"),"需要存储权限。")</f>
        <v>需要存储权限。</v>
      </c>
      <c r="AL1682" s="6" t="s">
        <v>132</v>
      </c>
    </row>
    <row r="1683" ht="15.75" customHeight="1">
      <c r="A1683" s="1" t="s">
        <v>127</v>
      </c>
      <c r="B1683" s="1" t="s">
        <v>33885</v>
      </c>
      <c r="C1683" s="1" t="s">
        <v>625</v>
      </c>
      <c r="D1683" s="8" t="s">
        <v>626</v>
      </c>
      <c r="E1683" s="1" t="s">
        <v>627</v>
      </c>
      <c r="F1683" s="6" t="s">
        <v>132</v>
      </c>
      <c r="G1683" s="1" t="s">
        <v>628</v>
      </c>
      <c r="H1683" s="1" t="s">
        <v>629</v>
      </c>
      <c r="I1683" s="1" t="s">
        <v>630</v>
      </c>
      <c r="J1683" s="6" t="s">
        <v>631</v>
      </c>
      <c r="K1683" s="1" t="s">
        <v>33886</v>
      </c>
      <c r="L1683" s="1" t="s">
        <v>633</v>
      </c>
      <c r="M1683" s="1" t="s">
        <v>33887</v>
      </c>
      <c r="N1683" s="6" t="s">
        <v>132</v>
      </c>
      <c r="O1683" s="6" t="s">
        <v>635</v>
      </c>
      <c r="P1683" s="1" t="s">
        <v>33888</v>
      </c>
      <c r="Q1683" s="1" t="s">
        <v>637</v>
      </c>
      <c r="R1683" s="1" t="s">
        <v>638</v>
      </c>
      <c r="S1683" s="10" t="s">
        <v>639</v>
      </c>
      <c r="T1683" s="1" t="s">
        <v>640</v>
      </c>
      <c r="U1683" s="1" t="s">
        <v>641</v>
      </c>
      <c r="V1683" s="1" t="s">
        <v>637</v>
      </c>
      <c r="W1683" s="1" t="s">
        <v>33889</v>
      </c>
      <c r="X1683" s="1" t="s">
        <v>629</v>
      </c>
      <c r="Y1683" s="1" t="s">
        <v>643</v>
      </c>
      <c r="Z1683" s="1" t="s">
        <v>33890</v>
      </c>
      <c r="AA1683" s="1" t="s">
        <v>645</v>
      </c>
      <c r="AB1683" s="1" t="s">
        <v>646</v>
      </c>
      <c r="AC1683" s="1" t="s">
        <v>647</v>
      </c>
      <c r="AD1683" s="6" t="s">
        <v>648</v>
      </c>
      <c r="AE1683" s="1" t="s">
        <v>33891</v>
      </c>
      <c r="AF1683" s="1" t="s">
        <v>649</v>
      </c>
      <c r="AG1683" s="6" t="s">
        <v>650</v>
      </c>
      <c r="AH1683" s="1" t="s">
        <v>651</v>
      </c>
      <c r="AI1683" s="6" t="s">
        <v>132</v>
      </c>
      <c r="AJ1683" s="6" t="s">
        <v>652</v>
      </c>
      <c r="AK1683" s="1" t="s">
        <v>33892</v>
      </c>
      <c r="AL1683" s="6" t="s">
        <v>33893</v>
      </c>
    </row>
    <row r="1684" ht="15.75" hidden="1" customHeight="1">
      <c r="A1684" s="1" t="s">
        <v>38</v>
      </c>
      <c r="B1684" s="1" t="s">
        <v>33894</v>
      </c>
      <c r="C1684" s="1" t="s">
        <v>33895</v>
      </c>
      <c r="D1684" s="7" t="str">
        <f>IFERROR(__xludf.DUMMYFUNCTION("GOOGLETRANSLATE(C1684, ""en"", ""ar"")"),"المستخدمين النشطين")</f>
        <v>المستخدمين النشطين</v>
      </c>
      <c r="E1684" s="7" t="str">
        <f>IFERROR(__xludf.DUMMYFUNCTION("GOOGLETRANSLATE(C1684, ""en"", ""bg"")"),"Активни потребители")</f>
        <v>Активни потребители</v>
      </c>
      <c r="F1684" s="6" t="s">
        <v>132</v>
      </c>
      <c r="G1684" s="7" t="str">
        <f>IFERROR(__xludf.DUMMYFUNCTION("GOOGLETRANSLATE(C1684, ""en"", ""cs"")"),"Aktivní uživatelé")</f>
        <v>Aktivní uživatelé</v>
      </c>
      <c r="H1684" s="7" t="str">
        <f>IFERROR(__xludf.DUMMYFUNCTION("GOOGLETRANSLATE(C1684, ""en"", ""da"")"),"Aktive brugere")</f>
        <v>Aktive brugere</v>
      </c>
      <c r="I1684" s="1" t="s">
        <v>33896</v>
      </c>
      <c r="J1684" s="6" t="s">
        <v>132</v>
      </c>
      <c r="K1684" s="1" t="s">
        <v>33897</v>
      </c>
      <c r="L1684" s="7" t="str">
        <f>IFERROR(__xludf.DUMMYFUNCTION("GOOGLETRANSLATE(C1684, ""en"", ""fi"")"),"Aktiiviset käyttäjät")</f>
        <v>Aktiiviset käyttäjät</v>
      </c>
      <c r="M1684" s="1" t="s">
        <v>33898</v>
      </c>
      <c r="N1684" s="6" t="s">
        <v>132</v>
      </c>
      <c r="O1684" s="6" t="s">
        <v>132</v>
      </c>
      <c r="P1684" s="1" t="s">
        <v>33899</v>
      </c>
      <c r="Q1684" s="7" t="str">
        <f>IFERROR(__xludf.DUMMYFUNCTION("GOOGLETRANSLATE(C1684, ""en"", ""in"")"),"Pengguna aktif")</f>
        <v>Pengguna aktif</v>
      </c>
      <c r="R1684" s="7" t="str">
        <f>IFERROR(__xludf.DUMMYFUNCTION("GOOGLETRANSLATE(C1684, ""en"", ""it"")"),"Utenti attivi")</f>
        <v>Utenti attivi</v>
      </c>
      <c r="S1684" s="6" t="s">
        <v>132</v>
      </c>
      <c r="T1684" s="7" t="str">
        <f>IFERROR(__xludf.DUMMYFUNCTION("GOOGLETRANSLATE(C1684, ""en"", ""ja"")"),"アクティブなユーザー")</f>
        <v>アクティブなユーザー</v>
      </c>
      <c r="U1684" s="7" t="str">
        <f>IFERROR(__xludf.DUMMYFUNCTION("GOOGLETRANSLATE(C1684, ""en"", ""ko"")"),"활성 사용자")</f>
        <v>활성 사용자</v>
      </c>
      <c r="V1684" s="7" t="str">
        <f>IFERROR(__xludf.DUMMYFUNCTION("GOOGLETRANSLATE(C1684, ""en"", ""ms"")"),"Pengguna aktif")</f>
        <v>Pengguna aktif</v>
      </c>
      <c r="W1684" s="7" t="str">
        <f>IFERROR(__xludf.DUMMYFUNCTION("GOOGLETRANSLATE(C1684, ""en"", ""nl"")"),"Actieve gebruikers")</f>
        <v>Actieve gebruikers</v>
      </c>
      <c r="X1684" s="7" t="str">
        <f>IFERROR(__xludf.DUMMYFUNCTION("GOOGLETRANSLATE(C1684, ""en"", ""no"")"),"Aktive brukere")</f>
        <v>Aktive brukere</v>
      </c>
      <c r="Y1684" s="7" t="str">
        <f>IFERROR(__xludf.DUMMYFUNCTION("GOOGLETRANSLATE(C1684, ""en"", ""pl"")"),"Aktywni użytkownicy.")</f>
        <v>Aktywni użytkownicy.</v>
      </c>
      <c r="Z1684" s="7" t="str">
        <f>IFERROR(__xludf.DUMMYFUNCTION("GOOGLETRANSLATE(C1684, ""en"", ""pt"")"),"Usuários ativos.")</f>
        <v>Usuários ativos.</v>
      </c>
      <c r="AA1684" s="7" t="str">
        <f>IFERROR(__xludf.DUMMYFUNCTION("GOOGLETRANSLATE(C1684, ""en"", ""ro"")"),"Utilizatori activi")</f>
        <v>Utilizatori activi</v>
      </c>
      <c r="AB1684" s="1" t="s">
        <v>33900</v>
      </c>
      <c r="AC1684" s="7" t="str">
        <f>IFERROR(__xludf.DUMMYFUNCTION("GOOGLETRANSLATE(C1684, ""en"", ""sk"")"),"Aktívni používatelia")</f>
        <v>Aktívni používatelia</v>
      </c>
      <c r="AD1684" s="6" t="s">
        <v>132</v>
      </c>
      <c r="AE1684" s="1" t="s">
        <v>33901</v>
      </c>
      <c r="AF1684" s="7" t="str">
        <f>IFERROR(__xludf.DUMMYFUNCTION("GOOGLETRANSLATE(C1684, ""en"", ""sv"")"),"Aktiva användare")</f>
        <v>Aktiva användare</v>
      </c>
      <c r="AG1684" s="6" t="s">
        <v>132</v>
      </c>
      <c r="AH1684" s="7" t="str">
        <f>IFERROR(__xludf.DUMMYFUNCTION("GOOGLETRANSLATE(C1684, ""en"", ""tr"")"),"Aktif kullanıcılar")</f>
        <v>Aktif kullanıcılar</v>
      </c>
      <c r="AI1684" s="6" t="s">
        <v>132</v>
      </c>
      <c r="AJ1684" s="6" t="s">
        <v>132</v>
      </c>
      <c r="AK1684" s="7" t="str">
        <f>IFERROR(__xludf.DUMMYFUNCTION("GOOGLETRANSLATE(C1684, ""en"", ""zh"")"),"活跃的用户")</f>
        <v>活跃的用户</v>
      </c>
      <c r="AL1684" s="6" t="s">
        <v>132</v>
      </c>
    </row>
    <row r="1685" ht="15.75" hidden="1" customHeight="1">
      <c r="A1685" s="1" t="s">
        <v>38</v>
      </c>
      <c r="B1685" s="1" t="s">
        <v>33902</v>
      </c>
      <c r="C1685" s="1" t="s">
        <v>33903</v>
      </c>
      <c r="D1685" s="8" t="s">
        <v>33904</v>
      </c>
      <c r="E1685" s="1" t="s">
        <v>8280</v>
      </c>
      <c r="F1685" s="6" t="s">
        <v>33905</v>
      </c>
      <c r="G1685" s="7" t="str">
        <f>IFERROR(__xludf.DUMMYFUNCTION("GOOGLETRANSLATE(C1685, ""en"", ""cs"")"),"Téma")</f>
        <v>Téma</v>
      </c>
      <c r="H1685" s="7" t="str">
        <f>IFERROR(__xludf.DUMMYFUNCTION("GOOGLETRANSLATE(C1685, ""en"", ""da"")"),"Tema")</f>
        <v>Tema</v>
      </c>
      <c r="I1685" s="1" t="s">
        <v>33906</v>
      </c>
      <c r="J1685" s="6" t="s">
        <v>132</v>
      </c>
      <c r="K1685" s="1" t="s">
        <v>33905</v>
      </c>
      <c r="L1685" s="7" t="str">
        <f>IFERROR(__xludf.DUMMYFUNCTION("GOOGLETRANSLATE(C1685, ""en"", ""fi"")"),"Teema")</f>
        <v>Teema</v>
      </c>
      <c r="M1685" s="1" t="s">
        <v>33907</v>
      </c>
      <c r="N1685" s="6" t="s">
        <v>33908</v>
      </c>
      <c r="O1685" s="6" t="s">
        <v>132</v>
      </c>
      <c r="P1685" s="1" t="s">
        <v>33909</v>
      </c>
      <c r="Q1685" s="9" t="s">
        <v>33905</v>
      </c>
      <c r="R1685" s="1" t="s">
        <v>33905</v>
      </c>
      <c r="S1685" s="6" t="s">
        <v>132</v>
      </c>
      <c r="T1685" s="1" t="s">
        <v>33910</v>
      </c>
      <c r="U1685" s="1" t="s">
        <v>33911</v>
      </c>
      <c r="V1685" s="7" t="str">
        <f>IFERROR(__xludf.DUMMYFUNCTION("GOOGLETRANSLATE(C1685, ""en"", ""ms"")"),"Tema")</f>
        <v>Tema</v>
      </c>
      <c r="W1685" s="1" t="s">
        <v>8282</v>
      </c>
      <c r="X1685" s="7" t="str">
        <f>IFERROR(__xludf.DUMMYFUNCTION("GOOGLETRANSLATE(C1685, ""en"", ""no"")"),"Tema")</f>
        <v>Tema</v>
      </c>
      <c r="Y1685" s="1" t="s">
        <v>33912</v>
      </c>
      <c r="Z1685" s="1" t="s">
        <v>33905</v>
      </c>
      <c r="AA1685" s="7" t="str">
        <f>IFERROR(__xludf.DUMMYFUNCTION("GOOGLETRANSLATE(C1685, ""en"", ""ro"")"),"Temă")</f>
        <v>Temă</v>
      </c>
      <c r="AB1685" s="1" t="s">
        <v>8280</v>
      </c>
      <c r="AC1685" s="7" t="str">
        <f>IFERROR(__xludf.DUMMYFUNCTION("GOOGLETRANSLATE(C1685, ""en"", ""sk"")"),"Téma")</f>
        <v>Téma</v>
      </c>
      <c r="AD1685" s="6" t="s">
        <v>132</v>
      </c>
      <c r="AE1685" s="1" t="s">
        <v>8280</v>
      </c>
      <c r="AF1685" s="1" t="s">
        <v>33905</v>
      </c>
      <c r="AG1685" s="6" t="s">
        <v>132</v>
      </c>
      <c r="AH1685" s="7" t="str">
        <f>IFERROR(__xludf.DUMMYFUNCTION("GOOGLETRANSLATE(C1685, ""en"", ""tr"")"),"Tema")</f>
        <v>Tema</v>
      </c>
      <c r="AI1685" s="6" t="s">
        <v>8280</v>
      </c>
      <c r="AJ1685" s="6" t="s">
        <v>132</v>
      </c>
      <c r="AK1685" s="7" t="str">
        <f>IFERROR(__xludf.DUMMYFUNCTION("GOOGLETRANSLATE(C1685, ""en"", ""zh"")"),"主题")</f>
        <v>主题</v>
      </c>
      <c r="AL1685" s="6" t="s">
        <v>33913</v>
      </c>
    </row>
    <row r="1686" ht="15.75" hidden="1" customHeight="1">
      <c r="A1686" s="1" t="s">
        <v>38</v>
      </c>
      <c r="B1686" s="1" t="s">
        <v>33914</v>
      </c>
      <c r="C1686" s="1" t="s">
        <v>33915</v>
      </c>
      <c r="D1686" s="8" t="s">
        <v>33916</v>
      </c>
      <c r="E1686" s="1" t="s">
        <v>33917</v>
      </c>
      <c r="F1686" s="6" t="s">
        <v>33918</v>
      </c>
      <c r="G1686" s="7" t="str">
        <f>IFERROR(__xludf.DUMMYFUNCTION("GOOGLETRANSLATE(C1686, ""en"", ""cs"")"),"Zpráva")</f>
        <v>Zpráva</v>
      </c>
      <c r="H1686" s="7" t="str">
        <f>IFERROR(__xludf.DUMMYFUNCTION("GOOGLETRANSLATE(C1686, ""en"", ""da"")"),"Besked")</f>
        <v>Besked</v>
      </c>
      <c r="I1686" s="1" t="s">
        <v>33919</v>
      </c>
      <c r="J1686" s="6" t="s">
        <v>132</v>
      </c>
      <c r="K1686" s="1" t="s">
        <v>33920</v>
      </c>
      <c r="L1686" s="7" t="str">
        <f>IFERROR(__xludf.DUMMYFUNCTION("GOOGLETRANSLATE(C1686, ""en"", ""fi"")"),"Viesti")</f>
        <v>Viesti</v>
      </c>
      <c r="M1686" s="1" t="s">
        <v>33915</v>
      </c>
      <c r="N1686" s="6" t="s">
        <v>33921</v>
      </c>
      <c r="O1686" s="6" t="s">
        <v>132</v>
      </c>
      <c r="P1686" s="1" t="s">
        <v>33922</v>
      </c>
      <c r="Q1686" s="7" t="str">
        <f>IFERROR(__xludf.DUMMYFUNCTION("GOOGLETRANSLATE(C1686, ""en"", ""in"")"),"Pesan")</f>
        <v>Pesan</v>
      </c>
      <c r="R1686" s="1" t="s">
        <v>33923</v>
      </c>
      <c r="S1686" s="6" t="s">
        <v>132</v>
      </c>
      <c r="T1686" s="1" t="s">
        <v>33924</v>
      </c>
      <c r="U1686" s="7" t="str">
        <f>IFERROR(__xludf.DUMMYFUNCTION("GOOGLETRANSLATE(C1686, ""en"", ""ko"")"),"메시지")</f>
        <v>메시지</v>
      </c>
      <c r="V1686" s="7" t="str">
        <f>IFERROR(__xludf.DUMMYFUNCTION("GOOGLETRANSLATE(C1686, ""en"", ""ms"")"),"Mesej")</f>
        <v>Mesej</v>
      </c>
      <c r="W1686" s="1" t="s">
        <v>33925</v>
      </c>
      <c r="X1686" s="7" t="str">
        <f>IFERROR(__xludf.DUMMYFUNCTION("GOOGLETRANSLATE(C1686, ""en"", ""no"")"),"Beskjed")</f>
        <v>Beskjed</v>
      </c>
      <c r="Y1686" s="1" t="s">
        <v>33926</v>
      </c>
      <c r="Z1686" s="7" t="str">
        <f>IFERROR(__xludf.DUMMYFUNCTION("GOOGLETRANSLATE(C1686, ""en"", ""pt"")"),"Mensagem")</f>
        <v>Mensagem</v>
      </c>
      <c r="AA1686" s="7" t="str">
        <f>IFERROR(__xludf.DUMMYFUNCTION("GOOGLETRANSLATE(C1686, ""en"", ""ro"")"),"Mesaj")</f>
        <v>Mesaj</v>
      </c>
      <c r="AB1686" s="1" t="s">
        <v>14364</v>
      </c>
      <c r="AC1686" s="7" t="str">
        <f>IFERROR(__xludf.DUMMYFUNCTION("GOOGLETRANSLATE(C1686, ""en"", ""sk"")"),"Správa")</f>
        <v>Správa</v>
      </c>
      <c r="AD1686" s="6" t="s">
        <v>132</v>
      </c>
      <c r="AE1686" s="1" t="s">
        <v>33927</v>
      </c>
      <c r="AF1686" s="7" t="str">
        <f>IFERROR(__xludf.DUMMYFUNCTION("GOOGLETRANSLATE(C1686, ""en"", ""sv"")"),"Meddelande")</f>
        <v>Meddelande</v>
      </c>
      <c r="AG1686" s="6" t="s">
        <v>132</v>
      </c>
      <c r="AH1686" s="7" t="str">
        <f>IFERROR(__xludf.DUMMYFUNCTION("GOOGLETRANSLATE(C1686, ""en"", ""tr"")"),"İleti")</f>
        <v>İleti</v>
      </c>
      <c r="AI1686" s="6" t="s">
        <v>132</v>
      </c>
      <c r="AJ1686" s="6" t="s">
        <v>132</v>
      </c>
      <c r="AK1686" s="7" t="str">
        <f>IFERROR(__xludf.DUMMYFUNCTION("GOOGLETRANSLATE(C1686, ""en"", ""zh"")"),"信息")</f>
        <v>信息</v>
      </c>
      <c r="AL1686" s="6" t="s">
        <v>132</v>
      </c>
    </row>
    <row r="1687" ht="15.75" customHeight="1">
      <c r="A1687" s="1" t="s">
        <v>127</v>
      </c>
      <c r="B1687" s="1" t="s">
        <v>33928</v>
      </c>
      <c r="C1687" s="1" t="s">
        <v>33929</v>
      </c>
      <c r="D1687" s="8" t="s">
        <v>33930</v>
      </c>
      <c r="E1687" s="1" t="s">
        <v>33931</v>
      </c>
      <c r="F1687" s="6" t="s">
        <v>132</v>
      </c>
      <c r="G1687" s="1" t="s">
        <v>33932</v>
      </c>
      <c r="H1687" s="1" t="s">
        <v>33929</v>
      </c>
      <c r="I1687" s="1" t="s">
        <v>33933</v>
      </c>
      <c r="J1687" s="6" t="s">
        <v>33934</v>
      </c>
      <c r="K1687" s="1" t="s">
        <v>33935</v>
      </c>
      <c r="L1687" s="1" t="s">
        <v>33936</v>
      </c>
      <c r="M1687" s="1" t="s">
        <v>33929</v>
      </c>
      <c r="N1687" s="6" t="s">
        <v>132</v>
      </c>
      <c r="O1687" s="6" t="s">
        <v>33937</v>
      </c>
      <c r="P1687" s="1" t="s">
        <v>33929</v>
      </c>
      <c r="Q1687" s="1" t="s">
        <v>33938</v>
      </c>
      <c r="R1687" s="1" t="s">
        <v>33939</v>
      </c>
      <c r="S1687" s="10" t="s">
        <v>33940</v>
      </c>
      <c r="T1687" s="1" t="s">
        <v>33941</v>
      </c>
      <c r="U1687" s="1" t="s">
        <v>33942</v>
      </c>
      <c r="V1687" s="1" t="s">
        <v>33938</v>
      </c>
      <c r="W1687" s="1" t="s">
        <v>33929</v>
      </c>
      <c r="X1687" s="1" t="s">
        <v>33943</v>
      </c>
      <c r="Y1687" s="1" t="s">
        <v>11713</v>
      </c>
      <c r="Z1687" s="1" t="s">
        <v>33929</v>
      </c>
      <c r="AA1687" s="1" t="s">
        <v>33944</v>
      </c>
      <c r="AB1687" s="1" t="s">
        <v>33945</v>
      </c>
      <c r="AC1687" s="1" t="s">
        <v>33946</v>
      </c>
      <c r="AD1687" s="6" t="s">
        <v>33947</v>
      </c>
      <c r="AE1687" s="1" t="s">
        <v>33948</v>
      </c>
      <c r="AF1687" s="1" t="s">
        <v>24732</v>
      </c>
      <c r="AG1687" s="6" t="s">
        <v>33949</v>
      </c>
      <c r="AH1687" s="1" t="s">
        <v>11720</v>
      </c>
      <c r="AI1687" s="6" t="s">
        <v>132</v>
      </c>
      <c r="AJ1687" s="6" t="s">
        <v>33950</v>
      </c>
      <c r="AK1687" s="1" t="s">
        <v>33951</v>
      </c>
      <c r="AL1687" s="6" t="s">
        <v>132</v>
      </c>
    </row>
    <row r="1688" ht="15.75" customHeight="1">
      <c r="A1688" s="1" t="s">
        <v>127</v>
      </c>
      <c r="B1688" s="1" t="s">
        <v>33952</v>
      </c>
      <c r="C1688" s="1" t="s">
        <v>33953</v>
      </c>
      <c r="D1688" s="8" t="s">
        <v>33954</v>
      </c>
      <c r="E1688" s="1" t="s">
        <v>33955</v>
      </c>
      <c r="F1688" s="6" t="s">
        <v>132</v>
      </c>
      <c r="G1688" s="1" t="s">
        <v>33956</v>
      </c>
      <c r="H1688" s="1" t="s">
        <v>33957</v>
      </c>
      <c r="I1688" s="1" t="s">
        <v>33958</v>
      </c>
      <c r="J1688" s="6" t="s">
        <v>33959</v>
      </c>
      <c r="K1688" s="1" t="s">
        <v>33960</v>
      </c>
      <c r="L1688" s="1" t="s">
        <v>33961</v>
      </c>
      <c r="M1688" s="1" t="s">
        <v>15362</v>
      </c>
      <c r="N1688" s="6" t="s">
        <v>132</v>
      </c>
      <c r="O1688" s="6" t="s">
        <v>33962</v>
      </c>
      <c r="P1688" s="1" t="s">
        <v>33963</v>
      </c>
      <c r="Q1688" s="1" t="s">
        <v>33964</v>
      </c>
      <c r="R1688" s="1" t="s">
        <v>33965</v>
      </c>
      <c r="S1688" s="10" t="s">
        <v>33966</v>
      </c>
      <c r="T1688" s="1" t="s">
        <v>15367</v>
      </c>
      <c r="U1688" s="1" t="s">
        <v>33967</v>
      </c>
      <c r="V1688" s="1" t="s">
        <v>33968</v>
      </c>
      <c r="W1688" s="1" t="s">
        <v>33969</v>
      </c>
      <c r="X1688" s="1" t="s">
        <v>33970</v>
      </c>
      <c r="Y1688" s="1" t="s">
        <v>33971</v>
      </c>
      <c r="Z1688" s="1" t="s">
        <v>33972</v>
      </c>
      <c r="AA1688" s="1" t="s">
        <v>33973</v>
      </c>
      <c r="AB1688" s="1" t="s">
        <v>33974</v>
      </c>
      <c r="AC1688" s="1" t="s">
        <v>33975</v>
      </c>
      <c r="AD1688" s="6" t="s">
        <v>33976</v>
      </c>
      <c r="AE1688" s="1" t="s">
        <v>33977</v>
      </c>
      <c r="AF1688" s="1" t="s">
        <v>33978</v>
      </c>
      <c r="AG1688" s="6" t="s">
        <v>33979</v>
      </c>
      <c r="AH1688" s="1" t="s">
        <v>33980</v>
      </c>
      <c r="AI1688" s="6" t="s">
        <v>132</v>
      </c>
      <c r="AJ1688" s="6" t="s">
        <v>33981</v>
      </c>
      <c r="AK1688" s="1" t="s">
        <v>33982</v>
      </c>
      <c r="AL1688" s="6" t="s">
        <v>33983</v>
      </c>
    </row>
    <row r="1689" ht="15.75" customHeight="1">
      <c r="A1689" s="1" t="s">
        <v>127</v>
      </c>
      <c r="B1689" s="1" t="s">
        <v>33984</v>
      </c>
      <c r="C1689" s="1" t="s">
        <v>33985</v>
      </c>
      <c r="D1689" s="8" t="s">
        <v>33986</v>
      </c>
      <c r="E1689" s="1" t="s">
        <v>33987</v>
      </c>
      <c r="F1689" s="6" t="s">
        <v>132</v>
      </c>
      <c r="G1689" s="1" t="s">
        <v>33988</v>
      </c>
      <c r="H1689" s="1" t="s">
        <v>33989</v>
      </c>
      <c r="I1689" s="1" t="s">
        <v>33990</v>
      </c>
      <c r="J1689" s="6" t="s">
        <v>33991</v>
      </c>
      <c r="K1689" s="1" t="s">
        <v>33992</v>
      </c>
      <c r="L1689" s="1" t="s">
        <v>33993</v>
      </c>
      <c r="M1689" s="1" t="s">
        <v>33994</v>
      </c>
      <c r="N1689" s="6" t="s">
        <v>132</v>
      </c>
      <c r="O1689" s="6" t="s">
        <v>33995</v>
      </c>
      <c r="P1689" s="1" t="s">
        <v>33996</v>
      </c>
      <c r="Q1689" s="1" t="s">
        <v>33997</v>
      </c>
      <c r="R1689" s="1" t="s">
        <v>33998</v>
      </c>
      <c r="S1689" s="10" t="s">
        <v>33999</v>
      </c>
      <c r="T1689" s="1" t="s">
        <v>34000</v>
      </c>
      <c r="U1689" s="1" t="s">
        <v>34001</v>
      </c>
      <c r="V1689" s="1" t="s">
        <v>34002</v>
      </c>
      <c r="W1689" s="1" t="s">
        <v>34003</v>
      </c>
      <c r="X1689" s="1" t="s">
        <v>34004</v>
      </c>
      <c r="Y1689" s="1" t="s">
        <v>34005</v>
      </c>
      <c r="Z1689" s="1" t="s">
        <v>34006</v>
      </c>
      <c r="AA1689" s="1" t="s">
        <v>34007</v>
      </c>
      <c r="AB1689" s="1" t="s">
        <v>34008</v>
      </c>
      <c r="AC1689" s="1" t="s">
        <v>34009</v>
      </c>
      <c r="AD1689" s="6" t="s">
        <v>34010</v>
      </c>
      <c r="AE1689" s="1" t="s">
        <v>34011</v>
      </c>
      <c r="AF1689" s="1" t="s">
        <v>34012</v>
      </c>
      <c r="AG1689" s="6" t="s">
        <v>34013</v>
      </c>
      <c r="AH1689" s="1" t="s">
        <v>34014</v>
      </c>
      <c r="AI1689" s="6" t="s">
        <v>132</v>
      </c>
      <c r="AJ1689" s="6" t="s">
        <v>34015</v>
      </c>
      <c r="AK1689" s="1" t="s">
        <v>34016</v>
      </c>
      <c r="AL1689" s="6" t="s">
        <v>34017</v>
      </c>
    </row>
    <row r="1690" ht="15.75" customHeight="1">
      <c r="A1690" s="1" t="s">
        <v>127</v>
      </c>
      <c r="B1690" s="1" t="s">
        <v>34018</v>
      </c>
      <c r="C1690" s="1" t="s">
        <v>6558</v>
      </c>
      <c r="D1690" s="8" t="s">
        <v>6559</v>
      </c>
      <c r="E1690" s="1" t="s">
        <v>6560</v>
      </c>
      <c r="F1690" s="6" t="s">
        <v>132</v>
      </c>
      <c r="G1690" s="1" t="s">
        <v>6561</v>
      </c>
      <c r="H1690" s="1" t="s">
        <v>6562</v>
      </c>
      <c r="I1690" s="1" t="s">
        <v>6558</v>
      </c>
      <c r="J1690" s="6" t="s">
        <v>6563</v>
      </c>
      <c r="K1690" s="1" t="s">
        <v>6564</v>
      </c>
      <c r="L1690" s="1" t="s">
        <v>6561</v>
      </c>
      <c r="M1690" s="1" t="s">
        <v>34019</v>
      </c>
      <c r="N1690" s="6" t="s">
        <v>132</v>
      </c>
      <c r="O1690" s="6" t="s">
        <v>6565</v>
      </c>
      <c r="P1690" s="1" t="s">
        <v>6561</v>
      </c>
      <c r="Q1690" s="1" t="s">
        <v>6558</v>
      </c>
      <c r="R1690" s="1" t="s">
        <v>6564</v>
      </c>
      <c r="S1690" s="10" t="s">
        <v>6566</v>
      </c>
      <c r="T1690" s="1" t="s">
        <v>6567</v>
      </c>
      <c r="U1690" s="1" t="s">
        <v>6568</v>
      </c>
      <c r="V1690" s="1" t="s">
        <v>6558</v>
      </c>
      <c r="W1690" s="1" t="s">
        <v>6558</v>
      </c>
      <c r="X1690" s="1" t="s">
        <v>6561</v>
      </c>
      <c r="Y1690" s="1" t="s">
        <v>6569</v>
      </c>
      <c r="Z1690" s="1" t="s">
        <v>6561</v>
      </c>
      <c r="AA1690" s="1" t="s">
        <v>6570</v>
      </c>
      <c r="AB1690" s="1" t="s">
        <v>6560</v>
      </c>
      <c r="AC1690" s="1" t="s">
        <v>6561</v>
      </c>
      <c r="AD1690" s="6" t="s">
        <v>6561</v>
      </c>
      <c r="AE1690" s="1" t="s">
        <v>6561</v>
      </c>
      <c r="AF1690" s="1" t="s">
        <v>6561</v>
      </c>
      <c r="AG1690" s="6" t="s">
        <v>6571</v>
      </c>
      <c r="AH1690" s="1" t="s">
        <v>6562</v>
      </c>
      <c r="AI1690" s="6" t="s">
        <v>132</v>
      </c>
      <c r="AJ1690" s="6" t="s">
        <v>6572</v>
      </c>
      <c r="AK1690" s="1" t="s">
        <v>6573</v>
      </c>
      <c r="AL1690" s="6" t="s">
        <v>6574</v>
      </c>
    </row>
    <row r="1691" ht="15.75" customHeight="1">
      <c r="A1691" s="1" t="s">
        <v>127</v>
      </c>
      <c r="B1691" s="1" t="s">
        <v>34020</v>
      </c>
      <c r="C1691" s="1" t="s">
        <v>34021</v>
      </c>
      <c r="D1691" s="8" t="s">
        <v>34022</v>
      </c>
      <c r="E1691" s="1" t="s">
        <v>34023</v>
      </c>
      <c r="F1691" s="6" t="s">
        <v>132</v>
      </c>
      <c r="G1691" s="1" t="s">
        <v>34024</v>
      </c>
      <c r="H1691" s="1" t="s">
        <v>34025</v>
      </c>
      <c r="I1691" s="1" t="s">
        <v>34026</v>
      </c>
      <c r="J1691" s="6" t="s">
        <v>34027</v>
      </c>
      <c r="K1691" s="1" t="s">
        <v>34028</v>
      </c>
      <c r="L1691" s="1" t="s">
        <v>34029</v>
      </c>
      <c r="M1691" s="1" t="s">
        <v>34030</v>
      </c>
      <c r="N1691" s="6" t="s">
        <v>132</v>
      </c>
      <c r="O1691" s="6" t="s">
        <v>34031</v>
      </c>
      <c r="P1691" s="1" t="s">
        <v>34032</v>
      </c>
      <c r="Q1691" s="1" t="s">
        <v>34033</v>
      </c>
      <c r="R1691" s="1" t="s">
        <v>34034</v>
      </c>
      <c r="S1691" s="10" t="s">
        <v>34035</v>
      </c>
      <c r="T1691" s="1" t="s">
        <v>34036</v>
      </c>
      <c r="U1691" s="1" t="s">
        <v>34037</v>
      </c>
      <c r="V1691" s="1" t="s">
        <v>34033</v>
      </c>
      <c r="W1691" s="1" t="s">
        <v>34038</v>
      </c>
      <c r="X1691" s="1" t="s">
        <v>34039</v>
      </c>
      <c r="Y1691" s="1" t="s">
        <v>34040</v>
      </c>
      <c r="Z1691" s="1" t="s">
        <v>34041</v>
      </c>
      <c r="AA1691" s="1" t="s">
        <v>34042</v>
      </c>
      <c r="AB1691" s="1" t="s">
        <v>34043</v>
      </c>
      <c r="AC1691" s="1" t="s">
        <v>34044</v>
      </c>
      <c r="AD1691" s="6" t="s">
        <v>34045</v>
      </c>
      <c r="AE1691" s="1" t="s">
        <v>34046</v>
      </c>
      <c r="AF1691" s="1" t="s">
        <v>34047</v>
      </c>
      <c r="AG1691" s="6" t="s">
        <v>34048</v>
      </c>
      <c r="AH1691" s="1" t="s">
        <v>34049</v>
      </c>
      <c r="AI1691" s="6" t="s">
        <v>132</v>
      </c>
      <c r="AJ1691" s="6" t="s">
        <v>34050</v>
      </c>
      <c r="AK1691" s="1" t="s">
        <v>34051</v>
      </c>
      <c r="AL1691" s="6" t="s">
        <v>132</v>
      </c>
    </row>
    <row r="1692" ht="15.75" hidden="1" customHeight="1">
      <c r="A1692" s="1" t="s">
        <v>38</v>
      </c>
      <c r="B1692" s="1" t="s">
        <v>34052</v>
      </c>
      <c r="C1692" s="1" t="s">
        <v>34053</v>
      </c>
      <c r="D1692" s="8" t="s">
        <v>34054</v>
      </c>
      <c r="E1692" s="1" t="s">
        <v>34055</v>
      </c>
      <c r="F1692" s="6" t="s">
        <v>34056</v>
      </c>
      <c r="G1692" s="7" t="str">
        <f>IFERROR(__xludf.DUMMYFUNCTION("GOOGLETRANSLATE(C1692, ""en"", ""cs"")"),"Archivační preference")</f>
        <v>Archivační preference</v>
      </c>
      <c r="H1692" s="7" t="str">
        <f>IFERROR(__xludf.DUMMYFUNCTION("GOOGLETRANSLATE(C1692, ""en"", ""da"")"),"Arkiveringspræferencer.")</f>
        <v>Arkiveringspræferencer.</v>
      </c>
      <c r="I1692" s="1" t="s">
        <v>34057</v>
      </c>
      <c r="J1692" s="6" t="s">
        <v>132</v>
      </c>
      <c r="K1692" s="1" t="s">
        <v>34058</v>
      </c>
      <c r="L1692" s="7" t="str">
        <f>IFERROR(__xludf.DUMMYFUNCTION("GOOGLETRANSLATE(C1692, ""en"", ""fi"")"),"Arkistointitiedot")</f>
        <v>Arkistointitiedot</v>
      </c>
      <c r="M1692" s="1" t="s">
        <v>34059</v>
      </c>
      <c r="N1692" s="6" t="s">
        <v>34060</v>
      </c>
      <c r="O1692" s="6" t="s">
        <v>132</v>
      </c>
      <c r="P1692" s="1" t="s">
        <v>34061</v>
      </c>
      <c r="Q1692" s="7" t="str">
        <f>IFERROR(__xludf.DUMMYFUNCTION("GOOGLETRANSLATE(C1692, ""en"", ""in"")"),"Preferensi pengarsipan")</f>
        <v>Preferensi pengarsipan</v>
      </c>
      <c r="R1692" s="1" t="s">
        <v>34062</v>
      </c>
      <c r="S1692" s="6" t="s">
        <v>132</v>
      </c>
      <c r="T1692" s="1" t="s">
        <v>34063</v>
      </c>
      <c r="U1692" s="1" t="s">
        <v>34064</v>
      </c>
      <c r="V1692" s="7" t="str">
        <f>IFERROR(__xludf.DUMMYFUNCTION("GOOGLETRANSLATE(C1692, ""en"", ""ms"")"),"Pilihan yang mengarkibkan")</f>
        <v>Pilihan yang mengarkibkan</v>
      </c>
      <c r="W1692" s="1" t="s">
        <v>34065</v>
      </c>
      <c r="X1692" s="7" t="str">
        <f>IFERROR(__xludf.DUMMYFUNCTION("GOOGLETRANSLATE(C1692, ""en"", ""no"")"),"Arkiveringsinnstillinger")</f>
        <v>Arkiveringsinnstillinger</v>
      </c>
      <c r="Y1692" s="1" t="s">
        <v>34066</v>
      </c>
      <c r="Z1692" s="1" t="s">
        <v>34067</v>
      </c>
      <c r="AA1692" s="7" t="str">
        <f>IFERROR(__xludf.DUMMYFUNCTION("GOOGLETRANSLATE(C1692, ""en"", ""ro"")"),"Arhivarea preferințelor")</f>
        <v>Arhivarea preferințelor</v>
      </c>
      <c r="AB1692" s="1" t="s">
        <v>34068</v>
      </c>
      <c r="AC1692" s="7" t="str">
        <f>IFERROR(__xludf.DUMMYFUNCTION("GOOGLETRANSLATE(C1692, ""en"", ""sk"")"),"Archivačné preferencie")</f>
        <v>Archivačné preferencie</v>
      </c>
      <c r="AD1692" s="6" t="s">
        <v>132</v>
      </c>
      <c r="AE1692" s="1" t="s">
        <v>34069</v>
      </c>
      <c r="AF1692" s="1" t="s">
        <v>34070</v>
      </c>
      <c r="AG1692" s="6" t="s">
        <v>132</v>
      </c>
      <c r="AH1692" s="7" t="str">
        <f>IFERROR(__xludf.DUMMYFUNCTION("GOOGLETRANSLATE(C1692, ""en"", ""tr"")"),"Arşivleme tercihleri")</f>
        <v>Arşivleme tercihleri</v>
      </c>
      <c r="AI1692" s="6" t="s">
        <v>34071</v>
      </c>
      <c r="AJ1692" s="6" t="s">
        <v>132</v>
      </c>
      <c r="AK1692" s="7" t="str">
        <f>IFERROR(__xludf.DUMMYFUNCTION("GOOGLETRANSLATE(C1692, ""en"", ""zh"")"),"归档偏好")</f>
        <v>归档偏好</v>
      </c>
      <c r="AL1692" s="6" t="s">
        <v>34072</v>
      </c>
    </row>
    <row r="1693" ht="15.75" hidden="1" customHeight="1">
      <c r="A1693" s="1" t="s">
        <v>38</v>
      </c>
      <c r="B1693" s="1" t="s">
        <v>34073</v>
      </c>
      <c r="C1693" s="1" t="s">
        <v>34074</v>
      </c>
      <c r="D1693" s="7" t="str">
        <f>IFERROR(__xludf.DUMMYFUNCTION("GOOGLETRANSLATE(C1693, ""en"", ""ar"")"),"باكستان")</f>
        <v>باكستان</v>
      </c>
      <c r="E1693" s="7" t="str">
        <f>IFERROR(__xludf.DUMMYFUNCTION("GOOGLETRANSLATE(C1693, ""en"", ""bg"")"),"Пакистан")</f>
        <v>Пакистан</v>
      </c>
      <c r="F1693" s="6" t="s">
        <v>132</v>
      </c>
      <c r="G1693" s="7" t="str">
        <f>IFERROR(__xludf.DUMMYFUNCTION("GOOGLETRANSLATE(C1693, ""en"", ""cs"")"),"Pákistán")</f>
        <v>Pákistán</v>
      </c>
      <c r="H1693" s="7" t="str">
        <f>IFERROR(__xludf.DUMMYFUNCTION("GOOGLETRANSLATE(C1693, ""en"", ""da"")"),"Pakistan.")</f>
        <v>Pakistan.</v>
      </c>
      <c r="I1693" s="1" t="s">
        <v>34074</v>
      </c>
      <c r="J1693" s="6" t="s">
        <v>132</v>
      </c>
      <c r="K1693" s="1" t="s">
        <v>34075</v>
      </c>
      <c r="L1693" s="7" t="str">
        <f>IFERROR(__xludf.DUMMYFUNCTION("GOOGLETRANSLATE(C1693, ""en"", ""fi"")"),"Pakistan")</f>
        <v>Pakistan</v>
      </c>
      <c r="M1693" s="1" t="s">
        <v>34074</v>
      </c>
      <c r="N1693" s="6" t="s">
        <v>132</v>
      </c>
      <c r="O1693" s="6" t="s">
        <v>132</v>
      </c>
      <c r="P1693" s="1" t="s">
        <v>34074</v>
      </c>
      <c r="Q1693" s="7" t="str">
        <f>IFERROR(__xludf.DUMMYFUNCTION("GOOGLETRANSLATE(C1693, ""en"", ""in"")"),"Pakistan")</f>
        <v>Pakistan</v>
      </c>
      <c r="R1693" s="7" t="str">
        <f>IFERROR(__xludf.DUMMYFUNCTION("GOOGLETRANSLATE(C1693, ""en"", ""it"")"),"Pakistan")</f>
        <v>Pakistan</v>
      </c>
      <c r="S1693" s="6" t="s">
        <v>132</v>
      </c>
      <c r="T1693" s="7" t="str">
        <f>IFERROR(__xludf.DUMMYFUNCTION("GOOGLETRANSLATE(C1693, ""en"", ""ja"")"),"パキスタン")</f>
        <v>パキスタン</v>
      </c>
      <c r="U1693" s="7" t="str">
        <f>IFERROR(__xludf.DUMMYFUNCTION("GOOGLETRANSLATE(C1693, ""en"", ""ko"")"),"파키스탄")</f>
        <v>파키스탄</v>
      </c>
      <c r="V1693" s="7" t="str">
        <f>IFERROR(__xludf.DUMMYFUNCTION("GOOGLETRANSLATE(C1693, ""en"", ""ms"")"),"Pakistan")</f>
        <v>Pakistan</v>
      </c>
      <c r="W1693" s="7" t="str">
        <f>IFERROR(__xludf.DUMMYFUNCTION("GOOGLETRANSLATE(C1693, ""en"", ""nl"")"),"Pakistan")</f>
        <v>Pakistan</v>
      </c>
      <c r="X1693" s="7" t="str">
        <f>IFERROR(__xludf.DUMMYFUNCTION("GOOGLETRANSLATE(C1693, ""en"", ""no"")"),"Pakistan")</f>
        <v>Pakistan</v>
      </c>
      <c r="Y1693" s="7" t="str">
        <f>IFERROR(__xludf.DUMMYFUNCTION("GOOGLETRANSLATE(C1693, ""en"", ""pl"")"),"Pakistan")</f>
        <v>Pakistan</v>
      </c>
      <c r="Z1693" s="7" t="str">
        <f>IFERROR(__xludf.DUMMYFUNCTION("GOOGLETRANSLATE(C1693, ""en"", ""pt"")"),"Paquistão")</f>
        <v>Paquistão</v>
      </c>
      <c r="AA1693" s="7" t="str">
        <f>IFERROR(__xludf.DUMMYFUNCTION("GOOGLETRANSLATE(C1693, ""en"", ""ro"")"),"Pakistan")</f>
        <v>Pakistan</v>
      </c>
      <c r="AB1693" s="1" t="s">
        <v>34076</v>
      </c>
      <c r="AC1693" s="7" t="str">
        <f>IFERROR(__xludf.DUMMYFUNCTION("GOOGLETRANSLATE(C1693, ""en"", ""sk"")"),"Pakistan")</f>
        <v>Pakistan</v>
      </c>
      <c r="AD1693" s="6" t="s">
        <v>132</v>
      </c>
      <c r="AE1693" s="1" t="s">
        <v>34074</v>
      </c>
      <c r="AF1693" s="7" t="str">
        <f>IFERROR(__xludf.DUMMYFUNCTION("GOOGLETRANSLATE(C1693, ""en"", ""sv"")"),"Pakistan")</f>
        <v>Pakistan</v>
      </c>
      <c r="AG1693" s="6" t="s">
        <v>132</v>
      </c>
      <c r="AH1693" s="7" t="str">
        <f>IFERROR(__xludf.DUMMYFUNCTION("GOOGLETRANSLATE(C1693, ""en"", ""tr"")"),"Pakistan")</f>
        <v>Pakistan</v>
      </c>
      <c r="AI1693" s="6" t="s">
        <v>132</v>
      </c>
      <c r="AJ1693" s="6" t="s">
        <v>132</v>
      </c>
      <c r="AK1693" s="7" t="str">
        <f>IFERROR(__xludf.DUMMYFUNCTION("GOOGLETRANSLATE(C1693, ""en"", ""zh"")"),"巴基斯坦")</f>
        <v>巴基斯坦</v>
      </c>
      <c r="AL1693" s="6" t="s">
        <v>132</v>
      </c>
    </row>
    <row r="1694" ht="15.75" hidden="1" customHeight="1">
      <c r="A1694" s="1" t="s">
        <v>38</v>
      </c>
      <c r="B1694" s="1" t="s">
        <v>34077</v>
      </c>
      <c r="C1694" s="1" t="s">
        <v>34078</v>
      </c>
      <c r="D1694" s="8" t="s">
        <v>34079</v>
      </c>
      <c r="E1694" s="1" t="s">
        <v>34080</v>
      </c>
      <c r="F1694" s="6" t="s">
        <v>34081</v>
      </c>
      <c r="G1694" s="7" t="str">
        <f>IFERROR(__xludf.DUMMYFUNCTION("GOOGLETRANSLATE(C1694, ""en"", ""cs"")"),"Skrýt offline.")</f>
        <v>Skrýt offline.</v>
      </c>
      <c r="H1694" s="7" t="str">
        <f>IFERROR(__xludf.DUMMYFUNCTION("GOOGLETRANSLATE(C1694, ""en"", ""da"")"),"Skjul offline.")</f>
        <v>Skjul offline.</v>
      </c>
      <c r="I1694" s="1" t="s">
        <v>34082</v>
      </c>
      <c r="J1694" s="6" t="s">
        <v>132</v>
      </c>
      <c r="K1694" s="1" t="s">
        <v>34083</v>
      </c>
      <c r="L1694" s="7" t="str">
        <f>IFERROR(__xludf.DUMMYFUNCTION("GOOGLETRANSLATE(C1694, ""en"", ""fi"")"),"Piilota offline")</f>
        <v>Piilota offline</v>
      </c>
      <c r="M1694" s="1" t="s">
        <v>34084</v>
      </c>
      <c r="N1694" s="6" t="s">
        <v>34085</v>
      </c>
      <c r="O1694" s="6" t="s">
        <v>132</v>
      </c>
      <c r="P1694" s="1" t="s">
        <v>34086</v>
      </c>
      <c r="Q1694" s="9" t="s">
        <v>34087</v>
      </c>
      <c r="R1694" s="1" t="s">
        <v>34088</v>
      </c>
      <c r="S1694" s="6" t="s">
        <v>132</v>
      </c>
      <c r="T1694" s="1" t="s">
        <v>34089</v>
      </c>
      <c r="U1694" s="1" t="s">
        <v>34090</v>
      </c>
      <c r="V1694" s="7" t="str">
        <f>IFERROR(__xludf.DUMMYFUNCTION("GOOGLETRANSLATE(C1694, ""en"", ""ms"")"),"Sembunyikan luar talian")</f>
        <v>Sembunyikan luar talian</v>
      </c>
      <c r="W1694" s="1" t="s">
        <v>34091</v>
      </c>
      <c r="X1694" s="7" t="str">
        <f>IFERROR(__xludf.DUMMYFUNCTION("GOOGLETRANSLATE(C1694, ""en"", ""no"")"),"Skjul offline")</f>
        <v>Skjul offline</v>
      </c>
      <c r="Y1694" s="1" t="s">
        <v>34092</v>
      </c>
      <c r="Z1694" s="1" t="s">
        <v>34093</v>
      </c>
      <c r="AA1694" s="7" t="str">
        <f>IFERROR(__xludf.DUMMYFUNCTION("GOOGLETRANSLATE(C1694, ""en"", ""ro"")"),"Ascundeți offline")</f>
        <v>Ascundeți offline</v>
      </c>
      <c r="AB1694" s="1" t="s">
        <v>34094</v>
      </c>
      <c r="AC1694" s="1" t="s">
        <v>34095</v>
      </c>
      <c r="AD1694" s="6" t="s">
        <v>132</v>
      </c>
      <c r="AE1694" s="1" t="s">
        <v>34096</v>
      </c>
      <c r="AF1694" s="1" t="s">
        <v>34097</v>
      </c>
      <c r="AG1694" s="6" t="s">
        <v>132</v>
      </c>
      <c r="AH1694" s="7" t="str">
        <f>IFERROR(__xludf.DUMMYFUNCTION("GOOGLETRANSLATE(C1694, ""en"", ""tr"")"),"Çevrimdışı gizle")</f>
        <v>Çevrimdışı gizle</v>
      </c>
      <c r="AI1694" s="6" t="s">
        <v>34098</v>
      </c>
      <c r="AJ1694" s="6" t="s">
        <v>34099</v>
      </c>
      <c r="AK1694" s="7" t="str">
        <f>IFERROR(__xludf.DUMMYFUNCTION("GOOGLETRANSLATE(C1694, ""en"", ""zh"")"),"隐藏脱机")</f>
        <v>隐藏脱机</v>
      </c>
      <c r="AL1694" s="6" t="s">
        <v>34100</v>
      </c>
    </row>
    <row r="1695" ht="15.75" hidden="1" customHeight="1">
      <c r="A1695" s="1" t="s">
        <v>38</v>
      </c>
      <c r="B1695" s="1" t="s">
        <v>34101</v>
      </c>
      <c r="C1695" s="1" t="s">
        <v>34102</v>
      </c>
      <c r="D1695" s="7" t="str">
        <f>IFERROR(__xludf.DUMMYFUNCTION("GOOGLETRANSLATE(C1695, ""en"", ""ar"")"),"إيقاف افتراضيا")</f>
        <v>إيقاف افتراضيا</v>
      </c>
      <c r="E1695" s="1" t="s">
        <v>34103</v>
      </c>
      <c r="F1695" s="6" t="s">
        <v>34104</v>
      </c>
      <c r="G1695" s="7" t="str">
        <f>IFERROR(__xludf.DUMMYFUNCTION("GOOGLETRANSLATE(C1695, ""en"", ""cs"")"),"Ve výchozím nastavení")</f>
        <v>Ve výchozím nastavení</v>
      </c>
      <c r="H1695" s="7" t="str">
        <f>IFERROR(__xludf.DUMMYFUNCTION("GOOGLETRANSLATE(C1695, ""en"", ""da"")"),"Off som standard")</f>
        <v>Off som standard</v>
      </c>
      <c r="I1695" s="1" t="s">
        <v>34105</v>
      </c>
      <c r="J1695" s="6" t="s">
        <v>132</v>
      </c>
      <c r="K1695" s="1" t="s">
        <v>34106</v>
      </c>
      <c r="L1695" s="7" t="str">
        <f>IFERROR(__xludf.DUMMYFUNCTION("GOOGLETRANSLATE(C1695, ""en"", ""fi"")"),"Oletusarvoisesti")</f>
        <v>Oletusarvoisesti</v>
      </c>
      <c r="M1695" s="1" t="s">
        <v>34107</v>
      </c>
      <c r="N1695" s="6" t="s">
        <v>34106</v>
      </c>
      <c r="O1695" s="6" t="s">
        <v>132</v>
      </c>
      <c r="P1695" s="1" t="s">
        <v>34108</v>
      </c>
      <c r="Q1695" s="7" t="str">
        <f>IFERROR(__xludf.DUMMYFUNCTION("GOOGLETRANSLATE(C1695, ""en"", ""in"")"),"Off secara default")</f>
        <v>Off secara default</v>
      </c>
      <c r="R1695" s="1" t="s">
        <v>34109</v>
      </c>
      <c r="S1695" s="6" t="s">
        <v>132</v>
      </c>
      <c r="T1695" s="1" t="s">
        <v>34110</v>
      </c>
      <c r="U1695" s="7" t="str">
        <f>IFERROR(__xludf.DUMMYFUNCTION("GOOGLETRANSLATE(C1695, ""en"", ""ko"")"),"기본적으로 꺼짐")</f>
        <v>기본적으로 꺼짐</v>
      </c>
      <c r="V1695" s="7" t="str">
        <f>IFERROR(__xludf.DUMMYFUNCTION("GOOGLETRANSLATE(C1695, ""en"", ""ms"")"),"Dimatikan secara lalai.")</f>
        <v>Dimatikan secara lalai.</v>
      </c>
      <c r="W1695" s="1" t="s">
        <v>34111</v>
      </c>
      <c r="X1695" s="7" t="str">
        <f>IFERROR(__xludf.DUMMYFUNCTION("GOOGLETRANSLATE(C1695, ""en"", ""no"")"),"Av som standard")</f>
        <v>Av som standard</v>
      </c>
      <c r="Y1695" s="1" t="s">
        <v>34112</v>
      </c>
      <c r="Z1695" s="7" t="str">
        <f>IFERROR(__xludf.DUMMYFUNCTION("GOOGLETRANSLATE(C1695, ""en"", ""pt"")"),"Desligado por padrão")</f>
        <v>Desligado por padrão</v>
      </c>
      <c r="AA1695" s="7" t="str">
        <f>IFERROR(__xludf.DUMMYFUNCTION("GOOGLETRANSLATE(C1695, ""en"", ""ro"")"),"Off în mod implicit")</f>
        <v>Off în mod implicit</v>
      </c>
      <c r="AB1695" s="7" t="str">
        <f>IFERROR(__xludf.DUMMYFUNCTION("GOOGLETRANSLATE(C1695, ""en"", ""ru"")"),"По умолчанию")</f>
        <v>По умолчанию</v>
      </c>
      <c r="AC1695" s="7" t="str">
        <f>IFERROR(__xludf.DUMMYFUNCTION("GOOGLETRANSLATE(C1695, ""en"", ""sk"")"),"Predvolene")</f>
        <v>Predvolene</v>
      </c>
      <c r="AD1695" s="6" t="s">
        <v>132</v>
      </c>
      <c r="AE1695" s="1" t="s">
        <v>34113</v>
      </c>
      <c r="AF1695" s="7" t="str">
        <f>IFERROR(__xludf.DUMMYFUNCTION("GOOGLETRANSLATE(C1695, ""en"", ""sv"")"),"Av som standard")</f>
        <v>Av som standard</v>
      </c>
      <c r="AG1695" s="6" t="s">
        <v>132</v>
      </c>
      <c r="AH1695" s="7" t="str">
        <f>IFERROR(__xludf.DUMMYFUNCTION("GOOGLETRANSLATE(C1695, ""en"", ""tr"")"),"Varsayılan olarak kapalı")</f>
        <v>Varsayılan olarak kapalı</v>
      </c>
      <c r="AI1695" s="6" t="s">
        <v>132</v>
      </c>
      <c r="AJ1695" s="6" t="s">
        <v>132</v>
      </c>
      <c r="AK1695" s="7" t="str">
        <f>IFERROR(__xludf.DUMMYFUNCTION("GOOGLETRANSLATE(C1695, ""en"", ""zh"")"),"默认情况下")</f>
        <v>默认情况下</v>
      </c>
      <c r="AL1695" s="6" t="s">
        <v>34114</v>
      </c>
    </row>
    <row r="1696" ht="15.75" hidden="1" customHeight="1">
      <c r="A1696" s="1" t="s">
        <v>38</v>
      </c>
      <c r="B1696" s="1" t="s">
        <v>34115</v>
      </c>
      <c r="C1696" s="1" t="s">
        <v>34116</v>
      </c>
      <c r="D1696" s="8" t="s">
        <v>34117</v>
      </c>
      <c r="E1696" s="1" t="s">
        <v>34118</v>
      </c>
      <c r="F1696" s="6" t="s">
        <v>34119</v>
      </c>
      <c r="G1696" s="7" t="str">
        <f>IFERROR(__xludf.DUMMYFUNCTION("GOOGLETRANSLATE(C1696, ""en"", ""cs"")"),"Řídicí panel")</f>
        <v>Řídicí panel</v>
      </c>
      <c r="H1696" s="7" t="str">
        <f>IFERROR(__xludf.DUMMYFUNCTION("GOOGLETRANSLATE(C1696, ""en"", ""da"")"),"Konsol")</f>
        <v>Konsol</v>
      </c>
      <c r="I1696" s="1" t="s">
        <v>34120</v>
      </c>
      <c r="J1696" s="6" t="s">
        <v>132</v>
      </c>
      <c r="K1696" s="1" t="s">
        <v>34119</v>
      </c>
      <c r="L1696" s="7" t="str">
        <f>IFERROR(__xludf.DUMMYFUNCTION("GOOGLETRANSLATE(C1696, ""en"", ""fi"")"),"Konsoli")</f>
        <v>Konsoli</v>
      </c>
      <c r="M1696" s="1" t="s">
        <v>34116</v>
      </c>
      <c r="N1696" s="6" t="s">
        <v>34119</v>
      </c>
      <c r="O1696" s="6" t="s">
        <v>132</v>
      </c>
      <c r="P1696" s="1" t="s">
        <v>34121</v>
      </c>
      <c r="Q1696" s="7" t="str">
        <f>IFERROR(__xludf.DUMMYFUNCTION("GOOGLETRANSLATE(C1696, ""en"", ""in"")"),"Menghibur")</f>
        <v>Menghibur</v>
      </c>
      <c r="R1696" s="1" t="s">
        <v>34116</v>
      </c>
      <c r="S1696" s="6" t="s">
        <v>132</v>
      </c>
      <c r="T1696" s="1" t="s">
        <v>34122</v>
      </c>
      <c r="U1696" s="1" t="s">
        <v>34123</v>
      </c>
      <c r="V1696" s="7" t="str">
        <f>IFERROR(__xludf.DUMMYFUNCTION("GOOGLETRANSLATE(C1696, ""en"", ""ms"")"),"Konsol")</f>
        <v>Konsol</v>
      </c>
      <c r="W1696" s="1" t="s">
        <v>34116</v>
      </c>
      <c r="X1696" s="7" t="str">
        <f>IFERROR(__xludf.DUMMYFUNCTION("GOOGLETRANSLATE(C1696, ""en"", ""no"")"),"Konsollen")</f>
        <v>Konsollen</v>
      </c>
      <c r="Y1696" s="1" t="s">
        <v>34124</v>
      </c>
      <c r="Z1696" s="1" t="s">
        <v>34119</v>
      </c>
      <c r="AA1696" s="7" t="str">
        <f>IFERROR(__xludf.DUMMYFUNCTION("GOOGLETRANSLATE(C1696, ""en"", ""ro"")"),"Consolă")</f>
        <v>Consolă</v>
      </c>
      <c r="AB1696" s="1" t="s">
        <v>34125</v>
      </c>
      <c r="AC1696" s="7" t="str">
        <f>IFERROR(__xludf.DUMMYFUNCTION("GOOGLETRANSLATE(C1696, ""en"", ""sk"")"),"Konzola")</f>
        <v>Konzola</v>
      </c>
      <c r="AD1696" s="6" t="s">
        <v>132</v>
      </c>
      <c r="AE1696" s="1" t="s">
        <v>34118</v>
      </c>
      <c r="AF1696" s="1" t="s">
        <v>34126</v>
      </c>
      <c r="AG1696" s="6" t="s">
        <v>132</v>
      </c>
      <c r="AH1696" s="7" t="str">
        <f>IFERROR(__xludf.DUMMYFUNCTION("GOOGLETRANSLATE(C1696, ""en"", ""tr"")"),"Konsol")</f>
        <v>Konsol</v>
      </c>
      <c r="AI1696" s="6" t="s">
        <v>34125</v>
      </c>
      <c r="AJ1696" s="6" t="s">
        <v>132</v>
      </c>
      <c r="AK1696" s="7" t="str">
        <f>IFERROR(__xludf.DUMMYFUNCTION("GOOGLETRANSLATE(C1696, ""en"", ""zh"")"),"安慰")</f>
        <v>安慰</v>
      </c>
      <c r="AL1696" s="6" t="s">
        <v>34127</v>
      </c>
    </row>
    <row r="1697" ht="15.75" hidden="1" customHeight="1">
      <c r="A1697" s="1" t="s">
        <v>38</v>
      </c>
      <c r="B1697" s="1" t="s">
        <v>34128</v>
      </c>
      <c r="C1697" s="1" t="s">
        <v>34129</v>
      </c>
      <c r="D1697" s="8" t="s">
        <v>34130</v>
      </c>
      <c r="E1697" s="1" t="s">
        <v>34131</v>
      </c>
      <c r="F1697" s="6" t="s">
        <v>34132</v>
      </c>
      <c r="G1697" s="7" t="str">
        <f>IFERROR(__xludf.DUMMYFUNCTION("GOOGLETRANSLATE(C1697, ""en"", ""cs"")"),"Heslo")</f>
        <v>Heslo</v>
      </c>
      <c r="H1697" s="7" t="str">
        <f>IFERROR(__xludf.DUMMYFUNCTION("GOOGLETRANSLATE(C1697, ""en"", ""da"")"),"Adgangskode")</f>
        <v>Adgangskode</v>
      </c>
      <c r="I1697" s="1" t="s">
        <v>19235</v>
      </c>
      <c r="J1697" s="6" t="s">
        <v>132</v>
      </c>
      <c r="K1697" s="1" t="s">
        <v>34133</v>
      </c>
      <c r="L1697" s="7" t="str">
        <f>IFERROR(__xludf.DUMMYFUNCTION("GOOGLETRANSLATE(C1697, ""en"", ""fi"")"),"Salasana")</f>
        <v>Salasana</v>
      </c>
      <c r="M1697" s="1" t="s">
        <v>34134</v>
      </c>
      <c r="N1697" s="6" t="s">
        <v>34135</v>
      </c>
      <c r="O1697" s="6" t="s">
        <v>132</v>
      </c>
      <c r="P1697" s="1" t="s">
        <v>34136</v>
      </c>
      <c r="Q1697" s="9" t="s">
        <v>34129</v>
      </c>
      <c r="R1697" s="1" t="s">
        <v>34129</v>
      </c>
      <c r="S1697" s="6" t="s">
        <v>132</v>
      </c>
      <c r="T1697" s="1" t="s">
        <v>34137</v>
      </c>
      <c r="U1697" s="1" t="s">
        <v>34138</v>
      </c>
      <c r="V1697" s="7" t="str">
        <f>IFERROR(__xludf.DUMMYFUNCTION("GOOGLETRANSLATE(C1697, ""en"", ""ms"")"),"Kata laluan")</f>
        <v>Kata laluan</v>
      </c>
      <c r="W1697" s="1" t="s">
        <v>34139</v>
      </c>
      <c r="X1697" s="7" t="str">
        <f>IFERROR(__xludf.DUMMYFUNCTION("GOOGLETRANSLATE(C1697, ""en"", ""no"")"),"Passord")</f>
        <v>Passord</v>
      </c>
      <c r="Y1697" s="1" t="s">
        <v>34140</v>
      </c>
      <c r="Z1697" s="1" t="s">
        <v>34141</v>
      </c>
      <c r="AA1697" s="7" t="str">
        <f>IFERROR(__xludf.DUMMYFUNCTION("GOOGLETRANSLATE(C1697, ""en"", ""ro"")"),"Parola")</f>
        <v>Parola</v>
      </c>
      <c r="AB1697" s="1" t="s">
        <v>34142</v>
      </c>
      <c r="AC1697" s="1" t="s">
        <v>34143</v>
      </c>
      <c r="AD1697" s="6" t="s">
        <v>132</v>
      </c>
      <c r="AE1697" s="1" t="s">
        <v>34144</v>
      </c>
      <c r="AF1697" s="1" t="s">
        <v>34145</v>
      </c>
      <c r="AG1697" s="6" t="s">
        <v>132</v>
      </c>
      <c r="AH1697" s="7" t="str">
        <f>IFERROR(__xludf.DUMMYFUNCTION("GOOGLETRANSLATE(C1697, ""en"", ""tr"")"),"Parola")</f>
        <v>Parola</v>
      </c>
      <c r="AI1697" s="6" t="s">
        <v>34142</v>
      </c>
      <c r="AJ1697" s="6" t="s">
        <v>34146</v>
      </c>
      <c r="AK1697" s="7" t="str">
        <f>IFERROR(__xludf.DUMMYFUNCTION("GOOGLETRANSLATE(C1697, ""en"", ""zh"")"),"密码")</f>
        <v>密码</v>
      </c>
      <c r="AL1697" s="6" t="s">
        <v>34147</v>
      </c>
    </row>
    <row r="1698" ht="15.75" hidden="1" customHeight="1">
      <c r="A1698" s="1" t="s">
        <v>38</v>
      </c>
      <c r="B1698" s="1" t="s">
        <v>34148</v>
      </c>
      <c r="C1698" s="1" t="s">
        <v>34149</v>
      </c>
      <c r="D1698" s="8" t="s">
        <v>34150</v>
      </c>
      <c r="E1698" s="1" t="s">
        <v>34151</v>
      </c>
      <c r="F1698" s="6" t="s">
        <v>34152</v>
      </c>
      <c r="G1698" s="7" t="str">
        <f>IFERROR(__xludf.DUMMYFUNCTION("GOOGLETRANSLATE(C1698, ""en"", ""cs"")"),"Chtěli byste blokovat% s od posílání zpráv?")</f>
        <v>Chtěli byste blokovat% s od posílání zpráv?</v>
      </c>
      <c r="H1698" s="7" t="str">
        <f>IFERROR(__xludf.DUMMYFUNCTION("GOOGLETRANSLATE(C1698, ""en"", ""da"")"),"Vil du gerne blokere% s fra at sende dig beskeder?")</f>
        <v>Vil du gerne blokere% s fra at sende dig beskeder?</v>
      </c>
      <c r="I1698" s="1" t="s">
        <v>34153</v>
      </c>
      <c r="J1698" s="6" t="s">
        <v>132</v>
      </c>
      <c r="K1698" s="1" t="s">
        <v>34154</v>
      </c>
      <c r="L1698" s="7" t="str">
        <f>IFERROR(__xludf.DUMMYFUNCTION("GOOGLETRANSLATE(C1698, ""en"", ""fi"")"),"Haluatko estää% s lähettämästäsi viestejä?")</f>
        <v>Haluatko estää% s lähettämästäsi viestejä?</v>
      </c>
      <c r="M1698" s="1" t="s">
        <v>34155</v>
      </c>
      <c r="N1698" s="6" t="s">
        <v>34156</v>
      </c>
      <c r="O1698" s="6" t="s">
        <v>132</v>
      </c>
      <c r="P1698" s="1" t="s">
        <v>34157</v>
      </c>
      <c r="Q1698" s="9" t="s">
        <v>34158</v>
      </c>
      <c r="R1698" s="1" t="s">
        <v>34159</v>
      </c>
      <c r="S1698" s="6" t="s">
        <v>132</v>
      </c>
      <c r="T1698" s="1" t="s">
        <v>34160</v>
      </c>
      <c r="U1698" s="1" t="s">
        <v>34161</v>
      </c>
      <c r="V1698" s="7" t="str">
        <f>IFERROR(__xludf.DUMMYFUNCTION("GOOGLETRANSLATE(C1698, ""en"", ""ms"")"),"Adakah anda ingin menyekat% s dari menghantar mesej kepada anda?")</f>
        <v>Adakah anda ingin menyekat% s dari menghantar mesej kepada anda?</v>
      </c>
      <c r="W1698" s="1" t="s">
        <v>34162</v>
      </c>
      <c r="X1698" s="7" t="str">
        <f>IFERROR(__xludf.DUMMYFUNCTION("GOOGLETRANSLATE(C1698, ""en"", ""no"")"),"Vil du blokkere% s fra å sende deg meldinger?")</f>
        <v>Vil du blokkere% s fra å sende deg meldinger?</v>
      </c>
      <c r="Y1698" s="1" t="s">
        <v>34163</v>
      </c>
      <c r="Z1698" s="1" t="s">
        <v>34164</v>
      </c>
      <c r="AA1698" s="7" t="str">
        <f>IFERROR(__xludf.DUMMYFUNCTION("GOOGLETRANSLATE(C1698, ""en"", ""ro"")"),"Doriți să blocați% s de la trimiterea mesajelor?")</f>
        <v>Doriți să blocați% s de la trimiterea mesajelor?</v>
      </c>
      <c r="AB1698" s="1" t="s">
        <v>34165</v>
      </c>
      <c r="AC1698" s="1" t="s">
        <v>34166</v>
      </c>
      <c r="AD1698" s="6" t="s">
        <v>132</v>
      </c>
      <c r="AE1698" s="1" t="s">
        <v>34167</v>
      </c>
      <c r="AF1698" s="1" t="s">
        <v>34168</v>
      </c>
      <c r="AG1698" s="6" t="s">
        <v>132</v>
      </c>
      <c r="AH1698" s="13" t="s">
        <v>34169</v>
      </c>
      <c r="AI1698" s="6" t="s">
        <v>34170</v>
      </c>
      <c r="AJ1698" s="6" t="s">
        <v>34171</v>
      </c>
      <c r="AK1698" s="7" t="str">
        <f>IFERROR(__xludf.DUMMYFUNCTION("GOOGLETRANSLATE(C1698, ""en"", ""zh"")"),"你想阻止％s从发送你的消息吗？")</f>
        <v>你想阻止％s从发送你的消息吗？</v>
      </c>
      <c r="AL1698" s="6" t="s">
        <v>34172</v>
      </c>
    </row>
    <row r="1699" ht="15.75" hidden="1" customHeight="1">
      <c r="A1699" s="1" t="s">
        <v>38</v>
      </c>
      <c r="B1699" s="1" t="s">
        <v>34173</v>
      </c>
      <c r="C1699" s="1" t="s">
        <v>34174</v>
      </c>
      <c r="D1699" s="8" t="s">
        <v>34175</v>
      </c>
      <c r="E1699" s="1" t="s">
        <v>34176</v>
      </c>
      <c r="F1699" s="6" t="s">
        <v>34177</v>
      </c>
      <c r="G1699" s="7" t="str">
        <f>IFERROR(__xludf.DUMMYFUNCTION("GOOGLETRANSLATE(C1699, ""en"", ""cs"")"),"Žádost o příjmy zpráv")</f>
        <v>Žádost o příjmy zpráv</v>
      </c>
      <c r="H1699" s="7" t="str">
        <f>IFERROR(__xludf.DUMMYFUNCTION("GOOGLETRANSLATE(C1699, ""en"", ""da"")"),"Anmod om Message Kvitteringer.")</f>
        <v>Anmod om Message Kvitteringer.</v>
      </c>
      <c r="I1699" s="1" t="s">
        <v>34178</v>
      </c>
      <c r="J1699" s="6" t="s">
        <v>132</v>
      </c>
      <c r="K1699" s="1" t="s">
        <v>34179</v>
      </c>
      <c r="L1699" s="7" t="str">
        <f>IFERROR(__xludf.DUMMYFUNCTION("GOOGLETRANSLATE(C1699, ""en"", ""fi"")"),"Pyydä viestin kuitit")</f>
        <v>Pyydä viestin kuitit</v>
      </c>
      <c r="M1699" s="1" t="s">
        <v>34180</v>
      </c>
      <c r="N1699" s="6" t="s">
        <v>34181</v>
      </c>
      <c r="O1699" s="6" t="s">
        <v>132</v>
      </c>
      <c r="P1699" s="1" t="s">
        <v>34182</v>
      </c>
      <c r="Q1699" s="9" t="s">
        <v>34183</v>
      </c>
      <c r="R1699" s="1" t="s">
        <v>34184</v>
      </c>
      <c r="S1699" s="6" t="s">
        <v>132</v>
      </c>
      <c r="T1699" s="1" t="s">
        <v>34185</v>
      </c>
      <c r="U1699" s="1" t="s">
        <v>34186</v>
      </c>
      <c r="V1699" s="7" t="str">
        <f>IFERROR(__xludf.DUMMYFUNCTION("GOOGLETRANSLATE(C1699, ""en"", ""ms"")"),"Meminta Resit Mesej.")</f>
        <v>Meminta Resit Mesej.</v>
      </c>
      <c r="W1699" s="1" t="s">
        <v>34187</v>
      </c>
      <c r="X1699" s="7" t="str">
        <f>IFERROR(__xludf.DUMMYFUNCTION("GOOGLETRANSLATE(C1699, ""en"", ""no"")"),"Be om meldingskvitteringer")</f>
        <v>Be om meldingskvitteringer</v>
      </c>
      <c r="Y1699" s="1" t="s">
        <v>34188</v>
      </c>
      <c r="Z1699" s="1" t="s">
        <v>34189</v>
      </c>
      <c r="AA1699" s="7" t="str">
        <f>IFERROR(__xludf.DUMMYFUNCTION("GOOGLETRANSLATE(C1699, ""en"", ""ro"")"),"Solicitați recepții de mesaje")</f>
        <v>Solicitați recepții de mesaje</v>
      </c>
      <c r="AB1699" s="1" t="s">
        <v>34190</v>
      </c>
      <c r="AC1699" s="1" t="s">
        <v>34191</v>
      </c>
      <c r="AD1699" s="6" t="s">
        <v>132</v>
      </c>
      <c r="AE1699" s="1" t="s">
        <v>34192</v>
      </c>
      <c r="AF1699" s="1" t="s">
        <v>34193</v>
      </c>
      <c r="AG1699" s="6" t="s">
        <v>132</v>
      </c>
      <c r="AH1699" s="7" t="str">
        <f>IFERROR(__xludf.DUMMYFUNCTION("GOOGLETRANSLATE(C1699, ""en"", ""tr"")"),"Mesaj makbuzlarını isteyin")</f>
        <v>Mesaj makbuzlarını isteyin</v>
      </c>
      <c r="AI1699" s="6" t="s">
        <v>34194</v>
      </c>
      <c r="AJ1699" s="6" t="s">
        <v>34195</v>
      </c>
      <c r="AK1699" s="7" t="str">
        <f>IFERROR(__xludf.DUMMYFUNCTION("GOOGLETRANSLATE(C1699, ""en"", ""zh"")"),"请求消息收据")</f>
        <v>请求消息收据</v>
      </c>
      <c r="AL1699" s="6" t="s">
        <v>34196</v>
      </c>
    </row>
    <row r="1700" ht="15.75" hidden="1" customHeight="1">
      <c r="A1700" s="1" t="s">
        <v>38</v>
      </c>
      <c r="B1700" s="1" t="s">
        <v>34197</v>
      </c>
      <c r="C1700" s="1" t="s">
        <v>34198</v>
      </c>
      <c r="D1700" s="7" t="str">
        <f>IFERROR(__xludf.DUMMYFUNCTION("GOOGLETRANSLATE(C1700, ""en"", ""ar"")"),"لم يتم تثبيت تطبيق السوق.")</f>
        <v>لم يتم تثبيت تطبيق السوق.</v>
      </c>
      <c r="E1700" s="1" t="s">
        <v>34199</v>
      </c>
      <c r="F1700" s="6" t="s">
        <v>132</v>
      </c>
      <c r="G1700" s="7" t="str">
        <f>IFERROR(__xludf.DUMMYFUNCTION("GOOGLETRANSLATE(C1700, ""en"", ""cs"")"),"Nainstalována žádná aplikace trhu.")</f>
        <v>Nainstalována žádná aplikace trhu.</v>
      </c>
      <c r="H1700" s="7" t="str">
        <f>IFERROR(__xludf.DUMMYFUNCTION("GOOGLETRANSLATE(C1700, ""en"", ""da"")"),"Ingen markedsapp installeret.")</f>
        <v>Ingen markedsapp installeret.</v>
      </c>
      <c r="I1700" s="1" t="s">
        <v>34200</v>
      </c>
      <c r="J1700" s="6" t="s">
        <v>132</v>
      </c>
      <c r="K1700" s="1" t="s">
        <v>34201</v>
      </c>
      <c r="L1700" s="7" t="str">
        <f>IFERROR(__xludf.DUMMYFUNCTION("GOOGLETRANSLATE(C1700, ""en"", ""fi"")"),"Ei markkina-sovellusta.")</f>
        <v>Ei markkina-sovellusta.</v>
      </c>
      <c r="M1700" s="13" t="s">
        <v>34202</v>
      </c>
      <c r="N1700" s="6" t="s">
        <v>34203</v>
      </c>
      <c r="O1700" s="6" t="s">
        <v>132</v>
      </c>
      <c r="P1700" s="7" t="str">
        <f>IFERROR(__xludf.DUMMYFUNCTION("GOOGLETRANSLATE(C1700, ""en"", ""hu"")"),"Nincs telepítve a piaci alkalmazás.")</f>
        <v>Nincs telepítve a piaci alkalmazás.</v>
      </c>
      <c r="Q1700" s="7" t="str">
        <f>IFERROR(__xludf.DUMMYFUNCTION("GOOGLETRANSLATE(C1700, ""en"", ""in"")"),"Tidak ada aplikasi pasar yang dipasang.")</f>
        <v>Tidak ada aplikasi pasar yang dipasang.</v>
      </c>
      <c r="R1700" s="1" t="s">
        <v>34204</v>
      </c>
      <c r="S1700" s="6" t="s">
        <v>132</v>
      </c>
      <c r="T1700" s="7" t="str">
        <f>IFERROR(__xludf.DUMMYFUNCTION("GOOGLETRANSLATE(C1700, ""en"", ""ja"")"),"マーケットアプリはインストールされていません。")</f>
        <v>マーケットアプリはインストールされていません。</v>
      </c>
      <c r="U1700" s="7" t="str">
        <f>IFERROR(__xludf.DUMMYFUNCTION("GOOGLETRANSLATE(C1700, ""en"", ""ko"")"),"시장 앱이 설치되어 있지 않습니다.")</f>
        <v>시장 앱이 설치되어 있지 않습니다.</v>
      </c>
      <c r="V1700" s="7" t="str">
        <f>IFERROR(__xludf.DUMMYFUNCTION("GOOGLETRANSLATE(C1700, ""en"", ""ms"")"),"Tiada aplikasi pasaran yang dipasang.")</f>
        <v>Tiada aplikasi pasaran yang dipasang.</v>
      </c>
      <c r="W1700" s="1" t="s">
        <v>34205</v>
      </c>
      <c r="X1700" s="7" t="str">
        <f>IFERROR(__xludf.DUMMYFUNCTION("GOOGLETRANSLATE(C1700, ""en"", ""no"")"),"Ingen markedsapp installert.")</f>
        <v>Ingen markedsapp installert.</v>
      </c>
      <c r="Y1700" s="1" t="s">
        <v>34206</v>
      </c>
      <c r="Z1700" s="7" t="str">
        <f>IFERROR(__xludf.DUMMYFUNCTION("GOOGLETRANSLATE(C1700, ""en"", ""pt"")"),"Nenhum aplicativo de mercado instalado.")</f>
        <v>Nenhum aplicativo de mercado instalado.</v>
      </c>
      <c r="AA1700" s="7" t="str">
        <f>IFERROR(__xludf.DUMMYFUNCTION("GOOGLETRANSLATE(C1700, ""en"", ""ro"")"),"Nu este instalată nicio aplicație de piață.")</f>
        <v>Nu este instalată nicio aplicație de piață.</v>
      </c>
      <c r="AB1700" s="7" t="str">
        <f>IFERROR(__xludf.DUMMYFUNCTION("GOOGLETRANSLATE(C1700, ""en"", ""ru"")"),"Никаких рыночных приложений не установлено.")</f>
        <v>Никаких рыночных приложений не установлено.</v>
      </c>
      <c r="AC1700" s="7" t="str">
        <f>IFERROR(__xludf.DUMMYFUNCTION("GOOGLETRANSLATE(C1700, ""en"", ""sk"")"),"Žiadne nainštalované trhové aplikácie.")</f>
        <v>Žiadne nainštalované trhové aplikácie.</v>
      </c>
      <c r="AD1700" s="6" t="s">
        <v>132</v>
      </c>
      <c r="AE1700" s="7" t="str">
        <f>IFERROR(__xludf.DUMMYFUNCTION("GOOGLETRANSLATE(C1700, ""en"", ""sr"")"),"Није инсталирана апликација за тржиште.")</f>
        <v>Није инсталирана апликација за тржиште.</v>
      </c>
      <c r="AF1700" s="7" t="str">
        <f>IFERROR(__xludf.DUMMYFUNCTION("GOOGLETRANSLATE(C1700, ""en"", ""sv"")"),"Ingen marknad app installerad.")</f>
        <v>Ingen marknad app installerad.</v>
      </c>
      <c r="AG1700" s="6" t="s">
        <v>132</v>
      </c>
      <c r="AH1700" s="7" t="str">
        <f>IFERROR(__xludf.DUMMYFUNCTION("GOOGLETRANSLATE(C1700, ""en"", ""tr"")"),"Piyasa uygulaması yüklü değil.")</f>
        <v>Piyasa uygulaması yüklü değil.</v>
      </c>
      <c r="AI1700" s="6" t="s">
        <v>132</v>
      </c>
      <c r="AJ1700" s="6" t="s">
        <v>132</v>
      </c>
      <c r="AK1700" s="7" t="str">
        <f>IFERROR(__xludf.DUMMYFUNCTION("GOOGLETRANSLATE(C1700, ""en"", ""zh"")"),"没有安装市场应用程序。")</f>
        <v>没有安装市场应用程序。</v>
      </c>
      <c r="AL1700" s="6" t="s">
        <v>132</v>
      </c>
    </row>
    <row r="1701" ht="15.75" hidden="1" customHeight="1">
      <c r="A1701" s="1" t="s">
        <v>38</v>
      </c>
      <c r="B1701" s="1" t="s">
        <v>34207</v>
      </c>
      <c r="C1701" s="1" t="s">
        <v>34208</v>
      </c>
      <c r="D1701" s="8" t="s">
        <v>34209</v>
      </c>
      <c r="E1701" s="1" t="s">
        <v>34210</v>
      </c>
      <c r="F1701" s="6" t="s">
        <v>34208</v>
      </c>
      <c r="G1701" s="7" t="str">
        <f>IFERROR(__xludf.DUMMYFUNCTION("GOOGLETRANSLATE(C1701, ""en"", ""cs"")"),"Tableta")</f>
        <v>Tableta</v>
      </c>
      <c r="H1701" s="7" t="str">
        <f>IFERROR(__xludf.DUMMYFUNCTION("GOOGLETRANSLATE(C1701, ""en"", ""da"")"),"Tablet")</f>
        <v>Tablet</v>
      </c>
      <c r="I1701" s="1" t="s">
        <v>34208</v>
      </c>
      <c r="J1701" s="6" t="s">
        <v>132</v>
      </c>
      <c r="K1701" s="1" t="s">
        <v>34208</v>
      </c>
      <c r="L1701" s="7" t="str">
        <f>IFERROR(__xludf.DUMMYFUNCTION("GOOGLETRANSLATE(C1701, ""en"", ""fi"")"),"Tabletti")</f>
        <v>Tabletti</v>
      </c>
      <c r="M1701" s="1" t="s">
        <v>34211</v>
      </c>
      <c r="N1701" s="6" t="s">
        <v>34212</v>
      </c>
      <c r="O1701" s="6" t="s">
        <v>132</v>
      </c>
      <c r="P1701" s="1" t="s">
        <v>34213</v>
      </c>
      <c r="Q1701" s="7" t="str">
        <f>IFERROR(__xludf.DUMMYFUNCTION("GOOGLETRANSLATE(C1701, ""en"", ""in"")"),"Tablet")</f>
        <v>Tablet</v>
      </c>
      <c r="R1701" s="1" t="s">
        <v>34208</v>
      </c>
      <c r="S1701" s="6" t="s">
        <v>132</v>
      </c>
      <c r="T1701" s="1" t="s">
        <v>34214</v>
      </c>
      <c r="U1701" s="1" t="s">
        <v>34215</v>
      </c>
      <c r="V1701" s="7" t="str">
        <f>IFERROR(__xludf.DUMMYFUNCTION("GOOGLETRANSLATE(C1701, ""en"", ""ms"")"),"Tablet.")</f>
        <v>Tablet.</v>
      </c>
      <c r="W1701" s="1" t="s">
        <v>34208</v>
      </c>
      <c r="X1701" s="7" t="str">
        <f>IFERROR(__xludf.DUMMYFUNCTION("GOOGLETRANSLATE(C1701, ""en"", ""no"")"),"Tablett")</f>
        <v>Tablett</v>
      </c>
      <c r="Y1701" s="1" t="s">
        <v>34208</v>
      </c>
      <c r="Z1701" s="1" t="s">
        <v>34208</v>
      </c>
      <c r="AA1701" s="7" t="str">
        <f>IFERROR(__xludf.DUMMYFUNCTION("GOOGLETRANSLATE(C1701, ""en"", ""ro"")"),"Comprimat")</f>
        <v>Comprimat</v>
      </c>
      <c r="AB1701" s="1" t="s">
        <v>34216</v>
      </c>
      <c r="AC1701" s="7" t="str">
        <f>IFERROR(__xludf.DUMMYFUNCTION("GOOGLETRANSLATE(C1701, ""en"", ""sk"")"),"Tableta")</f>
        <v>Tableta</v>
      </c>
      <c r="AD1701" s="6" t="s">
        <v>132</v>
      </c>
      <c r="AE1701" s="1" t="s">
        <v>34210</v>
      </c>
      <c r="AF1701" s="1" t="s">
        <v>34217</v>
      </c>
      <c r="AG1701" s="6" t="s">
        <v>132</v>
      </c>
      <c r="AH1701" s="7" t="str">
        <f>IFERROR(__xludf.DUMMYFUNCTION("GOOGLETRANSLATE(C1701, ""en"", ""tr"")"),"Tablet")</f>
        <v>Tablet</v>
      </c>
      <c r="AI1701" s="6" t="s">
        <v>34216</v>
      </c>
      <c r="AJ1701" s="6" t="s">
        <v>132</v>
      </c>
      <c r="AK1701" s="7" t="str">
        <f>IFERROR(__xludf.DUMMYFUNCTION("GOOGLETRANSLATE(C1701, ""en"", ""zh"")"),"药片")</f>
        <v>药片</v>
      </c>
      <c r="AL1701" s="6" t="s">
        <v>34218</v>
      </c>
    </row>
    <row r="1702" ht="15.75" customHeight="1">
      <c r="A1702" s="1" t="s">
        <v>127</v>
      </c>
      <c r="B1702" s="1" t="s">
        <v>34219</v>
      </c>
      <c r="C1702" s="1" t="s">
        <v>34220</v>
      </c>
      <c r="D1702" s="8" t="s">
        <v>34221</v>
      </c>
      <c r="E1702" s="1" t="s">
        <v>34222</v>
      </c>
      <c r="F1702" s="6" t="s">
        <v>132</v>
      </c>
      <c r="G1702" s="1" t="s">
        <v>34223</v>
      </c>
      <c r="H1702" s="1" t="s">
        <v>34224</v>
      </c>
      <c r="I1702" s="1" t="s">
        <v>34225</v>
      </c>
      <c r="J1702" s="6" t="s">
        <v>34226</v>
      </c>
      <c r="K1702" s="1" t="s">
        <v>34227</v>
      </c>
      <c r="L1702" s="1" t="s">
        <v>34228</v>
      </c>
      <c r="M1702" s="1" t="s">
        <v>34229</v>
      </c>
      <c r="N1702" s="6" t="s">
        <v>132</v>
      </c>
      <c r="O1702" s="6" t="s">
        <v>34230</v>
      </c>
      <c r="P1702" s="1" t="s">
        <v>34231</v>
      </c>
      <c r="Q1702" s="1" t="s">
        <v>34232</v>
      </c>
      <c r="R1702" s="1" t="s">
        <v>34233</v>
      </c>
      <c r="S1702" s="10" t="s">
        <v>34234</v>
      </c>
      <c r="T1702" s="1" t="s">
        <v>34235</v>
      </c>
      <c r="U1702" s="1" t="s">
        <v>34236</v>
      </c>
      <c r="V1702" s="1" t="s">
        <v>34237</v>
      </c>
      <c r="W1702" s="1" t="s">
        <v>34238</v>
      </c>
      <c r="X1702" s="1" t="s">
        <v>34239</v>
      </c>
      <c r="Y1702" s="1" t="s">
        <v>34240</v>
      </c>
      <c r="Z1702" s="1" t="s">
        <v>34241</v>
      </c>
      <c r="AA1702" s="1" t="s">
        <v>34242</v>
      </c>
      <c r="AB1702" s="1" t="s">
        <v>34243</v>
      </c>
      <c r="AC1702" s="1" t="s">
        <v>34244</v>
      </c>
      <c r="AD1702" s="6" t="s">
        <v>34245</v>
      </c>
      <c r="AE1702" s="1" t="s">
        <v>34246</v>
      </c>
      <c r="AF1702" s="1" t="s">
        <v>34247</v>
      </c>
      <c r="AG1702" s="6" t="s">
        <v>34248</v>
      </c>
      <c r="AH1702" s="1" t="s">
        <v>34249</v>
      </c>
      <c r="AI1702" s="6" t="s">
        <v>132</v>
      </c>
      <c r="AJ1702" s="6" t="s">
        <v>34250</v>
      </c>
      <c r="AK1702" s="1" t="s">
        <v>34251</v>
      </c>
      <c r="AL1702" s="6" t="s">
        <v>34252</v>
      </c>
    </row>
    <row r="1703" ht="15.75" hidden="1" customHeight="1">
      <c r="A1703" s="1" t="s">
        <v>38</v>
      </c>
      <c r="B1703" s="1" t="s">
        <v>34253</v>
      </c>
      <c r="C1703" s="1" t="s">
        <v>4030</v>
      </c>
      <c r="D1703" s="8" t="s">
        <v>34254</v>
      </c>
      <c r="E1703" s="1" t="s">
        <v>34255</v>
      </c>
      <c r="F1703" s="6" t="s">
        <v>4033</v>
      </c>
      <c r="G1703" s="7" t="str">
        <f>IFERROR(__xludf.DUMMYFUNCTION("GOOGLETRANSLATE(C1703, ""en"", ""cs"")"),"Odblokovat kontakt")</f>
        <v>Odblokovat kontakt</v>
      </c>
      <c r="H1703" s="7" t="str">
        <f>IFERROR(__xludf.DUMMYFUNCTION("GOOGLETRANSLATE(C1703, ""en"", ""da"")"),"Unblock kontakt")</f>
        <v>Unblock kontakt</v>
      </c>
      <c r="I1703" s="1" t="s">
        <v>4034</v>
      </c>
      <c r="J1703" s="6" t="s">
        <v>132</v>
      </c>
      <c r="K1703" s="1" t="s">
        <v>4035</v>
      </c>
      <c r="L1703" s="7" t="str">
        <f>IFERROR(__xludf.DUMMYFUNCTION("GOOGLETRANSLATE(C1703, ""en"", ""fi"")"),"Unblock Yhteystiedot")</f>
        <v>Unblock Yhteystiedot</v>
      </c>
      <c r="M1703" s="1" t="s">
        <v>4036</v>
      </c>
      <c r="N1703" s="6" t="s">
        <v>4035</v>
      </c>
      <c r="O1703" s="6" t="s">
        <v>132</v>
      </c>
      <c r="P1703" s="1" t="s">
        <v>4037</v>
      </c>
      <c r="Q1703" s="9" t="s">
        <v>34256</v>
      </c>
      <c r="R1703" s="1" t="s">
        <v>4039</v>
      </c>
      <c r="S1703" s="6" t="s">
        <v>132</v>
      </c>
      <c r="T1703" s="1" t="s">
        <v>4040</v>
      </c>
      <c r="U1703" s="1" t="s">
        <v>4041</v>
      </c>
      <c r="V1703" s="7" t="str">
        <f>IFERROR(__xludf.DUMMYFUNCTION("GOOGLETRANSLATE(C1703, ""en"", ""ms"")"),"Nyahsekat Hubungan")</f>
        <v>Nyahsekat Hubungan</v>
      </c>
      <c r="W1703" s="1" t="s">
        <v>4042</v>
      </c>
      <c r="X1703" s="7" t="str">
        <f>IFERROR(__xludf.DUMMYFUNCTION("GOOGLETRANSLATE(C1703, ""en"", ""no"")"),"Unblock kontakt")</f>
        <v>Unblock kontakt</v>
      </c>
      <c r="Y1703" s="1" t="s">
        <v>4043</v>
      </c>
      <c r="Z1703" s="1" t="s">
        <v>4035</v>
      </c>
      <c r="AA1703" s="7" t="str">
        <f>IFERROR(__xludf.DUMMYFUNCTION("GOOGLETRANSLATE(C1703, ""en"", ""ro"")"),"Deblocați contact")</f>
        <v>Deblocați contact</v>
      </c>
      <c r="AB1703" s="1" t="s">
        <v>4044</v>
      </c>
      <c r="AC1703" s="1" t="s">
        <v>4045</v>
      </c>
      <c r="AD1703" s="6" t="s">
        <v>132</v>
      </c>
      <c r="AE1703" s="1" t="s">
        <v>4046</v>
      </c>
      <c r="AF1703" s="1" t="s">
        <v>4047</v>
      </c>
      <c r="AG1703" s="6" t="s">
        <v>132</v>
      </c>
      <c r="AH1703" s="7" t="str">
        <f>IFERROR(__xludf.DUMMYFUNCTION("GOOGLETRANSLATE(C1703, ""en"", ""tr"")"),"Temas bağlantısını kaldır")</f>
        <v>Temas bağlantısını kaldır</v>
      </c>
      <c r="AI1703" s="6" t="s">
        <v>4048</v>
      </c>
      <c r="AJ1703" s="6" t="s">
        <v>4049</v>
      </c>
      <c r="AK1703" s="7" t="str">
        <f>IFERROR(__xludf.DUMMYFUNCTION("GOOGLETRANSLATE(C1703, ""en"", ""zh"")"),"解锁联系人")</f>
        <v>解锁联系人</v>
      </c>
      <c r="AL1703" s="6" t="s">
        <v>4050</v>
      </c>
    </row>
    <row r="1704" ht="15.75" hidden="1" customHeight="1">
      <c r="A1704" s="1" t="s">
        <v>38</v>
      </c>
      <c r="B1704" s="1" t="s">
        <v>34257</v>
      </c>
      <c r="C1704" s="1" t="s">
        <v>34258</v>
      </c>
      <c r="D1704" s="8" t="s">
        <v>34259</v>
      </c>
      <c r="E1704" s="1" t="s">
        <v>34260</v>
      </c>
      <c r="F1704" s="6" t="s">
        <v>34261</v>
      </c>
      <c r="G1704" s="7" t="str">
        <f>IFERROR(__xludf.DUMMYFUNCTION("GOOGLETRANSLATE(C1704, ""en"", ""cs"")"),"Čisté soukromé skladování")</f>
        <v>Čisté soukromé skladování</v>
      </c>
      <c r="H1704" s="7" t="str">
        <f>IFERROR(__xludf.DUMMYFUNCTION("GOOGLETRANSLATE(C1704, ""en"", ""da"")"),"Rengør privat oplagring")</f>
        <v>Rengør privat oplagring</v>
      </c>
      <c r="I1704" s="1" t="s">
        <v>34262</v>
      </c>
      <c r="J1704" s="6" t="s">
        <v>132</v>
      </c>
      <c r="K1704" s="1" t="s">
        <v>34263</v>
      </c>
      <c r="L1704" s="7" t="str">
        <f>IFERROR(__xludf.DUMMYFUNCTION("GOOGLETRANSLATE(C1704, ""en"", ""fi"")"),"Puhdas yksityinen varastointi")</f>
        <v>Puhdas yksityinen varastointi</v>
      </c>
      <c r="M1704" s="1" t="s">
        <v>34264</v>
      </c>
      <c r="N1704" s="6" t="s">
        <v>34265</v>
      </c>
      <c r="O1704" s="6" t="s">
        <v>132</v>
      </c>
      <c r="P1704" s="1" t="s">
        <v>34266</v>
      </c>
      <c r="Q1704" s="7" t="str">
        <f>IFERROR(__xludf.DUMMYFUNCTION("GOOGLETRANSLATE(C1704, ""en"", ""in"")"),"Bersihkan penyimpanan pribadi")</f>
        <v>Bersihkan penyimpanan pribadi</v>
      </c>
      <c r="R1704" s="1" t="s">
        <v>34267</v>
      </c>
      <c r="S1704" s="6" t="s">
        <v>132</v>
      </c>
      <c r="T1704" s="1" t="s">
        <v>34268</v>
      </c>
      <c r="U1704" s="7" t="str">
        <f>IFERROR(__xludf.DUMMYFUNCTION("GOOGLETRANSLATE(C1704, ""en"", ""ko"")"),"깨끗한 개인 스토리지")</f>
        <v>깨끗한 개인 스토리지</v>
      </c>
      <c r="V1704" s="7" t="str">
        <f>IFERROR(__xludf.DUMMYFUNCTION("GOOGLETRANSLATE(C1704, ""en"", ""ms"")"),"Penyimpanan peribadi yang bersih")</f>
        <v>Penyimpanan peribadi yang bersih</v>
      </c>
      <c r="W1704" s="1" t="s">
        <v>34269</v>
      </c>
      <c r="X1704" s="7" t="str">
        <f>IFERROR(__xludf.DUMMYFUNCTION("GOOGLETRANSLATE(C1704, ""en"", ""no"")"),"Rengjør privat lagring")</f>
        <v>Rengjør privat lagring</v>
      </c>
      <c r="Y1704" s="1" t="s">
        <v>34270</v>
      </c>
      <c r="Z1704" s="7" t="str">
        <f>IFERROR(__xludf.DUMMYFUNCTION("GOOGLETRANSLATE(C1704, ""en"", ""pt"")"),"Limpe o armazenamento privado")</f>
        <v>Limpe o armazenamento privado</v>
      </c>
      <c r="AA1704" s="7" t="str">
        <f>IFERROR(__xludf.DUMMYFUNCTION("GOOGLETRANSLATE(C1704, ""en"", ""ro"")"),"Curățați depozitarea privată")</f>
        <v>Curățați depozitarea privată</v>
      </c>
      <c r="AB1704" s="1" t="s">
        <v>34271</v>
      </c>
      <c r="AC1704" s="7" t="str">
        <f>IFERROR(__xludf.DUMMYFUNCTION("GOOGLETRANSLATE(C1704, ""en"", ""sk"")"),"Čisté súkromné ​​skladovanie")</f>
        <v>Čisté súkromné ​​skladovanie</v>
      </c>
      <c r="AD1704" s="6" t="s">
        <v>132</v>
      </c>
      <c r="AE1704" s="1" t="s">
        <v>34272</v>
      </c>
      <c r="AF1704" s="1" t="s">
        <v>34273</v>
      </c>
      <c r="AG1704" s="6" t="s">
        <v>132</v>
      </c>
      <c r="AH1704" s="7" t="str">
        <f>IFERROR(__xludf.DUMMYFUNCTION("GOOGLETRANSLATE(C1704, ""en"", ""tr"")"),"Özel depolama temizleyin")</f>
        <v>Özel depolama temizleyin</v>
      </c>
      <c r="AI1704" s="6" t="s">
        <v>34274</v>
      </c>
      <c r="AJ1704" s="6" t="s">
        <v>132</v>
      </c>
      <c r="AK1704" s="7" t="str">
        <f>IFERROR(__xludf.DUMMYFUNCTION("GOOGLETRANSLATE(C1704, ""en"", ""zh"")"),"清洁私人存储")</f>
        <v>清洁私人存储</v>
      </c>
      <c r="AL1704" s="6" t="s">
        <v>34275</v>
      </c>
    </row>
    <row r="1705" ht="15.75" hidden="1" customHeight="1">
      <c r="A1705" s="1" t="s">
        <v>38</v>
      </c>
      <c r="B1705" s="1" t="s">
        <v>34276</v>
      </c>
      <c r="C1705" s="1" t="s">
        <v>34277</v>
      </c>
      <c r="D1705" s="7" t="str">
        <f>IFERROR(__xludf.DUMMYFUNCTION("GOOGLETRANSLATE(C1705, ""en"", ""ar"")"),"لا يجلب الرسائل بسبب فترة الاستبقاء المحلية.")</f>
        <v>لا يجلب الرسائل بسبب فترة الاستبقاء المحلية.</v>
      </c>
      <c r="E1705" s="1" t="s">
        <v>34278</v>
      </c>
      <c r="F1705" s="6" t="s">
        <v>34279</v>
      </c>
      <c r="G1705" s="7" t="str">
        <f>IFERROR(__xludf.DUMMYFUNCTION("GOOGLETRANSLATE(C1705, ""en"", ""cs"")"),"Není načítání zpráv v důsledku místního období uchovávání.")</f>
        <v>Není načítání zpráv v důsledku místního období uchovávání.</v>
      </c>
      <c r="H1705" s="7" t="str">
        <f>IFERROR(__xludf.DUMMYFUNCTION("GOOGLETRANSLATE(C1705, ""en"", ""da"")"),"Ikke hente meddelelser på grund af lokal opbevaringsperiode.")</f>
        <v>Ikke hente meddelelser på grund af lokal opbevaringsperiode.</v>
      </c>
      <c r="I1705" s="1" t="s">
        <v>34280</v>
      </c>
      <c r="J1705" s="6" t="s">
        <v>132</v>
      </c>
      <c r="K1705" s="1" t="s">
        <v>34281</v>
      </c>
      <c r="L1705" s="7" t="str">
        <f>IFERROR(__xludf.DUMMYFUNCTION("GOOGLETRANSLATE(C1705, ""en"", ""fi"")"),"Ei hae viestejä paikallisen säilytysajan takia.")</f>
        <v>Ei hae viestejä paikallisen säilytysajan takia.</v>
      </c>
      <c r="M1705" s="1" t="s">
        <v>34282</v>
      </c>
      <c r="N1705" s="6" t="s">
        <v>34283</v>
      </c>
      <c r="O1705" s="6" t="s">
        <v>132</v>
      </c>
      <c r="P1705" s="1" t="s">
        <v>34284</v>
      </c>
      <c r="Q1705" s="7" t="str">
        <f>IFERROR(__xludf.DUMMYFUNCTION("GOOGLETRANSLATE(C1705, ""en"", ""in"")"),"Tidak mengambil pesan karena periode retensi lokal.")</f>
        <v>Tidak mengambil pesan karena periode retensi lokal.</v>
      </c>
      <c r="R1705" s="1" t="s">
        <v>34285</v>
      </c>
      <c r="S1705" s="6" t="s">
        <v>132</v>
      </c>
      <c r="T1705" s="1" t="s">
        <v>34286</v>
      </c>
      <c r="U1705" s="7" t="str">
        <f>IFERROR(__xludf.DUMMYFUNCTION("GOOGLETRANSLATE(C1705, ""en"", ""ko"")"),"지역 보존 기간으로 인해 메시지를 가져 오지 않습니다.")</f>
        <v>지역 보존 기간으로 인해 메시지를 가져 오지 않습니다.</v>
      </c>
      <c r="V1705" s="7" t="str">
        <f>IFERROR(__xludf.DUMMYFUNCTION("GOOGLETRANSLATE(C1705, ""en"", ""ms"")"),"Tidak mengambil mesej kerana tempoh pengekalan tempatan.")</f>
        <v>Tidak mengambil mesej kerana tempoh pengekalan tempatan.</v>
      </c>
      <c r="W1705" s="1" t="s">
        <v>34287</v>
      </c>
      <c r="X1705" s="7" t="str">
        <f>IFERROR(__xludf.DUMMYFUNCTION("GOOGLETRANSLATE(C1705, ""en"", ""no"")"),"Ikke henter meldinger på grunn av lokal oppbevaringsperiode.")</f>
        <v>Ikke henter meldinger på grunn av lokal oppbevaringsperiode.</v>
      </c>
      <c r="Y1705" s="1" t="s">
        <v>34288</v>
      </c>
      <c r="Z1705" s="7" t="str">
        <f>IFERROR(__xludf.DUMMYFUNCTION("GOOGLETRANSLATE(C1705, ""en"", ""pt"")"),"Não buscando mensagens devido ao período de retenção local.")</f>
        <v>Não buscando mensagens devido ao período de retenção local.</v>
      </c>
      <c r="AA1705" s="7" t="str">
        <f>IFERROR(__xludf.DUMMYFUNCTION("GOOGLETRANSLATE(C1705, ""en"", ""ro"")"),"Nu aduceți mesaje datorate perioadei de păstrare locală.")</f>
        <v>Nu aduceți mesaje datorate perioadei de păstrare locală.</v>
      </c>
      <c r="AB1705" s="1" t="s">
        <v>34289</v>
      </c>
      <c r="AC1705" s="7" t="str">
        <f>IFERROR(__xludf.DUMMYFUNCTION("GOOGLETRANSLATE(C1705, ""en"", ""sk"")"),"NEPOUŽÍVAŤ SPRÁVY ZAPOJENÝCH ROZHODNUTÍM.")</f>
        <v>NEPOUŽÍVAŤ SPRÁVY ZAPOJENÝCH ROZHODNUTÍM.</v>
      </c>
      <c r="AD1705" s="6" t="s">
        <v>132</v>
      </c>
      <c r="AE1705" s="7" t="str">
        <f>IFERROR(__xludf.DUMMYFUNCTION("GOOGLETRANSLATE(C1705, ""en"", ""sr"")"),"Не дохваћају поруке због локалног периода задржавања.")</f>
        <v>Не дохваћају поруке због локалног периода задржавања.</v>
      </c>
      <c r="AF1705" s="1" t="s">
        <v>34290</v>
      </c>
      <c r="AG1705" s="6" t="s">
        <v>132</v>
      </c>
      <c r="AH1705" s="7" t="str">
        <f>IFERROR(__xludf.DUMMYFUNCTION("GOOGLETRANSLATE(C1705, ""en"", ""tr"")"),"Yerel tutma süresi nedeniyle mesajları alma.")</f>
        <v>Yerel tutma süresi nedeniyle mesajları alma.</v>
      </c>
      <c r="AI1705" s="6" t="s">
        <v>34291</v>
      </c>
      <c r="AJ1705" s="6" t="s">
        <v>132</v>
      </c>
      <c r="AK1705" s="7" t="str">
        <f>IFERROR(__xludf.DUMMYFUNCTION("GOOGLETRANSLATE(C1705, ""en"", ""zh"")"),"由于本地保留期，而不是提取消息。")</f>
        <v>由于本地保留期，而不是提取消息。</v>
      </c>
      <c r="AL1705" s="6" t="s">
        <v>34292</v>
      </c>
    </row>
    <row r="1706" ht="15.75" hidden="1" customHeight="1">
      <c r="A1706" s="1" t="s">
        <v>38</v>
      </c>
      <c r="B1706" s="1" t="s">
        <v>34293</v>
      </c>
      <c r="C1706" s="1" t="s">
        <v>34294</v>
      </c>
      <c r="D1706" s="7" t="str">
        <f>IFERROR(__xludf.DUMMYFUNCTION("GOOGLETRANSLATE(C1706, ""en"", ""ar"")"),"لا توجد مفاتيح قابلة للاستخدام متاحة لهذا الاتصال. \ Nfetching مفاتيح جديدة من الخادم غير ناجحة. ربما هناك خطأ ما في خادم جهة الاتصال الخاصة بك.")</f>
        <v>لا توجد مفاتيح قابلة للاستخدام متاحة لهذا الاتصال. \ Nfetching مفاتيح جديدة من الخادم غير ناجحة. ربما هناك خطأ ما في خادم جهة الاتصال الخاصة بك.</v>
      </c>
      <c r="E1706" s="1" t="s">
        <v>34295</v>
      </c>
      <c r="F1706" s="6" t="s">
        <v>34296</v>
      </c>
      <c r="G1706" s="7" t="str">
        <f>IFERROR(__xludf.DUMMYFUNCTION("GOOGLETRANSLATE(C1706, ""en"", ""cs"")"),"Pro tento kontakt nejsou k dispozici žádné použitelné klávesy. Nfetching nových tlačítek ze serveru byly neúspěšné. Možná je něco v nepořádku s serverem kontaktu.")</f>
        <v>Pro tento kontakt nejsou k dispozici žádné použitelné klávesy. Nfetching nových tlačítek ze serveru byly neúspěšné. Možná je něco v nepořádku s serverem kontaktu.</v>
      </c>
      <c r="H1706" s="7" t="str">
        <f>IFERROR(__xludf.DUMMYFUNCTION("GOOGLETRANSLATE(C1706, ""en"", ""da"")"),"Der er ingen brugbare nøgler til rådighed for denne kontakt. \ NFETCHING Nye nøgler fra serveren har været mislykket. Måske er der noget galt med din kontaktens server.")</f>
        <v>Der er ingen brugbare nøgler til rådighed for denne kontakt. \ NFETCHING Nye nøgler fra serveren har været mislykket. Måske er der noget galt med din kontaktens server.</v>
      </c>
      <c r="I1706" s="1" t="s">
        <v>34297</v>
      </c>
      <c r="J1706" s="6" t="s">
        <v>132</v>
      </c>
      <c r="K1706" s="1" t="s">
        <v>34298</v>
      </c>
      <c r="L1706" s="7" t="str">
        <f>IFERROR(__xludf.DUMMYFUNCTION("GOOGLETRANSLATE(C1706, ""en"", ""fi"")"),"Tätä kontaktille ei ole käytettävissä olevia avaimia. Ehkä yhteystietosi on jotain vikaa.")</f>
        <v>Tätä kontaktille ei ole käytettävissä olevia avaimia. Ehkä yhteystietosi on jotain vikaa.</v>
      </c>
      <c r="M1706" s="1" t="s">
        <v>34299</v>
      </c>
      <c r="N1706" s="6" t="s">
        <v>34300</v>
      </c>
      <c r="O1706" s="6" t="s">
        <v>132</v>
      </c>
      <c r="P1706" s="1" t="s">
        <v>34301</v>
      </c>
      <c r="Q1706" s="7" t="str">
        <f>IFERROR(__xludf.DUMMYFUNCTION("GOOGLETRANSLATE(C1706, ""en"", ""in"")"),"Tidak ada kunci yang dapat digunakan untuk kontak ini. \ NFetching kunci baru dari server tidak berhasil. Mungkin ada yang salah dengan server kontak Anda.")</f>
        <v>Tidak ada kunci yang dapat digunakan untuk kontak ini. \ NFetching kunci baru dari server tidak berhasil. Mungkin ada yang salah dengan server kontak Anda.</v>
      </c>
      <c r="R1706" s="1" t="s">
        <v>34302</v>
      </c>
      <c r="S1706" s="6" t="s">
        <v>132</v>
      </c>
      <c r="T1706" s="1" t="s">
        <v>34303</v>
      </c>
      <c r="U1706" s="7" t="str">
        <f>IFERROR(__xludf.DUMMYFUNCTION("GOOGLETRANSLATE(C1706, ""en"", ""ko"")"),"이 연락처에 사용할 수있는 키가 없습니다. \ Nfetch 서버에서 새 키가 실패했습니다. 연락처의 서버에 문제가있을 수 있습니다.")</f>
        <v>이 연락처에 사용할 수있는 키가 없습니다. \ Nfetch 서버에서 새 키가 실패했습니다. 연락처의 서버에 문제가있을 수 있습니다.</v>
      </c>
      <c r="V1706" s="7" t="str">
        <f>IFERROR(__xludf.DUMMYFUNCTION("GOOGLETRANSLATE(C1706, ""en"", ""ms"")"),"Tiada kunci yang boleh digunakan untuk kenalan ini. \ Nfetching Keys Baru dari pelayan telah tidak berjaya. Mungkin ada sesuatu yang salah dengan pelayan kenalan anda.")</f>
        <v>Tiada kunci yang boleh digunakan untuk kenalan ini. \ Nfetching Keys Baru dari pelayan telah tidak berjaya. Mungkin ada sesuatu yang salah dengan pelayan kenalan anda.</v>
      </c>
      <c r="W1706" s="1" t="s">
        <v>34304</v>
      </c>
      <c r="X1706" s="7" t="str">
        <f>IFERROR(__xludf.DUMMYFUNCTION("GOOGLETRANSLATE(C1706, ""en"", ""no"")"),"Det er ingen brukbare nøkler tilgjengelig for denne kontakten. \ Nfetching nye nøkler fra serveren har mislyktes. Kanskje det er noe galt med kontaktens server.")</f>
        <v>Det er ingen brukbare nøkler tilgjengelig for denne kontakten. \ Nfetching nye nøkler fra serveren har mislyktes. Kanskje det er noe galt med kontaktens server.</v>
      </c>
      <c r="Y1706" s="1" t="s">
        <v>34305</v>
      </c>
      <c r="Z1706" s="7" t="str">
        <f>IFERROR(__xludf.DUMMYFUNCTION("GOOGLETRANSLATE(C1706, ""en"", ""pt"")"),"Não há chaves utilizáveis ​​disponíveis para este contato. \ Nfetching novas chaves do servidor não foram bem-sucedidas. Talvez haja algo errado com o servidor do seu contato.")</f>
        <v>Não há chaves utilizáveis ​​disponíveis para este contato. \ Nfetching novas chaves do servidor não foram bem-sucedidas. Talvez haja algo errado com o servidor do seu contato.</v>
      </c>
      <c r="AA1706" s="7" t="str">
        <f>IFERROR(__xludf.DUMMYFUNCTION("GOOGLETRANSLATE(C1706, ""en"", ""ro"")"),"Nu există cheile utilizabile disponibile pentru acest contact. \ NFETCHING NOI Taste de pe server au fost nereușite. Poate că există ceva în neregulă cu serverul dvs. de contact.")</f>
        <v>Nu există cheile utilizabile disponibile pentru acest contact. \ NFETCHING NOI Taste de pe server au fost nereușite. Poate că există ceva în neregulă cu serverul dvs. de contact.</v>
      </c>
      <c r="AB1706" s="1" t="s">
        <v>34306</v>
      </c>
      <c r="AC1706" s="7" t="str">
        <f>IFERROR(__xludf.DUMMYFUNCTION("GOOGLETRANSLATE(C1706, ""en"", ""sk"")"),"Pre tento kontakt nie sú k dispozícii žiadne použiteľné klávesy. \ T Možno je niečo v poriadku so serverom kontaktu.")</f>
        <v>Pre tento kontakt nie sú k dispozícii žiadne použiteľné klávesy. \ T Možno je niečo v poriadku so serverom kontaktu.</v>
      </c>
      <c r="AD1706" s="6" t="s">
        <v>132</v>
      </c>
      <c r="AE1706" s="1" t="s">
        <v>34307</v>
      </c>
      <c r="AF1706" s="7" t="str">
        <f>IFERROR(__xludf.DUMMYFUNCTION("GOOGLETRANSLATE(C1706, ""en"", ""sv"")"),"Det finns inga användbara nycklar tillgängliga för den här kontakten. \ Nfetching nya nycklar från servern har misslyckats. Kanske är det något fel med din kontakts server.")</f>
        <v>Det finns inga användbara nycklar tillgängliga för den här kontakten. \ Nfetching nya nycklar från servern har misslyckats. Kanske är det något fel med din kontakts server.</v>
      </c>
      <c r="AG1706" s="6" t="s">
        <v>132</v>
      </c>
      <c r="AH1706" s="7" t="str">
        <f>IFERROR(__xludf.DUMMYFUNCTION("GOOGLETRANSLATE(C1706, ""en"", ""tr"")"),"Bu kişi için kullanılabilir tuşlar yoktur. \ Nfetching Sunucudan yeni tuşların başarısız olmuştur. Belki de iletişiminizin sunucusunda bir sorun var.")</f>
        <v>Bu kişi için kullanılabilir tuşlar yoktur. \ Nfetching Sunucudan yeni tuşların başarısız olmuştur. Belki de iletişiminizin sunucusunda bir sorun var.</v>
      </c>
      <c r="AI1706" s="6" t="s">
        <v>132</v>
      </c>
      <c r="AJ1706" s="6" t="s">
        <v>132</v>
      </c>
      <c r="AK1706" s="7" t="str">
        <f>IFERROR(__xludf.DUMMYFUNCTION("GOOGLETRANSLATE(C1706, ""en"", ""zh"")"),"没有可用于此联系人的可用键。\从服务器中输入新键已不成功。也许您的联系人的服务器有问题。")</f>
        <v>没有可用于此联系人的可用键。\从服务器中输入新键已不成功。也许您的联系人的服务器有问题。</v>
      </c>
      <c r="AL1706" s="6" t="s">
        <v>132</v>
      </c>
    </row>
    <row r="1707" ht="15.75" customHeight="1">
      <c r="A1707" s="1" t="s">
        <v>127</v>
      </c>
      <c r="B1707" s="1" t="s">
        <v>34308</v>
      </c>
      <c r="C1707" s="1" t="s">
        <v>34309</v>
      </c>
      <c r="D1707" s="8" t="s">
        <v>34310</v>
      </c>
      <c r="E1707" s="1" t="s">
        <v>34311</v>
      </c>
      <c r="F1707" s="6" t="s">
        <v>132</v>
      </c>
      <c r="G1707" s="1" t="s">
        <v>34312</v>
      </c>
      <c r="H1707" s="1" t="s">
        <v>34313</v>
      </c>
      <c r="I1707" s="1" t="s">
        <v>34314</v>
      </c>
      <c r="J1707" s="6" t="s">
        <v>34315</v>
      </c>
      <c r="K1707" s="1" t="s">
        <v>34316</v>
      </c>
      <c r="L1707" s="1" t="s">
        <v>34317</v>
      </c>
      <c r="M1707" s="1" t="s">
        <v>34318</v>
      </c>
      <c r="N1707" s="6" t="s">
        <v>132</v>
      </c>
      <c r="O1707" s="6" t="s">
        <v>34319</v>
      </c>
      <c r="P1707" s="1" t="s">
        <v>34320</v>
      </c>
      <c r="Q1707" s="1" t="s">
        <v>34321</v>
      </c>
      <c r="R1707" s="1" t="s">
        <v>34322</v>
      </c>
      <c r="S1707" s="10" t="s">
        <v>34323</v>
      </c>
      <c r="T1707" s="1" t="s">
        <v>34324</v>
      </c>
      <c r="U1707" s="1" t="s">
        <v>34325</v>
      </c>
      <c r="V1707" s="1" t="s">
        <v>34326</v>
      </c>
      <c r="W1707" s="1" t="s">
        <v>34327</v>
      </c>
      <c r="X1707" s="1" t="s">
        <v>34328</v>
      </c>
      <c r="Y1707" s="1" t="s">
        <v>34329</v>
      </c>
      <c r="Z1707" s="1" t="s">
        <v>34330</v>
      </c>
      <c r="AA1707" s="1" t="s">
        <v>34331</v>
      </c>
      <c r="AB1707" s="1" t="s">
        <v>34332</v>
      </c>
      <c r="AC1707" s="1" t="s">
        <v>34333</v>
      </c>
      <c r="AD1707" s="6" t="s">
        <v>34334</v>
      </c>
      <c r="AE1707" s="1" t="s">
        <v>34335</v>
      </c>
      <c r="AF1707" s="1" t="s">
        <v>34336</v>
      </c>
      <c r="AG1707" s="6" t="s">
        <v>34337</v>
      </c>
      <c r="AH1707" s="1" t="s">
        <v>34338</v>
      </c>
      <c r="AI1707" s="6" t="s">
        <v>132</v>
      </c>
      <c r="AJ1707" s="6" t="s">
        <v>34339</v>
      </c>
      <c r="AK1707" s="1" t="s">
        <v>34340</v>
      </c>
      <c r="AL1707" s="6" t="s">
        <v>132</v>
      </c>
    </row>
    <row r="1708" ht="15.75" customHeight="1">
      <c r="A1708" s="1" t="s">
        <v>127</v>
      </c>
      <c r="B1708" s="1" t="s">
        <v>34341</v>
      </c>
      <c r="C1708" s="1" t="s">
        <v>34342</v>
      </c>
      <c r="D1708" s="8" t="s">
        <v>34343</v>
      </c>
      <c r="E1708" s="1" t="s">
        <v>34344</v>
      </c>
      <c r="F1708" s="6" t="s">
        <v>132</v>
      </c>
      <c r="G1708" s="1" t="s">
        <v>34345</v>
      </c>
      <c r="H1708" s="1" t="s">
        <v>34346</v>
      </c>
      <c r="I1708" s="1" t="s">
        <v>34347</v>
      </c>
      <c r="J1708" s="6" t="s">
        <v>34348</v>
      </c>
      <c r="K1708" s="1" t="s">
        <v>34349</v>
      </c>
      <c r="L1708" s="1" t="s">
        <v>34350</v>
      </c>
      <c r="M1708" s="1" t="s">
        <v>34351</v>
      </c>
      <c r="N1708" s="6" t="s">
        <v>132</v>
      </c>
      <c r="O1708" s="6" t="s">
        <v>34352</v>
      </c>
      <c r="P1708" s="1" t="s">
        <v>34353</v>
      </c>
      <c r="Q1708" s="1" t="s">
        <v>34342</v>
      </c>
      <c r="R1708" s="1" t="s">
        <v>34354</v>
      </c>
      <c r="S1708" s="10" t="s">
        <v>34355</v>
      </c>
      <c r="T1708" s="1" t="s">
        <v>34356</v>
      </c>
      <c r="U1708" s="1" t="s">
        <v>34357</v>
      </c>
      <c r="V1708" s="1" t="s">
        <v>34342</v>
      </c>
      <c r="W1708" s="1" t="s">
        <v>34354</v>
      </c>
      <c r="X1708" s="1" t="s">
        <v>34358</v>
      </c>
      <c r="Y1708" s="1" t="s">
        <v>34359</v>
      </c>
      <c r="Z1708" s="1" t="s">
        <v>34349</v>
      </c>
      <c r="AA1708" s="1" t="s">
        <v>34360</v>
      </c>
      <c r="AB1708" s="1" t="s">
        <v>34361</v>
      </c>
      <c r="AC1708" s="1" t="s">
        <v>34362</v>
      </c>
      <c r="AD1708" s="6" t="s">
        <v>34363</v>
      </c>
      <c r="AE1708" s="1" t="s">
        <v>34364</v>
      </c>
      <c r="AF1708" s="1" t="s">
        <v>34365</v>
      </c>
      <c r="AG1708" s="6" t="s">
        <v>34366</v>
      </c>
      <c r="AH1708" s="1" t="s">
        <v>34367</v>
      </c>
      <c r="AI1708" s="6" t="s">
        <v>132</v>
      </c>
      <c r="AJ1708" s="6" t="s">
        <v>34368</v>
      </c>
      <c r="AK1708" s="1" t="s">
        <v>34369</v>
      </c>
      <c r="AL1708" s="6" t="s">
        <v>34370</v>
      </c>
    </row>
    <row r="1709" ht="15.75" hidden="1" customHeight="1">
      <c r="A1709" s="1" t="s">
        <v>38</v>
      </c>
      <c r="B1709" s="1" t="s">
        <v>34371</v>
      </c>
      <c r="C1709" s="1" t="s">
        <v>17402</v>
      </c>
      <c r="D1709" s="8" t="s">
        <v>34372</v>
      </c>
      <c r="E1709" s="1" t="s">
        <v>34373</v>
      </c>
      <c r="F1709" s="6" t="s">
        <v>34374</v>
      </c>
      <c r="G1709" s="7" t="str">
        <f>IFERROR(__xludf.DUMMYFUNCTION("GOOGLETRANSLATE(C1709, ""en"", ""cs"")"),"Vymazat")</f>
        <v>Vymazat</v>
      </c>
      <c r="H1709" s="7" t="str">
        <f>IFERROR(__xludf.DUMMYFUNCTION("GOOGLETRANSLATE(C1709, ""en"", ""da"")"),"DELETE")</f>
        <v>DELETE</v>
      </c>
      <c r="I1709" s="1" t="s">
        <v>2798</v>
      </c>
      <c r="J1709" s="6" t="s">
        <v>132</v>
      </c>
      <c r="K1709" s="1" t="s">
        <v>2800</v>
      </c>
      <c r="L1709" s="7" t="str">
        <f>IFERROR(__xludf.DUMMYFUNCTION("GOOGLETRANSLATE(C1709, ""en"", ""fi"")"),"Poistaa")</f>
        <v>Poistaa</v>
      </c>
      <c r="M1709" s="1" t="s">
        <v>2802</v>
      </c>
      <c r="N1709" s="6" t="s">
        <v>2800</v>
      </c>
      <c r="O1709" s="6" t="s">
        <v>132</v>
      </c>
      <c r="P1709" s="1" t="s">
        <v>34375</v>
      </c>
      <c r="Q1709" s="9" t="s">
        <v>17410</v>
      </c>
      <c r="R1709" s="1" t="s">
        <v>34374</v>
      </c>
      <c r="S1709" s="6" t="s">
        <v>132</v>
      </c>
      <c r="T1709" s="1" t="s">
        <v>2808</v>
      </c>
      <c r="U1709" s="1" t="s">
        <v>2809</v>
      </c>
      <c r="V1709" s="7" t="str">
        <f>IFERROR(__xludf.DUMMYFUNCTION("GOOGLETRANSLATE(C1709, ""en"", ""ms"")"),"Memadam")</f>
        <v>Memadam</v>
      </c>
      <c r="W1709" s="1" t="s">
        <v>2811</v>
      </c>
      <c r="X1709" s="7" t="str">
        <f>IFERROR(__xludf.DUMMYFUNCTION("GOOGLETRANSLATE(C1709, ""en"", ""no"")"),"Slett")</f>
        <v>Slett</v>
      </c>
      <c r="Y1709" s="1" t="s">
        <v>2813</v>
      </c>
      <c r="Z1709" s="1" t="s">
        <v>2814</v>
      </c>
      <c r="AA1709" s="7" t="str">
        <f>IFERROR(__xludf.DUMMYFUNCTION("GOOGLETRANSLATE(C1709, ""en"", ""ro"")"),"Șterge")</f>
        <v>Șterge</v>
      </c>
      <c r="AB1709" s="1" t="s">
        <v>2816</v>
      </c>
      <c r="AC1709" s="1" t="s">
        <v>17416</v>
      </c>
      <c r="AD1709" s="6" t="s">
        <v>132</v>
      </c>
      <c r="AE1709" s="1" t="s">
        <v>34376</v>
      </c>
      <c r="AF1709" s="1" t="s">
        <v>2820</v>
      </c>
      <c r="AG1709" s="6" t="s">
        <v>132</v>
      </c>
      <c r="AH1709" s="7" t="str">
        <f>IFERROR(__xludf.DUMMYFUNCTION("GOOGLETRANSLATE(C1709, ""en"", ""tr"")"),"Silmek")</f>
        <v>Silmek</v>
      </c>
      <c r="AI1709" s="6" t="s">
        <v>34377</v>
      </c>
      <c r="AJ1709" s="6" t="s">
        <v>34378</v>
      </c>
      <c r="AK1709" s="7" t="str">
        <f>IFERROR(__xludf.DUMMYFUNCTION("GOOGLETRANSLATE(C1709, ""en"", ""zh"")"),"删除")</f>
        <v>删除</v>
      </c>
      <c r="AL1709" s="6" t="s">
        <v>34379</v>
      </c>
    </row>
    <row r="1710" ht="15.75" customHeight="1">
      <c r="A1710" s="1" t="s">
        <v>127</v>
      </c>
      <c r="B1710" s="1" t="s">
        <v>34380</v>
      </c>
      <c r="C1710" s="1" t="s">
        <v>34381</v>
      </c>
      <c r="D1710" s="8" t="s">
        <v>34382</v>
      </c>
      <c r="E1710" s="1" t="s">
        <v>34383</v>
      </c>
      <c r="F1710" s="6" t="s">
        <v>132</v>
      </c>
      <c r="G1710" s="1" t="s">
        <v>34384</v>
      </c>
      <c r="H1710" s="1" t="s">
        <v>34385</v>
      </c>
      <c r="I1710" s="1" t="s">
        <v>34386</v>
      </c>
      <c r="J1710" s="6" t="s">
        <v>34387</v>
      </c>
      <c r="K1710" s="1" t="s">
        <v>34388</v>
      </c>
      <c r="L1710" s="1" t="s">
        <v>34389</v>
      </c>
      <c r="M1710" s="1" t="s">
        <v>34390</v>
      </c>
      <c r="N1710" s="6" t="s">
        <v>132</v>
      </c>
      <c r="O1710" s="6" t="s">
        <v>34391</v>
      </c>
      <c r="P1710" s="1" t="s">
        <v>34392</v>
      </c>
      <c r="Q1710" s="1" t="s">
        <v>34393</v>
      </c>
      <c r="R1710" s="1" t="s">
        <v>34394</v>
      </c>
      <c r="S1710" s="10" t="s">
        <v>34395</v>
      </c>
      <c r="T1710" s="1" t="s">
        <v>34396</v>
      </c>
      <c r="U1710" s="1" t="s">
        <v>34397</v>
      </c>
      <c r="V1710" s="1" t="s">
        <v>34398</v>
      </c>
      <c r="W1710" s="1" t="s">
        <v>34399</v>
      </c>
      <c r="X1710" s="1" t="s">
        <v>34385</v>
      </c>
      <c r="Y1710" s="1" t="s">
        <v>34400</v>
      </c>
      <c r="Z1710" s="1" t="s">
        <v>34388</v>
      </c>
      <c r="AA1710" s="1" t="s">
        <v>34401</v>
      </c>
      <c r="AB1710" s="1" t="s">
        <v>34402</v>
      </c>
      <c r="AC1710" s="1" t="s">
        <v>34403</v>
      </c>
      <c r="AD1710" s="6" t="s">
        <v>34404</v>
      </c>
      <c r="AE1710" s="1" t="s">
        <v>34405</v>
      </c>
      <c r="AF1710" s="1" t="s">
        <v>34406</v>
      </c>
      <c r="AG1710" s="6" t="s">
        <v>34407</v>
      </c>
      <c r="AH1710" s="1" t="s">
        <v>34408</v>
      </c>
      <c r="AI1710" s="6" t="s">
        <v>132</v>
      </c>
      <c r="AJ1710" s="6" t="s">
        <v>34409</v>
      </c>
      <c r="AK1710" s="1" t="s">
        <v>34410</v>
      </c>
      <c r="AL1710" s="6" t="s">
        <v>34411</v>
      </c>
    </row>
    <row r="1711" ht="15.75" hidden="1" customHeight="1">
      <c r="A1711" s="1" t="s">
        <v>38</v>
      </c>
      <c r="B1711" s="1" t="s">
        <v>34412</v>
      </c>
      <c r="C1711" s="1" t="s">
        <v>34413</v>
      </c>
      <c r="D1711" s="8" t="s">
        <v>34414</v>
      </c>
      <c r="E1711" s="1" t="s">
        <v>34415</v>
      </c>
      <c r="F1711" s="6" t="s">
        <v>34416</v>
      </c>
      <c r="G1711" s="7" t="str">
        <f>IFERROR(__xludf.DUMMYFUNCTION("GOOGLETRANSLATE(C1711, ""en"", ""cs"")"),"Grantové členství")</f>
        <v>Grantové členství</v>
      </c>
      <c r="H1711" s="7" t="str">
        <f>IFERROR(__xludf.DUMMYFUNCTION("GOOGLETRANSLATE(C1711, ""en"", ""da"")"),"Give medlemskab")</f>
        <v>Give medlemskab</v>
      </c>
      <c r="I1711" s="1" t="s">
        <v>34417</v>
      </c>
      <c r="J1711" s="6" t="s">
        <v>132</v>
      </c>
      <c r="K1711" s="1" t="s">
        <v>34418</v>
      </c>
      <c r="L1711" s="7" t="str">
        <f>IFERROR(__xludf.DUMMYFUNCTION("GOOGLETRANSLATE(C1711, ""en"", ""fi"")"),"Grant-jäsenyys")</f>
        <v>Grant-jäsenyys</v>
      </c>
      <c r="M1711" s="1" t="s">
        <v>34419</v>
      </c>
      <c r="N1711" s="6" t="s">
        <v>34420</v>
      </c>
      <c r="O1711" s="6" t="s">
        <v>132</v>
      </c>
      <c r="P1711" s="1" t="s">
        <v>34421</v>
      </c>
      <c r="Q1711" s="9" t="s">
        <v>34422</v>
      </c>
      <c r="R1711" s="1" t="s">
        <v>34423</v>
      </c>
      <c r="S1711" s="6" t="s">
        <v>132</v>
      </c>
      <c r="T1711" s="1" t="s">
        <v>34424</v>
      </c>
      <c r="U1711" s="1" t="s">
        <v>34425</v>
      </c>
      <c r="V1711" s="7" t="str">
        <f>IFERROR(__xludf.DUMMYFUNCTION("GOOGLETRANSLATE(C1711, ""en"", ""ms"")"),"Grant Keahlian.")</f>
        <v>Grant Keahlian.</v>
      </c>
      <c r="W1711" s="1" t="s">
        <v>34426</v>
      </c>
      <c r="X1711" s="7" t="str">
        <f>IFERROR(__xludf.DUMMYFUNCTION("GOOGLETRANSLATE(C1711, ""en"", ""no"")"),"Gi medlemskap")</f>
        <v>Gi medlemskap</v>
      </c>
      <c r="Y1711" s="1" t="s">
        <v>34427</v>
      </c>
      <c r="Z1711" s="1" t="s">
        <v>34428</v>
      </c>
      <c r="AA1711" s="7" t="str">
        <f>IFERROR(__xludf.DUMMYFUNCTION("GOOGLETRANSLATE(C1711, ""en"", ""ro"")"),"Grant Member")</f>
        <v>Grant Member</v>
      </c>
      <c r="AB1711" s="1" t="s">
        <v>34429</v>
      </c>
      <c r="AC1711" s="1" t="s">
        <v>34430</v>
      </c>
      <c r="AD1711" s="6" t="s">
        <v>132</v>
      </c>
      <c r="AE1711" s="1" t="s">
        <v>34431</v>
      </c>
      <c r="AF1711" s="1" t="s">
        <v>34432</v>
      </c>
      <c r="AG1711" s="6" t="s">
        <v>132</v>
      </c>
      <c r="AH1711" s="7" t="str">
        <f>IFERROR(__xludf.DUMMYFUNCTION("GOOGLETRANSLATE(C1711, ""en"", ""tr"")"),"Üyelik hibe")</f>
        <v>Üyelik hibe</v>
      </c>
      <c r="AI1711" s="6" t="s">
        <v>34433</v>
      </c>
      <c r="AJ1711" s="6" t="s">
        <v>34434</v>
      </c>
      <c r="AK1711" s="7" t="str">
        <f>IFERROR(__xludf.DUMMYFUNCTION("GOOGLETRANSLATE(C1711, ""en"", ""zh"")"),"授予会员资格")</f>
        <v>授予会员资格</v>
      </c>
      <c r="AL1711" s="6" t="s">
        <v>34435</v>
      </c>
    </row>
    <row r="1712" ht="15.75" customHeight="1">
      <c r="A1712" s="1" t="s">
        <v>127</v>
      </c>
      <c r="B1712" s="1" t="s">
        <v>34436</v>
      </c>
      <c r="C1712" s="1" t="s">
        <v>34437</v>
      </c>
      <c r="D1712" s="8" t="s">
        <v>34438</v>
      </c>
      <c r="E1712" s="1" t="s">
        <v>34439</v>
      </c>
      <c r="F1712" s="6" t="s">
        <v>132</v>
      </c>
      <c r="G1712" s="1" t="s">
        <v>34440</v>
      </c>
      <c r="H1712" s="1" t="s">
        <v>34441</v>
      </c>
      <c r="I1712" s="1" t="s">
        <v>34442</v>
      </c>
      <c r="J1712" s="6" t="s">
        <v>34443</v>
      </c>
      <c r="K1712" s="1" t="s">
        <v>34444</v>
      </c>
      <c r="L1712" s="1" t="s">
        <v>34445</v>
      </c>
      <c r="M1712" s="1" t="s">
        <v>34446</v>
      </c>
      <c r="N1712" s="6" t="s">
        <v>132</v>
      </c>
      <c r="O1712" s="6" t="s">
        <v>34447</v>
      </c>
      <c r="P1712" s="1" t="s">
        <v>34448</v>
      </c>
      <c r="Q1712" s="1" t="s">
        <v>34449</v>
      </c>
      <c r="R1712" s="1" t="s">
        <v>34450</v>
      </c>
      <c r="S1712" s="10" t="s">
        <v>34451</v>
      </c>
      <c r="T1712" s="1" t="s">
        <v>34452</v>
      </c>
      <c r="U1712" s="1" t="s">
        <v>34453</v>
      </c>
      <c r="V1712" s="1" t="s">
        <v>34449</v>
      </c>
      <c r="W1712" s="1" t="s">
        <v>34454</v>
      </c>
      <c r="X1712" s="1" t="s">
        <v>34441</v>
      </c>
      <c r="Y1712" s="1" t="s">
        <v>34455</v>
      </c>
      <c r="Z1712" s="1" t="s">
        <v>34456</v>
      </c>
      <c r="AA1712" s="1" t="s">
        <v>34457</v>
      </c>
      <c r="AB1712" s="1" t="s">
        <v>34458</v>
      </c>
      <c r="AC1712" s="1" t="s">
        <v>34459</v>
      </c>
      <c r="AD1712" s="6" t="s">
        <v>34460</v>
      </c>
      <c r="AE1712" s="1" t="s">
        <v>34461</v>
      </c>
      <c r="AF1712" s="1" t="s">
        <v>34462</v>
      </c>
      <c r="AG1712" s="6" t="s">
        <v>34463</v>
      </c>
      <c r="AH1712" s="1" t="s">
        <v>34464</v>
      </c>
      <c r="AI1712" s="6" t="s">
        <v>132</v>
      </c>
      <c r="AJ1712" s="6" t="s">
        <v>34465</v>
      </c>
      <c r="AK1712" s="1" t="s">
        <v>34466</v>
      </c>
      <c r="AL1712" s="6" t="s">
        <v>34467</v>
      </c>
    </row>
    <row r="1713" ht="15.75" customHeight="1">
      <c r="A1713" s="1" t="s">
        <v>127</v>
      </c>
      <c r="B1713" s="1" t="s">
        <v>34468</v>
      </c>
      <c r="C1713" s="1" t="s">
        <v>34469</v>
      </c>
      <c r="D1713" s="1" t="s">
        <v>34469</v>
      </c>
      <c r="E1713" s="1" t="s">
        <v>34469</v>
      </c>
      <c r="F1713" s="6" t="s">
        <v>132</v>
      </c>
      <c r="G1713" s="1" t="s">
        <v>34469</v>
      </c>
      <c r="H1713" s="1" t="s">
        <v>34469</v>
      </c>
      <c r="I1713" s="1" t="s">
        <v>34469</v>
      </c>
      <c r="J1713" s="6" t="s">
        <v>34469</v>
      </c>
      <c r="K1713" s="1" t="s">
        <v>34469</v>
      </c>
      <c r="L1713" s="1" t="s">
        <v>34469</v>
      </c>
      <c r="M1713" s="1" t="s">
        <v>34469</v>
      </c>
      <c r="N1713" s="6" t="s">
        <v>132</v>
      </c>
      <c r="O1713" s="6" t="s">
        <v>34470</v>
      </c>
      <c r="P1713" s="1" t="s">
        <v>34469</v>
      </c>
      <c r="Q1713" s="1" t="s">
        <v>34469</v>
      </c>
      <c r="R1713" s="1" t="s">
        <v>34469</v>
      </c>
      <c r="S1713" s="6" t="s">
        <v>34469</v>
      </c>
      <c r="T1713" s="1" t="s">
        <v>34469</v>
      </c>
      <c r="U1713" s="1" t="s">
        <v>34469</v>
      </c>
      <c r="V1713" s="1" t="s">
        <v>34469</v>
      </c>
      <c r="W1713" s="1" t="s">
        <v>34469</v>
      </c>
      <c r="X1713" s="1" t="s">
        <v>34469</v>
      </c>
      <c r="Y1713" s="1" t="s">
        <v>34469</v>
      </c>
      <c r="Z1713" s="1" t="s">
        <v>34469</v>
      </c>
      <c r="AA1713" s="1" t="s">
        <v>34469</v>
      </c>
      <c r="AB1713" s="1" t="s">
        <v>34469</v>
      </c>
      <c r="AC1713" s="1" t="s">
        <v>34469</v>
      </c>
      <c r="AD1713" s="6" t="s">
        <v>34469</v>
      </c>
      <c r="AE1713" s="1" t="s">
        <v>34469</v>
      </c>
      <c r="AF1713" s="1" t="s">
        <v>34469</v>
      </c>
      <c r="AG1713" s="6" t="s">
        <v>34469</v>
      </c>
      <c r="AH1713" s="1" t="s">
        <v>34469</v>
      </c>
      <c r="AI1713" s="6" t="s">
        <v>132</v>
      </c>
      <c r="AJ1713" s="6" t="s">
        <v>34469</v>
      </c>
      <c r="AK1713" s="1" t="s">
        <v>34469</v>
      </c>
      <c r="AL1713" s="6" t="s">
        <v>132</v>
      </c>
    </row>
    <row r="1714" ht="15.75" hidden="1" customHeight="1">
      <c r="A1714" s="1" t="s">
        <v>38</v>
      </c>
      <c r="B1714" s="1" t="s">
        <v>34471</v>
      </c>
      <c r="C1714" s="1" t="s">
        <v>34472</v>
      </c>
      <c r="D1714" s="8" t="s">
        <v>34473</v>
      </c>
      <c r="E1714" s="1" t="s">
        <v>34474</v>
      </c>
      <c r="F1714" s="6" t="s">
        <v>34475</v>
      </c>
      <c r="G1714" s="7" t="str">
        <f>IFERROR(__xludf.DUMMYFUNCTION("GOOGLETRANSLATE(C1714, ""en"", ""cs"")"),"Ověřené otisky prstů")</f>
        <v>Ověřené otisky prstů</v>
      </c>
      <c r="H1714" s="7" t="str">
        <f>IFERROR(__xludf.DUMMYFUNCTION("GOOGLETRANSLATE(C1714, ""en"", ""da"")"),"Verificerede Fingerprints.")</f>
        <v>Verificerede Fingerprints.</v>
      </c>
      <c r="I1714" s="1" t="s">
        <v>34476</v>
      </c>
      <c r="J1714" s="6" t="s">
        <v>132</v>
      </c>
      <c r="K1714" s="1" t="s">
        <v>34477</v>
      </c>
      <c r="L1714" s="7" t="str">
        <f>IFERROR(__xludf.DUMMYFUNCTION("GOOGLETRANSLATE(C1714, ""en"", ""fi"")"),"Vahvistetut sormenjäljet")</f>
        <v>Vahvistetut sormenjäljet</v>
      </c>
      <c r="M1714" s="1" t="s">
        <v>34478</v>
      </c>
      <c r="N1714" s="6" t="s">
        <v>34479</v>
      </c>
      <c r="O1714" s="6" t="s">
        <v>132</v>
      </c>
      <c r="P1714" s="1" t="s">
        <v>34480</v>
      </c>
      <c r="Q1714" s="7" t="str">
        <f>IFERROR(__xludf.DUMMYFUNCTION("GOOGLETRANSLATE(C1714, ""en"", ""in"")"),"Sidik jari yang diverifikasi")</f>
        <v>Sidik jari yang diverifikasi</v>
      </c>
      <c r="R1714" s="1" t="s">
        <v>34481</v>
      </c>
      <c r="S1714" s="6" t="s">
        <v>132</v>
      </c>
      <c r="T1714" s="1" t="s">
        <v>34482</v>
      </c>
      <c r="U1714" s="1" t="s">
        <v>34483</v>
      </c>
      <c r="V1714" s="7" t="str">
        <f>IFERROR(__xludf.DUMMYFUNCTION("GOOGLETRANSLATE(C1714, ""en"", ""ms"")"),"Cap jari yang disahkan.")</f>
        <v>Cap jari yang disahkan.</v>
      </c>
      <c r="W1714" s="1" t="s">
        <v>34484</v>
      </c>
      <c r="X1714" s="7" t="str">
        <f>IFERROR(__xludf.DUMMYFUNCTION("GOOGLETRANSLATE(C1714, ""en"", ""no"")"),"Verifiserte fingeravtrykk")</f>
        <v>Verifiserte fingeravtrykk</v>
      </c>
      <c r="Y1714" s="1" t="s">
        <v>34485</v>
      </c>
      <c r="Z1714" s="7" t="str">
        <f>IFERROR(__xludf.DUMMYFUNCTION("GOOGLETRANSLATE(C1714, ""en"", ""pt"")"),"Impressões digitais verificadas")</f>
        <v>Impressões digitais verificadas</v>
      </c>
      <c r="AA1714" s="7" t="str">
        <f>IFERROR(__xludf.DUMMYFUNCTION("GOOGLETRANSLATE(C1714, ""en"", ""ro"")"),"Verificate amprente digitale")</f>
        <v>Verificate amprente digitale</v>
      </c>
      <c r="AB1714" s="1" t="s">
        <v>34486</v>
      </c>
      <c r="AC1714" s="7" t="str">
        <f>IFERROR(__xludf.DUMMYFUNCTION("GOOGLETRANSLATE(C1714, ""en"", ""sk"")"),"Overené odtlačky prstov")</f>
        <v>Overené odtlačky prstov</v>
      </c>
      <c r="AD1714" s="6" t="s">
        <v>132</v>
      </c>
      <c r="AE1714" s="1" t="s">
        <v>34487</v>
      </c>
      <c r="AF1714" s="1" t="s">
        <v>34488</v>
      </c>
      <c r="AG1714" s="6" t="s">
        <v>132</v>
      </c>
      <c r="AH1714" s="7" t="str">
        <f>IFERROR(__xludf.DUMMYFUNCTION("GOOGLETRANSLATE(C1714, ""en"", ""tr"")"),"Doğrulanmış parmak izleri")</f>
        <v>Doğrulanmış parmak izleri</v>
      </c>
      <c r="AI1714" s="6" t="s">
        <v>34489</v>
      </c>
      <c r="AJ1714" s="6" t="s">
        <v>132</v>
      </c>
      <c r="AK1714" s="7" t="str">
        <f>IFERROR(__xludf.DUMMYFUNCTION("GOOGLETRANSLATE(C1714, ""en"", ""zh"")"),"验证指纹")</f>
        <v>验证指纹</v>
      </c>
      <c r="AL1714" s="6" t="s">
        <v>34490</v>
      </c>
    </row>
    <row r="1715" ht="15.75" customHeight="1">
      <c r="A1715" s="1" t="s">
        <v>127</v>
      </c>
      <c r="B1715" s="1" t="s">
        <v>34491</v>
      </c>
      <c r="C1715" s="1" t="s">
        <v>34492</v>
      </c>
      <c r="D1715" s="8" t="s">
        <v>34493</v>
      </c>
      <c r="E1715" s="1" t="s">
        <v>34494</v>
      </c>
      <c r="F1715" s="6" t="s">
        <v>132</v>
      </c>
      <c r="G1715" s="1" t="s">
        <v>34495</v>
      </c>
      <c r="H1715" s="1" t="s">
        <v>34496</v>
      </c>
      <c r="I1715" s="1" t="s">
        <v>34497</v>
      </c>
      <c r="J1715" s="6" t="s">
        <v>34498</v>
      </c>
      <c r="K1715" s="1" t="s">
        <v>34499</v>
      </c>
      <c r="L1715" s="1" t="s">
        <v>34500</v>
      </c>
      <c r="M1715" s="1" t="s">
        <v>34501</v>
      </c>
      <c r="N1715" s="6" t="s">
        <v>132</v>
      </c>
      <c r="O1715" s="6" t="s">
        <v>34502</v>
      </c>
      <c r="P1715" s="1" t="s">
        <v>34503</v>
      </c>
      <c r="Q1715" s="1" t="s">
        <v>34504</v>
      </c>
      <c r="R1715" s="1" t="s">
        <v>34505</v>
      </c>
      <c r="S1715" s="10" t="s">
        <v>34506</v>
      </c>
      <c r="T1715" s="1" t="s">
        <v>34507</v>
      </c>
      <c r="U1715" s="1" t="s">
        <v>34508</v>
      </c>
      <c r="V1715" s="1" t="s">
        <v>34509</v>
      </c>
      <c r="W1715" s="1" t="s">
        <v>34510</v>
      </c>
      <c r="X1715" s="1" t="s">
        <v>34511</v>
      </c>
      <c r="Y1715" s="1" t="s">
        <v>34512</v>
      </c>
      <c r="Z1715" s="1" t="s">
        <v>34513</v>
      </c>
      <c r="AA1715" s="1" t="s">
        <v>34514</v>
      </c>
      <c r="AB1715" s="1" t="s">
        <v>34515</v>
      </c>
      <c r="AC1715" s="1" t="s">
        <v>34516</v>
      </c>
      <c r="AD1715" s="6" t="s">
        <v>34517</v>
      </c>
      <c r="AE1715" s="1" t="s">
        <v>34518</v>
      </c>
      <c r="AF1715" s="1" t="s">
        <v>34519</v>
      </c>
      <c r="AG1715" s="6" t="s">
        <v>34520</v>
      </c>
      <c r="AH1715" s="1" t="s">
        <v>34521</v>
      </c>
      <c r="AI1715" s="6" t="s">
        <v>132</v>
      </c>
      <c r="AJ1715" s="6" t="s">
        <v>34522</v>
      </c>
      <c r="AK1715" s="1" t="s">
        <v>34523</v>
      </c>
      <c r="AL1715" s="6" t="s">
        <v>34524</v>
      </c>
    </row>
    <row r="1716" ht="15.75" hidden="1" customHeight="1">
      <c r="A1716" s="1" t="s">
        <v>38</v>
      </c>
      <c r="B1716" s="1" t="s">
        <v>34525</v>
      </c>
      <c r="C1716" s="1" t="s">
        <v>34526</v>
      </c>
      <c r="D1716" s="8" t="s">
        <v>34527</v>
      </c>
      <c r="E1716" s="1" t="s">
        <v>34528</v>
      </c>
      <c r="F1716" s="6" t="s">
        <v>34529</v>
      </c>
      <c r="G1716" s="7" t="str">
        <f>IFERROR(__xludf.DUMMYFUNCTION("GOOGLETRANSLATE(C1716, ""en"", ""cs"")"),"Oznámení")</f>
        <v>Oznámení</v>
      </c>
      <c r="H1716" s="7" t="str">
        <f>IFERROR(__xludf.DUMMYFUNCTION("GOOGLETRANSLATE(C1716, ""en"", ""da"")"),"Notifikation")</f>
        <v>Notifikation</v>
      </c>
      <c r="I1716" s="1" t="s">
        <v>34530</v>
      </c>
      <c r="J1716" s="6" t="s">
        <v>132</v>
      </c>
      <c r="K1716" s="1" t="s">
        <v>16991</v>
      </c>
      <c r="L1716" s="7" t="str">
        <f>IFERROR(__xludf.DUMMYFUNCTION("GOOGLETRANSLATE(C1716, ""en"", ""fi"")"),"Ilmoitus")</f>
        <v>Ilmoitus</v>
      </c>
      <c r="M1716" s="1" t="s">
        <v>34526</v>
      </c>
      <c r="N1716" s="6" t="s">
        <v>34531</v>
      </c>
      <c r="O1716" s="6" t="s">
        <v>132</v>
      </c>
      <c r="P1716" s="1" t="s">
        <v>34532</v>
      </c>
      <c r="Q1716" s="9" t="s">
        <v>34533</v>
      </c>
      <c r="R1716" s="1" t="s">
        <v>16996</v>
      </c>
      <c r="S1716" s="6" t="s">
        <v>132</v>
      </c>
      <c r="T1716" s="1" t="s">
        <v>16997</v>
      </c>
      <c r="U1716" s="1" t="s">
        <v>16998</v>
      </c>
      <c r="V1716" s="7" t="str">
        <f>IFERROR(__xludf.DUMMYFUNCTION("GOOGLETRANSLATE(C1716, ""en"", ""ms"")"),"Pemberitahuan")</f>
        <v>Pemberitahuan</v>
      </c>
      <c r="W1716" s="1" t="s">
        <v>34534</v>
      </c>
      <c r="X1716" s="7" t="str">
        <f>IFERROR(__xludf.DUMMYFUNCTION("GOOGLETRANSLATE(C1716, ""en"", ""no"")"),"Melding")</f>
        <v>Melding</v>
      </c>
      <c r="Y1716" s="1" t="s">
        <v>34535</v>
      </c>
      <c r="Z1716" s="1" t="s">
        <v>34536</v>
      </c>
      <c r="AA1716" s="7" t="str">
        <f>IFERROR(__xludf.DUMMYFUNCTION("GOOGLETRANSLATE(C1716, ""en"", ""ro"")"),"Notificare")</f>
        <v>Notificare</v>
      </c>
      <c r="AB1716" s="1" t="s">
        <v>34537</v>
      </c>
      <c r="AC1716" s="7" t="str">
        <f>IFERROR(__xludf.DUMMYFUNCTION("GOOGLETRANSLATE(C1716, ""en"", ""sk"")"),"Oznámenie")</f>
        <v>Oznámenie</v>
      </c>
      <c r="AD1716" s="6" t="s">
        <v>132</v>
      </c>
      <c r="AE1716" s="1" t="s">
        <v>34538</v>
      </c>
      <c r="AF1716" s="1" t="s">
        <v>34539</v>
      </c>
      <c r="AG1716" s="6" t="s">
        <v>132</v>
      </c>
      <c r="AH1716" s="7" t="str">
        <f>IFERROR(__xludf.DUMMYFUNCTION("GOOGLETRANSLATE(C1716, ""en"", ""tr"")"),"Bildirim")</f>
        <v>Bildirim</v>
      </c>
      <c r="AI1716" s="6" t="s">
        <v>34540</v>
      </c>
      <c r="AJ1716" s="6" t="s">
        <v>17010</v>
      </c>
      <c r="AK1716" s="7" t="str">
        <f>IFERROR(__xludf.DUMMYFUNCTION("GOOGLETRANSLATE(C1716, ""en"", ""zh"")"),"通知")</f>
        <v>通知</v>
      </c>
      <c r="AL1716" s="6" t="s">
        <v>16997</v>
      </c>
    </row>
    <row r="1717" ht="15.75" customHeight="1">
      <c r="A1717" s="1" t="s">
        <v>4051</v>
      </c>
      <c r="B1717" s="1" t="s">
        <v>34541</v>
      </c>
      <c r="C1717" s="1" t="s">
        <v>34542</v>
      </c>
      <c r="D1717" s="8" t="s">
        <v>34543</v>
      </c>
      <c r="E1717" s="1" t="s">
        <v>34544</v>
      </c>
      <c r="F1717" s="6" t="s">
        <v>132</v>
      </c>
      <c r="G1717" s="1" t="s">
        <v>34545</v>
      </c>
      <c r="H1717" s="1" t="s">
        <v>34546</v>
      </c>
      <c r="I1717" s="7" t="str">
        <f>IFERROR(__xludf.DUMMYFUNCTION("GOOGLETRANSLATE(C1717, ""en"", ""de"")"),"E-Mail wurde geändert.")</f>
        <v>E-Mail wurde geändert.</v>
      </c>
      <c r="J1717" s="6" t="s">
        <v>34547</v>
      </c>
      <c r="K1717" s="1" t="s">
        <v>34548</v>
      </c>
      <c r="L1717" s="1" t="s">
        <v>34549</v>
      </c>
      <c r="M1717" s="1" t="s">
        <v>34550</v>
      </c>
      <c r="N1717" s="6" t="s">
        <v>132</v>
      </c>
      <c r="O1717" s="6" t="s">
        <v>34551</v>
      </c>
      <c r="P1717" s="1" t="s">
        <v>34552</v>
      </c>
      <c r="Q1717" s="1" t="s">
        <v>34553</v>
      </c>
      <c r="R1717" s="13" t="s">
        <v>34554</v>
      </c>
      <c r="S1717" s="10" t="s">
        <v>34555</v>
      </c>
      <c r="T1717" s="1" t="s">
        <v>34556</v>
      </c>
      <c r="U1717" s="1" t="s">
        <v>34557</v>
      </c>
      <c r="V1717" s="1" t="s">
        <v>34558</v>
      </c>
      <c r="W1717" s="1" t="s">
        <v>34559</v>
      </c>
      <c r="X1717" s="1" t="s">
        <v>34560</v>
      </c>
      <c r="Y1717" s="11" t="s">
        <v>34561</v>
      </c>
      <c r="Z1717" s="1" t="s">
        <v>34562</v>
      </c>
      <c r="AA1717" s="1" t="s">
        <v>34563</v>
      </c>
      <c r="AB1717" s="1" t="s">
        <v>34564</v>
      </c>
      <c r="AC1717" s="1" t="s">
        <v>34565</v>
      </c>
      <c r="AD1717" s="6" t="s">
        <v>34566</v>
      </c>
      <c r="AE1717" s="7" t="str">
        <f>IFERROR(__xludf.DUMMYFUNCTION("GOOGLETRANSLATE(C1717, ""en"", ""sr"")"),"Е-пошта је промењена.")</f>
        <v>Е-пошта је промењена.</v>
      </c>
      <c r="AF1717" s="1" t="s">
        <v>34567</v>
      </c>
      <c r="AG1717" s="6" t="s">
        <v>34568</v>
      </c>
      <c r="AH1717" s="1" t="s">
        <v>34569</v>
      </c>
      <c r="AI1717" s="6" t="s">
        <v>132</v>
      </c>
      <c r="AJ1717" s="6" t="s">
        <v>34570</v>
      </c>
      <c r="AK1717" s="14" t="s">
        <v>34571</v>
      </c>
      <c r="AL1717" s="6" t="s">
        <v>132</v>
      </c>
    </row>
    <row r="1718" ht="15.75" hidden="1" customHeight="1">
      <c r="A1718" s="1" t="s">
        <v>38</v>
      </c>
      <c r="B1718" s="1" t="s">
        <v>34572</v>
      </c>
      <c r="C1718" s="1" t="s">
        <v>34573</v>
      </c>
      <c r="D1718" s="7" t="str">
        <f>IFERROR(__xludf.DUMMYFUNCTION("GOOGLETRANSLATE(C1718, ""en"", ""ar"")"),"جيبوتي")</f>
        <v>جيبوتي</v>
      </c>
      <c r="E1718" s="7" t="str">
        <f>IFERROR(__xludf.DUMMYFUNCTION("GOOGLETRANSLATE(C1718, ""en"", ""bg"")"),"Джибути")</f>
        <v>Джибути</v>
      </c>
      <c r="F1718" s="6" t="s">
        <v>132</v>
      </c>
      <c r="G1718" s="7" t="str">
        <f>IFERROR(__xludf.DUMMYFUNCTION("GOOGLETRANSLATE(C1718, ""en"", ""cs"")"),"Džibuti.")</f>
        <v>Džibuti.</v>
      </c>
      <c r="H1718" s="7" t="str">
        <f>IFERROR(__xludf.DUMMYFUNCTION("GOOGLETRANSLATE(C1718, ""en"", ""da"")"),"Djibouti.")</f>
        <v>Djibouti.</v>
      </c>
      <c r="I1718" s="1" t="s">
        <v>34574</v>
      </c>
      <c r="J1718" s="6" t="s">
        <v>132</v>
      </c>
      <c r="K1718" s="1" t="s">
        <v>34575</v>
      </c>
      <c r="L1718" s="7" t="str">
        <f>IFERROR(__xludf.DUMMYFUNCTION("GOOGLETRANSLATE(C1718, ""en"", ""fi"")"),"Djibouti")</f>
        <v>Djibouti</v>
      </c>
      <c r="M1718" s="1" t="s">
        <v>34573</v>
      </c>
      <c r="N1718" s="6" t="s">
        <v>132</v>
      </c>
      <c r="O1718" s="6" t="s">
        <v>132</v>
      </c>
      <c r="P1718" s="1" t="s">
        <v>34573</v>
      </c>
      <c r="Q1718" s="7" t="str">
        <f>IFERROR(__xludf.DUMMYFUNCTION("GOOGLETRANSLATE(C1718, ""en"", ""in"")"),"Djibouti.")</f>
        <v>Djibouti.</v>
      </c>
      <c r="R1718" s="7" t="str">
        <f>IFERROR(__xludf.DUMMYFUNCTION("GOOGLETRANSLATE(C1718, ""en"", ""it"")"),"Djibuti.")</f>
        <v>Djibuti.</v>
      </c>
      <c r="S1718" s="6" t="s">
        <v>132</v>
      </c>
      <c r="T1718" s="7" t="str">
        <f>IFERROR(__xludf.DUMMYFUNCTION("GOOGLETRANSLATE(C1718, ""en"", ""ja"")"),"ジブチ")</f>
        <v>ジブチ</v>
      </c>
      <c r="U1718" s="7" t="str">
        <f>IFERROR(__xludf.DUMMYFUNCTION("GOOGLETRANSLATE(C1718, ""en"", ""ko"")"),"지부티")</f>
        <v>지부티</v>
      </c>
      <c r="V1718" s="7" t="str">
        <f>IFERROR(__xludf.DUMMYFUNCTION("GOOGLETRANSLATE(C1718, ""en"", ""ms"")"),"Djibouti.")</f>
        <v>Djibouti.</v>
      </c>
      <c r="W1718" s="7" t="str">
        <f>IFERROR(__xludf.DUMMYFUNCTION("GOOGLETRANSLATE(C1718, ""en"", ""nl"")"),"Djibouti")</f>
        <v>Djibouti</v>
      </c>
      <c r="X1718" s="7" t="str">
        <f>IFERROR(__xludf.DUMMYFUNCTION("GOOGLETRANSLATE(C1718, ""en"", ""no"")"),"Djibouti.")</f>
        <v>Djibouti.</v>
      </c>
      <c r="Y1718" s="7" t="str">
        <f>IFERROR(__xludf.DUMMYFUNCTION("GOOGLETRANSLATE(C1718, ""en"", ""pl"")"),"Dżibuti")</f>
        <v>Dżibuti</v>
      </c>
      <c r="Z1718" s="7" t="str">
        <f>IFERROR(__xludf.DUMMYFUNCTION("GOOGLETRANSLATE(C1718, ""en"", ""pt"")"),"Djibuti.")</f>
        <v>Djibuti.</v>
      </c>
      <c r="AA1718" s="7" t="str">
        <f>IFERROR(__xludf.DUMMYFUNCTION("GOOGLETRANSLATE(C1718, ""en"", ""ro"")"),"Djibouti.")</f>
        <v>Djibouti.</v>
      </c>
      <c r="AB1718" s="1" t="s">
        <v>34576</v>
      </c>
      <c r="AC1718" s="7" t="str">
        <f>IFERROR(__xludf.DUMMYFUNCTION("GOOGLETRANSLATE(C1718, ""en"", ""sk"")"),"Džibuti")</f>
        <v>Džibuti</v>
      </c>
      <c r="AD1718" s="6" t="s">
        <v>132</v>
      </c>
      <c r="AE1718" s="1" t="s">
        <v>34577</v>
      </c>
      <c r="AF1718" s="7" t="str">
        <f>IFERROR(__xludf.DUMMYFUNCTION("GOOGLETRANSLATE(C1718, ""en"", ""sv"")"),"Djibouti")</f>
        <v>Djibouti</v>
      </c>
      <c r="AG1718" s="6" t="s">
        <v>132</v>
      </c>
      <c r="AH1718" s="7" t="str">
        <f>IFERROR(__xludf.DUMMYFUNCTION("GOOGLETRANSLATE(C1718, ""en"", ""tr"")"),"Djibuti")</f>
        <v>Djibuti</v>
      </c>
      <c r="AI1718" s="6" t="s">
        <v>132</v>
      </c>
      <c r="AJ1718" s="6" t="s">
        <v>132</v>
      </c>
      <c r="AK1718" s="7" t="str">
        <f>IFERROR(__xludf.DUMMYFUNCTION("GOOGLETRANSLATE(C1718, ""en"", ""zh"")"),"吉布提")</f>
        <v>吉布提</v>
      </c>
      <c r="AL1718" s="6" t="s">
        <v>132</v>
      </c>
    </row>
    <row r="1719" ht="15.75" customHeight="1">
      <c r="A1719" s="1" t="s">
        <v>127</v>
      </c>
      <c r="B1719" s="1" t="s">
        <v>34578</v>
      </c>
      <c r="C1719" s="1" t="s">
        <v>34579</v>
      </c>
      <c r="D1719" s="8" t="s">
        <v>7158</v>
      </c>
      <c r="E1719" s="1" t="s">
        <v>34580</v>
      </c>
      <c r="F1719" s="6" t="s">
        <v>132</v>
      </c>
      <c r="G1719" s="1" t="s">
        <v>34579</v>
      </c>
      <c r="H1719" s="1" t="s">
        <v>34579</v>
      </c>
      <c r="I1719" s="1" t="s">
        <v>34579</v>
      </c>
      <c r="J1719" s="6" t="s">
        <v>34581</v>
      </c>
      <c r="K1719" s="1" t="s">
        <v>34579</v>
      </c>
      <c r="L1719" s="1" t="s">
        <v>34582</v>
      </c>
      <c r="M1719" s="1" t="s">
        <v>34579</v>
      </c>
      <c r="N1719" s="6" t="s">
        <v>132</v>
      </c>
      <c r="O1719" s="6" t="s">
        <v>7166</v>
      </c>
      <c r="P1719" s="1" t="s">
        <v>34579</v>
      </c>
      <c r="Q1719" s="1" t="s">
        <v>34579</v>
      </c>
      <c r="R1719" s="1" t="s">
        <v>34579</v>
      </c>
      <c r="S1719" s="10" t="s">
        <v>7169</v>
      </c>
      <c r="T1719" s="1" t="s">
        <v>7170</v>
      </c>
      <c r="U1719" s="1" t="s">
        <v>7171</v>
      </c>
      <c r="V1719" s="1" t="s">
        <v>34579</v>
      </c>
      <c r="W1719" s="1" t="s">
        <v>34579</v>
      </c>
      <c r="X1719" s="1" t="s">
        <v>34579</v>
      </c>
      <c r="Y1719" s="1" t="s">
        <v>34579</v>
      </c>
      <c r="Z1719" s="1" t="s">
        <v>34583</v>
      </c>
      <c r="AA1719" s="1" t="s">
        <v>34579</v>
      </c>
      <c r="AB1719" s="1" t="s">
        <v>34580</v>
      </c>
      <c r="AC1719" s="1" t="s">
        <v>34579</v>
      </c>
      <c r="AD1719" s="6" t="s">
        <v>34582</v>
      </c>
      <c r="AE1719" s="1" t="s">
        <v>34579</v>
      </c>
      <c r="AF1719" s="1" t="s">
        <v>34579</v>
      </c>
      <c r="AG1719" s="6" t="s">
        <v>7181</v>
      </c>
      <c r="AH1719" s="1" t="s">
        <v>34584</v>
      </c>
      <c r="AI1719" s="6" t="s">
        <v>132</v>
      </c>
      <c r="AJ1719" s="6" t="s">
        <v>7183</v>
      </c>
      <c r="AK1719" s="1" t="s">
        <v>7184</v>
      </c>
      <c r="AL1719" s="6" t="s">
        <v>7185</v>
      </c>
    </row>
    <row r="1720" ht="15.75" customHeight="1">
      <c r="A1720" s="1" t="s">
        <v>127</v>
      </c>
      <c r="B1720" s="1" t="s">
        <v>34585</v>
      </c>
      <c r="C1720" s="1" t="s">
        <v>34586</v>
      </c>
      <c r="D1720" s="8" t="s">
        <v>34587</v>
      </c>
      <c r="E1720" s="1" t="s">
        <v>34588</v>
      </c>
      <c r="F1720" s="6" t="s">
        <v>132</v>
      </c>
      <c r="G1720" s="1" t="s">
        <v>34589</v>
      </c>
      <c r="H1720" s="1" t="s">
        <v>34590</v>
      </c>
      <c r="I1720" s="1" t="s">
        <v>34591</v>
      </c>
      <c r="J1720" s="6" t="s">
        <v>34592</v>
      </c>
      <c r="K1720" s="1" t="s">
        <v>34593</v>
      </c>
      <c r="L1720" s="1" t="s">
        <v>34594</v>
      </c>
      <c r="M1720" s="1" t="s">
        <v>34595</v>
      </c>
      <c r="N1720" s="6" t="s">
        <v>132</v>
      </c>
      <c r="O1720" s="6" t="s">
        <v>34596</v>
      </c>
      <c r="P1720" s="1" t="s">
        <v>34597</v>
      </c>
      <c r="Q1720" s="1" t="s">
        <v>34598</v>
      </c>
      <c r="R1720" s="1" t="s">
        <v>34599</v>
      </c>
      <c r="S1720" s="10" t="s">
        <v>34600</v>
      </c>
      <c r="T1720" s="1" t="s">
        <v>34601</v>
      </c>
      <c r="U1720" s="1" t="s">
        <v>34602</v>
      </c>
      <c r="V1720" s="1" t="s">
        <v>34603</v>
      </c>
      <c r="W1720" s="1" t="s">
        <v>34604</v>
      </c>
      <c r="X1720" s="1" t="s">
        <v>34605</v>
      </c>
      <c r="Y1720" s="1" t="s">
        <v>34606</v>
      </c>
      <c r="Z1720" s="1" t="s">
        <v>34607</v>
      </c>
      <c r="AA1720" s="1" t="s">
        <v>34608</v>
      </c>
      <c r="AB1720" s="1" t="s">
        <v>34609</v>
      </c>
      <c r="AC1720" s="1" t="s">
        <v>34610</v>
      </c>
      <c r="AD1720" s="6" t="s">
        <v>34611</v>
      </c>
      <c r="AE1720" s="1" t="s">
        <v>34612</v>
      </c>
      <c r="AF1720" s="1" t="s">
        <v>34613</v>
      </c>
      <c r="AG1720" s="6" t="s">
        <v>34614</v>
      </c>
      <c r="AH1720" s="1" t="s">
        <v>34615</v>
      </c>
      <c r="AI1720" s="6" t="s">
        <v>132</v>
      </c>
      <c r="AJ1720" s="6" t="s">
        <v>34616</v>
      </c>
      <c r="AK1720" s="1" t="s">
        <v>34617</v>
      </c>
      <c r="AL1720" s="6" t="s">
        <v>34618</v>
      </c>
    </row>
    <row r="1721" ht="15.75" hidden="1" customHeight="1">
      <c r="A1721" s="1" t="s">
        <v>38</v>
      </c>
      <c r="B1721" s="1" t="s">
        <v>34619</v>
      </c>
      <c r="C1721" s="1" t="s">
        <v>5935</v>
      </c>
      <c r="D1721" s="8" t="s">
        <v>5936</v>
      </c>
      <c r="E1721" s="1" t="s">
        <v>5937</v>
      </c>
      <c r="F1721" s="6" t="s">
        <v>5938</v>
      </c>
      <c r="G1721" s="7" t="str">
        <f>IFERROR(__xludf.DUMMYFUNCTION("GOOGLETRANSLATE(C1721, ""en"", ""cs"")"),"Uživatelské jméno")</f>
        <v>Uživatelské jméno</v>
      </c>
      <c r="H1721" s="7" t="str">
        <f>IFERROR(__xludf.DUMMYFUNCTION("GOOGLETRANSLATE(C1721, ""en"", ""da"")"),"Brugernavn.")</f>
        <v>Brugernavn.</v>
      </c>
      <c r="I1721" s="1" t="s">
        <v>5939</v>
      </c>
      <c r="J1721" s="6" t="s">
        <v>132</v>
      </c>
      <c r="K1721" s="1" t="s">
        <v>5940</v>
      </c>
      <c r="L1721" s="7" t="str">
        <f>IFERROR(__xludf.DUMMYFUNCTION("GOOGLETRANSLATE(C1721, ""en"", ""fi"")"),"Käyttäjätunnus")</f>
        <v>Käyttäjätunnus</v>
      </c>
      <c r="M1721" s="1" t="s">
        <v>5941</v>
      </c>
      <c r="N1721" s="6" t="s">
        <v>34620</v>
      </c>
      <c r="O1721" s="6" t="s">
        <v>132</v>
      </c>
      <c r="P1721" s="1" t="s">
        <v>5943</v>
      </c>
      <c r="Q1721" s="9" t="s">
        <v>5935</v>
      </c>
      <c r="R1721" s="1" t="s">
        <v>5944</v>
      </c>
      <c r="S1721" s="6" t="s">
        <v>132</v>
      </c>
      <c r="T1721" s="1" t="s">
        <v>5945</v>
      </c>
      <c r="U1721" s="1" t="s">
        <v>5946</v>
      </c>
      <c r="V1721" s="7" t="str">
        <f>IFERROR(__xludf.DUMMYFUNCTION("GOOGLETRANSLATE(C1721, ""en"", ""ms"")"),"Nama pengguna")</f>
        <v>Nama pengguna</v>
      </c>
      <c r="W1721" s="1" t="s">
        <v>5947</v>
      </c>
      <c r="X1721" s="7" t="str">
        <f>IFERROR(__xludf.DUMMYFUNCTION("GOOGLETRANSLATE(C1721, ""en"", ""no"")"),"Brukernavn")</f>
        <v>Brukernavn</v>
      </c>
      <c r="Y1721" s="1" t="s">
        <v>5948</v>
      </c>
      <c r="Z1721" s="1" t="s">
        <v>5949</v>
      </c>
      <c r="AA1721" s="7" t="str">
        <f>IFERROR(__xludf.DUMMYFUNCTION("GOOGLETRANSLATE(C1721, ""en"", ""ro"")"),"Nume de utilizator")</f>
        <v>Nume de utilizator</v>
      </c>
      <c r="AB1721" s="1" t="s">
        <v>5950</v>
      </c>
      <c r="AC1721" s="1" t="s">
        <v>5951</v>
      </c>
      <c r="AD1721" s="6" t="s">
        <v>132</v>
      </c>
      <c r="AE1721" s="1" t="s">
        <v>5952</v>
      </c>
      <c r="AF1721" s="1" t="s">
        <v>5953</v>
      </c>
      <c r="AG1721" s="6" t="s">
        <v>132</v>
      </c>
      <c r="AH1721" s="7" t="str">
        <f>IFERROR(__xludf.DUMMYFUNCTION("GOOGLETRANSLATE(C1721, ""en"", ""tr"")"),"Kullanıcı adı")</f>
        <v>Kullanıcı adı</v>
      </c>
      <c r="AI1721" s="6" t="s">
        <v>5954</v>
      </c>
      <c r="AJ1721" s="6" t="s">
        <v>5955</v>
      </c>
      <c r="AK1721" s="7" t="str">
        <f>IFERROR(__xludf.DUMMYFUNCTION("GOOGLETRANSLATE(C1721, ""en"", ""zh"")"),"用户名")</f>
        <v>用户名</v>
      </c>
      <c r="AL1721" s="6" t="s">
        <v>5956</v>
      </c>
    </row>
    <row r="1722" ht="15.75" hidden="1" customHeight="1">
      <c r="A1722" s="1" t="s">
        <v>38</v>
      </c>
      <c r="B1722" s="1" t="s">
        <v>34621</v>
      </c>
      <c r="C1722" s="1" t="s">
        <v>34622</v>
      </c>
      <c r="D1722" s="7" t="str">
        <f>IFERROR(__xludf.DUMMYFUNCTION("GOOGLETRANSLATE(C1722, ""en"", ""ar"")"),"ل:")</f>
        <v>ل:</v>
      </c>
      <c r="E1722" s="7" t="str">
        <f>IFERROR(__xludf.DUMMYFUNCTION("GOOGLETRANSLATE(C1722, ""en"", ""bg"")"),"Да се:")</f>
        <v>Да се:</v>
      </c>
      <c r="F1722" s="6" t="s">
        <v>132</v>
      </c>
      <c r="G1722" s="7" t="str">
        <f>IFERROR(__xludf.DUMMYFUNCTION("GOOGLETRANSLATE(C1722, ""en"", ""cs"")"),"Na:")</f>
        <v>Na:</v>
      </c>
      <c r="H1722" s="7" t="str">
        <f>IFERROR(__xludf.DUMMYFUNCTION("GOOGLETRANSLATE(C1722, ""en"", ""da"")"),"Til:")</f>
        <v>Til:</v>
      </c>
      <c r="I1722" s="1" t="s">
        <v>34623</v>
      </c>
      <c r="J1722" s="6" t="s">
        <v>132</v>
      </c>
      <c r="K1722" s="1" t="s">
        <v>34624</v>
      </c>
      <c r="L1722" s="7" t="str">
        <f>IFERROR(__xludf.DUMMYFUNCTION("GOOGLETRANSLATE(C1722, ""en"", ""fi"")"),":")</f>
        <v>:</v>
      </c>
      <c r="M1722" s="1" t="s">
        <v>34625</v>
      </c>
      <c r="N1722" s="6" t="s">
        <v>132</v>
      </c>
      <c r="O1722" s="6" t="s">
        <v>132</v>
      </c>
      <c r="P1722" s="1" t="s">
        <v>34626</v>
      </c>
      <c r="Q1722" s="7" t="str">
        <f>IFERROR(__xludf.DUMMYFUNCTION("GOOGLETRANSLATE(C1722, ""en"", ""in"")"),"Untuk:")</f>
        <v>Untuk:</v>
      </c>
      <c r="R1722" s="7" t="str">
        <f>IFERROR(__xludf.DUMMYFUNCTION("GOOGLETRANSLATE(C1722, ""en"", ""it"")"),"Per:")</f>
        <v>Per:</v>
      </c>
      <c r="S1722" s="6" t="s">
        <v>132</v>
      </c>
      <c r="T1722" s="7" t="str">
        <f>IFERROR(__xludf.DUMMYFUNCTION("GOOGLETRANSLATE(C1722, ""en"", ""ja"")"),"に：")</f>
        <v>に：</v>
      </c>
      <c r="U1722" s="7" t="str">
        <f>IFERROR(__xludf.DUMMYFUNCTION("GOOGLETRANSLATE(C1722, ""en"", ""ko"")"),"에:")</f>
        <v>에:</v>
      </c>
      <c r="V1722" s="7" t="str">
        <f>IFERROR(__xludf.DUMMYFUNCTION("GOOGLETRANSLATE(C1722, ""en"", ""ms"")"),"Kepada:")</f>
        <v>Kepada:</v>
      </c>
      <c r="W1722" s="7" t="str">
        <f>IFERROR(__xludf.DUMMYFUNCTION("GOOGLETRANSLATE(C1722, ""en"", ""nl"")"),"Naar:")</f>
        <v>Naar:</v>
      </c>
      <c r="X1722" s="7" t="str">
        <f>IFERROR(__xludf.DUMMYFUNCTION("GOOGLETRANSLATE(C1722, ""en"", ""no"")"),"Til:")</f>
        <v>Til:</v>
      </c>
      <c r="Y1722" s="7" t="str">
        <f>IFERROR(__xludf.DUMMYFUNCTION("GOOGLETRANSLATE(C1722, ""en"", ""pl"")"),"Do:")</f>
        <v>Do:</v>
      </c>
      <c r="Z1722" s="7" t="str">
        <f>IFERROR(__xludf.DUMMYFUNCTION("GOOGLETRANSLATE(C1722, ""en"", ""pt"")"),"Para:")</f>
        <v>Para:</v>
      </c>
      <c r="AA1722" s="7" t="str">
        <f>IFERROR(__xludf.DUMMYFUNCTION("GOOGLETRANSLATE(C1722, ""en"", ""ro"")"),"La:")</f>
        <v>La:</v>
      </c>
      <c r="AB1722" s="1" t="s">
        <v>34627</v>
      </c>
      <c r="AC1722" s="7" t="str">
        <f>IFERROR(__xludf.DUMMYFUNCTION("GOOGLETRANSLATE(C1722, ""en"", ""sk"")"),"Na:")</f>
        <v>Na:</v>
      </c>
      <c r="AD1722" s="6" t="s">
        <v>132</v>
      </c>
      <c r="AE1722" s="1" t="s">
        <v>34628</v>
      </c>
      <c r="AF1722" s="7" t="str">
        <f>IFERROR(__xludf.DUMMYFUNCTION("GOOGLETRANSLATE(C1722, ""en"", ""sv"")"),"Till:")</f>
        <v>Till:</v>
      </c>
      <c r="AG1722" s="6" t="s">
        <v>132</v>
      </c>
      <c r="AH1722" s="7" t="str">
        <f>IFERROR(__xludf.DUMMYFUNCTION("GOOGLETRANSLATE(C1722, ""en"", ""tr"")"),"İçin:")</f>
        <v>İçin:</v>
      </c>
      <c r="AI1722" s="6" t="s">
        <v>132</v>
      </c>
      <c r="AJ1722" s="6" t="s">
        <v>132</v>
      </c>
      <c r="AK1722" s="7" t="str">
        <f>IFERROR(__xludf.DUMMYFUNCTION("GOOGLETRANSLATE(C1722, ""en"", ""zh"")"),"至：")</f>
        <v>至：</v>
      </c>
      <c r="AL1722" s="6" t="s">
        <v>132</v>
      </c>
    </row>
    <row r="1723" ht="15.75" hidden="1" customHeight="1">
      <c r="A1723" s="1" t="s">
        <v>38</v>
      </c>
      <c r="B1723" s="1" t="s">
        <v>34629</v>
      </c>
      <c r="C1723" s="1" t="s">
        <v>34630</v>
      </c>
      <c r="D1723" s="8" t="s">
        <v>34631</v>
      </c>
      <c r="E1723" s="1" t="s">
        <v>34632</v>
      </c>
      <c r="F1723" s="6" t="s">
        <v>34630</v>
      </c>
      <c r="G1723" s="7" t="str">
        <f>IFERROR(__xludf.DUMMYFUNCTION("GOOGLETRANSLATE(C1723, ""en"", ""cs"")"),"Ui.")</f>
        <v>Ui.</v>
      </c>
      <c r="H1723" s="7" t="str">
        <f>IFERROR(__xludf.DUMMYFUNCTION("GOOGLETRANSLATE(C1723, ""en"", ""da"")"),"UI.")</f>
        <v>UI.</v>
      </c>
      <c r="I1723" s="1" t="s">
        <v>34633</v>
      </c>
      <c r="J1723" s="6" t="s">
        <v>132</v>
      </c>
      <c r="K1723" s="1" t="s">
        <v>34634</v>
      </c>
      <c r="L1723" s="7" t="str">
        <f>IFERROR(__xludf.DUMMYFUNCTION("GOOGLETRANSLATE(C1723, ""en"", ""fi"")"),"Ui")</f>
        <v>Ui</v>
      </c>
      <c r="M1723" s="1" t="s">
        <v>34635</v>
      </c>
      <c r="N1723" s="6" t="s">
        <v>34635</v>
      </c>
      <c r="O1723" s="6" t="s">
        <v>132</v>
      </c>
      <c r="P1723" s="1" t="s">
        <v>34636</v>
      </c>
      <c r="Q1723" s="9" t="s">
        <v>34630</v>
      </c>
      <c r="R1723" s="1" t="s">
        <v>34637</v>
      </c>
      <c r="S1723" s="6" t="s">
        <v>132</v>
      </c>
      <c r="T1723" s="1" t="s">
        <v>34630</v>
      </c>
      <c r="U1723" s="1" t="s">
        <v>34630</v>
      </c>
      <c r="V1723" s="7" t="str">
        <f>IFERROR(__xludf.DUMMYFUNCTION("GOOGLETRANSLATE(C1723, ""en"", ""ms"")"),"Ui.")</f>
        <v>Ui.</v>
      </c>
      <c r="W1723" s="1" t="s">
        <v>34638</v>
      </c>
      <c r="X1723" s="7" t="str">
        <f>IFERROR(__xludf.DUMMYFUNCTION("GOOGLETRANSLATE(C1723, ""en"", ""no"")"),"Ui.")</f>
        <v>Ui.</v>
      </c>
      <c r="Y1723" s="1" t="s">
        <v>34630</v>
      </c>
      <c r="Z1723" s="1" t="s">
        <v>34639</v>
      </c>
      <c r="AA1723" s="7" t="str">
        <f>IFERROR(__xludf.DUMMYFUNCTION("GOOGLETRANSLATE(C1723, ""en"", ""ro"")"),"Ui.")</f>
        <v>Ui.</v>
      </c>
      <c r="AB1723" s="1" t="s">
        <v>34640</v>
      </c>
      <c r="AC1723" s="7" t="str">
        <f>IFERROR(__xludf.DUMMYFUNCTION("GOOGLETRANSLATE(C1723, ""en"", ""sk"")"),"Ui")</f>
        <v>Ui</v>
      </c>
      <c r="AD1723" s="6" t="s">
        <v>132</v>
      </c>
      <c r="AE1723" s="1" t="s">
        <v>34641</v>
      </c>
      <c r="AF1723" s="1" t="s">
        <v>34642</v>
      </c>
      <c r="AG1723" s="6" t="s">
        <v>132</v>
      </c>
      <c r="AH1723" s="7" t="str">
        <f>IFERROR(__xludf.DUMMYFUNCTION("GOOGLETRANSLATE(C1723, ""en"", ""tr"")"),"Ui")</f>
        <v>Ui</v>
      </c>
      <c r="AI1723" s="6" t="s">
        <v>34643</v>
      </c>
      <c r="AJ1723" s="6" t="s">
        <v>34630</v>
      </c>
      <c r="AK1723" s="7" t="str">
        <f>IFERROR(__xludf.DUMMYFUNCTION("GOOGLETRANSLATE(C1723, ""en"", ""zh"")"),"UI.")</f>
        <v>UI.</v>
      </c>
      <c r="AL1723" s="6" t="s">
        <v>34630</v>
      </c>
    </row>
    <row r="1724" ht="15.75" hidden="1" customHeight="1">
      <c r="A1724" s="1" t="s">
        <v>38</v>
      </c>
      <c r="B1724" s="1" t="s">
        <v>34644</v>
      </c>
      <c r="C1724" s="1" t="s">
        <v>34645</v>
      </c>
      <c r="D1724" s="8" t="s">
        <v>34646</v>
      </c>
      <c r="E1724" s="1" t="s">
        <v>34647</v>
      </c>
      <c r="F1724" s="6" t="s">
        <v>34648</v>
      </c>
      <c r="G1724" s="7" t="str">
        <f>IFERROR(__xludf.DUMMYFUNCTION("GOOGLETRANSLATE(C1724, ""en"", ""cs"")"),"Zakázat oznámení")</f>
        <v>Zakázat oznámení</v>
      </c>
      <c r="H1724" s="7" t="str">
        <f>IFERROR(__xludf.DUMMYFUNCTION("GOOGLETRANSLATE(C1724, ""en"", ""da"")"),"Deaktiver underretninger.")</f>
        <v>Deaktiver underretninger.</v>
      </c>
      <c r="I1724" s="1" t="s">
        <v>34649</v>
      </c>
      <c r="J1724" s="6" t="s">
        <v>132</v>
      </c>
      <c r="K1724" s="1" t="s">
        <v>34650</v>
      </c>
      <c r="L1724" s="7" t="str">
        <f>IFERROR(__xludf.DUMMYFUNCTION("GOOGLETRANSLATE(C1724, ""en"", ""fi"")"),"Poista ilmoitukset käytöstä")</f>
        <v>Poista ilmoitukset käytöstä</v>
      </c>
      <c r="M1724" s="1" t="s">
        <v>34651</v>
      </c>
      <c r="N1724" s="6" t="s">
        <v>34652</v>
      </c>
      <c r="O1724" s="6" t="s">
        <v>132</v>
      </c>
      <c r="P1724" s="1" t="s">
        <v>34653</v>
      </c>
      <c r="Q1724" s="9" t="s">
        <v>34654</v>
      </c>
      <c r="R1724" s="1" t="s">
        <v>34655</v>
      </c>
      <c r="S1724" s="6" t="s">
        <v>132</v>
      </c>
      <c r="T1724" s="1" t="s">
        <v>34656</v>
      </c>
      <c r="U1724" s="1" t="s">
        <v>34657</v>
      </c>
      <c r="V1724" s="7" t="str">
        <f>IFERROR(__xludf.DUMMYFUNCTION("GOOGLETRANSLATE(C1724, ""en"", ""ms"")"),"Lumpuhkan pemberitahuan.")</f>
        <v>Lumpuhkan pemberitahuan.</v>
      </c>
      <c r="W1724" s="1" t="s">
        <v>34658</v>
      </c>
      <c r="X1724" s="7" t="str">
        <f>IFERROR(__xludf.DUMMYFUNCTION("GOOGLETRANSLATE(C1724, ""en"", ""no"")"),"Deaktiver varsler")</f>
        <v>Deaktiver varsler</v>
      </c>
      <c r="Y1724" s="1" t="s">
        <v>34659</v>
      </c>
      <c r="Z1724" s="1" t="s">
        <v>34660</v>
      </c>
      <c r="AA1724" s="7" t="str">
        <f>IFERROR(__xludf.DUMMYFUNCTION("GOOGLETRANSLATE(C1724, ""en"", ""ro"")"),"Dezactivați notificările")</f>
        <v>Dezactivați notificările</v>
      </c>
      <c r="AB1724" s="1" t="s">
        <v>34661</v>
      </c>
      <c r="AC1724" s="1" t="s">
        <v>34662</v>
      </c>
      <c r="AD1724" s="6" t="s">
        <v>132</v>
      </c>
      <c r="AE1724" s="1" t="s">
        <v>34663</v>
      </c>
      <c r="AF1724" s="1" t="s">
        <v>34664</v>
      </c>
      <c r="AG1724" s="6" t="s">
        <v>132</v>
      </c>
      <c r="AH1724" s="7" t="str">
        <f>IFERROR(__xludf.DUMMYFUNCTION("GOOGLETRANSLATE(C1724, ""en"", ""tr"")"),"Bildirimleri devre dışı bırak")</f>
        <v>Bildirimleri devre dışı bırak</v>
      </c>
      <c r="AI1724" s="6" t="s">
        <v>34665</v>
      </c>
      <c r="AJ1724" s="6" t="s">
        <v>34666</v>
      </c>
      <c r="AK1724" s="7" t="str">
        <f>IFERROR(__xludf.DUMMYFUNCTION("GOOGLETRANSLATE(C1724, ""en"", ""zh"")"),"禁用通知")</f>
        <v>禁用通知</v>
      </c>
      <c r="AL1724" s="6" t="s">
        <v>24852</v>
      </c>
    </row>
    <row r="1725" ht="15.75" customHeight="1">
      <c r="A1725" s="1" t="s">
        <v>127</v>
      </c>
      <c r="B1725" s="1" t="s">
        <v>34667</v>
      </c>
      <c r="C1725" s="1" t="s">
        <v>34668</v>
      </c>
      <c r="D1725" s="8" t="s">
        <v>34669</v>
      </c>
      <c r="E1725" s="1" t="s">
        <v>34670</v>
      </c>
      <c r="F1725" s="6" t="s">
        <v>132</v>
      </c>
      <c r="G1725" s="1" t="s">
        <v>34671</v>
      </c>
      <c r="H1725" s="1" t="s">
        <v>34672</v>
      </c>
      <c r="I1725" s="1" t="s">
        <v>34673</v>
      </c>
      <c r="J1725" s="6" t="s">
        <v>34674</v>
      </c>
      <c r="K1725" s="1" t="s">
        <v>34675</v>
      </c>
      <c r="L1725" s="1" t="s">
        <v>34676</v>
      </c>
      <c r="M1725" s="1" t="s">
        <v>34677</v>
      </c>
      <c r="N1725" s="6" t="s">
        <v>132</v>
      </c>
      <c r="O1725" s="6" t="s">
        <v>34678</v>
      </c>
      <c r="P1725" s="1" t="s">
        <v>34679</v>
      </c>
      <c r="Q1725" s="1" t="s">
        <v>34680</v>
      </c>
      <c r="R1725" s="1" t="s">
        <v>34681</v>
      </c>
      <c r="S1725" s="10" t="s">
        <v>34682</v>
      </c>
      <c r="T1725" s="1" t="s">
        <v>34683</v>
      </c>
      <c r="U1725" s="1" t="s">
        <v>34684</v>
      </c>
      <c r="V1725" s="1" t="s">
        <v>34685</v>
      </c>
      <c r="W1725" s="1" t="s">
        <v>34686</v>
      </c>
      <c r="X1725" s="1" t="s">
        <v>34687</v>
      </c>
      <c r="Y1725" s="1" t="s">
        <v>34688</v>
      </c>
      <c r="Z1725" s="1" t="s">
        <v>34689</v>
      </c>
      <c r="AA1725" s="1" t="s">
        <v>34690</v>
      </c>
      <c r="AB1725" s="1" t="s">
        <v>34691</v>
      </c>
      <c r="AC1725" s="1" t="s">
        <v>34692</v>
      </c>
      <c r="AD1725" s="6" t="s">
        <v>34693</v>
      </c>
      <c r="AE1725" s="1" t="s">
        <v>34694</v>
      </c>
      <c r="AF1725" s="1" t="s">
        <v>34695</v>
      </c>
      <c r="AG1725" s="6" t="s">
        <v>34696</v>
      </c>
      <c r="AH1725" s="1" t="s">
        <v>34697</v>
      </c>
      <c r="AI1725" s="6" t="s">
        <v>132</v>
      </c>
      <c r="AJ1725" s="6" t="s">
        <v>34698</v>
      </c>
      <c r="AK1725" s="1" t="s">
        <v>34699</v>
      </c>
      <c r="AL1725" s="6" t="s">
        <v>132</v>
      </c>
    </row>
    <row r="1726" ht="15.75" hidden="1" customHeight="1">
      <c r="A1726" s="1" t="s">
        <v>38</v>
      </c>
      <c r="B1726" s="1" t="s">
        <v>34700</v>
      </c>
      <c r="C1726" s="1" t="s">
        <v>34701</v>
      </c>
      <c r="D1726" s="7" t="str">
        <f>IFERROR(__xludf.DUMMYFUNCTION("GOOGLETRANSLATE(C1726, ""en"", ""ar"")"),"جزر العذراء البريطانية")</f>
        <v>جزر العذراء البريطانية</v>
      </c>
      <c r="E1726" s="7" t="str">
        <f>IFERROR(__xludf.DUMMYFUNCTION("GOOGLETRANSLATE(C1726, ""en"", ""bg"")"),"Вирджински острови, британски")</f>
        <v>Вирджински острови, британски</v>
      </c>
      <c r="F1726" s="6" t="s">
        <v>132</v>
      </c>
      <c r="G1726" s="7" t="str">
        <f>IFERROR(__xludf.DUMMYFUNCTION("GOOGLETRANSLATE(C1726, ""en"", ""cs"")"),"Panenské ostrovy, Britové")</f>
        <v>Panenské ostrovy, Britové</v>
      </c>
      <c r="H1726" s="7" t="str">
        <f>IFERROR(__xludf.DUMMYFUNCTION("GOOGLETRANSLATE(C1726, ""en"", ""da"")"),"Jomfruøer, British")</f>
        <v>Jomfruøer, British</v>
      </c>
      <c r="I1726" s="1" t="s">
        <v>34702</v>
      </c>
      <c r="J1726" s="6" t="s">
        <v>132</v>
      </c>
      <c r="K1726" s="1" t="s">
        <v>34703</v>
      </c>
      <c r="L1726" s="7" t="str">
        <f>IFERROR(__xludf.DUMMYFUNCTION("GOOGLETRANSLATE(C1726, ""en"", ""fi"")"),"Virgin Islands, Brittiläinen")</f>
        <v>Virgin Islands, Brittiläinen</v>
      </c>
      <c r="M1726" s="1" t="s">
        <v>34704</v>
      </c>
      <c r="N1726" s="6" t="s">
        <v>132</v>
      </c>
      <c r="O1726" s="6" t="s">
        <v>132</v>
      </c>
      <c r="P1726" s="1" t="s">
        <v>34701</v>
      </c>
      <c r="Q1726" s="7" t="str">
        <f>IFERROR(__xludf.DUMMYFUNCTION("GOOGLETRANSLATE(C1726, ""en"", ""in"")"),"Kepulauan Virgin, Inggris")</f>
        <v>Kepulauan Virgin, Inggris</v>
      </c>
      <c r="R1726" s="7" t="str">
        <f>IFERROR(__xludf.DUMMYFUNCTION("GOOGLETRANSLATE(C1726, ""en"", ""it"")"),"Isole Vergini, Britanniche")</f>
        <v>Isole Vergini, Britanniche</v>
      </c>
      <c r="S1726" s="6" t="s">
        <v>132</v>
      </c>
      <c r="T1726" s="7" t="str">
        <f>IFERROR(__xludf.DUMMYFUNCTION("GOOGLETRANSLATE(C1726, ""en"", ""ja"")"),"バージン諸島、イギリス")</f>
        <v>バージン諸島、イギリス</v>
      </c>
      <c r="U1726" s="7" t="str">
        <f>IFERROR(__xludf.DUMMYFUNCTION("GOOGLETRANSLATE(C1726, ""en"", ""ko"")"),"버진 아일랜드, 영국인")</f>
        <v>버진 아일랜드, 영국인</v>
      </c>
      <c r="V1726" s="7" t="str">
        <f>IFERROR(__xludf.DUMMYFUNCTION("GOOGLETRANSLATE(C1726, ""en"", ""ms"")"),"Kepulauan Virgin, British")</f>
        <v>Kepulauan Virgin, British</v>
      </c>
      <c r="W1726" s="7" t="str">
        <f>IFERROR(__xludf.DUMMYFUNCTION("GOOGLETRANSLATE(C1726, ""en"", ""nl"")"),"Maagdeneilanden, Brits")</f>
        <v>Maagdeneilanden, Brits</v>
      </c>
      <c r="X1726" s="7" t="str">
        <f>IFERROR(__xludf.DUMMYFUNCTION("GOOGLETRANSLATE(C1726, ""en"", ""no"")"),"Jomfruøyene, britene")</f>
        <v>Jomfruøyene, britene</v>
      </c>
      <c r="Y1726" s="7" t="str">
        <f>IFERROR(__xludf.DUMMYFUNCTION("GOOGLETRANSLATE(C1726, ""en"", ""pl"")"),"Wyspy Dziewicze, Brytyjscy")</f>
        <v>Wyspy Dziewicze, Brytyjscy</v>
      </c>
      <c r="Z1726" s="7" t="str">
        <f>IFERROR(__xludf.DUMMYFUNCTION("GOOGLETRANSLATE(C1726, ""en"", ""pt"")"),"Ilhas Virgens, Britânicas")</f>
        <v>Ilhas Virgens, Britânicas</v>
      </c>
      <c r="AA1726" s="7" t="str">
        <f>IFERROR(__xludf.DUMMYFUNCTION("GOOGLETRANSLATE(C1726, ""en"", ""ro"")"),"Insulele Virgine, britanice")</f>
        <v>Insulele Virgine, britanice</v>
      </c>
      <c r="AB1726" s="1" t="s">
        <v>34705</v>
      </c>
      <c r="AC1726" s="7" t="str">
        <f>IFERROR(__xludf.DUMMYFUNCTION("GOOGLETRANSLATE(C1726, ""en"", ""sk"")"),"Panenské ostrovy, Briti")</f>
        <v>Panenské ostrovy, Briti</v>
      </c>
      <c r="AD1726" s="6" t="s">
        <v>132</v>
      </c>
      <c r="AE1726" s="1" t="s">
        <v>34706</v>
      </c>
      <c r="AF1726" s="7" t="str">
        <f>IFERROR(__xludf.DUMMYFUNCTION("GOOGLETRANSLATE(C1726, ""en"", ""sv"")"),"Jungfruöarna, brittiska")</f>
        <v>Jungfruöarna, brittiska</v>
      </c>
      <c r="AG1726" s="6" t="s">
        <v>132</v>
      </c>
      <c r="AH1726" s="7" t="str">
        <f>IFERROR(__xludf.DUMMYFUNCTION("GOOGLETRANSLATE(C1726, ""en"", ""tr"")"),"Virgin Adaları, İngiliz")</f>
        <v>Virgin Adaları, İngiliz</v>
      </c>
      <c r="AI1726" s="6" t="s">
        <v>132</v>
      </c>
      <c r="AJ1726" s="6" t="s">
        <v>132</v>
      </c>
      <c r="AK1726" s="7" t="str">
        <f>IFERROR(__xludf.DUMMYFUNCTION("GOOGLETRANSLATE(C1726, ""en"", ""zh"")"),"维尔京群岛，英国")</f>
        <v>维尔京群岛，英国</v>
      </c>
      <c r="AL1726" s="6" t="s">
        <v>132</v>
      </c>
    </row>
    <row r="1727" ht="15.75" hidden="1" customHeight="1">
      <c r="A1727" s="1" t="s">
        <v>38</v>
      </c>
      <c r="B1727" s="1" t="s">
        <v>34707</v>
      </c>
      <c r="C1727" s="1" t="s">
        <v>34708</v>
      </c>
      <c r="D1727" s="7" t="str">
        <f>IFERROR(__xludf.DUMMYFUNCTION("GOOGLETRANSLATE(C1727, ""en"", ""ar"")"),"كرواتيا")</f>
        <v>كرواتيا</v>
      </c>
      <c r="E1727" s="7" t="str">
        <f>IFERROR(__xludf.DUMMYFUNCTION("GOOGLETRANSLATE(C1727, ""en"", ""bg"")"),"Хърватия")</f>
        <v>Хърватия</v>
      </c>
      <c r="F1727" s="6" t="s">
        <v>132</v>
      </c>
      <c r="G1727" s="7" t="str">
        <f>IFERROR(__xludf.DUMMYFUNCTION("GOOGLETRANSLATE(C1727, ""en"", ""cs"")"),"Chorvatsko")</f>
        <v>Chorvatsko</v>
      </c>
      <c r="H1727" s="7" t="str">
        <f>IFERROR(__xludf.DUMMYFUNCTION("GOOGLETRANSLATE(C1727, ""en"", ""da"")"),"KROATIEN")</f>
        <v>KROATIEN</v>
      </c>
      <c r="I1727" s="1" t="s">
        <v>34709</v>
      </c>
      <c r="J1727" s="6" t="s">
        <v>132</v>
      </c>
      <c r="K1727" s="1" t="s">
        <v>34710</v>
      </c>
      <c r="L1727" s="7" t="str">
        <f>IFERROR(__xludf.DUMMYFUNCTION("GOOGLETRANSLATE(C1727, ""en"", ""fi"")"),"Kroatia")</f>
        <v>Kroatia</v>
      </c>
      <c r="M1727" s="1" t="s">
        <v>34711</v>
      </c>
      <c r="N1727" s="6" t="s">
        <v>132</v>
      </c>
      <c r="O1727" s="6" t="s">
        <v>132</v>
      </c>
      <c r="P1727" s="1" t="s">
        <v>34708</v>
      </c>
      <c r="Q1727" s="7" t="str">
        <f>IFERROR(__xludf.DUMMYFUNCTION("GOOGLETRANSLATE(C1727, ""en"", ""in"")"),"Kroasia.")</f>
        <v>Kroasia.</v>
      </c>
      <c r="R1727" s="7" t="str">
        <f>IFERROR(__xludf.DUMMYFUNCTION("GOOGLETRANSLATE(C1727, ""en"", ""it"")"),"Croazia")</f>
        <v>Croazia</v>
      </c>
      <c r="S1727" s="6" t="s">
        <v>132</v>
      </c>
      <c r="T1727" s="7" t="str">
        <f>IFERROR(__xludf.DUMMYFUNCTION("GOOGLETRANSLATE(C1727, ""en"", ""ja"")"),"クロアチア")</f>
        <v>クロアチア</v>
      </c>
      <c r="U1727" s="7" t="str">
        <f>IFERROR(__xludf.DUMMYFUNCTION("GOOGLETRANSLATE(C1727, ""en"", ""ko"")"),"크로아티아")</f>
        <v>크로아티아</v>
      </c>
      <c r="V1727" s="7" t="str">
        <f>IFERROR(__xludf.DUMMYFUNCTION("GOOGLETRANSLATE(C1727, ""en"", ""ms"")"),"Croatia.")</f>
        <v>Croatia.</v>
      </c>
      <c r="W1727" s="7" t="str">
        <f>IFERROR(__xludf.DUMMYFUNCTION("GOOGLETRANSLATE(C1727, ""en"", ""nl"")"),"Kroatië")</f>
        <v>Kroatië</v>
      </c>
      <c r="X1727" s="7" t="str">
        <f>IFERROR(__xludf.DUMMYFUNCTION("GOOGLETRANSLATE(C1727, ""en"", ""no"")"),"Kroatia")</f>
        <v>Kroatia</v>
      </c>
      <c r="Y1727" s="7" t="str">
        <f>IFERROR(__xludf.DUMMYFUNCTION("GOOGLETRANSLATE(C1727, ""en"", ""pl"")"),"Chorwacja")</f>
        <v>Chorwacja</v>
      </c>
      <c r="Z1727" s="7" t="str">
        <f>IFERROR(__xludf.DUMMYFUNCTION("GOOGLETRANSLATE(C1727, ""en"", ""pt"")"),"Croácia")</f>
        <v>Croácia</v>
      </c>
      <c r="AA1727" s="7" t="str">
        <f>IFERROR(__xludf.DUMMYFUNCTION("GOOGLETRANSLATE(C1727, ""en"", ""ro"")"),"Croaţia")</f>
        <v>Croaţia</v>
      </c>
      <c r="AB1727" s="1" t="s">
        <v>34712</v>
      </c>
      <c r="AC1727" s="7" t="str">
        <f>IFERROR(__xludf.DUMMYFUNCTION("GOOGLETRANSLATE(C1727, ""en"", ""sk"")"),"Chorvátsko")</f>
        <v>Chorvátsko</v>
      </c>
      <c r="AD1727" s="6" t="s">
        <v>132</v>
      </c>
      <c r="AE1727" s="1" t="s">
        <v>34713</v>
      </c>
      <c r="AF1727" s="7" t="str">
        <f>IFERROR(__xludf.DUMMYFUNCTION("GOOGLETRANSLATE(C1727, ""en"", ""sv"")"),"Kroatien")</f>
        <v>Kroatien</v>
      </c>
      <c r="AG1727" s="6" t="s">
        <v>132</v>
      </c>
      <c r="AH1727" s="7" t="str">
        <f>IFERROR(__xludf.DUMMYFUNCTION("GOOGLETRANSLATE(C1727, ""en"", ""tr"")"),"Hırvatistan")</f>
        <v>Hırvatistan</v>
      </c>
      <c r="AI1727" s="6" t="s">
        <v>132</v>
      </c>
      <c r="AJ1727" s="6" t="s">
        <v>132</v>
      </c>
      <c r="AK1727" s="7" t="str">
        <f>IFERROR(__xludf.DUMMYFUNCTION("GOOGLETRANSLATE(C1727, ""en"", ""zh"")"),"克罗地亚")</f>
        <v>克罗地亚</v>
      </c>
      <c r="AL1727" s="6" t="s">
        <v>132</v>
      </c>
    </row>
    <row r="1728" ht="15.75" customHeight="1">
      <c r="A1728" s="1" t="s">
        <v>127</v>
      </c>
      <c r="B1728" s="1" t="s">
        <v>34714</v>
      </c>
      <c r="C1728" s="1" t="s">
        <v>34715</v>
      </c>
      <c r="D1728" s="8" t="s">
        <v>34716</v>
      </c>
      <c r="E1728" s="1" t="s">
        <v>34717</v>
      </c>
      <c r="F1728" s="6" t="s">
        <v>132</v>
      </c>
      <c r="G1728" s="1" t="s">
        <v>34718</v>
      </c>
      <c r="H1728" s="1" t="s">
        <v>34719</v>
      </c>
      <c r="I1728" s="1" t="s">
        <v>34720</v>
      </c>
      <c r="J1728" s="6" t="s">
        <v>34721</v>
      </c>
      <c r="K1728" s="1" t="s">
        <v>34722</v>
      </c>
      <c r="L1728" s="1" t="s">
        <v>34723</v>
      </c>
      <c r="M1728" s="1" t="s">
        <v>34724</v>
      </c>
      <c r="N1728" s="6" t="s">
        <v>132</v>
      </c>
      <c r="O1728" s="6" t="s">
        <v>34725</v>
      </c>
      <c r="P1728" s="1" t="s">
        <v>34726</v>
      </c>
      <c r="Q1728" s="1" t="s">
        <v>34727</v>
      </c>
      <c r="R1728" s="1" t="s">
        <v>34728</v>
      </c>
      <c r="S1728" s="10" t="s">
        <v>34729</v>
      </c>
      <c r="T1728" s="1" t="s">
        <v>34730</v>
      </c>
      <c r="U1728" s="1" t="s">
        <v>34731</v>
      </c>
      <c r="V1728" s="1" t="s">
        <v>34732</v>
      </c>
      <c r="W1728" s="1" t="s">
        <v>34733</v>
      </c>
      <c r="X1728" s="1" t="s">
        <v>34719</v>
      </c>
      <c r="Y1728" s="1" t="s">
        <v>34734</v>
      </c>
      <c r="Z1728" s="1" t="s">
        <v>34735</v>
      </c>
      <c r="AA1728" s="1" t="s">
        <v>34736</v>
      </c>
      <c r="AB1728" s="1" t="s">
        <v>34717</v>
      </c>
      <c r="AC1728" s="1" t="s">
        <v>34718</v>
      </c>
      <c r="AD1728" s="6" t="s">
        <v>34737</v>
      </c>
      <c r="AE1728" s="1" t="s">
        <v>34719</v>
      </c>
      <c r="AF1728" s="1" t="s">
        <v>34719</v>
      </c>
      <c r="AG1728" s="6" t="s">
        <v>34738</v>
      </c>
      <c r="AH1728" s="1" t="s">
        <v>34739</v>
      </c>
      <c r="AI1728" s="6" t="s">
        <v>132</v>
      </c>
      <c r="AJ1728" s="6" t="s">
        <v>34740</v>
      </c>
      <c r="AK1728" s="1" t="s">
        <v>34741</v>
      </c>
      <c r="AL1728" s="6" t="s">
        <v>132</v>
      </c>
    </row>
    <row r="1729" ht="15.75" hidden="1" customHeight="1">
      <c r="A1729" s="1" t="s">
        <v>38</v>
      </c>
      <c r="B1729" s="1" t="s">
        <v>34742</v>
      </c>
      <c r="C1729" s="1" t="s">
        <v>34743</v>
      </c>
      <c r="D1729" s="7" t="str">
        <f>IFERROR(__xludf.DUMMYFUNCTION("GOOGLETRANSLATE(C1729, ""en"", ""ar"")"),"موناكو")</f>
        <v>موناكو</v>
      </c>
      <c r="E1729" s="7" t="str">
        <f>IFERROR(__xludf.DUMMYFUNCTION("GOOGLETRANSLATE(C1729, ""en"", ""bg"")"),"Монако")</f>
        <v>Монако</v>
      </c>
      <c r="F1729" s="6" t="s">
        <v>132</v>
      </c>
      <c r="G1729" s="7" t="str">
        <f>IFERROR(__xludf.DUMMYFUNCTION("GOOGLETRANSLATE(C1729, ""en"", ""cs"")"),"Monako")</f>
        <v>Monako</v>
      </c>
      <c r="H1729" s="7" t="str">
        <f>IFERROR(__xludf.DUMMYFUNCTION("GOOGLETRANSLATE(C1729, ""en"", ""da"")"),"Monaco.")</f>
        <v>Monaco.</v>
      </c>
      <c r="I1729" s="1" t="s">
        <v>34743</v>
      </c>
      <c r="J1729" s="6" t="s">
        <v>132</v>
      </c>
      <c r="K1729" s="1" t="s">
        <v>34744</v>
      </c>
      <c r="L1729" s="7" t="str">
        <f>IFERROR(__xludf.DUMMYFUNCTION("GOOGLETRANSLATE(C1729, ""en"", ""fi"")"),"Monaco")</f>
        <v>Monaco</v>
      </c>
      <c r="M1729" s="1" t="s">
        <v>34743</v>
      </c>
      <c r="N1729" s="6" t="s">
        <v>132</v>
      </c>
      <c r="O1729" s="6" t="s">
        <v>132</v>
      </c>
      <c r="P1729" s="1" t="s">
        <v>34743</v>
      </c>
      <c r="Q1729" s="7" t="str">
        <f>IFERROR(__xludf.DUMMYFUNCTION("GOOGLETRANSLATE(C1729, ""en"", ""in"")"),"Monaco.")</f>
        <v>Monaco.</v>
      </c>
      <c r="R1729" s="7" t="str">
        <f>IFERROR(__xludf.DUMMYFUNCTION("GOOGLETRANSLATE(C1729, ""en"", ""it"")"),"Monaco.")</f>
        <v>Monaco.</v>
      </c>
      <c r="S1729" s="6" t="s">
        <v>132</v>
      </c>
      <c r="T1729" s="7" t="str">
        <f>IFERROR(__xludf.DUMMYFUNCTION("GOOGLETRANSLATE(C1729, ""en"", ""ja"")"),"モナコ")</f>
        <v>モナコ</v>
      </c>
      <c r="U1729" s="7" t="str">
        <f>IFERROR(__xludf.DUMMYFUNCTION("GOOGLETRANSLATE(C1729, ""en"", ""ko"")"),"모나코")</f>
        <v>모나코</v>
      </c>
      <c r="V1729" s="7" t="str">
        <f>IFERROR(__xludf.DUMMYFUNCTION("GOOGLETRANSLATE(C1729, ""en"", ""ms"")"),"Monaco.")</f>
        <v>Monaco.</v>
      </c>
      <c r="W1729" s="7" t="str">
        <f>IFERROR(__xludf.DUMMYFUNCTION("GOOGLETRANSLATE(C1729, ""en"", ""nl"")"),"Monaco")</f>
        <v>Monaco</v>
      </c>
      <c r="X1729" s="7" t="str">
        <f>IFERROR(__xludf.DUMMYFUNCTION("GOOGLETRANSLATE(C1729, ""en"", ""no"")"),"Monaco.")</f>
        <v>Monaco.</v>
      </c>
      <c r="Y1729" s="7" t="str">
        <f>IFERROR(__xludf.DUMMYFUNCTION("GOOGLETRANSLATE(C1729, ""en"", ""pl"")"),"Monako.")</f>
        <v>Monako.</v>
      </c>
      <c r="Z1729" s="7" t="str">
        <f>IFERROR(__xludf.DUMMYFUNCTION("GOOGLETRANSLATE(C1729, ""en"", ""pt"")"),"Mônaco")</f>
        <v>Mônaco</v>
      </c>
      <c r="AA1729" s="7" t="str">
        <f>IFERROR(__xludf.DUMMYFUNCTION("GOOGLETRANSLATE(C1729, ""en"", ""ro"")"),"Monaco.")</f>
        <v>Monaco.</v>
      </c>
      <c r="AB1729" s="1" t="s">
        <v>34745</v>
      </c>
      <c r="AC1729" s="7" t="str">
        <f>IFERROR(__xludf.DUMMYFUNCTION("GOOGLETRANSLATE(C1729, ""en"", ""sk"")"),"Monako")</f>
        <v>Monako</v>
      </c>
      <c r="AD1729" s="6" t="s">
        <v>132</v>
      </c>
      <c r="AE1729" s="1" t="s">
        <v>34746</v>
      </c>
      <c r="AF1729" s="7" t="str">
        <f>IFERROR(__xludf.DUMMYFUNCTION("GOOGLETRANSLATE(C1729, ""en"", ""sv"")"),"Monaco")</f>
        <v>Monaco</v>
      </c>
      <c r="AG1729" s="6" t="s">
        <v>132</v>
      </c>
      <c r="AH1729" s="7" t="str">
        <f>IFERROR(__xludf.DUMMYFUNCTION("GOOGLETRANSLATE(C1729, ""en"", ""tr"")"),"Monako")</f>
        <v>Monako</v>
      </c>
      <c r="AI1729" s="6" t="s">
        <v>132</v>
      </c>
      <c r="AJ1729" s="6" t="s">
        <v>132</v>
      </c>
      <c r="AK1729" s="7" t="str">
        <f>IFERROR(__xludf.DUMMYFUNCTION("GOOGLETRANSLATE(C1729, ""en"", ""zh"")"),"摩纳哥")</f>
        <v>摩纳哥</v>
      </c>
      <c r="AL1729" s="6" t="s">
        <v>132</v>
      </c>
    </row>
    <row r="1730" ht="15.75" hidden="1" customHeight="1">
      <c r="A1730" s="1" t="s">
        <v>38</v>
      </c>
      <c r="B1730" s="1" t="s">
        <v>34747</v>
      </c>
      <c r="C1730" s="1" t="s">
        <v>34748</v>
      </c>
      <c r="D1730" s="7" t="str">
        <f>IFERROR(__xludf.DUMMYFUNCTION("GOOGLETRANSLATE(C1730, ""en"", ""ar"")"),"قيرغيزستان")</f>
        <v>قيرغيزستان</v>
      </c>
      <c r="E1730" s="7" t="str">
        <f>IFERROR(__xludf.DUMMYFUNCTION("GOOGLETRANSLATE(C1730, ""en"", ""bg"")"),"Киргизстан")</f>
        <v>Киргизстан</v>
      </c>
      <c r="F1730" s="6" t="s">
        <v>132</v>
      </c>
      <c r="G1730" s="7" t="str">
        <f>IFERROR(__xludf.DUMMYFUNCTION("GOOGLETRANSLATE(C1730, ""en"", ""cs"")"),"Kyrgyzstán")</f>
        <v>Kyrgyzstán</v>
      </c>
      <c r="H1730" s="7" t="str">
        <f>IFERROR(__xludf.DUMMYFUNCTION("GOOGLETRANSLATE(C1730, ""en"", ""da"")"),"Kirgisistan.")</f>
        <v>Kirgisistan.</v>
      </c>
      <c r="I1730" s="1" t="s">
        <v>34749</v>
      </c>
      <c r="J1730" s="6" t="s">
        <v>132</v>
      </c>
      <c r="K1730" s="1" t="s">
        <v>34750</v>
      </c>
      <c r="L1730" s="7" t="str">
        <f>IFERROR(__xludf.DUMMYFUNCTION("GOOGLETRANSLATE(C1730, ""en"", ""fi"")"),"Kyrgyzstan")</f>
        <v>Kyrgyzstan</v>
      </c>
      <c r="M1730" s="1" t="s">
        <v>34751</v>
      </c>
      <c r="N1730" s="6" t="s">
        <v>132</v>
      </c>
      <c r="O1730" s="6" t="s">
        <v>132</v>
      </c>
      <c r="P1730" s="1" t="s">
        <v>34748</v>
      </c>
      <c r="Q1730" s="7" t="str">
        <f>IFERROR(__xludf.DUMMYFUNCTION("GOOGLETRANSLATE(C1730, ""en"", ""in"")"),"Kyrgyzstan.")</f>
        <v>Kyrgyzstan.</v>
      </c>
      <c r="R1730" s="7" t="str">
        <f>IFERROR(__xludf.DUMMYFUNCTION("GOOGLETRANSLATE(C1730, ""en"", ""it"")"),"Kirghizistan.")</f>
        <v>Kirghizistan.</v>
      </c>
      <c r="S1730" s="6" t="s">
        <v>132</v>
      </c>
      <c r="T1730" s="7" t="str">
        <f>IFERROR(__xludf.DUMMYFUNCTION("GOOGLETRANSLATE(C1730, ""en"", ""ja"")"),"キルギスタン")</f>
        <v>キルギスタン</v>
      </c>
      <c r="U1730" s="7" t="str">
        <f>IFERROR(__xludf.DUMMYFUNCTION("GOOGLETRANSLATE(C1730, ""en"", ""ko"")"),"키르기스스탄")</f>
        <v>키르기스스탄</v>
      </c>
      <c r="V1730" s="7" t="str">
        <f>IFERROR(__xludf.DUMMYFUNCTION("GOOGLETRANSLATE(C1730, ""en"", ""ms"")"),"Kyrgyzstan.")</f>
        <v>Kyrgyzstan.</v>
      </c>
      <c r="W1730" s="7" t="str">
        <f>IFERROR(__xludf.DUMMYFUNCTION("GOOGLETRANSLATE(C1730, ""en"", ""nl"")"),"Kirgizië")</f>
        <v>Kirgizië</v>
      </c>
      <c r="X1730" s="7" t="str">
        <f>IFERROR(__xludf.DUMMYFUNCTION("GOOGLETRANSLATE(C1730, ""en"", ""no"")"),"Kirgisistan.")</f>
        <v>Kirgisistan.</v>
      </c>
      <c r="Y1730" s="7" t="str">
        <f>IFERROR(__xludf.DUMMYFUNCTION("GOOGLETRANSLATE(C1730, ""en"", ""pl"")"),"Kirgistan")</f>
        <v>Kirgistan</v>
      </c>
      <c r="Z1730" s="7" t="str">
        <f>IFERROR(__xludf.DUMMYFUNCTION("GOOGLETRANSLATE(C1730, ""en"", ""pt"")"),"Quirguistão.")</f>
        <v>Quirguistão.</v>
      </c>
      <c r="AA1730" s="7" t="str">
        <f>IFERROR(__xludf.DUMMYFUNCTION("GOOGLETRANSLATE(C1730, ""en"", ""ro"")"),"Kârgâzstan.")</f>
        <v>Kârgâzstan.</v>
      </c>
      <c r="AB1730" s="1" t="s">
        <v>34752</v>
      </c>
      <c r="AC1730" s="7" t="str">
        <f>IFERROR(__xludf.DUMMYFUNCTION("GOOGLETRANSLATE(C1730, ""en"", ""sk"")"),"Kirgizsko")</f>
        <v>Kirgizsko</v>
      </c>
      <c r="AD1730" s="6" t="s">
        <v>132</v>
      </c>
      <c r="AE1730" s="1" t="s">
        <v>34753</v>
      </c>
      <c r="AF1730" s="7" t="str">
        <f>IFERROR(__xludf.DUMMYFUNCTION("GOOGLETRANSLATE(C1730, ""en"", ""sv"")"),"Kirgisista")</f>
        <v>Kirgisista</v>
      </c>
      <c r="AG1730" s="6" t="s">
        <v>132</v>
      </c>
      <c r="AH1730" s="7" t="str">
        <f>IFERROR(__xludf.DUMMYFUNCTION("GOOGLETRANSLATE(C1730, ""en"", ""tr"")"),"Kırgızistan")</f>
        <v>Kırgızistan</v>
      </c>
      <c r="AI1730" s="6" t="s">
        <v>132</v>
      </c>
      <c r="AJ1730" s="6" t="s">
        <v>132</v>
      </c>
      <c r="AK1730" s="7" t="str">
        <f>IFERROR(__xludf.DUMMYFUNCTION("GOOGLETRANSLATE(C1730, ""en"", ""zh"")"),"吉尔吉斯斯坦")</f>
        <v>吉尔吉斯斯坦</v>
      </c>
      <c r="AL1730" s="6" t="s">
        <v>132</v>
      </c>
    </row>
    <row r="1731" ht="15.75" hidden="1" customHeight="1">
      <c r="A1731" s="1" t="s">
        <v>38</v>
      </c>
      <c r="B1731" s="1" t="s">
        <v>34754</v>
      </c>
      <c r="C1731" s="1" t="s">
        <v>34755</v>
      </c>
      <c r="D1731" s="7" t="str">
        <f>IFERROR(__xludf.DUMMYFUNCTION("GOOGLETRANSLATE(C1731, ""en"", ""ar"")"),"زامبيا")</f>
        <v>زامبيا</v>
      </c>
      <c r="E1731" s="7" t="str">
        <f>IFERROR(__xludf.DUMMYFUNCTION("GOOGLETRANSLATE(C1731, ""en"", ""bg"")"),"Замбия")</f>
        <v>Замбия</v>
      </c>
      <c r="F1731" s="6" t="s">
        <v>132</v>
      </c>
      <c r="G1731" s="7" t="str">
        <f>IFERROR(__xludf.DUMMYFUNCTION("GOOGLETRANSLATE(C1731, ""en"", ""cs"")"),"Zambie")</f>
        <v>Zambie</v>
      </c>
      <c r="H1731" s="7" t="str">
        <f>IFERROR(__xludf.DUMMYFUNCTION("GOOGLETRANSLATE(C1731, ""en"", ""da"")"),"Zambia.")</f>
        <v>Zambia.</v>
      </c>
      <c r="I1731" s="1" t="s">
        <v>34756</v>
      </c>
      <c r="J1731" s="6" t="s">
        <v>132</v>
      </c>
      <c r="K1731" s="1" t="s">
        <v>34755</v>
      </c>
      <c r="L1731" s="7" t="str">
        <f>IFERROR(__xludf.DUMMYFUNCTION("GOOGLETRANSLATE(C1731, ""en"", ""fi"")"),"Zambia")</f>
        <v>Zambia</v>
      </c>
      <c r="M1731" s="1" t="s">
        <v>34757</v>
      </c>
      <c r="N1731" s="6" t="s">
        <v>132</v>
      </c>
      <c r="O1731" s="6" t="s">
        <v>132</v>
      </c>
      <c r="P1731" s="1" t="s">
        <v>34755</v>
      </c>
      <c r="Q1731" s="7" t="str">
        <f>IFERROR(__xludf.DUMMYFUNCTION("GOOGLETRANSLATE(C1731, ""en"", ""in"")"),"Zambia.")</f>
        <v>Zambia.</v>
      </c>
      <c r="R1731" s="7" t="str">
        <f>IFERROR(__xludf.DUMMYFUNCTION("GOOGLETRANSLATE(C1731, ""en"", ""it"")"),"Zambia")</f>
        <v>Zambia</v>
      </c>
      <c r="S1731" s="6" t="s">
        <v>132</v>
      </c>
      <c r="T1731" s="7" t="str">
        <f>IFERROR(__xludf.DUMMYFUNCTION("GOOGLETRANSLATE(C1731, ""en"", ""ja"")"),"ザンビア")</f>
        <v>ザンビア</v>
      </c>
      <c r="U1731" s="7" t="str">
        <f>IFERROR(__xludf.DUMMYFUNCTION("GOOGLETRANSLATE(C1731, ""en"", ""ko"")"),"잠비아")</f>
        <v>잠비아</v>
      </c>
      <c r="V1731" s="7" t="str">
        <f>IFERROR(__xludf.DUMMYFUNCTION("GOOGLETRANSLATE(C1731, ""en"", ""ms"")"),"Zambia.")</f>
        <v>Zambia.</v>
      </c>
      <c r="W1731" s="7" t="str">
        <f>IFERROR(__xludf.DUMMYFUNCTION("GOOGLETRANSLATE(C1731, ""en"", ""nl"")"),"Zambia")</f>
        <v>Zambia</v>
      </c>
      <c r="X1731" s="7" t="str">
        <f>IFERROR(__xludf.DUMMYFUNCTION("GOOGLETRANSLATE(C1731, ""en"", ""no"")"),"Zambia.")</f>
        <v>Zambia.</v>
      </c>
      <c r="Y1731" s="7" t="str">
        <f>IFERROR(__xludf.DUMMYFUNCTION("GOOGLETRANSLATE(C1731, ""en"", ""pl"")"),"Zambia")</f>
        <v>Zambia</v>
      </c>
      <c r="Z1731" s="7" t="str">
        <f>IFERROR(__xludf.DUMMYFUNCTION("GOOGLETRANSLATE(C1731, ""en"", ""pt"")"),"Zâmbia")</f>
        <v>Zâmbia</v>
      </c>
      <c r="AA1731" s="7" t="str">
        <f>IFERROR(__xludf.DUMMYFUNCTION("GOOGLETRANSLATE(C1731, ""en"", ""ro"")"),"Zambia.")</f>
        <v>Zambia.</v>
      </c>
      <c r="AB1731" s="1" t="s">
        <v>34758</v>
      </c>
      <c r="AC1731" s="7" t="str">
        <f>IFERROR(__xludf.DUMMYFUNCTION("GOOGLETRANSLATE(C1731, ""en"", ""sk"")"),"Zambia")</f>
        <v>Zambia</v>
      </c>
      <c r="AD1731" s="6" t="s">
        <v>132</v>
      </c>
      <c r="AE1731" s="1" t="s">
        <v>34759</v>
      </c>
      <c r="AF1731" s="7" t="str">
        <f>IFERROR(__xludf.DUMMYFUNCTION("GOOGLETRANSLATE(C1731, ""en"", ""sv"")"),"Zambia")</f>
        <v>Zambia</v>
      </c>
      <c r="AG1731" s="6" t="s">
        <v>132</v>
      </c>
      <c r="AH1731" s="7" t="str">
        <f>IFERROR(__xludf.DUMMYFUNCTION("GOOGLETRANSLATE(C1731, ""en"", ""tr"")"),"Zambiya")</f>
        <v>Zambiya</v>
      </c>
      <c r="AI1731" s="6" t="s">
        <v>132</v>
      </c>
      <c r="AJ1731" s="6" t="s">
        <v>132</v>
      </c>
      <c r="AK1731" s="7" t="str">
        <f>IFERROR(__xludf.DUMMYFUNCTION("GOOGLETRANSLATE(C1731, ""en"", ""zh"")"),"赞比亚")</f>
        <v>赞比亚</v>
      </c>
      <c r="AL1731" s="6" t="s">
        <v>132</v>
      </c>
    </row>
    <row r="1732" ht="15.75" customHeight="1">
      <c r="A1732" s="1" t="s">
        <v>127</v>
      </c>
      <c r="B1732" s="1" t="s">
        <v>34760</v>
      </c>
      <c r="C1732" s="1" t="s">
        <v>34761</v>
      </c>
      <c r="D1732" s="8" t="s">
        <v>34762</v>
      </c>
      <c r="E1732" s="1" t="s">
        <v>34763</v>
      </c>
      <c r="F1732" s="6" t="s">
        <v>132</v>
      </c>
      <c r="G1732" s="1" t="s">
        <v>34764</v>
      </c>
      <c r="H1732" s="1" t="s">
        <v>34765</v>
      </c>
      <c r="I1732" s="1" t="s">
        <v>34766</v>
      </c>
      <c r="J1732" s="6" t="s">
        <v>34767</v>
      </c>
      <c r="K1732" s="1" t="s">
        <v>34768</v>
      </c>
      <c r="L1732" s="1" t="s">
        <v>34769</v>
      </c>
      <c r="M1732" s="1" t="s">
        <v>34770</v>
      </c>
      <c r="N1732" s="6" t="s">
        <v>132</v>
      </c>
      <c r="O1732" s="6" t="s">
        <v>34771</v>
      </c>
      <c r="P1732" s="1" t="s">
        <v>34772</v>
      </c>
      <c r="Q1732" s="1" t="s">
        <v>34773</v>
      </c>
      <c r="R1732" s="1" t="s">
        <v>34774</v>
      </c>
      <c r="S1732" s="10" t="s">
        <v>34775</v>
      </c>
      <c r="T1732" s="1" t="s">
        <v>34776</v>
      </c>
      <c r="U1732" s="1" t="s">
        <v>34777</v>
      </c>
      <c r="V1732" s="1" t="s">
        <v>34773</v>
      </c>
      <c r="W1732" s="1" t="s">
        <v>34778</v>
      </c>
      <c r="X1732" s="1" t="s">
        <v>34779</v>
      </c>
      <c r="Y1732" s="1" t="s">
        <v>34780</v>
      </c>
      <c r="Z1732" s="1" t="s">
        <v>34781</v>
      </c>
      <c r="AA1732" s="1" t="s">
        <v>34782</v>
      </c>
      <c r="AB1732" s="1" t="s">
        <v>34783</v>
      </c>
      <c r="AC1732" s="1" t="s">
        <v>34784</v>
      </c>
      <c r="AD1732" s="6" t="s">
        <v>34785</v>
      </c>
      <c r="AE1732" s="1" t="s">
        <v>34786</v>
      </c>
      <c r="AF1732" s="1" t="s">
        <v>34787</v>
      </c>
      <c r="AG1732" s="6" t="s">
        <v>34788</v>
      </c>
      <c r="AH1732" s="1" t="s">
        <v>34789</v>
      </c>
      <c r="AI1732" s="6" t="s">
        <v>132</v>
      </c>
      <c r="AJ1732" s="6" t="s">
        <v>34790</v>
      </c>
      <c r="AK1732" s="1" t="s">
        <v>34791</v>
      </c>
      <c r="AL1732" s="6" t="s">
        <v>132</v>
      </c>
    </row>
    <row r="1733" ht="15.75" customHeight="1">
      <c r="A1733" s="1" t="s">
        <v>127</v>
      </c>
      <c r="B1733" s="1" t="s">
        <v>34792</v>
      </c>
      <c r="C1733" s="1" t="s">
        <v>34793</v>
      </c>
      <c r="D1733" s="8" t="s">
        <v>34794</v>
      </c>
      <c r="E1733" s="1" t="s">
        <v>34795</v>
      </c>
      <c r="F1733" s="6" t="s">
        <v>132</v>
      </c>
      <c r="G1733" s="7" t="str">
        <f>IFERROR(__xludf.DUMMYFUNCTION("GOOGLETRANSLATE(C1733, ""en"", ""cs"")"),"Technické zprávy")</f>
        <v>Technické zprávy</v>
      </c>
      <c r="H1733" s="1" t="s">
        <v>34796</v>
      </c>
      <c r="I1733" s="1" t="s">
        <v>34793</v>
      </c>
      <c r="J1733" s="6" t="s">
        <v>34797</v>
      </c>
      <c r="K1733" s="1" t="s">
        <v>34798</v>
      </c>
      <c r="L1733" s="1" t="s">
        <v>34799</v>
      </c>
      <c r="M1733" s="1" t="s">
        <v>34793</v>
      </c>
      <c r="N1733" s="6" t="s">
        <v>132</v>
      </c>
      <c r="O1733" s="6" t="s">
        <v>34800</v>
      </c>
      <c r="P1733" s="1" t="s">
        <v>34793</v>
      </c>
      <c r="Q1733" s="1" t="s">
        <v>34801</v>
      </c>
      <c r="R1733" s="1" t="s">
        <v>34802</v>
      </c>
      <c r="S1733" s="10" t="s">
        <v>34803</v>
      </c>
      <c r="T1733" s="1" t="s">
        <v>34804</v>
      </c>
      <c r="U1733" s="1" t="s">
        <v>34805</v>
      </c>
      <c r="V1733" s="1" t="s">
        <v>34801</v>
      </c>
      <c r="W1733" s="1" t="s">
        <v>34806</v>
      </c>
      <c r="X1733" s="1" t="s">
        <v>34807</v>
      </c>
      <c r="Y1733" s="1" t="s">
        <v>34793</v>
      </c>
      <c r="Z1733" s="1" t="s">
        <v>34808</v>
      </c>
      <c r="AA1733" s="1" t="s">
        <v>34809</v>
      </c>
      <c r="AB1733" s="1" t="s">
        <v>34793</v>
      </c>
      <c r="AC1733" s="1" t="s">
        <v>34810</v>
      </c>
      <c r="AD1733" s="6" t="s">
        <v>34793</v>
      </c>
      <c r="AE1733" s="1" t="s">
        <v>34793</v>
      </c>
      <c r="AF1733" s="1" t="s">
        <v>34811</v>
      </c>
      <c r="AG1733" s="6" t="s">
        <v>34812</v>
      </c>
      <c r="AH1733" s="1" t="s">
        <v>34813</v>
      </c>
      <c r="AI1733" s="6" t="s">
        <v>132</v>
      </c>
      <c r="AJ1733" s="6" t="s">
        <v>34814</v>
      </c>
      <c r="AK1733" s="1" t="s">
        <v>34815</v>
      </c>
      <c r="AL1733" s="6" t="s">
        <v>132</v>
      </c>
    </row>
    <row r="1734" ht="15.75" customHeight="1">
      <c r="A1734" s="1" t="s">
        <v>127</v>
      </c>
      <c r="B1734" s="1" t="s">
        <v>34816</v>
      </c>
      <c r="C1734" s="1" t="s">
        <v>34817</v>
      </c>
      <c r="D1734" s="7" t="str">
        <f>IFERROR(__xludf.DUMMYFUNCTION("GOOGLETRANSLATE(C1734, ""en"", ""ar"")"),"عرض الوصف الكامل")</f>
        <v>عرض الوصف الكامل</v>
      </c>
      <c r="E1734" s="7" t="str">
        <f>IFERROR(__xludf.DUMMYFUNCTION("GOOGLETRANSLATE(C1734, ""en"", ""bg"")"),"Вижте пълното описание")</f>
        <v>Вижте пълното описание</v>
      </c>
      <c r="F1734" s="6" t="s">
        <v>132</v>
      </c>
      <c r="G1734" s="13" t="s">
        <v>34818</v>
      </c>
      <c r="H1734" s="1" t="s">
        <v>34819</v>
      </c>
      <c r="I1734" s="1" t="s">
        <v>34820</v>
      </c>
      <c r="J1734" s="6" t="s">
        <v>132</v>
      </c>
      <c r="K1734" s="7" t="str">
        <f>IFERROR(__xludf.DUMMYFUNCTION("GOOGLETRANSLATE(C1734, ""en"", ""es"")"),"Ver descripción completa")</f>
        <v>Ver descripción completa</v>
      </c>
      <c r="L1734" s="1" t="s">
        <v>34821</v>
      </c>
      <c r="M1734" s="1" t="s">
        <v>34822</v>
      </c>
      <c r="N1734" s="6" t="s">
        <v>132</v>
      </c>
      <c r="O1734" s="6" t="s">
        <v>132</v>
      </c>
      <c r="P1734" s="1" t="s">
        <v>34823</v>
      </c>
      <c r="Q1734" s="1" t="s">
        <v>34824</v>
      </c>
      <c r="R1734" s="1" t="s">
        <v>34825</v>
      </c>
      <c r="S1734" s="6" t="s">
        <v>132</v>
      </c>
      <c r="T1734" s="1" t="s">
        <v>34826</v>
      </c>
      <c r="U1734" s="7" t="str">
        <f>IFERROR(__xludf.DUMMYFUNCTION("GOOGLETRANSLATE(C1734, ""en"", ""ko"")"),"전체 설명을보십시오")</f>
        <v>전체 설명을보십시오</v>
      </c>
      <c r="V1734" s="1" t="s">
        <v>34827</v>
      </c>
      <c r="W1734" s="1" t="s">
        <v>34828</v>
      </c>
      <c r="X1734" s="1" t="s">
        <v>34829</v>
      </c>
      <c r="Y1734" s="11" t="s">
        <v>34830</v>
      </c>
      <c r="Z1734" s="1" t="s">
        <v>34831</v>
      </c>
      <c r="AA1734" s="7" t="str">
        <f>IFERROR(__xludf.DUMMYFUNCTION("GOOGLETRANSLATE(C1734, ""en"", ""ro"")"),"Vizualizați descrierea completă")</f>
        <v>Vizualizați descrierea completă</v>
      </c>
      <c r="AB1734" s="7" t="str">
        <f>IFERROR(__xludf.DUMMYFUNCTION("GOOGLETRANSLATE(C1734, ""en"", ""ru"")"),"Просмотр полного описания")</f>
        <v>Просмотр полного описания</v>
      </c>
      <c r="AC1734" s="7" t="str">
        <f>IFERROR(__xludf.DUMMYFUNCTION("GOOGLETRANSLATE(C1734, ""en"", ""sk"")"),"Zobraziť úplný opis")</f>
        <v>Zobraziť úplný opis</v>
      </c>
      <c r="AD1734" s="6" t="s">
        <v>132</v>
      </c>
      <c r="AE1734" s="7" t="str">
        <f>IFERROR(__xludf.DUMMYFUNCTION("GOOGLETRANSLATE(C1734, ""en"", ""sr"")"),"Погледајте пуни опис")</f>
        <v>Погледајте пуни опис</v>
      </c>
      <c r="AF1734" s="11" t="s">
        <v>34832</v>
      </c>
      <c r="AG1734" s="6" t="s">
        <v>132</v>
      </c>
      <c r="AH1734" s="1" t="s">
        <v>34833</v>
      </c>
      <c r="AI1734" s="6" t="s">
        <v>132</v>
      </c>
      <c r="AJ1734" s="6" t="s">
        <v>132</v>
      </c>
      <c r="AK1734" s="14" t="s">
        <v>34834</v>
      </c>
      <c r="AL1734" s="6" t="s">
        <v>132</v>
      </c>
    </row>
    <row r="1735" ht="15.75" customHeight="1">
      <c r="A1735" s="1" t="s">
        <v>127</v>
      </c>
      <c r="B1735" s="1" t="s">
        <v>34835</v>
      </c>
      <c r="C1735" s="1" t="s">
        <v>34836</v>
      </c>
      <c r="D1735" s="8" t="s">
        <v>34837</v>
      </c>
      <c r="E1735" s="1" t="s">
        <v>34838</v>
      </c>
      <c r="F1735" s="6" t="s">
        <v>132</v>
      </c>
      <c r="G1735" s="1" t="s">
        <v>34839</v>
      </c>
      <c r="H1735" s="1" t="s">
        <v>34840</v>
      </c>
      <c r="I1735" s="1" t="s">
        <v>34841</v>
      </c>
      <c r="J1735" s="6" t="s">
        <v>34842</v>
      </c>
      <c r="K1735" s="1" t="s">
        <v>34843</v>
      </c>
      <c r="L1735" s="1" t="s">
        <v>34844</v>
      </c>
      <c r="M1735" s="1" t="s">
        <v>34845</v>
      </c>
      <c r="N1735" s="6" t="s">
        <v>132</v>
      </c>
      <c r="O1735" s="6" t="s">
        <v>34846</v>
      </c>
      <c r="P1735" s="1" t="s">
        <v>34847</v>
      </c>
      <c r="Q1735" s="1" t="s">
        <v>34848</v>
      </c>
      <c r="R1735" s="1" t="s">
        <v>34849</v>
      </c>
      <c r="S1735" s="10" t="s">
        <v>34850</v>
      </c>
      <c r="T1735" s="1" t="s">
        <v>23480</v>
      </c>
      <c r="U1735" s="1" t="s">
        <v>34851</v>
      </c>
      <c r="V1735" s="1" t="s">
        <v>34852</v>
      </c>
      <c r="W1735" s="1" t="s">
        <v>34853</v>
      </c>
      <c r="X1735" s="1" t="s">
        <v>34854</v>
      </c>
      <c r="Y1735" s="1" t="s">
        <v>34855</v>
      </c>
      <c r="Z1735" s="1" t="s">
        <v>34856</v>
      </c>
      <c r="AA1735" s="1" t="s">
        <v>34857</v>
      </c>
      <c r="AB1735" s="1" t="s">
        <v>34858</v>
      </c>
      <c r="AC1735" s="1" t="s">
        <v>34859</v>
      </c>
      <c r="AD1735" s="6" t="s">
        <v>34860</v>
      </c>
      <c r="AE1735" s="1" t="s">
        <v>34836</v>
      </c>
      <c r="AF1735" s="1" t="s">
        <v>34861</v>
      </c>
      <c r="AG1735" s="6" t="s">
        <v>34862</v>
      </c>
      <c r="AH1735" s="1" t="s">
        <v>34863</v>
      </c>
      <c r="AI1735" s="6" t="s">
        <v>132</v>
      </c>
      <c r="AJ1735" s="6" t="s">
        <v>34864</v>
      </c>
      <c r="AK1735" s="1" t="s">
        <v>23494</v>
      </c>
      <c r="AL1735" s="6" t="s">
        <v>23495</v>
      </c>
    </row>
    <row r="1736" ht="15.75" customHeight="1">
      <c r="A1736" s="1" t="s">
        <v>127</v>
      </c>
      <c r="B1736" s="1" t="s">
        <v>34865</v>
      </c>
      <c r="C1736" s="1" t="s">
        <v>34866</v>
      </c>
      <c r="D1736" s="8" t="s">
        <v>34867</v>
      </c>
      <c r="E1736" s="1" t="s">
        <v>34868</v>
      </c>
      <c r="F1736" s="6" t="s">
        <v>132</v>
      </c>
      <c r="G1736" s="1" t="s">
        <v>34869</v>
      </c>
      <c r="H1736" s="1" t="s">
        <v>34870</v>
      </c>
      <c r="I1736" s="1" t="s">
        <v>34871</v>
      </c>
      <c r="J1736" s="6" t="s">
        <v>34872</v>
      </c>
      <c r="K1736" s="1" t="s">
        <v>34873</v>
      </c>
      <c r="L1736" s="1" t="s">
        <v>34874</v>
      </c>
      <c r="M1736" s="1" t="s">
        <v>34875</v>
      </c>
      <c r="N1736" s="6" t="s">
        <v>132</v>
      </c>
      <c r="O1736" s="6" t="s">
        <v>19687</v>
      </c>
      <c r="P1736" s="1" t="s">
        <v>34876</v>
      </c>
      <c r="Q1736" s="1" t="s">
        <v>19689</v>
      </c>
      <c r="R1736" s="1" t="s">
        <v>34877</v>
      </c>
      <c r="S1736" s="10" t="s">
        <v>34878</v>
      </c>
      <c r="T1736" s="1" t="s">
        <v>34879</v>
      </c>
      <c r="U1736" s="1" t="s">
        <v>19693</v>
      </c>
      <c r="V1736" s="1" t="s">
        <v>19694</v>
      </c>
      <c r="W1736" s="1" t="s">
        <v>34880</v>
      </c>
      <c r="X1736" s="1" t="s">
        <v>34881</v>
      </c>
      <c r="Y1736" s="1" t="s">
        <v>34882</v>
      </c>
      <c r="Z1736" s="1" t="s">
        <v>34883</v>
      </c>
      <c r="AA1736" s="1" t="s">
        <v>34884</v>
      </c>
      <c r="AB1736" s="1" t="s">
        <v>34885</v>
      </c>
      <c r="AC1736" s="1" t="s">
        <v>34886</v>
      </c>
      <c r="AD1736" s="6" t="s">
        <v>34887</v>
      </c>
      <c r="AE1736" s="1" t="s">
        <v>34888</v>
      </c>
      <c r="AF1736" s="1" t="s">
        <v>34889</v>
      </c>
      <c r="AG1736" s="6" t="s">
        <v>19705</v>
      </c>
      <c r="AH1736" s="1" t="s">
        <v>34890</v>
      </c>
      <c r="AI1736" s="6" t="s">
        <v>132</v>
      </c>
      <c r="AJ1736" s="6" t="s">
        <v>34891</v>
      </c>
      <c r="AK1736" s="1" t="s">
        <v>19708</v>
      </c>
      <c r="AL1736" s="6" t="s">
        <v>19709</v>
      </c>
    </row>
    <row r="1737" ht="15.75" customHeight="1">
      <c r="A1737" s="1" t="s">
        <v>127</v>
      </c>
      <c r="B1737" s="1" t="s">
        <v>34892</v>
      </c>
      <c r="C1737" s="1" t="s">
        <v>29789</v>
      </c>
      <c r="D1737" s="8" t="s">
        <v>29790</v>
      </c>
      <c r="E1737" s="1" t="s">
        <v>29791</v>
      </c>
      <c r="F1737" s="6" t="s">
        <v>132</v>
      </c>
      <c r="G1737" s="1" t="s">
        <v>29792</v>
      </c>
      <c r="H1737" s="1" t="s">
        <v>29793</v>
      </c>
      <c r="I1737" s="1" t="s">
        <v>29789</v>
      </c>
      <c r="J1737" s="6" t="s">
        <v>34893</v>
      </c>
      <c r="K1737" s="1" t="s">
        <v>29789</v>
      </c>
      <c r="L1737" s="1" t="s">
        <v>29796</v>
      </c>
      <c r="M1737" s="1" t="s">
        <v>29789</v>
      </c>
      <c r="N1737" s="6" t="s">
        <v>132</v>
      </c>
      <c r="O1737" s="6" t="s">
        <v>29797</v>
      </c>
      <c r="P1737" s="1" t="s">
        <v>29798</v>
      </c>
      <c r="Q1737" s="1" t="s">
        <v>29799</v>
      </c>
      <c r="R1737" s="1" t="s">
        <v>34894</v>
      </c>
      <c r="S1737" s="10" t="s">
        <v>34895</v>
      </c>
      <c r="T1737" s="1" t="s">
        <v>29802</v>
      </c>
      <c r="U1737" s="1" t="s">
        <v>29803</v>
      </c>
      <c r="V1737" s="1" t="s">
        <v>29799</v>
      </c>
      <c r="W1737" s="1" t="s">
        <v>29804</v>
      </c>
      <c r="X1737" s="1" t="s">
        <v>29805</v>
      </c>
      <c r="Y1737" s="1" t="s">
        <v>29806</v>
      </c>
      <c r="Z1737" s="1" t="s">
        <v>29807</v>
      </c>
      <c r="AA1737" s="1" t="s">
        <v>29808</v>
      </c>
      <c r="AB1737" s="1" t="s">
        <v>29809</v>
      </c>
      <c r="AC1737" s="1" t="s">
        <v>29810</v>
      </c>
      <c r="AD1737" s="6" t="s">
        <v>29811</v>
      </c>
      <c r="AE1737" s="1" t="s">
        <v>29812</v>
      </c>
      <c r="AF1737" s="1" t="s">
        <v>29813</v>
      </c>
      <c r="AG1737" s="6" t="s">
        <v>29814</v>
      </c>
      <c r="AH1737" s="1" t="s">
        <v>34896</v>
      </c>
      <c r="AI1737" s="6" t="s">
        <v>132</v>
      </c>
      <c r="AJ1737" s="6" t="s">
        <v>29816</v>
      </c>
      <c r="AK1737" s="1" t="s">
        <v>29817</v>
      </c>
      <c r="AL1737" s="6" t="s">
        <v>29818</v>
      </c>
    </row>
    <row r="1738" ht="15.75" customHeight="1">
      <c r="A1738" s="1" t="s">
        <v>127</v>
      </c>
      <c r="B1738" s="1" t="s">
        <v>34897</v>
      </c>
      <c r="C1738" s="1" t="s">
        <v>34898</v>
      </c>
      <c r="D1738" s="8" t="s">
        <v>34899</v>
      </c>
      <c r="E1738" s="1" t="s">
        <v>34900</v>
      </c>
      <c r="F1738" s="6" t="s">
        <v>132</v>
      </c>
      <c r="G1738" s="1" t="s">
        <v>34901</v>
      </c>
      <c r="H1738" s="1" t="s">
        <v>34902</v>
      </c>
      <c r="I1738" s="1" t="s">
        <v>34903</v>
      </c>
      <c r="J1738" s="6" t="s">
        <v>34904</v>
      </c>
      <c r="K1738" s="1" t="s">
        <v>34905</v>
      </c>
      <c r="L1738" s="1" t="s">
        <v>34906</v>
      </c>
      <c r="M1738" s="1" t="s">
        <v>34907</v>
      </c>
      <c r="N1738" s="6" t="s">
        <v>132</v>
      </c>
      <c r="O1738" s="6" t="s">
        <v>34908</v>
      </c>
      <c r="P1738" s="1" t="s">
        <v>34909</v>
      </c>
      <c r="Q1738" s="1" t="s">
        <v>34910</v>
      </c>
      <c r="R1738" s="1" t="s">
        <v>34911</v>
      </c>
      <c r="S1738" s="10" t="s">
        <v>34912</v>
      </c>
      <c r="T1738" s="1" t="s">
        <v>34913</v>
      </c>
      <c r="U1738" s="1" t="s">
        <v>34914</v>
      </c>
      <c r="V1738" s="1" t="s">
        <v>34915</v>
      </c>
      <c r="W1738" s="1" t="s">
        <v>34916</v>
      </c>
      <c r="X1738" s="1" t="s">
        <v>34917</v>
      </c>
      <c r="Y1738" s="1" t="s">
        <v>34918</v>
      </c>
      <c r="Z1738" s="1" t="s">
        <v>34919</v>
      </c>
      <c r="AA1738" s="1" t="s">
        <v>34920</v>
      </c>
      <c r="AB1738" s="1" t="s">
        <v>34921</v>
      </c>
      <c r="AC1738" s="1" t="s">
        <v>34922</v>
      </c>
      <c r="AD1738" s="6" t="s">
        <v>34923</v>
      </c>
      <c r="AE1738" s="1" t="s">
        <v>34924</v>
      </c>
      <c r="AF1738" s="1" t="s">
        <v>34925</v>
      </c>
      <c r="AG1738" s="6" t="s">
        <v>34926</v>
      </c>
      <c r="AH1738" s="1" t="s">
        <v>34927</v>
      </c>
      <c r="AI1738" s="6" t="s">
        <v>132</v>
      </c>
      <c r="AJ1738" s="6" t="s">
        <v>34928</v>
      </c>
      <c r="AK1738" s="1" t="s">
        <v>34929</v>
      </c>
      <c r="AL1738" s="6" t="s">
        <v>132</v>
      </c>
    </row>
    <row r="1739" ht="15.75" customHeight="1">
      <c r="A1739" s="1" t="s">
        <v>127</v>
      </c>
      <c r="B1739" s="1" t="s">
        <v>34930</v>
      </c>
      <c r="C1739" s="1" t="s">
        <v>34931</v>
      </c>
      <c r="D1739" s="8" t="s">
        <v>34932</v>
      </c>
      <c r="E1739" s="1" t="s">
        <v>34933</v>
      </c>
      <c r="F1739" s="6" t="s">
        <v>132</v>
      </c>
      <c r="G1739" s="1" t="s">
        <v>34934</v>
      </c>
      <c r="H1739" s="1" t="s">
        <v>34935</v>
      </c>
      <c r="I1739" s="1" t="s">
        <v>34936</v>
      </c>
      <c r="J1739" s="6" t="s">
        <v>34937</v>
      </c>
      <c r="K1739" s="1" t="s">
        <v>34938</v>
      </c>
      <c r="L1739" s="1" t="s">
        <v>34939</v>
      </c>
      <c r="M1739" s="1" t="s">
        <v>34940</v>
      </c>
      <c r="N1739" s="6" t="s">
        <v>132</v>
      </c>
      <c r="O1739" s="6" t="s">
        <v>34941</v>
      </c>
      <c r="P1739" s="1" t="s">
        <v>34931</v>
      </c>
      <c r="Q1739" s="1" t="s">
        <v>34942</v>
      </c>
      <c r="R1739" s="1" t="s">
        <v>34943</v>
      </c>
      <c r="S1739" s="10" t="s">
        <v>34944</v>
      </c>
      <c r="T1739" s="1" t="s">
        <v>34945</v>
      </c>
      <c r="U1739" s="1" t="s">
        <v>34946</v>
      </c>
      <c r="V1739" s="1" t="s">
        <v>34942</v>
      </c>
      <c r="W1739" s="1" t="s">
        <v>34947</v>
      </c>
      <c r="X1739" s="1" t="s">
        <v>34935</v>
      </c>
      <c r="Y1739" s="1" t="s">
        <v>34948</v>
      </c>
      <c r="Z1739" s="1" t="s">
        <v>34949</v>
      </c>
      <c r="AA1739" s="1" t="s">
        <v>34950</v>
      </c>
      <c r="AB1739" s="1" t="s">
        <v>34951</v>
      </c>
      <c r="AC1739" s="1" t="s">
        <v>34952</v>
      </c>
      <c r="AD1739" s="6" t="s">
        <v>34953</v>
      </c>
      <c r="AE1739" s="1" t="s">
        <v>34954</v>
      </c>
      <c r="AF1739" s="1" t="s">
        <v>34955</v>
      </c>
      <c r="AG1739" s="6" t="s">
        <v>34956</v>
      </c>
      <c r="AH1739" s="1" t="s">
        <v>34957</v>
      </c>
      <c r="AI1739" s="6" t="s">
        <v>132</v>
      </c>
      <c r="AJ1739" s="6" t="s">
        <v>34958</v>
      </c>
      <c r="AK1739" s="1" t="s">
        <v>34959</v>
      </c>
      <c r="AL1739" s="6" t="s">
        <v>132</v>
      </c>
    </row>
    <row r="1740" ht="15.75" hidden="1" customHeight="1">
      <c r="A1740" s="1" t="s">
        <v>38</v>
      </c>
      <c r="B1740" s="1" t="s">
        <v>34960</v>
      </c>
      <c r="C1740" s="1" t="s">
        <v>9520</v>
      </c>
      <c r="D1740" s="7" t="str">
        <f>IFERROR(__xludf.DUMMYFUNCTION("GOOGLETRANSLATE(C1740, ""en"", ""ar"")"),"تسمح")</f>
        <v>تسمح</v>
      </c>
      <c r="E1740" s="7" t="str">
        <f>IFERROR(__xludf.DUMMYFUNCTION("GOOGLETRANSLATE(C1740, ""en"", ""bg"")"),"Позволява")</f>
        <v>Позволява</v>
      </c>
      <c r="F1740" s="6" t="s">
        <v>132</v>
      </c>
      <c r="G1740" s="7" t="str">
        <f>IFERROR(__xludf.DUMMYFUNCTION("GOOGLETRANSLATE(C1740, ""en"", ""cs"")"),"Dovolit")</f>
        <v>Dovolit</v>
      </c>
      <c r="H1740" s="7" t="str">
        <f>IFERROR(__xludf.DUMMYFUNCTION("GOOGLETRANSLATE(C1740, ""en"", ""da"")"),"Give lov til")</f>
        <v>Give lov til</v>
      </c>
      <c r="I1740" s="1" t="s">
        <v>34961</v>
      </c>
      <c r="J1740" s="6" t="s">
        <v>132</v>
      </c>
      <c r="K1740" s="1" t="s">
        <v>9525</v>
      </c>
      <c r="L1740" s="7" t="str">
        <f>IFERROR(__xludf.DUMMYFUNCTION("GOOGLETRANSLATE(C1740, ""en"", ""fi"")"),"Sallia")</f>
        <v>Sallia</v>
      </c>
      <c r="M1740" s="1" t="s">
        <v>34962</v>
      </c>
      <c r="N1740" s="6" t="s">
        <v>132</v>
      </c>
      <c r="O1740" s="6" t="s">
        <v>132</v>
      </c>
      <c r="P1740" s="1" t="s">
        <v>25263</v>
      </c>
      <c r="Q1740" s="7" t="str">
        <f>IFERROR(__xludf.DUMMYFUNCTION("GOOGLETRANSLATE(C1740, ""en"", ""in"")"),"Mengizinkan")</f>
        <v>Mengizinkan</v>
      </c>
      <c r="R1740" s="7" t="str">
        <f>IFERROR(__xludf.DUMMYFUNCTION("GOOGLETRANSLATE(C1740, ""en"", ""it"")"),"permettere")</f>
        <v>permettere</v>
      </c>
      <c r="S1740" s="6" t="s">
        <v>132</v>
      </c>
      <c r="T1740" s="7" t="str">
        <f>IFERROR(__xludf.DUMMYFUNCTION("GOOGLETRANSLATE(C1740, ""en"", ""ja"")"),"allow")</f>
        <v>allow</v>
      </c>
      <c r="U1740" s="7" t="str">
        <f>IFERROR(__xludf.DUMMYFUNCTION("GOOGLETRANSLATE(C1740, ""en"", ""ko"")"),"허용하다")</f>
        <v>허용하다</v>
      </c>
      <c r="V1740" s="7" t="str">
        <f>IFERROR(__xludf.DUMMYFUNCTION("GOOGLETRANSLATE(C1740, ""en"", ""ms"")"),"Membenarkan")</f>
        <v>Membenarkan</v>
      </c>
      <c r="W1740" s="7" t="str">
        <f>IFERROR(__xludf.DUMMYFUNCTION("GOOGLETRANSLATE(C1740, ""en"", ""nl"")"),"Toestaan")</f>
        <v>Toestaan</v>
      </c>
      <c r="X1740" s="7" t="str">
        <f>IFERROR(__xludf.DUMMYFUNCTION("GOOGLETRANSLATE(C1740, ""en"", ""no"")"),"Tillate")</f>
        <v>Tillate</v>
      </c>
      <c r="Y1740" s="7" t="str">
        <f>IFERROR(__xludf.DUMMYFUNCTION("GOOGLETRANSLATE(C1740, ""en"", ""pl"")"),"Dopuszczać")</f>
        <v>Dopuszczać</v>
      </c>
      <c r="Z1740" s="7" t="str">
        <f>IFERROR(__xludf.DUMMYFUNCTION("GOOGLETRANSLATE(C1740, ""en"", ""pt"")"),"Permitir")</f>
        <v>Permitir</v>
      </c>
      <c r="AA1740" s="7" t="str">
        <f>IFERROR(__xludf.DUMMYFUNCTION("GOOGLETRANSLATE(C1740, ""en"", ""ro"")"),"Permite")</f>
        <v>Permite</v>
      </c>
      <c r="AB1740" s="1" t="s">
        <v>9533</v>
      </c>
      <c r="AC1740" s="7" t="str">
        <f>IFERROR(__xludf.DUMMYFUNCTION("GOOGLETRANSLATE(C1740, ""en"", ""sk"")"),"Povoliť")</f>
        <v>Povoliť</v>
      </c>
      <c r="AD1740" s="6" t="s">
        <v>132</v>
      </c>
      <c r="AE1740" s="1" t="s">
        <v>34963</v>
      </c>
      <c r="AF1740" s="7" t="str">
        <f>IFERROR(__xludf.DUMMYFUNCTION("GOOGLETRANSLATE(C1740, ""en"", ""sv"")"),"Tillåta")</f>
        <v>Tillåta</v>
      </c>
      <c r="AG1740" s="6" t="s">
        <v>132</v>
      </c>
      <c r="AH1740" s="7" t="str">
        <f>IFERROR(__xludf.DUMMYFUNCTION("GOOGLETRANSLATE(C1740, ""en"", ""tr"")"),"İzin vermek")</f>
        <v>İzin vermek</v>
      </c>
      <c r="AI1740" s="6" t="s">
        <v>132</v>
      </c>
      <c r="AJ1740" s="6" t="s">
        <v>132</v>
      </c>
      <c r="AK1740" s="7" t="str">
        <f>IFERROR(__xludf.DUMMYFUNCTION("GOOGLETRANSLATE(C1740, ""en"", ""zh"")"),"允许")</f>
        <v>允许</v>
      </c>
      <c r="AL1740" s="6" t="s">
        <v>132</v>
      </c>
    </row>
    <row r="1741" ht="15.75" hidden="1" customHeight="1">
      <c r="A1741" s="1" t="s">
        <v>38</v>
      </c>
      <c r="B1741" s="1" t="s">
        <v>34964</v>
      </c>
      <c r="C1741" s="1" t="s">
        <v>34965</v>
      </c>
      <c r="D1741" s="8" t="s">
        <v>34966</v>
      </c>
      <c r="E1741" s="1" t="s">
        <v>34967</v>
      </c>
      <c r="F1741" s="6" t="s">
        <v>34968</v>
      </c>
      <c r="G1741" s="7" t="str">
        <f>IFERROR(__xludf.DUMMYFUNCTION("GOOGLETRANSLATE(C1741, ""en"", ""cs"")"),"Zabezpečená konverzace")</f>
        <v>Zabezpečená konverzace</v>
      </c>
      <c r="H1741" s="7" t="str">
        <f>IFERROR(__xludf.DUMMYFUNCTION("GOOGLETRANSLATE(C1741, ""en"", ""da"")"),"Sikker samtale")</f>
        <v>Sikker samtale</v>
      </c>
      <c r="I1741" s="1" t="s">
        <v>34969</v>
      </c>
      <c r="J1741" s="6" t="s">
        <v>132</v>
      </c>
      <c r="K1741" s="1" t="s">
        <v>34970</v>
      </c>
      <c r="L1741" s="7" t="str">
        <f>IFERROR(__xludf.DUMMYFUNCTION("GOOGLETRANSLATE(C1741, ""en"", ""fi"")"),"Turvallinen keskustelu")</f>
        <v>Turvallinen keskustelu</v>
      </c>
      <c r="M1741" s="1" t="s">
        <v>34971</v>
      </c>
      <c r="N1741" s="6" t="s">
        <v>34968</v>
      </c>
      <c r="O1741" s="6" t="s">
        <v>132</v>
      </c>
      <c r="P1741" s="1" t="s">
        <v>34972</v>
      </c>
      <c r="Q1741" s="9" t="s">
        <v>34973</v>
      </c>
      <c r="R1741" s="1" t="s">
        <v>34974</v>
      </c>
      <c r="S1741" s="6" t="s">
        <v>132</v>
      </c>
      <c r="T1741" s="1" t="s">
        <v>34975</v>
      </c>
      <c r="U1741" s="1" t="s">
        <v>34976</v>
      </c>
      <c r="V1741" s="7" t="str">
        <f>IFERROR(__xludf.DUMMYFUNCTION("GOOGLETRANSLATE(C1741, ""en"", ""ms"")"),"Perbualan yang selamat")</f>
        <v>Perbualan yang selamat</v>
      </c>
      <c r="W1741" s="1" t="s">
        <v>34977</v>
      </c>
      <c r="X1741" s="7" t="str">
        <f>IFERROR(__xludf.DUMMYFUNCTION("GOOGLETRANSLATE(C1741, ""en"", ""no"")"),"Sikker samtale")</f>
        <v>Sikker samtale</v>
      </c>
      <c r="Y1741" s="1" t="s">
        <v>34978</v>
      </c>
      <c r="Z1741" s="1" t="s">
        <v>34968</v>
      </c>
      <c r="AA1741" s="7" t="str">
        <f>IFERROR(__xludf.DUMMYFUNCTION("GOOGLETRANSLATE(C1741, ""en"", ""ro"")"),"Conversație securizată")</f>
        <v>Conversație securizată</v>
      </c>
      <c r="AB1741" s="1" t="s">
        <v>34979</v>
      </c>
      <c r="AC1741" s="1" t="s">
        <v>34980</v>
      </c>
      <c r="AD1741" s="6" t="s">
        <v>132</v>
      </c>
      <c r="AE1741" s="1" t="s">
        <v>34981</v>
      </c>
      <c r="AF1741" s="1" t="s">
        <v>34982</v>
      </c>
      <c r="AG1741" s="6" t="s">
        <v>132</v>
      </c>
      <c r="AH1741" s="7" t="str">
        <f>IFERROR(__xludf.DUMMYFUNCTION("GOOGLETRANSLATE(C1741, ""en"", ""tr"")"),"Güvenli konuşma")</f>
        <v>Güvenli konuşma</v>
      </c>
      <c r="AI1741" s="6" t="s">
        <v>34983</v>
      </c>
      <c r="AJ1741" s="6" t="s">
        <v>34984</v>
      </c>
      <c r="AK1741" s="7" t="str">
        <f>IFERROR(__xludf.DUMMYFUNCTION("GOOGLETRANSLATE(C1741, ""en"", ""zh"")"),"安全对话")</f>
        <v>安全对话</v>
      </c>
      <c r="AL1741" s="6" t="s">
        <v>34985</v>
      </c>
    </row>
    <row r="1742" ht="15.75" hidden="1" customHeight="1">
      <c r="A1742" s="1" t="s">
        <v>38</v>
      </c>
      <c r="B1742" s="1" t="s">
        <v>34986</v>
      </c>
      <c r="C1742" s="1" t="s">
        <v>34987</v>
      </c>
      <c r="D1742" s="7" t="str">
        <f>IFERROR(__xludf.DUMMYFUNCTION("GOOGLETRANSLATE(C1742, ""en"", ""ar"")"),"أغلق هذه المحادثة")</f>
        <v>أغلق هذه المحادثة</v>
      </c>
      <c r="E1742" s="1" t="s">
        <v>34988</v>
      </c>
      <c r="F1742" s="6" t="s">
        <v>34989</v>
      </c>
      <c r="G1742" s="7" t="str">
        <f>IFERROR(__xludf.DUMMYFUNCTION("GOOGLETRANSLATE(C1742, ""en"", ""cs"")"),"Zavřít tuto konverzaci")</f>
        <v>Zavřít tuto konverzaci</v>
      </c>
      <c r="H1742" s="7" t="str">
        <f>IFERROR(__xludf.DUMMYFUNCTION("GOOGLETRANSLATE(C1742, ""en"", ""da"")"),"Luk denne samtale")</f>
        <v>Luk denne samtale</v>
      </c>
      <c r="I1742" s="1" t="s">
        <v>34990</v>
      </c>
      <c r="J1742" s="6" t="s">
        <v>132</v>
      </c>
      <c r="K1742" s="1" t="s">
        <v>34991</v>
      </c>
      <c r="L1742" s="7" t="str">
        <f>IFERROR(__xludf.DUMMYFUNCTION("GOOGLETRANSLATE(C1742, ""en"", ""fi"")"),"Sulje tämä keskustelu")</f>
        <v>Sulje tämä keskustelu</v>
      </c>
      <c r="M1742" s="7" t="str">
        <f>IFERROR(__xludf.DUMMYFUNCTION("GOOGLETRANSLATE(C1742, ""en"", ""fr"")"),"Fermer cette conversation")</f>
        <v>Fermer cette conversation</v>
      </c>
      <c r="N1742" s="6" t="s">
        <v>34992</v>
      </c>
      <c r="O1742" s="6" t="s">
        <v>132</v>
      </c>
      <c r="P1742" s="7" t="str">
        <f>IFERROR(__xludf.DUMMYFUNCTION("GOOGLETRANSLATE(C1742, ""en"", ""hu"")"),"Zárja be ezt a beszélgetést")</f>
        <v>Zárja be ezt a beszélgetést</v>
      </c>
      <c r="Q1742" s="7" t="str">
        <f>IFERROR(__xludf.DUMMYFUNCTION("GOOGLETRANSLATE(C1742, ""en"", ""in"")"),"Tutup percakapan ini")</f>
        <v>Tutup percakapan ini</v>
      </c>
      <c r="R1742" s="1" t="s">
        <v>34993</v>
      </c>
      <c r="S1742" s="6" t="s">
        <v>132</v>
      </c>
      <c r="T1742" s="7" t="str">
        <f>IFERROR(__xludf.DUMMYFUNCTION("GOOGLETRANSLATE(C1742, ""en"", ""ja"")"),"この会話を閉じます")</f>
        <v>この会話を閉じます</v>
      </c>
      <c r="U1742" s="7" t="str">
        <f>IFERROR(__xludf.DUMMYFUNCTION("GOOGLETRANSLATE(C1742, ""en"", ""ko"")"),"이 대화를 닫습니다")</f>
        <v>이 대화를 닫습니다</v>
      </c>
      <c r="V1742" s="7" t="str">
        <f>IFERROR(__xludf.DUMMYFUNCTION("GOOGLETRANSLATE(C1742, ""en"", ""ms"")"),"Tutup perbualan ini")</f>
        <v>Tutup perbualan ini</v>
      </c>
      <c r="W1742" s="1" t="s">
        <v>34994</v>
      </c>
      <c r="X1742" s="7" t="str">
        <f>IFERROR(__xludf.DUMMYFUNCTION("GOOGLETRANSLATE(C1742, ""en"", ""no"")"),"Lukk denne samtalen")</f>
        <v>Lukk denne samtalen</v>
      </c>
      <c r="Y1742" s="1" t="s">
        <v>34995</v>
      </c>
      <c r="Z1742" s="7" t="str">
        <f>IFERROR(__xludf.DUMMYFUNCTION("GOOGLETRANSLATE(C1742, ""en"", ""pt"")"),"Feche esta conversa")</f>
        <v>Feche esta conversa</v>
      </c>
      <c r="AA1742" s="7" t="str">
        <f>IFERROR(__xludf.DUMMYFUNCTION("GOOGLETRANSLATE(C1742, ""en"", ""ro"")"),"Închideți această conversație")</f>
        <v>Închideți această conversație</v>
      </c>
      <c r="AB1742" s="7" t="str">
        <f>IFERROR(__xludf.DUMMYFUNCTION("GOOGLETRANSLATE(C1742, ""en"", ""ru"")"),"Закройте этот разговор")</f>
        <v>Закройте этот разговор</v>
      </c>
      <c r="AC1742" s="7" t="str">
        <f>IFERROR(__xludf.DUMMYFUNCTION("GOOGLETRANSLATE(C1742, ""en"", ""sk"")"),"Zatvorte túto konverzáciu")</f>
        <v>Zatvorte túto konverzáciu</v>
      </c>
      <c r="AD1742" s="6" t="s">
        <v>132</v>
      </c>
      <c r="AE1742" s="7" t="str">
        <f>IFERROR(__xludf.DUMMYFUNCTION("GOOGLETRANSLATE(C1742, ""en"", ""sr"")"),"Затворите овај разговор")</f>
        <v>Затворите овај разговор</v>
      </c>
      <c r="AF1742" s="7" t="str">
        <f>IFERROR(__xludf.DUMMYFUNCTION("GOOGLETRANSLATE(C1742, ""en"", ""sv"")"),"Stäng denna konversation")</f>
        <v>Stäng denna konversation</v>
      </c>
      <c r="AG1742" s="6" t="s">
        <v>132</v>
      </c>
      <c r="AH1742" s="7" t="str">
        <f>IFERROR(__xludf.DUMMYFUNCTION("GOOGLETRANSLATE(C1742, ""en"", ""tr"")"),"Bu konuşmayı kapat")</f>
        <v>Bu konuşmayı kapat</v>
      </c>
      <c r="AI1742" s="6" t="s">
        <v>132</v>
      </c>
      <c r="AJ1742" s="6" t="s">
        <v>132</v>
      </c>
      <c r="AK1742" s="7" t="str">
        <f>IFERROR(__xludf.DUMMYFUNCTION("GOOGLETRANSLATE(C1742, ""en"", ""zh"")"),"关闭此谈话")</f>
        <v>关闭此谈话</v>
      </c>
      <c r="AL1742" s="6" t="s">
        <v>132</v>
      </c>
    </row>
    <row r="1743" ht="15.75" customHeight="1">
      <c r="A1743" s="1" t="s">
        <v>127</v>
      </c>
      <c r="B1743" s="1" t="s">
        <v>34996</v>
      </c>
      <c r="C1743" s="1" t="s">
        <v>852</v>
      </c>
      <c r="D1743" s="8" t="s">
        <v>853</v>
      </c>
      <c r="E1743" s="1" t="s">
        <v>854</v>
      </c>
      <c r="F1743" s="6" t="s">
        <v>132</v>
      </c>
      <c r="G1743" s="1" t="s">
        <v>855</v>
      </c>
      <c r="H1743" s="1" t="s">
        <v>856</v>
      </c>
      <c r="I1743" s="1" t="s">
        <v>857</v>
      </c>
      <c r="J1743" s="6" t="s">
        <v>858</v>
      </c>
      <c r="K1743" s="1" t="s">
        <v>859</v>
      </c>
      <c r="L1743" s="1" t="s">
        <v>860</v>
      </c>
      <c r="M1743" s="1" t="s">
        <v>11638</v>
      </c>
      <c r="N1743" s="6" t="s">
        <v>132</v>
      </c>
      <c r="O1743" s="6" t="s">
        <v>862</v>
      </c>
      <c r="P1743" s="1" t="s">
        <v>34997</v>
      </c>
      <c r="Q1743" s="1" t="s">
        <v>864</v>
      </c>
      <c r="R1743" s="1" t="s">
        <v>865</v>
      </c>
      <c r="S1743" s="10" t="s">
        <v>866</v>
      </c>
      <c r="T1743" s="1" t="s">
        <v>867</v>
      </c>
      <c r="U1743" s="1" t="s">
        <v>868</v>
      </c>
      <c r="V1743" s="1" t="s">
        <v>869</v>
      </c>
      <c r="W1743" s="1" t="s">
        <v>29645</v>
      </c>
      <c r="X1743" s="1" t="s">
        <v>856</v>
      </c>
      <c r="Y1743" s="1" t="s">
        <v>871</v>
      </c>
      <c r="Z1743" s="1" t="s">
        <v>872</v>
      </c>
      <c r="AA1743" s="1" t="s">
        <v>865</v>
      </c>
      <c r="AB1743" s="1" t="s">
        <v>873</v>
      </c>
      <c r="AC1743" s="1" t="s">
        <v>874</v>
      </c>
      <c r="AD1743" s="6" t="s">
        <v>865</v>
      </c>
      <c r="AE1743" s="1" t="s">
        <v>29645</v>
      </c>
      <c r="AF1743" s="1" t="s">
        <v>875</v>
      </c>
      <c r="AG1743" s="6" t="s">
        <v>876</v>
      </c>
      <c r="AH1743" s="1" t="s">
        <v>11641</v>
      </c>
      <c r="AI1743" s="6" t="s">
        <v>132</v>
      </c>
      <c r="AJ1743" s="6" t="s">
        <v>878</v>
      </c>
      <c r="AK1743" s="1" t="s">
        <v>879</v>
      </c>
      <c r="AL1743" s="6" t="s">
        <v>132</v>
      </c>
    </row>
    <row r="1744" ht="15.75" hidden="1" customHeight="1">
      <c r="A1744" s="1" t="s">
        <v>38</v>
      </c>
      <c r="B1744" s="1" t="s">
        <v>34998</v>
      </c>
      <c r="C1744" s="1" t="s">
        <v>34999</v>
      </c>
      <c r="D1744" s="8" t="s">
        <v>35000</v>
      </c>
      <c r="E1744" s="1" t="s">
        <v>35001</v>
      </c>
      <c r="F1744" s="6" t="s">
        <v>35002</v>
      </c>
      <c r="G1744" s="7" t="str">
        <f>IFERROR(__xludf.DUMMYFUNCTION("GOOGLETRANSLATE(C1744, ""en"", ""cs"")"),"Naposledy viděl% d před hodinami")</f>
        <v>Naposledy viděl% d před hodinami</v>
      </c>
      <c r="H1744" s="7" t="str">
        <f>IFERROR(__xludf.DUMMYFUNCTION("GOOGLETRANSLATE(C1744, ""en"", ""da"")"),"sidst set% d timener siden")</f>
        <v>sidst set% d timener siden</v>
      </c>
      <c r="I1744" s="1" t="s">
        <v>35003</v>
      </c>
      <c r="J1744" s="6" t="s">
        <v>132</v>
      </c>
      <c r="K1744" s="1" t="s">
        <v>35004</v>
      </c>
      <c r="L1744" s="7" t="str">
        <f>IFERROR(__xludf.DUMMYFUNCTION("GOOGLETRANSLATE(C1744, ""en"", ""fi"")"),"Viimeksi nähty% D tuntia sitten")</f>
        <v>Viimeksi nähty% D tuntia sitten</v>
      </c>
      <c r="M1744" s="1" t="s">
        <v>35005</v>
      </c>
      <c r="N1744" s="6" t="s">
        <v>35006</v>
      </c>
      <c r="O1744" s="6" t="s">
        <v>132</v>
      </c>
      <c r="P1744" s="1" t="s">
        <v>35007</v>
      </c>
      <c r="Q1744" s="9" t="s">
        <v>35008</v>
      </c>
      <c r="R1744" s="1" t="s">
        <v>35009</v>
      </c>
      <c r="S1744" s="6" t="s">
        <v>132</v>
      </c>
      <c r="T1744" s="1" t="s">
        <v>35010</v>
      </c>
      <c r="U1744" s="1" t="s">
        <v>35011</v>
      </c>
      <c r="V1744" s="7" t="str">
        <f>IFERROR(__xludf.DUMMYFUNCTION("GOOGLETRANSLATE(C1744, ""en"", ""ms"")"),"terakhir dilihat% d jam yang lalu")</f>
        <v>terakhir dilihat% d jam yang lalu</v>
      </c>
      <c r="W1744" s="1" t="s">
        <v>35012</v>
      </c>
      <c r="X1744" s="7" t="str">
        <f>IFERROR(__xludf.DUMMYFUNCTION("GOOGLETRANSLATE(C1744, ""en"", ""no"")"),"Sist sett% d timer siden")</f>
        <v>Sist sett% d timer siden</v>
      </c>
      <c r="Y1744" s="1" t="s">
        <v>35013</v>
      </c>
      <c r="Z1744" s="1" t="s">
        <v>35014</v>
      </c>
      <c r="AA1744" s="7" t="str">
        <f>IFERROR(__xludf.DUMMYFUNCTION("GOOGLETRANSLATE(C1744, ""en"", ""ro"")"),"ultima s-au văzut% d ore în urmă")</f>
        <v>ultima s-au văzut% d ore în urmă</v>
      </c>
      <c r="AB1744" s="1" t="s">
        <v>35015</v>
      </c>
      <c r="AC1744" s="1" t="s">
        <v>35016</v>
      </c>
      <c r="AD1744" s="6" t="s">
        <v>132</v>
      </c>
      <c r="AE1744" s="1" t="s">
        <v>35017</v>
      </c>
      <c r="AF1744" s="1" t="s">
        <v>35018</v>
      </c>
      <c r="AG1744" s="6" t="s">
        <v>132</v>
      </c>
      <c r="AH1744" s="7" t="str">
        <f>IFERROR(__xludf.DUMMYFUNCTION("GOOGLETRANSLATE(C1744, ""en"", ""tr"")"),"Son görülen% d saat önce")</f>
        <v>Son görülen% d saat önce</v>
      </c>
      <c r="AI1744" s="6" t="s">
        <v>35019</v>
      </c>
      <c r="AJ1744" s="6" t="s">
        <v>35020</v>
      </c>
      <c r="AK1744" s="7" t="str">
        <f>IFERROR(__xludf.DUMMYFUNCTION("GOOGLETRANSLATE(C1744, ""en"", ""zh"")"),"最后一次看到％d小时前")</f>
        <v>最后一次看到％d小时前</v>
      </c>
      <c r="AL1744" s="6" t="s">
        <v>35021</v>
      </c>
    </row>
    <row r="1745" ht="15.75" customHeight="1">
      <c r="A1745" s="1" t="s">
        <v>127</v>
      </c>
      <c r="B1745" s="1" t="s">
        <v>35022</v>
      </c>
      <c r="C1745" s="1" t="s">
        <v>35023</v>
      </c>
      <c r="D1745" s="8" t="s">
        <v>35024</v>
      </c>
      <c r="E1745" s="1" t="s">
        <v>35025</v>
      </c>
      <c r="F1745" s="6" t="s">
        <v>132</v>
      </c>
      <c r="G1745" s="1" t="s">
        <v>13948</v>
      </c>
      <c r="H1745" s="1" t="s">
        <v>35026</v>
      </c>
      <c r="I1745" s="1" t="s">
        <v>35027</v>
      </c>
      <c r="J1745" s="6" t="s">
        <v>35028</v>
      </c>
      <c r="K1745" s="1" t="s">
        <v>35029</v>
      </c>
      <c r="L1745" s="1" t="s">
        <v>35030</v>
      </c>
      <c r="M1745" s="1" t="s">
        <v>35031</v>
      </c>
      <c r="N1745" s="6" t="s">
        <v>132</v>
      </c>
      <c r="O1745" s="6" t="s">
        <v>13955</v>
      </c>
      <c r="P1745" s="1" t="s">
        <v>35032</v>
      </c>
      <c r="Q1745" s="1" t="s">
        <v>35033</v>
      </c>
      <c r="R1745" s="1" t="s">
        <v>35034</v>
      </c>
      <c r="S1745" s="10" t="s">
        <v>35035</v>
      </c>
      <c r="T1745" s="1" t="s">
        <v>13960</v>
      </c>
      <c r="U1745" s="1" t="s">
        <v>13961</v>
      </c>
      <c r="V1745" s="1" t="s">
        <v>13962</v>
      </c>
      <c r="W1745" s="1" t="s">
        <v>35036</v>
      </c>
      <c r="X1745" s="1" t="s">
        <v>35037</v>
      </c>
      <c r="Y1745" s="1" t="s">
        <v>35038</v>
      </c>
      <c r="Z1745" s="1" t="s">
        <v>35029</v>
      </c>
      <c r="AA1745" s="1" t="s">
        <v>35039</v>
      </c>
      <c r="AB1745" s="1" t="s">
        <v>35040</v>
      </c>
      <c r="AC1745" s="1" t="s">
        <v>35041</v>
      </c>
      <c r="AD1745" s="6" t="s">
        <v>35042</v>
      </c>
      <c r="AE1745" s="1" t="s">
        <v>35043</v>
      </c>
      <c r="AF1745" s="1" t="s">
        <v>35044</v>
      </c>
      <c r="AG1745" s="6" t="s">
        <v>13973</v>
      </c>
      <c r="AH1745" s="1" t="s">
        <v>13974</v>
      </c>
      <c r="AI1745" s="6" t="s">
        <v>132</v>
      </c>
      <c r="AJ1745" s="6" t="s">
        <v>13975</v>
      </c>
      <c r="AK1745" s="1" t="s">
        <v>13976</v>
      </c>
      <c r="AL1745" s="6" t="s">
        <v>13977</v>
      </c>
    </row>
    <row r="1746" ht="15.75" hidden="1" customHeight="1">
      <c r="A1746" s="1" t="s">
        <v>38</v>
      </c>
      <c r="B1746" s="1" t="s">
        <v>35045</v>
      </c>
      <c r="C1746" s="1" t="s">
        <v>35046</v>
      </c>
      <c r="D1746" s="8" t="s">
        <v>28594</v>
      </c>
      <c r="E1746" s="1" t="s">
        <v>28595</v>
      </c>
      <c r="F1746" s="6" t="s">
        <v>35047</v>
      </c>
      <c r="G1746" s="7" t="str">
        <f>IFERROR(__xludf.DUMMYFUNCTION("GOOGLETRANSLATE(C1746, ""en"", ""cs"")"),"Změnit heslo")</f>
        <v>Změnit heslo</v>
      </c>
      <c r="H1746" s="7" t="str">
        <f>IFERROR(__xludf.DUMMYFUNCTION("GOOGLETRANSLATE(C1746, ""en"", ""da"")"),"Skift kodeord")</f>
        <v>Skift kodeord</v>
      </c>
      <c r="I1746" s="1" t="s">
        <v>28598</v>
      </c>
      <c r="J1746" s="6" t="s">
        <v>132</v>
      </c>
      <c r="K1746" s="1" t="s">
        <v>28600</v>
      </c>
      <c r="L1746" s="7" t="str">
        <f>IFERROR(__xludf.DUMMYFUNCTION("GOOGLETRANSLATE(C1746, ""en"", ""fi"")"),"Vaihda salasana")</f>
        <v>Vaihda salasana</v>
      </c>
      <c r="M1746" s="1" t="s">
        <v>35048</v>
      </c>
      <c r="N1746" s="6" t="s">
        <v>35049</v>
      </c>
      <c r="O1746" s="6" t="s">
        <v>132</v>
      </c>
      <c r="P1746" s="1" t="s">
        <v>28604</v>
      </c>
      <c r="Q1746" s="9" t="s">
        <v>35050</v>
      </c>
      <c r="R1746" s="1" t="s">
        <v>28606</v>
      </c>
      <c r="S1746" s="6" t="s">
        <v>132</v>
      </c>
      <c r="T1746" s="1" t="s">
        <v>35051</v>
      </c>
      <c r="U1746" s="1" t="s">
        <v>35052</v>
      </c>
      <c r="V1746" s="7" t="str">
        <f>IFERROR(__xludf.DUMMYFUNCTION("GOOGLETRANSLATE(C1746, ""en"", ""ms"")"),"Tukar kata laluan")</f>
        <v>Tukar kata laluan</v>
      </c>
      <c r="W1746" s="1" t="s">
        <v>35053</v>
      </c>
      <c r="X1746" s="7" t="str">
        <f>IFERROR(__xludf.DUMMYFUNCTION("GOOGLETRANSLATE(C1746, ""en"", ""no"")"),"Bytt passord")</f>
        <v>Bytt passord</v>
      </c>
      <c r="Y1746" s="1" t="s">
        <v>28613</v>
      </c>
      <c r="Z1746" s="1" t="s">
        <v>35054</v>
      </c>
      <c r="AA1746" s="7" t="str">
        <f>IFERROR(__xludf.DUMMYFUNCTION("GOOGLETRANSLATE(C1746, ""en"", ""ro"")"),"Schimbați parola")</f>
        <v>Schimbați parola</v>
      </c>
      <c r="AB1746" s="1" t="s">
        <v>28616</v>
      </c>
      <c r="AC1746" s="1" t="s">
        <v>28617</v>
      </c>
      <c r="AD1746" s="6" t="s">
        <v>132</v>
      </c>
      <c r="AE1746" s="1" t="s">
        <v>35055</v>
      </c>
      <c r="AF1746" s="1" t="s">
        <v>35056</v>
      </c>
      <c r="AG1746" s="6" t="s">
        <v>132</v>
      </c>
      <c r="AH1746" s="7" t="str">
        <f>IFERROR(__xludf.DUMMYFUNCTION("GOOGLETRANSLATE(C1746, ""en"", ""tr"")"),"Şifre değiştir")</f>
        <v>Şifre değiştir</v>
      </c>
      <c r="AI1746" s="6" t="s">
        <v>35057</v>
      </c>
      <c r="AJ1746" s="6" t="s">
        <v>28623</v>
      </c>
      <c r="AK1746" s="7" t="str">
        <f>IFERROR(__xludf.DUMMYFUNCTION("GOOGLETRANSLATE(C1746, ""en"", ""zh"")"),"更改密码")</f>
        <v>更改密码</v>
      </c>
      <c r="AL1746" s="6" t="s">
        <v>35058</v>
      </c>
    </row>
    <row r="1747" ht="15.75" customHeight="1">
      <c r="A1747" s="1" t="s">
        <v>127</v>
      </c>
      <c r="B1747" s="1" t="s">
        <v>35059</v>
      </c>
      <c r="C1747" s="1" t="s">
        <v>35060</v>
      </c>
      <c r="D1747" s="8" t="s">
        <v>35061</v>
      </c>
      <c r="E1747" s="1" t="s">
        <v>35062</v>
      </c>
      <c r="F1747" s="6" t="s">
        <v>132</v>
      </c>
      <c r="G1747" s="1" t="s">
        <v>35063</v>
      </c>
      <c r="H1747" s="1" t="s">
        <v>35064</v>
      </c>
      <c r="I1747" s="1" t="s">
        <v>35065</v>
      </c>
      <c r="J1747" s="6" t="s">
        <v>35060</v>
      </c>
      <c r="K1747" s="1" t="s">
        <v>35066</v>
      </c>
      <c r="L1747" s="1" t="s">
        <v>35067</v>
      </c>
      <c r="M1747" s="1" t="s">
        <v>35068</v>
      </c>
      <c r="N1747" s="6" t="s">
        <v>132</v>
      </c>
      <c r="O1747" s="6" t="s">
        <v>35069</v>
      </c>
      <c r="P1747" s="1" t="s">
        <v>35070</v>
      </c>
      <c r="Q1747" s="1" t="s">
        <v>35071</v>
      </c>
      <c r="R1747" s="1" t="s">
        <v>35072</v>
      </c>
      <c r="S1747" s="10" t="s">
        <v>35073</v>
      </c>
      <c r="T1747" s="1" t="s">
        <v>35074</v>
      </c>
      <c r="U1747" s="1" t="s">
        <v>35075</v>
      </c>
      <c r="V1747" s="1" t="s">
        <v>35071</v>
      </c>
      <c r="W1747" s="1" t="s">
        <v>35076</v>
      </c>
      <c r="X1747" s="1" t="s">
        <v>35077</v>
      </c>
      <c r="Y1747" s="1" t="s">
        <v>35078</v>
      </c>
      <c r="Z1747" s="1" t="s">
        <v>35079</v>
      </c>
      <c r="AA1747" s="1" t="s">
        <v>35080</v>
      </c>
      <c r="AB1747" s="1" t="s">
        <v>35081</v>
      </c>
      <c r="AC1747" s="1" t="s">
        <v>35082</v>
      </c>
      <c r="AD1747" s="6" t="s">
        <v>35083</v>
      </c>
      <c r="AE1747" s="1" t="s">
        <v>35084</v>
      </c>
      <c r="AF1747" s="1" t="s">
        <v>35085</v>
      </c>
      <c r="AG1747" s="6" t="s">
        <v>35086</v>
      </c>
      <c r="AH1747" s="1" t="s">
        <v>35087</v>
      </c>
      <c r="AI1747" s="6" t="s">
        <v>132</v>
      </c>
      <c r="AJ1747" s="6" t="s">
        <v>35088</v>
      </c>
      <c r="AK1747" s="1" t="s">
        <v>35089</v>
      </c>
      <c r="AL1747" s="6" t="s">
        <v>35090</v>
      </c>
    </row>
    <row r="1748" ht="15.75" hidden="1" customHeight="1">
      <c r="A1748" s="1" t="s">
        <v>38</v>
      </c>
      <c r="B1748" s="1" t="s">
        <v>35091</v>
      </c>
      <c r="C1748" s="1" t="s">
        <v>35092</v>
      </c>
      <c r="D1748" s="7" t="str">
        <f>IFERROR(__xludf.DUMMYFUNCTION("GOOGLETRANSLATE(C1748, ""en"", ""ar"")"),"طاجيكستان")</f>
        <v>طاجيكستان</v>
      </c>
      <c r="E1748" s="7" t="str">
        <f>IFERROR(__xludf.DUMMYFUNCTION("GOOGLETRANSLATE(C1748, ""en"", ""bg"")"),"Таджикистан")</f>
        <v>Таджикистан</v>
      </c>
      <c r="F1748" s="6" t="s">
        <v>132</v>
      </c>
      <c r="G1748" s="7" t="str">
        <f>IFERROR(__xludf.DUMMYFUNCTION("GOOGLETRANSLATE(C1748, ""en"", ""cs"")"),"Tádžikistán")</f>
        <v>Tádžikistán</v>
      </c>
      <c r="H1748" s="7" t="str">
        <f>IFERROR(__xludf.DUMMYFUNCTION("GOOGLETRANSLATE(C1748, ""en"", ""da"")"),"Tadsjikistan.")</f>
        <v>Tadsjikistan.</v>
      </c>
      <c r="I1748" s="1" t="s">
        <v>35093</v>
      </c>
      <c r="J1748" s="6" t="s">
        <v>132</v>
      </c>
      <c r="K1748" s="1" t="s">
        <v>35094</v>
      </c>
      <c r="L1748" s="7" t="str">
        <f>IFERROR(__xludf.DUMMYFUNCTION("GOOGLETRANSLATE(C1748, ""en"", ""fi"")"),"Tadžikistan")</f>
        <v>Tadžikistan</v>
      </c>
      <c r="M1748" s="1" t="s">
        <v>35095</v>
      </c>
      <c r="N1748" s="6" t="s">
        <v>132</v>
      </c>
      <c r="O1748" s="6" t="s">
        <v>132</v>
      </c>
      <c r="P1748" s="1" t="s">
        <v>35092</v>
      </c>
      <c r="Q1748" s="7" t="str">
        <f>IFERROR(__xludf.DUMMYFUNCTION("GOOGLETRANSLATE(C1748, ""en"", ""in"")"),"Tajikistan.")</f>
        <v>Tajikistan.</v>
      </c>
      <c r="R1748" s="7" t="str">
        <f>IFERROR(__xludf.DUMMYFUNCTION("GOOGLETRANSLATE(C1748, ""en"", ""it"")"),"Tagikistan.")</f>
        <v>Tagikistan.</v>
      </c>
      <c r="S1748" s="6" t="s">
        <v>132</v>
      </c>
      <c r="T1748" s="7" t="str">
        <f>IFERROR(__xludf.DUMMYFUNCTION("GOOGLETRANSLATE(C1748, ""en"", ""ja"")"),"タジキスタン")</f>
        <v>タジキスタン</v>
      </c>
      <c r="U1748" s="7" t="str">
        <f>IFERROR(__xludf.DUMMYFUNCTION("GOOGLETRANSLATE(C1748, ""en"", ""ko"")"),"타지키스탄")</f>
        <v>타지키스탄</v>
      </c>
      <c r="V1748" s="7" t="str">
        <f>IFERROR(__xludf.DUMMYFUNCTION("GOOGLETRANSLATE(C1748, ""en"", ""ms"")"),"Tajikistan.")</f>
        <v>Tajikistan.</v>
      </c>
      <c r="W1748" s="7" t="str">
        <f>IFERROR(__xludf.DUMMYFUNCTION("GOOGLETRANSLATE(C1748, ""en"", ""nl"")"),"Tadzjikistan")</f>
        <v>Tadzjikistan</v>
      </c>
      <c r="X1748" s="7" t="str">
        <f>IFERROR(__xludf.DUMMYFUNCTION("GOOGLETRANSLATE(C1748, ""en"", ""no"")"),"Tadsjikistan")</f>
        <v>Tadsjikistan</v>
      </c>
      <c r="Y1748" s="7" t="str">
        <f>IFERROR(__xludf.DUMMYFUNCTION("GOOGLETRANSLATE(C1748, ""en"", ""pl"")"),"Tadżykistan")</f>
        <v>Tadżykistan</v>
      </c>
      <c r="Z1748" s="7" t="str">
        <f>IFERROR(__xludf.DUMMYFUNCTION("GOOGLETRANSLATE(C1748, ""en"", ""pt"")"),"Tajiquistão.")</f>
        <v>Tajiquistão.</v>
      </c>
      <c r="AA1748" s="7" t="str">
        <f>IFERROR(__xludf.DUMMYFUNCTION("GOOGLETRANSLATE(C1748, ""en"", ""ro"")"),"Tadjikistan.")</f>
        <v>Tadjikistan.</v>
      </c>
      <c r="AB1748" s="1" t="s">
        <v>35096</v>
      </c>
      <c r="AC1748" s="7" t="str">
        <f>IFERROR(__xludf.DUMMYFUNCTION("GOOGLETRANSLATE(C1748, ""en"", ""sk"")"),"Tadžikistan")</f>
        <v>Tadžikistan</v>
      </c>
      <c r="AD1748" s="6" t="s">
        <v>132</v>
      </c>
      <c r="AE1748" s="1" t="s">
        <v>35097</v>
      </c>
      <c r="AF1748" s="7" t="str">
        <f>IFERROR(__xludf.DUMMYFUNCTION("GOOGLETRANSLATE(C1748, ""en"", ""sv"")"),"Tadzjikistan")</f>
        <v>Tadzjikistan</v>
      </c>
      <c r="AG1748" s="6" t="s">
        <v>132</v>
      </c>
      <c r="AH1748" s="7" t="str">
        <f>IFERROR(__xludf.DUMMYFUNCTION("GOOGLETRANSLATE(C1748, ""en"", ""tr"")"),"Tacikistan")</f>
        <v>Tacikistan</v>
      </c>
      <c r="AI1748" s="6" t="s">
        <v>132</v>
      </c>
      <c r="AJ1748" s="6" t="s">
        <v>132</v>
      </c>
      <c r="AK1748" s="7" t="str">
        <f>IFERROR(__xludf.DUMMYFUNCTION("GOOGLETRANSLATE(C1748, ""en"", ""zh"")"),"塔吉克斯坦")</f>
        <v>塔吉克斯坦</v>
      </c>
      <c r="AL1748" s="6" t="s">
        <v>132</v>
      </c>
    </row>
    <row r="1749" ht="15.75" customHeight="1">
      <c r="A1749" s="1" t="s">
        <v>127</v>
      </c>
      <c r="B1749" s="1" t="s">
        <v>35098</v>
      </c>
      <c r="C1749" s="1" t="s">
        <v>35099</v>
      </c>
      <c r="D1749" s="8" t="s">
        <v>35100</v>
      </c>
      <c r="E1749" s="1" t="s">
        <v>35101</v>
      </c>
      <c r="F1749" s="6" t="s">
        <v>132</v>
      </c>
      <c r="G1749" s="1" t="s">
        <v>35102</v>
      </c>
      <c r="H1749" s="1" t="s">
        <v>35103</v>
      </c>
      <c r="I1749" s="1" t="s">
        <v>35104</v>
      </c>
      <c r="J1749" s="6" t="s">
        <v>35105</v>
      </c>
      <c r="K1749" s="1" t="s">
        <v>35106</v>
      </c>
      <c r="L1749" s="1" t="s">
        <v>35107</v>
      </c>
      <c r="M1749" s="1" t="s">
        <v>35108</v>
      </c>
      <c r="N1749" s="6" t="s">
        <v>132</v>
      </c>
      <c r="O1749" s="6" t="s">
        <v>35109</v>
      </c>
      <c r="P1749" s="1" t="s">
        <v>35110</v>
      </c>
      <c r="Q1749" s="1" t="s">
        <v>35111</v>
      </c>
      <c r="R1749" s="1" t="s">
        <v>35112</v>
      </c>
      <c r="S1749" s="10" t="s">
        <v>35113</v>
      </c>
      <c r="T1749" s="1" t="s">
        <v>35114</v>
      </c>
      <c r="U1749" s="1" t="s">
        <v>35115</v>
      </c>
      <c r="V1749" s="1" t="s">
        <v>35116</v>
      </c>
      <c r="W1749" s="1" t="s">
        <v>35117</v>
      </c>
      <c r="X1749" s="1" t="s">
        <v>35118</v>
      </c>
      <c r="Y1749" s="1" t="s">
        <v>35119</v>
      </c>
      <c r="Z1749" s="1" t="s">
        <v>35120</v>
      </c>
      <c r="AA1749" s="1" t="s">
        <v>35121</v>
      </c>
      <c r="AB1749" s="1" t="s">
        <v>35122</v>
      </c>
      <c r="AC1749" s="1" t="s">
        <v>35123</v>
      </c>
      <c r="AD1749" s="6" t="s">
        <v>35124</v>
      </c>
      <c r="AE1749" s="1" t="s">
        <v>35125</v>
      </c>
      <c r="AF1749" s="1" t="s">
        <v>35126</v>
      </c>
      <c r="AG1749" s="6" t="s">
        <v>35127</v>
      </c>
      <c r="AH1749" s="1" t="s">
        <v>35128</v>
      </c>
      <c r="AI1749" s="6" t="s">
        <v>132</v>
      </c>
      <c r="AJ1749" s="6" t="s">
        <v>35129</v>
      </c>
      <c r="AK1749" s="1" t="s">
        <v>35130</v>
      </c>
      <c r="AL1749" s="6" t="s">
        <v>35131</v>
      </c>
    </row>
    <row r="1750" ht="15.75" customHeight="1">
      <c r="A1750" s="1" t="s">
        <v>127</v>
      </c>
      <c r="B1750" s="1" t="s">
        <v>35132</v>
      </c>
      <c r="C1750" s="1" t="s">
        <v>35133</v>
      </c>
      <c r="D1750" s="8" t="s">
        <v>5448</v>
      </c>
      <c r="E1750" s="1" t="s">
        <v>5449</v>
      </c>
      <c r="F1750" s="6" t="s">
        <v>132</v>
      </c>
      <c r="G1750" s="1" t="s">
        <v>12178</v>
      </c>
      <c r="H1750" s="1" t="s">
        <v>35133</v>
      </c>
      <c r="I1750" s="1" t="s">
        <v>35133</v>
      </c>
      <c r="J1750" s="6" t="s">
        <v>35133</v>
      </c>
      <c r="K1750" s="1" t="s">
        <v>35134</v>
      </c>
      <c r="L1750" s="1" t="s">
        <v>19450</v>
      </c>
      <c r="M1750" s="1" t="s">
        <v>35134</v>
      </c>
      <c r="N1750" s="6" t="s">
        <v>132</v>
      </c>
      <c r="O1750" s="6" t="s">
        <v>35135</v>
      </c>
      <c r="P1750" s="1" t="s">
        <v>35136</v>
      </c>
      <c r="Q1750" s="1" t="s">
        <v>32127</v>
      </c>
      <c r="R1750" s="1" t="s">
        <v>35133</v>
      </c>
      <c r="S1750" s="6" t="s">
        <v>35133</v>
      </c>
      <c r="T1750" s="1" t="s">
        <v>35133</v>
      </c>
      <c r="U1750" s="1" t="s">
        <v>5463</v>
      </c>
      <c r="V1750" s="1" t="s">
        <v>32127</v>
      </c>
      <c r="W1750" s="1" t="s">
        <v>35133</v>
      </c>
      <c r="X1750" s="1" t="s">
        <v>35133</v>
      </c>
      <c r="Y1750" s="1" t="s">
        <v>12178</v>
      </c>
      <c r="Z1750" s="1" t="s">
        <v>35137</v>
      </c>
      <c r="AA1750" s="1" t="s">
        <v>35134</v>
      </c>
      <c r="AB1750" s="1" t="s">
        <v>35138</v>
      </c>
      <c r="AC1750" s="1" t="s">
        <v>35133</v>
      </c>
      <c r="AD1750" s="6" t="s">
        <v>35133</v>
      </c>
      <c r="AE1750" s="1" t="s">
        <v>12181</v>
      </c>
      <c r="AF1750" s="1" t="s">
        <v>19450</v>
      </c>
      <c r="AG1750" s="6" t="s">
        <v>5473</v>
      </c>
      <c r="AH1750" s="1" t="s">
        <v>6262</v>
      </c>
      <c r="AI1750" s="6" t="s">
        <v>132</v>
      </c>
      <c r="AJ1750" s="6" t="s">
        <v>12178</v>
      </c>
      <c r="AK1750" s="1" t="s">
        <v>5476</v>
      </c>
      <c r="AL1750" s="6" t="s">
        <v>5477</v>
      </c>
    </row>
    <row r="1751" ht="15.75" hidden="1" customHeight="1">
      <c r="A1751" s="1" t="s">
        <v>38</v>
      </c>
      <c r="B1751" s="1" t="s">
        <v>35139</v>
      </c>
      <c r="C1751" s="1" t="s">
        <v>35140</v>
      </c>
      <c r="D1751" s="8" t="s">
        <v>35141</v>
      </c>
      <c r="E1751" s="1" t="s">
        <v>35142</v>
      </c>
      <c r="F1751" s="6" t="s">
        <v>35143</v>
      </c>
      <c r="G1751" s="7" t="str">
        <f>IFERROR(__xludf.DUMMYFUNCTION("GOOGLETRANSLATE(C1751, ""en"", ""cs"")"),"Odeslat soukromou zprávu do% s")</f>
        <v>Odeslat soukromou zprávu do% s</v>
      </c>
      <c r="H1751" s="7" t="str">
        <f>IFERROR(__xludf.DUMMYFUNCTION("GOOGLETRANSLATE(C1751, ""en"", ""da"")"),"Send privat besked til% s")</f>
        <v>Send privat besked til% s</v>
      </c>
      <c r="I1751" s="1" t="s">
        <v>35144</v>
      </c>
      <c r="J1751" s="6" t="s">
        <v>132</v>
      </c>
      <c r="K1751" s="1" t="s">
        <v>35145</v>
      </c>
      <c r="L1751" s="7" t="str">
        <f>IFERROR(__xludf.DUMMYFUNCTION("GOOGLETRANSLATE(C1751, ""en"", ""fi"")"),"Lähetä yksityinen viesti% s")</f>
        <v>Lähetä yksityinen viesti% s</v>
      </c>
      <c r="M1751" s="1" t="s">
        <v>35146</v>
      </c>
      <c r="N1751" s="6" t="s">
        <v>35147</v>
      </c>
      <c r="O1751" s="6" t="s">
        <v>132</v>
      </c>
      <c r="P1751" s="1" t="s">
        <v>35148</v>
      </c>
      <c r="Q1751" s="9" t="s">
        <v>35149</v>
      </c>
      <c r="R1751" s="1" t="s">
        <v>35150</v>
      </c>
      <c r="S1751" s="6" t="s">
        <v>132</v>
      </c>
      <c r="T1751" s="1" t="s">
        <v>35151</v>
      </c>
      <c r="U1751" s="1" t="s">
        <v>35152</v>
      </c>
      <c r="V1751" s="7" t="str">
        <f>IFERROR(__xludf.DUMMYFUNCTION("GOOGLETRANSLATE(C1751, ""en"", ""ms"")"),"Hantar mesej peribadi kepada% s")</f>
        <v>Hantar mesej peribadi kepada% s</v>
      </c>
      <c r="W1751" s="1" t="s">
        <v>35153</v>
      </c>
      <c r="X1751" s="7" t="str">
        <f>IFERROR(__xludf.DUMMYFUNCTION("GOOGLETRANSLATE(C1751, ""en"", ""no"")"),"Send privat melding til% s")</f>
        <v>Send privat melding til% s</v>
      </c>
      <c r="Y1751" s="1" t="s">
        <v>35154</v>
      </c>
      <c r="Z1751" s="1" t="s">
        <v>35155</v>
      </c>
      <c r="AA1751" s="7" t="str">
        <f>IFERROR(__xludf.DUMMYFUNCTION("GOOGLETRANSLATE(C1751, ""en"", ""ro"")"),"Trimiteți un mesaj privat la% s")</f>
        <v>Trimiteți un mesaj privat la% s</v>
      </c>
      <c r="AB1751" s="1" t="s">
        <v>35156</v>
      </c>
      <c r="AC1751" s="1" t="s">
        <v>35157</v>
      </c>
      <c r="AD1751" s="6" t="s">
        <v>132</v>
      </c>
      <c r="AE1751" s="1" t="s">
        <v>35158</v>
      </c>
      <c r="AF1751" s="1" t="s">
        <v>35159</v>
      </c>
      <c r="AG1751" s="6" t="s">
        <v>132</v>
      </c>
      <c r="AH1751" s="7" t="str">
        <f>IFERROR(__xludf.DUMMYFUNCTION("GOOGLETRANSLATE(C1751, ""en"", ""tr"")"),"Özel mesaj gönder% S")</f>
        <v>Özel mesaj gönder% S</v>
      </c>
      <c r="AI1751" s="6" t="s">
        <v>35160</v>
      </c>
      <c r="AJ1751" s="6" t="s">
        <v>35161</v>
      </c>
      <c r="AK1751" s="7" t="str">
        <f>IFERROR(__xludf.DUMMYFUNCTION("GOOGLETRANSLATE(C1751, ""en"", ""zh"")"),"将私信发送到％s")</f>
        <v>将私信发送到％s</v>
      </c>
      <c r="AL1751" s="6" t="s">
        <v>35162</v>
      </c>
    </row>
    <row r="1752" ht="15.75" customHeight="1">
      <c r="A1752" s="1" t="s">
        <v>127</v>
      </c>
      <c r="B1752" s="1" t="s">
        <v>35163</v>
      </c>
      <c r="C1752" s="1" t="s">
        <v>29641</v>
      </c>
      <c r="D1752" s="8" t="s">
        <v>33157</v>
      </c>
      <c r="E1752" s="1" t="s">
        <v>29643</v>
      </c>
      <c r="F1752" s="6" t="s">
        <v>132</v>
      </c>
      <c r="G1752" s="1" t="s">
        <v>29644</v>
      </c>
      <c r="H1752" s="1" t="s">
        <v>29645</v>
      </c>
      <c r="I1752" s="1" t="s">
        <v>29646</v>
      </c>
      <c r="J1752" s="6" t="s">
        <v>29647</v>
      </c>
      <c r="K1752" s="1" t="s">
        <v>29648</v>
      </c>
      <c r="L1752" s="1" t="s">
        <v>29649</v>
      </c>
      <c r="M1752" s="1" t="s">
        <v>29650</v>
      </c>
      <c r="N1752" s="6" t="s">
        <v>132</v>
      </c>
      <c r="O1752" s="6" t="s">
        <v>29651</v>
      </c>
      <c r="P1752" s="1" t="s">
        <v>863</v>
      </c>
      <c r="Q1752" s="1" t="s">
        <v>864</v>
      </c>
      <c r="R1752" s="1" t="s">
        <v>29645</v>
      </c>
      <c r="S1752" s="10" t="s">
        <v>29652</v>
      </c>
      <c r="T1752" s="1" t="s">
        <v>867</v>
      </c>
      <c r="U1752" s="1" t="s">
        <v>868</v>
      </c>
      <c r="V1752" s="1" t="s">
        <v>869</v>
      </c>
      <c r="W1752" s="1" t="s">
        <v>29645</v>
      </c>
      <c r="X1752" s="1" t="s">
        <v>29645</v>
      </c>
      <c r="Y1752" s="1" t="s">
        <v>29653</v>
      </c>
      <c r="Z1752" s="1" t="s">
        <v>29654</v>
      </c>
      <c r="AA1752" s="1" t="s">
        <v>29655</v>
      </c>
      <c r="AB1752" s="1" t="s">
        <v>29656</v>
      </c>
      <c r="AC1752" s="1" t="s">
        <v>29657</v>
      </c>
      <c r="AD1752" s="6" t="s">
        <v>29645</v>
      </c>
      <c r="AE1752" s="1" t="s">
        <v>29645</v>
      </c>
      <c r="AF1752" s="1" t="s">
        <v>29645</v>
      </c>
      <c r="AG1752" s="6" t="s">
        <v>876</v>
      </c>
      <c r="AH1752" s="1" t="s">
        <v>29658</v>
      </c>
      <c r="AI1752" s="6" t="s">
        <v>132</v>
      </c>
      <c r="AJ1752" s="6" t="s">
        <v>878</v>
      </c>
      <c r="AK1752" s="1" t="s">
        <v>879</v>
      </c>
      <c r="AL1752" s="6" t="s">
        <v>132</v>
      </c>
    </row>
    <row r="1753" ht="15.75" hidden="1" customHeight="1">
      <c r="A1753" s="1" t="s">
        <v>38</v>
      </c>
      <c r="B1753" s="1" t="s">
        <v>35164</v>
      </c>
      <c r="C1753" s="1" t="s">
        <v>35165</v>
      </c>
      <c r="D1753" s="7" t="str">
        <f>IFERROR(__xludf.DUMMYFUNCTION("GOOGLETRANSLATE(C1753, ""en"", ""ar"")"),"طلب الرسائل القصيرة ...")</f>
        <v>طلب الرسائل القصيرة ...</v>
      </c>
      <c r="E1753" s="1" t="s">
        <v>35166</v>
      </c>
      <c r="F1753" s="6" t="s">
        <v>132</v>
      </c>
      <c r="G1753" s="7" t="str">
        <f>IFERROR(__xludf.DUMMYFUNCTION("GOOGLETRANSLATE(C1753, ""en"", ""cs"")"),"Žádající sms ...")</f>
        <v>Žádající sms ...</v>
      </c>
      <c r="H1753" s="7" t="str">
        <f>IFERROR(__xludf.DUMMYFUNCTION("GOOGLETRANSLATE(C1753, ""en"", ""da"")"),"Anmodning om SMS ...")</f>
        <v>Anmodning om SMS ...</v>
      </c>
      <c r="I1753" s="1" t="s">
        <v>35167</v>
      </c>
      <c r="J1753" s="6" t="s">
        <v>132</v>
      </c>
      <c r="K1753" s="1" t="s">
        <v>35168</v>
      </c>
      <c r="L1753" s="7" t="str">
        <f>IFERROR(__xludf.DUMMYFUNCTION("GOOGLETRANSLATE(C1753, ""en"", ""fi"")"),"Pyydetään tekstiviestejä ...")</f>
        <v>Pyydetään tekstiviestejä ...</v>
      </c>
      <c r="M1753" s="7" t="str">
        <f>IFERROR(__xludf.DUMMYFUNCTION("GOOGLETRANSLATE(C1753, ""en"", ""fr"")"),"Demander des SMS ...")</f>
        <v>Demander des SMS ...</v>
      </c>
      <c r="N1753" s="6" t="s">
        <v>35169</v>
      </c>
      <c r="O1753" s="6" t="s">
        <v>132</v>
      </c>
      <c r="P1753" s="1" t="s">
        <v>35170</v>
      </c>
      <c r="Q1753" s="7" t="str">
        <f>IFERROR(__xludf.DUMMYFUNCTION("GOOGLETRANSLATE(C1753, ""en"", ""in"")"),"Meminta SMS ...")</f>
        <v>Meminta SMS ...</v>
      </c>
      <c r="R1753" s="1" t="s">
        <v>35171</v>
      </c>
      <c r="S1753" s="6" t="s">
        <v>132</v>
      </c>
      <c r="T1753" s="1" t="s">
        <v>35172</v>
      </c>
      <c r="U1753" s="7" t="str">
        <f>IFERROR(__xludf.DUMMYFUNCTION("GOOGLETRANSLATE(C1753, ""en"", ""ko"")"),"SMS 요청 ...")</f>
        <v>SMS 요청 ...</v>
      </c>
      <c r="V1753" s="7" t="str">
        <f>IFERROR(__xludf.DUMMYFUNCTION("GOOGLETRANSLATE(C1753, ""en"", ""ms"")"),"Meminta SMS ...")</f>
        <v>Meminta SMS ...</v>
      </c>
      <c r="W1753" s="1" t="s">
        <v>35173</v>
      </c>
      <c r="X1753" s="7" t="str">
        <f>IFERROR(__xludf.DUMMYFUNCTION("GOOGLETRANSLATE(C1753, ""en"", ""no"")"),"Be om SMS ...")</f>
        <v>Be om SMS ...</v>
      </c>
      <c r="Y1753" s="1" t="s">
        <v>35174</v>
      </c>
      <c r="Z1753" s="7" t="str">
        <f>IFERROR(__xludf.DUMMYFUNCTION("GOOGLETRANSLATE(C1753, ""en"", ""pt"")"),"Solicitando SMS ...")</f>
        <v>Solicitando SMS ...</v>
      </c>
      <c r="AA1753" s="7" t="str">
        <f>IFERROR(__xludf.DUMMYFUNCTION("GOOGLETRANSLATE(C1753, ""en"", ""ro"")"),"Solicitarea SMS ...")</f>
        <v>Solicitarea SMS ...</v>
      </c>
      <c r="AB1753" s="7" t="str">
        <f>IFERROR(__xludf.DUMMYFUNCTION("GOOGLETRANSLATE(C1753, ""en"", ""ru"")"),"Запрос SMS ...")</f>
        <v>Запрос SMS ...</v>
      </c>
      <c r="AC1753" s="7" t="str">
        <f>IFERROR(__xludf.DUMMYFUNCTION("GOOGLETRANSLATE(C1753, ""en"", ""sk"")"),"Žiadajte SMS ...")</f>
        <v>Žiadajte SMS ...</v>
      </c>
      <c r="AD1753" s="6" t="s">
        <v>132</v>
      </c>
      <c r="AE1753" s="7" t="str">
        <f>IFERROR(__xludf.DUMMYFUNCTION("GOOGLETRANSLATE(C1753, ""en"", ""sr"")"),"Тражење СМС-а ...")</f>
        <v>Тражење СМС-а ...</v>
      </c>
      <c r="AF1753" s="7" t="str">
        <f>IFERROR(__xludf.DUMMYFUNCTION("GOOGLETRANSLATE(C1753, ""en"", ""sv"")"),"Begär SMS ...")</f>
        <v>Begär SMS ...</v>
      </c>
      <c r="AG1753" s="6" t="s">
        <v>132</v>
      </c>
      <c r="AH1753" s="7" t="str">
        <f>IFERROR(__xludf.DUMMYFUNCTION("GOOGLETRANSLATE(C1753, ""en"", ""tr"")"),"SMS İstiyor ...")</f>
        <v>SMS İstiyor ...</v>
      </c>
      <c r="AI1753" s="6" t="s">
        <v>132</v>
      </c>
      <c r="AJ1753" s="6" t="s">
        <v>132</v>
      </c>
      <c r="AK1753" s="7" t="str">
        <f>IFERROR(__xludf.DUMMYFUNCTION("GOOGLETRANSLATE(C1753, ""en"", ""zh"")"),"请求短信......")</f>
        <v>请求短信......</v>
      </c>
      <c r="AL1753" s="6" t="s">
        <v>132</v>
      </c>
    </row>
    <row r="1754" ht="15.75" hidden="1" customHeight="1">
      <c r="A1754" s="1" t="s">
        <v>38</v>
      </c>
      <c r="B1754" s="1" t="s">
        <v>35175</v>
      </c>
      <c r="C1754" s="1" t="s">
        <v>35176</v>
      </c>
      <c r="D1754" s="8" t="s">
        <v>35177</v>
      </c>
      <c r="E1754" s="1" t="s">
        <v>35178</v>
      </c>
      <c r="F1754" s="6" t="s">
        <v>35179</v>
      </c>
      <c r="G1754" s="7" t="str">
        <f>IFERROR(__xludf.DUMMYFUNCTION("GOOGLETRANSLATE(C1754, ""en"", ""cs"")"),"Vedle baha chatu")</f>
        <v>Vedle baha chatu</v>
      </c>
      <c r="H1754" s="7" t="str">
        <f>IFERROR(__xludf.DUMMYFUNCTION("GOOGLETRANSLATE(C1754, ""en"", ""da"")"),"Ved siden af ​​Baha Chat")</f>
        <v>Ved siden af ​​Baha Chat</v>
      </c>
      <c r="I1754" s="1" t="s">
        <v>35180</v>
      </c>
      <c r="J1754" s="6" t="s">
        <v>132</v>
      </c>
      <c r="K1754" s="1" t="s">
        <v>35181</v>
      </c>
      <c r="L1754" s="7" t="str">
        <f>IFERROR(__xludf.DUMMYFUNCTION("GOOGLETRANSLATE(C1754, ""en"", ""fi"")"),"Baha Chatin vieressä")</f>
        <v>Baha Chatin vieressä</v>
      </c>
      <c r="M1754" s="1" t="s">
        <v>35182</v>
      </c>
      <c r="N1754" s="6" t="s">
        <v>35183</v>
      </c>
      <c r="O1754" s="6" t="s">
        <v>132</v>
      </c>
      <c r="P1754" s="1" t="s">
        <v>35184</v>
      </c>
      <c r="Q1754" s="7" t="str">
        <f>IFERROR(__xludf.DUMMYFUNCTION("GOOGLETRANSLATE(C1754, ""en"", ""in"")"),"Di sebelah Baha Chat")</f>
        <v>Di sebelah Baha Chat</v>
      </c>
      <c r="R1754" s="1" t="s">
        <v>35185</v>
      </c>
      <c r="S1754" s="6" t="s">
        <v>132</v>
      </c>
      <c r="T1754" s="1" t="s">
        <v>35186</v>
      </c>
      <c r="U1754" s="1" t="s">
        <v>35187</v>
      </c>
      <c r="V1754" s="7" t="str">
        <f>IFERROR(__xludf.DUMMYFUNCTION("GOOGLETRANSLATE(C1754, ""en"", ""ms"")"),"Di sebelah Baha Chat")</f>
        <v>Di sebelah Baha Chat</v>
      </c>
      <c r="W1754" s="1" t="s">
        <v>35188</v>
      </c>
      <c r="X1754" s="7" t="str">
        <f>IFERROR(__xludf.DUMMYFUNCTION("GOOGLETRANSLATE(C1754, ""en"", ""no"")"),"Ved siden av Baha Chat")</f>
        <v>Ved siden av Baha Chat</v>
      </c>
      <c r="Y1754" s="1" t="s">
        <v>35189</v>
      </c>
      <c r="Z1754" s="7" t="str">
        <f>IFERROR(__xludf.DUMMYFUNCTION("GOOGLETRANSLATE(C1754, ""en"", ""pt"")"),"Ao lado de Baha Chat Baha")</f>
        <v>Ao lado de Baha Chat Baha</v>
      </c>
      <c r="AA1754" s="7" t="str">
        <f>IFERROR(__xludf.DUMMYFUNCTION("GOOGLETRANSLATE(C1754, ""en"", ""ro"")"),"Lângă chat-ul Baha")</f>
        <v>Lângă chat-ul Baha</v>
      </c>
      <c r="AB1754" s="1" t="s">
        <v>35190</v>
      </c>
      <c r="AC1754" s="7" t="str">
        <f>IFERROR(__xludf.DUMMYFUNCTION("GOOGLETRANSLATE(C1754, ""en"", ""sk"")"),"Vedľa Baha Chat")</f>
        <v>Vedľa Baha Chat</v>
      </c>
      <c r="AD1754" s="6" t="s">
        <v>132</v>
      </c>
      <c r="AE1754" s="1" t="s">
        <v>35191</v>
      </c>
      <c r="AF1754" s="1" t="s">
        <v>35192</v>
      </c>
      <c r="AG1754" s="6" t="s">
        <v>132</v>
      </c>
      <c r="AH1754" s="13" t="s">
        <v>35193</v>
      </c>
      <c r="AI1754" s="6" t="s">
        <v>35194</v>
      </c>
      <c r="AJ1754" s="6" t="s">
        <v>132</v>
      </c>
      <c r="AK1754" s="7" t="str">
        <f>IFERROR(__xludf.DUMMYFUNCTION("GOOGLETRANSLATE(C1754, ""en"", ""zh"")"),"旁边的巴哈聊天")</f>
        <v>旁边的巴哈聊天</v>
      </c>
      <c r="AL1754" s="6" t="s">
        <v>35195</v>
      </c>
    </row>
    <row r="1755" ht="15.75" hidden="1" customHeight="1">
      <c r="A1755" s="1" t="s">
        <v>38</v>
      </c>
      <c r="B1755" s="1" t="s">
        <v>35196</v>
      </c>
      <c r="C1755" s="1" t="s">
        <v>20315</v>
      </c>
      <c r="D1755" s="7" t="str">
        <f>IFERROR(__xludf.DUMMYFUNCTION("GOOGLETRANSLATE(C1755, ""en"", ""ar"")"),"اتصال")</f>
        <v>اتصال</v>
      </c>
      <c r="E1755" s="7" t="str">
        <f>IFERROR(__xludf.DUMMYFUNCTION("GOOGLETRANSLATE(C1755, ""en"", ""bg"")"),"Контакт. \ T")</f>
        <v>Контакт. \ T</v>
      </c>
      <c r="F1755" s="6" t="s">
        <v>132</v>
      </c>
      <c r="G1755" s="7" t="str">
        <f>IFERROR(__xludf.DUMMYFUNCTION("GOOGLETRANSLATE(C1755, ""en"", ""cs"")"),"Kontakt")</f>
        <v>Kontakt</v>
      </c>
      <c r="H1755" s="7" t="str">
        <f>IFERROR(__xludf.DUMMYFUNCTION("GOOGLETRANSLATE(C1755, ""en"", ""da"")"),"Kontakt")</f>
        <v>Kontakt</v>
      </c>
      <c r="I1755" s="1" t="s">
        <v>20318</v>
      </c>
      <c r="J1755" s="6" t="s">
        <v>132</v>
      </c>
      <c r="K1755" s="1" t="s">
        <v>20319</v>
      </c>
      <c r="L1755" s="7" t="str">
        <f>IFERROR(__xludf.DUMMYFUNCTION("GOOGLETRANSLATE(C1755, ""en"", ""fi"")"),"Ottaa yhteyttä")</f>
        <v>Ottaa yhteyttä</v>
      </c>
      <c r="M1755" s="1" t="s">
        <v>20315</v>
      </c>
      <c r="N1755" s="6" t="s">
        <v>132</v>
      </c>
      <c r="O1755" s="6" t="s">
        <v>132</v>
      </c>
      <c r="P1755" s="1" t="s">
        <v>114</v>
      </c>
      <c r="Q1755" s="7" t="str">
        <f>IFERROR(__xludf.DUMMYFUNCTION("GOOGLETRANSLATE(C1755, ""en"", ""in"")"),"Kontak")</f>
        <v>Kontak</v>
      </c>
      <c r="R1755" s="7" t="str">
        <f>IFERROR(__xludf.DUMMYFUNCTION("GOOGLETRANSLATE(C1755, ""en"", ""it"")"),"Contatto")</f>
        <v>Contatto</v>
      </c>
      <c r="S1755" s="6" t="s">
        <v>132</v>
      </c>
      <c r="T1755" s="7" t="str">
        <f>IFERROR(__xludf.DUMMYFUNCTION("GOOGLETRANSLATE(C1755, ""en"", ""ja"")"),"連絡先")</f>
        <v>連絡先</v>
      </c>
      <c r="U1755" s="7" t="str">
        <f>IFERROR(__xludf.DUMMYFUNCTION("GOOGLETRANSLATE(C1755, ""en"", ""ko"")"),"접촉")</f>
        <v>접촉</v>
      </c>
      <c r="V1755" s="7" t="str">
        <f>IFERROR(__xludf.DUMMYFUNCTION("GOOGLETRANSLATE(C1755, ""en"", ""ms"")"),"Hubungi")</f>
        <v>Hubungi</v>
      </c>
      <c r="W1755" s="7" t="str">
        <f>IFERROR(__xludf.DUMMYFUNCTION("GOOGLETRANSLATE(C1755, ""en"", ""nl"")"),"Contact")</f>
        <v>Contact</v>
      </c>
      <c r="X1755" s="7" t="str">
        <f>IFERROR(__xludf.DUMMYFUNCTION("GOOGLETRANSLATE(C1755, ""en"", ""no"")"),"Ta kontakt med")</f>
        <v>Ta kontakt med</v>
      </c>
      <c r="Y1755" s="7" t="str">
        <f>IFERROR(__xludf.DUMMYFUNCTION("GOOGLETRANSLATE(C1755, ""en"", ""pl"")"),"Kontakt")</f>
        <v>Kontakt</v>
      </c>
      <c r="Z1755" s="7" t="str">
        <f>IFERROR(__xludf.DUMMYFUNCTION("GOOGLETRANSLATE(C1755, ""en"", ""pt"")"),"Contato")</f>
        <v>Contato</v>
      </c>
      <c r="AA1755" s="7" t="str">
        <f>IFERROR(__xludf.DUMMYFUNCTION("GOOGLETRANSLATE(C1755, ""en"", ""ro"")"),"a lua legatura")</f>
        <v>a lua legatura</v>
      </c>
      <c r="AB1755" s="1" t="s">
        <v>20316</v>
      </c>
      <c r="AC1755" s="7" t="str">
        <f>IFERROR(__xludf.DUMMYFUNCTION("GOOGLETRANSLATE(C1755, ""en"", ""sk"")"),"Kontakt")</f>
        <v>Kontakt</v>
      </c>
      <c r="AD1755" s="6" t="s">
        <v>132</v>
      </c>
      <c r="AE1755" s="1" t="s">
        <v>20318</v>
      </c>
      <c r="AF1755" s="7" t="str">
        <f>IFERROR(__xludf.DUMMYFUNCTION("GOOGLETRANSLATE(C1755, ""en"", ""sv"")"),"Kontakt")</f>
        <v>Kontakt</v>
      </c>
      <c r="AG1755" s="6" t="s">
        <v>132</v>
      </c>
      <c r="AH1755" s="7" t="str">
        <f>IFERROR(__xludf.DUMMYFUNCTION("GOOGLETRANSLATE(C1755, ""en"", ""tr"")"),"İletişim")</f>
        <v>İletişim</v>
      </c>
      <c r="AI1755" s="6" t="s">
        <v>132</v>
      </c>
      <c r="AJ1755" s="6" t="s">
        <v>132</v>
      </c>
      <c r="AK1755" s="7" t="str">
        <f>IFERROR(__xludf.DUMMYFUNCTION("GOOGLETRANSLATE(C1755, ""en"", ""zh"")"),"接触")</f>
        <v>接触</v>
      </c>
      <c r="AL1755" s="6" t="s">
        <v>132</v>
      </c>
    </row>
    <row r="1756" ht="15.75" hidden="1" customHeight="1">
      <c r="A1756" s="1" t="s">
        <v>38</v>
      </c>
      <c r="B1756" s="1" t="s">
        <v>35197</v>
      </c>
      <c r="C1756" s="1" t="s">
        <v>35198</v>
      </c>
      <c r="D1756" s="7" t="str">
        <f>IFERROR(__xludf.DUMMYFUNCTION("GOOGLETRANSLATE(C1756, ""en"", ""ar"")"),"احذف الرسائل تلقائيا من هذا الجهاز الأقدم من الإطار الزمني الذي تم تكوينه.")</f>
        <v>احذف الرسائل تلقائيا من هذا الجهاز الأقدم من الإطار الزمني الذي تم تكوينه.</v>
      </c>
      <c r="E1756" s="1" t="s">
        <v>35199</v>
      </c>
      <c r="F1756" s="6" t="s">
        <v>35200</v>
      </c>
      <c r="G1756" s="7" t="str">
        <f>IFERROR(__xludf.DUMMYFUNCTION("GOOGLETRANSLATE(C1756, ""en"", ""cs"")"),"Automaticky odstranit zprávy z tohoto zařízení, které jsou starší než nakonfigurovaný časový rámec.")</f>
        <v>Automaticky odstranit zprávy z tohoto zařízení, které jsou starší než nakonfigurovaný časový rámec.</v>
      </c>
      <c r="H1756" s="7" t="str">
        <f>IFERROR(__xludf.DUMMYFUNCTION("GOOGLETRANSLATE(C1756, ""en"", ""da"")"),"Slet automatisk meddelelser fra denne enhed, der er ældre end den konfigurerede tidsramme.")</f>
        <v>Slet automatisk meddelelser fra denne enhed, der er ældre end den konfigurerede tidsramme.</v>
      </c>
      <c r="I1756" s="1" t="s">
        <v>35201</v>
      </c>
      <c r="J1756" s="6" t="s">
        <v>132</v>
      </c>
      <c r="K1756" s="1" t="s">
        <v>35202</v>
      </c>
      <c r="L1756" s="7" t="str">
        <f>IFERROR(__xludf.DUMMYFUNCTION("GOOGLETRANSLATE(C1756, ""en"", ""fi"")"),"Poista automaattisesti tämän laitteen viestit, jotka ovat vanhempia kuin konfiguroitu aikakehys.")</f>
        <v>Poista automaattisesti tämän laitteen viestit, jotka ovat vanhempia kuin konfiguroitu aikakehys.</v>
      </c>
      <c r="M1756" s="1" t="s">
        <v>35203</v>
      </c>
      <c r="N1756" s="6" t="s">
        <v>35204</v>
      </c>
      <c r="O1756" s="6" t="s">
        <v>132</v>
      </c>
      <c r="P1756" s="1" t="s">
        <v>35205</v>
      </c>
      <c r="Q1756" s="7" t="str">
        <f>IFERROR(__xludf.DUMMYFUNCTION("GOOGLETRANSLATE(C1756, ""en"", ""in"")"),"Secara otomatis menghapus pesan dari perangkat ini yang lebih tua dari bingkai waktu yang dikonfigurasi.")</f>
        <v>Secara otomatis menghapus pesan dari perangkat ini yang lebih tua dari bingkai waktu yang dikonfigurasi.</v>
      </c>
      <c r="R1756" s="1" t="s">
        <v>35206</v>
      </c>
      <c r="S1756" s="6" t="s">
        <v>132</v>
      </c>
      <c r="T1756" s="1" t="s">
        <v>35207</v>
      </c>
      <c r="U1756" s="1" t="s">
        <v>35208</v>
      </c>
      <c r="V1756" s="7" t="str">
        <f>IFERROR(__xludf.DUMMYFUNCTION("GOOGLETRANSLATE(C1756, ""en"", ""ms"")"),"Padamkan mesej secara automatik dari peranti ini yang lebih tua daripada bingkai masa yang dikonfigurasikan.")</f>
        <v>Padamkan mesej secara automatik dari peranti ini yang lebih tua daripada bingkai masa yang dikonfigurasikan.</v>
      </c>
      <c r="W1756" s="1" t="s">
        <v>35209</v>
      </c>
      <c r="X1756" s="7" t="str">
        <f>IFERROR(__xludf.DUMMYFUNCTION("GOOGLETRANSLATE(C1756, ""en"", ""no"")"),"Slett meldinger fra denne enheten som er eldre enn den konfigurerte tidsrammen.")</f>
        <v>Slett meldinger fra denne enheten som er eldre enn den konfigurerte tidsrammen.</v>
      </c>
      <c r="Y1756" s="1" t="s">
        <v>35210</v>
      </c>
      <c r="Z1756" s="7" t="str">
        <f>IFERROR(__xludf.DUMMYFUNCTION("GOOGLETRANSLATE(C1756, ""en"", ""pt"")"),"Excluir automaticamente mensagens deste dispositivo que são mais antigos que o período de tempo configurado.")</f>
        <v>Excluir automaticamente mensagens deste dispositivo que são mais antigos que o período de tempo configurado.</v>
      </c>
      <c r="AA1756" s="7" t="str">
        <f>IFERROR(__xludf.DUMMYFUNCTION("GOOGLETRANSLATE(C1756, ""en"", ""ro"")"),"Ștergeți automat mesajele de pe acest dispozitiv care sunt mai vechi decât intervalul de timp configurat.")</f>
        <v>Ștergeți automat mesajele de pe acest dispozitiv care sunt mai vechi decât intervalul de timp configurat.</v>
      </c>
      <c r="AB1756" s="1" t="s">
        <v>35211</v>
      </c>
      <c r="AC1756" s="7" t="str">
        <f>IFERROR(__xludf.DUMMYFUNCTION("GOOGLETRANSLATE(C1756, ""en"", ""sk"")"),"Automaticky vymažte správy z tohto zariadenia, ktoré sú staršie ako nakonfigurovaný časový rámec.")</f>
        <v>Automaticky vymažte správy z tohto zariadenia, ktoré sú staršie ako nakonfigurovaný časový rámec.</v>
      </c>
      <c r="AD1756" s="6" t="s">
        <v>132</v>
      </c>
      <c r="AE1756" s="1" t="s">
        <v>35212</v>
      </c>
      <c r="AF1756" s="1" t="s">
        <v>35213</v>
      </c>
      <c r="AG1756" s="6" t="s">
        <v>132</v>
      </c>
      <c r="AH1756" s="7" t="str">
        <f>IFERROR(__xludf.DUMMYFUNCTION("GOOGLETRANSLATE(C1756, ""en"", ""tr"")"),"Yapılandırılan zaman diliminden daha eski olan bu cihazdan mesajları otomatik olarak sil.")</f>
        <v>Yapılandırılan zaman diliminden daha eski olan bu cihazdan mesajları otomatik olarak sil.</v>
      </c>
      <c r="AI1756" s="6" t="s">
        <v>35214</v>
      </c>
      <c r="AJ1756" s="6" t="s">
        <v>132</v>
      </c>
      <c r="AK1756" s="7" t="str">
        <f>IFERROR(__xludf.DUMMYFUNCTION("GOOGLETRANSLATE(C1756, ""en"", ""zh"")"),"自动从此设备删除比已配置的时间框架更旧的消息。")</f>
        <v>自动从此设备删除比已配置的时间框架更旧的消息。</v>
      </c>
      <c r="AL1756" s="6" t="s">
        <v>35215</v>
      </c>
    </row>
    <row r="1757" ht="15.75" hidden="1" customHeight="1">
      <c r="A1757" s="1" t="s">
        <v>38</v>
      </c>
      <c r="B1757" s="1" t="s">
        <v>35216</v>
      </c>
      <c r="C1757" s="1" t="s">
        <v>35217</v>
      </c>
      <c r="D1757" s="7" t="str">
        <f>IFERROR(__xludf.DUMMYFUNCTION("GOOGLETRANSLATE(C1757, ""en"", ""ar"")"),"لاوس (لاو PDR)")</f>
        <v>لاوس (لاو PDR)</v>
      </c>
      <c r="E1757" s="7" t="str">
        <f>IFERROR(__xludf.DUMMYFUNCTION("GOOGLETRANSLATE(C1757, ""en"", ""bg"")"),"Лаос (Lao PDR)")</f>
        <v>Лаос (Lao PDR)</v>
      </c>
      <c r="F1757" s="6" t="s">
        <v>132</v>
      </c>
      <c r="G1757" s="7" t="str">
        <f>IFERROR(__xludf.DUMMYFUNCTION("GOOGLETRANSLATE(C1757, ""en"", ""cs"")"),"Laos (Lao PDR)")</f>
        <v>Laos (Lao PDR)</v>
      </c>
      <c r="H1757" s="7" t="str">
        <f>IFERROR(__xludf.DUMMYFUNCTION("GOOGLETRANSLATE(C1757, ""en"", ""da"")"),"Laos (Lao PDR)")</f>
        <v>Laos (Lao PDR)</v>
      </c>
      <c r="I1757" s="1" t="s">
        <v>35218</v>
      </c>
      <c r="J1757" s="6" t="s">
        <v>132</v>
      </c>
      <c r="K1757" s="1" t="s">
        <v>35218</v>
      </c>
      <c r="L1757" s="7" t="str">
        <f>IFERROR(__xludf.DUMMYFUNCTION("GOOGLETRANSLATE(C1757, ""en"", ""fi"")"),"Laos (Lao PDR)")</f>
        <v>Laos (Lao PDR)</v>
      </c>
      <c r="M1757" s="1" t="s">
        <v>35219</v>
      </c>
      <c r="N1757" s="6" t="s">
        <v>132</v>
      </c>
      <c r="O1757" s="6" t="s">
        <v>132</v>
      </c>
      <c r="P1757" s="1" t="s">
        <v>35217</v>
      </c>
      <c r="Q1757" s="7" t="str">
        <f>IFERROR(__xludf.DUMMYFUNCTION("GOOGLETRANSLATE(C1757, ""en"", ""in"")"),"Laos (Lao PDR)")</f>
        <v>Laos (Lao PDR)</v>
      </c>
      <c r="R1757" s="7" t="str">
        <f>IFERROR(__xludf.DUMMYFUNCTION("GOOGLETRANSLATE(C1757, ""en"", ""it"")"),"Laos (Lao PDR)")</f>
        <v>Laos (Lao PDR)</v>
      </c>
      <c r="S1757" s="6" t="s">
        <v>132</v>
      </c>
      <c r="T1757" s="7" t="str">
        <f>IFERROR(__xludf.DUMMYFUNCTION("GOOGLETRANSLATE(C1757, ""en"", ""ja"")"),"ラオス（ラオスPDR）")</f>
        <v>ラオス（ラオスPDR）</v>
      </c>
      <c r="U1757" s="7" t="str">
        <f>IFERROR(__xludf.DUMMYFUNCTION("GOOGLETRANSLATE(C1757, ""en"", ""ko"")"),"라오스 (LAO PDR)")</f>
        <v>라오스 (LAO PDR)</v>
      </c>
      <c r="V1757" s="7" t="str">
        <f>IFERROR(__xludf.DUMMYFUNCTION("GOOGLETRANSLATE(C1757, ""en"", ""ms"")"),"Laos (Lao PDR)")</f>
        <v>Laos (Lao PDR)</v>
      </c>
      <c r="W1757" s="7" t="str">
        <f>IFERROR(__xludf.DUMMYFUNCTION("GOOGLETRANSLATE(C1757, ""en"", ""nl"")"),"Laos (Lao PDR)")</f>
        <v>Laos (Lao PDR)</v>
      </c>
      <c r="X1757" s="7" t="str">
        <f>IFERROR(__xludf.DUMMYFUNCTION("GOOGLETRANSLATE(C1757, ""en"", ""no"")"),"Laos (Lao PDR)")</f>
        <v>Laos (Lao PDR)</v>
      </c>
      <c r="Y1757" s="7" t="str">
        <f>IFERROR(__xludf.DUMMYFUNCTION("GOOGLETRANSLATE(C1757, ""en"", ""pl"")"),"Laos (Lao PDR)")</f>
        <v>Laos (Lao PDR)</v>
      </c>
      <c r="Z1757" s="7" t="str">
        <f>IFERROR(__xludf.DUMMYFUNCTION("GOOGLETRANSLATE(C1757, ""en"", ""pt"")"),"Laos (Lao PDR)")</f>
        <v>Laos (Lao PDR)</v>
      </c>
      <c r="AA1757" s="7" t="str">
        <f>IFERROR(__xludf.DUMMYFUNCTION("GOOGLETRANSLATE(C1757, ""en"", ""ro"")"),"Laos (Lao PDR)")</f>
        <v>Laos (Lao PDR)</v>
      </c>
      <c r="AB1757" s="1" t="s">
        <v>35220</v>
      </c>
      <c r="AC1757" s="7" t="str">
        <f>IFERROR(__xludf.DUMMYFUNCTION("GOOGLETRANSLATE(C1757, ""en"", ""sk"")"),"Laos (Lao PDR)")</f>
        <v>Laos (Lao PDR)</v>
      </c>
      <c r="AD1757" s="6" t="s">
        <v>132</v>
      </c>
      <c r="AE1757" s="1" t="s">
        <v>35218</v>
      </c>
      <c r="AF1757" s="7" t="str">
        <f>IFERROR(__xludf.DUMMYFUNCTION("GOOGLETRANSLATE(C1757, ""en"", ""sv"")"),"Laos (Lao PDR)")</f>
        <v>Laos (Lao PDR)</v>
      </c>
      <c r="AG1757" s="6" t="s">
        <v>132</v>
      </c>
      <c r="AH1757" s="7" t="str">
        <f>IFERROR(__xludf.DUMMYFUNCTION("GOOGLETRANSLATE(C1757, ""en"", ""tr"")"),"Laos (Lao PDR)")</f>
        <v>Laos (Lao PDR)</v>
      </c>
      <c r="AI1757" s="6" t="s">
        <v>132</v>
      </c>
      <c r="AJ1757" s="6" t="s">
        <v>132</v>
      </c>
      <c r="AK1757" s="7" t="str">
        <f>IFERROR(__xludf.DUMMYFUNCTION("GOOGLETRANSLATE(C1757, ""en"", ""zh"")"),"老挝（老挝人民PDR）")</f>
        <v>老挝（老挝人民PDR）</v>
      </c>
      <c r="AL1757" s="6" t="s">
        <v>132</v>
      </c>
    </row>
    <row r="1758" ht="15.75" hidden="1" customHeight="1">
      <c r="A1758" s="1" t="s">
        <v>5830</v>
      </c>
      <c r="B1758" s="1" t="s">
        <v>35221</v>
      </c>
      <c r="C1758" s="12" t="s">
        <v>132</v>
      </c>
      <c r="D1758" s="7" t="str">
        <f>IFERROR(__xludf.DUMMYFUNCTION("GOOGLETRANSLATE(C1758, ""en"", ""ar"")"),"#VALUE!")</f>
        <v>#VALUE!</v>
      </c>
      <c r="E1758" s="7" t="str">
        <f>IFERROR(__xludf.DUMMYFUNCTION("GOOGLETRANSLATE(C1758, ""en"", ""bg"")"),"#VALUE!")</f>
        <v>#VALUE!</v>
      </c>
      <c r="F1758" s="6" t="s">
        <v>132</v>
      </c>
      <c r="G1758" s="7" t="str">
        <f>IFERROR(__xludf.DUMMYFUNCTION("GOOGLETRANSLATE(C1758, ""en"", ""cs"")"),"#VALUE!")</f>
        <v>#VALUE!</v>
      </c>
      <c r="H1758" s="7" t="str">
        <f>IFERROR(__xludf.DUMMYFUNCTION("GOOGLETRANSLATE(C1758, ""en"", ""da"")"),"#VALUE!")</f>
        <v>#VALUE!</v>
      </c>
      <c r="I1758" s="7" t="str">
        <f>IFERROR(__xludf.DUMMYFUNCTION("GOOGLETRANSLATE(C1758, ""en"", ""de"")"),"#VALUE!")</f>
        <v>#VALUE!</v>
      </c>
      <c r="J1758" s="6" t="s">
        <v>132</v>
      </c>
      <c r="K1758" s="7" t="str">
        <f>IFERROR(__xludf.DUMMYFUNCTION("GOOGLETRANSLATE(C1758, ""en"", ""es"")"),"#VALUE!")</f>
        <v>#VALUE!</v>
      </c>
      <c r="L1758" s="7" t="str">
        <f>IFERROR(__xludf.DUMMYFUNCTION("GOOGLETRANSLATE(C1758, ""en"", ""fi"")"),"#VALUE!")</f>
        <v>#VALUE!</v>
      </c>
      <c r="M1758" s="7" t="str">
        <f>IFERROR(__xludf.DUMMYFUNCTION("GOOGLETRANSLATE(C1758, ""en"", ""fr"")"),"#VALUE!")</f>
        <v>#VALUE!</v>
      </c>
      <c r="N1758" s="6" t="s">
        <v>132</v>
      </c>
      <c r="O1758" s="6" t="s">
        <v>132</v>
      </c>
      <c r="P1758" s="7" t="str">
        <f>IFERROR(__xludf.DUMMYFUNCTION("GOOGLETRANSLATE(C1758, ""en"", ""hu"")"),"#VALUE!")</f>
        <v>#VALUE!</v>
      </c>
      <c r="Q1758" s="7" t="str">
        <f>IFERROR(__xludf.DUMMYFUNCTION("GOOGLETRANSLATE(C1758, ""en"", ""in"")"),"#VALUE!")</f>
        <v>#VALUE!</v>
      </c>
      <c r="R1758" s="7" t="str">
        <f>IFERROR(__xludf.DUMMYFUNCTION("GOOGLETRANSLATE(C1758, ""en"", ""it"")"),"#VALUE!")</f>
        <v>#VALUE!</v>
      </c>
      <c r="S1758" s="6" t="s">
        <v>132</v>
      </c>
      <c r="T1758" s="7" t="str">
        <f>IFERROR(__xludf.DUMMYFUNCTION("GOOGLETRANSLATE(C1758, ""en"", ""ja"")"),"#VALUE!")</f>
        <v>#VALUE!</v>
      </c>
      <c r="U1758" s="7" t="str">
        <f>IFERROR(__xludf.DUMMYFUNCTION("GOOGLETRANSLATE(C1758, ""en"", ""ko"")"),"#VALUE!")</f>
        <v>#VALUE!</v>
      </c>
      <c r="V1758" s="7" t="str">
        <f>IFERROR(__xludf.DUMMYFUNCTION("GOOGLETRANSLATE(C1758, ""en"", ""ms"")"),"#VALUE!")</f>
        <v>#VALUE!</v>
      </c>
      <c r="W1758" s="7" t="str">
        <f>IFERROR(__xludf.DUMMYFUNCTION("GOOGLETRANSLATE(C1758, ""en"", ""nl"")"),"#VALUE!")</f>
        <v>#VALUE!</v>
      </c>
      <c r="X1758" s="7" t="str">
        <f>IFERROR(__xludf.DUMMYFUNCTION("GOOGLETRANSLATE(C1758, ""en"", ""no"")"),"#VALUE!")</f>
        <v>#VALUE!</v>
      </c>
      <c r="Y1758" s="7" t="str">
        <f>IFERROR(__xludf.DUMMYFUNCTION("GOOGLETRANSLATE(C1758, ""en"", ""pl"")"),"#VALUE!")</f>
        <v>#VALUE!</v>
      </c>
      <c r="Z1758" s="7" t="str">
        <f>IFERROR(__xludf.DUMMYFUNCTION("GOOGLETRANSLATE(C1758, ""en"", ""pt"")"),"#VALUE!")</f>
        <v>#VALUE!</v>
      </c>
      <c r="AA1758" s="7" t="str">
        <f>IFERROR(__xludf.DUMMYFUNCTION("GOOGLETRANSLATE(C1758, ""en"", ""ro"")"),"#VALUE!")</f>
        <v>#VALUE!</v>
      </c>
      <c r="AB1758" s="7" t="str">
        <f>IFERROR(__xludf.DUMMYFUNCTION("GOOGLETRANSLATE(C1758, ""en"", ""ru"")"),"#VALUE!")</f>
        <v>#VALUE!</v>
      </c>
      <c r="AC1758" s="7" t="str">
        <f>IFERROR(__xludf.DUMMYFUNCTION("GOOGLETRANSLATE(C1758, ""en"", ""sk"")"),"#VALUE!")</f>
        <v>#VALUE!</v>
      </c>
      <c r="AD1758" s="6" t="s">
        <v>132</v>
      </c>
      <c r="AE1758" s="7" t="str">
        <f>IFERROR(__xludf.DUMMYFUNCTION("GOOGLETRANSLATE(C1758, ""en"", ""sr"")"),"#VALUE!")</f>
        <v>#VALUE!</v>
      </c>
      <c r="AF1758" s="7" t="str">
        <f>IFERROR(__xludf.DUMMYFUNCTION("GOOGLETRANSLATE(C1758, ""en"", ""sv"")"),"#VALUE!")</f>
        <v>#VALUE!</v>
      </c>
      <c r="AG1758" s="6" t="s">
        <v>132</v>
      </c>
      <c r="AH1758" s="7" t="str">
        <f>IFERROR(__xludf.DUMMYFUNCTION("GOOGLETRANSLATE(C1758, ""en"", ""tr"")"),"#VALUE!")</f>
        <v>#VALUE!</v>
      </c>
      <c r="AI1758" s="6" t="s">
        <v>132</v>
      </c>
      <c r="AJ1758" s="6" t="s">
        <v>132</v>
      </c>
      <c r="AK1758" s="7" t="str">
        <f>IFERROR(__xludf.DUMMYFUNCTION("GOOGLETRANSLATE(C1758, ""en"", ""zh"")"),"#VALUE!")</f>
        <v>#VALUE!</v>
      </c>
      <c r="AL1758" s="6" t="s">
        <v>13037</v>
      </c>
    </row>
    <row r="1759" ht="15.75" hidden="1" customHeight="1">
      <c r="A1759" s="1" t="s">
        <v>38</v>
      </c>
      <c r="B1759" s="1" t="s">
        <v>35222</v>
      </c>
      <c r="C1759" s="1" t="s">
        <v>35223</v>
      </c>
      <c r="D1759" s="7" t="str">
        <f>IFERROR(__xludf.DUMMYFUNCTION("GOOGLETRANSLATE(C1759, ""en"", ""ar"")"),"مشاركة الصورة")</f>
        <v>مشاركة الصورة</v>
      </c>
      <c r="E1759" s="7" t="str">
        <f>IFERROR(__xludf.DUMMYFUNCTION("GOOGLETRANSLATE(C1759, ""en"", ""bg"")"),"Споделете образ")</f>
        <v>Споделете образ</v>
      </c>
      <c r="F1759" s="6" t="s">
        <v>132</v>
      </c>
      <c r="G1759" s="7" t="str">
        <f>IFERROR(__xludf.DUMMYFUNCTION("GOOGLETRANSLATE(C1759, ""en"", ""cs"")"),"Sdílení obrázku")</f>
        <v>Sdílení obrázku</v>
      </c>
      <c r="H1759" s="7" t="str">
        <f>IFERROR(__xludf.DUMMYFUNCTION("GOOGLETRANSLATE(C1759, ""en"", ""da"")"),"Del billede.")</f>
        <v>Del billede.</v>
      </c>
      <c r="I1759" s="1" t="s">
        <v>35224</v>
      </c>
      <c r="J1759" s="6" t="s">
        <v>132</v>
      </c>
      <c r="K1759" s="1" t="s">
        <v>35225</v>
      </c>
      <c r="L1759" s="7" t="str">
        <f>IFERROR(__xludf.DUMMYFUNCTION("GOOGLETRANSLATE(C1759, ""en"", ""fi"")"),"Jaa kuva")</f>
        <v>Jaa kuva</v>
      </c>
      <c r="M1759" s="1" t="s">
        <v>35226</v>
      </c>
      <c r="N1759" s="6" t="s">
        <v>132</v>
      </c>
      <c r="O1759" s="6" t="s">
        <v>132</v>
      </c>
      <c r="P1759" s="1" t="s">
        <v>35227</v>
      </c>
      <c r="Q1759" s="7" t="str">
        <f>IFERROR(__xludf.DUMMYFUNCTION("GOOGLETRANSLATE(C1759, ""en"", ""in"")"),"Bagikan Gambar.")</f>
        <v>Bagikan Gambar.</v>
      </c>
      <c r="R1759" s="13" t="s">
        <v>35228</v>
      </c>
      <c r="S1759" s="6" t="s">
        <v>132</v>
      </c>
      <c r="T1759" s="7" t="str">
        <f>IFERROR(__xludf.DUMMYFUNCTION("GOOGLETRANSLATE(C1759, ""en"", ""ja"")"),"画像を共有します")</f>
        <v>画像を共有します</v>
      </c>
      <c r="U1759" s="7" t="str">
        <f>IFERROR(__xludf.DUMMYFUNCTION("GOOGLETRANSLATE(C1759, ""en"", ""ko"")"),"이미지 공유")</f>
        <v>이미지 공유</v>
      </c>
      <c r="V1759" s="7" t="str">
        <f>IFERROR(__xludf.DUMMYFUNCTION("GOOGLETRANSLATE(C1759, ""en"", ""ms"")"),"Kongsi imej")</f>
        <v>Kongsi imej</v>
      </c>
      <c r="W1759" s="7" t="str">
        <f>IFERROR(__xludf.DUMMYFUNCTION("GOOGLETRANSLATE(C1759, ""en"", ""nl"")"),"Afbeelding delen")</f>
        <v>Afbeelding delen</v>
      </c>
      <c r="X1759" s="7" t="str">
        <f>IFERROR(__xludf.DUMMYFUNCTION("GOOGLETRANSLATE(C1759, ""en"", ""no"")"),"Del bilde")</f>
        <v>Del bilde</v>
      </c>
      <c r="Y1759" s="7" t="str">
        <f>IFERROR(__xludf.DUMMYFUNCTION("GOOGLETRANSLATE(C1759, ""en"", ""pl"")"),"Udostępnij obraz")</f>
        <v>Udostępnij obraz</v>
      </c>
      <c r="Z1759" s="7" t="str">
        <f>IFERROR(__xludf.DUMMYFUNCTION("GOOGLETRANSLATE(C1759, ""en"", ""pt"")"),"Compartilhar imagem.")</f>
        <v>Compartilhar imagem.</v>
      </c>
      <c r="AA1759" s="7" t="str">
        <f>IFERROR(__xludf.DUMMYFUNCTION("GOOGLETRANSLATE(C1759, ""en"", ""ro"")"),"Distribuiți imaginea")</f>
        <v>Distribuiți imaginea</v>
      </c>
      <c r="AB1759" s="1" t="s">
        <v>35229</v>
      </c>
      <c r="AC1759" s="7" t="str">
        <f>IFERROR(__xludf.DUMMYFUNCTION("GOOGLETRANSLATE(C1759, ""en"", ""sk"")"),"Zdieľať obrázok")</f>
        <v>Zdieľať obrázok</v>
      </c>
      <c r="AD1759" s="6" t="s">
        <v>132</v>
      </c>
      <c r="AE1759" s="1" t="s">
        <v>35230</v>
      </c>
      <c r="AF1759" s="7" t="str">
        <f>IFERROR(__xludf.DUMMYFUNCTION("GOOGLETRANSLATE(C1759, ""en"", ""sv"")"),"Dela bild")</f>
        <v>Dela bild</v>
      </c>
      <c r="AG1759" s="6" t="s">
        <v>132</v>
      </c>
      <c r="AH1759" s="7" t="str">
        <f>IFERROR(__xludf.DUMMYFUNCTION("GOOGLETRANSLATE(C1759, ""en"", ""tr"")"),"Fotoğraf paylaşmak")</f>
        <v>Fotoğraf paylaşmak</v>
      </c>
      <c r="AI1759" s="6" t="s">
        <v>132</v>
      </c>
      <c r="AJ1759" s="6" t="s">
        <v>132</v>
      </c>
      <c r="AK1759" s="7" t="str">
        <f>IFERROR(__xludf.DUMMYFUNCTION("GOOGLETRANSLATE(C1759, ""en"", ""zh"")"),"分享图像")</f>
        <v>分享图像</v>
      </c>
      <c r="AL1759" s="6" t="s">
        <v>132</v>
      </c>
    </row>
    <row r="1760" ht="15.75" customHeight="1">
      <c r="A1760" s="1" t="s">
        <v>127</v>
      </c>
      <c r="B1760" s="1" t="s">
        <v>35231</v>
      </c>
      <c r="C1760" s="1" t="s">
        <v>35232</v>
      </c>
      <c r="D1760" s="8" t="s">
        <v>35233</v>
      </c>
      <c r="E1760" s="1" t="s">
        <v>35234</v>
      </c>
      <c r="F1760" s="6" t="s">
        <v>132</v>
      </c>
      <c r="G1760" s="1" t="s">
        <v>35235</v>
      </c>
      <c r="H1760" s="1" t="s">
        <v>35236</v>
      </c>
      <c r="I1760" s="1" t="s">
        <v>35232</v>
      </c>
      <c r="J1760" s="6" t="s">
        <v>35237</v>
      </c>
      <c r="K1760" s="1" t="s">
        <v>35238</v>
      </c>
      <c r="L1760" s="1" t="s">
        <v>35239</v>
      </c>
      <c r="M1760" s="1" t="s">
        <v>35240</v>
      </c>
      <c r="N1760" s="6" t="s">
        <v>132</v>
      </c>
      <c r="O1760" s="6" t="s">
        <v>35241</v>
      </c>
      <c r="P1760" s="1" t="s">
        <v>35238</v>
      </c>
      <c r="Q1760" s="1" t="s">
        <v>35242</v>
      </c>
      <c r="R1760" s="1" t="s">
        <v>35240</v>
      </c>
      <c r="S1760" s="10" t="s">
        <v>35243</v>
      </c>
      <c r="T1760" s="1" t="s">
        <v>35244</v>
      </c>
      <c r="U1760" s="1" t="s">
        <v>35245</v>
      </c>
      <c r="V1760" s="1" t="s">
        <v>35242</v>
      </c>
      <c r="W1760" s="1" t="s">
        <v>35246</v>
      </c>
      <c r="X1760" s="1" t="s">
        <v>35240</v>
      </c>
      <c r="Y1760" s="1" t="s">
        <v>35247</v>
      </c>
      <c r="Z1760" s="1" t="s">
        <v>35248</v>
      </c>
      <c r="AA1760" s="1" t="s">
        <v>35249</v>
      </c>
      <c r="AB1760" s="1" t="s">
        <v>35232</v>
      </c>
      <c r="AC1760" s="1" t="s">
        <v>35250</v>
      </c>
      <c r="AD1760" s="6" t="s">
        <v>35251</v>
      </c>
      <c r="AE1760" s="1" t="s">
        <v>35238</v>
      </c>
      <c r="AF1760" s="1" t="s">
        <v>35240</v>
      </c>
      <c r="AG1760" s="6" t="s">
        <v>35240</v>
      </c>
      <c r="AH1760" s="1" t="s">
        <v>35252</v>
      </c>
      <c r="AI1760" s="6" t="s">
        <v>132</v>
      </c>
      <c r="AJ1760" s="6" t="s">
        <v>35253</v>
      </c>
      <c r="AK1760" s="1" t="s">
        <v>35254</v>
      </c>
      <c r="AL1760" s="6" t="s">
        <v>35255</v>
      </c>
    </row>
    <row r="1761" ht="15.75" hidden="1" customHeight="1">
      <c r="A1761" s="1" t="s">
        <v>38</v>
      </c>
      <c r="B1761" s="1" t="s">
        <v>35256</v>
      </c>
      <c r="C1761" s="1" t="s">
        <v>35257</v>
      </c>
      <c r="D1761" s="8" t="s">
        <v>35258</v>
      </c>
      <c r="E1761" s="1" t="s">
        <v>35259</v>
      </c>
      <c r="F1761" s="6" t="s">
        <v>35260</v>
      </c>
      <c r="G1761" s="7" t="str">
        <f>IFERROR(__xludf.DUMMYFUNCTION("GOOGLETRANSLATE(C1761, ""en"", ""cs"")"),"Připojte se ke skupině Chat.")</f>
        <v>Připojte se ke skupině Chat.</v>
      </c>
      <c r="H1761" s="7" t="str">
        <f>IFERROR(__xludf.DUMMYFUNCTION("GOOGLETRANSLATE(C1761, ""en"", ""da"")"),"Deltag i Group Chat.")</f>
        <v>Deltag i Group Chat.</v>
      </c>
      <c r="I1761" s="1" t="s">
        <v>35261</v>
      </c>
      <c r="J1761" s="6" t="s">
        <v>132</v>
      </c>
      <c r="K1761" s="1" t="s">
        <v>35262</v>
      </c>
      <c r="L1761" s="7" t="str">
        <f>IFERROR(__xludf.DUMMYFUNCTION("GOOGLETRANSLATE(C1761, ""en"", ""fi"")"),"Liity Ryhmäkeskusteluun")</f>
        <v>Liity Ryhmäkeskusteluun</v>
      </c>
      <c r="M1761" s="1" t="s">
        <v>35263</v>
      </c>
      <c r="N1761" s="6" t="s">
        <v>35264</v>
      </c>
      <c r="O1761" s="6" t="s">
        <v>132</v>
      </c>
      <c r="P1761" s="1" t="s">
        <v>35265</v>
      </c>
      <c r="Q1761" s="7" t="str">
        <f>IFERROR(__xludf.DUMMYFUNCTION("GOOGLETRANSLATE(C1761, ""en"", ""in"")"),"Bergabunglah dengan Grup Chat.")</f>
        <v>Bergabunglah dengan Grup Chat.</v>
      </c>
      <c r="R1761" s="1" t="s">
        <v>35266</v>
      </c>
      <c r="S1761" s="6" t="s">
        <v>132</v>
      </c>
      <c r="T1761" s="1" t="s">
        <v>35267</v>
      </c>
      <c r="U1761" s="7" t="str">
        <f>IFERROR(__xludf.DUMMYFUNCTION("GOOGLETRANSLATE(C1761, ""en"", ""ko"")"),"그룹 채팅에 가입하십시오")</f>
        <v>그룹 채팅에 가입하십시오</v>
      </c>
      <c r="V1761" s="7" t="str">
        <f>IFERROR(__xludf.DUMMYFUNCTION("GOOGLETRANSLATE(C1761, ""en"", ""ms"")"),"Sertai sembang kumpulan")</f>
        <v>Sertai sembang kumpulan</v>
      </c>
      <c r="W1761" s="1" t="s">
        <v>35268</v>
      </c>
      <c r="X1761" s="7" t="str">
        <f>IFERROR(__xludf.DUMMYFUNCTION("GOOGLETRANSLATE(C1761, ""en"", ""no"")"),"Bli med GROUP CHAT.")</f>
        <v>Bli med GROUP CHAT.</v>
      </c>
      <c r="Y1761" s="1" t="s">
        <v>35269</v>
      </c>
      <c r="Z1761" s="7" t="str">
        <f>IFERROR(__xludf.DUMMYFUNCTION("GOOGLETRANSLATE(C1761, ""en"", ""pt"")"),"Junte-se ao Grupo Chat.")</f>
        <v>Junte-se ao Grupo Chat.</v>
      </c>
      <c r="AA1761" s="7" t="str">
        <f>IFERROR(__xludf.DUMMYFUNCTION("GOOGLETRANSLATE(C1761, ""en"", ""ro"")"),"Alăturați-vă grupului de chat.")</f>
        <v>Alăturați-vă grupului de chat.</v>
      </c>
      <c r="AB1761" s="1" t="s">
        <v>35270</v>
      </c>
      <c r="AC1761" s="7" t="str">
        <f>IFERROR(__xludf.DUMMYFUNCTION("GOOGLETRANSLATE(C1761, ""en"", ""sk"")"),"Pridajte sa k skupinovému chatovi")</f>
        <v>Pridajte sa k skupinovému chatovi</v>
      </c>
      <c r="AD1761" s="6" t="s">
        <v>132</v>
      </c>
      <c r="AE1761" s="1" t="s">
        <v>35271</v>
      </c>
      <c r="AF1761" s="7" t="str">
        <f>IFERROR(__xludf.DUMMYFUNCTION("GOOGLETRANSLATE(C1761, ""en"", ""sv"")"),"Gå med i gruppchatt")</f>
        <v>Gå med i gruppchatt</v>
      </c>
      <c r="AG1761" s="6" t="s">
        <v>132</v>
      </c>
      <c r="AH1761" s="7" t="str">
        <f>IFERROR(__xludf.DUMMYFUNCTION("GOOGLETRANSLATE(C1761, ""en"", ""tr"")"),"Grup sohbetine katılın")</f>
        <v>Grup sohbetine katılın</v>
      </c>
      <c r="AI1761" s="6" t="s">
        <v>132</v>
      </c>
      <c r="AJ1761" s="6" t="s">
        <v>132</v>
      </c>
      <c r="AK1761" s="7" t="str">
        <f>IFERROR(__xludf.DUMMYFUNCTION("GOOGLETRANSLATE(C1761, ""en"", ""zh"")"),"加入小组聊天")</f>
        <v>加入小组聊天</v>
      </c>
      <c r="AL1761" s="6" t="s">
        <v>132</v>
      </c>
    </row>
    <row r="1762" ht="15.75" hidden="1" customHeight="1">
      <c r="A1762" s="1" t="s">
        <v>38</v>
      </c>
      <c r="B1762" s="1" t="s">
        <v>35272</v>
      </c>
      <c r="C1762" s="1" t="s">
        <v>35273</v>
      </c>
      <c r="D1762" s="8" t="s">
        <v>35274</v>
      </c>
      <c r="E1762" s="1" t="s">
        <v>35275</v>
      </c>
      <c r="F1762" s="6" t="s">
        <v>35276</v>
      </c>
      <c r="G1762" s="7" t="str">
        <f>IFERROR(__xludf.DUMMYFUNCTION("GOOGLETRANSLATE(C1762, ""en"", ""cs"")"),"% d minutami")</f>
        <v>% d minutami</v>
      </c>
      <c r="H1762" s="7" t="str">
        <f>IFERROR(__xludf.DUMMYFUNCTION("GOOGLETRANSLATE(C1762, ""en"", ""da"")"),"% D Min siden")</f>
        <v>% D Min siden</v>
      </c>
      <c r="I1762" s="1" t="s">
        <v>35277</v>
      </c>
      <c r="J1762" s="6" t="s">
        <v>132</v>
      </c>
      <c r="K1762" s="1" t="s">
        <v>35278</v>
      </c>
      <c r="L1762" s="7" t="str">
        <f>IFERROR(__xludf.DUMMYFUNCTION("GOOGLETRANSLATE(C1762, ""en"", ""fi"")"),"% d min sitten")</f>
        <v>% d min sitten</v>
      </c>
      <c r="M1762" s="1" t="s">
        <v>35279</v>
      </c>
      <c r="N1762" s="6" t="s">
        <v>25006</v>
      </c>
      <c r="O1762" s="6" t="s">
        <v>132</v>
      </c>
      <c r="P1762" s="1" t="s">
        <v>35280</v>
      </c>
      <c r="Q1762" s="9" t="s">
        <v>35281</v>
      </c>
      <c r="R1762" s="1" t="s">
        <v>35282</v>
      </c>
      <c r="S1762" s="6" t="s">
        <v>132</v>
      </c>
      <c r="T1762" s="1" t="s">
        <v>35283</v>
      </c>
      <c r="U1762" s="1" t="s">
        <v>35284</v>
      </c>
      <c r="V1762" s="7" t="str">
        <f>IFERROR(__xludf.DUMMYFUNCTION("GOOGLETRANSLATE(C1762, ""en"", ""ms"")"),"% d mins yang lalu")</f>
        <v>% d mins yang lalu</v>
      </c>
      <c r="W1762" s="1" t="s">
        <v>35285</v>
      </c>
      <c r="X1762" s="7" t="str">
        <f>IFERROR(__xludf.DUMMYFUNCTION("GOOGLETRANSLATE(C1762, ""en"", ""no"")"),"% d Mins siden")</f>
        <v>% d Mins siden</v>
      </c>
      <c r="Y1762" s="1" t="s">
        <v>35286</v>
      </c>
      <c r="Z1762" s="1" t="s">
        <v>35287</v>
      </c>
      <c r="AA1762" s="7" t="str">
        <f>IFERROR(__xludf.DUMMYFUNCTION("GOOGLETRANSLATE(C1762, ""en"", ""ro"")"),"% D minute în urmă")</f>
        <v>% D minute în urmă</v>
      </c>
      <c r="AB1762" s="1" t="s">
        <v>35288</v>
      </c>
      <c r="AC1762" s="1" t="s">
        <v>35289</v>
      </c>
      <c r="AD1762" s="6" t="s">
        <v>132</v>
      </c>
      <c r="AE1762" s="1" t="s">
        <v>35290</v>
      </c>
      <c r="AF1762" s="1" t="s">
        <v>35291</v>
      </c>
      <c r="AG1762" s="6" t="s">
        <v>132</v>
      </c>
      <c r="AH1762" s="13" t="s">
        <v>35292</v>
      </c>
      <c r="AI1762" s="6" t="s">
        <v>35293</v>
      </c>
      <c r="AJ1762" s="6" t="s">
        <v>35294</v>
      </c>
      <c r="AK1762" s="7" t="str">
        <f>IFERROR(__xludf.DUMMYFUNCTION("GOOGLETRANSLATE(C1762, ""en"", ""zh"")"),"％d mins前")</f>
        <v>％d mins前</v>
      </c>
      <c r="AL1762" s="6" t="s">
        <v>35295</v>
      </c>
    </row>
    <row r="1763" ht="15.75" hidden="1" customHeight="1">
      <c r="A1763" s="1" t="s">
        <v>38</v>
      </c>
      <c r="B1763" s="1" t="s">
        <v>35296</v>
      </c>
      <c r="C1763" s="1" t="s">
        <v>35297</v>
      </c>
      <c r="D1763" s="8" t="s">
        <v>35298</v>
      </c>
      <c r="E1763" s="1" t="s">
        <v>35299</v>
      </c>
      <c r="F1763" s="6" t="s">
        <v>35300</v>
      </c>
      <c r="G1763" s="7" t="str">
        <f>IFERROR(__xludf.DUMMYFUNCTION("GOOGLETRANSLATE(C1763, ""en"", ""cs"")"),"Toto pole je povinné")</f>
        <v>Toto pole je povinné</v>
      </c>
      <c r="H1763" s="7" t="str">
        <f>IFERROR(__xludf.DUMMYFUNCTION("GOOGLETRANSLATE(C1763, ""en"", ""da"")"),"dette felt er påkrævet")</f>
        <v>dette felt er påkrævet</v>
      </c>
      <c r="I1763" s="1" t="s">
        <v>35301</v>
      </c>
      <c r="J1763" s="6" t="s">
        <v>132</v>
      </c>
      <c r="K1763" s="1" t="s">
        <v>35302</v>
      </c>
      <c r="L1763" s="7" t="str">
        <f>IFERROR(__xludf.DUMMYFUNCTION("GOOGLETRANSLATE(C1763, ""en"", ""fi"")"),"Tämä kenttä pitää täyttää")</f>
        <v>Tämä kenttä pitää täyttää</v>
      </c>
      <c r="M1763" s="1" t="s">
        <v>35303</v>
      </c>
      <c r="N1763" s="6" t="s">
        <v>35304</v>
      </c>
      <c r="O1763" s="6" t="s">
        <v>132</v>
      </c>
      <c r="P1763" s="1" t="s">
        <v>35305</v>
      </c>
      <c r="Q1763" s="9" t="s">
        <v>35306</v>
      </c>
      <c r="R1763" s="1" t="s">
        <v>35307</v>
      </c>
      <c r="S1763" s="6" t="s">
        <v>132</v>
      </c>
      <c r="T1763" s="1" t="s">
        <v>35308</v>
      </c>
      <c r="U1763" s="1" t="s">
        <v>35309</v>
      </c>
      <c r="V1763" s="7" t="str">
        <f>IFERROR(__xludf.DUMMYFUNCTION("GOOGLETRANSLATE(C1763, ""en"", ""ms"")"),"Bidang ini diperlukan")</f>
        <v>Bidang ini diperlukan</v>
      </c>
      <c r="W1763" s="1" t="s">
        <v>35310</v>
      </c>
      <c r="X1763" s="7" t="str">
        <f>IFERROR(__xludf.DUMMYFUNCTION("GOOGLETRANSLATE(C1763, ""en"", ""no"")"),"Dette feltet er obligatorisk")</f>
        <v>Dette feltet er obligatorisk</v>
      </c>
      <c r="Y1763" s="1" t="s">
        <v>35311</v>
      </c>
      <c r="Z1763" s="1" t="s">
        <v>35312</v>
      </c>
      <c r="AA1763" s="7" t="str">
        <f>IFERROR(__xludf.DUMMYFUNCTION("GOOGLETRANSLATE(C1763, ""en"", ""ro"")"),"Acest câmp este obligatoriu")</f>
        <v>Acest câmp este obligatoriu</v>
      </c>
      <c r="AB1763" s="1" t="s">
        <v>35313</v>
      </c>
      <c r="AC1763" s="7" t="str">
        <f>IFERROR(__xludf.DUMMYFUNCTION("GOOGLETRANSLATE(C1763, ""en"", ""sk"")"),"Toto pole sa vyžaduje")</f>
        <v>Toto pole sa vyžaduje</v>
      </c>
      <c r="AD1763" s="6" t="s">
        <v>132</v>
      </c>
      <c r="AE1763" s="1" t="s">
        <v>35314</v>
      </c>
      <c r="AF1763" s="1" t="s">
        <v>35315</v>
      </c>
      <c r="AG1763" s="6" t="s">
        <v>132</v>
      </c>
      <c r="AH1763" s="7" t="str">
        <f>IFERROR(__xludf.DUMMYFUNCTION("GOOGLETRANSLATE(C1763, ""en"", ""tr"")"),"Bu alan gereklidir")</f>
        <v>Bu alan gereklidir</v>
      </c>
      <c r="AI1763" s="6" t="s">
        <v>35316</v>
      </c>
      <c r="AJ1763" s="6" t="s">
        <v>132</v>
      </c>
      <c r="AK1763" s="7" t="str">
        <f>IFERROR(__xludf.DUMMYFUNCTION("GOOGLETRANSLATE(C1763, ""en"", ""zh"")"),"此字段是必需的")</f>
        <v>此字段是必需的</v>
      </c>
      <c r="AL1763" s="6" t="s">
        <v>35317</v>
      </c>
    </row>
    <row r="1764" ht="15.75" hidden="1" customHeight="1">
      <c r="A1764" s="1" t="s">
        <v>38</v>
      </c>
      <c r="B1764" s="1" t="s">
        <v>35318</v>
      </c>
      <c r="C1764" s="1" t="s">
        <v>35319</v>
      </c>
      <c r="D1764" s="7" t="str">
        <f>IFERROR(__xludf.DUMMYFUNCTION("GOOGLETRANSLATE(C1764, ""en"", ""ar"")"),"ألمانيا")</f>
        <v>ألمانيا</v>
      </c>
      <c r="E1764" s="7" t="str">
        <f>IFERROR(__xludf.DUMMYFUNCTION("GOOGLETRANSLATE(C1764, ""en"", ""bg"")"),"Германия")</f>
        <v>Германия</v>
      </c>
      <c r="F1764" s="6" t="s">
        <v>132</v>
      </c>
      <c r="G1764" s="7" t="str">
        <f>IFERROR(__xludf.DUMMYFUNCTION("GOOGLETRANSLATE(C1764, ""en"", ""cs"")"),"Německo")</f>
        <v>Německo</v>
      </c>
      <c r="H1764" s="7" t="str">
        <f>IFERROR(__xludf.DUMMYFUNCTION("GOOGLETRANSLATE(C1764, ""en"", ""da"")"),"Tyskland.")</f>
        <v>Tyskland.</v>
      </c>
      <c r="I1764" s="1" t="s">
        <v>35320</v>
      </c>
      <c r="J1764" s="6" t="s">
        <v>132</v>
      </c>
      <c r="K1764" s="1" t="s">
        <v>35321</v>
      </c>
      <c r="L1764" s="7" t="str">
        <f>IFERROR(__xludf.DUMMYFUNCTION("GOOGLETRANSLATE(C1764, ""en"", ""fi"")"),"Saksa")</f>
        <v>Saksa</v>
      </c>
      <c r="M1764" s="1" t="s">
        <v>35322</v>
      </c>
      <c r="N1764" s="6" t="s">
        <v>132</v>
      </c>
      <c r="O1764" s="6" t="s">
        <v>132</v>
      </c>
      <c r="P1764" s="1" t="s">
        <v>35319</v>
      </c>
      <c r="Q1764" s="7" t="str">
        <f>IFERROR(__xludf.DUMMYFUNCTION("GOOGLETRANSLATE(C1764, ""en"", ""in"")"),"Jerman.")</f>
        <v>Jerman.</v>
      </c>
      <c r="R1764" s="7" t="str">
        <f>IFERROR(__xludf.DUMMYFUNCTION("GOOGLETRANSLATE(C1764, ""en"", ""it"")"),"Germania")</f>
        <v>Germania</v>
      </c>
      <c r="S1764" s="6" t="s">
        <v>132</v>
      </c>
      <c r="T1764" s="7" t="str">
        <f>IFERROR(__xludf.DUMMYFUNCTION("GOOGLETRANSLATE(C1764, ""en"", ""ja"")"),"ドイツ")</f>
        <v>ドイツ</v>
      </c>
      <c r="U1764" s="7" t="str">
        <f>IFERROR(__xludf.DUMMYFUNCTION("GOOGLETRANSLATE(C1764, ""en"", ""ko"")"),"독일")</f>
        <v>독일</v>
      </c>
      <c r="V1764" s="7" t="str">
        <f>IFERROR(__xludf.DUMMYFUNCTION("GOOGLETRANSLATE(C1764, ""en"", ""ms"")"),"Jerman")</f>
        <v>Jerman</v>
      </c>
      <c r="W1764" s="7" t="str">
        <f>IFERROR(__xludf.DUMMYFUNCTION("GOOGLETRANSLATE(C1764, ""en"", ""nl"")"),"Duitsland")</f>
        <v>Duitsland</v>
      </c>
      <c r="X1764" s="7" t="str">
        <f>IFERROR(__xludf.DUMMYFUNCTION("GOOGLETRANSLATE(C1764, ""en"", ""no"")"),"Tyskland.")</f>
        <v>Tyskland.</v>
      </c>
      <c r="Y1764" s="7" t="str">
        <f>IFERROR(__xludf.DUMMYFUNCTION("GOOGLETRANSLATE(C1764, ""en"", ""pl"")"),"Niemcy")</f>
        <v>Niemcy</v>
      </c>
      <c r="Z1764" s="7" t="str">
        <f>IFERROR(__xludf.DUMMYFUNCTION("GOOGLETRANSLATE(C1764, ""en"", ""pt"")"),"Alemanha")</f>
        <v>Alemanha</v>
      </c>
      <c r="AA1764" s="7" t="str">
        <f>IFERROR(__xludf.DUMMYFUNCTION("GOOGLETRANSLATE(C1764, ""en"", ""ro"")"),"Germania")</f>
        <v>Germania</v>
      </c>
      <c r="AB1764" s="1" t="s">
        <v>35323</v>
      </c>
      <c r="AC1764" s="7" t="str">
        <f>IFERROR(__xludf.DUMMYFUNCTION("GOOGLETRANSLATE(C1764, ""en"", ""sk"")"),"Nemecký")</f>
        <v>Nemecký</v>
      </c>
      <c r="AD1764" s="6" t="s">
        <v>132</v>
      </c>
      <c r="AE1764" s="1" t="s">
        <v>35324</v>
      </c>
      <c r="AF1764" s="7" t="str">
        <f>IFERROR(__xludf.DUMMYFUNCTION("GOOGLETRANSLATE(C1764, ""en"", ""sv"")"),"Tyskland")</f>
        <v>Tyskland</v>
      </c>
      <c r="AG1764" s="6" t="s">
        <v>132</v>
      </c>
      <c r="AH1764" s="7" t="str">
        <f>IFERROR(__xludf.DUMMYFUNCTION("GOOGLETRANSLATE(C1764, ""en"", ""tr"")"),"Almanya")</f>
        <v>Almanya</v>
      </c>
      <c r="AI1764" s="6" t="s">
        <v>132</v>
      </c>
      <c r="AJ1764" s="6" t="s">
        <v>132</v>
      </c>
      <c r="AK1764" s="7" t="str">
        <f>IFERROR(__xludf.DUMMYFUNCTION("GOOGLETRANSLATE(C1764, ""en"", ""zh"")"),"德国")</f>
        <v>德国</v>
      </c>
      <c r="AL1764" s="6" t="s">
        <v>132</v>
      </c>
    </row>
    <row r="1765" ht="15.75" customHeight="1">
      <c r="A1765" s="1" t="s">
        <v>127</v>
      </c>
      <c r="B1765" s="1" t="s">
        <v>35325</v>
      </c>
      <c r="C1765" s="1" t="s">
        <v>35326</v>
      </c>
      <c r="D1765" s="8" t="s">
        <v>17677</v>
      </c>
      <c r="E1765" s="1" t="s">
        <v>35327</v>
      </c>
      <c r="F1765" s="6" t="s">
        <v>132</v>
      </c>
      <c r="G1765" s="1" t="s">
        <v>35328</v>
      </c>
      <c r="H1765" s="1" t="s">
        <v>35329</v>
      </c>
      <c r="I1765" s="1" t="s">
        <v>35326</v>
      </c>
      <c r="J1765" s="6" t="s">
        <v>35330</v>
      </c>
      <c r="K1765" s="1" t="s">
        <v>35331</v>
      </c>
      <c r="L1765" s="1" t="s">
        <v>35332</v>
      </c>
      <c r="M1765" s="1" t="s">
        <v>35333</v>
      </c>
      <c r="N1765" s="6" t="s">
        <v>132</v>
      </c>
      <c r="O1765" s="6" t="s">
        <v>35334</v>
      </c>
      <c r="P1765" s="1" t="s">
        <v>35335</v>
      </c>
      <c r="Q1765" s="1" t="s">
        <v>35336</v>
      </c>
      <c r="R1765" s="1" t="s">
        <v>35337</v>
      </c>
      <c r="S1765" s="10" t="s">
        <v>35338</v>
      </c>
      <c r="T1765" s="1" t="s">
        <v>35339</v>
      </c>
      <c r="U1765" s="1" t="s">
        <v>17685</v>
      </c>
      <c r="V1765" s="1" t="s">
        <v>35340</v>
      </c>
      <c r="W1765" s="1" t="s">
        <v>35326</v>
      </c>
      <c r="X1765" s="1" t="s">
        <v>35341</v>
      </c>
      <c r="Y1765" s="1" t="s">
        <v>15925</v>
      </c>
      <c r="Z1765" s="1" t="s">
        <v>35342</v>
      </c>
      <c r="AA1765" s="1" t="s">
        <v>35343</v>
      </c>
      <c r="AB1765" s="1" t="s">
        <v>35344</v>
      </c>
      <c r="AC1765" s="1" t="s">
        <v>35345</v>
      </c>
      <c r="AD1765" s="6" t="s">
        <v>35326</v>
      </c>
      <c r="AE1765" s="1" t="s">
        <v>35326</v>
      </c>
      <c r="AF1765" s="1" t="s">
        <v>35346</v>
      </c>
      <c r="AG1765" s="6" t="s">
        <v>35347</v>
      </c>
      <c r="AH1765" s="1" t="s">
        <v>35348</v>
      </c>
      <c r="AI1765" s="6" t="s">
        <v>132</v>
      </c>
      <c r="AJ1765" s="6" t="s">
        <v>35349</v>
      </c>
      <c r="AK1765" s="1" t="s">
        <v>35350</v>
      </c>
      <c r="AL1765" s="6" t="s">
        <v>132</v>
      </c>
    </row>
    <row r="1766" ht="15.75" hidden="1" customHeight="1">
      <c r="A1766" s="1" t="s">
        <v>38</v>
      </c>
      <c r="B1766" s="1" t="s">
        <v>35351</v>
      </c>
      <c r="C1766" s="1" t="s">
        <v>35352</v>
      </c>
      <c r="D1766" s="7" t="str">
        <f>IFERROR(__xludf.DUMMYFUNCTION("GOOGLETRANSLATE(C1766, ""en"", ""ar"")"),"أنت تقوم بالفعل بصياغة رسالة.")</f>
        <v>أنت تقوم بالفعل بصياغة رسالة.</v>
      </c>
      <c r="E1766" s="1" t="s">
        <v>35353</v>
      </c>
      <c r="F1766" s="6" t="s">
        <v>132</v>
      </c>
      <c r="G1766" s="7" t="str">
        <f>IFERROR(__xludf.DUMMYFUNCTION("GOOGLETRANSLATE(C1766, ""en"", ""cs"")"),"Už jste navrhl zprávu.")</f>
        <v>Už jste navrhl zprávu.</v>
      </c>
      <c r="H1766" s="7" t="str">
        <f>IFERROR(__xludf.DUMMYFUNCTION("GOOGLETRANSLATE(C1766, ""en"", ""da"")"),"Du udarbejder allerede en besked.")</f>
        <v>Du udarbejder allerede en besked.</v>
      </c>
      <c r="I1766" s="1" t="s">
        <v>35354</v>
      </c>
      <c r="J1766" s="6" t="s">
        <v>132</v>
      </c>
      <c r="K1766" s="1" t="s">
        <v>35355</v>
      </c>
      <c r="L1766" s="7" t="str">
        <f>IFERROR(__xludf.DUMMYFUNCTION("GOOGLETRANSLATE(C1766, ""en"", ""fi"")"),"Olet jo tiivistänyt viestin.")</f>
        <v>Olet jo tiivistänyt viestin.</v>
      </c>
      <c r="M1766" s="1" t="s">
        <v>35356</v>
      </c>
      <c r="N1766" s="6" t="s">
        <v>35357</v>
      </c>
      <c r="O1766" s="6" t="s">
        <v>132</v>
      </c>
      <c r="P1766" s="1" t="s">
        <v>35358</v>
      </c>
      <c r="Q1766" s="7" t="str">
        <f>IFERROR(__xludf.DUMMYFUNCTION("GOOGLETRANSLATE(C1766, ""en"", ""in"")"),"Anda sudah menyusun pesan.")</f>
        <v>Anda sudah menyusun pesan.</v>
      </c>
      <c r="R1766" s="1" t="s">
        <v>35359</v>
      </c>
      <c r="S1766" s="6" t="s">
        <v>132</v>
      </c>
      <c r="T1766" s="7" t="str">
        <f>IFERROR(__xludf.DUMMYFUNCTION("GOOGLETRANSLATE(C1766, ""en"", ""ja"")"),"あなたはすでにメッセージを作成しています。")</f>
        <v>あなたはすでにメッセージを作成しています。</v>
      </c>
      <c r="U1766" s="7" t="str">
        <f>IFERROR(__xludf.DUMMYFUNCTION("GOOGLETRANSLATE(C1766, ""en"", ""ko"")"),"이미 메시지를 제출하고 있습니다.")</f>
        <v>이미 메시지를 제출하고 있습니다.</v>
      </c>
      <c r="V1766" s="7" t="str">
        <f>IFERROR(__xludf.DUMMYFUNCTION("GOOGLETRANSLATE(C1766, ""en"", ""ms"")"),"Anda sudah merangka mesej.")</f>
        <v>Anda sudah merangka mesej.</v>
      </c>
      <c r="W1766" s="1" t="s">
        <v>35360</v>
      </c>
      <c r="X1766" s="7" t="str">
        <f>IFERROR(__xludf.DUMMYFUNCTION("GOOGLETRANSLATE(C1766, ""en"", ""no"")"),"Du skriver allerede en melding.")</f>
        <v>Du skriver allerede en melding.</v>
      </c>
      <c r="Y1766" s="1" t="s">
        <v>35361</v>
      </c>
      <c r="Z1766" s="7" t="str">
        <f>IFERROR(__xludf.DUMMYFUNCTION("GOOGLETRANSLATE(C1766, ""en"", ""pt"")"),"Você já está elaborando uma mensagem.")</f>
        <v>Você já está elaborando uma mensagem.</v>
      </c>
      <c r="AA1766" s="7" t="str">
        <f>IFERROR(__xludf.DUMMYFUNCTION("GOOGLETRANSLATE(C1766, ""en"", ""ro"")"),"Elaborează deja un mesaj.")</f>
        <v>Elaborează deja un mesaj.</v>
      </c>
      <c r="AB1766" s="7" t="str">
        <f>IFERROR(__xludf.DUMMYFUNCTION("GOOGLETRANSLATE(C1766, ""en"", ""ru"")"),"Вы уже собираете сообщение.")</f>
        <v>Вы уже собираете сообщение.</v>
      </c>
      <c r="AC1766" s="7" t="str">
        <f>IFERROR(__xludf.DUMMYFUNCTION("GOOGLETRANSLATE(C1766, ""en"", ""sk"")"),"Už ste vypracovali správu.")</f>
        <v>Už ste vypracovali správu.</v>
      </c>
      <c r="AD1766" s="6" t="s">
        <v>132</v>
      </c>
      <c r="AE1766" s="7" t="str">
        <f>IFERROR(__xludf.DUMMYFUNCTION("GOOGLETRANSLATE(C1766, ""en"", ""sr"")"),"Већ израђујете поруку.")</f>
        <v>Већ израђујете поруку.</v>
      </c>
      <c r="AF1766" s="7" t="str">
        <f>IFERROR(__xludf.DUMMYFUNCTION("GOOGLETRANSLATE(C1766, ""en"", ""sv"")"),"Du utarbetar redan ett meddelande.")</f>
        <v>Du utarbetar redan ett meddelande.</v>
      </c>
      <c r="AG1766" s="6" t="s">
        <v>132</v>
      </c>
      <c r="AH1766" s="7" t="str">
        <f>IFERROR(__xludf.DUMMYFUNCTION("GOOGLETRANSLATE(C1766, ""en"", ""tr"")"),"Zaten bir mesaj hazırlıyorsun.")</f>
        <v>Zaten bir mesaj hazırlıyorsun.</v>
      </c>
      <c r="AI1766" s="6" t="s">
        <v>132</v>
      </c>
      <c r="AJ1766" s="6" t="s">
        <v>132</v>
      </c>
      <c r="AK1766" s="7" t="str">
        <f>IFERROR(__xludf.DUMMYFUNCTION("GOOGLETRANSLATE(C1766, ""en"", ""zh"")"),"你已经起草了一条消息。")</f>
        <v>你已经起草了一条消息。</v>
      </c>
      <c r="AL1766" s="6" t="s">
        <v>132</v>
      </c>
    </row>
    <row r="1767" ht="15.75" customHeight="1">
      <c r="A1767" s="1" t="s">
        <v>4051</v>
      </c>
      <c r="B1767" s="1" t="s">
        <v>35362</v>
      </c>
      <c r="C1767" s="1" t="s">
        <v>35363</v>
      </c>
      <c r="D1767" s="7" t="str">
        <f>IFERROR(__xludf.DUMMYFUNCTION("GOOGLETRANSLATE(C1767, ""en"", ""ar"")"),"انشر الكلمة")</f>
        <v>انشر الكلمة</v>
      </c>
      <c r="E1767" s="1" t="s">
        <v>35364</v>
      </c>
      <c r="F1767" s="6" t="s">
        <v>132</v>
      </c>
      <c r="G1767" s="1" t="s">
        <v>35365</v>
      </c>
      <c r="H1767" s="1" t="s">
        <v>35366</v>
      </c>
      <c r="I1767" s="7" t="str">
        <f>IFERROR(__xludf.DUMMYFUNCTION("GOOGLETRANSLATE(C1767, ""en"", ""de"")"),"Das Wort verbreiten")</f>
        <v>Das Wort verbreiten</v>
      </c>
      <c r="J1767" s="6" t="s">
        <v>35367</v>
      </c>
      <c r="K1767" s="1" t="s">
        <v>35368</v>
      </c>
      <c r="L1767" s="1" t="s">
        <v>35369</v>
      </c>
      <c r="M1767" s="1" t="s">
        <v>35370</v>
      </c>
      <c r="N1767" s="6" t="s">
        <v>35371</v>
      </c>
      <c r="O1767" s="6" t="s">
        <v>132</v>
      </c>
      <c r="P1767" s="1" t="s">
        <v>35372</v>
      </c>
      <c r="Q1767" s="1" t="s">
        <v>35373</v>
      </c>
      <c r="R1767" s="8" t="s">
        <v>35374</v>
      </c>
      <c r="S1767" s="6" t="s">
        <v>132</v>
      </c>
      <c r="T1767" s="1" t="s">
        <v>35375</v>
      </c>
      <c r="U1767" s="7" t="str">
        <f>IFERROR(__xludf.DUMMYFUNCTION("GOOGLETRANSLATE(C1767, ""en"", ""ko"")"),"말씀을 퍼뜨립니다")</f>
        <v>말씀을 퍼뜨립니다</v>
      </c>
      <c r="V1767" s="1" t="s">
        <v>35376</v>
      </c>
      <c r="W1767" s="1" t="s">
        <v>35377</v>
      </c>
      <c r="X1767" s="1" t="s">
        <v>35378</v>
      </c>
      <c r="Y1767" s="11" t="s">
        <v>35379</v>
      </c>
      <c r="Z1767" s="1" t="s">
        <v>35380</v>
      </c>
      <c r="AA1767" s="7" t="str">
        <f>IFERROR(__xludf.DUMMYFUNCTION("GOOGLETRANSLATE(C1767, ""en"", ""ro"")"),"Imprastie vestea")</f>
        <v>Imprastie vestea</v>
      </c>
      <c r="AB1767" s="1" t="s">
        <v>35381</v>
      </c>
      <c r="AC1767" s="1" t="s">
        <v>35382</v>
      </c>
      <c r="AD1767" s="6" t="s">
        <v>35383</v>
      </c>
      <c r="AE1767" s="7" t="str">
        <f>IFERROR(__xludf.DUMMYFUNCTION("GOOGLETRANSLATE(C1767, ""en"", ""sr"")"),"Шири причу")</f>
        <v>Шири причу</v>
      </c>
      <c r="AF1767" s="11" t="s">
        <v>35384</v>
      </c>
      <c r="AG1767" s="6" t="s">
        <v>132</v>
      </c>
      <c r="AH1767" s="1" t="s">
        <v>35384</v>
      </c>
      <c r="AI1767" s="6" t="s">
        <v>35385</v>
      </c>
      <c r="AJ1767" s="6" t="s">
        <v>132</v>
      </c>
      <c r="AK1767" s="14" t="s">
        <v>35386</v>
      </c>
      <c r="AL1767" s="6" t="s">
        <v>35387</v>
      </c>
    </row>
    <row r="1768" ht="15.75" customHeight="1">
      <c r="A1768" s="1" t="s">
        <v>127</v>
      </c>
      <c r="B1768" s="1" t="s">
        <v>35388</v>
      </c>
      <c r="C1768" s="1" t="s">
        <v>2236</v>
      </c>
      <c r="D1768" s="8" t="s">
        <v>2237</v>
      </c>
      <c r="E1768" s="1" t="s">
        <v>2238</v>
      </c>
      <c r="F1768" s="6" t="s">
        <v>132</v>
      </c>
      <c r="G1768" s="1" t="s">
        <v>25946</v>
      </c>
      <c r="H1768" s="1" t="s">
        <v>25947</v>
      </c>
      <c r="I1768" s="1" t="s">
        <v>2240</v>
      </c>
      <c r="J1768" s="6" t="s">
        <v>25948</v>
      </c>
      <c r="K1768" s="1" t="s">
        <v>2241</v>
      </c>
      <c r="L1768" s="1" t="s">
        <v>25949</v>
      </c>
      <c r="M1768" s="1" t="s">
        <v>2242</v>
      </c>
      <c r="N1768" s="6" t="s">
        <v>132</v>
      </c>
      <c r="O1768" s="6" t="s">
        <v>25950</v>
      </c>
      <c r="P1768" s="1" t="s">
        <v>2244</v>
      </c>
      <c r="Q1768" s="1" t="s">
        <v>2245</v>
      </c>
      <c r="R1768" s="1" t="s">
        <v>2246</v>
      </c>
      <c r="S1768" s="10" t="s">
        <v>25951</v>
      </c>
      <c r="T1768" s="1" t="s">
        <v>2247</v>
      </c>
      <c r="U1768" s="1" t="s">
        <v>2248</v>
      </c>
      <c r="V1768" s="1" t="s">
        <v>2245</v>
      </c>
      <c r="W1768" s="1" t="s">
        <v>2249</v>
      </c>
      <c r="X1768" s="1" t="s">
        <v>25952</v>
      </c>
      <c r="Y1768" s="1" t="s">
        <v>25953</v>
      </c>
      <c r="Z1768" s="1" t="s">
        <v>35389</v>
      </c>
      <c r="AA1768" s="1" t="s">
        <v>25954</v>
      </c>
      <c r="AB1768" s="1" t="s">
        <v>2238</v>
      </c>
      <c r="AC1768" s="1" t="s">
        <v>25946</v>
      </c>
      <c r="AD1768" s="6" t="s">
        <v>25955</v>
      </c>
      <c r="AE1768" s="1" t="s">
        <v>4396</v>
      </c>
      <c r="AF1768" s="1" t="s">
        <v>25956</v>
      </c>
      <c r="AG1768" s="6" t="s">
        <v>25957</v>
      </c>
      <c r="AH1768" s="1" t="s">
        <v>25958</v>
      </c>
      <c r="AI1768" s="6" t="s">
        <v>132</v>
      </c>
      <c r="AJ1768" s="6" t="s">
        <v>2255</v>
      </c>
      <c r="AK1768" s="1" t="s">
        <v>2256</v>
      </c>
      <c r="AL1768" s="6" t="s">
        <v>25959</v>
      </c>
    </row>
    <row r="1769" ht="15.75" hidden="1" customHeight="1">
      <c r="A1769" s="1" t="s">
        <v>38</v>
      </c>
      <c r="B1769" s="1" t="s">
        <v>35390</v>
      </c>
      <c r="C1769" s="1" t="s">
        <v>35391</v>
      </c>
      <c r="D1769" s="8" t="s">
        <v>35392</v>
      </c>
      <c r="E1769" s="1" t="s">
        <v>35393</v>
      </c>
      <c r="F1769" s="6" t="s">
        <v>35394</v>
      </c>
      <c r="G1769" s="7" t="str">
        <f>IFERROR(__xludf.DUMMYFUNCTION("GOOGLETRANSLATE(C1769, ""en"", ""cs"")"),"Dešifrování selhalo. Možná nemáte správný soukromý klíč.")</f>
        <v>Dešifrování selhalo. Možná nemáte správný soukromý klíč.</v>
      </c>
      <c r="H1769" s="7" t="str">
        <f>IFERROR(__xludf.DUMMYFUNCTION("GOOGLETRANSLATE(C1769, ""en"", ""da"")"),"Dekryptering mislykkedes. Måske har du ikke den rigtige private nøgle.")</f>
        <v>Dekryptering mislykkedes. Måske har du ikke den rigtige private nøgle.</v>
      </c>
      <c r="I1769" s="1" t="s">
        <v>35395</v>
      </c>
      <c r="J1769" s="6" t="s">
        <v>132</v>
      </c>
      <c r="K1769" s="1" t="s">
        <v>35396</v>
      </c>
      <c r="L1769" s="7" t="str">
        <f>IFERROR(__xludf.DUMMYFUNCTION("GOOGLETRANSLATE(C1769, ""en"", ""fi"")"),"Salauksen purku epäonnistui. Ehkä sinulla ei ole asianmukaista yksityistä avainta.")</f>
        <v>Salauksen purku epäonnistui. Ehkä sinulla ei ole asianmukaista yksityistä avainta.</v>
      </c>
      <c r="M1769" s="1" t="s">
        <v>35397</v>
      </c>
      <c r="N1769" s="6" t="s">
        <v>35398</v>
      </c>
      <c r="O1769" s="6" t="s">
        <v>132</v>
      </c>
      <c r="P1769" s="1" t="s">
        <v>35399</v>
      </c>
      <c r="Q1769" s="9" t="s">
        <v>35400</v>
      </c>
      <c r="R1769" s="1" t="s">
        <v>35401</v>
      </c>
      <c r="S1769" s="6" t="s">
        <v>132</v>
      </c>
      <c r="T1769" s="1" t="s">
        <v>35402</v>
      </c>
      <c r="U1769" s="1" t="s">
        <v>35403</v>
      </c>
      <c r="V1769" s="7" t="str">
        <f>IFERROR(__xludf.DUMMYFUNCTION("GOOGLETRANSLATE(C1769, ""en"", ""ms"")"),"Penyahsulitan gagal. Mungkin anda tidak mempunyai kunci peribadi yang betul.")</f>
        <v>Penyahsulitan gagal. Mungkin anda tidak mempunyai kunci peribadi yang betul.</v>
      </c>
      <c r="W1769" s="1" t="s">
        <v>35404</v>
      </c>
      <c r="X1769" s="7" t="str">
        <f>IFERROR(__xludf.DUMMYFUNCTION("GOOGLETRANSLATE(C1769, ""en"", ""no"")"),"Dekryptering mislyktes. Kanskje du ikke har den riktige private nøkkelen.")</f>
        <v>Dekryptering mislyktes. Kanskje du ikke har den riktige private nøkkelen.</v>
      </c>
      <c r="Y1769" s="1" t="s">
        <v>35405</v>
      </c>
      <c r="Z1769" s="1" t="s">
        <v>35406</v>
      </c>
      <c r="AA1769" s="7" t="str">
        <f>IFERROR(__xludf.DUMMYFUNCTION("GOOGLETRANSLATE(C1769, ""en"", ""ro"")"),"Decriptarea a eșuat. Poate că nu aveți cheia privată corespunzătoare.")</f>
        <v>Decriptarea a eșuat. Poate că nu aveți cheia privată corespunzătoare.</v>
      </c>
      <c r="AB1769" s="1" t="s">
        <v>35407</v>
      </c>
      <c r="AC1769" s="1" t="s">
        <v>35408</v>
      </c>
      <c r="AD1769" s="6" t="s">
        <v>132</v>
      </c>
      <c r="AE1769" s="1" t="s">
        <v>35409</v>
      </c>
      <c r="AF1769" s="1" t="s">
        <v>35410</v>
      </c>
      <c r="AG1769" s="6" t="s">
        <v>132</v>
      </c>
      <c r="AH1769" s="7" t="str">
        <f>IFERROR(__xludf.DUMMYFUNCTION("GOOGLETRANSLATE(C1769, ""en"", ""tr"")"),"Şifre çözme başarısız oldu. Belki de uygun özel anahtarınız yoktur.")</f>
        <v>Şifre çözme başarısız oldu. Belki de uygun özel anahtarınız yoktur.</v>
      </c>
      <c r="AI1769" s="6" t="s">
        <v>35411</v>
      </c>
      <c r="AJ1769" s="6" t="s">
        <v>35412</v>
      </c>
      <c r="AK1769" s="7" t="str">
        <f>IFERROR(__xludf.DUMMYFUNCTION("GOOGLETRANSLATE(C1769, ""en"", ""zh"")"),"解密失败。也许你没有适当的私钥。")</f>
        <v>解密失败。也许你没有适当的私钥。</v>
      </c>
      <c r="AL1769" s="6" t="s">
        <v>35413</v>
      </c>
    </row>
    <row r="1770" ht="15.75" customHeight="1">
      <c r="A1770" s="1" t="s">
        <v>127</v>
      </c>
      <c r="B1770" s="1" t="s">
        <v>35414</v>
      </c>
      <c r="C1770" s="1" t="s">
        <v>35415</v>
      </c>
      <c r="D1770" s="8" t="s">
        <v>35416</v>
      </c>
      <c r="E1770" s="1" t="s">
        <v>35417</v>
      </c>
      <c r="F1770" s="6" t="s">
        <v>132</v>
      </c>
      <c r="G1770" s="1" t="s">
        <v>35418</v>
      </c>
      <c r="H1770" s="1" t="s">
        <v>35419</v>
      </c>
      <c r="I1770" s="1" t="s">
        <v>35420</v>
      </c>
      <c r="J1770" s="6" t="s">
        <v>35421</v>
      </c>
      <c r="K1770" s="1" t="s">
        <v>35422</v>
      </c>
      <c r="L1770" s="1" t="s">
        <v>35423</v>
      </c>
      <c r="M1770" s="1" t="s">
        <v>35424</v>
      </c>
      <c r="N1770" s="6" t="s">
        <v>132</v>
      </c>
      <c r="O1770" s="6" t="s">
        <v>35425</v>
      </c>
      <c r="P1770" s="1" t="s">
        <v>35426</v>
      </c>
      <c r="Q1770" s="1" t="s">
        <v>35427</v>
      </c>
      <c r="R1770" s="1" t="s">
        <v>35428</v>
      </c>
      <c r="S1770" s="10" t="s">
        <v>35429</v>
      </c>
      <c r="T1770" s="1" t="s">
        <v>35430</v>
      </c>
      <c r="U1770" s="1" t="s">
        <v>35431</v>
      </c>
      <c r="V1770" s="1" t="s">
        <v>35432</v>
      </c>
      <c r="W1770" s="1" t="s">
        <v>35433</v>
      </c>
      <c r="X1770" s="1" t="s">
        <v>35434</v>
      </c>
      <c r="Y1770" s="1" t="s">
        <v>35435</v>
      </c>
      <c r="Z1770" s="1" t="s">
        <v>35436</v>
      </c>
      <c r="AA1770" s="1" t="s">
        <v>35437</v>
      </c>
      <c r="AB1770" s="1" t="s">
        <v>35438</v>
      </c>
      <c r="AC1770" s="1" t="s">
        <v>35439</v>
      </c>
      <c r="AD1770" s="6" t="s">
        <v>35440</v>
      </c>
      <c r="AE1770" s="1" t="s">
        <v>35441</v>
      </c>
      <c r="AF1770" s="1" t="s">
        <v>35442</v>
      </c>
      <c r="AG1770" s="6" t="s">
        <v>35443</v>
      </c>
      <c r="AH1770" s="1" t="s">
        <v>35444</v>
      </c>
      <c r="AI1770" s="6" t="s">
        <v>132</v>
      </c>
      <c r="AJ1770" s="6" t="s">
        <v>35445</v>
      </c>
      <c r="AK1770" s="1" t="s">
        <v>35446</v>
      </c>
      <c r="AL1770" s="6" t="s">
        <v>132</v>
      </c>
    </row>
    <row r="1771" ht="15.75" hidden="1" customHeight="1">
      <c r="A1771" s="1" t="s">
        <v>38</v>
      </c>
      <c r="B1771" s="1" t="s">
        <v>35447</v>
      </c>
      <c r="C1771" s="1" t="s">
        <v>35448</v>
      </c>
      <c r="D1771" s="8" t="s">
        <v>35449</v>
      </c>
      <c r="E1771" s="1" t="s">
        <v>35450</v>
      </c>
      <c r="F1771" s="6" t="s">
        <v>35451</v>
      </c>
      <c r="G1771" s="7" t="str">
        <f>IFERROR(__xludf.DUMMYFUNCTION("GOOGLETRANSLATE(C1771, ""en"", ""cs"")"),"Příprava souboru pro přenos")</f>
        <v>Příprava souboru pro přenos</v>
      </c>
      <c r="H1771" s="7" t="str">
        <f>IFERROR(__xludf.DUMMYFUNCTION("GOOGLETRANSLATE(C1771, ""en"", ""da"")"),"Forbereder fil til transmission")</f>
        <v>Forbereder fil til transmission</v>
      </c>
      <c r="I1771" s="1" t="s">
        <v>35452</v>
      </c>
      <c r="J1771" s="6" t="s">
        <v>132</v>
      </c>
      <c r="K1771" s="1" t="s">
        <v>35453</v>
      </c>
      <c r="L1771" s="7" t="str">
        <f>IFERROR(__xludf.DUMMYFUNCTION("GOOGLETRANSLATE(C1771, ""en"", ""fi"")"),"Valmistelu tiedoston lähetykselle")</f>
        <v>Valmistelu tiedoston lähetykselle</v>
      </c>
      <c r="M1771" s="1" t="s">
        <v>35454</v>
      </c>
      <c r="N1771" s="6" t="s">
        <v>35455</v>
      </c>
      <c r="O1771" s="6" t="s">
        <v>132</v>
      </c>
      <c r="P1771" s="1" t="s">
        <v>35456</v>
      </c>
      <c r="Q1771" s="9" t="s">
        <v>35457</v>
      </c>
      <c r="R1771" s="1" t="s">
        <v>35458</v>
      </c>
      <c r="S1771" s="6" t="s">
        <v>132</v>
      </c>
      <c r="T1771" s="1" t="s">
        <v>35459</v>
      </c>
      <c r="U1771" s="1" t="s">
        <v>35460</v>
      </c>
      <c r="V1771" s="7" t="str">
        <f>IFERROR(__xludf.DUMMYFUNCTION("GOOGLETRANSLATE(C1771, ""en"", ""ms"")"),"Menyediakan fail untuk penghantaran")</f>
        <v>Menyediakan fail untuk penghantaran</v>
      </c>
      <c r="W1771" s="1" t="s">
        <v>35461</v>
      </c>
      <c r="X1771" s="7" t="str">
        <f>IFERROR(__xludf.DUMMYFUNCTION("GOOGLETRANSLATE(C1771, ""en"", ""no"")"),"Forbereder fil for overføring")</f>
        <v>Forbereder fil for overføring</v>
      </c>
      <c r="Y1771" s="1" t="s">
        <v>35462</v>
      </c>
      <c r="Z1771" s="1" t="s">
        <v>35463</v>
      </c>
      <c r="AA1771" s="7" t="str">
        <f>IFERROR(__xludf.DUMMYFUNCTION("GOOGLETRANSLATE(C1771, ""en"", ""ro"")"),"Pregătirea fișierului pentru transmisie")</f>
        <v>Pregătirea fișierului pentru transmisie</v>
      </c>
      <c r="AB1771" s="1" t="s">
        <v>35464</v>
      </c>
      <c r="AC1771" s="1" t="s">
        <v>35465</v>
      </c>
      <c r="AD1771" s="6" t="s">
        <v>132</v>
      </c>
      <c r="AE1771" s="1" t="s">
        <v>35466</v>
      </c>
      <c r="AF1771" s="1" t="s">
        <v>35467</v>
      </c>
      <c r="AG1771" s="6" t="s">
        <v>132</v>
      </c>
      <c r="AH1771" s="7" t="str">
        <f>IFERROR(__xludf.DUMMYFUNCTION("GOOGLETRANSLATE(C1771, ""en"", ""tr"")"),"İletim için Dosya Hazırlama")</f>
        <v>İletim için Dosya Hazırlama</v>
      </c>
      <c r="AI1771" s="6" t="s">
        <v>35468</v>
      </c>
      <c r="AJ1771" s="6" t="s">
        <v>35469</v>
      </c>
      <c r="AK1771" s="7" t="str">
        <f>IFERROR(__xludf.DUMMYFUNCTION("GOOGLETRANSLATE(C1771, ""en"", ""zh"")"),"准备文件以进行传输")</f>
        <v>准备文件以进行传输</v>
      </c>
      <c r="AL1771" s="6" t="s">
        <v>35470</v>
      </c>
    </row>
    <row r="1772" ht="15.75" hidden="1" customHeight="1">
      <c r="A1772" s="1" t="s">
        <v>38</v>
      </c>
      <c r="B1772" s="1" t="s">
        <v>35471</v>
      </c>
      <c r="C1772" s="1" t="s">
        <v>35472</v>
      </c>
      <c r="D1772" s="8" t="s">
        <v>35473</v>
      </c>
      <c r="E1772" s="1" t="s">
        <v>22862</v>
      </c>
      <c r="F1772" s="6" t="s">
        <v>35474</v>
      </c>
      <c r="G1772" s="7" t="str">
        <f>IFERROR(__xludf.DUMMYFUNCTION("GOOGLETRANSLATE(C1772, ""en"", ""cs"")"),"Váš účet")</f>
        <v>Váš účet</v>
      </c>
      <c r="H1772" s="7" t="str">
        <f>IFERROR(__xludf.DUMMYFUNCTION("GOOGLETRANSLATE(C1772, ""en"", ""da"")"),"Din konto")</f>
        <v>Din konto</v>
      </c>
      <c r="I1772" s="1" t="s">
        <v>35475</v>
      </c>
      <c r="J1772" s="6" t="s">
        <v>132</v>
      </c>
      <c r="K1772" s="1" t="s">
        <v>35476</v>
      </c>
      <c r="L1772" s="7" t="str">
        <f>IFERROR(__xludf.DUMMYFUNCTION("GOOGLETRANSLATE(C1772, ""en"", ""fi"")"),"Tilisi")</f>
        <v>Tilisi</v>
      </c>
      <c r="M1772" s="1" t="s">
        <v>35477</v>
      </c>
      <c r="N1772" s="6" t="s">
        <v>35478</v>
      </c>
      <c r="O1772" s="6" t="s">
        <v>132</v>
      </c>
      <c r="P1772" s="1" t="s">
        <v>35479</v>
      </c>
      <c r="Q1772" s="9" t="s">
        <v>35480</v>
      </c>
      <c r="R1772" s="1" t="s">
        <v>35481</v>
      </c>
      <c r="S1772" s="6" t="s">
        <v>132</v>
      </c>
      <c r="T1772" s="1" t="s">
        <v>35482</v>
      </c>
      <c r="U1772" s="1" t="s">
        <v>35483</v>
      </c>
      <c r="V1772" s="7" t="str">
        <f>IFERROR(__xludf.DUMMYFUNCTION("GOOGLETRANSLATE(C1772, ""en"", ""ms"")"),"Akaun anda")</f>
        <v>Akaun anda</v>
      </c>
      <c r="W1772" s="1" t="s">
        <v>35484</v>
      </c>
      <c r="X1772" s="7" t="str">
        <f>IFERROR(__xludf.DUMMYFUNCTION("GOOGLETRANSLATE(C1772, ""en"", ""no"")"),"Kontoen din")</f>
        <v>Kontoen din</v>
      </c>
      <c r="Y1772" s="1" t="s">
        <v>35485</v>
      </c>
      <c r="Z1772" s="1" t="s">
        <v>35486</v>
      </c>
      <c r="AA1772" s="7" t="str">
        <f>IFERROR(__xludf.DUMMYFUNCTION("GOOGLETRANSLATE(C1772, ""en"", ""ro"")"),"Contul tău")</f>
        <v>Contul tău</v>
      </c>
      <c r="AB1772" s="1" t="s">
        <v>35487</v>
      </c>
      <c r="AC1772" s="1" t="s">
        <v>35488</v>
      </c>
      <c r="AD1772" s="6" t="s">
        <v>132</v>
      </c>
      <c r="AE1772" s="1" t="s">
        <v>35489</v>
      </c>
      <c r="AF1772" s="1" t="s">
        <v>35490</v>
      </c>
      <c r="AG1772" s="6" t="s">
        <v>132</v>
      </c>
      <c r="AH1772" s="7" t="str">
        <f>IFERROR(__xludf.DUMMYFUNCTION("GOOGLETRANSLATE(C1772, ""en"", ""tr"")"),"Hesabınız")</f>
        <v>Hesabınız</v>
      </c>
      <c r="AI1772" s="6" t="s">
        <v>35491</v>
      </c>
      <c r="AJ1772" s="6" t="s">
        <v>35492</v>
      </c>
      <c r="AK1772" s="7" t="str">
        <f>IFERROR(__xludf.DUMMYFUNCTION("GOOGLETRANSLATE(C1772, ""en"", ""zh"")"),"您的帐户")</f>
        <v>您的帐户</v>
      </c>
      <c r="AL1772" s="6" t="s">
        <v>35493</v>
      </c>
    </row>
    <row r="1773" ht="15.75" hidden="1" customHeight="1">
      <c r="A1773" s="1" t="s">
        <v>38</v>
      </c>
      <c r="B1773" s="1" t="s">
        <v>35494</v>
      </c>
      <c r="C1773" s="1" t="s">
        <v>35495</v>
      </c>
      <c r="D1773" s="7" t="str">
        <f>IFERROR(__xludf.DUMMYFUNCTION("GOOGLETRANSLATE(C1773, ""en"", ""ar"")"),"ربط فشل")</f>
        <v>ربط فشل</v>
      </c>
      <c r="E1773" s="1" t="s">
        <v>35496</v>
      </c>
      <c r="F1773" s="6" t="s">
        <v>35497</v>
      </c>
      <c r="G1773" s="7" t="str">
        <f>IFERROR(__xludf.DUMMYFUNCTION("GOOGLETRANSLATE(C1773, ""en"", ""cs"")"),"Vázat selhání")</f>
        <v>Vázat selhání</v>
      </c>
      <c r="H1773" s="7" t="str">
        <f>IFERROR(__xludf.DUMMYFUNCTION("GOOGLETRANSLATE(C1773, ""en"", ""da"")"),"Bind Failure.")</f>
        <v>Bind Failure.</v>
      </c>
      <c r="I1773" s="1" t="s">
        <v>35498</v>
      </c>
      <c r="J1773" s="6" t="s">
        <v>132</v>
      </c>
      <c r="K1773" s="1" t="s">
        <v>35499</v>
      </c>
      <c r="L1773" s="7" t="str">
        <f>IFERROR(__xludf.DUMMYFUNCTION("GOOGLETRANSLATE(C1773, ""en"", ""fi"")"),"Sitoutua epäonnistumaan")</f>
        <v>Sitoutua epäonnistumaan</v>
      </c>
      <c r="M1773" s="1" t="s">
        <v>35500</v>
      </c>
      <c r="N1773" s="6" t="s">
        <v>35501</v>
      </c>
      <c r="O1773" s="6" t="s">
        <v>132</v>
      </c>
      <c r="P1773" s="1" t="s">
        <v>35502</v>
      </c>
      <c r="Q1773" s="7" t="str">
        <f>IFERROR(__xludf.DUMMYFUNCTION("GOOGLETRANSLATE(C1773, ""en"", ""in"")"),"Kegagalan ikatan")</f>
        <v>Kegagalan ikatan</v>
      </c>
      <c r="R1773" s="1" t="s">
        <v>35503</v>
      </c>
      <c r="S1773" s="6" t="s">
        <v>132</v>
      </c>
      <c r="T1773" s="1" t="s">
        <v>35504</v>
      </c>
      <c r="U1773" s="1" t="s">
        <v>35505</v>
      </c>
      <c r="V1773" s="7" t="str">
        <f>IFERROR(__xludf.DUMMYFUNCTION("GOOGLETRANSLATE(C1773, ""en"", ""ms"")"),"Mengikat kegagalan")</f>
        <v>Mengikat kegagalan</v>
      </c>
      <c r="W1773" s="1" t="s">
        <v>35506</v>
      </c>
      <c r="X1773" s="7" t="str">
        <f>IFERROR(__xludf.DUMMYFUNCTION("GOOGLETRANSLATE(C1773, ""en"", ""no"")"),"Binde feil")</f>
        <v>Binde feil</v>
      </c>
      <c r="Y1773" s="1" t="s">
        <v>35507</v>
      </c>
      <c r="Z1773" s="7" t="str">
        <f>IFERROR(__xludf.DUMMYFUNCTION("GOOGLETRANSLATE(C1773, ""en"", ""pt"")"),"Vincular falha")</f>
        <v>Vincular falha</v>
      </c>
      <c r="AA1773" s="7" t="str">
        <f>IFERROR(__xludf.DUMMYFUNCTION("GOOGLETRANSLATE(C1773, ""en"", ""ro"")"),"Legarea eșecului")</f>
        <v>Legarea eșecului</v>
      </c>
      <c r="AB1773" s="1" t="s">
        <v>35508</v>
      </c>
      <c r="AC1773" s="7" t="str">
        <f>IFERROR(__xludf.DUMMYFUNCTION("GOOGLETRANSLATE(C1773, ""en"", ""sk"")"),"Zlyhanie viazať")</f>
        <v>Zlyhanie viazať</v>
      </c>
      <c r="AD1773" s="6" t="s">
        <v>132</v>
      </c>
      <c r="AE1773" s="1" t="s">
        <v>35509</v>
      </c>
      <c r="AF1773" s="1" t="s">
        <v>35510</v>
      </c>
      <c r="AG1773" s="6" t="s">
        <v>132</v>
      </c>
      <c r="AH1773" s="7" t="str">
        <f>IFERROR(__xludf.DUMMYFUNCTION("GOOGLETRANSLATE(C1773, ""en"", ""tr"")"),"Bağlama hatası")</f>
        <v>Bağlama hatası</v>
      </c>
      <c r="AI1773" s="6" t="s">
        <v>35511</v>
      </c>
      <c r="AJ1773" s="6" t="s">
        <v>132</v>
      </c>
      <c r="AK1773" s="7" t="str">
        <f>IFERROR(__xludf.DUMMYFUNCTION("GOOGLETRANSLATE(C1773, ""en"", ""zh"")"),"绑定失败")</f>
        <v>绑定失败</v>
      </c>
      <c r="AL1773" s="6" t="s">
        <v>35512</v>
      </c>
    </row>
    <row r="1774" ht="15.75" customHeight="1">
      <c r="A1774" s="1" t="s">
        <v>127</v>
      </c>
      <c r="B1774" s="1" t="s">
        <v>35513</v>
      </c>
      <c r="C1774" s="1" t="s">
        <v>35514</v>
      </c>
      <c r="D1774" s="8" t="s">
        <v>35515</v>
      </c>
      <c r="E1774" s="1" t="s">
        <v>35516</v>
      </c>
      <c r="F1774" s="6" t="s">
        <v>132</v>
      </c>
      <c r="G1774" s="1" t="s">
        <v>35517</v>
      </c>
      <c r="H1774" s="1" t="s">
        <v>35518</v>
      </c>
      <c r="I1774" s="1" t="s">
        <v>35514</v>
      </c>
      <c r="J1774" s="6" t="s">
        <v>35519</v>
      </c>
      <c r="K1774" s="1" t="s">
        <v>35520</v>
      </c>
      <c r="L1774" s="1" t="s">
        <v>35521</v>
      </c>
      <c r="M1774" s="1" t="s">
        <v>35522</v>
      </c>
      <c r="N1774" s="6" t="s">
        <v>132</v>
      </c>
      <c r="O1774" s="6" t="s">
        <v>35523</v>
      </c>
      <c r="P1774" s="1" t="s">
        <v>35524</v>
      </c>
      <c r="Q1774" s="1" t="s">
        <v>35525</v>
      </c>
      <c r="R1774" s="1" t="s">
        <v>35526</v>
      </c>
      <c r="S1774" s="10" t="s">
        <v>35527</v>
      </c>
      <c r="T1774" s="1" t="s">
        <v>35528</v>
      </c>
      <c r="U1774" s="1" t="s">
        <v>35529</v>
      </c>
      <c r="V1774" s="1" t="s">
        <v>35530</v>
      </c>
      <c r="W1774" s="1" t="s">
        <v>35531</v>
      </c>
      <c r="X1774" s="1" t="s">
        <v>35518</v>
      </c>
      <c r="Y1774" s="1" t="s">
        <v>35532</v>
      </c>
      <c r="Z1774" s="1" t="s">
        <v>35533</v>
      </c>
      <c r="AA1774" s="1" t="s">
        <v>35534</v>
      </c>
      <c r="AB1774" s="1" t="s">
        <v>35535</v>
      </c>
      <c r="AC1774" s="1" t="s">
        <v>35536</v>
      </c>
      <c r="AD1774" s="6" t="s">
        <v>35537</v>
      </c>
      <c r="AE1774" s="1" t="s">
        <v>35538</v>
      </c>
      <c r="AF1774" s="1" t="s">
        <v>35539</v>
      </c>
      <c r="AG1774" s="6" t="s">
        <v>35540</v>
      </c>
      <c r="AH1774" s="1" t="s">
        <v>35541</v>
      </c>
      <c r="AI1774" s="6" t="s">
        <v>132</v>
      </c>
      <c r="AJ1774" s="6" t="s">
        <v>35542</v>
      </c>
      <c r="AK1774" s="1" t="s">
        <v>35543</v>
      </c>
      <c r="AL1774" s="6" t="s">
        <v>35544</v>
      </c>
    </row>
    <row r="1775" ht="15.75" hidden="1" customHeight="1">
      <c r="A1775" s="1" t="s">
        <v>38</v>
      </c>
      <c r="B1775" s="1" t="s">
        <v>35545</v>
      </c>
      <c r="C1775" s="1" t="s">
        <v>35546</v>
      </c>
      <c r="D1775" s="7" t="str">
        <f>IFERROR(__xludf.DUMMYFUNCTION("GOOGLETRANSLATE(C1775, ""en"", ""ar"")"),"أوكرانيا")</f>
        <v>أوكرانيا</v>
      </c>
      <c r="E1775" s="7" t="str">
        <f>IFERROR(__xludf.DUMMYFUNCTION("GOOGLETRANSLATE(C1775, ""en"", ""bg"")"),"Украйна")</f>
        <v>Украйна</v>
      </c>
      <c r="F1775" s="6" t="s">
        <v>132</v>
      </c>
      <c r="G1775" s="7" t="str">
        <f>IFERROR(__xludf.DUMMYFUNCTION("GOOGLETRANSLATE(C1775, ""en"", ""cs"")"),"Ukrajina")</f>
        <v>Ukrajina</v>
      </c>
      <c r="H1775" s="7" t="str">
        <f>IFERROR(__xludf.DUMMYFUNCTION("GOOGLETRANSLATE(C1775, ""en"", ""da"")"),"Ukraine.")</f>
        <v>Ukraine.</v>
      </c>
      <c r="I1775" s="1" t="s">
        <v>35546</v>
      </c>
      <c r="J1775" s="6" t="s">
        <v>132</v>
      </c>
      <c r="K1775" s="1" t="s">
        <v>35547</v>
      </c>
      <c r="L1775" s="7" t="str">
        <f>IFERROR(__xludf.DUMMYFUNCTION("GOOGLETRANSLATE(C1775, ""en"", ""fi"")"),"Ukraina")</f>
        <v>Ukraina</v>
      </c>
      <c r="M1775" s="1" t="s">
        <v>35546</v>
      </c>
      <c r="N1775" s="6" t="s">
        <v>132</v>
      </c>
      <c r="O1775" s="6" t="s">
        <v>132</v>
      </c>
      <c r="P1775" s="1" t="s">
        <v>35546</v>
      </c>
      <c r="Q1775" s="7" t="str">
        <f>IFERROR(__xludf.DUMMYFUNCTION("GOOGLETRANSLATE(C1775, ""en"", ""in"")"),"Ukraina.")</f>
        <v>Ukraina.</v>
      </c>
      <c r="R1775" s="7" t="str">
        <f>IFERROR(__xludf.DUMMYFUNCTION("GOOGLETRANSLATE(C1775, ""en"", ""it"")"),"Ucraina")</f>
        <v>Ucraina</v>
      </c>
      <c r="S1775" s="6" t="s">
        <v>132</v>
      </c>
      <c r="T1775" s="7" t="str">
        <f>IFERROR(__xludf.DUMMYFUNCTION("GOOGLETRANSLATE(C1775, ""en"", ""ja"")"),"ウクライナ")</f>
        <v>ウクライナ</v>
      </c>
      <c r="U1775" s="7" t="str">
        <f>IFERROR(__xludf.DUMMYFUNCTION("GOOGLETRANSLATE(C1775, ""en"", ""ko"")"),"우크라이나")</f>
        <v>우크라이나</v>
      </c>
      <c r="V1775" s="7" t="str">
        <f>IFERROR(__xludf.DUMMYFUNCTION("GOOGLETRANSLATE(C1775, ""en"", ""ms"")"),"Ukraine.")</f>
        <v>Ukraine.</v>
      </c>
      <c r="W1775" s="7" t="str">
        <f>IFERROR(__xludf.DUMMYFUNCTION("GOOGLETRANSLATE(C1775, ""en"", ""nl"")"),"Oekraïne")</f>
        <v>Oekraïne</v>
      </c>
      <c r="X1775" s="7" t="str">
        <f>IFERROR(__xludf.DUMMYFUNCTION("GOOGLETRANSLATE(C1775, ""en"", ""no"")"),"Ukraina")</f>
        <v>Ukraina</v>
      </c>
      <c r="Y1775" s="7" t="str">
        <f>IFERROR(__xludf.DUMMYFUNCTION("GOOGLETRANSLATE(C1775, ""en"", ""pl"")"),"Ukraina")</f>
        <v>Ukraina</v>
      </c>
      <c r="Z1775" s="7" t="str">
        <f>IFERROR(__xludf.DUMMYFUNCTION("GOOGLETRANSLATE(C1775, ""en"", ""pt"")"),"Ucrânia")</f>
        <v>Ucrânia</v>
      </c>
      <c r="AA1775" s="7" t="str">
        <f>IFERROR(__xludf.DUMMYFUNCTION("GOOGLETRANSLATE(C1775, ""en"", ""ro"")"),"Ucraina")</f>
        <v>Ucraina</v>
      </c>
      <c r="AB1775" s="1" t="s">
        <v>35548</v>
      </c>
      <c r="AC1775" s="7" t="str">
        <f>IFERROR(__xludf.DUMMYFUNCTION("GOOGLETRANSLATE(C1775, ""en"", ""sk"")"),"Ukrajina")</f>
        <v>Ukrajina</v>
      </c>
      <c r="AD1775" s="6" t="s">
        <v>132</v>
      </c>
      <c r="AE1775" s="1" t="s">
        <v>35549</v>
      </c>
      <c r="AF1775" s="7" t="str">
        <f>IFERROR(__xludf.DUMMYFUNCTION("GOOGLETRANSLATE(C1775, ""en"", ""sv"")"),"Ukrain")</f>
        <v>Ukrain</v>
      </c>
      <c r="AG1775" s="6" t="s">
        <v>132</v>
      </c>
      <c r="AH1775" s="7" t="str">
        <f>IFERROR(__xludf.DUMMYFUNCTION("GOOGLETRANSLATE(C1775, ""en"", ""tr"")"),"Ukrayna")</f>
        <v>Ukrayna</v>
      </c>
      <c r="AI1775" s="6" t="s">
        <v>132</v>
      </c>
      <c r="AJ1775" s="6" t="s">
        <v>132</v>
      </c>
      <c r="AK1775" s="7" t="str">
        <f>IFERROR(__xludf.DUMMYFUNCTION("GOOGLETRANSLATE(C1775, ""en"", ""zh"")"),"乌克兰")</f>
        <v>乌克兰</v>
      </c>
      <c r="AL1775" s="6" t="s">
        <v>132</v>
      </c>
    </row>
    <row r="1776" ht="15.75" customHeight="1">
      <c r="A1776" s="1" t="s">
        <v>127</v>
      </c>
      <c r="B1776" s="1" t="s">
        <v>35550</v>
      </c>
      <c r="C1776" s="1" t="s">
        <v>3279</v>
      </c>
      <c r="D1776" s="8" t="s">
        <v>23953</v>
      </c>
      <c r="E1776" s="1" t="s">
        <v>23954</v>
      </c>
      <c r="F1776" s="6" t="s">
        <v>132</v>
      </c>
      <c r="G1776" s="1" t="s">
        <v>23955</v>
      </c>
      <c r="H1776" s="1" t="s">
        <v>23956</v>
      </c>
      <c r="I1776" s="1" t="s">
        <v>35551</v>
      </c>
      <c r="J1776" s="6" t="s">
        <v>3279</v>
      </c>
      <c r="K1776" s="1" t="s">
        <v>3279</v>
      </c>
      <c r="L1776" s="1" t="s">
        <v>23957</v>
      </c>
      <c r="M1776" s="1" t="s">
        <v>3279</v>
      </c>
      <c r="N1776" s="6" t="s">
        <v>132</v>
      </c>
      <c r="O1776" s="6" t="s">
        <v>23958</v>
      </c>
      <c r="P1776" s="1" t="s">
        <v>3279</v>
      </c>
      <c r="Q1776" s="1" t="s">
        <v>23959</v>
      </c>
      <c r="R1776" s="1" t="s">
        <v>3279</v>
      </c>
      <c r="S1776" s="10" t="s">
        <v>23960</v>
      </c>
      <c r="T1776" s="1" t="s">
        <v>3271</v>
      </c>
      <c r="U1776" s="1" t="s">
        <v>3279</v>
      </c>
      <c r="V1776" s="1" t="s">
        <v>23959</v>
      </c>
      <c r="W1776" s="1" t="s">
        <v>3279</v>
      </c>
      <c r="X1776" s="1" t="s">
        <v>23956</v>
      </c>
      <c r="Y1776" s="1" t="s">
        <v>3279</v>
      </c>
      <c r="Z1776" s="1" t="s">
        <v>3279</v>
      </c>
      <c r="AA1776" s="1" t="s">
        <v>3279</v>
      </c>
      <c r="AB1776" s="1" t="s">
        <v>23961</v>
      </c>
      <c r="AC1776" s="1" t="s">
        <v>3279</v>
      </c>
      <c r="AD1776" s="6" t="s">
        <v>23962</v>
      </c>
      <c r="AE1776" s="1" t="s">
        <v>3279</v>
      </c>
      <c r="AF1776" s="1" t="s">
        <v>3279</v>
      </c>
      <c r="AG1776" s="6" t="s">
        <v>3279</v>
      </c>
      <c r="AH1776" s="1" t="s">
        <v>23963</v>
      </c>
      <c r="AI1776" s="6" t="s">
        <v>132</v>
      </c>
      <c r="AJ1776" s="6" t="s">
        <v>3279</v>
      </c>
      <c r="AK1776" s="1" t="s">
        <v>23964</v>
      </c>
      <c r="AL1776" s="6" t="s">
        <v>23965</v>
      </c>
    </row>
    <row r="1777" ht="15.75" customHeight="1">
      <c r="A1777" s="1" t="s">
        <v>127</v>
      </c>
      <c r="B1777" s="1" t="s">
        <v>35552</v>
      </c>
      <c r="C1777" s="1" t="s">
        <v>35553</v>
      </c>
      <c r="D1777" s="8" t="s">
        <v>35554</v>
      </c>
      <c r="E1777" s="1" t="s">
        <v>35555</v>
      </c>
      <c r="F1777" s="6" t="s">
        <v>132</v>
      </c>
      <c r="G1777" s="1" t="s">
        <v>35556</v>
      </c>
      <c r="H1777" s="1" t="s">
        <v>35557</v>
      </c>
      <c r="I1777" s="1" t="s">
        <v>35558</v>
      </c>
      <c r="J1777" s="6" t="s">
        <v>35559</v>
      </c>
      <c r="K1777" s="1" t="s">
        <v>35560</v>
      </c>
      <c r="L1777" s="1" t="s">
        <v>35561</v>
      </c>
      <c r="M1777" s="1" t="s">
        <v>35562</v>
      </c>
      <c r="N1777" s="6" t="s">
        <v>132</v>
      </c>
      <c r="O1777" s="6" t="s">
        <v>35563</v>
      </c>
      <c r="P1777" s="1" t="s">
        <v>35564</v>
      </c>
      <c r="Q1777" s="1" t="s">
        <v>35565</v>
      </c>
      <c r="R1777" s="1" t="s">
        <v>35566</v>
      </c>
      <c r="S1777" s="10" t="s">
        <v>35567</v>
      </c>
      <c r="T1777" s="1" t="s">
        <v>35568</v>
      </c>
      <c r="U1777" s="1" t="s">
        <v>35569</v>
      </c>
      <c r="V1777" s="1" t="s">
        <v>35570</v>
      </c>
      <c r="W1777" s="1" t="s">
        <v>35571</v>
      </c>
      <c r="X1777" s="1" t="s">
        <v>35572</v>
      </c>
      <c r="Y1777" s="1" t="s">
        <v>35573</v>
      </c>
      <c r="Z1777" s="1" t="s">
        <v>35574</v>
      </c>
      <c r="AA1777" s="1" t="s">
        <v>35575</v>
      </c>
      <c r="AB1777" s="1" t="s">
        <v>35576</v>
      </c>
      <c r="AC1777" s="1" t="s">
        <v>35577</v>
      </c>
      <c r="AD1777" s="6" t="s">
        <v>35578</v>
      </c>
      <c r="AE1777" s="1" t="s">
        <v>35579</v>
      </c>
      <c r="AF1777" s="1" t="s">
        <v>35580</v>
      </c>
      <c r="AG1777" s="6" t="s">
        <v>35581</v>
      </c>
      <c r="AH1777" s="1" t="s">
        <v>35582</v>
      </c>
      <c r="AI1777" s="6" t="s">
        <v>132</v>
      </c>
      <c r="AJ1777" s="6" t="s">
        <v>35583</v>
      </c>
      <c r="AK1777" s="1" t="s">
        <v>35584</v>
      </c>
      <c r="AL1777" s="6" t="s">
        <v>35585</v>
      </c>
    </row>
    <row r="1778" ht="15.75" hidden="1" customHeight="1">
      <c r="A1778" s="1" t="s">
        <v>38</v>
      </c>
      <c r="B1778" s="1" t="s">
        <v>35586</v>
      </c>
      <c r="C1778" s="1" t="s">
        <v>35587</v>
      </c>
      <c r="D1778" s="7" t="str">
        <f>IFERROR(__xludf.DUMMYFUNCTION("GOOGLETRANSLATE(C1778, ""en"", ""ar"")"),"إخفاء: ينظر، تسليمها، الطباعة ...")</f>
        <v>إخفاء: ينظر، تسليمها، الطباعة ...</v>
      </c>
      <c r="E1778" s="7" t="str">
        <f>IFERROR(__xludf.DUMMYFUNCTION("GOOGLETRANSLATE(C1778, ""en"", ""bg"")"),"Укратка: видяна, доставена, пишеща ...")</f>
        <v>Укратка: видяна, доставена, пишеща ...</v>
      </c>
      <c r="F1778" s="6" t="s">
        <v>132</v>
      </c>
      <c r="G1778" s="7" t="str">
        <f>IFERROR(__xludf.DUMMYFUNCTION("GOOGLETRANSLATE(C1778, ""en"", ""cs"")"),"Zkromnit: viditelný, dodaný, psaní ...")</f>
        <v>Zkromnit: viditelný, dodaný, psaní ...</v>
      </c>
      <c r="H1778" s="7" t="str">
        <f>IFERROR(__xludf.DUMMYFUNCTION("GOOGLETRANSLATE(C1778, ""en"", ""da"")"),"Unhide: set, leveret, skrive ...")</f>
        <v>Unhide: set, leveret, skrive ...</v>
      </c>
      <c r="I1778" s="1" t="s">
        <v>35588</v>
      </c>
      <c r="J1778" s="6" t="s">
        <v>132</v>
      </c>
      <c r="K1778" s="1" t="s">
        <v>35589</v>
      </c>
      <c r="L1778" s="7" t="str">
        <f>IFERROR(__xludf.DUMMYFUNCTION("GOOGLETRANSLATE(C1778, ""en"", ""fi"")"),"Unhide: Näytetään, toimitetaan, kirjoittamalla ...")</f>
        <v>Unhide: Näytetään, toimitetaan, kirjoittamalla ...</v>
      </c>
      <c r="M1778" s="1" t="s">
        <v>35590</v>
      </c>
      <c r="N1778" s="6" t="s">
        <v>132</v>
      </c>
      <c r="O1778" s="6" t="s">
        <v>132</v>
      </c>
      <c r="P1778" s="1" t="s">
        <v>35589</v>
      </c>
      <c r="Q1778" s="7" t="str">
        <f>IFERROR(__xludf.DUMMYFUNCTION("GOOGLETRANSLATE(C1778, ""en"", ""in"")"),"Perlu: Terlihat, Disampaikan, Mengetik ...")</f>
        <v>Perlu: Terlihat, Disampaikan, Mengetik ...</v>
      </c>
      <c r="R1778" s="7" t="str">
        <f>IFERROR(__xludf.DUMMYFUNCTION("GOOGLETRANSLATE(C1778, ""en"", ""it"")"),"Sospensione: visto, consegnato, digitando ...")</f>
        <v>Sospensione: visto, consegnato, digitando ...</v>
      </c>
      <c r="S1778" s="6" t="s">
        <v>132</v>
      </c>
      <c r="T1778" s="7" t="str">
        <f>IFERROR(__xludf.DUMMYFUNCTION("GOOGLETRANSLATE(C1778, ""en"", ""ja"")"),"表示されていない、配信、タイピング...")</f>
        <v>表示されていない、配信、タイピング...</v>
      </c>
      <c r="U1778" s="7" t="str">
        <f>IFERROR(__xludf.DUMMYFUNCTION("GOOGLETRANSLATE(C1778, ""en"", ""ko"")"),"숨김 이하 : 보이고, 배달, 타이핑 ...")</f>
        <v>숨김 이하 : 보이고, 배달, 타이핑 ...</v>
      </c>
      <c r="V1778" s="7" t="str">
        <f>IFERROR(__xludf.DUMMYFUNCTION("GOOGLETRANSLATE(C1778, ""en"", ""ms"")"),"Unhide: dilihat, dihantar, menaip ...")</f>
        <v>Unhide: dilihat, dihantar, menaip ...</v>
      </c>
      <c r="W1778" s="7" t="str">
        <f>IFERROR(__xludf.DUMMYFUNCTION("GOOGLETRANSLATE(C1778, ""en"", ""nl"")"),"Zichtbaar: gezien, afgeleverd, typen ...")</f>
        <v>Zichtbaar: gezien, afgeleverd, typen ...</v>
      </c>
      <c r="X1778" s="7" t="str">
        <f>IFERROR(__xludf.DUMMYFUNCTION("GOOGLETRANSLATE(C1778, ""en"", ""no"")"),"Unhide: sett, levert, skrive ...")</f>
        <v>Unhide: sett, levert, skrive ...</v>
      </c>
      <c r="Y1778" s="7" t="str">
        <f>IFERROR(__xludf.DUMMYFUNCTION("GOOGLETRANSLATE(C1778, ""en"", ""pl"")"),"Odkryj: Widziany, dostarczany, wpisując ...")</f>
        <v>Odkryj: Widziany, dostarczany, wpisując ...</v>
      </c>
      <c r="Z1778" s="7" t="str">
        <f>IFERROR(__xludf.DUMMYFUNCTION("GOOGLETRANSLATE(C1778, ""en"", ""pt"")"),"Unhide: visto, entregue, digitando ...")</f>
        <v>Unhide: visto, entregue, digitando ...</v>
      </c>
      <c r="AA1778" s="7" t="str">
        <f>IFERROR(__xludf.DUMMYFUNCTION("GOOGLETRANSLATE(C1778, ""en"", ""ro"")"),"Unhide: văzut, livrat, tastând ...")</f>
        <v>Unhide: văzut, livrat, tastând ...</v>
      </c>
      <c r="AB1778" s="1" t="s">
        <v>35589</v>
      </c>
      <c r="AC1778" s="7" t="str">
        <f>IFERROR(__xludf.DUMMYFUNCTION("GOOGLETRANSLATE(C1778, ""en"", ""sk"")"),"Nechutné: videné, dodané, písanie ...")</f>
        <v>Nechutné: videné, dodané, písanie ...</v>
      </c>
      <c r="AD1778" s="6" t="s">
        <v>132</v>
      </c>
      <c r="AE1778" s="1" t="s">
        <v>35591</v>
      </c>
      <c r="AF1778" s="7" t="str">
        <f>IFERROR(__xludf.DUMMYFUNCTION("GOOGLETRANSLATE(C1778, ""en"", ""sv"")"),"Unhide: sett, levereras, skriver ...")</f>
        <v>Unhide: sett, levereras, skriver ...</v>
      </c>
      <c r="AG1778" s="6" t="s">
        <v>132</v>
      </c>
      <c r="AH1778" s="7" t="str">
        <f>IFERROR(__xludf.DUMMYFUNCTION("GOOGLETRANSLATE(C1778, ""en"", ""tr"")"),"Gösterme: Görüldü, Teslim Edildi, Yazma ...")</f>
        <v>Gösterme: Görüldü, Teslim Edildi, Yazma ...</v>
      </c>
      <c r="AI1778" s="6" t="s">
        <v>132</v>
      </c>
      <c r="AJ1778" s="6" t="s">
        <v>132</v>
      </c>
      <c r="AK1778" s="7" t="str">
        <f>IFERROR(__xludf.DUMMYFUNCTION("GOOGLETRANSLATE(C1778, ""en"", ""zh"")"),"取消隐藏：看到，交付，打字......")</f>
        <v>取消隐藏：看到，交付，打字......</v>
      </c>
      <c r="AL1778" s="6" t="s">
        <v>132</v>
      </c>
    </row>
    <row r="1779" ht="15.75" hidden="1" customHeight="1">
      <c r="A1779" s="1" t="s">
        <v>38</v>
      </c>
      <c r="B1779" s="1" t="s">
        <v>35592</v>
      </c>
      <c r="C1779" s="1" t="s">
        <v>35593</v>
      </c>
      <c r="D1779" s="7" t="str">
        <f>IFERROR(__xludf.DUMMYFUNCTION("GOOGLETRANSLATE(C1779, ""en"", ""ar"")"),"توفالو")</f>
        <v>توفالو</v>
      </c>
      <c r="E1779" s="7" t="str">
        <f>IFERROR(__xludf.DUMMYFUNCTION("GOOGLETRANSLATE(C1779, ""en"", ""bg"")"),"Тувалу")</f>
        <v>Тувалу</v>
      </c>
      <c r="F1779" s="6" t="s">
        <v>132</v>
      </c>
      <c r="G1779" s="7" t="str">
        <f>IFERROR(__xludf.DUMMYFUNCTION("GOOGLETRANSLATE(C1779, ""en"", ""cs"")"),"Tuvalu.")</f>
        <v>Tuvalu.</v>
      </c>
      <c r="H1779" s="7" t="str">
        <f>IFERROR(__xludf.DUMMYFUNCTION("GOOGLETRANSLATE(C1779, ""en"", ""da"")"),"Tuvalu.")</f>
        <v>Tuvalu.</v>
      </c>
      <c r="I1779" s="1" t="s">
        <v>35593</v>
      </c>
      <c r="J1779" s="6" t="s">
        <v>132</v>
      </c>
      <c r="K1779" s="1" t="s">
        <v>35593</v>
      </c>
      <c r="L1779" s="7" t="str">
        <f>IFERROR(__xludf.DUMMYFUNCTION("GOOGLETRANSLATE(C1779, ""en"", ""fi"")"),"Tuvalu")</f>
        <v>Tuvalu</v>
      </c>
      <c r="M1779" s="1" t="s">
        <v>35593</v>
      </c>
      <c r="N1779" s="6" t="s">
        <v>132</v>
      </c>
      <c r="O1779" s="6" t="s">
        <v>132</v>
      </c>
      <c r="P1779" s="1" t="s">
        <v>35593</v>
      </c>
      <c r="Q1779" s="7" t="str">
        <f>IFERROR(__xludf.DUMMYFUNCTION("GOOGLETRANSLATE(C1779, ""en"", ""in"")"),"Tuvalu.")</f>
        <v>Tuvalu.</v>
      </c>
      <c r="R1779" s="7" t="str">
        <f>IFERROR(__xludf.DUMMYFUNCTION("GOOGLETRANSLATE(C1779, ""en"", ""it"")"),"Tuvalu.")</f>
        <v>Tuvalu.</v>
      </c>
      <c r="S1779" s="6" t="s">
        <v>132</v>
      </c>
      <c r="T1779" s="7" t="str">
        <f>IFERROR(__xludf.DUMMYFUNCTION("GOOGLETRANSLATE(C1779, ""en"", ""ja"")"),"タウバル")</f>
        <v>タウバル</v>
      </c>
      <c r="U1779" s="7" t="str">
        <f>IFERROR(__xludf.DUMMYFUNCTION("GOOGLETRANSLATE(C1779, ""en"", ""ko"")"),"투발루")</f>
        <v>투발루</v>
      </c>
      <c r="V1779" s="7" t="str">
        <f>IFERROR(__xludf.DUMMYFUNCTION("GOOGLETRANSLATE(C1779, ""en"", ""ms"")"),"Tuvalu.")</f>
        <v>Tuvalu.</v>
      </c>
      <c r="W1779" s="7" t="str">
        <f>IFERROR(__xludf.DUMMYFUNCTION("GOOGLETRANSLATE(C1779, ""en"", ""nl"")"),"Tuvaluu")</f>
        <v>Tuvaluu</v>
      </c>
      <c r="X1779" s="7" t="str">
        <f>IFERROR(__xludf.DUMMYFUNCTION("GOOGLETRANSLATE(C1779, ""en"", ""no"")"),"Tuvalu.")</f>
        <v>Tuvalu.</v>
      </c>
      <c r="Y1779" s="7" t="str">
        <f>IFERROR(__xludf.DUMMYFUNCTION("GOOGLETRANSLATE(C1779, ""en"", ""pl"")"),"Tuvalu.")</f>
        <v>Tuvalu.</v>
      </c>
      <c r="Z1779" s="7" t="str">
        <f>IFERROR(__xludf.DUMMYFUNCTION("GOOGLETRANSLATE(C1779, ""en"", ""pt"")"),"Tuvalu.")</f>
        <v>Tuvalu.</v>
      </c>
      <c r="AA1779" s="7" t="str">
        <f>IFERROR(__xludf.DUMMYFUNCTION("GOOGLETRANSLATE(C1779, ""en"", ""ro"")"),"Tuvalu.")</f>
        <v>Tuvalu.</v>
      </c>
      <c r="AB1779" s="1" t="s">
        <v>35594</v>
      </c>
      <c r="AC1779" s="7" t="str">
        <f>IFERROR(__xludf.DUMMYFUNCTION("GOOGLETRANSLATE(C1779, ""en"", ""sk"")"),"TUVALU")</f>
        <v>TUVALU</v>
      </c>
      <c r="AD1779" s="6" t="s">
        <v>132</v>
      </c>
      <c r="AE1779" s="1" t="s">
        <v>35593</v>
      </c>
      <c r="AF1779" s="7" t="str">
        <f>IFERROR(__xludf.DUMMYFUNCTION("GOOGLETRANSLATE(C1779, ""en"", ""sv"")"),"Tuvalu")</f>
        <v>Tuvalu</v>
      </c>
      <c r="AG1779" s="6" t="s">
        <v>132</v>
      </c>
      <c r="AH1779" s="7" t="str">
        <f>IFERROR(__xludf.DUMMYFUNCTION("GOOGLETRANSLATE(C1779, ""en"", ""tr"")"),"Tuval")</f>
        <v>Tuval</v>
      </c>
      <c r="AI1779" s="6" t="s">
        <v>132</v>
      </c>
      <c r="AJ1779" s="6" t="s">
        <v>132</v>
      </c>
      <c r="AK1779" s="7" t="str">
        <f>IFERROR(__xludf.DUMMYFUNCTION("GOOGLETRANSLATE(C1779, ""en"", ""zh"")"),"图瓦卢")</f>
        <v>图瓦卢</v>
      </c>
      <c r="AL1779" s="6" t="s">
        <v>132</v>
      </c>
    </row>
    <row r="1780" ht="15.75" hidden="1" customHeight="1">
      <c r="A1780" s="1" t="s">
        <v>38</v>
      </c>
      <c r="B1780" s="1" t="s">
        <v>35595</v>
      </c>
      <c r="C1780" s="1" t="s">
        <v>35596</v>
      </c>
      <c r="D1780" s="7" t="str">
        <f>IFERROR(__xludf.DUMMYFUNCTION("GOOGLETRANSLATE(C1780, ""en"", ""ar"")"),"لم يتم تشفير الرسالة لهذا الجهاز.")</f>
        <v>لم يتم تشفير الرسالة لهذا الجهاز.</v>
      </c>
      <c r="E1780" s="1" t="s">
        <v>35597</v>
      </c>
      <c r="F1780" s="6" t="s">
        <v>35598</v>
      </c>
      <c r="G1780" s="7" t="str">
        <f>IFERROR(__xludf.DUMMYFUNCTION("GOOGLETRANSLATE(C1780, ""en"", ""cs"")"),"Zpráva nebyla pro toto zařízení šifrována.")</f>
        <v>Zpráva nebyla pro toto zařízení šifrována.</v>
      </c>
      <c r="H1780" s="7" t="str">
        <f>IFERROR(__xludf.DUMMYFUNCTION("GOOGLETRANSLATE(C1780, ""en"", ""da"")"),"Meddelelsen blev ikke krypteret for denne enhed.")</f>
        <v>Meddelelsen blev ikke krypteret for denne enhed.</v>
      </c>
      <c r="I1780" s="1" t="s">
        <v>35599</v>
      </c>
      <c r="J1780" s="6" t="s">
        <v>132</v>
      </c>
      <c r="K1780" s="1" t="s">
        <v>35600</v>
      </c>
      <c r="L1780" s="7" t="str">
        <f>IFERROR(__xludf.DUMMYFUNCTION("GOOGLETRANSLATE(C1780, ""en"", ""fi"")"),"Viestiä ei ole salattu tähän laitteeseen.")</f>
        <v>Viestiä ei ole salattu tähän laitteeseen.</v>
      </c>
      <c r="M1780" s="1" t="s">
        <v>35601</v>
      </c>
      <c r="N1780" s="6" t="s">
        <v>35602</v>
      </c>
      <c r="O1780" s="6" t="s">
        <v>132</v>
      </c>
      <c r="P1780" s="1" t="s">
        <v>35603</v>
      </c>
      <c r="Q1780" s="7" t="str">
        <f>IFERROR(__xludf.DUMMYFUNCTION("GOOGLETRANSLATE(C1780, ""en"", ""in"")"),"Pesan tidak dienkripsi untuk perangkat ini.")</f>
        <v>Pesan tidak dienkripsi untuk perangkat ini.</v>
      </c>
      <c r="R1780" s="1" t="s">
        <v>35604</v>
      </c>
      <c r="S1780" s="6" t="s">
        <v>132</v>
      </c>
      <c r="T1780" s="1" t="s">
        <v>35605</v>
      </c>
      <c r="U1780" s="7" t="str">
        <f>IFERROR(__xludf.DUMMYFUNCTION("GOOGLETRANSLATE(C1780, ""en"", ""ko"")"),"이 장치에 대한 메시지가 암호화되지 않았습니다.")</f>
        <v>이 장치에 대한 메시지가 암호화되지 않았습니다.</v>
      </c>
      <c r="V1780" s="7" t="str">
        <f>IFERROR(__xludf.DUMMYFUNCTION("GOOGLETRANSLATE(C1780, ""en"", ""ms"")"),"Mesej tidak disulitkan untuk peranti ini.")</f>
        <v>Mesej tidak disulitkan untuk peranti ini.</v>
      </c>
      <c r="W1780" s="1" t="s">
        <v>35606</v>
      </c>
      <c r="X1780" s="7" t="str">
        <f>IFERROR(__xludf.DUMMYFUNCTION("GOOGLETRANSLATE(C1780, ""en"", ""no"")"),"Meldingen ble ikke kryptert for denne enheten.")</f>
        <v>Meldingen ble ikke kryptert for denne enheten.</v>
      </c>
      <c r="Y1780" s="1" t="s">
        <v>35607</v>
      </c>
      <c r="Z1780" s="7" t="str">
        <f>IFERROR(__xludf.DUMMYFUNCTION("GOOGLETRANSLATE(C1780, ""en"", ""pt"")"),"Mensagem não foi criptografada para este dispositivo.")</f>
        <v>Mensagem não foi criptografada para este dispositivo.</v>
      </c>
      <c r="AA1780" s="7" t="str">
        <f>IFERROR(__xludf.DUMMYFUNCTION("GOOGLETRANSLATE(C1780, ""en"", ""ro"")"),"Mesajul nu a fost criptat pentru acest dispozitiv.")</f>
        <v>Mesajul nu a fost criptat pentru acest dispozitiv.</v>
      </c>
      <c r="AB1780" s="7" t="str">
        <f>IFERROR(__xludf.DUMMYFUNCTION("GOOGLETRANSLATE(C1780, ""en"", ""ru"")"),"Сообщение не было зашифровано для этого устройства.")</f>
        <v>Сообщение не было зашифровано для этого устройства.</v>
      </c>
      <c r="AC1780" s="7" t="str">
        <f>IFERROR(__xludf.DUMMYFUNCTION("GOOGLETRANSLATE(C1780, ""en"", ""sk"")"),"Pre toto zariadenie nebolo zašifrované.")</f>
        <v>Pre toto zariadenie nebolo zašifrované.</v>
      </c>
      <c r="AD1780" s="6" t="s">
        <v>132</v>
      </c>
      <c r="AE1780" s="7" t="str">
        <f>IFERROR(__xludf.DUMMYFUNCTION("GOOGLETRANSLATE(C1780, ""en"", ""sr"")"),"Порука није била шифрована за овај уређај.")</f>
        <v>Порука није била шифрована за овај уређај.</v>
      </c>
      <c r="AF1780" s="7" t="str">
        <f>IFERROR(__xludf.DUMMYFUNCTION("GOOGLETRANSLATE(C1780, ""en"", ""sv"")"),"Meddelandet krypterades inte för den här enheten.")</f>
        <v>Meddelandet krypterades inte för den här enheten.</v>
      </c>
      <c r="AG1780" s="6" t="s">
        <v>132</v>
      </c>
      <c r="AH1780" s="7" t="str">
        <f>IFERROR(__xludf.DUMMYFUNCTION("GOOGLETRANSLATE(C1780, ""en"", ""tr"")"),"Mesaj bu cihaz için şifrelenmedi.")</f>
        <v>Mesaj bu cihaz için şifrelenmedi.</v>
      </c>
      <c r="AI1780" s="6" t="s">
        <v>132</v>
      </c>
      <c r="AJ1780" s="6" t="s">
        <v>132</v>
      </c>
      <c r="AK1780" s="7" t="str">
        <f>IFERROR(__xludf.DUMMYFUNCTION("GOOGLETRANSLATE(C1780, ""en"", ""zh"")"),"此设备未加密消息。")</f>
        <v>此设备未加密消息。</v>
      </c>
      <c r="AL1780" s="6" t="s">
        <v>132</v>
      </c>
    </row>
    <row r="1781" ht="15.75" customHeight="1">
      <c r="A1781" s="1" t="s">
        <v>127</v>
      </c>
      <c r="B1781" s="1" t="s">
        <v>35608</v>
      </c>
      <c r="C1781" s="1" t="s">
        <v>35609</v>
      </c>
      <c r="D1781" s="8" t="s">
        <v>35610</v>
      </c>
      <c r="E1781" s="1" t="s">
        <v>35611</v>
      </c>
      <c r="F1781" s="6" t="s">
        <v>132</v>
      </c>
      <c r="G1781" s="1" t="s">
        <v>35612</v>
      </c>
      <c r="H1781" s="1" t="s">
        <v>35613</v>
      </c>
      <c r="I1781" s="1" t="s">
        <v>35614</v>
      </c>
      <c r="J1781" s="6" t="s">
        <v>35615</v>
      </c>
      <c r="K1781" s="1" t="s">
        <v>35616</v>
      </c>
      <c r="L1781" s="1" t="s">
        <v>35617</v>
      </c>
      <c r="M1781" s="1" t="s">
        <v>35618</v>
      </c>
      <c r="N1781" s="6" t="s">
        <v>132</v>
      </c>
      <c r="O1781" s="6" t="s">
        <v>35619</v>
      </c>
      <c r="P1781" s="1" t="s">
        <v>35620</v>
      </c>
      <c r="Q1781" s="1" t="s">
        <v>35621</v>
      </c>
      <c r="R1781" s="1" t="s">
        <v>35622</v>
      </c>
      <c r="S1781" s="10" t="s">
        <v>35623</v>
      </c>
      <c r="T1781" s="1" t="s">
        <v>35624</v>
      </c>
      <c r="U1781" s="1" t="s">
        <v>35625</v>
      </c>
      <c r="V1781" s="1" t="s">
        <v>35626</v>
      </c>
      <c r="W1781" s="1" t="s">
        <v>35627</v>
      </c>
      <c r="X1781" s="1" t="s">
        <v>35628</v>
      </c>
      <c r="Y1781" s="1" t="s">
        <v>35629</v>
      </c>
      <c r="Z1781" s="1" t="s">
        <v>35630</v>
      </c>
      <c r="AA1781" s="1" t="s">
        <v>35631</v>
      </c>
      <c r="AB1781" s="1" t="s">
        <v>35632</v>
      </c>
      <c r="AC1781" s="1" t="s">
        <v>35633</v>
      </c>
      <c r="AD1781" s="6" t="s">
        <v>35634</v>
      </c>
      <c r="AE1781" s="1" t="s">
        <v>35635</v>
      </c>
      <c r="AF1781" s="1" t="s">
        <v>35636</v>
      </c>
      <c r="AG1781" s="6" t="s">
        <v>35637</v>
      </c>
      <c r="AH1781" s="1" t="s">
        <v>35638</v>
      </c>
      <c r="AI1781" s="6" t="s">
        <v>132</v>
      </c>
      <c r="AJ1781" s="6" t="s">
        <v>35639</v>
      </c>
      <c r="AK1781" s="1" t="s">
        <v>35640</v>
      </c>
      <c r="AL1781" s="6" t="s">
        <v>132</v>
      </c>
    </row>
    <row r="1782" ht="15.75" hidden="1" customHeight="1">
      <c r="A1782" s="1" t="s">
        <v>38</v>
      </c>
      <c r="B1782" s="1" t="s">
        <v>35641</v>
      </c>
      <c r="C1782" s="1" t="s">
        <v>35642</v>
      </c>
      <c r="D1782" s="7" t="str">
        <f>IFERROR(__xludf.DUMMYFUNCTION("GOOGLETRANSLATE(C1782, ""en"", ""ar"")"),"هناك حاجة إلى أذونات جهات الاتصال.")</f>
        <v>هناك حاجة إلى أذونات جهات الاتصال.</v>
      </c>
      <c r="E1782" s="7" t="str">
        <f>IFERROR(__xludf.DUMMYFUNCTION("GOOGLETRANSLATE(C1782, ""en"", ""bg"")"),"Необходими са разрешения за контакти.")</f>
        <v>Необходими са разрешения за контакти.</v>
      </c>
      <c r="F1782" s="6" t="s">
        <v>132</v>
      </c>
      <c r="G1782" s="7" t="str">
        <f>IFERROR(__xludf.DUMMYFUNCTION("GOOGLETRANSLATE(C1782, ""en"", ""cs"")"),"Jsou zapotřebí oprávnění kontaktů.")</f>
        <v>Jsou zapotřebí oprávnění kontaktů.</v>
      </c>
      <c r="H1782" s="7" t="str">
        <f>IFERROR(__xludf.DUMMYFUNCTION("GOOGLETRANSLATE(C1782, ""en"", ""da"")"),"Kontakter tilladelser er nødvendige.")</f>
        <v>Kontakter tilladelser er nødvendige.</v>
      </c>
      <c r="I1782" s="1" t="s">
        <v>35643</v>
      </c>
      <c r="J1782" s="6" t="s">
        <v>132</v>
      </c>
      <c r="K1782" s="1" t="s">
        <v>35644</v>
      </c>
      <c r="L1782" s="7" t="str">
        <f>IFERROR(__xludf.DUMMYFUNCTION("GOOGLETRANSLATE(C1782, ""en"", ""fi"")"),"Yhteyslaitteita tarvitaan.")</f>
        <v>Yhteyslaitteita tarvitaan.</v>
      </c>
      <c r="M1782" s="1" t="s">
        <v>35645</v>
      </c>
      <c r="N1782" s="6" t="s">
        <v>132</v>
      </c>
      <c r="O1782" s="6" t="s">
        <v>132</v>
      </c>
      <c r="P1782" s="1" t="s">
        <v>35646</v>
      </c>
      <c r="Q1782" s="7" t="str">
        <f>IFERROR(__xludf.DUMMYFUNCTION("GOOGLETRANSLATE(C1782, ""en"", ""in"")"),"Diperlukan izin kontak.")</f>
        <v>Diperlukan izin kontak.</v>
      </c>
      <c r="R1782" s="7" t="str">
        <f>IFERROR(__xludf.DUMMYFUNCTION("GOOGLETRANSLATE(C1782, ""en"", ""it"")"),"Le autorizzazioni dei contatti sono necessarie.")</f>
        <v>Le autorizzazioni dei contatti sono necessarie.</v>
      </c>
      <c r="S1782" s="6" t="s">
        <v>132</v>
      </c>
      <c r="T1782" s="7" t="str">
        <f>IFERROR(__xludf.DUMMYFUNCTION("GOOGLETRANSLATE(C1782, ""en"", ""ja"")"),"連絡先許可が必要です。")</f>
        <v>連絡先許可が必要です。</v>
      </c>
      <c r="U1782" s="7" t="str">
        <f>IFERROR(__xludf.DUMMYFUNCTION("GOOGLETRANSLATE(C1782, ""en"", ""ko"")"),"연락처 사용 권한이 필요합니다.")</f>
        <v>연락처 사용 권한이 필요합니다.</v>
      </c>
      <c r="V1782" s="7" t="str">
        <f>IFERROR(__xludf.DUMMYFUNCTION("GOOGLETRANSLATE(C1782, ""en"", ""ms"")"),"Kebenaran kenalan diperlukan.")</f>
        <v>Kebenaran kenalan diperlukan.</v>
      </c>
      <c r="W1782" s="7" t="str">
        <f>IFERROR(__xludf.DUMMYFUNCTION("GOOGLETRANSLATE(C1782, ""en"", ""nl"")"),"Contacten Machtigingen zijn nodig.")</f>
        <v>Contacten Machtigingen zijn nodig.</v>
      </c>
      <c r="X1782" s="7" t="str">
        <f>IFERROR(__xludf.DUMMYFUNCTION("GOOGLETRANSLATE(C1782, ""en"", ""no"")"),"Kontakter Tillatelser er nødvendig.")</f>
        <v>Kontakter Tillatelser er nødvendig.</v>
      </c>
      <c r="Y1782" s="7" t="str">
        <f>IFERROR(__xludf.DUMMYFUNCTION("GOOGLETRANSLATE(C1782, ""en"", ""pl"")"),"Potrzebne są uprawnienia kontaktów.")</f>
        <v>Potrzebne są uprawnienia kontaktów.</v>
      </c>
      <c r="Z1782" s="7" t="str">
        <f>IFERROR(__xludf.DUMMYFUNCTION("GOOGLETRANSLATE(C1782, ""en"", ""pt"")"),"Contatos Permissões são necessárias.")</f>
        <v>Contatos Permissões são necessárias.</v>
      </c>
      <c r="AA1782" s="7" t="str">
        <f>IFERROR(__xludf.DUMMYFUNCTION("GOOGLETRANSLATE(C1782, ""en"", ""ro"")"),"Sunt necesare permisiuni de contact.")</f>
        <v>Sunt necesare permisiuni de contact.</v>
      </c>
      <c r="AB1782" s="1" t="s">
        <v>35647</v>
      </c>
      <c r="AC1782" s="7" t="str">
        <f>IFERROR(__xludf.DUMMYFUNCTION("GOOGLETRANSLATE(C1782, ""en"", ""sk"")"),"Potrebné sú povolenia kontaktov.")</f>
        <v>Potrebné sú povolenia kontaktov.</v>
      </c>
      <c r="AD1782" s="6" t="s">
        <v>132</v>
      </c>
      <c r="AE1782" s="1" t="s">
        <v>35648</v>
      </c>
      <c r="AF1782" s="7" t="str">
        <f>IFERROR(__xludf.DUMMYFUNCTION("GOOGLETRANSLATE(C1782, ""en"", ""sv"")"),"Kontakter Tillstånd behövs.")</f>
        <v>Kontakter Tillstånd behövs.</v>
      </c>
      <c r="AG1782" s="6" t="s">
        <v>132</v>
      </c>
      <c r="AH1782" s="7" t="str">
        <f>IFERROR(__xludf.DUMMYFUNCTION("GOOGLETRANSLATE(C1782, ""en"", ""tr"")"),"İletişim İzinler gereklidir.")</f>
        <v>İletişim İzinler gereklidir.</v>
      </c>
      <c r="AI1782" s="6" t="s">
        <v>132</v>
      </c>
      <c r="AJ1782" s="6" t="s">
        <v>132</v>
      </c>
      <c r="AK1782" s="7" t="str">
        <f>IFERROR(__xludf.DUMMYFUNCTION("GOOGLETRANSLATE(C1782, ""en"", ""zh"")"),"联系人需要权限。")</f>
        <v>联系人需要权限。</v>
      </c>
      <c r="AL1782" s="6" t="s">
        <v>132</v>
      </c>
    </row>
    <row r="1783" ht="15.75" customHeight="1">
      <c r="A1783" s="1" t="s">
        <v>127</v>
      </c>
      <c r="B1783" s="1" t="s">
        <v>35649</v>
      </c>
      <c r="C1783" s="1" t="s">
        <v>35650</v>
      </c>
      <c r="D1783" s="8" t="s">
        <v>8665</v>
      </c>
      <c r="E1783" s="1" t="s">
        <v>35651</v>
      </c>
      <c r="F1783" s="6" t="s">
        <v>132</v>
      </c>
      <c r="G1783" s="1" t="s">
        <v>35650</v>
      </c>
      <c r="H1783" s="1" t="s">
        <v>35650</v>
      </c>
      <c r="I1783" s="1" t="s">
        <v>35650</v>
      </c>
      <c r="J1783" s="6" t="s">
        <v>35652</v>
      </c>
      <c r="K1783" s="1" t="s">
        <v>35650</v>
      </c>
      <c r="L1783" s="1" t="s">
        <v>35653</v>
      </c>
      <c r="M1783" s="1" t="s">
        <v>35650</v>
      </c>
      <c r="N1783" s="6" t="s">
        <v>132</v>
      </c>
      <c r="O1783" s="6" t="s">
        <v>35654</v>
      </c>
      <c r="P1783" s="1" t="s">
        <v>35650</v>
      </c>
      <c r="Q1783" s="1" t="s">
        <v>35650</v>
      </c>
      <c r="R1783" s="1" t="s">
        <v>35650</v>
      </c>
      <c r="S1783" s="10" t="s">
        <v>8675</v>
      </c>
      <c r="T1783" s="1" t="s">
        <v>8676</v>
      </c>
      <c r="U1783" s="1" t="s">
        <v>8677</v>
      </c>
      <c r="V1783" s="1" t="s">
        <v>35650</v>
      </c>
      <c r="W1783" s="1" t="s">
        <v>35650</v>
      </c>
      <c r="X1783" s="1" t="s">
        <v>35650</v>
      </c>
      <c r="Y1783" s="1" t="s">
        <v>35650</v>
      </c>
      <c r="Z1783" s="1" t="s">
        <v>35655</v>
      </c>
      <c r="AA1783" s="1" t="s">
        <v>35650</v>
      </c>
      <c r="AB1783" s="1" t="s">
        <v>35651</v>
      </c>
      <c r="AC1783" s="1" t="s">
        <v>35650</v>
      </c>
      <c r="AD1783" s="6" t="s">
        <v>35653</v>
      </c>
      <c r="AE1783" s="1" t="s">
        <v>35650</v>
      </c>
      <c r="AF1783" s="1" t="s">
        <v>35650</v>
      </c>
      <c r="AG1783" s="6" t="s">
        <v>8686</v>
      </c>
      <c r="AH1783" s="1" t="s">
        <v>35656</v>
      </c>
      <c r="AI1783" s="6" t="s">
        <v>132</v>
      </c>
      <c r="AJ1783" s="6" t="s">
        <v>8688</v>
      </c>
      <c r="AK1783" s="1" t="s">
        <v>8689</v>
      </c>
      <c r="AL1783" s="6" t="s">
        <v>8690</v>
      </c>
    </row>
    <row r="1784" ht="15.75" customHeight="1">
      <c r="A1784" s="1" t="s">
        <v>127</v>
      </c>
      <c r="B1784" s="1" t="s">
        <v>35657</v>
      </c>
      <c r="C1784" s="1" t="s">
        <v>35658</v>
      </c>
      <c r="D1784" s="8" t="s">
        <v>35659</v>
      </c>
      <c r="E1784" s="1" t="s">
        <v>35660</v>
      </c>
      <c r="F1784" s="6" t="s">
        <v>132</v>
      </c>
      <c r="G1784" s="1" t="s">
        <v>35661</v>
      </c>
      <c r="H1784" s="1" t="s">
        <v>35662</v>
      </c>
      <c r="I1784" s="1" t="s">
        <v>35663</v>
      </c>
      <c r="J1784" s="6" t="s">
        <v>35664</v>
      </c>
      <c r="K1784" s="1" t="s">
        <v>35665</v>
      </c>
      <c r="L1784" s="1" t="s">
        <v>35666</v>
      </c>
      <c r="M1784" s="1" t="s">
        <v>35658</v>
      </c>
      <c r="N1784" s="6" t="s">
        <v>132</v>
      </c>
      <c r="O1784" s="6" t="s">
        <v>35667</v>
      </c>
      <c r="P1784" s="1" t="s">
        <v>35668</v>
      </c>
      <c r="Q1784" s="1" t="s">
        <v>35669</v>
      </c>
      <c r="R1784" s="1" t="s">
        <v>35670</v>
      </c>
      <c r="S1784" s="10" t="s">
        <v>35671</v>
      </c>
      <c r="T1784" s="1" t="s">
        <v>35672</v>
      </c>
      <c r="U1784" s="1" t="s">
        <v>35673</v>
      </c>
      <c r="V1784" s="1" t="s">
        <v>35674</v>
      </c>
      <c r="W1784" s="1" t="s">
        <v>35675</v>
      </c>
      <c r="X1784" s="1" t="s">
        <v>35676</v>
      </c>
      <c r="Y1784" s="1" t="s">
        <v>35677</v>
      </c>
      <c r="Z1784" s="1" t="s">
        <v>35678</v>
      </c>
      <c r="AA1784" s="1" t="s">
        <v>35679</v>
      </c>
      <c r="AB1784" s="1" t="s">
        <v>35680</v>
      </c>
      <c r="AC1784" s="1" t="s">
        <v>35681</v>
      </c>
      <c r="AD1784" s="6" t="s">
        <v>35682</v>
      </c>
      <c r="AE1784" s="1" t="s">
        <v>35683</v>
      </c>
      <c r="AF1784" s="1" t="s">
        <v>35684</v>
      </c>
      <c r="AG1784" s="6" t="s">
        <v>35685</v>
      </c>
      <c r="AH1784" s="1" t="s">
        <v>35686</v>
      </c>
      <c r="AI1784" s="6" t="s">
        <v>132</v>
      </c>
      <c r="AJ1784" s="6" t="s">
        <v>35687</v>
      </c>
      <c r="AK1784" s="1" t="s">
        <v>35688</v>
      </c>
      <c r="AL1784" s="6" t="s">
        <v>35689</v>
      </c>
    </row>
    <row r="1785" ht="15.75" customHeight="1">
      <c r="A1785" s="1" t="s">
        <v>127</v>
      </c>
      <c r="B1785" s="1" t="s">
        <v>35690</v>
      </c>
      <c r="C1785" s="1" t="s">
        <v>35691</v>
      </c>
      <c r="D1785" s="8" t="s">
        <v>35692</v>
      </c>
      <c r="E1785" s="1" t="s">
        <v>35693</v>
      </c>
      <c r="F1785" s="6" t="s">
        <v>132</v>
      </c>
      <c r="G1785" s="1" t="s">
        <v>35694</v>
      </c>
      <c r="H1785" s="1" t="s">
        <v>35695</v>
      </c>
      <c r="I1785" s="1" t="s">
        <v>35696</v>
      </c>
      <c r="J1785" s="6" t="s">
        <v>35697</v>
      </c>
      <c r="K1785" s="1" t="s">
        <v>35698</v>
      </c>
      <c r="L1785" s="1" t="s">
        <v>35699</v>
      </c>
      <c r="M1785" s="1" t="s">
        <v>35700</v>
      </c>
      <c r="N1785" s="6" t="s">
        <v>132</v>
      </c>
      <c r="O1785" s="6" t="s">
        <v>35701</v>
      </c>
      <c r="P1785" s="1" t="s">
        <v>35702</v>
      </c>
      <c r="Q1785" s="1" t="s">
        <v>35703</v>
      </c>
      <c r="R1785" s="1" t="s">
        <v>35704</v>
      </c>
      <c r="S1785" s="10" t="s">
        <v>35705</v>
      </c>
      <c r="T1785" s="1" t="s">
        <v>35706</v>
      </c>
      <c r="U1785" s="1" t="s">
        <v>35707</v>
      </c>
      <c r="V1785" s="1" t="s">
        <v>35708</v>
      </c>
      <c r="W1785" s="1" t="s">
        <v>35709</v>
      </c>
      <c r="X1785" s="1" t="s">
        <v>35710</v>
      </c>
      <c r="Y1785" s="1" t="s">
        <v>35711</v>
      </c>
      <c r="Z1785" s="1" t="s">
        <v>35712</v>
      </c>
      <c r="AA1785" s="1" t="s">
        <v>35713</v>
      </c>
      <c r="AB1785" s="1" t="s">
        <v>35714</v>
      </c>
      <c r="AC1785" s="1" t="s">
        <v>35715</v>
      </c>
      <c r="AD1785" s="6" t="s">
        <v>35716</v>
      </c>
      <c r="AE1785" s="1" t="s">
        <v>35717</v>
      </c>
      <c r="AF1785" s="1" t="s">
        <v>35718</v>
      </c>
      <c r="AG1785" s="6" t="s">
        <v>35719</v>
      </c>
      <c r="AH1785" s="1" t="s">
        <v>35720</v>
      </c>
      <c r="AI1785" s="6" t="s">
        <v>132</v>
      </c>
      <c r="AJ1785" s="6" t="s">
        <v>35721</v>
      </c>
      <c r="AK1785" s="1" t="s">
        <v>35722</v>
      </c>
      <c r="AL1785" s="6" t="s">
        <v>35723</v>
      </c>
    </row>
    <row r="1786" ht="15.75" customHeight="1">
      <c r="A1786" s="1" t="s">
        <v>127</v>
      </c>
      <c r="B1786" s="1" t="s">
        <v>35724</v>
      </c>
      <c r="C1786" s="1" t="s">
        <v>35725</v>
      </c>
      <c r="D1786" s="8" t="s">
        <v>35726</v>
      </c>
      <c r="E1786" s="1" t="s">
        <v>35727</v>
      </c>
      <c r="F1786" s="6" t="s">
        <v>132</v>
      </c>
      <c r="G1786" s="1" t="s">
        <v>35728</v>
      </c>
      <c r="H1786" s="1" t="s">
        <v>35729</v>
      </c>
      <c r="I1786" s="1" t="s">
        <v>35730</v>
      </c>
      <c r="J1786" s="6" t="s">
        <v>35731</v>
      </c>
      <c r="K1786" s="1" t="s">
        <v>35732</v>
      </c>
      <c r="L1786" s="1" t="s">
        <v>35733</v>
      </c>
      <c r="M1786" s="1" t="s">
        <v>35734</v>
      </c>
      <c r="N1786" s="6" t="s">
        <v>132</v>
      </c>
      <c r="O1786" s="6" t="s">
        <v>35735</v>
      </c>
      <c r="P1786" s="1" t="s">
        <v>35736</v>
      </c>
      <c r="Q1786" s="1" t="s">
        <v>35737</v>
      </c>
      <c r="R1786" s="1" t="s">
        <v>35738</v>
      </c>
      <c r="S1786" s="10" t="s">
        <v>35739</v>
      </c>
      <c r="T1786" s="1" t="s">
        <v>35740</v>
      </c>
      <c r="U1786" s="1" t="s">
        <v>35741</v>
      </c>
      <c r="V1786" s="1" t="s">
        <v>35737</v>
      </c>
      <c r="W1786" s="1" t="s">
        <v>35742</v>
      </c>
      <c r="X1786" s="1" t="s">
        <v>35729</v>
      </c>
      <c r="Y1786" s="1" t="s">
        <v>35728</v>
      </c>
      <c r="Z1786" s="1" t="s">
        <v>35743</v>
      </c>
      <c r="AA1786" s="1" t="s">
        <v>35744</v>
      </c>
      <c r="AB1786" s="1" t="s">
        <v>35745</v>
      </c>
      <c r="AC1786" s="1" t="s">
        <v>35728</v>
      </c>
      <c r="AD1786" s="6" t="s">
        <v>35746</v>
      </c>
      <c r="AE1786" s="1" t="s">
        <v>35747</v>
      </c>
      <c r="AF1786" s="1" t="s">
        <v>35748</v>
      </c>
      <c r="AG1786" s="6" t="s">
        <v>35749</v>
      </c>
      <c r="AH1786" s="1" t="s">
        <v>35750</v>
      </c>
      <c r="AI1786" s="6" t="s">
        <v>132</v>
      </c>
      <c r="AJ1786" s="6" t="s">
        <v>35751</v>
      </c>
      <c r="AK1786" s="1" t="s">
        <v>35752</v>
      </c>
      <c r="AL1786" s="6" t="s">
        <v>132</v>
      </c>
    </row>
    <row r="1787" ht="15.75" hidden="1" customHeight="1">
      <c r="A1787" s="1" t="s">
        <v>38</v>
      </c>
      <c r="B1787" s="1" t="s">
        <v>35753</v>
      </c>
      <c r="C1787" s="1" t="s">
        <v>35754</v>
      </c>
      <c r="D1787" s="7" t="str">
        <f>IFERROR(__xludf.DUMMYFUNCTION("GOOGLETRANSLATE(C1787, ""en"", ""ar"")"),"انشاء اختصار")</f>
        <v>انشاء اختصار</v>
      </c>
      <c r="E1787" s="1" t="s">
        <v>35755</v>
      </c>
      <c r="F1787" s="6" t="s">
        <v>35756</v>
      </c>
      <c r="G1787" s="7" t="str">
        <f>IFERROR(__xludf.DUMMYFUNCTION("GOOGLETRANSLATE(C1787, ""en"", ""cs"")"),"Vytvořit zástupce")</f>
        <v>Vytvořit zástupce</v>
      </c>
      <c r="H1787" s="7" t="str">
        <f>IFERROR(__xludf.DUMMYFUNCTION("GOOGLETRANSLATE(C1787, ""en"", ""da"")"),"Opret genvej")</f>
        <v>Opret genvej</v>
      </c>
      <c r="I1787" s="1" t="s">
        <v>35757</v>
      </c>
      <c r="J1787" s="6" t="s">
        <v>132</v>
      </c>
      <c r="K1787" s="1" t="s">
        <v>35758</v>
      </c>
      <c r="L1787" s="7" t="str">
        <f>IFERROR(__xludf.DUMMYFUNCTION("GOOGLETRANSLATE(C1787, ""en"", ""fi"")"),"Luo pikakuvake")</f>
        <v>Luo pikakuvake</v>
      </c>
      <c r="M1787" s="1" t="s">
        <v>35759</v>
      </c>
      <c r="N1787" s="6" t="s">
        <v>35758</v>
      </c>
      <c r="O1787" s="6" t="s">
        <v>132</v>
      </c>
      <c r="P1787" s="1" t="s">
        <v>35760</v>
      </c>
      <c r="Q1787" s="7" t="str">
        <f>IFERROR(__xludf.DUMMYFUNCTION("GOOGLETRANSLATE(C1787, ""en"", ""in"")"),"Buat pintasan")</f>
        <v>Buat pintasan</v>
      </c>
      <c r="R1787" s="1" t="s">
        <v>35761</v>
      </c>
      <c r="S1787" s="6" t="s">
        <v>132</v>
      </c>
      <c r="T1787" s="1" t="s">
        <v>35762</v>
      </c>
      <c r="U1787" s="7" t="str">
        <f>IFERROR(__xludf.DUMMYFUNCTION("GOOGLETRANSLATE(C1787, ""en"", ""ko"")"),"바로 가기를 만듭니다")</f>
        <v>바로 가기를 만듭니다</v>
      </c>
      <c r="V1787" s="7" t="str">
        <f>IFERROR(__xludf.DUMMYFUNCTION("GOOGLETRANSLATE(C1787, ""en"", ""ms"")"),"Membuat jalan pintas")</f>
        <v>Membuat jalan pintas</v>
      </c>
      <c r="W1787" s="1" t="s">
        <v>35763</v>
      </c>
      <c r="X1787" s="7" t="str">
        <f>IFERROR(__xludf.DUMMYFUNCTION("GOOGLETRANSLATE(C1787, ""en"", ""no"")"),"Lag snarvei")</f>
        <v>Lag snarvei</v>
      </c>
      <c r="Y1787" s="1" t="s">
        <v>35764</v>
      </c>
      <c r="Z1787" s="7" t="str">
        <f>IFERROR(__xludf.DUMMYFUNCTION("GOOGLETRANSLATE(C1787, ""en"", ""pt"")"),"Criar atalho")</f>
        <v>Criar atalho</v>
      </c>
      <c r="AA1787" s="7" t="str">
        <f>IFERROR(__xludf.DUMMYFUNCTION("GOOGLETRANSLATE(C1787, ""en"", ""ro"")"),"Crează o scurtătură")</f>
        <v>Crează o scurtătură</v>
      </c>
      <c r="AB1787" s="7" t="str">
        <f>IFERROR(__xludf.DUMMYFUNCTION("GOOGLETRANSLATE(C1787, ""en"", ""ru"")"),"Создать ярлык")</f>
        <v>Создать ярлык</v>
      </c>
      <c r="AC1787" s="7" t="str">
        <f>IFERROR(__xludf.DUMMYFUNCTION("GOOGLETRANSLATE(C1787, ""en"", ""sk"")"),"Vytvoriť zástupcu")</f>
        <v>Vytvoriť zástupcu</v>
      </c>
      <c r="AD1787" s="6" t="s">
        <v>132</v>
      </c>
      <c r="AE1787" s="1" t="s">
        <v>35765</v>
      </c>
      <c r="AF1787" s="7" t="str">
        <f>IFERROR(__xludf.DUMMYFUNCTION("GOOGLETRANSLATE(C1787, ""en"", ""sv"")"),"Skapa genväg")</f>
        <v>Skapa genväg</v>
      </c>
      <c r="AG1787" s="6" t="s">
        <v>132</v>
      </c>
      <c r="AH1787" s="7" t="str">
        <f>IFERROR(__xludf.DUMMYFUNCTION("GOOGLETRANSLATE(C1787, ""en"", ""tr"")"),"Kısayol oluştur")</f>
        <v>Kısayol oluştur</v>
      </c>
      <c r="AI1787" s="6" t="s">
        <v>132</v>
      </c>
      <c r="AJ1787" s="6" t="s">
        <v>132</v>
      </c>
      <c r="AK1787" s="7" t="str">
        <f>IFERROR(__xludf.DUMMYFUNCTION("GOOGLETRANSLATE(C1787, ""en"", ""zh"")"),"创建快捷方式")</f>
        <v>创建快捷方式</v>
      </c>
      <c r="AL1787" s="6" t="s">
        <v>132</v>
      </c>
    </row>
    <row r="1788" ht="15.75" customHeight="1">
      <c r="A1788" s="1" t="s">
        <v>127</v>
      </c>
      <c r="B1788" s="1" t="s">
        <v>35766</v>
      </c>
      <c r="C1788" s="1" t="s">
        <v>23490</v>
      </c>
      <c r="D1788" s="8" t="s">
        <v>23467</v>
      </c>
      <c r="E1788" s="1" t="s">
        <v>23490</v>
      </c>
      <c r="F1788" s="6" t="s">
        <v>132</v>
      </c>
      <c r="G1788" s="1" t="s">
        <v>23469</v>
      </c>
      <c r="H1788" s="1" t="s">
        <v>35767</v>
      </c>
      <c r="I1788" s="1" t="s">
        <v>23471</v>
      </c>
      <c r="J1788" s="6" t="s">
        <v>23490</v>
      </c>
      <c r="K1788" s="1" t="s">
        <v>23472</v>
      </c>
      <c r="L1788" s="1" t="s">
        <v>35768</v>
      </c>
      <c r="M1788" s="1" t="s">
        <v>23474</v>
      </c>
      <c r="N1788" s="6" t="s">
        <v>132</v>
      </c>
      <c r="O1788" s="6" t="s">
        <v>35769</v>
      </c>
      <c r="P1788" s="1" t="s">
        <v>35770</v>
      </c>
      <c r="Q1788" s="1" t="s">
        <v>23477</v>
      </c>
      <c r="R1788" s="1" t="s">
        <v>35771</v>
      </c>
      <c r="S1788" s="10" t="s">
        <v>35772</v>
      </c>
      <c r="T1788" s="1" t="s">
        <v>23480</v>
      </c>
      <c r="U1788" s="1" t="s">
        <v>23481</v>
      </c>
      <c r="V1788" s="1" t="s">
        <v>23482</v>
      </c>
      <c r="W1788" s="1" t="s">
        <v>35773</v>
      </c>
      <c r="X1788" s="1" t="s">
        <v>35774</v>
      </c>
      <c r="Y1788" s="1" t="s">
        <v>35775</v>
      </c>
      <c r="Z1788" s="1" t="s">
        <v>35776</v>
      </c>
      <c r="AA1788" s="1" t="s">
        <v>23490</v>
      </c>
      <c r="AB1788" s="1" t="s">
        <v>35777</v>
      </c>
      <c r="AC1788" s="1" t="s">
        <v>23489</v>
      </c>
      <c r="AD1788" s="6" t="s">
        <v>23490</v>
      </c>
      <c r="AE1788" s="1" t="s">
        <v>23490</v>
      </c>
      <c r="AF1788" s="1" t="s">
        <v>35778</v>
      </c>
      <c r="AG1788" s="6" t="s">
        <v>23491</v>
      </c>
      <c r="AH1788" s="1" t="s">
        <v>23492</v>
      </c>
      <c r="AI1788" s="6" t="s">
        <v>132</v>
      </c>
      <c r="AJ1788" s="6" t="s">
        <v>35779</v>
      </c>
      <c r="AK1788" s="1" t="s">
        <v>23494</v>
      </c>
      <c r="AL1788" s="6" t="s">
        <v>23495</v>
      </c>
    </row>
    <row r="1789" ht="15.75" hidden="1" customHeight="1">
      <c r="A1789" s="1" t="s">
        <v>38</v>
      </c>
      <c r="B1789" s="1" t="s">
        <v>35780</v>
      </c>
      <c r="C1789" s="1" t="s">
        <v>35781</v>
      </c>
      <c r="D1789" s="8" t="s">
        <v>35782</v>
      </c>
      <c r="E1789" s="1" t="s">
        <v>35783</v>
      </c>
      <c r="F1789" s="6" t="s">
        <v>35784</v>
      </c>
      <c r="G1789" s="7" t="str">
        <f>IFERROR(__xludf.DUMMYFUNCTION("GOOGLETRANSLATE(C1789, ""en"", ""cs"")"),"Odblokovat všechny kontakty od% s?")</f>
        <v>Odblokovat všechny kontakty od% s?</v>
      </c>
      <c r="H1789" s="7" t="str">
        <f>IFERROR(__xludf.DUMMYFUNCTION("GOOGLETRANSLATE(C1789, ""en"", ""da"")"),"Fjern blokering af alle kontakter fra% s?")</f>
        <v>Fjern blokering af alle kontakter fra% s?</v>
      </c>
      <c r="I1789" s="1" t="s">
        <v>35785</v>
      </c>
      <c r="J1789" s="6" t="s">
        <v>132</v>
      </c>
      <c r="K1789" s="1" t="s">
        <v>35786</v>
      </c>
      <c r="L1789" s="7" t="str">
        <f>IFERROR(__xludf.DUMMYFUNCTION("GOOGLETRANSLATE(C1789, ""en"", ""fi"")"),"Unblock kaikki yhteystiedot% s?")</f>
        <v>Unblock kaikki yhteystiedot% s?</v>
      </c>
      <c r="M1789" s="1" t="s">
        <v>35787</v>
      </c>
      <c r="N1789" s="6" t="s">
        <v>35788</v>
      </c>
      <c r="O1789" s="6" t="s">
        <v>132</v>
      </c>
      <c r="P1789" s="1" t="s">
        <v>35789</v>
      </c>
      <c r="Q1789" s="9" t="s">
        <v>35790</v>
      </c>
      <c r="R1789" s="1" t="s">
        <v>35791</v>
      </c>
      <c r="S1789" s="6" t="s">
        <v>132</v>
      </c>
      <c r="T1789" s="1" t="s">
        <v>35792</v>
      </c>
      <c r="U1789" s="1" t="s">
        <v>35793</v>
      </c>
      <c r="V1789" s="7" t="str">
        <f>IFERROR(__xludf.DUMMYFUNCTION("GOOGLETRANSLATE(C1789, ""en"", ""ms"")"),"Unblock semua kenalan dari% s?")</f>
        <v>Unblock semua kenalan dari% s?</v>
      </c>
      <c r="W1789" s="1" t="s">
        <v>35794</v>
      </c>
      <c r="X1789" s="7" t="str">
        <f>IFERROR(__xludf.DUMMYFUNCTION("GOOGLETRANSLATE(C1789, ""en"", ""no"")"),"Unblock alle kontakter fra% s?")</f>
        <v>Unblock alle kontakter fra% s?</v>
      </c>
      <c r="Y1789" s="1" t="s">
        <v>35795</v>
      </c>
      <c r="Z1789" s="1" t="s">
        <v>35796</v>
      </c>
      <c r="AA1789" s="7" t="str">
        <f>IFERROR(__xludf.DUMMYFUNCTION("GOOGLETRANSLATE(C1789, ""en"", ""ro"")"),"Deblocați toate contactele de la% s?")</f>
        <v>Deblocați toate contactele de la% s?</v>
      </c>
      <c r="AB1789" s="1" t="s">
        <v>35797</v>
      </c>
      <c r="AC1789" s="1" t="s">
        <v>35798</v>
      </c>
      <c r="AD1789" s="6" t="s">
        <v>132</v>
      </c>
      <c r="AE1789" s="1" t="s">
        <v>35799</v>
      </c>
      <c r="AF1789" s="1" t="s">
        <v>35800</v>
      </c>
      <c r="AG1789" s="6" t="s">
        <v>132</v>
      </c>
      <c r="AH1789" s="7" t="str">
        <f>IFERROR(__xludf.DUMMYFUNCTION("GOOGLETRANSLATE(C1789, ""en"", ""tr"")"),"% S gelen tüm kişileri engellemeyi kaldırın?")</f>
        <v>% S gelen tüm kişileri engellemeyi kaldırın?</v>
      </c>
      <c r="AI1789" s="6" t="s">
        <v>35801</v>
      </c>
      <c r="AJ1789" s="6" t="s">
        <v>35802</v>
      </c>
      <c r="AK1789" s="7" t="str">
        <f>IFERROR(__xludf.DUMMYFUNCTION("GOOGLETRANSLATE(C1789, ""en"", ""zh"")"),"取消阻止％s的所有联系人？")</f>
        <v>取消阻止％s的所有联系人？</v>
      </c>
      <c r="AL1789" s="6" t="s">
        <v>35803</v>
      </c>
    </row>
    <row r="1790" ht="15.75" hidden="1" customHeight="1">
      <c r="A1790" s="1" t="s">
        <v>38</v>
      </c>
      <c r="B1790" s="1" t="s">
        <v>35804</v>
      </c>
      <c r="C1790" s="1" t="s">
        <v>35805</v>
      </c>
      <c r="D1790" s="7" t="str">
        <f>IFERROR(__xludf.DUMMYFUNCTION("GOOGLETRANSLATE(C1790, ""en"", ""ar"")"),"حذف ملف")</f>
        <v>حذف ملف</v>
      </c>
      <c r="E1790" s="1" t="s">
        <v>35806</v>
      </c>
      <c r="F1790" s="6" t="s">
        <v>35807</v>
      </c>
      <c r="G1790" s="7" t="str">
        <f>IFERROR(__xludf.DUMMYFUNCTION("GOOGLETRANSLATE(C1790, ""en"", ""cs"")"),"Smazat soubor")</f>
        <v>Smazat soubor</v>
      </c>
      <c r="H1790" s="7" t="str">
        <f>IFERROR(__xludf.DUMMYFUNCTION("GOOGLETRANSLATE(C1790, ""en"", ""da"")"),"Slet fil")</f>
        <v>Slet fil</v>
      </c>
      <c r="I1790" s="1" t="s">
        <v>35808</v>
      </c>
      <c r="J1790" s="6" t="s">
        <v>132</v>
      </c>
      <c r="K1790" s="1" t="s">
        <v>35809</v>
      </c>
      <c r="L1790" s="7" t="str">
        <f>IFERROR(__xludf.DUMMYFUNCTION("GOOGLETRANSLATE(C1790, ""en"", ""fi"")"),"Poista tiedosto")</f>
        <v>Poista tiedosto</v>
      </c>
      <c r="M1790" s="1" t="s">
        <v>35810</v>
      </c>
      <c r="N1790" s="6" t="s">
        <v>35811</v>
      </c>
      <c r="O1790" s="6" t="s">
        <v>132</v>
      </c>
      <c r="P1790" s="1" t="s">
        <v>35812</v>
      </c>
      <c r="Q1790" s="7" t="str">
        <f>IFERROR(__xludf.DUMMYFUNCTION("GOOGLETRANSLATE(C1790, ""en"", ""in"")"),"Menghapus berkas")</f>
        <v>Menghapus berkas</v>
      </c>
      <c r="R1790" s="1" t="s">
        <v>35813</v>
      </c>
      <c r="S1790" s="6" t="s">
        <v>132</v>
      </c>
      <c r="T1790" s="1" t="s">
        <v>35814</v>
      </c>
      <c r="U1790" s="7" t="str">
        <f>IFERROR(__xludf.DUMMYFUNCTION("GOOGLETRANSLATE(C1790, ""en"", ""ko"")"),"파일 삭제")</f>
        <v>파일 삭제</v>
      </c>
      <c r="V1790" s="7" t="str">
        <f>IFERROR(__xludf.DUMMYFUNCTION("GOOGLETRANSLATE(C1790, ""en"", ""ms"")"),"Padam fail")</f>
        <v>Padam fail</v>
      </c>
      <c r="W1790" s="1" t="s">
        <v>35815</v>
      </c>
      <c r="X1790" s="7" t="str">
        <f>IFERROR(__xludf.DUMMYFUNCTION("GOOGLETRANSLATE(C1790, ""en"", ""no"")"),"Slett fil")</f>
        <v>Slett fil</v>
      </c>
      <c r="Y1790" s="1" t="s">
        <v>35816</v>
      </c>
      <c r="Z1790" s="7" t="str">
        <f>IFERROR(__xludf.DUMMYFUNCTION("GOOGLETRANSLATE(C1790, ""en"", ""pt"")"),"Excluir arquivo")</f>
        <v>Excluir arquivo</v>
      </c>
      <c r="AA1790" s="7" t="str">
        <f>IFERROR(__xludf.DUMMYFUNCTION("GOOGLETRANSLATE(C1790, ""en"", ""ro"")"),"Sterge fisierul")</f>
        <v>Sterge fisierul</v>
      </c>
      <c r="AB1790" s="1" t="s">
        <v>35817</v>
      </c>
      <c r="AC1790" s="7" t="str">
        <f>IFERROR(__xludf.DUMMYFUNCTION("GOOGLETRANSLATE(C1790, ""en"", ""sk"")"),"Vymazať súbor")</f>
        <v>Vymazať súbor</v>
      </c>
      <c r="AD1790" s="6" t="s">
        <v>132</v>
      </c>
      <c r="AE1790" s="7" t="str">
        <f>IFERROR(__xludf.DUMMYFUNCTION("GOOGLETRANSLATE(C1790, ""en"", ""sr"")"),"Избриши датотеку")</f>
        <v>Избриши датотеку</v>
      </c>
      <c r="AF1790" s="7" t="str">
        <f>IFERROR(__xludf.DUMMYFUNCTION("GOOGLETRANSLATE(C1790, ""en"", ""sv"")"),"Radera fil")</f>
        <v>Radera fil</v>
      </c>
      <c r="AG1790" s="6" t="s">
        <v>132</v>
      </c>
      <c r="AH1790" s="7" t="str">
        <f>IFERROR(__xludf.DUMMYFUNCTION("GOOGLETRANSLATE(C1790, ""en"", ""tr"")"),"Dosyayı sil")</f>
        <v>Dosyayı sil</v>
      </c>
      <c r="AI1790" s="6" t="s">
        <v>132</v>
      </c>
      <c r="AJ1790" s="6" t="s">
        <v>132</v>
      </c>
      <c r="AK1790" s="7" t="str">
        <f>IFERROR(__xludf.DUMMYFUNCTION("GOOGLETRANSLATE(C1790, ""en"", ""zh"")"),"删除文件")</f>
        <v>删除文件</v>
      </c>
      <c r="AL1790" s="6" t="s">
        <v>132</v>
      </c>
    </row>
    <row r="1791" ht="15.75" customHeight="1">
      <c r="A1791" s="1" t="s">
        <v>127</v>
      </c>
      <c r="B1791" s="1" t="s">
        <v>35818</v>
      </c>
      <c r="C1791" s="1" t="s">
        <v>12433</v>
      </c>
      <c r="D1791" s="8" t="s">
        <v>35819</v>
      </c>
      <c r="E1791" s="1" t="s">
        <v>12435</v>
      </c>
      <c r="F1791" s="6" t="s">
        <v>132</v>
      </c>
      <c r="G1791" s="1" t="s">
        <v>12436</v>
      </c>
      <c r="H1791" s="1" t="s">
        <v>12437</v>
      </c>
      <c r="I1791" s="1" t="s">
        <v>35820</v>
      </c>
      <c r="J1791" s="6" t="s">
        <v>12438</v>
      </c>
      <c r="K1791" s="1" t="s">
        <v>12439</v>
      </c>
      <c r="L1791" s="1" t="s">
        <v>12440</v>
      </c>
      <c r="M1791" s="1" t="s">
        <v>12441</v>
      </c>
      <c r="N1791" s="6" t="s">
        <v>132</v>
      </c>
      <c r="O1791" s="6" t="s">
        <v>12442</v>
      </c>
      <c r="P1791" s="1" t="s">
        <v>12443</v>
      </c>
      <c r="Q1791" s="1" t="s">
        <v>12444</v>
      </c>
      <c r="R1791" s="1" t="s">
        <v>35821</v>
      </c>
      <c r="S1791" s="10" t="s">
        <v>35822</v>
      </c>
      <c r="T1791" s="1" t="s">
        <v>35823</v>
      </c>
      <c r="U1791" s="1" t="s">
        <v>12446</v>
      </c>
      <c r="V1791" s="1" t="s">
        <v>12447</v>
      </c>
      <c r="W1791" s="1" t="s">
        <v>35824</v>
      </c>
      <c r="X1791" s="1" t="s">
        <v>12437</v>
      </c>
      <c r="Y1791" s="1" t="s">
        <v>12449</v>
      </c>
      <c r="Z1791" s="1" t="s">
        <v>12450</v>
      </c>
      <c r="AA1791" s="1" t="s">
        <v>12451</v>
      </c>
      <c r="AB1791" s="1" t="s">
        <v>35825</v>
      </c>
      <c r="AC1791" s="1" t="s">
        <v>12453</v>
      </c>
      <c r="AD1791" s="6" t="s">
        <v>12454</v>
      </c>
      <c r="AE1791" s="1" t="s">
        <v>12433</v>
      </c>
      <c r="AF1791" s="1" t="s">
        <v>12456</v>
      </c>
      <c r="AG1791" s="6" t="s">
        <v>12457</v>
      </c>
      <c r="AH1791" s="1" t="s">
        <v>12458</v>
      </c>
      <c r="AI1791" s="6" t="s">
        <v>132</v>
      </c>
      <c r="AJ1791" s="6" t="s">
        <v>12459</v>
      </c>
      <c r="AK1791" s="1" t="s">
        <v>12460</v>
      </c>
      <c r="AL1791" s="6" t="s">
        <v>132</v>
      </c>
    </row>
    <row r="1792" ht="15.75" customHeight="1">
      <c r="A1792" s="1" t="s">
        <v>127</v>
      </c>
      <c r="B1792" s="1" t="s">
        <v>35826</v>
      </c>
      <c r="C1792" s="1" t="s">
        <v>35827</v>
      </c>
      <c r="D1792" s="8" t="s">
        <v>35828</v>
      </c>
      <c r="E1792" s="1" t="s">
        <v>35829</v>
      </c>
      <c r="F1792" s="6" t="s">
        <v>132</v>
      </c>
      <c r="G1792" s="1" t="s">
        <v>35830</v>
      </c>
      <c r="H1792" s="1" t="s">
        <v>35831</v>
      </c>
      <c r="I1792" s="1" t="s">
        <v>35827</v>
      </c>
      <c r="J1792" s="6" t="s">
        <v>35832</v>
      </c>
      <c r="K1792" s="1" t="s">
        <v>35833</v>
      </c>
      <c r="L1792" s="1" t="s">
        <v>2935</v>
      </c>
      <c r="M1792" s="1" t="s">
        <v>35834</v>
      </c>
      <c r="N1792" s="6" t="s">
        <v>132</v>
      </c>
      <c r="O1792" s="6" t="s">
        <v>35835</v>
      </c>
      <c r="P1792" s="1" t="s">
        <v>35836</v>
      </c>
      <c r="Q1792" s="1" t="s">
        <v>35837</v>
      </c>
      <c r="R1792" s="1" t="s">
        <v>35838</v>
      </c>
      <c r="S1792" s="10" t="s">
        <v>35839</v>
      </c>
      <c r="T1792" s="1" t="s">
        <v>35840</v>
      </c>
      <c r="U1792" s="1" t="s">
        <v>35841</v>
      </c>
      <c r="V1792" s="1" t="s">
        <v>35837</v>
      </c>
      <c r="W1792" s="1" t="s">
        <v>35842</v>
      </c>
      <c r="X1792" s="1" t="s">
        <v>35827</v>
      </c>
      <c r="Y1792" s="1" t="s">
        <v>35827</v>
      </c>
      <c r="Z1792" s="1" t="s">
        <v>35843</v>
      </c>
      <c r="AA1792" s="1" t="s">
        <v>35844</v>
      </c>
      <c r="AB1792" s="1" t="s">
        <v>35845</v>
      </c>
      <c r="AC1792" s="1" t="s">
        <v>35833</v>
      </c>
      <c r="AD1792" s="6" t="s">
        <v>35846</v>
      </c>
      <c r="AE1792" s="1" t="s">
        <v>35827</v>
      </c>
      <c r="AF1792" s="1" t="s">
        <v>35827</v>
      </c>
      <c r="AG1792" s="6" t="s">
        <v>35847</v>
      </c>
      <c r="AH1792" s="1" t="s">
        <v>35848</v>
      </c>
      <c r="AI1792" s="6" t="s">
        <v>132</v>
      </c>
      <c r="AJ1792" s="6" t="s">
        <v>35849</v>
      </c>
      <c r="AK1792" s="1" t="s">
        <v>35850</v>
      </c>
      <c r="AL1792" s="6" t="s">
        <v>35851</v>
      </c>
    </row>
    <row r="1793" ht="15.75" customHeight="1">
      <c r="A1793" s="1" t="s">
        <v>127</v>
      </c>
      <c r="B1793" s="1" t="s">
        <v>35852</v>
      </c>
      <c r="C1793" s="1" t="s">
        <v>35853</v>
      </c>
      <c r="D1793" s="8" t="s">
        <v>35854</v>
      </c>
      <c r="E1793" s="1" t="s">
        <v>35855</v>
      </c>
      <c r="F1793" s="6" t="s">
        <v>132</v>
      </c>
      <c r="G1793" s="1" t="s">
        <v>35856</v>
      </c>
      <c r="H1793" s="1" t="s">
        <v>35857</v>
      </c>
      <c r="I1793" s="1" t="s">
        <v>35858</v>
      </c>
      <c r="J1793" s="6" t="s">
        <v>35859</v>
      </c>
      <c r="K1793" s="1" t="s">
        <v>35860</v>
      </c>
      <c r="L1793" s="1" t="s">
        <v>35861</v>
      </c>
      <c r="M1793" s="1" t="s">
        <v>35862</v>
      </c>
      <c r="N1793" s="6" t="s">
        <v>132</v>
      </c>
      <c r="O1793" s="6" t="s">
        <v>35863</v>
      </c>
      <c r="P1793" s="1" t="s">
        <v>35864</v>
      </c>
      <c r="Q1793" s="1" t="s">
        <v>35865</v>
      </c>
      <c r="R1793" s="1" t="s">
        <v>35866</v>
      </c>
      <c r="S1793" s="10" t="s">
        <v>35867</v>
      </c>
      <c r="T1793" s="1" t="s">
        <v>35868</v>
      </c>
      <c r="U1793" s="1" t="s">
        <v>35869</v>
      </c>
      <c r="V1793" s="1" t="s">
        <v>35870</v>
      </c>
      <c r="W1793" s="1" t="s">
        <v>35871</v>
      </c>
      <c r="X1793" s="1" t="s">
        <v>35872</v>
      </c>
      <c r="Y1793" s="1" t="s">
        <v>35873</v>
      </c>
      <c r="Z1793" s="1" t="s">
        <v>35874</v>
      </c>
      <c r="AA1793" s="1" t="s">
        <v>35875</v>
      </c>
      <c r="AB1793" s="1" t="s">
        <v>35876</v>
      </c>
      <c r="AC1793" s="1" t="s">
        <v>35877</v>
      </c>
      <c r="AD1793" s="6" t="s">
        <v>35878</v>
      </c>
      <c r="AE1793" s="1" t="s">
        <v>35879</v>
      </c>
      <c r="AF1793" s="1" t="s">
        <v>35880</v>
      </c>
      <c r="AG1793" s="6" t="s">
        <v>35881</v>
      </c>
      <c r="AH1793" s="1" t="s">
        <v>35882</v>
      </c>
      <c r="AI1793" s="6" t="s">
        <v>132</v>
      </c>
      <c r="AJ1793" s="6" t="s">
        <v>35883</v>
      </c>
      <c r="AK1793" s="1" t="s">
        <v>35884</v>
      </c>
      <c r="AL1793" s="6" t="s">
        <v>35885</v>
      </c>
    </row>
    <row r="1794" ht="15.75" hidden="1" customHeight="1">
      <c r="A1794" s="1" t="s">
        <v>38</v>
      </c>
      <c r="B1794" s="1" t="s">
        <v>35886</v>
      </c>
      <c r="C1794" s="1" t="s">
        <v>35887</v>
      </c>
      <c r="D1794" s="8" t="s">
        <v>35888</v>
      </c>
      <c r="E1794" s="1" t="s">
        <v>35889</v>
      </c>
      <c r="F1794" s="6" t="s">
        <v>35890</v>
      </c>
      <c r="G1794" s="7" t="str">
        <f>IFERROR(__xludf.DUMMYFUNCTION("GOOGLETRANSLATE(C1794, ""en"", ""cs"")"),"Notifikace LED")</f>
        <v>Notifikace LED</v>
      </c>
      <c r="H1794" s="7" t="str">
        <f>IFERROR(__xludf.DUMMYFUNCTION("GOOGLETRANSLATE(C1794, ""en"", ""da"")"),"LED-meddelelse.")</f>
        <v>LED-meddelelse.</v>
      </c>
      <c r="I1794" s="1" t="s">
        <v>35891</v>
      </c>
      <c r="J1794" s="6" t="s">
        <v>132</v>
      </c>
      <c r="K1794" s="1" t="s">
        <v>35892</v>
      </c>
      <c r="L1794" s="7" t="str">
        <f>IFERROR(__xludf.DUMMYFUNCTION("GOOGLETRANSLATE(C1794, ""en"", ""fi"")"),"LED-ilmoitus")</f>
        <v>LED-ilmoitus</v>
      </c>
      <c r="M1794" s="1" t="s">
        <v>35893</v>
      </c>
      <c r="N1794" s="6" t="s">
        <v>35894</v>
      </c>
      <c r="O1794" s="6" t="s">
        <v>132</v>
      </c>
      <c r="P1794" s="1" t="s">
        <v>35895</v>
      </c>
      <c r="Q1794" s="9" t="s">
        <v>35896</v>
      </c>
      <c r="R1794" s="1" t="s">
        <v>35897</v>
      </c>
      <c r="S1794" s="6" t="s">
        <v>132</v>
      </c>
      <c r="T1794" s="1" t="s">
        <v>35898</v>
      </c>
      <c r="U1794" s="1" t="s">
        <v>35899</v>
      </c>
      <c r="V1794" s="7" t="str">
        <f>IFERROR(__xludf.DUMMYFUNCTION("GOOGLETRANSLATE(C1794, ""en"", ""ms"")"),"Pemberitahuan LED.")</f>
        <v>Pemberitahuan LED.</v>
      </c>
      <c r="W1794" s="1" t="s">
        <v>35900</v>
      </c>
      <c r="X1794" s="7" t="str">
        <f>IFERROR(__xludf.DUMMYFUNCTION("GOOGLETRANSLATE(C1794, ""en"", ""no"")"),"LED-melding")</f>
        <v>LED-melding</v>
      </c>
      <c r="Y1794" s="1" t="s">
        <v>35901</v>
      </c>
      <c r="Z1794" s="1" t="s">
        <v>35902</v>
      </c>
      <c r="AA1794" s="7" t="str">
        <f>IFERROR(__xludf.DUMMYFUNCTION("GOOGLETRANSLATE(C1794, ""en"", ""ro"")"),"NOTIFICAREA LED-ului")</f>
        <v>NOTIFICAREA LED-ului</v>
      </c>
      <c r="AB1794" s="1" t="s">
        <v>35903</v>
      </c>
      <c r="AC1794" s="7" t="str">
        <f>IFERROR(__xludf.DUMMYFUNCTION("GOOGLETRANSLATE(C1794, ""en"", ""sk"")"),"Oznámenie LED")</f>
        <v>Oznámenie LED</v>
      </c>
      <c r="AD1794" s="6" t="s">
        <v>132</v>
      </c>
      <c r="AE1794" s="1" t="s">
        <v>35904</v>
      </c>
      <c r="AF1794" s="1" t="s">
        <v>35905</v>
      </c>
      <c r="AG1794" s="6" t="s">
        <v>132</v>
      </c>
      <c r="AH1794" s="7" t="str">
        <f>IFERROR(__xludf.DUMMYFUNCTION("GOOGLETRANSLATE(C1794, ""en"", ""tr"")"),"Led bildirim")</f>
        <v>Led bildirim</v>
      </c>
      <c r="AI1794" s="6" t="s">
        <v>35906</v>
      </c>
      <c r="AJ1794" s="6" t="s">
        <v>35907</v>
      </c>
      <c r="AK1794" s="7" t="str">
        <f>IFERROR(__xludf.DUMMYFUNCTION("GOOGLETRANSLATE(C1794, ""en"", ""zh"")"),"LED通知")</f>
        <v>LED通知</v>
      </c>
      <c r="AL1794" s="6" t="s">
        <v>35908</v>
      </c>
    </row>
    <row r="1795" ht="15.75" hidden="1" customHeight="1">
      <c r="A1795" s="1" t="s">
        <v>38</v>
      </c>
      <c r="B1795" s="1" t="s">
        <v>35909</v>
      </c>
      <c r="C1795" s="1" t="s">
        <v>35910</v>
      </c>
      <c r="D1795" s="8" t="s">
        <v>35911</v>
      </c>
      <c r="E1795" s="1" t="s">
        <v>35912</v>
      </c>
      <c r="F1795" s="6" t="s">
        <v>35913</v>
      </c>
      <c r="G1795" s="7" t="str">
        <f>IFERROR(__xludf.DUMMYFUNCTION("GOOGLETRANSLATE(C1795, ""en"", ""cs"")"),"Vyfotit")</f>
        <v>Vyfotit</v>
      </c>
      <c r="H1795" s="7" t="str">
        <f>IFERROR(__xludf.DUMMYFUNCTION("GOOGLETRANSLATE(C1795, ""en"", ""da"")"),"Tage billede")</f>
        <v>Tage billede</v>
      </c>
      <c r="I1795" s="1" t="s">
        <v>35914</v>
      </c>
      <c r="J1795" s="6" t="s">
        <v>132</v>
      </c>
      <c r="K1795" s="1" t="s">
        <v>35915</v>
      </c>
      <c r="L1795" s="7" t="str">
        <f>IFERROR(__xludf.DUMMYFUNCTION("GOOGLETRANSLATE(C1795, ""en"", ""fi"")"),"Ottaa kuva")</f>
        <v>Ottaa kuva</v>
      </c>
      <c r="M1795" s="1" t="s">
        <v>35916</v>
      </c>
      <c r="N1795" s="6" t="s">
        <v>35917</v>
      </c>
      <c r="O1795" s="6" t="s">
        <v>132</v>
      </c>
      <c r="P1795" s="1" t="s">
        <v>35918</v>
      </c>
      <c r="Q1795" s="9" t="s">
        <v>35919</v>
      </c>
      <c r="R1795" s="1" t="s">
        <v>35920</v>
      </c>
      <c r="S1795" s="6" t="s">
        <v>132</v>
      </c>
      <c r="T1795" s="1" t="s">
        <v>35921</v>
      </c>
      <c r="U1795" s="1" t="s">
        <v>35922</v>
      </c>
      <c r="V1795" s="7" t="str">
        <f>IFERROR(__xludf.DUMMYFUNCTION("GOOGLETRANSLATE(C1795, ""en"", ""ms"")"),"Mengambil gambar")</f>
        <v>Mengambil gambar</v>
      </c>
      <c r="W1795" s="1" t="s">
        <v>35923</v>
      </c>
      <c r="X1795" s="7" t="str">
        <f>IFERROR(__xludf.DUMMYFUNCTION("GOOGLETRANSLATE(C1795, ""en"", ""no"")"),"Ta bilde")</f>
        <v>Ta bilde</v>
      </c>
      <c r="Y1795" s="1" t="s">
        <v>35924</v>
      </c>
      <c r="Z1795" s="1" t="s">
        <v>35925</v>
      </c>
      <c r="AA1795" s="7" t="str">
        <f>IFERROR(__xludf.DUMMYFUNCTION("GOOGLETRANSLATE(C1795, ""en"", ""ro"")"),"Fa poza")</f>
        <v>Fa poza</v>
      </c>
      <c r="AB1795" s="1" t="s">
        <v>35926</v>
      </c>
      <c r="AC1795" s="1" t="s">
        <v>35927</v>
      </c>
      <c r="AD1795" s="6" t="s">
        <v>132</v>
      </c>
      <c r="AE1795" s="1" t="s">
        <v>35928</v>
      </c>
      <c r="AF1795" s="1" t="s">
        <v>35929</v>
      </c>
      <c r="AG1795" s="6" t="s">
        <v>132</v>
      </c>
      <c r="AH1795" s="7" t="str">
        <f>IFERROR(__xludf.DUMMYFUNCTION("GOOGLETRANSLATE(C1795, ""en"", ""tr"")"),"Fotoğraf çek")</f>
        <v>Fotoğraf çek</v>
      </c>
      <c r="AI1795" s="6" t="s">
        <v>35930</v>
      </c>
      <c r="AJ1795" s="6" t="s">
        <v>35931</v>
      </c>
      <c r="AK1795" s="7" t="str">
        <f>IFERROR(__xludf.DUMMYFUNCTION("GOOGLETRANSLATE(C1795, ""en"", ""zh"")"),"拍照片")</f>
        <v>拍照片</v>
      </c>
      <c r="AL1795" s="6" t="s">
        <v>35932</v>
      </c>
    </row>
    <row r="1796" ht="15.75" hidden="1" customHeight="1">
      <c r="A1796" s="1" t="s">
        <v>38</v>
      </c>
      <c r="B1796" s="1" t="s">
        <v>35933</v>
      </c>
      <c r="C1796" s="1" t="s">
        <v>35934</v>
      </c>
      <c r="D1796" s="8" t="s">
        <v>35935</v>
      </c>
      <c r="E1796" s="1" t="s">
        <v>35936</v>
      </c>
      <c r="F1796" s="6" t="s">
        <v>35937</v>
      </c>
      <c r="G1796" s="7" t="str">
        <f>IFERROR(__xludf.DUMMYFUNCTION("GOOGLETRANSLATE(C1796, ""en"", ""cs"")"),"Zákaz ze skupiny Chat")</f>
        <v>Zákaz ze skupiny Chat</v>
      </c>
      <c r="H1796" s="7" t="str">
        <f>IFERROR(__xludf.DUMMYFUNCTION("GOOGLETRANSLATE(C1796, ""en"", ""da"")"),"Forbud mod gruppe chat")</f>
        <v>Forbud mod gruppe chat</v>
      </c>
      <c r="I1796" s="1" t="s">
        <v>35938</v>
      </c>
      <c r="J1796" s="6" t="s">
        <v>132</v>
      </c>
      <c r="K1796" s="1" t="s">
        <v>35939</v>
      </c>
      <c r="L1796" s="7" t="str">
        <f>IFERROR(__xludf.DUMMYFUNCTION("GOOGLETRANSLATE(C1796, ""en"", ""fi"")"),"Kielto ryhmäkeskustelusta")</f>
        <v>Kielto ryhmäkeskustelusta</v>
      </c>
      <c r="M1796" s="1" t="s">
        <v>35940</v>
      </c>
      <c r="N1796" s="6" t="s">
        <v>35941</v>
      </c>
      <c r="O1796" s="6" t="s">
        <v>132</v>
      </c>
      <c r="P1796" s="1" t="s">
        <v>35942</v>
      </c>
      <c r="Q1796" s="7" t="str">
        <f>IFERROR(__xludf.DUMMYFUNCTION("GOOGLETRANSLATE(C1796, ""en"", ""in"")"),"Ban dari Obrolan Grup")</f>
        <v>Ban dari Obrolan Grup</v>
      </c>
      <c r="R1796" s="1" t="s">
        <v>35943</v>
      </c>
      <c r="S1796" s="6" t="s">
        <v>132</v>
      </c>
      <c r="T1796" s="1" t="s">
        <v>35944</v>
      </c>
      <c r="U1796" s="7" t="str">
        <f>IFERROR(__xludf.DUMMYFUNCTION("GOOGLETRANSLATE(C1796, ""en"", ""ko"")"),"그룹 채팅에서 금지")</f>
        <v>그룹 채팅에서 금지</v>
      </c>
      <c r="V1796" s="7" t="str">
        <f>IFERROR(__xludf.DUMMYFUNCTION("GOOGLETRANSLATE(C1796, ""en"", ""ms"")"),"Larangan dari sembang kumpulan")</f>
        <v>Larangan dari sembang kumpulan</v>
      </c>
      <c r="W1796" s="1" t="s">
        <v>35945</v>
      </c>
      <c r="X1796" s="7" t="str">
        <f>IFERROR(__xludf.DUMMYFUNCTION("GOOGLETRANSLATE(C1796, ""en"", ""no"")"),"Forbud fra gruppe chat")</f>
        <v>Forbud fra gruppe chat</v>
      </c>
      <c r="Y1796" s="1" t="s">
        <v>35946</v>
      </c>
      <c r="Z1796" s="7" t="str">
        <f>IFERROR(__xludf.DUMMYFUNCTION("GOOGLETRANSLATE(C1796, ""en"", ""pt"")"),"Proibir do bate-papo do grupo")</f>
        <v>Proibir do bate-papo do grupo</v>
      </c>
      <c r="AA1796" s="7" t="str">
        <f>IFERROR(__xludf.DUMMYFUNCTION("GOOGLETRANSLATE(C1796, ""en"", ""ro"")"),"Interzicerea de la chat-ul de grup")</f>
        <v>Interzicerea de la chat-ul de grup</v>
      </c>
      <c r="AB1796" s="1" t="s">
        <v>35947</v>
      </c>
      <c r="AC1796" s="7" t="str">
        <f>IFERROR(__xludf.DUMMYFUNCTION("GOOGLETRANSLATE(C1796, ""en"", ""sk"")"),"Zákaz skupiny Chat")</f>
        <v>Zákaz skupiny Chat</v>
      </c>
      <c r="AD1796" s="6" t="s">
        <v>132</v>
      </c>
      <c r="AE1796" s="1" t="s">
        <v>35948</v>
      </c>
      <c r="AF1796" s="7" t="str">
        <f>IFERROR(__xludf.DUMMYFUNCTION("GOOGLETRANSLATE(C1796, ""en"", ""sv"")"),"Ban från gruppchatt")</f>
        <v>Ban från gruppchatt</v>
      </c>
      <c r="AG1796" s="6" t="s">
        <v>132</v>
      </c>
      <c r="AH1796" s="7" t="str">
        <f>IFERROR(__xludf.DUMMYFUNCTION("GOOGLETRANSLATE(C1796, ""en"", ""tr"")"),"Grup sohbetinden yasak")</f>
        <v>Grup sohbetinden yasak</v>
      </c>
      <c r="AI1796" s="6" t="s">
        <v>132</v>
      </c>
      <c r="AJ1796" s="6" t="s">
        <v>132</v>
      </c>
      <c r="AK1796" s="7" t="str">
        <f>IFERROR(__xludf.DUMMYFUNCTION("GOOGLETRANSLATE(C1796, ""en"", ""zh"")"),"禁止集团聊天")</f>
        <v>禁止集团聊天</v>
      </c>
      <c r="AL1796" s="6" t="s">
        <v>132</v>
      </c>
    </row>
    <row r="1797" ht="15.75" customHeight="1">
      <c r="A1797" s="1" t="s">
        <v>127</v>
      </c>
      <c r="B1797" s="1" t="s">
        <v>35949</v>
      </c>
      <c r="C1797" s="1" t="s">
        <v>1981</v>
      </c>
      <c r="D1797" s="8" t="s">
        <v>1982</v>
      </c>
      <c r="E1797" s="1" t="s">
        <v>1983</v>
      </c>
      <c r="F1797" s="6" t="s">
        <v>132</v>
      </c>
      <c r="G1797" s="1" t="s">
        <v>1984</v>
      </c>
      <c r="H1797" s="1" t="s">
        <v>1985</v>
      </c>
      <c r="I1797" s="1" t="s">
        <v>1986</v>
      </c>
      <c r="J1797" s="6" t="s">
        <v>1987</v>
      </c>
      <c r="K1797" s="1" t="s">
        <v>1988</v>
      </c>
      <c r="L1797" s="1" t="s">
        <v>1989</v>
      </c>
      <c r="M1797" s="1" t="s">
        <v>1990</v>
      </c>
      <c r="N1797" s="6" t="s">
        <v>132</v>
      </c>
      <c r="O1797" s="6" t="s">
        <v>1991</v>
      </c>
      <c r="P1797" s="1" t="s">
        <v>1992</v>
      </c>
      <c r="Q1797" s="1" t="s">
        <v>1993</v>
      </c>
      <c r="R1797" s="1" t="s">
        <v>1994</v>
      </c>
      <c r="S1797" s="10" t="s">
        <v>1995</v>
      </c>
      <c r="T1797" s="1" t="s">
        <v>1996</v>
      </c>
      <c r="U1797" s="1" t="s">
        <v>1997</v>
      </c>
      <c r="V1797" s="1" t="s">
        <v>1993</v>
      </c>
      <c r="W1797" s="1" t="s">
        <v>1998</v>
      </c>
      <c r="X1797" s="1" t="s">
        <v>1985</v>
      </c>
      <c r="Y1797" s="1" t="s">
        <v>1999</v>
      </c>
      <c r="Z1797" s="1" t="s">
        <v>2000</v>
      </c>
      <c r="AA1797" s="1" t="s">
        <v>2001</v>
      </c>
      <c r="AB1797" s="1" t="s">
        <v>2002</v>
      </c>
      <c r="AC1797" s="1" t="s">
        <v>2003</v>
      </c>
      <c r="AD1797" s="6" t="s">
        <v>1999</v>
      </c>
      <c r="AE1797" s="1" t="s">
        <v>1999</v>
      </c>
      <c r="AF1797" s="1" t="s">
        <v>1981</v>
      </c>
      <c r="AG1797" s="6" t="s">
        <v>2004</v>
      </c>
      <c r="AH1797" s="1" t="s">
        <v>2005</v>
      </c>
      <c r="AI1797" s="6" t="s">
        <v>132</v>
      </c>
      <c r="AJ1797" s="6" t="s">
        <v>2006</v>
      </c>
      <c r="AK1797" s="1" t="s">
        <v>2007</v>
      </c>
      <c r="AL1797" s="6" t="s">
        <v>2008</v>
      </c>
    </row>
    <row r="1798" ht="15.75" hidden="1" customHeight="1">
      <c r="A1798" s="1" t="s">
        <v>38</v>
      </c>
      <c r="B1798" s="1" t="s">
        <v>35950</v>
      </c>
      <c r="C1798" s="1" t="s">
        <v>35951</v>
      </c>
      <c r="D1798" s="8" t="s">
        <v>35952</v>
      </c>
      <c r="E1798" s="1" t="s">
        <v>35953</v>
      </c>
      <c r="F1798" s="6" t="s">
        <v>35954</v>
      </c>
      <c r="G1798" s="7" t="str">
        <f>IFERROR(__xludf.DUMMYFUNCTION("GOOGLETRANSLATE(C1798, ""en"", ""cs"")"),"Vyžaduje se CAPTCHA")</f>
        <v>Vyžaduje se CAPTCHA</v>
      </c>
      <c r="H1798" s="7" t="str">
        <f>IFERROR(__xludf.DUMMYFUNCTION("GOOGLETRANSLATE(C1798, ""en"", ""da"")"),"Captcha påkrævet")</f>
        <v>Captcha påkrævet</v>
      </c>
      <c r="I1798" s="1" t="s">
        <v>35955</v>
      </c>
      <c r="J1798" s="6" t="s">
        <v>132</v>
      </c>
      <c r="K1798" s="1" t="s">
        <v>35956</v>
      </c>
      <c r="L1798" s="7" t="str">
        <f>IFERROR(__xludf.DUMMYFUNCTION("GOOGLETRANSLATE(C1798, ""en"", ""fi"")"),"CAPTCHA vaaditaan")</f>
        <v>CAPTCHA vaaditaan</v>
      </c>
      <c r="M1798" s="1" t="s">
        <v>35957</v>
      </c>
      <c r="N1798" s="6" t="s">
        <v>35958</v>
      </c>
      <c r="O1798" s="6" t="s">
        <v>132</v>
      </c>
      <c r="P1798" s="1" t="s">
        <v>35959</v>
      </c>
      <c r="Q1798" s="7" t="str">
        <f>IFERROR(__xludf.DUMMYFUNCTION("GOOGLETRANSLATE(C1798, ""en"", ""in"")"),"Diperlukan CAPTCHA")</f>
        <v>Diperlukan CAPTCHA</v>
      </c>
      <c r="R1798" s="1" t="s">
        <v>35960</v>
      </c>
      <c r="S1798" s="6" t="s">
        <v>132</v>
      </c>
      <c r="T1798" s="1" t="s">
        <v>35961</v>
      </c>
      <c r="U1798" s="1" t="s">
        <v>35962</v>
      </c>
      <c r="V1798" s="7" t="str">
        <f>IFERROR(__xludf.DUMMYFUNCTION("GOOGLETRANSLATE(C1798, ""en"", ""ms"")"),"CAPTCHA diperlukan")</f>
        <v>CAPTCHA diperlukan</v>
      </c>
      <c r="W1798" s="1" t="s">
        <v>35963</v>
      </c>
      <c r="X1798" s="7" t="str">
        <f>IFERROR(__xludf.DUMMYFUNCTION("GOOGLETRANSLATE(C1798, ""en"", ""no"")"),"CAPTCHA kreves")</f>
        <v>CAPTCHA kreves</v>
      </c>
      <c r="Y1798" s="1" t="s">
        <v>35964</v>
      </c>
      <c r="Z1798" s="1" t="s">
        <v>35965</v>
      </c>
      <c r="AA1798" s="7" t="str">
        <f>IFERROR(__xludf.DUMMYFUNCTION("GOOGLETRANSLATE(C1798, ""en"", ""ro"")"),"CAPTCHA necesită")</f>
        <v>CAPTCHA necesită</v>
      </c>
      <c r="AB1798" s="1" t="s">
        <v>35966</v>
      </c>
      <c r="AC1798" s="1" t="s">
        <v>35967</v>
      </c>
      <c r="AD1798" s="6" t="s">
        <v>132</v>
      </c>
      <c r="AE1798" s="1" t="s">
        <v>35968</v>
      </c>
      <c r="AF1798" s="1" t="s">
        <v>35969</v>
      </c>
      <c r="AG1798" s="6" t="s">
        <v>132</v>
      </c>
      <c r="AH1798" s="7" t="str">
        <f>IFERROR(__xludf.DUMMYFUNCTION("GOOGLETRANSLATE(C1798, ""en"", ""tr"")"),"Captcha gerekli")</f>
        <v>Captcha gerekli</v>
      </c>
      <c r="AI1798" s="6" t="s">
        <v>35970</v>
      </c>
      <c r="AJ1798" s="6" t="s">
        <v>35971</v>
      </c>
      <c r="AK1798" s="7" t="str">
        <f>IFERROR(__xludf.DUMMYFUNCTION("GOOGLETRANSLATE(C1798, ""en"", ""zh"")"),"需要CAPTCHA")</f>
        <v>需要CAPTCHA</v>
      </c>
      <c r="AL1798" s="6" t="s">
        <v>35972</v>
      </c>
    </row>
    <row r="1799" ht="15.75" customHeight="1">
      <c r="A1799" s="1" t="s">
        <v>127</v>
      </c>
      <c r="B1799" s="1" t="s">
        <v>35973</v>
      </c>
      <c r="C1799" s="1" t="s">
        <v>35974</v>
      </c>
      <c r="D1799" s="8" t="s">
        <v>35975</v>
      </c>
      <c r="E1799" s="1" t="s">
        <v>35976</v>
      </c>
      <c r="F1799" s="6" t="s">
        <v>132</v>
      </c>
      <c r="G1799" s="1" t="s">
        <v>35977</v>
      </c>
      <c r="H1799" s="1" t="s">
        <v>35978</v>
      </c>
      <c r="I1799" s="1" t="s">
        <v>35979</v>
      </c>
      <c r="J1799" s="6" t="s">
        <v>35980</v>
      </c>
      <c r="K1799" s="1" t="s">
        <v>35981</v>
      </c>
      <c r="L1799" s="1" t="s">
        <v>35982</v>
      </c>
      <c r="M1799" s="1" t="s">
        <v>35983</v>
      </c>
      <c r="N1799" s="6" t="s">
        <v>132</v>
      </c>
      <c r="O1799" s="6" t="s">
        <v>35984</v>
      </c>
      <c r="P1799" s="1" t="s">
        <v>35985</v>
      </c>
      <c r="Q1799" s="1" t="s">
        <v>35986</v>
      </c>
      <c r="R1799" s="1" t="s">
        <v>35987</v>
      </c>
      <c r="S1799" s="10" t="s">
        <v>35988</v>
      </c>
      <c r="T1799" s="1" t="s">
        <v>35989</v>
      </c>
      <c r="U1799" s="1" t="s">
        <v>35990</v>
      </c>
      <c r="V1799" s="1" t="s">
        <v>35991</v>
      </c>
      <c r="W1799" s="1" t="s">
        <v>35992</v>
      </c>
      <c r="X1799" s="1" t="s">
        <v>35993</v>
      </c>
      <c r="Y1799" s="1" t="s">
        <v>35994</v>
      </c>
      <c r="Z1799" s="1" t="s">
        <v>35995</v>
      </c>
      <c r="AA1799" s="1" t="s">
        <v>35996</v>
      </c>
      <c r="AB1799" s="1" t="s">
        <v>35997</v>
      </c>
      <c r="AC1799" s="1" t="s">
        <v>35998</v>
      </c>
      <c r="AD1799" s="6" t="s">
        <v>35999</v>
      </c>
      <c r="AE1799" s="1" t="s">
        <v>36000</v>
      </c>
      <c r="AF1799" s="1" t="s">
        <v>36001</v>
      </c>
      <c r="AG1799" s="6" t="s">
        <v>36002</v>
      </c>
      <c r="AH1799" s="1" t="s">
        <v>36003</v>
      </c>
      <c r="AI1799" s="6" t="s">
        <v>132</v>
      </c>
      <c r="AJ1799" s="6" t="s">
        <v>36004</v>
      </c>
      <c r="AK1799" s="1" t="s">
        <v>36005</v>
      </c>
      <c r="AL1799" s="6" t="s">
        <v>132</v>
      </c>
    </row>
    <row r="1800" ht="15.75" hidden="1" customHeight="1">
      <c r="A1800" s="1" t="s">
        <v>38</v>
      </c>
      <c r="B1800" s="1" t="s">
        <v>36006</v>
      </c>
      <c r="C1800" s="1" t="s">
        <v>36007</v>
      </c>
      <c r="D1800" s="7" t="str">
        <f>IFERROR(__xludf.DUMMYFUNCTION("GOOGLETRANSLATE(C1800, ""en"", ""ar"")"),"الجمهورية التشيكية")</f>
        <v>الجمهورية التشيكية</v>
      </c>
      <c r="E1800" s="7" t="str">
        <f>IFERROR(__xludf.DUMMYFUNCTION("GOOGLETRANSLATE(C1800, ""en"", ""bg"")"),"Чехия")</f>
        <v>Чехия</v>
      </c>
      <c r="F1800" s="6" t="s">
        <v>132</v>
      </c>
      <c r="G1800" s="7" t="str">
        <f>IFERROR(__xludf.DUMMYFUNCTION("GOOGLETRANSLATE(C1800, ""en"", ""cs"")"),"Česká republika")</f>
        <v>Česká republika</v>
      </c>
      <c r="H1800" s="7" t="str">
        <f>IFERROR(__xludf.DUMMYFUNCTION("GOOGLETRANSLATE(C1800, ""en"", ""da"")"),"Tjekkiet")</f>
        <v>Tjekkiet</v>
      </c>
      <c r="I1800" s="1" t="s">
        <v>36008</v>
      </c>
      <c r="J1800" s="6" t="s">
        <v>132</v>
      </c>
      <c r="K1800" s="1" t="s">
        <v>36009</v>
      </c>
      <c r="L1800" s="7" t="str">
        <f>IFERROR(__xludf.DUMMYFUNCTION("GOOGLETRANSLATE(C1800, ""en"", ""fi"")"),"Tšekin tasavalta")</f>
        <v>Tšekin tasavalta</v>
      </c>
      <c r="M1800" s="1" t="s">
        <v>36010</v>
      </c>
      <c r="N1800" s="6" t="s">
        <v>132</v>
      </c>
      <c r="O1800" s="6" t="s">
        <v>132</v>
      </c>
      <c r="P1800" s="1" t="s">
        <v>36007</v>
      </c>
      <c r="Q1800" s="7" t="str">
        <f>IFERROR(__xludf.DUMMYFUNCTION("GOOGLETRANSLATE(C1800, ""en"", ""in"")"),"Republik Ceko")</f>
        <v>Republik Ceko</v>
      </c>
      <c r="R1800" s="7" t="str">
        <f>IFERROR(__xludf.DUMMYFUNCTION("GOOGLETRANSLATE(C1800, ""en"", ""it"")"),"Repubblica Ceca")</f>
        <v>Repubblica Ceca</v>
      </c>
      <c r="S1800" s="6" t="s">
        <v>132</v>
      </c>
      <c r="T1800" s="7" t="str">
        <f>IFERROR(__xludf.DUMMYFUNCTION("GOOGLETRANSLATE(C1800, ""en"", ""ja"")"),"チェコ共和国")</f>
        <v>チェコ共和国</v>
      </c>
      <c r="U1800" s="7" t="str">
        <f>IFERROR(__xludf.DUMMYFUNCTION("GOOGLETRANSLATE(C1800, ""en"", ""ko"")"),"체코 공화국")</f>
        <v>체코 공화국</v>
      </c>
      <c r="V1800" s="7" t="str">
        <f>IFERROR(__xludf.DUMMYFUNCTION("GOOGLETRANSLATE(C1800, ""en"", ""ms"")"),"Republik Czech")</f>
        <v>Republik Czech</v>
      </c>
      <c r="W1800" s="7" t="str">
        <f>IFERROR(__xludf.DUMMYFUNCTION("GOOGLETRANSLATE(C1800, ""en"", ""nl"")"),"Tsjechië")</f>
        <v>Tsjechië</v>
      </c>
      <c r="X1800" s="7" t="str">
        <f>IFERROR(__xludf.DUMMYFUNCTION("GOOGLETRANSLATE(C1800, ""en"", ""no"")"),"Tsjekkisk Republikk")</f>
        <v>Tsjekkisk Republikk</v>
      </c>
      <c r="Y1800" s="7" t="str">
        <f>IFERROR(__xludf.DUMMYFUNCTION("GOOGLETRANSLATE(C1800, ""en"", ""pl"")"),"Republika Czeska")</f>
        <v>Republika Czeska</v>
      </c>
      <c r="Z1800" s="7" t="str">
        <f>IFERROR(__xludf.DUMMYFUNCTION("GOOGLETRANSLATE(C1800, ""en"", ""pt"")"),"República Checa")</f>
        <v>República Checa</v>
      </c>
      <c r="AA1800" s="7" t="str">
        <f>IFERROR(__xludf.DUMMYFUNCTION("GOOGLETRANSLATE(C1800, ""en"", ""ro"")"),"Republica Cehă")</f>
        <v>Republica Cehă</v>
      </c>
      <c r="AB1800" s="1" t="s">
        <v>36011</v>
      </c>
      <c r="AC1800" s="7" t="str">
        <f>IFERROR(__xludf.DUMMYFUNCTION("GOOGLETRANSLATE(C1800, ""en"", ""sk"")"),"Česká republika")</f>
        <v>Česká republika</v>
      </c>
      <c r="AD1800" s="6" t="s">
        <v>132</v>
      </c>
      <c r="AE1800" s="1" t="s">
        <v>36012</v>
      </c>
      <c r="AF1800" s="7" t="str">
        <f>IFERROR(__xludf.DUMMYFUNCTION("GOOGLETRANSLATE(C1800, ""en"", ""sv"")"),"Tjeckien")</f>
        <v>Tjeckien</v>
      </c>
      <c r="AG1800" s="6" t="s">
        <v>132</v>
      </c>
      <c r="AH1800" s="7" t="str">
        <f>IFERROR(__xludf.DUMMYFUNCTION("GOOGLETRANSLATE(C1800, ""en"", ""tr"")"),"Çek Cumhuriyeti")</f>
        <v>Çek Cumhuriyeti</v>
      </c>
      <c r="AI1800" s="6" t="s">
        <v>132</v>
      </c>
      <c r="AJ1800" s="6" t="s">
        <v>132</v>
      </c>
      <c r="AK1800" s="7" t="str">
        <f>IFERROR(__xludf.DUMMYFUNCTION("GOOGLETRANSLATE(C1800, ""en"", ""zh"")"),"捷克共和国")</f>
        <v>捷克共和国</v>
      </c>
      <c r="AL1800" s="6" t="s">
        <v>132</v>
      </c>
    </row>
    <row r="1801" ht="15.75" customHeight="1">
      <c r="A1801" s="1" t="s">
        <v>127</v>
      </c>
      <c r="B1801" s="1" t="s">
        <v>36013</v>
      </c>
      <c r="C1801" s="1" t="s">
        <v>2877</v>
      </c>
      <c r="D1801" s="8" t="s">
        <v>36014</v>
      </c>
      <c r="E1801" s="1" t="s">
        <v>36015</v>
      </c>
      <c r="F1801" s="6" t="s">
        <v>132</v>
      </c>
      <c r="G1801" s="1" t="s">
        <v>36016</v>
      </c>
      <c r="H1801" s="1" t="s">
        <v>36017</v>
      </c>
      <c r="I1801" s="1" t="s">
        <v>2881</v>
      </c>
      <c r="J1801" s="6" t="s">
        <v>36018</v>
      </c>
      <c r="K1801" s="1" t="s">
        <v>2882</v>
      </c>
      <c r="L1801" s="1" t="s">
        <v>36019</v>
      </c>
      <c r="M1801" s="1" t="s">
        <v>2883</v>
      </c>
      <c r="N1801" s="6" t="s">
        <v>132</v>
      </c>
      <c r="O1801" s="6" t="s">
        <v>36020</v>
      </c>
      <c r="P1801" s="1" t="s">
        <v>2885</v>
      </c>
      <c r="Q1801" s="1" t="s">
        <v>36021</v>
      </c>
      <c r="R1801" s="1" t="s">
        <v>36022</v>
      </c>
      <c r="S1801" s="10" t="s">
        <v>36023</v>
      </c>
      <c r="T1801" s="1" t="s">
        <v>36024</v>
      </c>
      <c r="U1801" s="1" t="s">
        <v>2889</v>
      </c>
      <c r="V1801" s="1" t="s">
        <v>36021</v>
      </c>
      <c r="W1801" s="1" t="s">
        <v>2890</v>
      </c>
      <c r="X1801" s="1" t="s">
        <v>36025</v>
      </c>
      <c r="Y1801" s="1" t="s">
        <v>36026</v>
      </c>
      <c r="Z1801" s="1" t="s">
        <v>2892</v>
      </c>
      <c r="AA1801" s="1" t="s">
        <v>36027</v>
      </c>
      <c r="AB1801" s="1" t="s">
        <v>36028</v>
      </c>
      <c r="AC1801" s="1" t="s">
        <v>36029</v>
      </c>
      <c r="AD1801" s="6" t="s">
        <v>36030</v>
      </c>
      <c r="AE1801" s="1" t="s">
        <v>36031</v>
      </c>
      <c r="AF1801" s="1" t="s">
        <v>2896</v>
      </c>
      <c r="AG1801" s="6" t="s">
        <v>36032</v>
      </c>
      <c r="AH1801" s="1" t="s">
        <v>36033</v>
      </c>
      <c r="AI1801" s="6" t="s">
        <v>132</v>
      </c>
      <c r="AJ1801" s="6" t="s">
        <v>36034</v>
      </c>
      <c r="AK1801" s="1" t="s">
        <v>36035</v>
      </c>
      <c r="AL1801" s="6" t="s">
        <v>132</v>
      </c>
    </row>
    <row r="1802" ht="15.75" customHeight="1">
      <c r="A1802" s="1" t="s">
        <v>127</v>
      </c>
      <c r="B1802" s="1" t="s">
        <v>36036</v>
      </c>
      <c r="C1802" s="1" t="s">
        <v>36037</v>
      </c>
      <c r="D1802" s="8" t="s">
        <v>36038</v>
      </c>
      <c r="E1802" s="1" t="s">
        <v>36039</v>
      </c>
      <c r="F1802" s="6" t="s">
        <v>132</v>
      </c>
      <c r="G1802" s="1" t="s">
        <v>36037</v>
      </c>
      <c r="H1802" s="1" t="s">
        <v>36037</v>
      </c>
      <c r="I1802" s="1" t="s">
        <v>36037</v>
      </c>
      <c r="J1802" s="6" t="s">
        <v>36040</v>
      </c>
      <c r="K1802" s="1" t="s">
        <v>36037</v>
      </c>
      <c r="L1802" s="1" t="s">
        <v>36037</v>
      </c>
      <c r="M1802" s="1" t="s">
        <v>36037</v>
      </c>
      <c r="N1802" s="6" t="s">
        <v>132</v>
      </c>
      <c r="O1802" s="6" t="s">
        <v>36041</v>
      </c>
      <c r="P1802" s="1" t="s">
        <v>36037</v>
      </c>
      <c r="Q1802" s="1" t="s">
        <v>36042</v>
      </c>
      <c r="R1802" s="1" t="s">
        <v>36037</v>
      </c>
      <c r="S1802" s="10" t="s">
        <v>36043</v>
      </c>
      <c r="T1802" s="1" t="s">
        <v>36044</v>
      </c>
      <c r="U1802" s="1" t="s">
        <v>36045</v>
      </c>
      <c r="V1802" s="1" t="s">
        <v>36046</v>
      </c>
      <c r="W1802" s="1" t="s">
        <v>36037</v>
      </c>
      <c r="X1802" s="1" t="s">
        <v>36037</v>
      </c>
      <c r="Y1802" s="1" t="s">
        <v>36047</v>
      </c>
      <c r="Z1802" s="1" t="s">
        <v>36037</v>
      </c>
      <c r="AA1802" s="1" t="s">
        <v>36048</v>
      </c>
      <c r="AB1802" s="1" t="s">
        <v>36039</v>
      </c>
      <c r="AC1802" s="1" t="s">
        <v>36037</v>
      </c>
      <c r="AD1802" s="6" t="s">
        <v>36049</v>
      </c>
      <c r="AE1802" s="1" t="s">
        <v>36037</v>
      </c>
      <c r="AF1802" s="1" t="s">
        <v>36050</v>
      </c>
      <c r="AG1802" s="6" t="s">
        <v>36051</v>
      </c>
      <c r="AH1802" s="1" t="s">
        <v>36052</v>
      </c>
      <c r="AI1802" s="6" t="s">
        <v>132</v>
      </c>
      <c r="AJ1802" s="6" t="s">
        <v>36053</v>
      </c>
      <c r="AK1802" s="1" t="s">
        <v>36054</v>
      </c>
      <c r="AL1802" s="6" t="s">
        <v>132</v>
      </c>
    </row>
    <row r="1803" ht="15.75" hidden="1" customHeight="1">
      <c r="A1803" s="1" t="s">
        <v>38</v>
      </c>
      <c r="B1803" s="1" t="s">
        <v>36055</v>
      </c>
      <c r="C1803" s="1" t="s">
        <v>36056</v>
      </c>
      <c r="D1803" s="8" t="s">
        <v>36057</v>
      </c>
      <c r="E1803" s="1" t="s">
        <v>36058</v>
      </c>
      <c r="F1803" s="6" t="s">
        <v>36059</v>
      </c>
      <c r="G1803" s="7" t="str">
        <f>IFERROR(__xludf.DUMMYFUNCTION("GOOGLETRANSLATE(C1803, ""en"", ""cs"")"),"Psaní protokolů do SD karty")</f>
        <v>Psaní protokolů do SD karty</v>
      </c>
      <c r="H1803" s="7" t="str">
        <f>IFERROR(__xludf.DUMMYFUNCTION("GOOGLETRANSLATE(C1803, ""en"", ""da"")"),"Skrive logs til SD-kort")</f>
        <v>Skrive logs til SD-kort</v>
      </c>
      <c r="I1803" s="1" t="s">
        <v>36060</v>
      </c>
      <c r="J1803" s="6" t="s">
        <v>132</v>
      </c>
      <c r="K1803" s="1" t="s">
        <v>36061</v>
      </c>
      <c r="L1803" s="7" t="str">
        <f>IFERROR(__xludf.DUMMYFUNCTION("GOOGLETRANSLATE(C1803, ""en"", ""fi"")"),"Kirjoittaminen lokit SD-kortille")</f>
        <v>Kirjoittaminen lokit SD-kortille</v>
      </c>
      <c r="M1803" s="1" t="s">
        <v>36062</v>
      </c>
      <c r="N1803" s="6" t="s">
        <v>36063</v>
      </c>
      <c r="O1803" s="6" t="s">
        <v>132</v>
      </c>
      <c r="P1803" s="1" t="s">
        <v>36064</v>
      </c>
      <c r="Q1803" s="7" t="str">
        <f>IFERROR(__xludf.DUMMYFUNCTION("GOOGLETRANSLATE(C1803, ""en"", ""in"")"),"Menulis log ke kartu SD")</f>
        <v>Menulis log ke kartu SD</v>
      </c>
      <c r="R1803" s="1" t="s">
        <v>36065</v>
      </c>
      <c r="S1803" s="6" t="s">
        <v>132</v>
      </c>
      <c r="T1803" s="1" t="s">
        <v>36066</v>
      </c>
      <c r="U1803" s="1" t="s">
        <v>36067</v>
      </c>
      <c r="V1803" s="7" t="str">
        <f>IFERROR(__xludf.DUMMYFUNCTION("GOOGLETRANSLATE(C1803, ""en"", ""ms"")"),"Menulis Log ke Kad SD")</f>
        <v>Menulis Log ke Kad SD</v>
      </c>
      <c r="W1803" s="1" t="s">
        <v>36068</v>
      </c>
      <c r="X1803" s="7" t="str">
        <f>IFERROR(__xludf.DUMMYFUNCTION("GOOGLETRANSLATE(C1803, ""en"", ""no"")"),"Skrive logger til SD-kort")</f>
        <v>Skrive logger til SD-kort</v>
      </c>
      <c r="Y1803" s="1" t="s">
        <v>36069</v>
      </c>
      <c r="Z1803" s="1" t="s">
        <v>36070</v>
      </c>
      <c r="AA1803" s="7" t="str">
        <f>IFERROR(__xludf.DUMMYFUNCTION("GOOGLETRANSLATE(C1803, ""en"", ""ro"")"),"Scrierea jurnalelor la cartela SD")</f>
        <v>Scrierea jurnalelor la cartela SD</v>
      </c>
      <c r="AB1803" s="1" t="s">
        <v>36071</v>
      </c>
      <c r="AC1803" s="7" t="str">
        <f>IFERROR(__xludf.DUMMYFUNCTION("GOOGLETRANSLATE(C1803, ""en"", ""sk"")"),"Písanie protokolov na SD kartu")</f>
        <v>Písanie protokolov na SD kartu</v>
      </c>
      <c r="AD1803" s="6" t="s">
        <v>132</v>
      </c>
      <c r="AE1803" s="1" t="s">
        <v>36072</v>
      </c>
      <c r="AF1803" s="1" t="s">
        <v>36073</v>
      </c>
      <c r="AG1803" s="6" t="s">
        <v>132</v>
      </c>
      <c r="AH1803" s="7" t="str">
        <f>IFERROR(__xludf.DUMMYFUNCTION("GOOGLETRANSLATE(C1803, ""en"", ""tr"")"),"Günlükleri SD Kartına Yazma")</f>
        <v>Günlükleri SD Kartına Yazma</v>
      </c>
      <c r="AI1803" s="6" t="s">
        <v>36074</v>
      </c>
      <c r="AJ1803" s="6" t="s">
        <v>36075</v>
      </c>
      <c r="AK1803" s="7" t="str">
        <f>IFERROR(__xludf.DUMMYFUNCTION("GOOGLETRANSLATE(C1803, ""en"", ""zh"")"),"将日志写入SD卡")</f>
        <v>将日志写入SD卡</v>
      </c>
      <c r="AL1803" s="6" t="s">
        <v>36076</v>
      </c>
    </row>
    <row r="1804" ht="15.75" hidden="1" customHeight="1">
      <c r="A1804" s="1" t="s">
        <v>38</v>
      </c>
      <c r="B1804" s="1" t="s">
        <v>36077</v>
      </c>
      <c r="C1804" s="1" t="s">
        <v>36078</v>
      </c>
      <c r="D1804" s="7" t="str">
        <f>IFERROR(__xludf.DUMMYFUNCTION("GOOGLETRANSLATE(C1804, ""en"", ""ar"")"),"تونغا")</f>
        <v>تونغا</v>
      </c>
      <c r="E1804" s="7" t="str">
        <f>IFERROR(__xludf.DUMMYFUNCTION("GOOGLETRANSLATE(C1804, ""en"", ""bg"")"),"Тонга")</f>
        <v>Тонга</v>
      </c>
      <c r="F1804" s="6" t="s">
        <v>132</v>
      </c>
      <c r="G1804" s="7" t="str">
        <f>IFERROR(__xludf.DUMMYFUNCTION("GOOGLETRANSLATE(C1804, ""en"", ""cs"")"),"Tonga.")</f>
        <v>Tonga.</v>
      </c>
      <c r="H1804" s="7" t="str">
        <f>IFERROR(__xludf.DUMMYFUNCTION("GOOGLETRANSLATE(C1804, ""en"", ""da"")"),"Tonga.")</f>
        <v>Tonga.</v>
      </c>
      <c r="I1804" s="1" t="s">
        <v>36078</v>
      </c>
      <c r="J1804" s="6" t="s">
        <v>132</v>
      </c>
      <c r="K1804" s="1" t="s">
        <v>36078</v>
      </c>
      <c r="L1804" s="7" t="str">
        <f>IFERROR(__xludf.DUMMYFUNCTION("GOOGLETRANSLATE(C1804, ""en"", ""fi"")"),"Tonga")</f>
        <v>Tonga</v>
      </c>
      <c r="M1804" s="1" t="s">
        <v>36078</v>
      </c>
      <c r="N1804" s="6" t="s">
        <v>132</v>
      </c>
      <c r="O1804" s="6" t="s">
        <v>132</v>
      </c>
      <c r="P1804" s="1" t="s">
        <v>36078</v>
      </c>
      <c r="Q1804" s="7" t="str">
        <f>IFERROR(__xludf.DUMMYFUNCTION("GOOGLETRANSLATE(C1804, ""en"", ""in"")"),"Tonga.")</f>
        <v>Tonga.</v>
      </c>
      <c r="R1804" s="7" t="str">
        <f>IFERROR(__xludf.DUMMYFUNCTION("GOOGLETRANSLATE(C1804, ""en"", ""it"")"),"Tonga.")</f>
        <v>Tonga.</v>
      </c>
      <c r="S1804" s="6" t="s">
        <v>132</v>
      </c>
      <c r="T1804" s="7" t="str">
        <f>IFERROR(__xludf.DUMMYFUNCTION("GOOGLETRANSLATE(C1804, ""en"", ""ja"")"),"tong tong")</f>
        <v>tong tong</v>
      </c>
      <c r="U1804" s="7" t="str">
        <f>IFERROR(__xludf.DUMMYFUNCTION("GOOGLETRANSLATE(C1804, ""en"", ""ko"")"),"통가")</f>
        <v>통가</v>
      </c>
      <c r="V1804" s="7" t="str">
        <f>IFERROR(__xludf.DUMMYFUNCTION("GOOGLETRANSLATE(C1804, ""en"", ""ms"")"),"Tonga.")</f>
        <v>Tonga.</v>
      </c>
      <c r="W1804" s="7" t="str">
        <f>IFERROR(__xludf.DUMMYFUNCTION("GOOGLETRANSLATE(C1804, ""en"", ""nl"")"),"Tonga")</f>
        <v>Tonga</v>
      </c>
      <c r="X1804" s="7" t="str">
        <f>IFERROR(__xludf.DUMMYFUNCTION("GOOGLETRANSLATE(C1804, ""en"", ""no"")"),"Tonga.")</f>
        <v>Tonga.</v>
      </c>
      <c r="Y1804" s="7" t="str">
        <f>IFERROR(__xludf.DUMMYFUNCTION("GOOGLETRANSLATE(C1804, ""en"", ""pl"")"),"Tonga.")</f>
        <v>Tonga.</v>
      </c>
      <c r="Z1804" s="7" t="str">
        <f>IFERROR(__xludf.DUMMYFUNCTION("GOOGLETRANSLATE(C1804, ""en"", ""pt"")"),"Tonga")</f>
        <v>Tonga</v>
      </c>
      <c r="AA1804" s="7" t="str">
        <f>IFERROR(__xludf.DUMMYFUNCTION("GOOGLETRANSLATE(C1804, ""en"", ""ro"")"),"Tonga.")</f>
        <v>Tonga.</v>
      </c>
      <c r="AB1804" s="1" t="s">
        <v>36079</v>
      </c>
      <c r="AC1804" s="7" t="str">
        <f>IFERROR(__xludf.DUMMYFUNCTION("GOOGLETRANSLATE(C1804, ""en"", ""sk"")"),"Tonga")</f>
        <v>Tonga</v>
      </c>
      <c r="AD1804" s="6" t="s">
        <v>132</v>
      </c>
      <c r="AE1804" s="1" t="s">
        <v>36078</v>
      </c>
      <c r="AF1804" s="7" t="str">
        <f>IFERROR(__xludf.DUMMYFUNCTION("GOOGLETRANSLATE(C1804, ""en"", ""sv"")"),"Tonga")</f>
        <v>Tonga</v>
      </c>
      <c r="AG1804" s="6" t="s">
        <v>132</v>
      </c>
      <c r="AH1804" s="7" t="str">
        <f>IFERROR(__xludf.DUMMYFUNCTION("GOOGLETRANSLATE(C1804, ""en"", ""tr"")"),"Tonga")</f>
        <v>Tonga</v>
      </c>
      <c r="AI1804" s="6" t="s">
        <v>132</v>
      </c>
      <c r="AJ1804" s="6" t="s">
        <v>132</v>
      </c>
      <c r="AK1804" s="7" t="str">
        <f>IFERROR(__xludf.DUMMYFUNCTION("GOOGLETRANSLATE(C1804, ""en"", ""zh"")"),"汤加")</f>
        <v>汤加</v>
      </c>
      <c r="AL1804" s="6" t="s">
        <v>132</v>
      </c>
    </row>
    <row r="1805" ht="15.75" customHeight="1">
      <c r="A1805" s="1" t="s">
        <v>127</v>
      </c>
      <c r="B1805" s="1" t="s">
        <v>36080</v>
      </c>
      <c r="C1805" s="1" t="s">
        <v>36081</v>
      </c>
      <c r="D1805" s="8" t="s">
        <v>36082</v>
      </c>
      <c r="E1805" s="1" t="s">
        <v>36083</v>
      </c>
      <c r="F1805" s="6" t="s">
        <v>132</v>
      </c>
      <c r="G1805" s="1" t="s">
        <v>36084</v>
      </c>
      <c r="H1805" s="1" t="s">
        <v>36085</v>
      </c>
      <c r="I1805" s="1" t="s">
        <v>36086</v>
      </c>
      <c r="J1805" s="6" t="s">
        <v>36087</v>
      </c>
      <c r="K1805" s="1" t="s">
        <v>36088</v>
      </c>
      <c r="L1805" s="1" t="s">
        <v>36089</v>
      </c>
      <c r="M1805" s="1" t="s">
        <v>36090</v>
      </c>
      <c r="N1805" s="6" t="s">
        <v>132</v>
      </c>
      <c r="O1805" s="6" t="s">
        <v>36091</v>
      </c>
      <c r="P1805" s="1" t="s">
        <v>36092</v>
      </c>
      <c r="Q1805" s="1" t="s">
        <v>36081</v>
      </c>
      <c r="R1805" s="1" t="s">
        <v>36093</v>
      </c>
      <c r="S1805" s="10" t="s">
        <v>36094</v>
      </c>
      <c r="T1805" s="1" t="s">
        <v>36095</v>
      </c>
      <c r="U1805" s="1" t="s">
        <v>36096</v>
      </c>
      <c r="V1805" s="1" t="s">
        <v>36097</v>
      </c>
      <c r="W1805" s="1" t="s">
        <v>36098</v>
      </c>
      <c r="X1805" s="1" t="s">
        <v>36099</v>
      </c>
      <c r="Y1805" s="1" t="s">
        <v>36100</v>
      </c>
      <c r="Z1805" s="1" t="s">
        <v>36101</v>
      </c>
      <c r="AA1805" s="1" t="s">
        <v>36102</v>
      </c>
      <c r="AB1805" s="1" t="s">
        <v>36103</v>
      </c>
      <c r="AC1805" s="1" t="s">
        <v>36104</v>
      </c>
      <c r="AD1805" s="6" t="s">
        <v>36105</v>
      </c>
      <c r="AE1805" s="1" t="s">
        <v>36106</v>
      </c>
      <c r="AF1805" s="1" t="s">
        <v>36107</v>
      </c>
      <c r="AG1805" s="6" t="s">
        <v>36108</v>
      </c>
      <c r="AH1805" s="1" t="s">
        <v>36109</v>
      </c>
      <c r="AI1805" s="6" t="s">
        <v>132</v>
      </c>
      <c r="AJ1805" s="6" t="s">
        <v>36110</v>
      </c>
      <c r="AK1805" s="1" t="s">
        <v>36111</v>
      </c>
      <c r="AL1805" s="6" t="s">
        <v>36112</v>
      </c>
    </row>
    <row r="1806" ht="15.75" hidden="1" customHeight="1">
      <c r="A1806" s="1" t="s">
        <v>38</v>
      </c>
      <c r="B1806" s="1" t="s">
        <v>36113</v>
      </c>
      <c r="C1806" s="1" t="s">
        <v>36114</v>
      </c>
      <c r="D1806" s="7" t="str">
        <f>IFERROR(__xludf.DUMMYFUNCTION("GOOGLETRANSLATE(C1806, ""en"", ""ar"")"),"جزر الأنتيل الهولندية")</f>
        <v>جزر الأنتيل الهولندية</v>
      </c>
      <c r="E1806" s="7" t="str">
        <f>IFERROR(__xludf.DUMMYFUNCTION("GOOGLETRANSLATE(C1806, ""en"", ""bg"")"),"Холандски Антили")</f>
        <v>Холандски Антили</v>
      </c>
      <c r="F1806" s="6" t="s">
        <v>132</v>
      </c>
      <c r="G1806" s="7" t="str">
        <f>IFERROR(__xludf.DUMMYFUNCTION("GOOGLETRANSLATE(C1806, ""en"", ""cs"")"),"Nizozemské Antily")</f>
        <v>Nizozemské Antily</v>
      </c>
      <c r="H1806" s="7" t="str">
        <f>IFERROR(__xludf.DUMMYFUNCTION("GOOGLETRANSLATE(C1806, ""en"", ""da"")"),"Hollandske Antiller")</f>
        <v>Hollandske Antiller</v>
      </c>
      <c r="I1806" s="1" t="s">
        <v>36115</v>
      </c>
      <c r="J1806" s="6" t="s">
        <v>132</v>
      </c>
      <c r="K1806" s="1" t="s">
        <v>36116</v>
      </c>
      <c r="L1806" s="7" t="str">
        <f>IFERROR(__xludf.DUMMYFUNCTION("GOOGLETRANSLATE(C1806, ""en"", ""fi"")"),"Alankomaiden Antillit")</f>
        <v>Alankomaiden Antillit</v>
      </c>
      <c r="M1806" s="1" t="s">
        <v>36117</v>
      </c>
      <c r="N1806" s="6" t="s">
        <v>132</v>
      </c>
      <c r="O1806" s="6" t="s">
        <v>132</v>
      </c>
      <c r="P1806" s="1" t="s">
        <v>36114</v>
      </c>
      <c r="Q1806" s="7" t="str">
        <f>IFERROR(__xludf.DUMMYFUNCTION("GOOGLETRANSLATE(C1806, ""en"", ""in"")"),"Antillen Belanda")</f>
        <v>Antillen Belanda</v>
      </c>
      <c r="R1806" s="7" t="str">
        <f>IFERROR(__xludf.DUMMYFUNCTION("GOOGLETRANSLATE(C1806, ""en"", ""it"")"),"Antille Olandesi")</f>
        <v>Antille Olandesi</v>
      </c>
      <c r="S1806" s="6" t="s">
        <v>132</v>
      </c>
      <c r="T1806" s="7" t="str">
        <f>IFERROR(__xludf.DUMMYFUNCTION("GOOGLETRANSLATE(C1806, ""en"", ""ja"")"),"オランダ領アンティル")</f>
        <v>オランダ領アンティル</v>
      </c>
      <c r="U1806" s="7" t="str">
        <f>IFERROR(__xludf.DUMMYFUNCTION("GOOGLETRANSLATE(C1806, ""en"", ""ko"")"),"네덜란드 령 앤 틸리 스")</f>
        <v>네덜란드 령 앤 틸리 스</v>
      </c>
      <c r="V1806" s="7" t="str">
        <f>IFERROR(__xludf.DUMMYFUNCTION("GOOGLETRANSLATE(C1806, ""en"", ""ms"")"),"Antilles Belanda.")</f>
        <v>Antilles Belanda.</v>
      </c>
      <c r="W1806" s="7" t="str">
        <f>IFERROR(__xludf.DUMMYFUNCTION("GOOGLETRANSLATE(C1806, ""en"", ""nl"")"),"Nederlandse Antillen")</f>
        <v>Nederlandse Antillen</v>
      </c>
      <c r="X1806" s="7" t="str">
        <f>IFERROR(__xludf.DUMMYFUNCTION("GOOGLETRANSLATE(C1806, ""en"", ""no"")"),"De nederlandske Antillene")</f>
        <v>De nederlandske Antillene</v>
      </c>
      <c r="Y1806" s="7" t="str">
        <f>IFERROR(__xludf.DUMMYFUNCTION("GOOGLETRANSLATE(C1806, ""en"", ""pl"")"),"Antyle Holenderskie")</f>
        <v>Antyle Holenderskie</v>
      </c>
      <c r="Z1806" s="7" t="str">
        <f>IFERROR(__xludf.DUMMYFUNCTION("GOOGLETRANSLATE(C1806, ""en"", ""pt"")"),"Antilhas Holandesas")</f>
        <v>Antilhas Holandesas</v>
      </c>
      <c r="AA1806" s="7" t="str">
        <f>IFERROR(__xludf.DUMMYFUNCTION("GOOGLETRANSLATE(C1806, ""en"", ""ro"")"),"Antilele Olandeze")</f>
        <v>Antilele Olandeze</v>
      </c>
      <c r="AB1806" s="1" t="s">
        <v>36118</v>
      </c>
      <c r="AC1806" s="7" t="str">
        <f>IFERROR(__xludf.DUMMYFUNCTION("GOOGLETRANSLATE(C1806, ""en"", ""sk"")"),"Holandské Antily")</f>
        <v>Holandské Antily</v>
      </c>
      <c r="AD1806" s="6" t="s">
        <v>132</v>
      </c>
      <c r="AE1806" s="1" t="s">
        <v>36119</v>
      </c>
      <c r="AF1806" s="7" t="str">
        <f>IFERROR(__xludf.DUMMYFUNCTION("GOOGLETRANSLATE(C1806, ""en"", ""sv"")"),"Nederländska Antillerna")</f>
        <v>Nederländska Antillerna</v>
      </c>
      <c r="AG1806" s="6" t="s">
        <v>132</v>
      </c>
      <c r="AH1806" s="7" t="str">
        <f>IFERROR(__xludf.DUMMYFUNCTION("GOOGLETRANSLATE(C1806, ""en"", ""tr"")"),"Hollanda Antilleri")</f>
        <v>Hollanda Antilleri</v>
      </c>
      <c r="AI1806" s="6" t="s">
        <v>132</v>
      </c>
      <c r="AJ1806" s="6" t="s">
        <v>132</v>
      </c>
      <c r="AK1806" s="7" t="str">
        <f>IFERROR(__xludf.DUMMYFUNCTION("GOOGLETRANSLATE(C1806, ""en"", ""zh"")"),"荷属安的列斯")</f>
        <v>荷属安的列斯</v>
      </c>
      <c r="AL1806" s="6" t="s">
        <v>132</v>
      </c>
    </row>
    <row r="1807" ht="15.75" hidden="1" customHeight="1">
      <c r="A1807" s="1" t="s">
        <v>38</v>
      </c>
      <c r="B1807" s="1" t="s">
        <v>36120</v>
      </c>
      <c r="C1807" s="1" t="s">
        <v>36121</v>
      </c>
      <c r="D1807" s="7" t="str">
        <f>IFERROR(__xludf.DUMMYFUNCTION("GOOGLETRANSLATE(C1807, ""en"", ""ar"")"),"بولندا")</f>
        <v>بولندا</v>
      </c>
      <c r="E1807" s="7" t="str">
        <f>IFERROR(__xludf.DUMMYFUNCTION("GOOGLETRANSLATE(C1807, ""en"", ""bg"")"),"Полша")</f>
        <v>Полша</v>
      </c>
      <c r="F1807" s="6" t="s">
        <v>132</v>
      </c>
      <c r="G1807" s="7" t="str">
        <f>IFERROR(__xludf.DUMMYFUNCTION("GOOGLETRANSLATE(C1807, ""en"", ""cs"")"),"Polsko")</f>
        <v>Polsko</v>
      </c>
      <c r="H1807" s="7" t="str">
        <f>IFERROR(__xludf.DUMMYFUNCTION("GOOGLETRANSLATE(C1807, ""en"", ""da"")"),"Polen")</f>
        <v>Polen</v>
      </c>
      <c r="I1807" s="1" t="s">
        <v>36122</v>
      </c>
      <c r="J1807" s="6" t="s">
        <v>132</v>
      </c>
      <c r="K1807" s="1" t="s">
        <v>36123</v>
      </c>
      <c r="L1807" s="7" t="str">
        <f>IFERROR(__xludf.DUMMYFUNCTION("GOOGLETRANSLATE(C1807, ""en"", ""fi"")"),"Puola")</f>
        <v>Puola</v>
      </c>
      <c r="M1807" s="1" t="s">
        <v>36124</v>
      </c>
      <c r="N1807" s="6" t="s">
        <v>132</v>
      </c>
      <c r="O1807" s="6" t="s">
        <v>132</v>
      </c>
      <c r="P1807" s="1" t="s">
        <v>36121</v>
      </c>
      <c r="Q1807" s="7" t="str">
        <f>IFERROR(__xludf.DUMMYFUNCTION("GOOGLETRANSLATE(C1807, ""en"", ""in"")"),"Polandia")</f>
        <v>Polandia</v>
      </c>
      <c r="R1807" s="7" t="str">
        <f>IFERROR(__xludf.DUMMYFUNCTION("GOOGLETRANSLATE(C1807, ""en"", ""it"")"),"Polonia")</f>
        <v>Polonia</v>
      </c>
      <c r="S1807" s="6" t="s">
        <v>132</v>
      </c>
      <c r="T1807" s="7" t="str">
        <f>IFERROR(__xludf.DUMMYFUNCTION("GOOGLETRANSLATE(C1807, ""en"", ""ja"")"),"ポーランド")</f>
        <v>ポーランド</v>
      </c>
      <c r="U1807" s="7" t="str">
        <f>IFERROR(__xludf.DUMMYFUNCTION("GOOGLETRANSLATE(C1807, ""en"", ""ko"")"),"폴란드")</f>
        <v>폴란드</v>
      </c>
      <c r="V1807" s="7" t="str">
        <f>IFERROR(__xludf.DUMMYFUNCTION("GOOGLETRANSLATE(C1807, ""en"", ""ms"")"),"Poland")</f>
        <v>Poland</v>
      </c>
      <c r="W1807" s="7" t="str">
        <f>IFERROR(__xludf.DUMMYFUNCTION("GOOGLETRANSLATE(C1807, ""en"", ""nl"")"),"Polen")</f>
        <v>Polen</v>
      </c>
      <c r="X1807" s="7" t="str">
        <f>IFERROR(__xludf.DUMMYFUNCTION("GOOGLETRANSLATE(C1807, ""en"", ""no"")"),"Polen")</f>
        <v>Polen</v>
      </c>
      <c r="Y1807" s="7" t="str">
        <f>IFERROR(__xludf.DUMMYFUNCTION("GOOGLETRANSLATE(C1807, ""en"", ""pl"")"),"Polska")</f>
        <v>Polska</v>
      </c>
      <c r="Z1807" s="7" t="str">
        <f>IFERROR(__xludf.DUMMYFUNCTION("GOOGLETRANSLATE(C1807, ""en"", ""pt"")"),"Polônia")</f>
        <v>Polônia</v>
      </c>
      <c r="AA1807" s="7" t="str">
        <f>IFERROR(__xludf.DUMMYFUNCTION("GOOGLETRANSLATE(C1807, ""en"", ""ro"")"),"Polonia")</f>
        <v>Polonia</v>
      </c>
      <c r="AB1807" s="1" t="s">
        <v>36125</v>
      </c>
      <c r="AC1807" s="7" t="str">
        <f>IFERROR(__xludf.DUMMYFUNCTION("GOOGLETRANSLATE(C1807, ""en"", ""sk"")"),"Pódium")</f>
        <v>Pódium</v>
      </c>
      <c r="AD1807" s="6" t="s">
        <v>132</v>
      </c>
      <c r="AE1807" s="1" t="s">
        <v>36126</v>
      </c>
      <c r="AF1807" s="7" t="str">
        <f>IFERROR(__xludf.DUMMYFUNCTION("GOOGLETRANSLATE(C1807, ""en"", ""sv"")"),"Poland")</f>
        <v>Poland</v>
      </c>
      <c r="AG1807" s="6" t="s">
        <v>132</v>
      </c>
      <c r="AH1807" s="7" t="str">
        <f>IFERROR(__xludf.DUMMYFUNCTION("GOOGLETRANSLATE(C1807, ""en"", ""tr"")"),"Polonya")</f>
        <v>Polonya</v>
      </c>
      <c r="AI1807" s="6" t="s">
        <v>132</v>
      </c>
      <c r="AJ1807" s="6" t="s">
        <v>132</v>
      </c>
      <c r="AK1807" s="7" t="str">
        <f>IFERROR(__xludf.DUMMYFUNCTION("GOOGLETRANSLATE(C1807, ""en"", ""zh"")"),"波兰")</f>
        <v>波兰</v>
      </c>
      <c r="AL1807" s="6" t="s">
        <v>132</v>
      </c>
    </row>
    <row r="1808" ht="15.75" hidden="1" customHeight="1">
      <c r="A1808" s="1" t="s">
        <v>38</v>
      </c>
      <c r="B1808" s="1" t="s">
        <v>36127</v>
      </c>
      <c r="C1808" s="1" t="s">
        <v>36128</v>
      </c>
      <c r="D1808" s="7" t="str">
        <f>IFERROR(__xludf.DUMMYFUNCTION("GOOGLETRANSLATE(C1808, ""en"", ""ar"")"),"بنين")</f>
        <v>بنين</v>
      </c>
      <c r="E1808" s="7" t="str">
        <f>IFERROR(__xludf.DUMMYFUNCTION("GOOGLETRANSLATE(C1808, ""en"", ""bg"")"),"Бенин")</f>
        <v>Бенин</v>
      </c>
      <c r="F1808" s="6" t="s">
        <v>132</v>
      </c>
      <c r="G1808" s="7" t="str">
        <f>IFERROR(__xludf.DUMMYFUNCTION("GOOGLETRANSLATE(C1808, ""en"", ""cs"")"),"Benin")</f>
        <v>Benin</v>
      </c>
      <c r="H1808" s="7" t="str">
        <f>IFERROR(__xludf.DUMMYFUNCTION("GOOGLETRANSLATE(C1808, ""en"", ""da"")"),"Benin.")</f>
        <v>Benin.</v>
      </c>
      <c r="I1808" s="1" t="s">
        <v>36128</v>
      </c>
      <c r="J1808" s="6" t="s">
        <v>132</v>
      </c>
      <c r="K1808" s="1" t="s">
        <v>36129</v>
      </c>
      <c r="L1808" s="7" t="str">
        <f>IFERROR(__xludf.DUMMYFUNCTION("GOOGLETRANSLATE(C1808, ""en"", ""fi"")"),"Benin")</f>
        <v>Benin</v>
      </c>
      <c r="M1808" s="1" t="s">
        <v>36130</v>
      </c>
      <c r="N1808" s="6" t="s">
        <v>132</v>
      </c>
      <c r="O1808" s="6" t="s">
        <v>132</v>
      </c>
      <c r="P1808" s="1" t="s">
        <v>36128</v>
      </c>
      <c r="Q1808" s="7" t="str">
        <f>IFERROR(__xludf.DUMMYFUNCTION("GOOGLETRANSLATE(C1808, ""en"", ""in"")"),"Benin.")</f>
        <v>Benin.</v>
      </c>
      <c r="R1808" s="7" t="str">
        <f>IFERROR(__xludf.DUMMYFUNCTION("GOOGLETRANSLATE(C1808, ""en"", ""it"")"),"Benin.")</f>
        <v>Benin.</v>
      </c>
      <c r="S1808" s="6" t="s">
        <v>132</v>
      </c>
      <c r="T1808" s="7" t="str">
        <f>IFERROR(__xludf.DUMMYFUNCTION("GOOGLETRANSLATE(C1808, ""en"", ""ja"")"),"ベナン")</f>
        <v>ベナン</v>
      </c>
      <c r="U1808" s="7" t="str">
        <f>IFERROR(__xludf.DUMMYFUNCTION("GOOGLETRANSLATE(C1808, ""en"", ""ko"")"),"베냉")</f>
        <v>베냉</v>
      </c>
      <c r="V1808" s="7" t="str">
        <f>IFERROR(__xludf.DUMMYFUNCTION("GOOGLETRANSLATE(C1808, ""en"", ""ms"")"),"Benin.")</f>
        <v>Benin.</v>
      </c>
      <c r="W1808" s="7" t="str">
        <f>IFERROR(__xludf.DUMMYFUNCTION("GOOGLETRANSLATE(C1808, ""en"", ""nl"")"),"Benin")</f>
        <v>Benin</v>
      </c>
      <c r="X1808" s="7" t="str">
        <f>IFERROR(__xludf.DUMMYFUNCTION("GOOGLETRANSLATE(C1808, ""en"", ""no"")"),"Benin")</f>
        <v>Benin</v>
      </c>
      <c r="Y1808" s="7" t="str">
        <f>IFERROR(__xludf.DUMMYFUNCTION("GOOGLETRANSLATE(C1808, ""en"", ""pl"")"),"Benin")</f>
        <v>Benin</v>
      </c>
      <c r="Z1808" s="7" t="str">
        <f>IFERROR(__xludf.DUMMYFUNCTION("GOOGLETRANSLATE(C1808, ""en"", ""pt"")"),"Benin")</f>
        <v>Benin</v>
      </c>
      <c r="AA1808" s="7" t="str">
        <f>IFERROR(__xludf.DUMMYFUNCTION("GOOGLETRANSLATE(C1808, ""en"", ""ro"")"),"Benin.")</f>
        <v>Benin.</v>
      </c>
      <c r="AB1808" s="1" t="s">
        <v>36131</v>
      </c>
      <c r="AC1808" s="7" t="str">
        <f>IFERROR(__xludf.DUMMYFUNCTION("GOOGLETRANSLATE(C1808, ""en"", ""sk"")"),"Benin")</f>
        <v>Benin</v>
      </c>
      <c r="AD1808" s="6" t="s">
        <v>132</v>
      </c>
      <c r="AE1808" s="1" t="s">
        <v>36128</v>
      </c>
      <c r="AF1808" s="7" t="str">
        <f>IFERROR(__xludf.DUMMYFUNCTION("GOOGLETRANSLATE(C1808, ""en"", ""sv"")"),"Benin")</f>
        <v>Benin</v>
      </c>
      <c r="AG1808" s="6" t="s">
        <v>132</v>
      </c>
      <c r="AH1808" s="7" t="str">
        <f>IFERROR(__xludf.DUMMYFUNCTION("GOOGLETRANSLATE(C1808, ""en"", ""tr"")"),"Benin")</f>
        <v>Benin</v>
      </c>
      <c r="AI1808" s="6" t="s">
        <v>132</v>
      </c>
      <c r="AJ1808" s="6" t="s">
        <v>132</v>
      </c>
      <c r="AK1808" s="7" t="str">
        <f>IFERROR(__xludf.DUMMYFUNCTION("GOOGLETRANSLATE(C1808, ""en"", ""zh"")"),"贝宁")</f>
        <v>贝宁</v>
      </c>
      <c r="AL1808" s="6" t="s">
        <v>132</v>
      </c>
    </row>
    <row r="1809" ht="15.75" customHeight="1">
      <c r="A1809" s="1" t="s">
        <v>127</v>
      </c>
      <c r="B1809" s="1" t="s">
        <v>36132</v>
      </c>
      <c r="C1809" s="1" t="s">
        <v>36133</v>
      </c>
      <c r="D1809" s="8" t="s">
        <v>36134</v>
      </c>
      <c r="E1809" s="1" t="s">
        <v>36135</v>
      </c>
      <c r="F1809" s="6" t="s">
        <v>132</v>
      </c>
      <c r="G1809" s="1" t="s">
        <v>36136</v>
      </c>
      <c r="H1809" s="1" t="s">
        <v>36137</v>
      </c>
      <c r="I1809" s="1" t="s">
        <v>36138</v>
      </c>
      <c r="J1809" s="6" t="s">
        <v>36139</v>
      </c>
      <c r="K1809" s="1" t="s">
        <v>36140</v>
      </c>
      <c r="L1809" s="1" t="s">
        <v>36141</v>
      </c>
      <c r="M1809" s="1" t="s">
        <v>36142</v>
      </c>
      <c r="N1809" s="6" t="s">
        <v>132</v>
      </c>
      <c r="O1809" s="6" t="s">
        <v>36143</v>
      </c>
      <c r="P1809" s="1" t="s">
        <v>36144</v>
      </c>
      <c r="Q1809" s="1" t="s">
        <v>36145</v>
      </c>
      <c r="R1809" s="1" t="s">
        <v>36146</v>
      </c>
      <c r="S1809" s="10" t="s">
        <v>36147</v>
      </c>
      <c r="T1809" s="1" t="s">
        <v>36148</v>
      </c>
      <c r="U1809" s="1" t="s">
        <v>36149</v>
      </c>
      <c r="V1809" s="1" t="s">
        <v>36150</v>
      </c>
      <c r="W1809" s="1" t="s">
        <v>36151</v>
      </c>
      <c r="X1809" s="1" t="s">
        <v>36152</v>
      </c>
      <c r="Y1809" s="1" t="s">
        <v>36153</v>
      </c>
      <c r="Z1809" s="1" t="s">
        <v>36154</v>
      </c>
      <c r="AA1809" s="1" t="s">
        <v>36155</v>
      </c>
      <c r="AB1809" s="1" t="s">
        <v>36156</v>
      </c>
      <c r="AC1809" s="1" t="s">
        <v>36157</v>
      </c>
      <c r="AD1809" s="6" t="s">
        <v>36158</v>
      </c>
      <c r="AE1809" s="1" t="s">
        <v>36133</v>
      </c>
      <c r="AF1809" s="1" t="s">
        <v>36159</v>
      </c>
      <c r="AG1809" s="6" t="s">
        <v>36160</v>
      </c>
      <c r="AH1809" s="1" t="s">
        <v>36161</v>
      </c>
      <c r="AI1809" s="6" t="s">
        <v>132</v>
      </c>
      <c r="AJ1809" s="6" t="s">
        <v>36162</v>
      </c>
      <c r="AK1809" s="1" t="s">
        <v>36163</v>
      </c>
      <c r="AL1809" s="6" t="s">
        <v>132</v>
      </c>
    </row>
    <row r="1810" ht="15.75" hidden="1" customHeight="1">
      <c r="A1810" s="1" t="s">
        <v>38</v>
      </c>
      <c r="B1810" s="1" t="s">
        <v>36164</v>
      </c>
      <c r="C1810" s="1" t="s">
        <v>36165</v>
      </c>
      <c r="D1810" s="7" t="str">
        <f>IFERROR(__xludf.DUMMYFUNCTION("GOOGLETRANSLATE(C1810, ""en"", ""ar"")"),"انضم إلى الدردشة الباحة")</f>
        <v>انضم إلى الدردشة الباحة</v>
      </c>
      <c r="E1810" s="7" t="str">
        <f>IFERROR(__xludf.DUMMYFUNCTION("GOOGLETRANSLATE(C1810, ""en"", ""bg"")"),"Присъединете се към чата на баха")</f>
        <v>Присъединете се към чата на баха</v>
      </c>
      <c r="F1810" s="6" t="s">
        <v>132</v>
      </c>
      <c r="G1810" s="7" t="str">
        <f>IFERROR(__xludf.DUMMYFUNCTION("GOOGLETRANSLATE(C1810, ""en"", ""cs"")"),"Připojte se k baha chatu")</f>
        <v>Připojte se k baha chatu</v>
      </c>
      <c r="H1810" s="7" t="str">
        <f>IFERROR(__xludf.DUMMYFUNCTION("GOOGLETRANSLATE(C1810, ""en"", ""da"")"),"Deltag i Baha Chat")</f>
        <v>Deltag i Baha Chat</v>
      </c>
      <c r="I1810" s="7" t="str">
        <f>IFERROR(__xludf.DUMMYFUNCTION("GOOGLETRANSLATE(C1810, ""en"", ""de"")"),"Treten Sie dem Baha-Chat bei")</f>
        <v>Treten Sie dem Baha-Chat bei</v>
      </c>
      <c r="J1810" s="6" t="s">
        <v>132</v>
      </c>
      <c r="K1810" s="7" t="str">
        <f>IFERROR(__xludf.DUMMYFUNCTION("GOOGLETRANSLATE(C1810, ""en"", ""es"")"),"Únete al chat de Baha")</f>
        <v>Únete al chat de Baha</v>
      </c>
      <c r="L1810" s="7" t="str">
        <f>IFERROR(__xludf.DUMMYFUNCTION("GOOGLETRANSLATE(C1810, ""en"", ""fi"")"),"Liity Baha Chat")</f>
        <v>Liity Baha Chat</v>
      </c>
      <c r="M1810" s="7" t="str">
        <f>IFERROR(__xludf.DUMMYFUNCTION("GOOGLETRANSLATE(C1810, ""en"", ""fr"")"),"Rejoignez le chat Baha")</f>
        <v>Rejoignez le chat Baha</v>
      </c>
      <c r="N1810" s="6" t="s">
        <v>132</v>
      </c>
      <c r="O1810" s="6" t="s">
        <v>132</v>
      </c>
      <c r="P1810" s="7" t="str">
        <f>IFERROR(__xludf.DUMMYFUNCTION("GOOGLETRANSLATE(C1810, ""en"", ""hu"")"),"Csatlakozzon a BAHA CHAT-hoz")</f>
        <v>Csatlakozzon a BAHA CHAT-hoz</v>
      </c>
      <c r="Q1810" s="7" t="str">
        <f>IFERROR(__xludf.DUMMYFUNCTION("GOOGLETRANSLATE(C1810, ""en"", ""in"")"),"Bergabunglah dengan Baha Chat")</f>
        <v>Bergabunglah dengan Baha Chat</v>
      </c>
      <c r="R1810" s="7" t="str">
        <f>IFERROR(__xludf.DUMMYFUNCTION("GOOGLETRANSLATE(C1810, ""en"", ""it"")"),"Unisciti alla chat Baha")</f>
        <v>Unisciti alla chat Baha</v>
      </c>
      <c r="S1810" s="6" t="s">
        <v>132</v>
      </c>
      <c r="T1810" s="7" t="str">
        <f>IFERROR(__xludf.DUMMYFUNCTION("GOOGLETRANSLATE(C1810, ""en"", ""ja"")"),"バハチャットに参加してください")</f>
        <v>バハチャットに参加してください</v>
      </c>
      <c r="U1810" s="7" t="str">
        <f>IFERROR(__xludf.DUMMYFUNCTION("GOOGLETRANSLATE(C1810, ""en"", ""ko"")"),"바하 채팅에 가입하십시오")</f>
        <v>바하 채팅에 가입하십시오</v>
      </c>
      <c r="V1810" s="7" t="str">
        <f>IFERROR(__xludf.DUMMYFUNCTION("GOOGLETRANSLATE(C1810, ""en"", ""ms"")"),"Sertai Chat Baha")</f>
        <v>Sertai Chat Baha</v>
      </c>
      <c r="W1810" s="7" t="str">
        <f>IFERROR(__xludf.DUMMYFUNCTION("GOOGLETRANSLATE(C1810, ""en"", ""nl"")"),"Word lid van de Baha-chat")</f>
        <v>Word lid van de Baha-chat</v>
      </c>
      <c r="X1810" s="7" t="str">
        <f>IFERROR(__xludf.DUMMYFUNCTION("GOOGLETRANSLATE(C1810, ""en"", ""no"")"),"Bli med på Baha Chat")</f>
        <v>Bli med på Baha Chat</v>
      </c>
      <c r="Y1810" s="7" t="str">
        <f>IFERROR(__xludf.DUMMYFUNCTION("GOOGLETRANSLATE(C1810, ""en"", ""pl"")"),"Dołącz do czatu baha")</f>
        <v>Dołącz do czatu baha</v>
      </c>
      <c r="Z1810" s="7" t="str">
        <f>IFERROR(__xludf.DUMMYFUNCTION("GOOGLETRANSLATE(C1810, ""en"", ""pt"")"),"Junte-se ao bate-papo Baha")</f>
        <v>Junte-se ao bate-papo Baha</v>
      </c>
      <c r="AA1810" s="7" t="str">
        <f>IFERROR(__xludf.DUMMYFUNCTION("GOOGLETRANSLATE(C1810, ""en"", ""ro"")"),"Alăturați-vă chat-ului Baha")</f>
        <v>Alăturați-vă chat-ului Baha</v>
      </c>
      <c r="AB1810" s="7" t="str">
        <f>IFERROR(__xludf.DUMMYFUNCTION("GOOGLETRANSLATE(C1810, ""en"", ""ru"")"),"Присоединяйтесь к чату Баха")</f>
        <v>Присоединяйтесь к чату Баха</v>
      </c>
      <c r="AC1810" s="7" t="str">
        <f>IFERROR(__xludf.DUMMYFUNCTION("GOOGLETRANSLATE(C1810, ""en"", ""sk"")"),"Pridajte sa k chatu Baha")</f>
        <v>Pridajte sa k chatu Baha</v>
      </c>
      <c r="AD1810" s="6" t="s">
        <v>132</v>
      </c>
      <c r="AE1810" s="7" t="str">
        <f>IFERROR(__xludf.DUMMYFUNCTION("GOOGLETRANSLATE(C1810, ""en"", ""sr"")"),"Придружите се Баха Цхат-у")</f>
        <v>Придружите се Баха Цхат-у</v>
      </c>
      <c r="AF1810" s="7" t="str">
        <f>IFERROR(__xludf.DUMMYFUNCTION("GOOGLETRANSLATE(C1810, ""en"", ""sv"")"),"Gå med i Baha Chat")</f>
        <v>Gå med i Baha Chat</v>
      </c>
      <c r="AG1810" s="6" t="s">
        <v>132</v>
      </c>
      <c r="AH1810" s="7" t="str">
        <f>IFERROR(__xludf.DUMMYFUNCTION("GOOGLETRANSLATE(C1810, ""en"", ""tr"")"),"BAHA Sohbetine katılın")</f>
        <v>BAHA Sohbetine katılın</v>
      </c>
      <c r="AI1810" s="6" t="s">
        <v>132</v>
      </c>
      <c r="AJ1810" s="6" t="s">
        <v>132</v>
      </c>
      <c r="AK1810" s="7" t="str">
        <f>IFERROR(__xludf.DUMMYFUNCTION("GOOGLETRANSLATE(C1810, ""en"", ""zh"")"),"加入巴哈聊天")</f>
        <v>加入巴哈聊天</v>
      </c>
      <c r="AL1810" s="6" t="s">
        <v>132</v>
      </c>
    </row>
    <row r="1811" ht="15.75" customHeight="1">
      <c r="A1811" s="1" t="s">
        <v>127</v>
      </c>
      <c r="B1811" s="1" t="s">
        <v>36166</v>
      </c>
      <c r="C1811" s="1" t="s">
        <v>36167</v>
      </c>
      <c r="D1811" s="8" t="s">
        <v>1089</v>
      </c>
      <c r="E1811" s="1" t="s">
        <v>36168</v>
      </c>
      <c r="F1811" s="6" t="s">
        <v>132</v>
      </c>
      <c r="G1811" s="1" t="s">
        <v>36169</v>
      </c>
      <c r="H1811" s="1" t="s">
        <v>36170</v>
      </c>
      <c r="I1811" s="1" t="s">
        <v>17170</v>
      </c>
      <c r="J1811" s="6" t="s">
        <v>36171</v>
      </c>
      <c r="K1811" s="1" t="s">
        <v>36172</v>
      </c>
      <c r="L1811" s="1" t="s">
        <v>36173</v>
      </c>
      <c r="M1811" s="1" t="s">
        <v>36174</v>
      </c>
      <c r="N1811" s="6" t="s">
        <v>132</v>
      </c>
      <c r="O1811" s="6" t="s">
        <v>3399</v>
      </c>
      <c r="P1811" s="1" t="s">
        <v>36175</v>
      </c>
      <c r="Q1811" s="1" t="s">
        <v>3401</v>
      </c>
      <c r="R1811" s="1" t="s">
        <v>36176</v>
      </c>
      <c r="S1811" s="10" t="s">
        <v>36177</v>
      </c>
      <c r="T1811" s="1" t="s">
        <v>3404</v>
      </c>
      <c r="U1811" s="1" t="s">
        <v>3405</v>
      </c>
      <c r="V1811" s="1" t="s">
        <v>3401</v>
      </c>
      <c r="W1811" s="1" t="s">
        <v>36170</v>
      </c>
      <c r="X1811" s="1" t="s">
        <v>36170</v>
      </c>
      <c r="Y1811" s="1" t="s">
        <v>36178</v>
      </c>
      <c r="Z1811" s="1" t="s">
        <v>36179</v>
      </c>
      <c r="AA1811" s="1" t="s">
        <v>36180</v>
      </c>
      <c r="AB1811" s="1" t="s">
        <v>36181</v>
      </c>
      <c r="AC1811" s="1" t="s">
        <v>36182</v>
      </c>
      <c r="AD1811" s="6" t="s">
        <v>36183</v>
      </c>
      <c r="AE1811" s="1" t="s">
        <v>36183</v>
      </c>
      <c r="AF1811" s="1" t="s">
        <v>36170</v>
      </c>
      <c r="AG1811" s="6" t="s">
        <v>3414</v>
      </c>
      <c r="AH1811" s="1" t="s">
        <v>36184</v>
      </c>
      <c r="AI1811" s="6" t="s">
        <v>132</v>
      </c>
      <c r="AJ1811" s="6" t="s">
        <v>3416</v>
      </c>
      <c r="AK1811" s="1" t="s">
        <v>3417</v>
      </c>
      <c r="AL1811" s="6" t="s">
        <v>3418</v>
      </c>
    </row>
    <row r="1812" ht="15.75" hidden="1" customHeight="1">
      <c r="A1812" s="1" t="s">
        <v>38</v>
      </c>
      <c r="B1812" s="1" t="s">
        <v>36185</v>
      </c>
      <c r="C1812" s="1" t="s">
        <v>36186</v>
      </c>
      <c r="D1812" s="8" t="s">
        <v>36187</v>
      </c>
      <c r="E1812" s="1" t="s">
        <v>36188</v>
      </c>
      <c r="F1812" s="6" t="s">
        <v>36189</v>
      </c>
      <c r="G1812" s="7" t="str">
        <f>IFERROR(__xludf.DUMMYFUNCTION("GOOGLETRANSLATE(C1812, ""en"", ""cs"")"),"nabídka…")</f>
        <v>nabídka…</v>
      </c>
      <c r="H1812" s="7" t="str">
        <f>IFERROR(__xludf.DUMMYFUNCTION("GOOGLETRANSLATE(C1812, ""en"", ""da"")"),"Tilbyder ...")</f>
        <v>Tilbyder ...</v>
      </c>
      <c r="I1812" s="1" t="s">
        <v>36190</v>
      </c>
      <c r="J1812" s="6" t="s">
        <v>132</v>
      </c>
      <c r="K1812" s="1" t="s">
        <v>36191</v>
      </c>
      <c r="L1812" s="7" t="str">
        <f>IFERROR(__xludf.DUMMYFUNCTION("GOOGLETRANSLATE(C1812, ""en"", ""fi"")"),"Tarjoaa ...")</f>
        <v>Tarjoaa ...</v>
      </c>
      <c r="M1812" s="1" t="s">
        <v>36192</v>
      </c>
      <c r="N1812" s="6" t="s">
        <v>36193</v>
      </c>
      <c r="O1812" s="6" t="s">
        <v>132</v>
      </c>
      <c r="P1812" s="1" t="s">
        <v>36194</v>
      </c>
      <c r="Q1812" s="9" t="s">
        <v>36195</v>
      </c>
      <c r="R1812" s="1" t="s">
        <v>36196</v>
      </c>
      <c r="S1812" s="6" t="s">
        <v>132</v>
      </c>
      <c r="T1812" s="1" t="s">
        <v>36197</v>
      </c>
      <c r="U1812" s="1" t="s">
        <v>36198</v>
      </c>
      <c r="V1812" s="7" t="str">
        <f>IFERROR(__xludf.DUMMYFUNCTION("GOOGLETRANSLATE(C1812, ""en"", ""ms"")"),"Menawarkan ...")</f>
        <v>Menawarkan ...</v>
      </c>
      <c r="W1812" s="1" t="s">
        <v>36199</v>
      </c>
      <c r="X1812" s="7" t="str">
        <f>IFERROR(__xludf.DUMMYFUNCTION("GOOGLETRANSLATE(C1812, ""en"", ""no"")"),"å tilby…")</f>
        <v>å tilby…</v>
      </c>
      <c r="Y1812" s="1" t="s">
        <v>36200</v>
      </c>
      <c r="Z1812" s="1" t="s">
        <v>36201</v>
      </c>
      <c r="AA1812" s="7" t="str">
        <f>IFERROR(__xludf.DUMMYFUNCTION("GOOGLETRANSLATE(C1812, ""en"", ""ro"")"),"Oferind ...")</f>
        <v>Oferind ...</v>
      </c>
      <c r="AB1812" s="1" t="s">
        <v>36202</v>
      </c>
      <c r="AC1812" s="1" t="s">
        <v>36203</v>
      </c>
      <c r="AD1812" s="6" t="s">
        <v>132</v>
      </c>
      <c r="AE1812" s="1" t="s">
        <v>36204</v>
      </c>
      <c r="AF1812" s="1" t="s">
        <v>36205</v>
      </c>
      <c r="AG1812" s="6" t="s">
        <v>132</v>
      </c>
      <c r="AH1812" s="7" t="str">
        <f>IFERROR(__xludf.DUMMYFUNCTION("GOOGLETRANSLATE(C1812, ""en"", ""tr"")"),"teklif…")</f>
        <v>teklif…</v>
      </c>
      <c r="AI1812" s="6" t="s">
        <v>36206</v>
      </c>
      <c r="AJ1812" s="6" t="s">
        <v>36207</v>
      </c>
      <c r="AK1812" s="7" t="str">
        <f>IFERROR(__xludf.DUMMYFUNCTION("GOOGLETRANSLATE(C1812, ""en"", ""zh"")"),"提供......")</f>
        <v>提供......</v>
      </c>
      <c r="AL1812" s="6" t="s">
        <v>36208</v>
      </c>
    </row>
    <row r="1813" ht="15.75" hidden="1" customHeight="1">
      <c r="A1813" s="1" t="s">
        <v>38</v>
      </c>
      <c r="B1813" s="1" t="s">
        <v>36209</v>
      </c>
      <c r="C1813" s="1" t="s">
        <v>36210</v>
      </c>
      <c r="D1813" s="7" t="str">
        <f>IFERROR(__xludf.DUMMYFUNCTION("GOOGLETRANSLATE(C1813, ""en"", ""ar"")"),"قائمة جهات الاتصال الخاصة بك فارغة!")</f>
        <v>قائمة جهات الاتصال الخاصة بك فارغة!</v>
      </c>
      <c r="E1813" s="7" t="str">
        <f>IFERROR(__xludf.DUMMYFUNCTION("GOOGLETRANSLATE(C1813, ""en"", ""bg"")"),"Вашият списък с контакти е празен!")</f>
        <v>Вашият списък с контакти е празен!</v>
      </c>
      <c r="F1813" s="6" t="s">
        <v>132</v>
      </c>
      <c r="G1813" s="7" t="str">
        <f>IFERROR(__xludf.DUMMYFUNCTION("GOOGLETRANSLATE(C1813, ""en"", ""cs"")"),"Seznam kontaktů je prázdný!")</f>
        <v>Seznam kontaktů je prázdný!</v>
      </c>
      <c r="H1813" s="7" t="str">
        <f>IFERROR(__xludf.DUMMYFUNCTION("GOOGLETRANSLATE(C1813, ""en"", ""da"")"),"Din kontaktliste er tom!")</f>
        <v>Din kontaktliste er tom!</v>
      </c>
      <c r="I1813" s="1" t="s">
        <v>36211</v>
      </c>
      <c r="J1813" s="6" t="s">
        <v>132</v>
      </c>
      <c r="K1813" s="1" t="s">
        <v>36212</v>
      </c>
      <c r="L1813" s="7" t="str">
        <f>IFERROR(__xludf.DUMMYFUNCTION("GOOGLETRANSLATE(C1813, ""en"", ""fi"")"),"Yhteystietoluettelo on tyhjä!")</f>
        <v>Yhteystietoluettelo on tyhjä!</v>
      </c>
      <c r="M1813" s="1" t="s">
        <v>36213</v>
      </c>
      <c r="N1813" s="6" t="s">
        <v>132</v>
      </c>
      <c r="O1813" s="6" t="s">
        <v>132</v>
      </c>
      <c r="P1813" s="1" t="s">
        <v>36214</v>
      </c>
      <c r="Q1813" s="7" t="str">
        <f>IFERROR(__xludf.DUMMYFUNCTION("GOOGLETRANSLATE(C1813, ""en"", ""in"")"),"Daftar kontak Anda kosong!")</f>
        <v>Daftar kontak Anda kosong!</v>
      </c>
      <c r="R1813" s="13" t="s">
        <v>36215</v>
      </c>
      <c r="S1813" s="6" t="s">
        <v>132</v>
      </c>
      <c r="T1813" s="7" t="str">
        <f>IFERROR(__xludf.DUMMYFUNCTION("GOOGLETRANSLATE(C1813, ""en"", ""ja"")"),"あなたの連絡先リストは空です！")</f>
        <v>あなたの連絡先リストは空です！</v>
      </c>
      <c r="U1813" s="7" t="str">
        <f>IFERROR(__xludf.DUMMYFUNCTION("GOOGLETRANSLATE(C1813, ""en"", ""ko"")"),"연락처 목록이 비어 있습니다!")</f>
        <v>연락처 목록이 비어 있습니다!</v>
      </c>
      <c r="V1813" s="7" t="str">
        <f>IFERROR(__xludf.DUMMYFUNCTION("GOOGLETRANSLATE(C1813, ""en"", ""ms"")"),"Senarai kenalan anda kosong!")</f>
        <v>Senarai kenalan anda kosong!</v>
      </c>
      <c r="W1813" s="7" t="str">
        <f>IFERROR(__xludf.DUMMYFUNCTION("GOOGLETRANSLATE(C1813, ""en"", ""nl"")"),"Uw lijst met contacten is leeg!")</f>
        <v>Uw lijst met contacten is leeg!</v>
      </c>
      <c r="X1813" s="7" t="str">
        <f>IFERROR(__xludf.DUMMYFUNCTION("GOOGLETRANSLATE(C1813, ""en"", ""no"")"),"Din kontaktliste er tom!")</f>
        <v>Din kontaktliste er tom!</v>
      </c>
      <c r="Y1813" s="7" t="str">
        <f>IFERROR(__xludf.DUMMYFUNCTION("GOOGLETRANSLATE(C1813, ""en"", ""pl"")"),"Twoja lista kontaktów jest pusta!")</f>
        <v>Twoja lista kontaktów jest pusta!</v>
      </c>
      <c r="Z1813" s="7" t="str">
        <f>IFERROR(__xludf.DUMMYFUNCTION("GOOGLETRANSLATE(C1813, ""en"", ""pt"")"),"Sua lista de contatos está vazia!")</f>
        <v>Sua lista de contatos está vazia!</v>
      </c>
      <c r="AA1813" s="7" t="str">
        <f>IFERROR(__xludf.DUMMYFUNCTION("GOOGLETRANSLATE(C1813, ""en"", ""ro"")"),"Lista de contacte este goală!")</f>
        <v>Lista de contacte este goală!</v>
      </c>
      <c r="AB1813" s="1" t="s">
        <v>36216</v>
      </c>
      <c r="AC1813" s="7" t="str">
        <f>IFERROR(__xludf.DUMMYFUNCTION("GOOGLETRANSLATE(C1813, ""en"", ""sk"")"),"Zoznam kontaktov je prázdny!")</f>
        <v>Zoznam kontaktov je prázdny!</v>
      </c>
      <c r="AD1813" s="6" t="s">
        <v>132</v>
      </c>
      <c r="AE1813" s="1" t="s">
        <v>36217</v>
      </c>
      <c r="AF1813" s="7" t="str">
        <f>IFERROR(__xludf.DUMMYFUNCTION("GOOGLETRANSLATE(C1813, ""en"", ""sv"")"),"Din kontaktlista är tom!")</f>
        <v>Din kontaktlista är tom!</v>
      </c>
      <c r="AG1813" s="6" t="s">
        <v>132</v>
      </c>
      <c r="AH1813" s="7" t="str">
        <f>IFERROR(__xludf.DUMMYFUNCTION("GOOGLETRANSLATE(C1813, ""en"", ""tr"")"),"Rehber listeniz boş!")</f>
        <v>Rehber listeniz boş!</v>
      </c>
      <c r="AI1813" s="6" t="s">
        <v>132</v>
      </c>
      <c r="AJ1813" s="6" t="s">
        <v>132</v>
      </c>
      <c r="AK1813" s="7" t="str">
        <f>IFERROR(__xludf.DUMMYFUNCTION("GOOGLETRANSLATE(C1813, ""en"", ""zh"")"),"您的联系人列表是空的！")</f>
        <v>您的联系人列表是空的！</v>
      </c>
      <c r="AL1813" s="6" t="s">
        <v>132</v>
      </c>
    </row>
    <row r="1814" ht="15.75" hidden="1" customHeight="1">
      <c r="A1814" s="1" t="s">
        <v>38</v>
      </c>
      <c r="B1814" s="1" t="s">
        <v>36218</v>
      </c>
      <c r="C1814" s="1" t="s">
        <v>36219</v>
      </c>
      <c r="D1814" s="7" t="str">
        <f>IFERROR(__xludf.DUMMYFUNCTION("GOOGLETRANSLATE(C1814, ""en"", ""ar"")"),"بالثقة تلقائيا بجميع الأجهزة الجديدة من جهات الاتصال التي لم يتم التحقق منها من قبل، والمطالبة بالتأكيد اليدوي في كل مرة توفر فيها جهة اتصال تم التحقق منها جهازا جديدا.")</f>
        <v>بالثقة تلقائيا بجميع الأجهزة الجديدة من جهات الاتصال التي لم يتم التحقق منها من قبل، والمطالبة بالتأكيد اليدوي في كل مرة توفر فيها جهة اتصال تم التحقق منها جهازا جديدا.</v>
      </c>
      <c r="E1814" s="1" t="s">
        <v>36220</v>
      </c>
      <c r="F1814" s="6" t="s">
        <v>36221</v>
      </c>
      <c r="G1814" s="7" t="str">
        <f>IFERROR(__xludf.DUMMYFUNCTION("GOOGLETRANSLATE(C1814, ""en"", ""cs"")"),"Automaticky důvěřovat všech nových zařízeních kontaktů, které nebyly ověřeny dříve, a vyzváni k návrhu přímého potvrzení pokaždé, když ověřený kontakt přidá nové zařízení.")</f>
        <v>Automaticky důvěřovat všech nových zařízeních kontaktů, které nebyly ověřeny dříve, a vyzváni k návrhu přímého potvrzení pokaždé, když ověřený kontakt přidá nové zařízení.</v>
      </c>
      <c r="H1814" s="7" t="str">
        <f>IFERROR(__xludf.DUMMYFUNCTION("GOOGLETRANSLATE(C1814, ""en"", ""da"")"),"Troende automatisk alle nye enheder af kontakter, der ikke er blevet bekræftet før, og spørg efter manuel bekræftelse hver gang en verificeret kontakt tilføjer en ny enhed.")</f>
        <v>Troende automatisk alle nye enheder af kontakter, der ikke er blevet bekræftet før, og spørg efter manuel bekræftelse hver gang en verificeret kontakt tilføjer en ny enhed.</v>
      </c>
      <c r="I1814" s="1" t="s">
        <v>36222</v>
      </c>
      <c r="J1814" s="6" t="s">
        <v>132</v>
      </c>
      <c r="K1814" s="1" t="s">
        <v>36223</v>
      </c>
      <c r="L1814" s="7" t="str">
        <f>IFERROR(__xludf.DUMMYFUNCTION("GOOGLETRANSLATE(C1814, ""en"", ""fi"")"),"Luottavat automaattisesti kaikkiin uusiin yhteystietoihin, joita ei ole vahvistettu ennen ja kehote manuaalisesta vahvistuksesta aina, kun vahvistettu yhteys lisää uuden laitteen.")</f>
        <v>Luottavat automaattisesti kaikkiin uusiin yhteystietoihin, joita ei ole vahvistettu ennen ja kehote manuaalisesta vahvistuksesta aina, kun vahvistettu yhteys lisää uuden laitteen.</v>
      </c>
      <c r="M1814" s="1" t="s">
        <v>36224</v>
      </c>
      <c r="N1814" s="6" t="s">
        <v>36225</v>
      </c>
      <c r="O1814" s="6" t="s">
        <v>132</v>
      </c>
      <c r="P1814" s="1" t="s">
        <v>36226</v>
      </c>
      <c r="Q1814" s="7" t="str">
        <f>IFERROR(__xludf.DUMMYFUNCTION("GOOGLETRANSLATE(C1814, ""en"", ""in"")"),"Secara otomatis mempercayai semua perangkat kontak baru yang belum diverifikasi sebelumnya, dan meminta konfirmasi manual setiap kali kontak yang diverifikasi menambah perangkat baru.")</f>
        <v>Secara otomatis mempercayai semua perangkat kontak baru yang belum diverifikasi sebelumnya, dan meminta konfirmasi manual setiap kali kontak yang diverifikasi menambah perangkat baru.</v>
      </c>
      <c r="R1814" s="1" t="s">
        <v>36227</v>
      </c>
      <c r="S1814" s="6" t="s">
        <v>132</v>
      </c>
      <c r="T1814" s="1" t="s">
        <v>36228</v>
      </c>
      <c r="U1814" s="1" t="s">
        <v>36229</v>
      </c>
      <c r="V1814" s="7" t="str">
        <f>IFERROR(__xludf.DUMMYFUNCTION("GOOGLETRANSLATE(C1814, ""en"", ""ms"")"),"Secara automatik mempercayai semua peranti baru kenalan yang belum disahkan sebelum ini, dan segera untuk pengesahan manual setiap kali kenalan yang disahkan menambah peranti baru.")</f>
        <v>Secara automatik mempercayai semua peranti baru kenalan yang belum disahkan sebelum ini, dan segera untuk pengesahan manual setiap kali kenalan yang disahkan menambah peranti baru.</v>
      </c>
      <c r="W1814" s="1" t="s">
        <v>36230</v>
      </c>
      <c r="X1814" s="7" t="str">
        <f>IFERROR(__xludf.DUMMYFUNCTION("GOOGLETRANSLATE(C1814, ""en"", ""no"")"),"Stol automatisk på alle nye enheter av kontakter som ikke er bekreftet før, og spør om manuell bekreftelse hver gang en verifisert kontakt legger til en ny enhet.")</f>
        <v>Stol automatisk på alle nye enheter av kontakter som ikke er bekreftet før, og spør om manuell bekreftelse hver gang en verifisert kontakt legger til en ny enhet.</v>
      </c>
      <c r="Y1814" s="1" t="s">
        <v>36231</v>
      </c>
      <c r="Z1814" s="7" t="str">
        <f>IFERROR(__xludf.DUMMYFUNCTION("GOOGLETRANSLATE(C1814, ""en"", ""pt"")"),"Confie automaticamente em todos os novos dispositivos de contatos que não foram verificados antes e solicitaram a confirmação manual toda vez que um contato verificado adiciona um novo dispositivo.")</f>
        <v>Confie automaticamente em todos os novos dispositivos de contatos que não foram verificados antes e solicitaram a confirmação manual toda vez que um contato verificado adiciona um novo dispositivo.</v>
      </c>
      <c r="AA1814" s="7" t="str">
        <f>IFERROR(__xludf.DUMMYFUNCTION("GOOGLETRANSLATE(C1814, ""en"", ""ro"")"),"Încărcați automat toate noile dispozitive de contacte care nu au fost verificate înainte, și solicitați confirmarea manuală de fiecare dată când un contact verificat adaugă un dispozitiv nou.")</f>
        <v>Încărcați automat toate noile dispozitive de contacte care nu au fost verificate înainte, și solicitați confirmarea manuală de fiecare dată când un contact verificat adaugă un dispozitiv nou.</v>
      </c>
      <c r="AB1814" s="1" t="s">
        <v>36232</v>
      </c>
      <c r="AC1814" s="7" t="str">
        <f>IFERROR(__xludf.DUMMYFUNCTION("GOOGLETRANSLATE(C1814, ""en"", ""sk"")"),"Automaticky dôverovať všetkým novým zariadeniam kontaktov, ktoré ešte neboli overené, a výzva na manuálne potvrdenie pri každom overení kontaktu pridá nové zariadenie.")</f>
        <v>Automaticky dôverovať všetkým novým zariadeniam kontaktov, ktoré ešte neboli overené, a výzva na manuálne potvrdenie pri každom overení kontaktu pridá nové zariadenie.</v>
      </c>
      <c r="AD1814" s="6" t="s">
        <v>132</v>
      </c>
      <c r="AE1814" s="1" t="s">
        <v>36233</v>
      </c>
      <c r="AF1814" s="1" t="s">
        <v>36234</v>
      </c>
      <c r="AG1814" s="6" t="s">
        <v>132</v>
      </c>
      <c r="AH1814" s="7" t="str">
        <f>IFERROR(__xludf.DUMMYFUNCTION("GOOGLETRANSLATE(C1814, ""en"", ""tr"")"),"Önceden doğrulanmayan tüm yeni kişiler cihazlarının tümüne otomatik olarak güven ve doğrulanmış bir kişinin her birinin her birinin yeni bir cihaz ekledikten sonra manuel onay istemi sağlayın.")</f>
        <v>Önceden doğrulanmayan tüm yeni kişiler cihazlarının tümüne otomatik olarak güven ve doğrulanmış bir kişinin her birinin her birinin yeni bir cihaz ekledikten sonra manuel onay istemi sağlayın.</v>
      </c>
      <c r="AI1814" s="6" t="s">
        <v>36235</v>
      </c>
      <c r="AJ1814" s="6" t="s">
        <v>132</v>
      </c>
      <c r="AK1814" s="7" t="str">
        <f>IFERROR(__xludf.DUMMYFUNCTION("GOOGLETRANSLATE(C1814, ""en"", ""zh"")"),"每次验证联系人添加一个新设备时，自动信任尚未验证的联系人的所有新设备。")</f>
        <v>每次验证联系人添加一个新设备时，自动信任尚未验证的联系人的所有新设备。</v>
      </c>
      <c r="AL1814" s="6" t="s">
        <v>36236</v>
      </c>
    </row>
    <row r="1815" ht="15.75" hidden="1" customHeight="1">
      <c r="A1815" s="1" t="s">
        <v>38</v>
      </c>
      <c r="B1815" s="1" t="s">
        <v>36237</v>
      </c>
      <c r="C1815" s="1" t="s">
        <v>36238</v>
      </c>
      <c r="D1815" s="8" t="s">
        <v>36239</v>
      </c>
      <c r="E1815" s="1" t="s">
        <v>36240</v>
      </c>
      <c r="F1815" s="6" t="s">
        <v>36241</v>
      </c>
      <c r="G1815" s="7" t="str">
        <f>IFERROR(__xludf.DUMMYFUNCTION("GOOGLETRANSLATE(C1815, ""en"", ""cs"")"),"Veřejně přístupná skupinový chat")</f>
        <v>Veřejně přístupná skupinový chat</v>
      </c>
      <c r="H1815" s="7" t="str">
        <f>IFERROR(__xludf.DUMMYFUNCTION("GOOGLETRANSLATE(C1815, ""en"", ""da"")"),"Offentligt tilgængelig gruppe chat")</f>
        <v>Offentligt tilgængelig gruppe chat</v>
      </c>
      <c r="I1815" s="1" t="s">
        <v>36242</v>
      </c>
      <c r="J1815" s="6" t="s">
        <v>132</v>
      </c>
      <c r="K1815" s="1" t="s">
        <v>36243</v>
      </c>
      <c r="L1815" s="7" t="str">
        <f>IFERROR(__xludf.DUMMYFUNCTION("GOOGLETRANSLATE(C1815, ""en"", ""fi"")"),"Julkinen pääsy ryhmäkeskustelu")</f>
        <v>Julkinen pääsy ryhmäkeskustelu</v>
      </c>
      <c r="M1815" s="1" t="s">
        <v>36244</v>
      </c>
      <c r="N1815" s="6" t="s">
        <v>36245</v>
      </c>
      <c r="O1815" s="6" t="s">
        <v>132</v>
      </c>
      <c r="P1815" s="1" t="s">
        <v>36246</v>
      </c>
      <c r="Q1815" s="7" t="str">
        <f>IFERROR(__xludf.DUMMYFUNCTION("GOOGLETRANSLATE(C1815, ""en"", ""in"")"),"Obrolan kelompok yang dapat diakses publik")</f>
        <v>Obrolan kelompok yang dapat diakses publik</v>
      </c>
      <c r="R1815" s="1" t="s">
        <v>36247</v>
      </c>
      <c r="S1815" s="6" t="s">
        <v>132</v>
      </c>
      <c r="T1815" s="7" t="str">
        <f>IFERROR(__xludf.DUMMYFUNCTION("GOOGLETRANSLATE(C1815, ""en"", ""ja"")"),"アクセス可能なグループチャット")</f>
        <v>アクセス可能なグループチャット</v>
      </c>
      <c r="U1815" s="7" t="str">
        <f>IFERROR(__xludf.DUMMYFUNCTION("GOOGLETRANSLATE(C1815, ""en"", ""ko"")"),"공개적으로 접근 가능한 그룹 채팅")</f>
        <v>공개적으로 접근 가능한 그룹 채팅</v>
      </c>
      <c r="V1815" s="7" t="str">
        <f>IFERROR(__xludf.DUMMYFUNCTION("GOOGLETRANSLATE(C1815, ""en"", ""ms"")"),"Sembang kumpulan yang boleh diakses secara awam")</f>
        <v>Sembang kumpulan yang boleh diakses secara awam</v>
      </c>
      <c r="W1815" s="1" t="s">
        <v>36248</v>
      </c>
      <c r="X1815" s="7" t="str">
        <f>IFERROR(__xludf.DUMMYFUNCTION("GOOGLETRANSLATE(C1815, ""en"", ""no"")"),"Offentlig tilgjengelig gruppe chat")</f>
        <v>Offentlig tilgjengelig gruppe chat</v>
      </c>
      <c r="Y1815" s="1" t="s">
        <v>36249</v>
      </c>
      <c r="Z1815" s="1" t="s">
        <v>36250</v>
      </c>
      <c r="AA1815" s="7" t="str">
        <f>IFERROR(__xludf.DUMMYFUNCTION("GOOGLETRANSLATE(C1815, ""en"", ""ro"")"),"Grupul de chat de grup accesibil public")</f>
        <v>Grupul de chat de grup accesibil public</v>
      </c>
      <c r="AB1815" s="1" t="s">
        <v>36251</v>
      </c>
      <c r="AC1815" s="7" t="str">
        <f>IFERROR(__xludf.DUMMYFUNCTION("GOOGLETRANSLATE(C1815, ""en"", ""sk"")"),"Verejne prístupný skupinový chat")</f>
        <v>Verejne prístupný skupinový chat</v>
      </c>
      <c r="AD1815" s="6" t="s">
        <v>132</v>
      </c>
      <c r="AE1815" s="1" t="s">
        <v>36252</v>
      </c>
      <c r="AF1815" s="7" t="str">
        <f>IFERROR(__xludf.DUMMYFUNCTION("GOOGLETRANSLATE(C1815, ""en"", ""sv"")"),"Offentligt tillgänglig gruppchatt")</f>
        <v>Offentligt tillgänglig gruppchatt</v>
      </c>
      <c r="AG1815" s="6" t="s">
        <v>132</v>
      </c>
      <c r="AH1815" s="7" t="str">
        <f>IFERROR(__xludf.DUMMYFUNCTION("GOOGLETRANSLATE(C1815, ""en"", ""tr"")"),"Halka açık Grup Sohbeti")</f>
        <v>Halka açık Grup Sohbeti</v>
      </c>
      <c r="AI1815" s="6" t="s">
        <v>132</v>
      </c>
      <c r="AJ1815" s="6" t="s">
        <v>132</v>
      </c>
      <c r="AK1815" s="7" t="str">
        <f>IFERROR(__xludf.DUMMYFUNCTION("GOOGLETRANSLATE(C1815, ""en"", ""zh"")"),"公开访问群组聊天")</f>
        <v>公开访问群组聊天</v>
      </c>
      <c r="AL1815" s="6" t="s">
        <v>132</v>
      </c>
    </row>
    <row r="1816" ht="15.75" customHeight="1">
      <c r="A1816" s="1" t="s">
        <v>127</v>
      </c>
      <c r="B1816" s="1" t="s">
        <v>36253</v>
      </c>
      <c r="C1816" s="1" t="s">
        <v>36254</v>
      </c>
      <c r="D1816" s="8" t="s">
        <v>36255</v>
      </c>
      <c r="E1816" s="1" t="s">
        <v>36254</v>
      </c>
      <c r="F1816" s="6" t="s">
        <v>132</v>
      </c>
      <c r="G1816" s="1" t="s">
        <v>36254</v>
      </c>
      <c r="H1816" s="1" t="s">
        <v>36254</v>
      </c>
      <c r="I1816" s="1" t="s">
        <v>36256</v>
      </c>
      <c r="J1816" s="6" t="s">
        <v>36254</v>
      </c>
      <c r="K1816" s="1" t="s">
        <v>36257</v>
      </c>
      <c r="L1816" s="1" t="s">
        <v>36254</v>
      </c>
      <c r="M1816" s="1" t="s">
        <v>36258</v>
      </c>
      <c r="N1816" s="6" t="s">
        <v>132</v>
      </c>
      <c r="O1816" s="6" t="s">
        <v>36259</v>
      </c>
      <c r="P1816" s="1" t="s">
        <v>36254</v>
      </c>
      <c r="Q1816" s="1" t="s">
        <v>36254</v>
      </c>
      <c r="R1816" s="1" t="s">
        <v>36254</v>
      </c>
      <c r="S1816" s="10" t="s">
        <v>36260</v>
      </c>
      <c r="T1816" s="1" t="s">
        <v>36254</v>
      </c>
      <c r="U1816" s="1" t="s">
        <v>36261</v>
      </c>
      <c r="V1816" s="1" t="s">
        <v>36254</v>
      </c>
      <c r="W1816" s="1" t="s">
        <v>36262</v>
      </c>
      <c r="X1816" s="1" t="s">
        <v>36254</v>
      </c>
      <c r="Y1816" s="1" t="s">
        <v>36263</v>
      </c>
      <c r="Z1816" s="1" t="s">
        <v>36254</v>
      </c>
      <c r="AA1816" s="1" t="s">
        <v>36254</v>
      </c>
      <c r="AB1816" s="1" t="s">
        <v>36264</v>
      </c>
      <c r="AC1816" s="1" t="s">
        <v>36254</v>
      </c>
      <c r="AD1816" s="6" t="s">
        <v>36254</v>
      </c>
      <c r="AE1816" s="1" t="s">
        <v>36265</v>
      </c>
      <c r="AF1816" s="1" t="s">
        <v>36254</v>
      </c>
      <c r="AG1816" s="6" t="s">
        <v>36266</v>
      </c>
      <c r="AH1816" s="1" t="s">
        <v>36267</v>
      </c>
      <c r="AI1816" s="6" t="s">
        <v>132</v>
      </c>
      <c r="AJ1816" s="6" t="s">
        <v>36254</v>
      </c>
      <c r="AK1816" s="1" t="s">
        <v>36268</v>
      </c>
      <c r="AL1816" s="6" t="s">
        <v>132</v>
      </c>
    </row>
    <row r="1817" ht="15.75" hidden="1" customHeight="1">
      <c r="A1817" s="1" t="s">
        <v>38</v>
      </c>
      <c r="B1817" s="1" t="s">
        <v>36269</v>
      </c>
      <c r="C1817" s="1" t="s">
        <v>25746</v>
      </c>
      <c r="D1817" s="8" t="s">
        <v>36270</v>
      </c>
      <c r="E1817" s="1" t="s">
        <v>25748</v>
      </c>
      <c r="F1817" s="6" t="s">
        <v>36271</v>
      </c>
      <c r="G1817" s="7" t="str">
        <f>IFERROR(__xludf.DUMMYFUNCTION("GOOGLETRANSLATE(C1817, ""en"", ""cs"")"),"Upravit")</f>
        <v>Upravit</v>
      </c>
      <c r="H1817" s="7" t="str">
        <f>IFERROR(__xludf.DUMMYFUNCTION("GOOGLETRANSLATE(C1817, ""en"", ""da"")"),"Redigere")</f>
        <v>Redigere</v>
      </c>
      <c r="I1817" s="1" t="s">
        <v>25751</v>
      </c>
      <c r="J1817" s="6" t="s">
        <v>132</v>
      </c>
      <c r="K1817" s="1" t="s">
        <v>25753</v>
      </c>
      <c r="L1817" s="7" t="str">
        <f>IFERROR(__xludf.DUMMYFUNCTION("GOOGLETRANSLATE(C1817, ""en"", ""fi"")"),"Muokata")</f>
        <v>Muokata</v>
      </c>
      <c r="M1817" s="1" t="s">
        <v>36272</v>
      </c>
      <c r="N1817" s="6" t="s">
        <v>25753</v>
      </c>
      <c r="O1817" s="6" t="s">
        <v>132</v>
      </c>
      <c r="P1817" s="1" t="s">
        <v>2244</v>
      </c>
      <c r="Q1817" s="9" t="s">
        <v>36273</v>
      </c>
      <c r="R1817" s="1" t="s">
        <v>36274</v>
      </c>
      <c r="S1817" s="6" t="s">
        <v>132</v>
      </c>
      <c r="T1817" s="1" t="s">
        <v>16447</v>
      </c>
      <c r="U1817" s="1" t="s">
        <v>25758</v>
      </c>
      <c r="V1817" s="7" t="str">
        <f>IFERROR(__xludf.DUMMYFUNCTION("GOOGLETRANSLATE(C1817, ""en"", ""ms"")"),"Edit")</f>
        <v>Edit</v>
      </c>
      <c r="W1817" s="1" t="s">
        <v>36275</v>
      </c>
      <c r="X1817" s="7" t="str">
        <f>IFERROR(__xludf.DUMMYFUNCTION("GOOGLETRANSLATE(C1817, ""en"", ""no"")"),"Redigere")</f>
        <v>Redigere</v>
      </c>
      <c r="Y1817" s="1" t="s">
        <v>25762</v>
      </c>
      <c r="Z1817" s="1" t="s">
        <v>25753</v>
      </c>
      <c r="AA1817" s="7" t="str">
        <f>IFERROR(__xludf.DUMMYFUNCTION("GOOGLETRANSLATE(C1817, ""en"", ""ro"")"),"Editați | ×")</f>
        <v>Editați | ×</v>
      </c>
      <c r="AB1817" s="1" t="s">
        <v>25764</v>
      </c>
      <c r="AC1817" s="1" t="s">
        <v>25765</v>
      </c>
      <c r="AD1817" s="6" t="s">
        <v>132</v>
      </c>
      <c r="AE1817" s="1" t="s">
        <v>36276</v>
      </c>
      <c r="AF1817" s="1" t="s">
        <v>29191</v>
      </c>
      <c r="AG1817" s="6" t="s">
        <v>132</v>
      </c>
      <c r="AH1817" s="7" t="str">
        <f>IFERROR(__xludf.DUMMYFUNCTION("GOOGLETRANSLATE(C1817, ""en"", ""tr"")"),"Düzenle")</f>
        <v>Düzenle</v>
      </c>
      <c r="AI1817" s="6" t="s">
        <v>36277</v>
      </c>
      <c r="AJ1817" s="6" t="s">
        <v>25771</v>
      </c>
      <c r="AK1817" s="7" t="str">
        <f>IFERROR(__xludf.DUMMYFUNCTION("GOOGLETRANSLATE(C1817, ""en"", ""zh"")"),"编辑")</f>
        <v>编辑</v>
      </c>
      <c r="AL1817" s="6" t="s">
        <v>36278</v>
      </c>
    </row>
    <row r="1818" ht="15.75" hidden="1" customHeight="1">
      <c r="A1818" s="1" t="s">
        <v>38</v>
      </c>
      <c r="B1818" s="1" t="s">
        <v>36279</v>
      </c>
      <c r="C1818" s="1" t="s">
        <v>36280</v>
      </c>
      <c r="D1818" s="8" t="s">
        <v>36281</v>
      </c>
      <c r="E1818" s="1" t="s">
        <v>36282</v>
      </c>
      <c r="F1818" s="6" t="s">
        <v>36283</v>
      </c>
      <c r="G1818" s="1" t="s">
        <v>36284</v>
      </c>
      <c r="H1818" s="1" t="s">
        <v>24235</v>
      </c>
      <c r="I1818" s="1" t="s">
        <v>36285</v>
      </c>
      <c r="J1818" s="6" t="s">
        <v>36286</v>
      </c>
      <c r="K1818" s="1" t="s">
        <v>36287</v>
      </c>
      <c r="L1818" s="1" t="s">
        <v>36288</v>
      </c>
      <c r="M1818" s="1" t="s">
        <v>36289</v>
      </c>
      <c r="N1818" s="6" t="s">
        <v>36287</v>
      </c>
      <c r="O1818" s="6" t="s">
        <v>36290</v>
      </c>
      <c r="P1818" s="1" t="s">
        <v>36291</v>
      </c>
      <c r="Q1818" s="1" t="s">
        <v>36292</v>
      </c>
      <c r="R1818" s="1" t="s">
        <v>36293</v>
      </c>
      <c r="S1818" s="10" t="s">
        <v>36294</v>
      </c>
      <c r="T1818" s="1" t="s">
        <v>36295</v>
      </c>
      <c r="U1818" s="1" t="s">
        <v>36296</v>
      </c>
      <c r="V1818" s="1" t="s">
        <v>36297</v>
      </c>
      <c r="W1818" s="1" t="s">
        <v>36298</v>
      </c>
      <c r="X1818" s="1" t="s">
        <v>36299</v>
      </c>
      <c r="Y1818" s="1" t="s">
        <v>24251</v>
      </c>
      <c r="Z1818" s="1" t="s">
        <v>36287</v>
      </c>
      <c r="AA1818" s="7" t="str">
        <f>IFERROR(__xludf.DUMMYFUNCTION("GOOGLETRANSLATE(C1818, ""en"", ""ro"")"),"Ocolire")</f>
        <v>Ocolire</v>
      </c>
      <c r="AB1818" s="1" t="s">
        <v>36300</v>
      </c>
      <c r="AC1818" s="1" t="s">
        <v>36301</v>
      </c>
      <c r="AD1818" s="6" t="s">
        <v>24257</v>
      </c>
      <c r="AE1818" s="1" t="s">
        <v>24257</v>
      </c>
      <c r="AF1818" s="1" t="s">
        <v>36302</v>
      </c>
      <c r="AG1818" s="6" t="s">
        <v>36303</v>
      </c>
      <c r="AH1818" s="1" t="s">
        <v>36304</v>
      </c>
      <c r="AI1818" s="6" t="s">
        <v>36305</v>
      </c>
      <c r="AJ1818" s="6" t="s">
        <v>24261</v>
      </c>
      <c r="AK1818" s="1" t="s">
        <v>36306</v>
      </c>
      <c r="AL1818" s="6" t="s">
        <v>32342</v>
      </c>
    </row>
    <row r="1819" ht="15.75" hidden="1" customHeight="1">
      <c r="A1819" s="1" t="s">
        <v>38</v>
      </c>
      <c r="B1819" s="1" t="s">
        <v>36307</v>
      </c>
      <c r="C1819" s="1" t="s">
        <v>36308</v>
      </c>
      <c r="D1819" s="7" t="str">
        <f>IFERROR(__xludf.DUMMYFUNCTION("GOOGLETRANSLATE(C1819, ""en"", ""ar"")"),"سلوفينيا")</f>
        <v>سلوفينيا</v>
      </c>
      <c r="E1819" s="7" t="str">
        <f>IFERROR(__xludf.DUMMYFUNCTION("GOOGLETRANSLATE(C1819, ""en"", ""bg"")"),"Словения")</f>
        <v>Словения</v>
      </c>
      <c r="F1819" s="6" t="s">
        <v>132</v>
      </c>
      <c r="G1819" s="7" t="str">
        <f>IFERROR(__xludf.DUMMYFUNCTION("GOOGLETRANSLATE(C1819, ""en"", ""cs"")"),"Slovinsko")</f>
        <v>Slovinsko</v>
      </c>
      <c r="H1819" s="7" t="str">
        <f>IFERROR(__xludf.DUMMYFUNCTION("GOOGLETRANSLATE(C1819, ""en"", ""da"")"),"Slovenien.")</f>
        <v>Slovenien.</v>
      </c>
      <c r="I1819" s="1" t="s">
        <v>36309</v>
      </c>
      <c r="J1819" s="6" t="s">
        <v>132</v>
      </c>
      <c r="K1819" s="1" t="s">
        <v>36310</v>
      </c>
      <c r="L1819" s="7" t="str">
        <f>IFERROR(__xludf.DUMMYFUNCTION("GOOGLETRANSLATE(C1819, ""en"", ""fi"")"),"Slovenia")</f>
        <v>Slovenia</v>
      </c>
      <c r="M1819" s="1" t="s">
        <v>36311</v>
      </c>
      <c r="N1819" s="6" t="s">
        <v>132</v>
      </c>
      <c r="O1819" s="6" t="s">
        <v>132</v>
      </c>
      <c r="P1819" s="1" t="s">
        <v>36308</v>
      </c>
      <c r="Q1819" s="7" t="str">
        <f>IFERROR(__xludf.DUMMYFUNCTION("GOOGLETRANSLATE(C1819, ""en"", ""in"")"),"Slovenia.")</f>
        <v>Slovenia.</v>
      </c>
      <c r="R1819" s="7" t="str">
        <f>IFERROR(__xludf.DUMMYFUNCTION("GOOGLETRANSLATE(C1819, ""en"", ""it"")"),"Slovenia.")</f>
        <v>Slovenia.</v>
      </c>
      <c r="S1819" s="6" t="s">
        <v>132</v>
      </c>
      <c r="T1819" s="7" t="str">
        <f>IFERROR(__xludf.DUMMYFUNCTION("GOOGLETRANSLATE(C1819, ""en"", ""ja"")"),"スロベニア")</f>
        <v>スロベニア</v>
      </c>
      <c r="U1819" s="7" t="str">
        <f>IFERROR(__xludf.DUMMYFUNCTION("GOOGLETRANSLATE(C1819, ""en"", ""ko"")"),"슬로베니아")</f>
        <v>슬로베니아</v>
      </c>
      <c r="V1819" s="7" t="str">
        <f>IFERROR(__xludf.DUMMYFUNCTION("GOOGLETRANSLATE(C1819, ""en"", ""ms"")"),"Slovenia")</f>
        <v>Slovenia</v>
      </c>
      <c r="W1819" s="7" t="str">
        <f>IFERROR(__xludf.DUMMYFUNCTION("GOOGLETRANSLATE(C1819, ""en"", ""nl"")"),"Slovenië")</f>
        <v>Slovenië</v>
      </c>
      <c r="X1819" s="7" t="str">
        <f>IFERROR(__xludf.DUMMYFUNCTION("GOOGLETRANSLATE(C1819, ""en"", ""no"")"),"Slovenia.")</f>
        <v>Slovenia.</v>
      </c>
      <c r="Y1819" s="7" t="str">
        <f>IFERROR(__xludf.DUMMYFUNCTION("GOOGLETRANSLATE(C1819, ""en"", ""pl"")"),"Słowenia")</f>
        <v>Słowenia</v>
      </c>
      <c r="Z1819" s="7" t="str">
        <f>IFERROR(__xludf.DUMMYFUNCTION("GOOGLETRANSLATE(C1819, ""en"", ""pt"")"),"Eslovênia")</f>
        <v>Eslovênia</v>
      </c>
      <c r="AA1819" s="7" t="str">
        <f>IFERROR(__xludf.DUMMYFUNCTION("GOOGLETRANSLATE(C1819, ""en"", ""ro"")"),"Slovenia")</f>
        <v>Slovenia</v>
      </c>
      <c r="AB1819" s="1" t="s">
        <v>36312</v>
      </c>
      <c r="AC1819" s="7" t="str">
        <f>IFERROR(__xludf.DUMMYFUNCTION("GOOGLETRANSLATE(C1819, ""en"", ""sk"")"),"Slovinsko")</f>
        <v>Slovinsko</v>
      </c>
      <c r="AD1819" s="6" t="s">
        <v>132</v>
      </c>
      <c r="AE1819" s="1" t="s">
        <v>36313</v>
      </c>
      <c r="AF1819" s="7" t="str">
        <f>IFERROR(__xludf.DUMMYFUNCTION("GOOGLETRANSLATE(C1819, ""en"", ""sv"")"),"Slovenien")</f>
        <v>Slovenien</v>
      </c>
      <c r="AG1819" s="6" t="s">
        <v>132</v>
      </c>
      <c r="AH1819" s="7" t="str">
        <f>IFERROR(__xludf.DUMMYFUNCTION("GOOGLETRANSLATE(C1819, ""en"", ""tr"")"),"Slovenya")</f>
        <v>Slovenya</v>
      </c>
      <c r="AI1819" s="6" t="s">
        <v>132</v>
      </c>
      <c r="AJ1819" s="6" t="s">
        <v>132</v>
      </c>
      <c r="AK1819" s="7" t="str">
        <f>IFERROR(__xludf.DUMMYFUNCTION("GOOGLETRANSLATE(C1819, ""en"", ""zh"")"),"斯洛文尼亚")</f>
        <v>斯洛文尼亚</v>
      </c>
      <c r="AL1819" s="6" t="s">
        <v>132</v>
      </c>
    </row>
    <row r="1820" ht="15.75" hidden="1" customHeight="1">
      <c r="A1820" s="1" t="s">
        <v>38</v>
      </c>
      <c r="B1820" s="1" t="s">
        <v>36314</v>
      </c>
      <c r="C1820" s="1" t="s">
        <v>36315</v>
      </c>
      <c r="D1820" s="8" t="s">
        <v>36316</v>
      </c>
      <c r="E1820" s="1" t="s">
        <v>36317</v>
      </c>
      <c r="F1820" s="6" t="s">
        <v>36318</v>
      </c>
      <c r="G1820" s="7" t="str">
        <f>IFERROR(__xludf.DUMMYFUNCTION("GOOGLETRANSLATE(C1820, ""en"", ""cs"")"),"Smazat historii")</f>
        <v>Smazat historii</v>
      </c>
      <c r="H1820" s="7" t="str">
        <f>IFERROR(__xludf.DUMMYFUNCTION("GOOGLETRANSLATE(C1820, ""en"", ""da"")"),"Klar historie.")</f>
        <v>Klar historie.</v>
      </c>
      <c r="I1820" s="1" t="s">
        <v>36319</v>
      </c>
      <c r="J1820" s="6" t="s">
        <v>132</v>
      </c>
      <c r="K1820" s="1" t="s">
        <v>36320</v>
      </c>
      <c r="L1820" s="7" t="str">
        <f>IFERROR(__xludf.DUMMYFUNCTION("GOOGLETRANSLATE(C1820, ""en"", ""fi"")"),"Tyhjennä historia")</f>
        <v>Tyhjennä historia</v>
      </c>
      <c r="M1820" s="1" t="s">
        <v>36321</v>
      </c>
      <c r="N1820" s="6" t="s">
        <v>36322</v>
      </c>
      <c r="O1820" s="6" t="s">
        <v>132</v>
      </c>
      <c r="P1820" s="1" t="s">
        <v>36323</v>
      </c>
      <c r="Q1820" s="9" t="s">
        <v>36324</v>
      </c>
      <c r="R1820" s="1" t="s">
        <v>36325</v>
      </c>
      <c r="S1820" s="6" t="s">
        <v>132</v>
      </c>
      <c r="T1820" s="1" t="s">
        <v>36326</v>
      </c>
      <c r="U1820" s="1" t="s">
        <v>36327</v>
      </c>
      <c r="V1820" s="7" t="str">
        <f>IFERROR(__xludf.DUMMYFUNCTION("GOOGLETRANSLATE(C1820, ""en"", ""ms"")"),"Sejarah yang jelas")</f>
        <v>Sejarah yang jelas</v>
      </c>
      <c r="W1820" s="1" t="s">
        <v>36328</v>
      </c>
      <c r="X1820" s="7" t="str">
        <f>IFERROR(__xludf.DUMMYFUNCTION("GOOGLETRANSLATE(C1820, ""en"", ""no"")"),"Slett logg")</f>
        <v>Slett logg</v>
      </c>
      <c r="Y1820" s="1" t="s">
        <v>36329</v>
      </c>
      <c r="Z1820" s="1" t="s">
        <v>36330</v>
      </c>
      <c r="AA1820" s="7" t="str">
        <f>IFERROR(__xludf.DUMMYFUNCTION("GOOGLETRANSLATE(C1820, ""en"", ""ro"")"),"Sterge istoricul")</f>
        <v>Sterge istoricul</v>
      </c>
      <c r="AB1820" s="1" t="s">
        <v>36331</v>
      </c>
      <c r="AC1820" s="1" t="s">
        <v>36332</v>
      </c>
      <c r="AD1820" s="6" t="s">
        <v>132</v>
      </c>
      <c r="AE1820" s="1" t="s">
        <v>36333</v>
      </c>
      <c r="AF1820" s="1" t="s">
        <v>36334</v>
      </c>
      <c r="AG1820" s="6" t="s">
        <v>132</v>
      </c>
      <c r="AH1820" s="7" t="str">
        <f>IFERROR(__xludf.DUMMYFUNCTION("GOOGLETRANSLATE(C1820, ""en"", ""tr"")"),"Tarihi temizle")</f>
        <v>Tarihi temizle</v>
      </c>
      <c r="AI1820" s="6" t="s">
        <v>36335</v>
      </c>
      <c r="AJ1820" s="6" t="s">
        <v>36336</v>
      </c>
      <c r="AK1820" s="7" t="str">
        <f>IFERROR(__xludf.DUMMYFUNCTION("GOOGLETRANSLATE(C1820, ""en"", ""zh"")"),"清除历史记录")</f>
        <v>清除历史记录</v>
      </c>
      <c r="AL1820" s="6" t="s">
        <v>36337</v>
      </c>
    </row>
    <row r="1821" ht="15.75" customHeight="1">
      <c r="A1821" s="1" t="s">
        <v>127</v>
      </c>
      <c r="B1821" s="1" t="s">
        <v>36338</v>
      </c>
      <c r="C1821" s="1" t="s">
        <v>36339</v>
      </c>
      <c r="D1821" s="8" t="s">
        <v>6500</v>
      </c>
      <c r="E1821" s="1" t="s">
        <v>36340</v>
      </c>
      <c r="F1821" s="6" t="s">
        <v>132</v>
      </c>
      <c r="G1821" s="1" t="s">
        <v>36341</v>
      </c>
      <c r="H1821" s="1" t="s">
        <v>36342</v>
      </c>
      <c r="I1821" s="1" t="s">
        <v>36343</v>
      </c>
      <c r="J1821" s="6" t="s">
        <v>36344</v>
      </c>
      <c r="K1821" s="1" t="s">
        <v>36345</v>
      </c>
      <c r="L1821" s="1" t="s">
        <v>36346</v>
      </c>
      <c r="M1821" s="1" t="s">
        <v>36347</v>
      </c>
      <c r="N1821" s="6" t="s">
        <v>132</v>
      </c>
      <c r="O1821" s="6" t="s">
        <v>33193</v>
      </c>
      <c r="P1821" s="1" t="s">
        <v>36348</v>
      </c>
      <c r="Q1821" s="1" t="s">
        <v>36349</v>
      </c>
      <c r="R1821" s="1" t="s">
        <v>36350</v>
      </c>
      <c r="S1821" s="10" t="s">
        <v>36351</v>
      </c>
      <c r="T1821" s="1" t="s">
        <v>36339</v>
      </c>
      <c r="U1821" s="1" t="s">
        <v>6511</v>
      </c>
      <c r="V1821" s="1" t="s">
        <v>36349</v>
      </c>
      <c r="W1821" s="1" t="s">
        <v>6512</v>
      </c>
      <c r="X1821" s="1" t="s">
        <v>36352</v>
      </c>
      <c r="Y1821" s="1" t="s">
        <v>36353</v>
      </c>
      <c r="Z1821" s="1" t="s">
        <v>36354</v>
      </c>
      <c r="AA1821" s="1" t="s">
        <v>36355</v>
      </c>
      <c r="AB1821" s="1" t="s">
        <v>36356</v>
      </c>
      <c r="AC1821" s="1" t="s">
        <v>36357</v>
      </c>
      <c r="AD1821" s="6" t="s">
        <v>36358</v>
      </c>
      <c r="AE1821" s="1" t="s">
        <v>36359</v>
      </c>
      <c r="AF1821" s="1" t="s">
        <v>36360</v>
      </c>
      <c r="AG1821" s="6" t="s">
        <v>33201</v>
      </c>
      <c r="AH1821" s="1" t="s">
        <v>36361</v>
      </c>
      <c r="AI1821" s="6" t="s">
        <v>132</v>
      </c>
      <c r="AJ1821" s="6" t="s">
        <v>36362</v>
      </c>
      <c r="AK1821" s="1" t="s">
        <v>6520</v>
      </c>
      <c r="AL1821" s="6" t="s">
        <v>36363</v>
      </c>
    </row>
    <row r="1822" ht="15.75" hidden="1" customHeight="1">
      <c r="A1822" s="1" t="s">
        <v>38</v>
      </c>
      <c r="B1822" s="1" t="s">
        <v>36364</v>
      </c>
      <c r="C1822" s="1" t="s">
        <v>36365</v>
      </c>
      <c r="D1822" s="8" t="s">
        <v>36366</v>
      </c>
      <c r="E1822" s="1" t="s">
        <v>36367</v>
      </c>
      <c r="F1822" s="6" t="s">
        <v>36368</v>
      </c>
      <c r="G1822" s="7" t="str">
        <f>IFERROR(__xludf.DUMMYFUNCTION("GOOGLETRANSLATE(C1822, ""en"", ""cs"")"),"Akceptovat")</f>
        <v>Akceptovat</v>
      </c>
      <c r="H1822" s="7" t="str">
        <f>IFERROR(__xludf.DUMMYFUNCTION("GOOGLETRANSLATE(C1822, ""en"", ""da"")"),"Acceptere")</f>
        <v>Acceptere</v>
      </c>
      <c r="I1822" s="1" t="s">
        <v>36369</v>
      </c>
      <c r="J1822" s="6" t="s">
        <v>132</v>
      </c>
      <c r="K1822" s="1" t="s">
        <v>36370</v>
      </c>
      <c r="L1822" s="7" t="str">
        <f>IFERROR(__xludf.DUMMYFUNCTION("GOOGLETRANSLATE(C1822, ""en"", ""fi"")"),"Hyväksyä")</f>
        <v>Hyväksyä</v>
      </c>
      <c r="M1822" s="1" t="s">
        <v>36371</v>
      </c>
      <c r="N1822" s="6" t="s">
        <v>36370</v>
      </c>
      <c r="O1822" s="6" t="s">
        <v>132</v>
      </c>
      <c r="P1822" s="1" t="s">
        <v>36372</v>
      </c>
      <c r="Q1822" s="9" t="s">
        <v>36373</v>
      </c>
      <c r="R1822" s="1" t="s">
        <v>36374</v>
      </c>
      <c r="S1822" s="6" t="s">
        <v>132</v>
      </c>
      <c r="T1822" s="1" t="s">
        <v>36375</v>
      </c>
      <c r="U1822" s="1" t="s">
        <v>36376</v>
      </c>
      <c r="V1822" s="7" t="str">
        <f>IFERROR(__xludf.DUMMYFUNCTION("GOOGLETRANSLATE(C1822, ""en"", ""ms"")"),"Menerima")</f>
        <v>Menerima</v>
      </c>
      <c r="W1822" s="1" t="s">
        <v>36377</v>
      </c>
      <c r="X1822" s="7" t="str">
        <f>IFERROR(__xludf.DUMMYFUNCTION("GOOGLETRANSLATE(C1822, ""en"", ""no"")"),"Aksepterer")</f>
        <v>Aksepterer</v>
      </c>
      <c r="Y1822" s="1" t="s">
        <v>36378</v>
      </c>
      <c r="Z1822" s="1" t="s">
        <v>36379</v>
      </c>
      <c r="AA1822" s="7" t="str">
        <f>IFERROR(__xludf.DUMMYFUNCTION("GOOGLETRANSLATE(C1822, ""en"", ""ro"")"),"Accept")</f>
        <v>Accept</v>
      </c>
      <c r="AB1822" s="1" t="s">
        <v>36380</v>
      </c>
      <c r="AC1822" s="1" t="s">
        <v>36381</v>
      </c>
      <c r="AD1822" s="6" t="s">
        <v>132</v>
      </c>
      <c r="AE1822" s="1" t="s">
        <v>36382</v>
      </c>
      <c r="AF1822" s="1" t="s">
        <v>36383</v>
      </c>
      <c r="AG1822" s="6" t="s">
        <v>132</v>
      </c>
      <c r="AH1822" s="7" t="str">
        <f>IFERROR(__xludf.DUMMYFUNCTION("GOOGLETRANSLATE(C1822, ""en"", ""tr"")"),"Kabul etmek")</f>
        <v>Kabul etmek</v>
      </c>
      <c r="AI1822" s="6" t="s">
        <v>36384</v>
      </c>
      <c r="AJ1822" s="6" t="s">
        <v>36385</v>
      </c>
      <c r="AK1822" s="7" t="str">
        <f>IFERROR(__xludf.DUMMYFUNCTION("GOOGLETRANSLATE(C1822, ""en"", ""zh"")"),"接受")</f>
        <v>接受</v>
      </c>
      <c r="AL1822" s="6" t="s">
        <v>36386</v>
      </c>
    </row>
    <row r="1823" ht="15.75" hidden="1" customHeight="1">
      <c r="A1823" s="1" t="s">
        <v>38</v>
      </c>
      <c r="B1823" s="1" t="s">
        <v>36387</v>
      </c>
      <c r="C1823" s="1" t="s">
        <v>11487</v>
      </c>
      <c r="D1823" s="8" t="s">
        <v>11488</v>
      </c>
      <c r="E1823" s="1" t="s">
        <v>36388</v>
      </c>
      <c r="F1823" s="6" t="s">
        <v>36389</v>
      </c>
      <c r="G1823" s="7" t="str">
        <f>IFERROR(__xludf.DUMMYFUNCTION("GOOGLETRANSLATE(C1823, ""en"", ""cs"")"),"Uložit")</f>
        <v>Uložit</v>
      </c>
      <c r="H1823" s="7" t="str">
        <f>IFERROR(__xludf.DUMMYFUNCTION("GOOGLETRANSLATE(C1823, ""en"", ""da"")"),"Gemme")</f>
        <v>Gemme</v>
      </c>
      <c r="I1823" s="1" t="s">
        <v>11492</v>
      </c>
      <c r="J1823" s="6" t="s">
        <v>132</v>
      </c>
      <c r="K1823" s="1" t="s">
        <v>5107</v>
      </c>
      <c r="L1823" s="7" t="str">
        <f>IFERROR(__xludf.DUMMYFUNCTION("GOOGLETRANSLATE(C1823, ""en"", ""fi"")"),"Tallentaa")</f>
        <v>Tallentaa</v>
      </c>
      <c r="M1823" s="1" t="s">
        <v>36390</v>
      </c>
      <c r="N1823" s="6" t="s">
        <v>36391</v>
      </c>
      <c r="O1823" s="6" t="s">
        <v>132</v>
      </c>
      <c r="P1823" s="1" t="s">
        <v>11497</v>
      </c>
      <c r="Q1823" s="9" t="s">
        <v>11498</v>
      </c>
      <c r="R1823" s="1" t="s">
        <v>5113</v>
      </c>
      <c r="S1823" s="6" t="s">
        <v>132</v>
      </c>
      <c r="T1823" s="1" t="s">
        <v>11500</v>
      </c>
      <c r="U1823" s="1" t="s">
        <v>11501</v>
      </c>
      <c r="V1823" s="7" t="str">
        <f>IFERROR(__xludf.DUMMYFUNCTION("GOOGLETRANSLATE(C1823, ""en"", ""ms"")"),"JIMAT")</f>
        <v>JIMAT</v>
      </c>
      <c r="W1823" s="1" t="s">
        <v>36392</v>
      </c>
      <c r="X1823" s="7" t="str">
        <f>IFERROR(__xludf.DUMMYFUNCTION("GOOGLETRANSLATE(C1823, ""en"", ""no"")"),"Lagre")</f>
        <v>Lagre</v>
      </c>
      <c r="Y1823" s="1" t="s">
        <v>5119</v>
      </c>
      <c r="Z1823" s="1" t="s">
        <v>5107</v>
      </c>
      <c r="AA1823" s="7" t="str">
        <f>IFERROR(__xludf.DUMMYFUNCTION("GOOGLETRANSLATE(C1823, ""en"", ""ro"")"),"Salvați")</f>
        <v>Salvați</v>
      </c>
      <c r="AB1823" s="1" t="s">
        <v>11506</v>
      </c>
      <c r="AC1823" s="1" t="s">
        <v>11507</v>
      </c>
      <c r="AD1823" s="6" t="s">
        <v>132</v>
      </c>
      <c r="AE1823" s="1" t="s">
        <v>36393</v>
      </c>
      <c r="AF1823" s="1" t="s">
        <v>11509</v>
      </c>
      <c r="AG1823" s="6" t="s">
        <v>132</v>
      </c>
      <c r="AH1823" s="7" t="str">
        <f>IFERROR(__xludf.DUMMYFUNCTION("GOOGLETRANSLATE(C1823, ""en"", ""tr"")"),"Kayıt etmek")</f>
        <v>Kayıt etmek</v>
      </c>
      <c r="AI1823" s="6" t="s">
        <v>36394</v>
      </c>
      <c r="AJ1823" s="6" t="s">
        <v>11512</v>
      </c>
      <c r="AK1823" s="7" t="str">
        <f>IFERROR(__xludf.DUMMYFUNCTION("GOOGLETRANSLATE(C1823, ""en"", ""zh"")"),"保存")</f>
        <v>保存</v>
      </c>
      <c r="AL1823" s="6" t="s">
        <v>11500</v>
      </c>
    </row>
    <row r="1824" ht="15.75" hidden="1" customHeight="1">
      <c r="A1824" s="1" t="s">
        <v>38</v>
      </c>
      <c r="B1824" s="1" t="s">
        <v>36395</v>
      </c>
      <c r="C1824" s="1" t="s">
        <v>36396</v>
      </c>
      <c r="D1824" s="8" t="s">
        <v>36397</v>
      </c>
      <c r="E1824" s="1" t="s">
        <v>36398</v>
      </c>
      <c r="F1824" s="6" t="s">
        <v>36399</v>
      </c>
      <c r="G1824" s="7" t="str">
        <f>IFERROR(__xludf.DUMMYFUNCTION("GOOGLETRANSLATE(C1824, ""en"", ""cs"")"),"Vybraný soubor není obrázek")</f>
        <v>Vybraný soubor není obrázek</v>
      </c>
      <c r="H1824" s="7" t="str">
        <f>IFERROR(__xludf.DUMMYFUNCTION("GOOGLETRANSLATE(C1824, ""en"", ""da"")"),"Den fil, du valgte, er ikke et billede")</f>
        <v>Den fil, du valgte, er ikke et billede</v>
      </c>
      <c r="I1824" s="1" t="s">
        <v>36400</v>
      </c>
      <c r="J1824" s="6" t="s">
        <v>132</v>
      </c>
      <c r="K1824" s="1" t="s">
        <v>36401</v>
      </c>
      <c r="L1824" s="7" t="str">
        <f>IFERROR(__xludf.DUMMYFUNCTION("GOOGLETRANSLATE(C1824, ""en"", ""fi"")"),"Valitsemasi tiedosto ei ole kuva")</f>
        <v>Valitsemasi tiedosto ei ole kuva</v>
      </c>
      <c r="M1824" s="1" t="s">
        <v>36402</v>
      </c>
      <c r="N1824" s="6" t="s">
        <v>36403</v>
      </c>
      <c r="O1824" s="6" t="s">
        <v>132</v>
      </c>
      <c r="P1824" s="1" t="s">
        <v>36404</v>
      </c>
      <c r="Q1824" s="9" t="s">
        <v>36405</v>
      </c>
      <c r="R1824" s="1" t="s">
        <v>36406</v>
      </c>
      <c r="S1824" s="6" t="s">
        <v>132</v>
      </c>
      <c r="T1824" s="1" t="s">
        <v>36407</v>
      </c>
      <c r="U1824" s="1" t="s">
        <v>36408</v>
      </c>
      <c r="V1824" s="7" t="str">
        <f>IFERROR(__xludf.DUMMYFUNCTION("GOOGLETRANSLATE(C1824, ""en"", ""ms"")"),"Fail yang anda pilih bukan imej")</f>
        <v>Fail yang anda pilih bukan imej</v>
      </c>
      <c r="W1824" s="1" t="s">
        <v>36409</v>
      </c>
      <c r="X1824" s="7" t="str">
        <f>IFERROR(__xludf.DUMMYFUNCTION("GOOGLETRANSLATE(C1824, ""en"", ""no"")"),"Filen du valgte er ikke et bilde")</f>
        <v>Filen du valgte er ikke et bilde</v>
      </c>
      <c r="Y1824" s="1" t="s">
        <v>36410</v>
      </c>
      <c r="Z1824" s="1" t="s">
        <v>36411</v>
      </c>
      <c r="AA1824" s="7" t="str">
        <f>IFERROR(__xludf.DUMMYFUNCTION("GOOGLETRANSLATE(C1824, ""en"", ""ro"")"),"Fișierul selectat nu este o imagine")</f>
        <v>Fișierul selectat nu este o imagine</v>
      </c>
      <c r="AB1824" s="1" t="s">
        <v>36412</v>
      </c>
      <c r="AC1824" s="1" t="s">
        <v>36413</v>
      </c>
      <c r="AD1824" s="6" t="s">
        <v>132</v>
      </c>
      <c r="AE1824" s="1" t="s">
        <v>36414</v>
      </c>
      <c r="AF1824" s="1" t="s">
        <v>36415</v>
      </c>
      <c r="AG1824" s="6" t="s">
        <v>132</v>
      </c>
      <c r="AH1824" s="7" t="str">
        <f>IFERROR(__xludf.DUMMYFUNCTION("GOOGLETRANSLATE(C1824, ""en"", ""tr"")"),"Seçtiğiniz dosya bir resim değil")</f>
        <v>Seçtiğiniz dosya bir resim değil</v>
      </c>
      <c r="AI1824" s="6" t="s">
        <v>36416</v>
      </c>
      <c r="AJ1824" s="6" t="s">
        <v>36417</v>
      </c>
      <c r="AK1824" s="7" t="str">
        <f>IFERROR(__xludf.DUMMYFUNCTION("GOOGLETRANSLATE(C1824, ""en"", ""zh"")"),"您选择的文件不是图像")</f>
        <v>您选择的文件不是图像</v>
      </c>
      <c r="AL1824" s="6" t="s">
        <v>36418</v>
      </c>
    </row>
    <row r="1825" ht="15.75" customHeight="1">
      <c r="A1825" s="1" t="s">
        <v>127</v>
      </c>
      <c r="B1825" s="1" t="s">
        <v>36419</v>
      </c>
      <c r="C1825" s="1" t="s">
        <v>36420</v>
      </c>
      <c r="D1825" s="8" t="s">
        <v>36421</v>
      </c>
      <c r="E1825" s="1" t="s">
        <v>36422</v>
      </c>
      <c r="F1825" s="6" t="s">
        <v>132</v>
      </c>
      <c r="G1825" s="1" t="s">
        <v>36423</v>
      </c>
      <c r="H1825" s="1" t="s">
        <v>36424</v>
      </c>
      <c r="I1825" s="1" t="s">
        <v>36425</v>
      </c>
      <c r="J1825" s="6" t="s">
        <v>36426</v>
      </c>
      <c r="K1825" s="1" t="s">
        <v>36427</v>
      </c>
      <c r="L1825" s="1" t="s">
        <v>36428</v>
      </c>
      <c r="M1825" s="1" t="s">
        <v>36429</v>
      </c>
      <c r="N1825" s="6" t="s">
        <v>132</v>
      </c>
      <c r="O1825" s="6" t="s">
        <v>36430</v>
      </c>
      <c r="P1825" s="1" t="s">
        <v>36431</v>
      </c>
      <c r="Q1825" s="1" t="s">
        <v>36432</v>
      </c>
      <c r="R1825" s="1" t="s">
        <v>36433</v>
      </c>
      <c r="S1825" s="10" t="s">
        <v>36434</v>
      </c>
      <c r="T1825" s="1" t="s">
        <v>36435</v>
      </c>
      <c r="U1825" s="1" t="s">
        <v>36436</v>
      </c>
      <c r="V1825" s="1" t="s">
        <v>36437</v>
      </c>
      <c r="W1825" s="1" t="s">
        <v>36438</v>
      </c>
      <c r="X1825" s="1" t="s">
        <v>36439</v>
      </c>
      <c r="Y1825" s="1" t="s">
        <v>36440</v>
      </c>
      <c r="Z1825" s="1" t="s">
        <v>36441</v>
      </c>
      <c r="AA1825" s="1" t="s">
        <v>36442</v>
      </c>
      <c r="AB1825" s="1" t="s">
        <v>36443</v>
      </c>
      <c r="AC1825" s="1" t="s">
        <v>36444</v>
      </c>
      <c r="AD1825" s="6" t="s">
        <v>36445</v>
      </c>
      <c r="AE1825" s="1" t="s">
        <v>36446</v>
      </c>
      <c r="AF1825" s="1" t="s">
        <v>36447</v>
      </c>
      <c r="AG1825" s="6" t="s">
        <v>36448</v>
      </c>
      <c r="AH1825" s="1" t="s">
        <v>36449</v>
      </c>
      <c r="AI1825" s="6" t="s">
        <v>132</v>
      </c>
      <c r="AJ1825" s="6" t="s">
        <v>36450</v>
      </c>
      <c r="AK1825" s="1" t="s">
        <v>36451</v>
      </c>
      <c r="AL1825" s="6" t="s">
        <v>36452</v>
      </c>
    </row>
    <row r="1826" ht="15.75" hidden="1" customHeight="1">
      <c r="A1826" s="1" t="s">
        <v>38</v>
      </c>
      <c r="B1826" s="1" t="s">
        <v>36453</v>
      </c>
      <c r="C1826" s="1" t="s">
        <v>36454</v>
      </c>
      <c r="D1826" s="8" t="s">
        <v>36455</v>
      </c>
      <c r="E1826" s="1" t="s">
        <v>36456</v>
      </c>
      <c r="F1826" s="6" t="s">
        <v>36457</v>
      </c>
      <c r="G1826" s="7" t="str">
        <f>IFERROR(__xludf.DUMMYFUNCTION("GOOGLETRANSLATE(C1826, ""en"", ""cs"")"),"Další zařízení")</f>
        <v>Další zařízení</v>
      </c>
      <c r="H1826" s="7" t="str">
        <f>IFERROR(__xludf.DUMMYFUNCTION("GOOGLETRANSLATE(C1826, ""en"", ""da"")"),"Andre enheder")</f>
        <v>Andre enheder</v>
      </c>
      <c r="I1826" s="1" t="s">
        <v>36458</v>
      </c>
      <c r="J1826" s="6" t="s">
        <v>132</v>
      </c>
      <c r="K1826" s="1" t="s">
        <v>36459</v>
      </c>
      <c r="L1826" s="7" t="str">
        <f>IFERROR(__xludf.DUMMYFUNCTION("GOOGLETRANSLATE(C1826, ""en"", ""fi"")"),"Muut laitteet")</f>
        <v>Muut laitteet</v>
      </c>
      <c r="M1826" s="1" t="s">
        <v>36460</v>
      </c>
      <c r="N1826" s="6" t="s">
        <v>36461</v>
      </c>
      <c r="O1826" s="6" t="s">
        <v>132</v>
      </c>
      <c r="P1826" s="1" t="s">
        <v>36462</v>
      </c>
      <c r="Q1826" s="9" t="s">
        <v>36463</v>
      </c>
      <c r="R1826" s="1" t="s">
        <v>36464</v>
      </c>
      <c r="S1826" s="6" t="s">
        <v>132</v>
      </c>
      <c r="T1826" s="1" t="s">
        <v>36465</v>
      </c>
      <c r="U1826" s="1" t="s">
        <v>36466</v>
      </c>
      <c r="V1826" s="7" t="str">
        <f>IFERROR(__xludf.DUMMYFUNCTION("GOOGLETRANSLATE(C1826, ""en"", ""ms"")"),"Peranti lain")</f>
        <v>Peranti lain</v>
      </c>
      <c r="W1826" s="1" t="s">
        <v>36467</v>
      </c>
      <c r="X1826" s="7" t="str">
        <f>IFERROR(__xludf.DUMMYFUNCTION("GOOGLETRANSLATE(C1826, ""en"", ""no"")"),"Andre enheter")</f>
        <v>Andre enheter</v>
      </c>
      <c r="Y1826" s="1" t="s">
        <v>36468</v>
      </c>
      <c r="Z1826" s="1" t="s">
        <v>36461</v>
      </c>
      <c r="AA1826" s="7" t="str">
        <f>IFERROR(__xludf.DUMMYFUNCTION("GOOGLETRANSLATE(C1826, ""en"", ""ro"")"),"Alte dispozitive")</f>
        <v>Alte dispozitive</v>
      </c>
      <c r="AB1826" s="1" t="s">
        <v>36469</v>
      </c>
      <c r="AC1826" s="1" t="s">
        <v>36470</v>
      </c>
      <c r="AD1826" s="6" t="s">
        <v>132</v>
      </c>
      <c r="AE1826" s="1" t="s">
        <v>36471</v>
      </c>
      <c r="AF1826" s="1" t="s">
        <v>36472</v>
      </c>
      <c r="AG1826" s="6" t="s">
        <v>132</v>
      </c>
      <c r="AH1826" s="7" t="str">
        <f>IFERROR(__xludf.DUMMYFUNCTION("GOOGLETRANSLATE(C1826, ""en"", ""tr"")"),"Diğer cihazlar")</f>
        <v>Diğer cihazlar</v>
      </c>
      <c r="AI1826" s="6" t="s">
        <v>36473</v>
      </c>
      <c r="AJ1826" s="6" t="s">
        <v>36474</v>
      </c>
      <c r="AK1826" s="7" t="str">
        <f>IFERROR(__xludf.DUMMYFUNCTION("GOOGLETRANSLATE(C1826, ""en"", ""zh"")"),"其他设备")</f>
        <v>其他设备</v>
      </c>
      <c r="AL1826" s="6" t="s">
        <v>36475</v>
      </c>
    </row>
    <row r="1827" ht="15.75" hidden="1" customHeight="1">
      <c r="A1827" s="1" t="s">
        <v>38</v>
      </c>
      <c r="B1827" s="1" t="s">
        <v>36476</v>
      </c>
      <c r="C1827" s="1" t="s">
        <v>36477</v>
      </c>
      <c r="D1827" s="8" t="s">
        <v>36478</v>
      </c>
      <c r="E1827" s="1" t="s">
        <v>36479</v>
      </c>
      <c r="F1827" s="6" t="s">
        <v>36480</v>
      </c>
      <c r="G1827" s="7" t="str">
        <f>IFERROR(__xludf.DUMMYFUNCTION("GOOGLETRANSLATE(C1827, ""en"", ""cs"")"),"Download Failed: Soubor nebyl nalezen")</f>
        <v>Download Failed: Soubor nebyl nalezen</v>
      </c>
      <c r="H1827" s="7" t="str">
        <f>IFERROR(__xludf.DUMMYFUNCTION("GOOGLETRANSLATE(C1827, ""en"", ""da"")"),"Download mislykkedes: Fil ikke fundet")</f>
        <v>Download mislykkedes: Fil ikke fundet</v>
      </c>
      <c r="I1827" s="1" t="s">
        <v>36481</v>
      </c>
      <c r="J1827" s="6" t="s">
        <v>132</v>
      </c>
      <c r="K1827" s="1" t="s">
        <v>36482</v>
      </c>
      <c r="L1827" s="7" t="str">
        <f>IFERROR(__xludf.DUMMYFUNCTION("GOOGLETRANSLATE(C1827, ""en"", ""fi"")"),"Lataa epäonnistui: Tiedostoa ei löydy")</f>
        <v>Lataa epäonnistui: Tiedostoa ei löydy</v>
      </c>
      <c r="M1827" s="1" t="s">
        <v>36483</v>
      </c>
      <c r="N1827" s="6" t="s">
        <v>36484</v>
      </c>
      <c r="O1827" s="6" t="s">
        <v>132</v>
      </c>
      <c r="P1827" s="1" t="s">
        <v>36485</v>
      </c>
      <c r="Q1827" s="9" t="s">
        <v>36486</v>
      </c>
      <c r="R1827" s="1" t="s">
        <v>36487</v>
      </c>
      <c r="S1827" s="6" t="s">
        <v>132</v>
      </c>
      <c r="T1827" s="1" t="s">
        <v>36488</v>
      </c>
      <c r="U1827" s="1" t="s">
        <v>36489</v>
      </c>
      <c r="V1827" s="7" t="str">
        <f>IFERROR(__xludf.DUMMYFUNCTION("GOOGLETRANSLATE(C1827, ""en"", ""ms"")"),"Muat turun gagal: Fail tidak dijumpai")</f>
        <v>Muat turun gagal: Fail tidak dijumpai</v>
      </c>
      <c r="W1827" s="1" t="s">
        <v>36490</v>
      </c>
      <c r="X1827" s="7" t="str">
        <f>IFERROR(__xludf.DUMMYFUNCTION("GOOGLETRANSLATE(C1827, ""en"", ""no"")"),"Last ned Mislyktes: Filen ikke funnet")</f>
        <v>Last ned Mislyktes: Filen ikke funnet</v>
      </c>
      <c r="Y1827" s="1" t="s">
        <v>36491</v>
      </c>
      <c r="Z1827" s="1" t="s">
        <v>36492</v>
      </c>
      <c r="AA1827" s="7" t="str">
        <f>IFERROR(__xludf.DUMMYFUNCTION("GOOGLETRANSLATE(C1827, ""en"", ""ro"")"),"Descărcarea a eșuat: Fișierul nu a fost găsit")</f>
        <v>Descărcarea a eșuat: Fișierul nu a fost găsit</v>
      </c>
      <c r="AB1827" s="1" t="s">
        <v>36493</v>
      </c>
      <c r="AC1827" s="7" t="str">
        <f>IFERROR(__xludf.DUMMYFUNCTION("GOOGLETRANSLATE(C1827, ""en"", ""sk"")"),"Stiahnite si zlyhal: súbor nebol nájdený")</f>
        <v>Stiahnite si zlyhal: súbor nebol nájdený</v>
      </c>
      <c r="AD1827" s="6" t="s">
        <v>132</v>
      </c>
      <c r="AE1827" s="1" t="s">
        <v>36494</v>
      </c>
      <c r="AF1827" s="1" t="s">
        <v>36495</v>
      </c>
      <c r="AG1827" s="6" t="s">
        <v>132</v>
      </c>
      <c r="AH1827" s="7" t="str">
        <f>IFERROR(__xludf.DUMMYFUNCTION("GOOGLETRANSLATE(C1827, ""en"", ""tr"")"),"İndirme başarısız: Dosya bulunamadı")</f>
        <v>İndirme başarısız: Dosya bulunamadı</v>
      </c>
      <c r="AI1827" s="6" t="s">
        <v>27124</v>
      </c>
      <c r="AJ1827" s="6" t="s">
        <v>36496</v>
      </c>
      <c r="AK1827" s="7" t="str">
        <f>IFERROR(__xludf.DUMMYFUNCTION("GOOGLETRANSLATE(C1827, ""en"", ""zh"")"),"下载失败：找不到文件")</f>
        <v>下载失败：找不到文件</v>
      </c>
      <c r="AL1827" s="6" t="s">
        <v>36497</v>
      </c>
    </row>
    <row r="1828" ht="15.75" customHeight="1">
      <c r="A1828" s="1" t="s">
        <v>127</v>
      </c>
      <c r="B1828" s="1" t="s">
        <v>36498</v>
      </c>
      <c r="C1828" s="1" t="s">
        <v>36499</v>
      </c>
      <c r="D1828" s="8" t="s">
        <v>36500</v>
      </c>
      <c r="E1828" s="1" t="s">
        <v>36501</v>
      </c>
      <c r="F1828" s="6" t="s">
        <v>132</v>
      </c>
      <c r="G1828" s="1" t="s">
        <v>36502</v>
      </c>
      <c r="H1828" s="1" t="s">
        <v>36503</v>
      </c>
      <c r="I1828" s="1" t="s">
        <v>3474</v>
      </c>
      <c r="J1828" s="6" t="s">
        <v>36504</v>
      </c>
      <c r="K1828" s="1" t="s">
        <v>36505</v>
      </c>
      <c r="L1828" s="1" t="s">
        <v>36506</v>
      </c>
      <c r="M1828" s="1" t="s">
        <v>36507</v>
      </c>
      <c r="N1828" s="6" t="s">
        <v>132</v>
      </c>
      <c r="O1828" s="6" t="s">
        <v>36508</v>
      </c>
      <c r="P1828" s="1" t="s">
        <v>36509</v>
      </c>
      <c r="Q1828" s="1" t="s">
        <v>36510</v>
      </c>
      <c r="R1828" s="1" t="s">
        <v>36511</v>
      </c>
      <c r="S1828" s="10" t="s">
        <v>36512</v>
      </c>
      <c r="T1828" s="1" t="s">
        <v>36513</v>
      </c>
      <c r="U1828" s="1" t="s">
        <v>36514</v>
      </c>
      <c r="V1828" s="1" t="s">
        <v>36510</v>
      </c>
      <c r="W1828" s="1" t="s">
        <v>36515</v>
      </c>
      <c r="X1828" s="1" t="s">
        <v>36516</v>
      </c>
      <c r="Y1828" s="1" t="s">
        <v>36517</v>
      </c>
      <c r="Z1828" s="1" t="s">
        <v>36518</v>
      </c>
      <c r="AA1828" s="1" t="s">
        <v>36519</v>
      </c>
      <c r="AB1828" s="1" t="s">
        <v>36520</v>
      </c>
      <c r="AC1828" s="1" t="s">
        <v>36521</v>
      </c>
      <c r="AD1828" s="6" t="s">
        <v>36522</v>
      </c>
      <c r="AE1828" s="1" t="s">
        <v>36523</v>
      </c>
      <c r="AF1828" s="1" t="s">
        <v>36524</v>
      </c>
      <c r="AG1828" s="6" t="s">
        <v>36525</v>
      </c>
      <c r="AH1828" s="1" t="s">
        <v>36526</v>
      </c>
      <c r="AI1828" s="6" t="s">
        <v>132</v>
      </c>
      <c r="AJ1828" s="6" t="s">
        <v>36527</v>
      </c>
      <c r="AK1828" s="1" t="s">
        <v>36528</v>
      </c>
      <c r="AL1828" s="6" t="s">
        <v>36529</v>
      </c>
    </row>
    <row r="1829" ht="15.75" hidden="1" customHeight="1">
      <c r="A1829" s="1" t="s">
        <v>38</v>
      </c>
      <c r="B1829" s="1" t="s">
        <v>36530</v>
      </c>
      <c r="C1829" s="1" t="s">
        <v>36531</v>
      </c>
      <c r="D1829" s="8" t="s">
        <v>36532</v>
      </c>
      <c r="E1829" s="1" t="s">
        <v>36533</v>
      </c>
      <c r="F1829" s="6" t="s">
        <v>36534</v>
      </c>
      <c r="G1829" s="7" t="str">
        <f>IFERROR(__xludf.DUMMYFUNCTION("GOOGLETRANSLATE(C1829, ""en"", ""cs"")"),"Včera")</f>
        <v>Včera</v>
      </c>
      <c r="H1829" s="7" t="str">
        <f>IFERROR(__xludf.DUMMYFUNCTION("GOOGLETRANSLATE(C1829, ""en"", ""da"")"),"I går")</f>
        <v>I går</v>
      </c>
      <c r="I1829" s="1" t="s">
        <v>36535</v>
      </c>
      <c r="J1829" s="6" t="s">
        <v>132</v>
      </c>
      <c r="K1829" s="1" t="s">
        <v>36536</v>
      </c>
      <c r="L1829" s="7" t="str">
        <f>IFERROR(__xludf.DUMMYFUNCTION("GOOGLETRANSLATE(C1829, ""en"", ""fi"")"),"Eilen")</f>
        <v>Eilen</v>
      </c>
      <c r="M1829" s="1" t="s">
        <v>36537</v>
      </c>
      <c r="N1829" s="6" t="s">
        <v>36538</v>
      </c>
      <c r="O1829" s="6" t="s">
        <v>132</v>
      </c>
      <c r="P1829" s="1" t="s">
        <v>36539</v>
      </c>
      <c r="Q1829" s="7" t="str">
        <f>IFERROR(__xludf.DUMMYFUNCTION("GOOGLETRANSLATE(C1829, ""en"", ""in"")"),"Kemarin")</f>
        <v>Kemarin</v>
      </c>
      <c r="R1829" s="1" t="s">
        <v>36540</v>
      </c>
      <c r="S1829" s="6" t="s">
        <v>132</v>
      </c>
      <c r="T1829" s="1" t="s">
        <v>36541</v>
      </c>
      <c r="U1829" s="7" t="str">
        <f>IFERROR(__xludf.DUMMYFUNCTION("GOOGLETRANSLATE(C1829, ""en"", ""ko"")"),"어제")</f>
        <v>어제</v>
      </c>
      <c r="V1829" s="7" t="str">
        <f>IFERROR(__xludf.DUMMYFUNCTION("GOOGLETRANSLATE(C1829, ""en"", ""ms"")"),"Semalam")</f>
        <v>Semalam</v>
      </c>
      <c r="W1829" s="1" t="s">
        <v>36542</v>
      </c>
      <c r="X1829" s="7" t="str">
        <f>IFERROR(__xludf.DUMMYFUNCTION("GOOGLETRANSLATE(C1829, ""en"", ""no"")"),"I går")</f>
        <v>I går</v>
      </c>
      <c r="Y1829" s="1" t="s">
        <v>36543</v>
      </c>
      <c r="Z1829" s="7" t="str">
        <f>IFERROR(__xludf.DUMMYFUNCTION("GOOGLETRANSLATE(C1829, ""en"", ""pt"")"),"Ontem")</f>
        <v>Ontem</v>
      </c>
      <c r="AA1829" s="7" t="str">
        <f>IFERROR(__xludf.DUMMYFUNCTION("GOOGLETRANSLATE(C1829, ""en"", ""ro"")"),"Ieri")</f>
        <v>Ieri</v>
      </c>
      <c r="AB1829" s="1" t="s">
        <v>36533</v>
      </c>
      <c r="AC1829" s="7" t="str">
        <f>IFERROR(__xludf.DUMMYFUNCTION("GOOGLETRANSLATE(C1829, ""en"", ""sk"")"),"Včera")</f>
        <v>Včera</v>
      </c>
      <c r="AD1829" s="6" t="s">
        <v>132</v>
      </c>
      <c r="AE1829" s="1" t="s">
        <v>36544</v>
      </c>
      <c r="AF1829" s="7" t="str">
        <f>IFERROR(__xludf.DUMMYFUNCTION("GOOGLETRANSLATE(C1829, ""en"", ""sv"")"),"I går")</f>
        <v>I går</v>
      </c>
      <c r="AG1829" s="6" t="s">
        <v>132</v>
      </c>
      <c r="AH1829" s="7" t="str">
        <f>IFERROR(__xludf.DUMMYFUNCTION("GOOGLETRANSLATE(C1829, ""en"", ""tr"")"),"Dün")</f>
        <v>Dün</v>
      </c>
      <c r="AI1829" s="6" t="s">
        <v>36545</v>
      </c>
      <c r="AJ1829" s="6" t="s">
        <v>132</v>
      </c>
      <c r="AK1829" s="7" t="str">
        <f>IFERROR(__xludf.DUMMYFUNCTION("GOOGLETRANSLATE(C1829, ""en"", ""zh"")"),"昨天")</f>
        <v>昨天</v>
      </c>
      <c r="AL1829" s="6" t="s">
        <v>132</v>
      </c>
    </row>
    <row r="1830" ht="15.75" customHeight="1">
      <c r="A1830" s="1" t="s">
        <v>127</v>
      </c>
      <c r="B1830" s="1" t="s">
        <v>36546</v>
      </c>
      <c r="C1830" s="1" t="s">
        <v>27613</v>
      </c>
      <c r="D1830" s="8" t="s">
        <v>36547</v>
      </c>
      <c r="E1830" s="1" t="s">
        <v>36548</v>
      </c>
      <c r="F1830" s="6" t="s">
        <v>132</v>
      </c>
      <c r="G1830" s="1" t="s">
        <v>36549</v>
      </c>
      <c r="H1830" s="1" t="s">
        <v>36550</v>
      </c>
      <c r="I1830" s="1" t="s">
        <v>1643</v>
      </c>
      <c r="J1830" s="6" t="s">
        <v>36551</v>
      </c>
      <c r="K1830" s="1" t="s">
        <v>27614</v>
      </c>
      <c r="L1830" s="1" t="s">
        <v>36552</v>
      </c>
      <c r="M1830" s="1" t="s">
        <v>36553</v>
      </c>
      <c r="N1830" s="6" t="s">
        <v>132</v>
      </c>
      <c r="O1830" s="6" t="s">
        <v>36554</v>
      </c>
      <c r="P1830" s="1" t="s">
        <v>27616</v>
      </c>
      <c r="Q1830" s="1" t="s">
        <v>36555</v>
      </c>
      <c r="R1830" s="1" t="s">
        <v>36556</v>
      </c>
      <c r="S1830" s="10" t="s">
        <v>36557</v>
      </c>
      <c r="T1830" s="1" t="s">
        <v>36558</v>
      </c>
      <c r="U1830" s="1" t="s">
        <v>36559</v>
      </c>
      <c r="V1830" s="1" t="s">
        <v>36555</v>
      </c>
      <c r="W1830" s="1" t="s">
        <v>36560</v>
      </c>
      <c r="X1830" s="1" t="s">
        <v>36561</v>
      </c>
      <c r="Y1830" s="1" t="s">
        <v>1649</v>
      </c>
      <c r="Z1830" s="1" t="s">
        <v>36562</v>
      </c>
      <c r="AA1830" s="1" t="s">
        <v>36563</v>
      </c>
      <c r="AB1830" s="1" t="s">
        <v>27617</v>
      </c>
      <c r="AC1830" s="1" t="s">
        <v>36564</v>
      </c>
      <c r="AD1830" s="6" t="s">
        <v>36565</v>
      </c>
      <c r="AE1830" s="1" t="s">
        <v>36566</v>
      </c>
      <c r="AF1830" s="1" t="s">
        <v>36561</v>
      </c>
      <c r="AG1830" s="6" t="s">
        <v>36567</v>
      </c>
      <c r="AH1830" s="1" t="s">
        <v>36568</v>
      </c>
      <c r="AI1830" s="6" t="s">
        <v>132</v>
      </c>
      <c r="AJ1830" s="6" t="s">
        <v>36569</v>
      </c>
      <c r="AK1830" s="1" t="s">
        <v>36570</v>
      </c>
      <c r="AL1830" s="6" t="s">
        <v>36571</v>
      </c>
    </row>
    <row r="1831" ht="15.75" customHeight="1">
      <c r="A1831" s="1" t="s">
        <v>127</v>
      </c>
      <c r="B1831" s="1" t="s">
        <v>36572</v>
      </c>
      <c r="C1831" s="1" t="s">
        <v>36573</v>
      </c>
      <c r="D1831" s="8" t="s">
        <v>36574</v>
      </c>
      <c r="E1831" s="1" t="s">
        <v>36575</v>
      </c>
      <c r="F1831" s="6" t="s">
        <v>132</v>
      </c>
      <c r="G1831" s="1" t="s">
        <v>36576</v>
      </c>
      <c r="H1831" s="1" t="s">
        <v>36577</v>
      </c>
      <c r="I1831" s="1" t="s">
        <v>36578</v>
      </c>
      <c r="J1831" s="6" t="s">
        <v>36579</v>
      </c>
      <c r="K1831" s="1" t="s">
        <v>36580</v>
      </c>
      <c r="L1831" s="1" t="s">
        <v>36581</v>
      </c>
      <c r="M1831" s="1" t="s">
        <v>36582</v>
      </c>
      <c r="N1831" s="6" t="s">
        <v>132</v>
      </c>
      <c r="O1831" s="6" t="s">
        <v>36583</v>
      </c>
      <c r="P1831" s="1" t="s">
        <v>36584</v>
      </c>
      <c r="Q1831" s="1" t="s">
        <v>36585</v>
      </c>
      <c r="R1831" s="1" t="s">
        <v>36586</v>
      </c>
      <c r="S1831" s="10" t="s">
        <v>36587</v>
      </c>
      <c r="T1831" s="1" t="s">
        <v>11446</v>
      </c>
      <c r="U1831" s="1" t="s">
        <v>36588</v>
      </c>
      <c r="V1831" s="1" t="s">
        <v>36589</v>
      </c>
      <c r="W1831" s="1" t="s">
        <v>36590</v>
      </c>
      <c r="X1831" s="1" t="s">
        <v>36591</v>
      </c>
      <c r="Y1831" s="1" t="s">
        <v>36592</v>
      </c>
      <c r="Z1831" s="1" t="s">
        <v>36593</v>
      </c>
      <c r="AA1831" s="1" t="s">
        <v>36594</v>
      </c>
      <c r="AB1831" s="1" t="s">
        <v>36595</v>
      </c>
      <c r="AC1831" s="1" t="s">
        <v>36596</v>
      </c>
      <c r="AD1831" s="6" t="s">
        <v>36597</v>
      </c>
      <c r="AE1831" s="1" t="s">
        <v>36598</v>
      </c>
      <c r="AF1831" s="1" t="s">
        <v>36599</v>
      </c>
      <c r="AG1831" s="6" t="s">
        <v>36600</v>
      </c>
      <c r="AH1831" s="1" t="s">
        <v>36601</v>
      </c>
      <c r="AI1831" s="6" t="s">
        <v>132</v>
      </c>
      <c r="AJ1831" s="6" t="s">
        <v>36602</v>
      </c>
      <c r="AK1831" s="1" t="s">
        <v>36603</v>
      </c>
      <c r="AL1831" s="6" t="s">
        <v>36604</v>
      </c>
    </row>
    <row r="1832" ht="15.75" hidden="1" customHeight="1">
      <c r="A1832" s="1" t="s">
        <v>38</v>
      </c>
      <c r="B1832" s="1" t="s">
        <v>36605</v>
      </c>
      <c r="C1832" s="1" t="s">
        <v>36606</v>
      </c>
      <c r="D1832" s="8" t="s">
        <v>36607</v>
      </c>
      <c r="E1832" s="1" t="s">
        <v>36608</v>
      </c>
      <c r="F1832" s="6" t="s">
        <v>36609</v>
      </c>
      <c r="G1832" s="7" t="str">
        <f>IFERROR(__xludf.DUMMYFUNCTION("GOOGLETRANSLATE(C1832, ""en"", ""cs"")"),"Vibrovat, když přijde nová zpráva")</f>
        <v>Vibrovat, když přijde nová zpráva</v>
      </c>
      <c r="H1832" s="7" t="str">
        <f>IFERROR(__xludf.DUMMYFUNCTION("GOOGLETRANSLATE(C1832, ""en"", ""da"")"),"Vibrere, når en ny besked ankommer")</f>
        <v>Vibrere, når en ny besked ankommer</v>
      </c>
      <c r="I1832" s="1" t="s">
        <v>36610</v>
      </c>
      <c r="J1832" s="6" t="s">
        <v>132</v>
      </c>
      <c r="K1832" s="1" t="s">
        <v>36611</v>
      </c>
      <c r="L1832" s="7" t="str">
        <f>IFERROR(__xludf.DUMMYFUNCTION("GOOGLETRANSLATE(C1832, ""en"", ""fi"")"),"Värähtää, kun uusi viesti saapuu")</f>
        <v>Värähtää, kun uusi viesti saapuu</v>
      </c>
      <c r="M1832" s="1" t="s">
        <v>36612</v>
      </c>
      <c r="N1832" s="6" t="s">
        <v>36613</v>
      </c>
      <c r="O1832" s="6" t="s">
        <v>132</v>
      </c>
      <c r="P1832" s="1" t="s">
        <v>36614</v>
      </c>
      <c r="Q1832" s="9" t="s">
        <v>36615</v>
      </c>
      <c r="R1832" s="1" t="s">
        <v>36616</v>
      </c>
      <c r="S1832" s="6" t="s">
        <v>132</v>
      </c>
      <c r="T1832" s="1" t="s">
        <v>36617</v>
      </c>
      <c r="U1832" s="1" t="s">
        <v>36618</v>
      </c>
      <c r="V1832" s="7" t="str">
        <f>IFERROR(__xludf.DUMMYFUNCTION("GOOGLETRANSLATE(C1832, ""en"", ""ms"")"),"Bergetar apabila mesej baru tiba")</f>
        <v>Bergetar apabila mesej baru tiba</v>
      </c>
      <c r="W1832" s="1" t="s">
        <v>36619</v>
      </c>
      <c r="X1832" s="7" t="str">
        <f>IFERROR(__xludf.DUMMYFUNCTION("GOOGLETRANSLATE(C1832, ""en"", ""no"")"),"Vibrere når en ny melding kommer")</f>
        <v>Vibrere når en ny melding kommer</v>
      </c>
      <c r="Y1832" s="1" t="s">
        <v>36620</v>
      </c>
      <c r="Z1832" s="1" t="s">
        <v>36621</v>
      </c>
      <c r="AA1832" s="7" t="str">
        <f>IFERROR(__xludf.DUMMYFUNCTION("GOOGLETRANSLATE(C1832, ""en"", ""ro"")"),"Vibrați când sosește un mesaj nou")</f>
        <v>Vibrați când sosește un mesaj nou</v>
      </c>
      <c r="AB1832" s="1" t="s">
        <v>36622</v>
      </c>
      <c r="AC1832" s="7" t="str">
        <f>IFERROR(__xludf.DUMMYFUNCTION("GOOGLETRANSLATE(C1832, ""en"", ""sk"")"),"Vibrujete, keď príde nová správa")</f>
        <v>Vibrujete, keď príde nová správa</v>
      </c>
      <c r="AD1832" s="6" t="s">
        <v>132</v>
      </c>
      <c r="AE1832" s="1" t="s">
        <v>36623</v>
      </c>
      <c r="AF1832" s="1" t="s">
        <v>36624</v>
      </c>
      <c r="AG1832" s="6" t="s">
        <v>132</v>
      </c>
      <c r="AH1832" s="7" t="str">
        <f>IFERROR(__xludf.DUMMYFUNCTION("GOOGLETRANSLATE(C1832, ""en"", ""tr"")"),"Yeni bir mesaj geldiğinde titreşim")</f>
        <v>Yeni bir mesaj geldiğinde titreşim</v>
      </c>
      <c r="AI1832" s="6" t="s">
        <v>36625</v>
      </c>
      <c r="AJ1832" s="6" t="s">
        <v>36626</v>
      </c>
      <c r="AK1832" s="7" t="str">
        <f>IFERROR(__xludf.DUMMYFUNCTION("GOOGLETRANSLATE(C1832, ""en"", ""zh"")"),"当新消息到达时振动")</f>
        <v>当新消息到达时振动</v>
      </c>
      <c r="AL1832" s="6" t="s">
        <v>36627</v>
      </c>
    </row>
    <row r="1833" ht="15.75" hidden="1" customHeight="1">
      <c r="A1833" s="1" t="s">
        <v>38</v>
      </c>
      <c r="B1833" s="1" t="s">
        <v>36628</v>
      </c>
      <c r="C1833" s="1" t="s">
        <v>36629</v>
      </c>
      <c r="D1833" s="8" t="s">
        <v>36630</v>
      </c>
      <c r="E1833" s="1" t="s">
        <v>36631</v>
      </c>
      <c r="F1833" s="6" t="s">
        <v>36632</v>
      </c>
      <c r="G1833" s="7" t="str">
        <f>IFERROR(__xludf.DUMMYFUNCTION("GOOGLETRANSLATE(C1833, ""en"", ""cs"")"),"Zapište historii konverzací Záznamy do SD karty")</f>
        <v>Zapište historii konverzací Záznamy do SD karty</v>
      </c>
      <c r="H1833" s="7" t="str">
        <f>IFERROR(__xludf.DUMMYFUNCTION("GOOGLETRANSLATE(C1833, ""en"", ""da"")"),"Skriv samtaler Historik Logfiler til SD-kort")</f>
        <v>Skriv samtaler Historik Logfiler til SD-kort</v>
      </c>
      <c r="I1833" s="1" t="s">
        <v>36633</v>
      </c>
      <c r="J1833" s="6" t="s">
        <v>132</v>
      </c>
      <c r="K1833" s="1" t="s">
        <v>36634</v>
      </c>
      <c r="L1833" s="7" t="str">
        <f>IFERROR(__xludf.DUMMYFUNCTION("GOOGLETRANSLATE(C1833, ""en"", ""fi"")"),"Kirjoita keskustelujen historia Lokit SD-kortille")</f>
        <v>Kirjoita keskustelujen historia Lokit SD-kortille</v>
      </c>
      <c r="M1833" s="1" t="s">
        <v>36635</v>
      </c>
      <c r="N1833" s="6" t="s">
        <v>36636</v>
      </c>
      <c r="O1833" s="6" t="s">
        <v>132</v>
      </c>
      <c r="P1833" s="1" t="s">
        <v>36637</v>
      </c>
      <c r="Q1833" s="7" t="str">
        <f>IFERROR(__xludf.DUMMYFUNCTION("GOOGLETRANSLATE(C1833, ""en"", ""in"")"),"Tulis Sejarah Percakapan Log ke Kartu SD")</f>
        <v>Tulis Sejarah Percakapan Log ke Kartu SD</v>
      </c>
      <c r="R1833" s="1" t="s">
        <v>36638</v>
      </c>
      <c r="S1833" s="6" t="s">
        <v>132</v>
      </c>
      <c r="T1833" s="1" t="s">
        <v>36639</v>
      </c>
      <c r="U1833" s="1" t="s">
        <v>36640</v>
      </c>
      <c r="V1833" s="7" t="str">
        <f>IFERROR(__xludf.DUMMYFUNCTION("GOOGLETRANSLATE(C1833, ""en"", ""ms"")"),"Tulis perbualan Sejarah log ke kad SD")</f>
        <v>Tulis perbualan Sejarah log ke kad SD</v>
      </c>
      <c r="W1833" s="1" t="s">
        <v>36641</v>
      </c>
      <c r="X1833" s="7" t="str">
        <f>IFERROR(__xludf.DUMMYFUNCTION("GOOGLETRANSLATE(C1833, ""en"", ""no"")"),"Skriv samtaler Historikk logger til SD-kort")</f>
        <v>Skriv samtaler Historikk logger til SD-kort</v>
      </c>
      <c r="Y1833" s="1" t="s">
        <v>36642</v>
      </c>
      <c r="Z1833" s="1" t="s">
        <v>36643</v>
      </c>
      <c r="AA1833" s="7" t="str">
        <f>IFERROR(__xludf.DUMMYFUNCTION("GOOGLETRANSLATE(C1833, ""en"", ""ro"")"),"Scrieți conversațiile Istoric jurnale pe cardul SD")</f>
        <v>Scrieți conversațiile Istoric jurnale pe cardul SD</v>
      </c>
      <c r="AB1833" s="1" t="s">
        <v>36644</v>
      </c>
      <c r="AC1833" s="7" t="str">
        <f>IFERROR(__xludf.DUMMYFUNCTION("GOOGLETRANSLATE(C1833, ""en"", ""sk"")"),"Napíšte konverzácie História protokoly na SD kartu")</f>
        <v>Napíšte konverzácie História protokoly na SD kartu</v>
      </c>
      <c r="AD1833" s="6" t="s">
        <v>132</v>
      </c>
      <c r="AE1833" s="1" t="s">
        <v>36645</v>
      </c>
      <c r="AF1833" s="1" t="s">
        <v>36646</v>
      </c>
      <c r="AG1833" s="6" t="s">
        <v>132</v>
      </c>
      <c r="AH1833" s="7" t="str">
        <f>IFERROR(__xludf.DUMMYFUNCTION("GOOGLETRANSLATE(C1833, ""en"", ""tr"")"),"Sohbetleri Yazma Geçmişi SD Kartına Günlükler")</f>
        <v>Sohbetleri Yazma Geçmişi SD Kartına Günlükler</v>
      </c>
      <c r="AI1833" s="6" t="s">
        <v>36647</v>
      </c>
      <c r="AJ1833" s="6" t="s">
        <v>132</v>
      </c>
      <c r="AK1833" s="7" t="str">
        <f>IFERROR(__xludf.DUMMYFUNCTION("GOOGLETRANSLATE(C1833, ""en"", ""zh"")"),"写入对话历史记录日志到SD卡")</f>
        <v>写入对话历史记录日志到SD卡</v>
      </c>
      <c r="AL1833" s="6" t="s">
        <v>36648</v>
      </c>
    </row>
    <row r="1834" ht="15.75" hidden="1" customHeight="1">
      <c r="A1834" s="1" t="s">
        <v>38</v>
      </c>
      <c r="B1834" s="1" t="s">
        <v>36649</v>
      </c>
      <c r="C1834" s="1" t="s">
        <v>36650</v>
      </c>
      <c r="D1834" s="8" t="s">
        <v>36651</v>
      </c>
      <c r="E1834" s="1" t="s">
        <v>36652</v>
      </c>
      <c r="F1834" s="6" t="s">
        <v>36653</v>
      </c>
      <c r="G1834" s="7" t="str">
        <f>IFERROR(__xludf.DUMMYFUNCTION("GOOGLETRANSLATE(C1834, ""en"", ""cs"")"),"Sdílet jako čárový kód")</f>
        <v>Sdílet jako čárový kód</v>
      </c>
      <c r="H1834" s="7" t="str">
        <f>IFERROR(__xludf.DUMMYFUNCTION("GOOGLETRANSLATE(C1834, ""en"", ""da"")"),"Del som stregkode.")</f>
        <v>Del som stregkode.</v>
      </c>
      <c r="I1834" s="1" t="s">
        <v>36654</v>
      </c>
      <c r="J1834" s="6" t="s">
        <v>132</v>
      </c>
      <c r="K1834" s="1" t="s">
        <v>36655</v>
      </c>
      <c r="L1834" s="7" t="str">
        <f>IFERROR(__xludf.DUMMYFUNCTION("GOOGLETRANSLATE(C1834, ""en"", ""fi"")"),"Jaa viivakoodina")</f>
        <v>Jaa viivakoodina</v>
      </c>
      <c r="M1834" s="1" t="s">
        <v>36656</v>
      </c>
      <c r="N1834" s="6" t="s">
        <v>36657</v>
      </c>
      <c r="O1834" s="6" t="s">
        <v>132</v>
      </c>
      <c r="P1834" s="1" t="s">
        <v>36658</v>
      </c>
      <c r="Q1834" s="7" t="str">
        <f>IFERROR(__xludf.DUMMYFUNCTION("GOOGLETRANSLATE(C1834, ""en"", ""in"")"),"Bagikan sebagai Barcode.")</f>
        <v>Bagikan sebagai Barcode.</v>
      </c>
      <c r="R1834" s="1" t="s">
        <v>36659</v>
      </c>
      <c r="S1834" s="6" t="s">
        <v>132</v>
      </c>
      <c r="T1834" s="1" t="s">
        <v>36660</v>
      </c>
      <c r="U1834" s="1" t="s">
        <v>36661</v>
      </c>
      <c r="V1834" s="7" t="str">
        <f>IFERROR(__xludf.DUMMYFUNCTION("GOOGLETRANSLATE(C1834, ""en"", ""ms"")"),"Berkongsi sebagai Barcode.")</f>
        <v>Berkongsi sebagai Barcode.</v>
      </c>
      <c r="W1834" s="1" t="s">
        <v>36662</v>
      </c>
      <c r="X1834" s="7" t="str">
        <f>IFERROR(__xludf.DUMMYFUNCTION("GOOGLETRANSLATE(C1834, ""en"", ""no"")"),"Del som strekkode")</f>
        <v>Del som strekkode</v>
      </c>
      <c r="Y1834" s="1" t="s">
        <v>36663</v>
      </c>
      <c r="Z1834" s="7" t="str">
        <f>IFERROR(__xludf.DUMMYFUNCTION("GOOGLETRANSLATE(C1834, ""en"", ""pt"")"),"Compartilhe como código de barras")</f>
        <v>Compartilhe como código de barras</v>
      </c>
      <c r="AA1834" s="7" t="str">
        <f>IFERROR(__xludf.DUMMYFUNCTION("GOOGLETRANSLATE(C1834, ""en"", ""ro"")"),"Partajați ca cod de bare.")</f>
        <v>Partajați ca cod de bare.</v>
      </c>
      <c r="AB1834" s="1" t="s">
        <v>36664</v>
      </c>
      <c r="AC1834" s="7" t="str">
        <f>IFERROR(__xludf.DUMMYFUNCTION("GOOGLETRANSLATE(C1834, ""en"", ""sk"")"),"Zdieľať ako čiarový kód")</f>
        <v>Zdieľať ako čiarový kód</v>
      </c>
      <c r="AD1834" s="6" t="s">
        <v>132</v>
      </c>
      <c r="AE1834" s="1" t="s">
        <v>36665</v>
      </c>
      <c r="AF1834" s="1" t="s">
        <v>36666</v>
      </c>
      <c r="AG1834" s="6" t="s">
        <v>132</v>
      </c>
      <c r="AH1834" s="7" t="str">
        <f>IFERROR(__xludf.DUMMYFUNCTION("GOOGLETRANSLATE(C1834, ""en"", ""tr"")"),"Barkod olarak paylaşın")</f>
        <v>Barkod olarak paylaşın</v>
      </c>
      <c r="AI1834" s="6" t="s">
        <v>36667</v>
      </c>
      <c r="AJ1834" s="6" t="s">
        <v>132</v>
      </c>
      <c r="AK1834" s="7" t="str">
        <f>IFERROR(__xludf.DUMMYFUNCTION("GOOGLETRANSLATE(C1834, ""en"", ""zh"")"),"分享作为条码")</f>
        <v>分享作为条码</v>
      </c>
      <c r="AL1834" s="6" t="s">
        <v>36668</v>
      </c>
    </row>
    <row r="1835" ht="15.75" customHeight="1">
      <c r="A1835" s="1" t="s">
        <v>127</v>
      </c>
      <c r="B1835" s="1" t="s">
        <v>36669</v>
      </c>
      <c r="C1835" s="1" t="s">
        <v>36670</v>
      </c>
      <c r="D1835" s="8" t="s">
        <v>9359</v>
      </c>
      <c r="E1835" s="1" t="s">
        <v>36671</v>
      </c>
      <c r="F1835" s="6" t="s">
        <v>132</v>
      </c>
      <c r="G1835" s="1" t="s">
        <v>36670</v>
      </c>
      <c r="H1835" s="1" t="s">
        <v>36670</v>
      </c>
      <c r="I1835" s="1" t="s">
        <v>36670</v>
      </c>
      <c r="J1835" s="6" t="s">
        <v>9364</v>
      </c>
      <c r="K1835" s="1" t="s">
        <v>36670</v>
      </c>
      <c r="L1835" s="1" t="s">
        <v>36670</v>
      </c>
      <c r="M1835" s="1" t="s">
        <v>36670</v>
      </c>
      <c r="N1835" s="6" t="s">
        <v>132</v>
      </c>
      <c r="O1835" s="6" t="s">
        <v>36672</v>
      </c>
      <c r="P1835" s="1" t="s">
        <v>36670</v>
      </c>
      <c r="Q1835" s="1" t="s">
        <v>36670</v>
      </c>
      <c r="R1835" s="1" t="s">
        <v>36670</v>
      </c>
      <c r="S1835" s="10" t="s">
        <v>9369</v>
      </c>
      <c r="T1835" s="1" t="s">
        <v>9370</v>
      </c>
      <c r="U1835" s="1" t="s">
        <v>9371</v>
      </c>
      <c r="V1835" s="1" t="s">
        <v>36670</v>
      </c>
      <c r="W1835" s="1" t="s">
        <v>36670</v>
      </c>
      <c r="X1835" s="1" t="s">
        <v>36670</v>
      </c>
      <c r="Y1835" s="1" t="s">
        <v>36670</v>
      </c>
      <c r="Z1835" s="1" t="s">
        <v>36673</v>
      </c>
      <c r="AA1835" s="1" t="s">
        <v>36670</v>
      </c>
      <c r="AB1835" s="1" t="s">
        <v>36671</v>
      </c>
      <c r="AC1835" s="1" t="s">
        <v>36670</v>
      </c>
      <c r="AD1835" s="6" t="s">
        <v>36674</v>
      </c>
      <c r="AE1835" s="1" t="s">
        <v>36670</v>
      </c>
      <c r="AF1835" s="1" t="s">
        <v>36670</v>
      </c>
      <c r="AG1835" s="6" t="s">
        <v>9381</v>
      </c>
      <c r="AH1835" s="1" t="s">
        <v>36675</v>
      </c>
      <c r="AI1835" s="6" t="s">
        <v>132</v>
      </c>
      <c r="AJ1835" s="6" t="s">
        <v>9383</v>
      </c>
      <c r="AK1835" s="1" t="s">
        <v>9384</v>
      </c>
      <c r="AL1835" s="6" t="s">
        <v>9385</v>
      </c>
    </row>
    <row r="1836" ht="15.75" hidden="1" customHeight="1">
      <c r="A1836" s="1" t="s">
        <v>38</v>
      </c>
      <c r="B1836" s="1" t="s">
        <v>36676</v>
      </c>
      <c r="C1836" s="1" t="s">
        <v>36677</v>
      </c>
      <c r="D1836" s="7" t="str">
        <f>IFERROR(__xludf.DUMMYFUNCTION("GOOGLETRANSLATE(C1836, ""en"", ""ar"")"),"لم يتم العثور على خادم الدردشة الجماعية")</f>
        <v>لم يتم العثور على خادم الدردشة الجماعية</v>
      </c>
      <c r="E1836" s="1" t="s">
        <v>36678</v>
      </c>
      <c r="F1836" s="6" t="s">
        <v>36679</v>
      </c>
      <c r="G1836" s="7" t="str">
        <f>IFERROR(__xludf.DUMMYFUNCTION("GOOGLETRANSLATE(C1836, ""en"", ""cs"")"),"Nalezeno žádné skupiny Chat Server")</f>
        <v>Nalezeno žádné skupiny Chat Server</v>
      </c>
      <c r="H1836" s="7" t="str">
        <f>IFERROR(__xludf.DUMMYFUNCTION("GOOGLETRANSLATE(C1836, ""en"", ""da"")"),"Ingen gruppe chat server fundet")</f>
        <v>Ingen gruppe chat server fundet</v>
      </c>
      <c r="I1836" s="1" t="s">
        <v>36680</v>
      </c>
      <c r="J1836" s="6" t="s">
        <v>132</v>
      </c>
      <c r="K1836" s="1" t="s">
        <v>36681</v>
      </c>
      <c r="L1836" s="7" t="str">
        <f>IFERROR(__xludf.DUMMYFUNCTION("GOOGLETRANSLATE(C1836, ""en"", ""fi"")"),"Ei ryhmän chat-palvelinta")</f>
        <v>Ei ryhmän chat-palvelinta</v>
      </c>
      <c r="M1836" s="1" t="s">
        <v>36682</v>
      </c>
      <c r="N1836" s="6" t="s">
        <v>36683</v>
      </c>
      <c r="O1836" s="6" t="s">
        <v>132</v>
      </c>
      <c r="P1836" s="1" t="s">
        <v>36684</v>
      </c>
      <c r="Q1836" s="7" t="str">
        <f>IFERROR(__xludf.DUMMYFUNCTION("GOOGLETRANSLATE(C1836, ""en"", ""in"")"),"Tidak ditemukan server obrolan grup")</f>
        <v>Tidak ditemukan server obrolan grup</v>
      </c>
      <c r="R1836" s="1" t="s">
        <v>36685</v>
      </c>
      <c r="S1836" s="6" t="s">
        <v>132</v>
      </c>
      <c r="T1836" s="1" t="s">
        <v>36686</v>
      </c>
      <c r="U1836" s="7" t="str">
        <f>IFERROR(__xludf.DUMMYFUNCTION("GOOGLETRANSLATE(C1836, ""en"", ""ko"")"),"그룹 채팅 서버가 없습니다")</f>
        <v>그룹 채팅 서버가 없습니다</v>
      </c>
      <c r="V1836" s="7" t="str">
        <f>IFERROR(__xludf.DUMMYFUNCTION("GOOGLETRANSLATE(C1836, ""en"", ""ms"")"),"Tiada pelayan sembang kumpulan dijumpai")</f>
        <v>Tiada pelayan sembang kumpulan dijumpai</v>
      </c>
      <c r="W1836" s="1" t="s">
        <v>36687</v>
      </c>
      <c r="X1836" s="7" t="str">
        <f>IFERROR(__xludf.DUMMYFUNCTION("GOOGLETRANSLATE(C1836, ""en"", ""no"")"),"Ingen gruppe chat server funnet")</f>
        <v>Ingen gruppe chat server funnet</v>
      </c>
      <c r="Y1836" s="1" t="s">
        <v>36688</v>
      </c>
      <c r="Z1836" s="1" t="s">
        <v>36689</v>
      </c>
      <c r="AA1836" s="7" t="str">
        <f>IFERROR(__xludf.DUMMYFUNCTION("GOOGLETRANSLATE(C1836, ""en"", ""ro"")"),"Nu a fost găsit niciun server de chat de grup")</f>
        <v>Nu a fost găsit niciun server de chat de grup</v>
      </c>
      <c r="AB1836" s="1" t="s">
        <v>36690</v>
      </c>
      <c r="AC1836" s="7" t="str">
        <f>IFERROR(__xludf.DUMMYFUNCTION("GOOGLETRANSLATE(C1836, ""en"", ""sk"")"),"Nie")</f>
        <v>Nie</v>
      </c>
      <c r="AD1836" s="6" t="s">
        <v>132</v>
      </c>
      <c r="AE1836" s="1" t="s">
        <v>36691</v>
      </c>
      <c r="AF1836" s="7" t="str">
        <f>IFERROR(__xludf.DUMMYFUNCTION("GOOGLETRANSLATE(C1836, ""en"", ""sv"")"),"Ingen gruppchattserver hittades")</f>
        <v>Ingen gruppchattserver hittades</v>
      </c>
      <c r="AG1836" s="6" t="s">
        <v>132</v>
      </c>
      <c r="AH1836" s="7" t="str">
        <f>IFERROR(__xludf.DUMMYFUNCTION("GOOGLETRANSLATE(C1836, ""en"", ""tr"")"),"Grup sohbet sunucusu bulunamadı")</f>
        <v>Grup sohbet sunucusu bulunamadı</v>
      </c>
      <c r="AI1836" s="6" t="s">
        <v>132</v>
      </c>
      <c r="AJ1836" s="6" t="s">
        <v>132</v>
      </c>
      <c r="AK1836" s="7" t="str">
        <f>IFERROR(__xludf.DUMMYFUNCTION("GOOGLETRANSLATE(C1836, ""en"", ""zh"")"),"找不到组聊天服务器")</f>
        <v>找不到组聊天服务器</v>
      </c>
      <c r="AL1836" s="6" t="s">
        <v>132</v>
      </c>
    </row>
    <row r="1837" ht="15.75" hidden="1" customHeight="1">
      <c r="A1837" s="1" t="s">
        <v>38</v>
      </c>
      <c r="B1837" s="1" t="s">
        <v>36692</v>
      </c>
      <c r="C1837" s="1" t="s">
        <v>36693</v>
      </c>
      <c r="D1837" s="7" t="str">
        <f>IFERROR(__xludf.DUMMYFUNCTION("GOOGLETRANSLATE(C1837, ""en"", ""ar"")"),"غينيا الإستوائية")</f>
        <v>غينيا الإستوائية</v>
      </c>
      <c r="E1837" s="7" t="str">
        <f>IFERROR(__xludf.DUMMYFUNCTION("GOOGLETRANSLATE(C1837, ""en"", ""bg"")"),"Екваториална Гвинея")</f>
        <v>Екваториална Гвинея</v>
      </c>
      <c r="F1837" s="6" t="s">
        <v>132</v>
      </c>
      <c r="G1837" s="7" t="str">
        <f>IFERROR(__xludf.DUMMYFUNCTION("GOOGLETRANSLATE(C1837, ""en"", ""cs"")"),"Rovníková Guinea")</f>
        <v>Rovníková Guinea</v>
      </c>
      <c r="H1837" s="7" t="str">
        <f>IFERROR(__xludf.DUMMYFUNCTION("GOOGLETRANSLATE(C1837, ""en"", ""da"")"),"Ækvatorial Guinea")</f>
        <v>Ækvatorial Guinea</v>
      </c>
      <c r="I1837" s="1" t="s">
        <v>36694</v>
      </c>
      <c r="J1837" s="6" t="s">
        <v>132</v>
      </c>
      <c r="K1837" s="1" t="s">
        <v>36695</v>
      </c>
      <c r="L1837" s="7" t="str">
        <f>IFERROR(__xludf.DUMMYFUNCTION("GOOGLETRANSLATE(C1837, ""en"", ""fi"")"),"Päiväntasaajan Guinea")</f>
        <v>Päiväntasaajan Guinea</v>
      </c>
      <c r="M1837" s="1" t="s">
        <v>36696</v>
      </c>
      <c r="N1837" s="6" t="s">
        <v>132</v>
      </c>
      <c r="O1837" s="6" t="s">
        <v>132</v>
      </c>
      <c r="P1837" s="1" t="s">
        <v>36693</v>
      </c>
      <c r="Q1837" s="7" t="str">
        <f>IFERROR(__xludf.DUMMYFUNCTION("GOOGLETRANSLATE(C1837, ""en"", ""in"")"),"Guinea ekuator")</f>
        <v>Guinea ekuator</v>
      </c>
      <c r="R1837" s="7" t="str">
        <f>IFERROR(__xludf.DUMMYFUNCTION("GOOGLETRANSLATE(C1837, ""en"", ""it"")"),"Guinea Equatoriale")</f>
        <v>Guinea Equatoriale</v>
      </c>
      <c r="S1837" s="6" t="s">
        <v>132</v>
      </c>
      <c r="T1837" s="7" t="str">
        <f>IFERROR(__xludf.DUMMYFUNCTION("GOOGLETRANSLATE(C1837, ""en"", ""ja"")"),"赤道ギニア")</f>
        <v>赤道ギニア</v>
      </c>
      <c r="U1837" s="7" t="str">
        <f>IFERROR(__xludf.DUMMYFUNCTION("GOOGLETRANSLATE(C1837, ""en"", ""ko"")"),"적도 기니")</f>
        <v>적도 기니</v>
      </c>
      <c r="V1837" s="7" t="str">
        <f>IFERROR(__xludf.DUMMYFUNCTION("GOOGLETRANSLATE(C1837, ""en"", ""ms"")"),"Guinea khatulistiwa.")</f>
        <v>Guinea khatulistiwa.</v>
      </c>
      <c r="W1837" s="7" t="str">
        <f>IFERROR(__xludf.DUMMYFUNCTION("GOOGLETRANSLATE(C1837, ""en"", ""nl"")"),"Equatoriaal-Guinea")</f>
        <v>Equatoriaal-Guinea</v>
      </c>
      <c r="X1837" s="7" t="str">
        <f>IFERROR(__xludf.DUMMYFUNCTION("GOOGLETRANSLATE(C1837, ""en"", ""no"")"),"Ekvatorial-Guinea")</f>
        <v>Ekvatorial-Guinea</v>
      </c>
      <c r="Y1837" s="7" t="str">
        <f>IFERROR(__xludf.DUMMYFUNCTION("GOOGLETRANSLATE(C1837, ""en"", ""pl"")"),"Gwinea Równikowa")</f>
        <v>Gwinea Równikowa</v>
      </c>
      <c r="Z1837" s="7" t="str">
        <f>IFERROR(__xludf.DUMMYFUNCTION("GOOGLETRANSLATE(C1837, ""en"", ""pt"")"),"Guiné Equatorial")</f>
        <v>Guiné Equatorial</v>
      </c>
      <c r="AA1837" s="7" t="str">
        <f>IFERROR(__xludf.DUMMYFUNCTION("GOOGLETRANSLATE(C1837, ""en"", ""ro"")"),"Guineea Ecuatorială")</f>
        <v>Guineea Ecuatorială</v>
      </c>
      <c r="AB1837" s="1" t="s">
        <v>36697</v>
      </c>
      <c r="AC1837" s="7" t="str">
        <f>IFERROR(__xludf.DUMMYFUNCTION("GOOGLETRANSLATE(C1837, ""en"", ""sk"")"),"rovníková Guinea")</f>
        <v>rovníková Guinea</v>
      </c>
      <c r="AD1837" s="6" t="s">
        <v>132</v>
      </c>
      <c r="AE1837" s="1" t="s">
        <v>36698</v>
      </c>
      <c r="AF1837" s="7" t="str">
        <f>IFERROR(__xludf.DUMMYFUNCTION("GOOGLETRANSLATE(C1837, ""en"", ""sv"")"),"Ekvatorialguinea")</f>
        <v>Ekvatorialguinea</v>
      </c>
      <c r="AG1837" s="6" t="s">
        <v>132</v>
      </c>
      <c r="AH1837" s="7" t="str">
        <f>IFERROR(__xludf.DUMMYFUNCTION("GOOGLETRANSLATE(C1837, ""en"", ""tr"")"),"Ekvator Ginesi")</f>
        <v>Ekvator Ginesi</v>
      </c>
      <c r="AI1837" s="6" t="s">
        <v>132</v>
      </c>
      <c r="AJ1837" s="6" t="s">
        <v>132</v>
      </c>
      <c r="AK1837" s="7" t="str">
        <f>IFERROR(__xludf.DUMMYFUNCTION("GOOGLETRANSLATE(C1837, ""en"", ""zh"")"),"赤道几内亚")</f>
        <v>赤道几内亚</v>
      </c>
      <c r="AL1837" s="6" t="s">
        <v>132</v>
      </c>
    </row>
    <row r="1838" ht="15.75" hidden="1" customHeight="1">
      <c r="A1838" s="1" t="s">
        <v>38</v>
      </c>
      <c r="B1838" s="1" t="s">
        <v>36699</v>
      </c>
      <c r="C1838" s="1" t="s">
        <v>36700</v>
      </c>
      <c r="D1838" s="7" t="str">
        <f>IFERROR(__xludf.DUMMYFUNCTION("GOOGLETRANSLATE(C1838, ""en"", ""ar"")"),"تونس")</f>
        <v>تونس</v>
      </c>
      <c r="E1838" s="7" t="str">
        <f>IFERROR(__xludf.DUMMYFUNCTION("GOOGLETRANSLATE(C1838, ""en"", ""bg"")"),"Тунис")</f>
        <v>Тунис</v>
      </c>
      <c r="F1838" s="6" t="s">
        <v>132</v>
      </c>
      <c r="G1838" s="7" t="str">
        <f>IFERROR(__xludf.DUMMYFUNCTION("GOOGLETRANSLATE(C1838, ""en"", ""cs"")"),"Tunisko")</f>
        <v>Tunisko</v>
      </c>
      <c r="H1838" s="7" t="str">
        <f>IFERROR(__xludf.DUMMYFUNCTION("GOOGLETRANSLATE(C1838, ""en"", ""da"")"),"Tunesien.")</f>
        <v>Tunesien.</v>
      </c>
      <c r="I1838" s="1" t="s">
        <v>36701</v>
      </c>
      <c r="J1838" s="6" t="s">
        <v>132</v>
      </c>
      <c r="K1838" s="1" t="s">
        <v>36702</v>
      </c>
      <c r="L1838" s="7" t="str">
        <f>IFERROR(__xludf.DUMMYFUNCTION("GOOGLETRANSLATE(C1838, ""en"", ""fi"")"),"Tunisia")</f>
        <v>Tunisia</v>
      </c>
      <c r="M1838" s="1" t="s">
        <v>36703</v>
      </c>
      <c r="N1838" s="6" t="s">
        <v>132</v>
      </c>
      <c r="O1838" s="6" t="s">
        <v>132</v>
      </c>
      <c r="P1838" s="1" t="s">
        <v>36700</v>
      </c>
      <c r="Q1838" s="7" t="str">
        <f>IFERROR(__xludf.DUMMYFUNCTION("GOOGLETRANSLATE(C1838, ""en"", ""in"")"),"Tunisia.")</f>
        <v>Tunisia.</v>
      </c>
      <c r="R1838" s="7" t="str">
        <f>IFERROR(__xludf.DUMMYFUNCTION("GOOGLETRANSLATE(C1838, ""en"", ""it"")"),"Tunisia")</f>
        <v>Tunisia</v>
      </c>
      <c r="S1838" s="6" t="s">
        <v>132</v>
      </c>
      <c r="T1838" s="7" t="str">
        <f>IFERROR(__xludf.DUMMYFUNCTION("GOOGLETRANSLATE(C1838, ""en"", ""ja"")"),"チュニジア")</f>
        <v>チュニジア</v>
      </c>
      <c r="U1838" s="7" t="str">
        <f>IFERROR(__xludf.DUMMYFUNCTION("GOOGLETRANSLATE(C1838, ""en"", ""ko"")"),"튀니지")</f>
        <v>튀니지</v>
      </c>
      <c r="V1838" s="7" t="str">
        <f>IFERROR(__xludf.DUMMYFUNCTION("GOOGLETRANSLATE(C1838, ""en"", ""ms"")"),"Tunisia.")</f>
        <v>Tunisia.</v>
      </c>
      <c r="W1838" s="7" t="str">
        <f>IFERROR(__xludf.DUMMYFUNCTION("GOOGLETRANSLATE(C1838, ""en"", ""nl"")"),"Tunesië")</f>
        <v>Tunesië</v>
      </c>
      <c r="X1838" s="7" t="str">
        <f>IFERROR(__xludf.DUMMYFUNCTION("GOOGLETRANSLATE(C1838, ""en"", ""no"")"),"Tunisia")</f>
        <v>Tunisia</v>
      </c>
      <c r="Y1838" s="7" t="str">
        <f>IFERROR(__xludf.DUMMYFUNCTION("GOOGLETRANSLATE(C1838, ""en"", ""pl"")"),"Tunezja")</f>
        <v>Tunezja</v>
      </c>
      <c r="Z1838" s="7" t="str">
        <f>IFERROR(__xludf.DUMMYFUNCTION("GOOGLETRANSLATE(C1838, ""en"", ""pt"")"),"Tunísia")</f>
        <v>Tunísia</v>
      </c>
      <c r="AA1838" s="7" t="str">
        <f>IFERROR(__xludf.DUMMYFUNCTION("GOOGLETRANSLATE(C1838, ""en"", ""ro"")"),"Tunisia")</f>
        <v>Tunisia</v>
      </c>
      <c r="AB1838" s="1" t="s">
        <v>36704</v>
      </c>
      <c r="AC1838" s="7" t="str">
        <f>IFERROR(__xludf.DUMMYFUNCTION("GOOGLETRANSLATE(C1838, ""en"", ""sk"")"),"Tunisko")</f>
        <v>Tunisko</v>
      </c>
      <c r="AD1838" s="6" t="s">
        <v>132</v>
      </c>
      <c r="AE1838" s="1" t="s">
        <v>36705</v>
      </c>
      <c r="AF1838" s="7" t="str">
        <f>IFERROR(__xludf.DUMMYFUNCTION("GOOGLETRANSLATE(C1838, ""en"", ""sv"")"),"Tunisien")</f>
        <v>Tunisien</v>
      </c>
      <c r="AG1838" s="6" t="s">
        <v>132</v>
      </c>
      <c r="AH1838" s="7" t="str">
        <f>IFERROR(__xludf.DUMMYFUNCTION("GOOGLETRANSLATE(C1838, ""en"", ""tr"")"),"Tunus")</f>
        <v>Tunus</v>
      </c>
      <c r="AI1838" s="6" t="s">
        <v>132</v>
      </c>
      <c r="AJ1838" s="6" t="s">
        <v>132</v>
      </c>
      <c r="AK1838" s="7" t="str">
        <f>IFERROR(__xludf.DUMMYFUNCTION("GOOGLETRANSLATE(C1838, ""en"", ""zh"")"),"突尼斯")</f>
        <v>突尼斯</v>
      </c>
      <c r="AL1838" s="6" t="s">
        <v>132</v>
      </c>
    </row>
    <row r="1839" ht="15.75" hidden="1" customHeight="1">
      <c r="A1839" s="1" t="s">
        <v>38</v>
      </c>
      <c r="B1839" s="1" t="s">
        <v>36706</v>
      </c>
      <c r="C1839" s="1" t="s">
        <v>36707</v>
      </c>
      <c r="D1839" s="7" t="str">
        <f>IFERROR(__xludf.DUMMYFUNCTION("GOOGLETRANSLATE(C1839, ""en"", ""ar"")"),"السويد")</f>
        <v>السويد</v>
      </c>
      <c r="E1839" s="7" t="str">
        <f>IFERROR(__xludf.DUMMYFUNCTION("GOOGLETRANSLATE(C1839, ""en"", ""bg"")"),"Швеция")</f>
        <v>Швеция</v>
      </c>
      <c r="F1839" s="6" t="s">
        <v>132</v>
      </c>
      <c r="G1839" s="7" t="str">
        <f>IFERROR(__xludf.DUMMYFUNCTION("GOOGLETRANSLATE(C1839, ""en"", ""cs"")"),"Švédsko")</f>
        <v>Švédsko</v>
      </c>
      <c r="H1839" s="7" t="str">
        <f>IFERROR(__xludf.DUMMYFUNCTION("GOOGLETRANSLATE(C1839, ""en"", ""da"")"),"Sverige")</f>
        <v>Sverige</v>
      </c>
      <c r="I1839" s="1" t="s">
        <v>36708</v>
      </c>
      <c r="J1839" s="6" t="s">
        <v>132</v>
      </c>
      <c r="K1839" s="1" t="s">
        <v>36709</v>
      </c>
      <c r="L1839" s="7" t="str">
        <f>IFERROR(__xludf.DUMMYFUNCTION("GOOGLETRANSLATE(C1839, ""en"", ""fi"")"),"Ruotsi")</f>
        <v>Ruotsi</v>
      </c>
      <c r="M1839" s="1" t="s">
        <v>36710</v>
      </c>
      <c r="N1839" s="6" t="s">
        <v>132</v>
      </c>
      <c r="O1839" s="6" t="s">
        <v>132</v>
      </c>
      <c r="P1839" s="1" t="s">
        <v>36707</v>
      </c>
      <c r="Q1839" s="7" t="str">
        <f>IFERROR(__xludf.DUMMYFUNCTION("GOOGLETRANSLATE(C1839, ""en"", ""in"")"),"Swedia")</f>
        <v>Swedia</v>
      </c>
      <c r="R1839" s="7" t="str">
        <f>IFERROR(__xludf.DUMMYFUNCTION("GOOGLETRANSLATE(C1839, ""en"", ""it"")"),"Svezia")</f>
        <v>Svezia</v>
      </c>
      <c r="S1839" s="6" t="s">
        <v>132</v>
      </c>
      <c r="T1839" s="7" t="str">
        <f>IFERROR(__xludf.DUMMYFUNCTION("GOOGLETRANSLATE(C1839, ""en"", ""ja"")"),"スウェーデン")</f>
        <v>スウェーデン</v>
      </c>
      <c r="U1839" s="7" t="str">
        <f>IFERROR(__xludf.DUMMYFUNCTION("GOOGLETRANSLATE(C1839, ""en"", ""ko"")"),"스웨덴")</f>
        <v>스웨덴</v>
      </c>
      <c r="V1839" s="7" t="str">
        <f>IFERROR(__xludf.DUMMYFUNCTION("GOOGLETRANSLATE(C1839, ""en"", ""ms"")"),"Sweden")</f>
        <v>Sweden</v>
      </c>
      <c r="W1839" s="7" t="str">
        <f>IFERROR(__xludf.DUMMYFUNCTION("GOOGLETRANSLATE(C1839, ""en"", ""nl"")"),"Zweden")</f>
        <v>Zweden</v>
      </c>
      <c r="X1839" s="7" t="str">
        <f>IFERROR(__xludf.DUMMYFUNCTION("GOOGLETRANSLATE(C1839, ""en"", ""no"")"),"Sverige")</f>
        <v>Sverige</v>
      </c>
      <c r="Y1839" s="7" t="str">
        <f>IFERROR(__xludf.DUMMYFUNCTION("GOOGLETRANSLATE(C1839, ""en"", ""pl"")"),"Szwecja")</f>
        <v>Szwecja</v>
      </c>
      <c r="Z1839" s="7" t="str">
        <f>IFERROR(__xludf.DUMMYFUNCTION("GOOGLETRANSLATE(C1839, ""en"", ""pt"")"),"Suécia")</f>
        <v>Suécia</v>
      </c>
      <c r="AA1839" s="7" t="str">
        <f>IFERROR(__xludf.DUMMYFUNCTION("GOOGLETRANSLATE(C1839, ""en"", ""ro"")"),"Suedia")</f>
        <v>Suedia</v>
      </c>
      <c r="AB1839" s="1" t="s">
        <v>36711</v>
      </c>
      <c r="AC1839" s="7" t="str">
        <f>IFERROR(__xludf.DUMMYFUNCTION("GOOGLETRANSLATE(C1839, ""en"", ""sk"")"),"Švédsko")</f>
        <v>Švédsko</v>
      </c>
      <c r="AD1839" s="6" t="s">
        <v>132</v>
      </c>
      <c r="AE1839" s="1" t="s">
        <v>36712</v>
      </c>
      <c r="AF1839" s="7" t="str">
        <f>IFERROR(__xludf.DUMMYFUNCTION("GOOGLETRANSLATE(C1839, ""en"", ""sv"")"),"Sverige")</f>
        <v>Sverige</v>
      </c>
      <c r="AG1839" s="6" t="s">
        <v>132</v>
      </c>
      <c r="AH1839" s="7" t="str">
        <f>IFERROR(__xludf.DUMMYFUNCTION("GOOGLETRANSLATE(C1839, ""en"", ""tr"")"),"İsveç")</f>
        <v>İsveç</v>
      </c>
      <c r="AI1839" s="6" t="s">
        <v>132</v>
      </c>
      <c r="AJ1839" s="6" t="s">
        <v>132</v>
      </c>
      <c r="AK1839" s="7" t="str">
        <f>IFERROR(__xludf.DUMMYFUNCTION("GOOGLETRANSLATE(C1839, ""en"", ""zh"")"),"瑞典")</f>
        <v>瑞典</v>
      </c>
      <c r="AL1839" s="6" t="s">
        <v>132</v>
      </c>
    </row>
    <row r="1840" ht="15.75" hidden="1" customHeight="1">
      <c r="A1840" s="1" t="s">
        <v>38</v>
      </c>
      <c r="B1840" s="1" t="s">
        <v>36713</v>
      </c>
      <c r="C1840" s="1" t="s">
        <v>36714</v>
      </c>
      <c r="D1840" s="8" t="s">
        <v>36715</v>
      </c>
      <c r="E1840" s="1" t="s">
        <v>36716</v>
      </c>
      <c r="F1840" s="6" t="s">
        <v>36717</v>
      </c>
      <c r="G1840" s="7" t="str">
        <f>IFERROR(__xludf.DUMMYFUNCTION("GOOGLETRANSLATE(C1840, ""en"", ""cs"")"),"Povolit korekci zprávy")</f>
        <v>Povolit korekci zprávy</v>
      </c>
      <c r="H1840" s="7" t="str">
        <f>IFERROR(__xludf.DUMMYFUNCTION("GOOGLETRANSLATE(C1840, ""en"", ""da"")"),"Tillad besked korrektion")</f>
        <v>Tillad besked korrektion</v>
      </c>
      <c r="I1840" s="1" t="s">
        <v>36718</v>
      </c>
      <c r="J1840" s="6" t="s">
        <v>132</v>
      </c>
      <c r="K1840" s="1" t="s">
        <v>36719</v>
      </c>
      <c r="L1840" s="7" t="str">
        <f>IFERROR(__xludf.DUMMYFUNCTION("GOOGLETRANSLATE(C1840, ""en"", ""fi"")"),"Salli viestin korjaaminen")</f>
        <v>Salli viestin korjaaminen</v>
      </c>
      <c r="M1840" s="1" t="s">
        <v>36720</v>
      </c>
      <c r="N1840" s="6" t="s">
        <v>36721</v>
      </c>
      <c r="O1840" s="6" t="s">
        <v>132</v>
      </c>
      <c r="P1840" s="1" t="s">
        <v>36722</v>
      </c>
      <c r="Q1840" s="7" t="str">
        <f>IFERROR(__xludf.DUMMYFUNCTION("GOOGLETRANSLATE(C1840, ""en"", ""in"")"),"Izinkan Koreksi Pesan")</f>
        <v>Izinkan Koreksi Pesan</v>
      </c>
      <c r="R1840" s="1" t="s">
        <v>36723</v>
      </c>
      <c r="S1840" s="6" t="s">
        <v>132</v>
      </c>
      <c r="T1840" s="1" t="s">
        <v>36724</v>
      </c>
      <c r="U1840" s="1" t="s">
        <v>36725</v>
      </c>
      <c r="V1840" s="7" t="str">
        <f>IFERROR(__xludf.DUMMYFUNCTION("GOOGLETRANSLATE(C1840, ""en"", ""ms"")"),"Benarkan pembetulan mesej")</f>
        <v>Benarkan pembetulan mesej</v>
      </c>
      <c r="W1840" s="1" t="s">
        <v>36726</v>
      </c>
      <c r="X1840" s="7" t="str">
        <f>IFERROR(__xludf.DUMMYFUNCTION("GOOGLETRANSLATE(C1840, ""en"", ""no"")"),"Tillat meldingskorreksjon")</f>
        <v>Tillat meldingskorreksjon</v>
      </c>
      <c r="Y1840" s="1" t="s">
        <v>36727</v>
      </c>
      <c r="Z1840" s="1" t="s">
        <v>36728</v>
      </c>
      <c r="AA1840" s="7" t="str">
        <f>IFERROR(__xludf.DUMMYFUNCTION("GOOGLETRANSLATE(C1840, ""en"", ""ro"")"),"Permiteți corectarea mesajului")</f>
        <v>Permiteți corectarea mesajului</v>
      </c>
      <c r="AB1840" s="1" t="s">
        <v>36729</v>
      </c>
      <c r="AC1840" s="7" t="str">
        <f>IFERROR(__xludf.DUMMYFUNCTION("GOOGLETRANSLATE(C1840, ""en"", ""sk"")"),"Povoliť korekciu správy")</f>
        <v>Povoliť korekciu správy</v>
      </c>
      <c r="AD1840" s="6" t="s">
        <v>132</v>
      </c>
      <c r="AE1840" s="1" t="s">
        <v>36730</v>
      </c>
      <c r="AF1840" s="1" t="s">
        <v>36731</v>
      </c>
      <c r="AG1840" s="6" t="s">
        <v>132</v>
      </c>
      <c r="AH1840" s="7" t="str">
        <f>IFERROR(__xludf.DUMMYFUNCTION("GOOGLETRANSLATE(C1840, ""en"", ""tr"")"),"Mesaj düzeltmesine izin ver")</f>
        <v>Mesaj düzeltmesine izin ver</v>
      </c>
      <c r="AI1840" s="6" t="s">
        <v>36732</v>
      </c>
      <c r="AJ1840" s="6" t="s">
        <v>132</v>
      </c>
      <c r="AK1840" s="7" t="str">
        <f>IFERROR(__xludf.DUMMYFUNCTION("GOOGLETRANSLATE(C1840, ""en"", ""zh"")"),"允许邮件更正")</f>
        <v>允许邮件更正</v>
      </c>
      <c r="AL1840" s="6" t="s">
        <v>36733</v>
      </c>
    </row>
    <row r="1841" ht="15.75" hidden="1" customHeight="1">
      <c r="A1841" s="1" t="s">
        <v>38</v>
      </c>
      <c r="B1841" s="1" t="s">
        <v>36734</v>
      </c>
      <c r="C1841" s="1" t="s">
        <v>36735</v>
      </c>
      <c r="D1841" s="7" t="str">
        <f>IFERROR(__xludf.DUMMYFUNCTION("GOOGLETRANSLATE(C1841, ""en"", ""ar"")"),"أبلغ OpenKeychain عن خطأ.")</f>
        <v>أبلغ OpenKeychain عن خطأ.</v>
      </c>
      <c r="E1841" s="1" t="s">
        <v>36736</v>
      </c>
      <c r="F1841" s="6" t="s">
        <v>36737</v>
      </c>
      <c r="G1841" s="7" t="str">
        <f>IFERROR(__xludf.DUMMYFUNCTION("GOOGLETRANSLATE(C1841, ""en"", ""cs"")"),"OpenKeychain oznámil chybu.")</f>
        <v>OpenKeychain oznámil chybu.</v>
      </c>
      <c r="H1841" s="7" t="str">
        <f>IFERROR(__xludf.DUMMYFUNCTION("GOOGLETRANSLATE(C1841, ""en"", ""da"")"),"OpenKeyChain rapporterede en fejl.")</f>
        <v>OpenKeyChain rapporterede en fejl.</v>
      </c>
      <c r="I1841" s="1" t="s">
        <v>36738</v>
      </c>
      <c r="J1841" s="6" t="s">
        <v>132</v>
      </c>
      <c r="K1841" s="1" t="s">
        <v>36739</v>
      </c>
      <c r="L1841" s="7" t="str">
        <f>IFERROR(__xludf.DUMMYFUNCTION("GOOGLETRANSLATE(C1841, ""en"", ""fi"")"),"Openkeychain ilmoitti virheen.")</f>
        <v>Openkeychain ilmoitti virheen.</v>
      </c>
      <c r="M1841" s="7" t="str">
        <f>IFERROR(__xludf.DUMMYFUNCTION("GOOGLETRANSLATE(C1841, ""en"", ""fr"")"),"OpenkeyChain a signalé une erreur.")</f>
        <v>OpenkeyChain a signalé une erreur.</v>
      </c>
      <c r="N1841" s="6" t="s">
        <v>36740</v>
      </c>
      <c r="O1841" s="6" t="s">
        <v>132</v>
      </c>
      <c r="P1841" s="1" t="s">
        <v>36741</v>
      </c>
      <c r="Q1841" s="7" t="str">
        <f>IFERROR(__xludf.DUMMYFUNCTION("GOOGLETRANSLATE(C1841, ""en"", ""in"")"),"OpenKeychain melaporkan kesalahan.")</f>
        <v>OpenKeychain melaporkan kesalahan.</v>
      </c>
      <c r="R1841" s="1" t="s">
        <v>36742</v>
      </c>
      <c r="S1841" s="6" t="s">
        <v>132</v>
      </c>
      <c r="T1841" s="7" t="str">
        <f>IFERROR(__xludf.DUMMYFUNCTION("GOOGLETRANSLATE(C1841, ""en"", ""ja"")"),"OpenKeyChainはエラーを報告しました。")</f>
        <v>OpenKeyChainはエラーを報告しました。</v>
      </c>
      <c r="U1841" s="7" t="str">
        <f>IFERROR(__xludf.DUMMYFUNCTION("GOOGLETRANSLATE(C1841, ""en"", ""ko"")"),"OpenKeychain은 오류 가보고되었습니다.")</f>
        <v>OpenKeychain은 오류 가보고되었습니다.</v>
      </c>
      <c r="V1841" s="7" t="str">
        <f>IFERROR(__xludf.DUMMYFUNCTION("GOOGLETRANSLATE(C1841, ""en"", ""ms"")"),"OpenKeychain melaporkan ralat.")</f>
        <v>OpenKeychain melaporkan ralat.</v>
      </c>
      <c r="W1841" s="1" t="s">
        <v>36743</v>
      </c>
      <c r="X1841" s="7" t="str">
        <f>IFERROR(__xludf.DUMMYFUNCTION("GOOGLETRANSLATE(C1841, ""en"", ""no"")"),"OpenKeyChain rapporterte en feil.")</f>
        <v>OpenKeyChain rapporterte en feil.</v>
      </c>
      <c r="Y1841" s="1" t="s">
        <v>36744</v>
      </c>
      <c r="Z1841" s="7" t="str">
        <f>IFERROR(__xludf.DUMMYFUNCTION("GOOGLETRANSLATE(C1841, ""en"", ""pt"")"),"OpenKeychain relatou um erro.")</f>
        <v>OpenKeychain relatou um erro.</v>
      </c>
      <c r="AA1841" s="7" t="str">
        <f>IFERROR(__xludf.DUMMYFUNCTION("GOOGLETRANSLATE(C1841, ""en"", ""ro"")"),"Openkeychain a raportat o eroare.")</f>
        <v>Openkeychain a raportat o eroare.</v>
      </c>
      <c r="AB1841" s="7" t="str">
        <f>IFERROR(__xludf.DUMMYFUNCTION("GOOGLETRANSLATE(C1841, ""en"", ""ru"")"),"OpenKeyChain сообщил об ошибке.")</f>
        <v>OpenKeyChain сообщил об ошибке.</v>
      </c>
      <c r="AC1841" s="7" t="str">
        <f>IFERROR(__xludf.DUMMYFUNCTION("GOOGLETRANSLATE(C1841, ""en"", ""sk"")"),"OpenKychain uviedol chybu.")</f>
        <v>OpenKychain uviedol chybu.</v>
      </c>
      <c r="AD1841" s="6" t="s">
        <v>132</v>
      </c>
      <c r="AE1841" s="7" t="str">
        <f>IFERROR(__xludf.DUMMYFUNCTION("GOOGLETRANSLATE(C1841, ""en"", ""sr"")"),"ОПЕНКЕИЦХАИН је пријавио грешку.")</f>
        <v>ОПЕНКЕИЦХАИН је пријавио грешку.</v>
      </c>
      <c r="AF1841" s="7" t="str">
        <f>IFERROR(__xludf.DUMMYFUNCTION("GOOGLETRANSLATE(C1841, ""en"", ""sv"")"),"Openeychain rapporterade ett fel.")</f>
        <v>Openeychain rapporterade ett fel.</v>
      </c>
      <c r="AG1841" s="6" t="s">
        <v>132</v>
      </c>
      <c r="AH1841" s="7" t="str">
        <f>IFERROR(__xludf.DUMMYFUNCTION("GOOGLETRANSLATE(C1841, ""en"", ""tr"")"),"OpenKeyChain bir hata bildirdi.")</f>
        <v>OpenKeyChain bir hata bildirdi.</v>
      </c>
      <c r="AI1841" s="6" t="s">
        <v>132</v>
      </c>
      <c r="AJ1841" s="6" t="s">
        <v>132</v>
      </c>
      <c r="AK1841" s="7" t="str">
        <f>IFERROR(__xludf.DUMMYFUNCTION("GOOGLETRANSLATE(C1841, ""en"", ""zh"")"),"OpenKeychain报告了一个错误。")</f>
        <v>OpenKeychain报告了一个错误。</v>
      </c>
      <c r="AL1841" s="6" t="s">
        <v>132</v>
      </c>
    </row>
    <row r="1842" ht="15.75" customHeight="1">
      <c r="A1842" s="1" t="s">
        <v>127</v>
      </c>
      <c r="B1842" s="1" t="s">
        <v>36745</v>
      </c>
      <c r="C1842" s="1" t="s">
        <v>36746</v>
      </c>
      <c r="D1842" s="8" t="s">
        <v>9426</v>
      </c>
      <c r="E1842" s="1" t="s">
        <v>36747</v>
      </c>
      <c r="F1842" s="6" t="s">
        <v>132</v>
      </c>
      <c r="G1842" s="1" t="s">
        <v>36746</v>
      </c>
      <c r="H1842" s="1" t="s">
        <v>36746</v>
      </c>
      <c r="I1842" s="1" t="s">
        <v>36746</v>
      </c>
      <c r="J1842" s="6" t="s">
        <v>9431</v>
      </c>
      <c r="K1842" s="1" t="s">
        <v>36746</v>
      </c>
      <c r="L1842" s="1" t="s">
        <v>36748</v>
      </c>
      <c r="M1842" s="1" t="s">
        <v>36746</v>
      </c>
      <c r="N1842" s="6" t="s">
        <v>132</v>
      </c>
      <c r="O1842" s="6" t="s">
        <v>36749</v>
      </c>
      <c r="P1842" s="1" t="s">
        <v>36746</v>
      </c>
      <c r="Q1842" s="1" t="s">
        <v>36746</v>
      </c>
      <c r="R1842" s="1" t="s">
        <v>36746</v>
      </c>
      <c r="S1842" s="10" t="s">
        <v>9438</v>
      </c>
      <c r="T1842" s="1" t="s">
        <v>9439</v>
      </c>
      <c r="U1842" s="1" t="s">
        <v>9440</v>
      </c>
      <c r="V1842" s="1" t="s">
        <v>36746</v>
      </c>
      <c r="W1842" s="1" t="s">
        <v>36746</v>
      </c>
      <c r="X1842" s="1" t="s">
        <v>36746</v>
      </c>
      <c r="Y1842" s="1" t="s">
        <v>36746</v>
      </c>
      <c r="Z1842" s="1" t="s">
        <v>9432</v>
      </c>
      <c r="AA1842" s="1" t="s">
        <v>36746</v>
      </c>
      <c r="AB1842" s="1" t="s">
        <v>36747</v>
      </c>
      <c r="AC1842" s="1" t="s">
        <v>36746</v>
      </c>
      <c r="AD1842" s="6" t="s">
        <v>36748</v>
      </c>
      <c r="AE1842" s="1" t="s">
        <v>36746</v>
      </c>
      <c r="AF1842" s="1" t="s">
        <v>36746</v>
      </c>
      <c r="AG1842" s="6" t="s">
        <v>9450</v>
      </c>
      <c r="AH1842" s="1" t="s">
        <v>36750</v>
      </c>
      <c r="AI1842" s="6" t="s">
        <v>132</v>
      </c>
      <c r="AJ1842" s="6" t="s">
        <v>9452</v>
      </c>
      <c r="AK1842" s="1" t="s">
        <v>9453</v>
      </c>
      <c r="AL1842" s="6" t="s">
        <v>9454</v>
      </c>
    </row>
    <row r="1843" ht="15.75" hidden="1" customHeight="1">
      <c r="A1843" s="1" t="s">
        <v>38</v>
      </c>
      <c r="B1843" s="1" t="s">
        <v>36751</v>
      </c>
      <c r="C1843" s="1" t="s">
        <v>36752</v>
      </c>
      <c r="D1843" s="7" t="str">
        <f>IFERROR(__xludf.DUMMYFUNCTION("GOOGLETRANSLATE(C1843, ""en"", ""ar"")"),"للحفاظ على تلقي الإخطارات، حتى عندما يتم إيقاف تشغيل الشاشة، تحتاج إلى إضافة محادثات إلى قائمة التطبيقات المحمية.")</f>
        <v>للحفاظ على تلقي الإخطارات، حتى عندما يتم إيقاف تشغيل الشاشة، تحتاج إلى إضافة محادثات إلى قائمة التطبيقات المحمية.</v>
      </c>
      <c r="E1843" s="1" t="s">
        <v>36753</v>
      </c>
      <c r="F1843" s="6" t="s">
        <v>36754</v>
      </c>
      <c r="G1843" s="7" t="str">
        <f>IFERROR(__xludf.DUMMYFUNCTION("GOOGLETRANSLATE(C1843, ""en"", ""cs"")"),"Chcete-li přijímat oznámení, i když je obrazovka vypnuta, musíte přidat konverzace do seznamu chráněných aplikací.")</f>
        <v>Chcete-li přijímat oznámení, i když je obrazovka vypnuta, musíte přidat konverzace do seznamu chráněných aplikací.</v>
      </c>
      <c r="H1843" s="7" t="str">
        <f>IFERROR(__xludf.DUMMYFUNCTION("GOOGLETRANSLATE(C1843, ""en"", ""da"")"),"For at fortsætte med at modtage meddelelser, selv når skærmen er slukket, skal du tilføje samtaler til listen over beskyttede apps.")</f>
        <v>For at fortsætte med at modtage meddelelser, selv når skærmen er slukket, skal du tilføje samtaler til listen over beskyttede apps.</v>
      </c>
      <c r="I1843" s="1" t="s">
        <v>36755</v>
      </c>
      <c r="J1843" s="6" t="s">
        <v>132</v>
      </c>
      <c r="K1843" s="1" t="s">
        <v>36756</v>
      </c>
      <c r="L1843" s="7" t="str">
        <f>IFERROR(__xludf.DUMMYFUNCTION("GOOGLETRANSLATE(C1843, ""en"", ""fi"")"),"Saadaksesi ilmoituksia, vaikka näyttö on sammutettu, sinun on lisättävä keskustelut suojattujen sovellusten luetteloon.")</f>
        <v>Saadaksesi ilmoituksia, vaikka näyttö on sammutettu, sinun on lisättävä keskustelut suojattujen sovellusten luetteloon.</v>
      </c>
      <c r="M1843" s="1" t="s">
        <v>36757</v>
      </c>
      <c r="N1843" s="6" t="s">
        <v>36758</v>
      </c>
      <c r="O1843" s="6" t="s">
        <v>132</v>
      </c>
      <c r="P1843" s="1" t="s">
        <v>36759</v>
      </c>
      <c r="Q1843" s="7" t="str">
        <f>IFERROR(__xludf.DUMMYFUNCTION("GOOGLETRANSLATE(C1843, ""en"", ""in"")"),"Untuk terus menerima notifikasi, bahkan ketika layar dimatikan, Anda perlu menambahkan percakapan ke daftar aplikasi yang dilindungi.")</f>
        <v>Untuk terus menerima notifikasi, bahkan ketika layar dimatikan, Anda perlu menambahkan percakapan ke daftar aplikasi yang dilindungi.</v>
      </c>
      <c r="R1843" s="1" t="s">
        <v>36760</v>
      </c>
      <c r="S1843" s="6" t="s">
        <v>132</v>
      </c>
      <c r="T1843" s="7" t="str">
        <f>IFERROR(__xludf.DUMMYFUNCTION("GOOGLETRANSLATE(C1843, ""en"", ""ja"")"),"通知を受け取り続けるには、画面がオフになっている場合でも、保護されたアプリのリストに会話を追加する必要があります。")</f>
        <v>通知を受け取り続けるには、画面がオフになっている場合でも、保護されたアプリのリストに会話を追加する必要があります。</v>
      </c>
      <c r="U1843" s="7" t="str">
        <f>IFERROR(__xludf.DUMMYFUNCTION("GOOGLETRANSLATE(C1843, ""en"", ""ko"")"),"화면이 꺼지는 경우에도 알림을 유지하려면 보호 된 앱 목록에 대화를 추가해야합니다.")</f>
        <v>화면이 꺼지는 경우에도 알림을 유지하려면 보호 된 앱 목록에 대화를 추가해야합니다.</v>
      </c>
      <c r="V1843" s="7" t="str">
        <f>IFERROR(__xludf.DUMMYFUNCTION("GOOGLETRANSLATE(C1843, ""en"", ""ms"")"),"Untuk terus menerima pemberitahuan, walaupun skrin dimatikan, anda perlu menambah perbualan ke senarai aplikasi yang dilindungi.")</f>
        <v>Untuk terus menerima pemberitahuan, walaupun skrin dimatikan, anda perlu menambah perbualan ke senarai aplikasi yang dilindungi.</v>
      </c>
      <c r="W1843" s="1" t="s">
        <v>36761</v>
      </c>
      <c r="X1843" s="7" t="str">
        <f>IFERROR(__xludf.DUMMYFUNCTION("GOOGLETRANSLATE(C1843, ""en"", ""no"")"),"For å fortsette å motta varsler, selv når skjermen er slått av, må du legge til samtaler i listen over beskyttede apper.")</f>
        <v>For å fortsette å motta varsler, selv når skjermen er slått av, må du legge til samtaler i listen over beskyttede apper.</v>
      </c>
      <c r="Y1843" s="1" t="s">
        <v>36762</v>
      </c>
      <c r="Z1843" s="7" t="str">
        <f>IFERROR(__xludf.DUMMYFUNCTION("GOOGLETRANSLATE(C1843, ""en"", ""pt"")"),"Para continuar recebendo notificações, mesmo quando a tela estiver desligada, você precisa adicionar conversas à lista de aplicativos protegidos.")</f>
        <v>Para continuar recebendo notificações, mesmo quando a tela estiver desligada, você precisa adicionar conversas à lista de aplicativos protegidos.</v>
      </c>
      <c r="AA1843" s="7" t="str">
        <f>IFERROR(__xludf.DUMMYFUNCTION("GOOGLETRANSLATE(C1843, ""en"", ""ro"")"),"Pentru a continua să primească notificări, chiar și atunci când ecranul este oprit, trebuie să adăugați conversații la lista aplicațiilor protejate.")</f>
        <v>Pentru a continua să primească notificări, chiar și atunci când ecranul este oprit, trebuie să adăugați conversații la lista aplicațiilor protejate.</v>
      </c>
      <c r="AB1843" s="7" t="str">
        <f>IFERROR(__xludf.DUMMYFUNCTION("GOOGLETRANSLATE(C1843, ""en"", ""ru"")"),"Чтобы сохранить получать уведомления, даже если экран отключен, вам необходимо добавить разговоры в список защищенных приложений.")</f>
        <v>Чтобы сохранить получать уведомления, даже если экран отключен, вам необходимо добавить разговоры в список защищенных приложений.</v>
      </c>
      <c r="AC1843" s="7" t="str">
        <f>IFERROR(__xludf.DUMMYFUNCTION("GOOGLETRANSLATE(C1843, ""en"", ""sk"")"),"Ak chcete prijímať oznámenia, aj keď je obrazovka vypnutá, musíte pridať konverzácie do zoznamu chránených aplikácií.")</f>
        <v>Ak chcete prijímať oznámenia, aj keď je obrazovka vypnutá, musíte pridať konverzácie do zoznamu chránených aplikácií.</v>
      </c>
      <c r="AD1843" s="6" t="s">
        <v>132</v>
      </c>
      <c r="AE1843" s="7" t="str">
        <f>IFERROR(__xludf.DUMMYFUNCTION("GOOGLETRANSLATE(C1843, ""en"", ""sr"")"),"Да бисте наставили да примате обавештења, чак и када је екран искључен, морате да додате разговоре на листу заштићених апликација.")</f>
        <v>Да бисте наставили да примате обавештења, чак и када је екран искључен, морате да додате разговоре на листу заштићених апликација.</v>
      </c>
      <c r="AF1843" s="7" t="str">
        <f>IFERROR(__xludf.DUMMYFUNCTION("GOOGLETRANSLATE(C1843, ""en"", ""sv"")"),"För att fortsätta att ta emot meddelanden, även när skärmen är avstängd, måste du lägga till konversationer i listan över skyddade appar.")</f>
        <v>För att fortsätta att ta emot meddelanden, även när skärmen är avstängd, måste du lägga till konversationer i listan över skyddade appar.</v>
      </c>
      <c r="AG1843" s="6" t="s">
        <v>132</v>
      </c>
      <c r="AH1843" s="7" t="str">
        <f>IFERROR(__xludf.DUMMYFUNCTION("GOOGLETRANSLATE(C1843, ""en"", ""tr"")"),"Bildirimleri almaya devam etmek için, ekran kapatıldığında bile, korumalı uygulamalar listesine konuşmalar eklemeniz gerekir.")</f>
        <v>Bildirimleri almaya devam etmek için, ekran kapatıldığında bile, korumalı uygulamalar listesine konuşmalar eklemeniz gerekir.</v>
      </c>
      <c r="AI1843" s="6" t="s">
        <v>132</v>
      </c>
      <c r="AJ1843" s="6" t="s">
        <v>132</v>
      </c>
      <c r="AK1843" s="7" t="str">
        <f>IFERROR(__xludf.DUMMYFUNCTION("GOOGLETRANSLATE(C1843, ""en"", ""zh"")"),"要保留接收通知，即使屏幕关闭，您需要将对话添加到受保护应用程序列表中。")</f>
        <v>要保留接收通知，即使屏幕关闭，您需要将对话添加到受保护应用程序列表中。</v>
      </c>
      <c r="AL1843" s="6" t="s">
        <v>132</v>
      </c>
    </row>
    <row r="1844" ht="15.75" hidden="1" customHeight="1">
      <c r="A1844" s="1" t="s">
        <v>38</v>
      </c>
      <c r="B1844" s="1" t="s">
        <v>36763</v>
      </c>
      <c r="C1844" s="1" t="s">
        <v>36764</v>
      </c>
      <c r="D1844" s="8" t="s">
        <v>36765</v>
      </c>
      <c r="E1844" s="1" t="s">
        <v>36766</v>
      </c>
      <c r="F1844" s="6" t="s">
        <v>36767</v>
      </c>
      <c r="G1844" s="7" t="str">
        <f>IFERROR(__xludf.DUMMYFUNCTION("GOOGLETRANSLATE(C1844, ""en"", ""cs"")"),"Kopírovat originální adresu URL")</f>
        <v>Kopírovat originální adresu URL</v>
      </c>
      <c r="H1844" s="7" t="str">
        <f>IFERROR(__xludf.DUMMYFUNCTION("GOOGLETRANSLATE(C1844, ""en"", ""da"")"),"Kopier original URL")</f>
        <v>Kopier original URL</v>
      </c>
      <c r="I1844" s="1" t="s">
        <v>36768</v>
      </c>
      <c r="J1844" s="6" t="s">
        <v>132</v>
      </c>
      <c r="K1844" s="1" t="s">
        <v>36769</v>
      </c>
      <c r="L1844" s="7" t="str">
        <f>IFERROR(__xludf.DUMMYFUNCTION("GOOGLETRANSLATE(C1844, ""en"", ""fi"")"),"Kopioi alkuperäinen URL-osoite")</f>
        <v>Kopioi alkuperäinen URL-osoite</v>
      </c>
      <c r="M1844" s="1" t="s">
        <v>36770</v>
      </c>
      <c r="N1844" s="6" t="s">
        <v>36771</v>
      </c>
      <c r="O1844" s="6" t="s">
        <v>132</v>
      </c>
      <c r="P1844" s="1" t="s">
        <v>36772</v>
      </c>
      <c r="Q1844" s="9" t="s">
        <v>36773</v>
      </c>
      <c r="R1844" s="1" t="s">
        <v>36774</v>
      </c>
      <c r="S1844" s="6" t="s">
        <v>132</v>
      </c>
      <c r="T1844" s="1" t="s">
        <v>36775</v>
      </c>
      <c r="U1844" s="1" t="s">
        <v>36776</v>
      </c>
      <c r="V1844" s="7" t="str">
        <f>IFERROR(__xludf.DUMMYFUNCTION("GOOGLETRANSLATE(C1844, ""en"", ""ms"")"),"Salin URL asal.")</f>
        <v>Salin URL asal.</v>
      </c>
      <c r="W1844" s="1" t="s">
        <v>36777</v>
      </c>
      <c r="X1844" s="7" t="str">
        <f>IFERROR(__xludf.DUMMYFUNCTION("GOOGLETRANSLATE(C1844, ""en"", ""no"")"),"Kopier original URL.")</f>
        <v>Kopier original URL.</v>
      </c>
      <c r="Y1844" s="1" t="s">
        <v>36778</v>
      </c>
      <c r="Z1844" s="1" t="s">
        <v>36779</v>
      </c>
      <c r="AA1844" s="7" t="str">
        <f>IFERROR(__xludf.DUMMYFUNCTION("GOOGLETRANSLATE(C1844, ""en"", ""ro"")"),"Copiați adresa URL originală")</f>
        <v>Copiați adresa URL originală</v>
      </c>
      <c r="AB1844" s="1" t="s">
        <v>36780</v>
      </c>
      <c r="AC1844" s="1" t="s">
        <v>36781</v>
      </c>
      <c r="AD1844" s="6" t="s">
        <v>132</v>
      </c>
      <c r="AE1844" s="1" t="s">
        <v>36782</v>
      </c>
      <c r="AF1844" s="1" t="s">
        <v>36783</v>
      </c>
      <c r="AG1844" s="6" t="s">
        <v>132</v>
      </c>
      <c r="AH1844" s="13" t="s">
        <v>36784</v>
      </c>
      <c r="AI1844" s="6" t="s">
        <v>36785</v>
      </c>
      <c r="AJ1844" s="6" t="s">
        <v>36786</v>
      </c>
      <c r="AK1844" s="7" t="str">
        <f>IFERROR(__xludf.DUMMYFUNCTION("GOOGLETRANSLATE(C1844, ""en"", ""zh"")"),"复制原始URL.")</f>
        <v>复制原始URL.</v>
      </c>
      <c r="AL1844" s="6" t="s">
        <v>36787</v>
      </c>
    </row>
    <row r="1845" ht="15.75" hidden="1" customHeight="1">
      <c r="A1845" s="1" t="s">
        <v>38</v>
      </c>
      <c r="B1845" s="1" t="s">
        <v>36788</v>
      </c>
      <c r="C1845" s="1" t="s">
        <v>36789</v>
      </c>
      <c r="D1845" s="7" t="str">
        <f>IFERROR(__xludf.DUMMYFUNCTION("GOOGLETRANSLATE(C1845, ""en"", ""ar"")"),"مايوت")</f>
        <v>مايوت</v>
      </c>
      <c r="E1845" s="7" t="str">
        <f>IFERROR(__xludf.DUMMYFUNCTION("GOOGLETRANSLATE(C1845, ""en"", ""bg"")"),"Майот")</f>
        <v>Майот</v>
      </c>
      <c r="F1845" s="6" t="s">
        <v>132</v>
      </c>
      <c r="G1845" s="7" t="str">
        <f>IFERROR(__xludf.DUMMYFUNCTION("GOOGLETRANSLATE(C1845, ""en"", ""cs"")"),"Mayotte.")</f>
        <v>Mayotte.</v>
      </c>
      <c r="H1845" s="7" t="str">
        <f>IFERROR(__xludf.DUMMYFUNCTION("GOOGLETRANSLATE(C1845, ""en"", ""da"")"),"Mayotte.")</f>
        <v>Mayotte.</v>
      </c>
      <c r="I1845" s="1" t="s">
        <v>36789</v>
      </c>
      <c r="J1845" s="6" t="s">
        <v>132</v>
      </c>
      <c r="K1845" s="1" t="s">
        <v>36789</v>
      </c>
      <c r="L1845" s="7" t="str">
        <f>IFERROR(__xludf.DUMMYFUNCTION("GOOGLETRANSLATE(C1845, ""en"", ""fi"")"),"Mayotte")</f>
        <v>Mayotte</v>
      </c>
      <c r="M1845" s="1" t="s">
        <v>36789</v>
      </c>
      <c r="N1845" s="6" t="s">
        <v>132</v>
      </c>
      <c r="O1845" s="6" t="s">
        <v>132</v>
      </c>
      <c r="P1845" s="1" t="s">
        <v>36789</v>
      </c>
      <c r="Q1845" s="7" t="str">
        <f>IFERROR(__xludf.DUMMYFUNCTION("GOOGLETRANSLATE(C1845, ""en"", ""in"")"),"Mayotte.")</f>
        <v>Mayotte.</v>
      </c>
      <c r="R1845" s="7" t="str">
        <f>IFERROR(__xludf.DUMMYFUNCTION("GOOGLETRANSLATE(C1845, ""en"", ""it"")"),"Mayotte.")</f>
        <v>Mayotte.</v>
      </c>
      <c r="S1845" s="6" t="s">
        <v>132</v>
      </c>
      <c r="T1845" s="7" t="str">
        <f>IFERROR(__xludf.DUMMYFUNCTION("GOOGLETRANSLATE(C1845, ""en"", ""ja"")"),"マヨット")</f>
        <v>マヨット</v>
      </c>
      <c r="U1845" s="7" t="str">
        <f>IFERROR(__xludf.DUMMYFUNCTION("GOOGLETRANSLATE(C1845, ""en"", ""ko"")"),"메이 티")</f>
        <v>메이 티</v>
      </c>
      <c r="V1845" s="7" t="str">
        <f>IFERROR(__xludf.DUMMYFUNCTION("GOOGLETRANSLATE(C1845, ""en"", ""ms"")"),"Mayotte.")</f>
        <v>Mayotte.</v>
      </c>
      <c r="W1845" s="7" t="str">
        <f>IFERROR(__xludf.DUMMYFUNCTION("GOOGLETRANSLATE(C1845, ""en"", ""nl"")"),"Mayotte")</f>
        <v>Mayotte</v>
      </c>
      <c r="X1845" s="7" t="str">
        <f>IFERROR(__xludf.DUMMYFUNCTION("GOOGLETRANSLATE(C1845, ""en"", ""no"")"),"Mayotte.")</f>
        <v>Mayotte.</v>
      </c>
      <c r="Y1845" s="7" t="str">
        <f>IFERROR(__xludf.DUMMYFUNCTION("GOOGLETRANSLATE(C1845, ""en"", ""pl"")"),"Mayotte.")</f>
        <v>Mayotte.</v>
      </c>
      <c r="Z1845" s="7" t="str">
        <f>IFERROR(__xludf.DUMMYFUNCTION("GOOGLETRANSLATE(C1845, ""en"", ""pt"")"),"Mayotte.")</f>
        <v>Mayotte.</v>
      </c>
      <c r="AA1845" s="7" t="str">
        <f>IFERROR(__xludf.DUMMYFUNCTION("GOOGLETRANSLATE(C1845, ""en"", ""ro"")"),"Mayotte")</f>
        <v>Mayotte</v>
      </c>
      <c r="AB1845" s="1" t="s">
        <v>36790</v>
      </c>
      <c r="AC1845" s="7" t="str">
        <f>IFERROR(__xludf.DUMMYFUNCTION("GOOGLETRANSLATE(C1845, ""en"", ""sk"")"),"Mayotte")</f>
        <v>Mayotte</v>
      </c>
      <c r="AD1845" s="6" t="s">
        <v>132</v>
      </c>
      <c r="AE1845" s="1" t="s">
        <v>36791</v>
      </c>
      <c r="AF1845" s="7" t="str">
        <f>IFERROR(__xludf.DUMMYFUNCTION("GOOGLETRANSLATE(C1845, ""en"", ""sv"")"),"Mayotte")</f>
        <v>Mayotte</v>
      </c>
      <c r="AG1845" s="6" t="s">
        <v>132</v>
      </c>
      <c r="AH1845" s="7" t="str">
        <f>IFERROR(__xludf.DUMMYFUNCTION("GOOGLETRANSLATE(C1845, ""en"", ""tr"")"),"Mayo")</f>
        <v>Mayo</v>
      </c>
      <c r="AI1845" s="6" t="s">
        <v>132</v>
      </c>
      <c r="AJ1845" s="6" t="s">
        <v>132</v>
      </c>
      <c r="AK1845" s="7" t="str">
        <f>IFERROR(__xludf.DUMMYFUNCTION("GOOGLETRANSLATE(C1845, ""en"", ""zh"")"),"Mostotte.")</f>
        <v>Mostotte.</v>
      </c>
      <c r="AL1845" s="6" t="s">
        <v>132</v>
      </c>
    </row>
    <row r="1846" ht="15.75" hidden="1" customHeight="1">
      <c r="A1846" s="1" t="s">
        <v>38</v>
      </c>
      <c r="B1846" s="1" t="s">
        <v>36792</v>
      </c>
      <c r="C1846" s="1" t="s">
        <v>36793</v>
      </c>
      <c r="D1846" s="8" t="s">
        <v>36794</v>
      </c>
      <c r="E1846" s="1" t="s">
        <v>36795</v>
      </c>
      <c r="F1846" s="6" t="s">
        <v>36796</v>
      </c>
      <c r="G1846" s="7" t="str">
        <f>IFERROR(__xludf.DUMMYFUNCTION("GOOGLETRANSLATE(C1846, ""en"", ""cs"")"),"Zobrazit seznam bloků")</f>
        <v>Zobrazit seznam bloků</v>
      </c>
      <c r="H1846" s="7" t="str">
        <f>IFERROR(__xludf.DUMMYFUNCTION("GOOGLETRANSLATE(C1846, ""en"", ""da"")"),"Vis blokliste")</f>
        <v>Vis blokliste</v>
      </c>
      <c r="I1846" s="1" t="s">
        <v>36797</v>
      </c>
      <c r="J1846" s="6" t="s">
        <v>132</v>
      </c>
      <c r="K1846" s="1" t="s">
        <v>36798</v>
      </c>
      <c r="L1846" s="7" t="str">
        <f>IFERROR(__xludf.DUMMYFUNCTION("GOOGLETRANSLATE(C1846, ""en"", ""fi"")"),"Näytä lohkoluettelo")</f>
        <v>Näytä lohkoluettelo</v>
      </c>
      <c r="M1846" s="1" t="s">
        <v>36799</v>
      </c>
      <c r="N1846" s="6" t="s">
        <v>36800</v>
      </c>
      <c r="O1846" s="6" t="s">
        <v>132</v>
      </c>
      <c r="P1846" s="1" t="s">
        <v>36801</v>
      </c>
      <c r="Q1846" s="9" t="s">
        <v>36802</v>
      </c>
      <c r="R1846" s="1" t="s">
        <v>36803</v>
      </c>
      <c r="S1846" s="6" t="s">
        <v>132</v>
      </c>
      <c r="T1846" s="1" t="s">
        <v>36804</v>
      </c>
      <c r="U1846" s="1" t="s">
        <v>36805</v>
      </c>
      <c r="V1846" s="7" t="str">
        <f>IFERROR(__xludf.DUMMYFUNCTION("GOOGLETRANSLATE(C1846, ""en"", ""ms"")"),"Tunjukkan senarai blok")</f>
        <v>Tunjukkan senarai blok</v>
      </c>
      <c r="W1846" s="1" t="s">
        <v>36806</v>
      </c>
      <c r="X1846" s="7" t="str">
        <f>IFERROR(__xludf.DUMMYFUNCTION("GOOGLETRANSLATE(C1846, ""en"", ""no"")"),"Vis blokkliste")</f>
        <v>Vis blokkliste</v>
      </c>
      <c r="Y1846" s="1" t="s">
        <v>36807</v>
      </c>
      <c r="Z1846" s="1" t="s">
        <v>36808</v>
      </c>
      <c r="AA1846" s="7" t="str">
        <f>IFERROR(__xludf.DUMMYFUNCTION("GOOGLETRANSLATE(C1846, ""en"", ""ro"")"),"Afișați lista de blocuri")</f>
        <v>Afișați lista de blocuri</v>
      </c>
      <c r="AB1846" s="1" t="s">
        <v>36809</v>
      </c>
      <c r="AC1846" s="1" t="s">
        <v>36810</v>
      </c>
      <c r="AD1846" s="6" t="s">
        <v>132</v>
      </c>
      <c r="AE1846" s="1" t="s">
        <v>36811</v>
      </c>
      <c r="AF1846" s="1" t="s">
        <v>36812</v>
      </c>
      <c r="AG1846" s="6" t="s">
        <v>132</v>
      </c>
      <c r="AH1846" s="7" t="str">
        <f>IFERROR(__xludf.DUMMYFUNCTION("GOOGLETRANSLATE(C1846, ""en"", ""tr"")"),"Blok listesini göster")</f>
        <v>Blok listesini göster</v>
      </c>
      <c r="AI1846" s="6" t="s">
        <v>36813</v>
      </c>
      <c r="AJ1846" s="6" t="s">
        <v>36814</v>
      </c>
      <c r="AK1846" s="7" t="str">
        <f>IFERROR(__xludf.DUMMYFUNCTION("GOOGLETRANSLATE(C1846, ""en"", ""zh"")"),"显示块列表")</f>
        <v>显示块列表</v>
      </c>
      <c r="AL1846" s="6" t="s">
        <v>36815</v>
      </c>
    </row>
    <row r="1847" ht="15.75" hidden="1" customHeight="1">
      <c r="A1847" s="1" t="s">
        <v>38</v>
      </c>
      <c r="B1847" s="1" t="s">
        <v>36816</v>
      </c>
      <c r="C1847" s="1" t="s">
        <v>36817</v>
      </c>
      <c r="D1847" s="7" t="str">
        <f>IFERROR(__xludf.DUMMYFUNCTION("GOOGLETRANSLATE(C1847, ""en"", ""ar"")"),"أدخل أسمك")</f>
        <v>أدخل أسمك</v>
      </c>
      <c r="E1847" s="1" t="s">
        <v>36818</v>
      </c>
      <c r="F1847" s="6" t="s">
        <v>132</v>
      </c>
      <c r="G1847" s="7" t="str">
        <f>IFERROR(__xludf.DUMMYFUNCTION("GOOGLETRANSLATE(C1847, ""en"", ""cs"")"),"Zadejte své jméno")</f>
        <v>Zadejte své jméno</v>
      </c>
      <c r="H1847" s="7" t="str">
        <f>IFERROR(__xludf.DUMMYFUNCTION("GOOGLETRANSLATE(C1847, ""en"", ""da"")"),"Indtast dit navn")</f>
        <v>Indtast dit navn</v>
      </c>
      <c r="I1847" s="1" t="s">
        <v>36819</v>
      </c>
      <c r="J1847" s="6" t="s">
        <v>132</v>
      </c>
      <c r="K1847" s="1" t="s">
        <v>36820</v>
      </c>
      <c r="L1847" s="7" t="str">
        <f>IFERROR(__xludf.DUMMYFUNCTION("GOOGLETRANSLATE(C1847, ""en"", ""fi"")"),"Kirjoita nimesi")</f>
        <v>Kirjoita nimesi</v>
      </c>
      <c r="M1847" s="7" t="str">
        <f>IFERROR(__xludf.DUMMYFUNCTION("GOOGLETRANSLATE(C1847, ""en"", ""fr"")"),"Entrez votre nom")</f>
        <v>Entrez votre nom</v>
      </c>
      <c r="N1847" s="6" t="s">
        <v>36821</v>
      </c>
      <c r="O1847" s="6" t="s">
        <v>132</v>
      </c>
      <c r="P1847" s="1" t="s">
        <v>36822</v>
      </c>
      <c r="Q1847" s="7" t="str">
        <f>IFERROR(__xludf.DUMMYFUNCTION("GOOGLETRANSLATE(C1847, ""en"", ""in"")"),"Masukkan nama Anda")</f>
        <v>Masukkan nama Anda</v>
      </c>
      <c r="R1847" s="1" t="s">
        <v>36823</v>
      </c>
      <c r="S1847" s="6" t="s">
        <v>132</v>
      </c>
      <c r="T1847" s="7" t="str">
        <f>IFERROR(__xludf.DUMMYFUNCTION("GOOGLETRANSLATE(C1847, ""en"", ""ja"")"),"あなたの名前を入力してください")</f>
        <v>あなたの名前を入力してください</v>
      </c>
      <c r="U1847" s="7" t="str">
        <f>IFERROR(__xludf.DUMMYFUNCTION("GOOGLETRANSLATE(C1847, ""en"", ""ko"")"),"당신의 이름을 입력")</f>
        <v>당신의 이름을 입력</v>
      </c>
      <c r="V1847" s="7" t="str">
        <f>IFERROR(__xludf.DUMMYFUNCTION("GOOGLETRANSLATE(C1847, ""en"", ""ms"")"),"Masukkan nama anda")</f>
        <v>Masukkan nama anda</v>
      </c>
      <c r="W1847" s="1" t="s">
        <v>36824</v>
      </c>
      <c r="X1847" s="7" t="str">
        <f>IFERROR(__xludf.DUMMYFUNCTION("GOOGLETRANSLATE(C1847, ""en"", ""no"")"),"Skriv inn navnet ditt")</f>
        <v>Skriv inn navnet ditt</v>
      </c>
      <c r="Y1847" s="1" t="s">
        <v>36825</v>
      </c>
      <c r="Z1847" s="7" t="str">
        <f>IFERROR(__xludf.DUMMYFUNCTION("GOOGLETRANSLATE(C1847, ""en"", ""pt"")"),"Digite seu nome")</f>
        <v>Digite seu nome</v>
      </c>
      <c r="AA1847" s="7" t="str">
        <f>IFERROR(__xludf.DUMMYFUNCTION("GOOGLETRANSLATE(C1847, ""en"", ""ro"")"),"Introdu numele tau")</f>
        <v>Introdu numele tau</v>
      </c>
      <c r="AB1847" s="7" t="str">
        <f>IFERROR(__xludf.DUMMYFUNCTION("GOOGLETRANSLATE(C1847, ""en"", ""ru"")"),"Введите ваше имя")</f>
        <v>Введите ваше имя</v>
      </c>
      <c r="AC1847" s="7" t="str">
        <f>IFERROR(__xludf.DUMMYFUNCTION("GOOGLETRANSLATE(C1847, ""en"", ""sk"")"),"Zadajte svoje meno")</f>
        <v>Zadajte svoje meno</v>
      </c>
      <c r="AD1847" s="6" t="s">
        <v>132</v>
      </c>
      <c r="AE1847" s="7" t="str">
        <f>IFERROR(__xludf.DUMMYFUNCTION("GOOGLETRANSLATE(C1847, ""en"", ""sr"")"),"Унесите своје име")</f>
        <v>Унесите своје име</v>
      </c>
      <c r="AF1847" s="7" t="str">
        <f>IFERROR(__xludf.DUMMYFUNCTION("GOOGLETRANSLATE(C1847, ""en"", ""sv"")"),"Ange ditt namn")</f>
        <v>Ange ditt namn</v>
      </c>
      <c r="AG1847" s="6" t="s">
        <v>132</v>
      </c>
      <c r="AH1847" s="7" t="str">
        <f>IFERROR(__xludf.DUMMYFUNCTION("GOOGLETRANSLATE(C1847, ""en"", ""tr"")"),"Adınızı giriniz")</f>
        <v>Adınızı giriniz</v>
      </c>
      <c r="AI1847" s="6" t="s">
        <v>132</v>
      </c>
      <c r="AJ1847" s="6" t="s">
        <v>132</v>
      </c>
      <c r="AK1847" s="7" t="str">
        <f>IFERROR(__xludf.DUMMYFUNCTION("GOOGLETRANSLATE(C1847, ""en"", ""zh"")"),"输入你的名字")</f>
        <v>输入你的名字</v>
      </c>
      <c r="AL1847" s="6" t="s">
        <v>132</v>
      </c>
    </row>
    <row r="1848" ht="15.75" customHeight="1">
      <c r="A1848" s="1" t="s">
        <v>127</v>
      </c>
      <c r="B1848" s="1" t="s">
        <v>36826</v>
      </c>
      <c r="C1848" s="1" t="s">
        <v>36827</v>
      </c>
      <c r="D1848" s="8" t="s">
        <v>36828</v>
      </c>
      <c r="E1848" s="1" t="s">
        <v>36829</v>
      </c>
      <c r="F1848" s="6" t="s">
        <v>132</v>
      </c>
      <c r="G1848" s="1" t="s">
        <v>36830</v>
      </c>
      <c r="H1848" s="1" t="s">
        <v>36831</v>
      </c>
      <c r="I1848" s="1" t="s">
        <v>36832</v>
      </c>
      <c r="J1848" s="6" t="s">
        <v>36833</v>
      </c>
      <c r="K1848" s="1" t="s">
        <v>36834</v>
      </c>
      <c r="L1848" s="1" t="s">
        <v>36835</v>
      </c>
      <c r="M1848" s="1" t="s">
        <v>36836</v>
      </c>
      <c r="N1848" s="6" t="s">
        <v>132</v>
      </c>
      <c r="O1848" s="6" t="s">
        <v>36837</v>
      </c>
      <c r="P1848" s="1" t="s">
        <v>36838</v>
      </c>
      <c r="Q1848" s="1" t="s">
        <v>36839</v>
      </c>
      <c r="R1848" s="1" t="s">
        <v>36840</v>
      </c>
      <c r="S1848" s="10" t="s">
        <v>36841</v>
      </c>
      <c r="T1848" s="1" t="s">
        <v>36842</v>
      </c>
      <c r="U1848" s="1" t="s">
        <v>36843</v>
      </c>
      <c r="V1848" s="1" t="s">
        <v>36839</v>
      </c>
      <c r="W1848" s="1" t="s">
        <v>36844</v>
      </c>
      <c r="X1848" s="1" t="s">
        <v>36845</v>
      </c>
      <c r="Y1848" s="1" t="s">
        <v>36846</v>
      </c>
      <c r="Z1848" s="1" t="s">
        <v>36847</v>
      </c>
      <c r="AA1848" s="1" t="s">
        <v>36848</v>
      </c>
      <c r="AB1848" s="1" t="s">
        <v>36849</v>
      </c>
      <c r="AC1848" s="1" t="s">
        <v>36850</v>
      </c>
      <c r="AD1848" s="6" t="s">
        <v>36851</v>
      </c>
      <c r="AE1848" s="1" t="s">
        <v>36852</v>
      </c>
      <c r="AF1848" s="1" t="s">
        <v>36853</v>
      </c>
      <c r="AG1848" s="6" t="s">
        <v>36854</v>
      </c>
      <c r="AH1848" s="1" t="s">
        <v>36855</v>
      </c>
      <c r="AI1848" s="6" t="s">
        <v>132</v>
      </c>
      <c r="AJ1848" s="6" t="s">
        <v>36856</v>
      </c>
      <c r="AK1848" s="1" t="s">
        <v>36857</v>
      </c>
      <c r="AL1848" s="6" t="s">
        <v>36858</v>
      </c>
    </row>
    <row r="1849" ht="15.75" hidden="1" customHeight="1">
      <c r="A1849" s="1" t="s">
        <v>38</v>
      </c>
      <c r="B1849" s="1" t="s">
        <v>36859</v>
      </c>
      <c r="C1849" s="1" t="s">
        <v>4396</v>
      </c>
      <c r="D1849" s="8" t="s">
        <v>24202</v>
      </c>
      <c r="E1849" s="1" t="s">
        <v>36860</v>
      </c>
      <c r="F1849" s="6" t="s">
        <v>36861</v>
      </c>
      <c r="G1849" s="7" t="str">
        <f>IFERROR(__xludf.DUMMYFUNCTION("GOOGLETRANSLATE(C1849, ""en"", ""cs"")"),"OK")</f>
        <v>OK</v>
      </c>
      <c r="H1849" s="7" t="str">
        <f>IFERROR(__xludf.DUMMYFUNCTION("GOOGLETRANSLATE(C1849, ""en"", ""da"")"),"Okay")</f>
        <v>Okay</v>
      </c>
      <c r="I1849" s="1" t="s">
        <v>4396</v>
      </c>
      <c r="J1849" s="6" t="s">
        <v>132</v>
      </c>
      <c r="K1849" s="1" t="s">
        <v>4396</v>
      </c>
      <c r="L1849" s="7" t="str">
        <f>IFERROR(__xludf.DUMMYFUNCTION("GOOGLETRANSLATE(C1849, ""en"", ""fi"")"),"Ok")</f>
        <v>Ok</v>
      </c>
      <c r="M1849" s="1" t="s">
        <v>4396</v>
      </c>
      <c r="N1849" s="6" t="s">
        <v>4396</v>
      </c>
      <c r="O1849" s="6" t="s">
        <v>132</v>
      </c>
      <c r="P1849" s="1" t="s">
        <v>36862</v>
      </c>
      <c r="Q1849" s="9" t="s">
        <v>36863</v>
      </c>
      <c r="R1849" s="1" t="s">
        <v>4396</v>
      </c>
      <c r="S1849" s="6" t="s">
        <v>132</v>
      </c>
      <c r="T1849" s="1" t="s">
        <v>4396</v>
      </c>
      <c r="U1849" s="1" t="s">
        <v>24889</v>
      </c>
      <c r="V1849" s="7" t="str">
        <f>IFERROR(__xludf.DUMMYFUNCTION("GOOGLETRANSLATE(C1849, ""en"", ""ms"")"),"okey")</f>
        <v>okey</v>
      </c>
      <c r="W1849" s="1" t="s">
        <v>36864</v>
      </c>
      <c r="X1849" s="7" t="str">
        <f>IFERROR(__xludf.DUMMYFUNCTION("GOOGLETRANSLATE(C1849, ""en"", ""no"")"),"OK")</f>
        <v>OK</v>
      </c>
      <c r="Y1849" s="1" t="s">
        <v>36865</v>
      </c>
      <c r="Z1849" s="1" t="s">
        <v>4396</v>
      </c>
      <c r="AA1849" s="7" t="str">
        <f>IFERROR(__xludf.DUMMYFUNCTION("GOOGLETRANSLATE(C1849, ""en"", ""ro"")"),"O.K")</f>
        <v>O.K</v>
      </c>
      <c r="AB1849" s="1" t="s">
        <v>36866</v>
      </c>
      <c r="AC1849" s="1" t="s">
        <v>4396</v>
      </c>
      <c r="AD1849" s="6" t="s">
        <v>132</v>
      </c>
      <c r="AE1849" s="1" t="s">
        <v>36867</v>
      </c>
      <c r="AF1849" s="1" t="s">
        <v>36865</v>
      </c>
      <c r="AG1849" s="6" t="s">
        <v>132</v>
      </c>
      <c r="AH1849" s="7" t="str">
        <f>IFERROR(__xludf.DUMMYFUNCTION("GOOGLETRANSLATE(C1849, ""en"", ""tr"")"),"TAMAM MI")</f>
        <v>TAMAM MI</v>
      </c>
      <c r="AI1849" s="6" t="s">
        <v>36868</v>
      </c>
      <c r="AJ1849" s="6" t="s">
        <v>4396</v>
      </c>
      <c r="AK1849" s="7" t="str">
        <f>IFERROR(__xludf.DUMMYFUNCTION("GOOGLETRANSLATE(C1849, ""en"", ""zh"")"),"好的")</f>
        <v>好的</v>
      </c>
      <c r="AL1849" s="6" t="s">
        <v>2256</v>
      </c>
    </row>
    <row r="1850" ht="15.75" hidden="1" customHeight="1">
      <c r="A1850" s="1" t="s">
        <v>38</v>
      </c>
      <c r="B1850" s="1" t="s">
        <v>36869</v>
      </c>
      <c r="C1850" s="1" t="s">
        <v>36870</v>
      </c>
      <c r="D1850" s="8" t="s">
        <v>36871</v>
      </c>
      <c r="E1850" s="1" t="s">
        <v>36872</v>
      </c>
      <c r="F1850" s="6" t="s">
        <v>36873</v>
      </c>
      <c r="G1850" s="7" t="str">
        <f>IFERROR(__xludf.DUMMYFUNCTION("GOOGLETRANSLATE(C1850, ""en"", ""cs"")"),"Slepá důvěra před ověřením")</f>
        <v>Slepá důvěra před ověřením</v>
      </c>
      <c r="H1850" s="7" t="str">
        <f>IFERROR(__xludf.DUMMYFUNCTION("GOOGLETRANSLATE(C1850, ""en"", ""da"")"),"Blind tillid før verifikation")</f>
        <v>Blind tillid før verifikation</v>
      </c>
      <c r="I1850" s="1" t="s">
        <v>36874</v>
      </c>
      <c r="J1850" s="6" t="s">
        <v>132</v>
      </c>
      <c r="K1850" s="1" t="s">
        <v>36875</v>
      </c>
      <c r="L1850" s="7" t="str">
        <f>IFERROR(__xludf.DUMMYFUNCTION("GOOGLETRANSLATE(C1850, ""en"", ""fi"")"),"Sokea luottamus ennen todentamista")</f>
        <v>Sokea luottamus ennen todentamista</v>
      </c>
      <c r="M1850" s="1" t="s">
        <v>36876</v>
      </c>
      <c r="N1850" s="6" t="s">
        <v>36877</v>
      </c>
      <c r="O1850" s="6" t="s">
        <v>132</v>
      </c>
      <c r="P1850" s="1" t="s">
        <v>36878</v>
      </c>
      <c r="Q1850" s="7" t="str">
        <f>IFERROR(__xludf.DUMMYFUNCTION("GOOGLETRANSLATE(C1850, ""en"", ""in"")"),"Blind Trust Sebelum Verifikasi")</f>
        <v>Blind Trust Sebelum Verifikasi</v>
      </c>
      <c r="R1850" s="1" t="s">
        <v>36879</v>
      </c>
      <c r="S1850" s="6" t="s">
        <v>132</v>
      </c>
      <c r="T1850" s="1" t="s">
        <v>36880</v>
      </c>
      <c r="U1850" s="7" t="str">
        <f>IFERROR(__xludf.DUMMYFUNCTION("GOOGLETRANSLATE(C1850, ""en"", ""ko"")"),"확인되기 전에 맹인 신뢰")</f>
        <v>확인되기 전에 맹인 신뢰</v>
      </c>
      <c r="V1850" s="7" t="str">
        <f>IFERROR(__xludf.DUMMYFUNCTION("GOOGLETRANSLATE(C1850, ""en"", ""ms"")"),"Amanah buta sebelum pengesahan")</f>
        <v>Amanah buta sebelum pengesahan</v>
      </c>
      <c r="W1850" s="1" t="s">
        <v>36881</v>
      </c>
      <c r="X1850" s="7" t="str">
        <f>IFERROR(__xludf.DUMMYFUNCTION("GOOGLETRANSLATE(C1850, ""en"", ""no"")"),"Blind Trust før verifisering")</f>
        <v>Blind Trust før verifisering</v>
      </c>
      <c r="Y1850" s="1" t="s">
        <v>36882</v>
      </c>
      <c r="Z1850" s="7" t="str">
        <f>IFERROR(__xludf.DUMMYFUNCTION("GOOGLETRANSLATE(C1850, ""en"", ""pt"")"),"Confiança cega antes da verificação")</f>
        <v>Confiança cega antes da verificação</v>
      </c>
      <c r="AA1850" s="7" t="str">
        <f>IFERROR(__xludf.DUMMYFUNCTION("GOOGLETRANSLATE(C1850, ""en"", ""ro"")"),"Blind încredere înainte de verificare")</f>
        <v>Blind încredere înainte de verificare</v>
      </c>
      <c r="AB1850" s="1" t="s">
        <v>36883</v>
      </c>
      <c r="AC1850" s="7" t="str">
        <f>IFERROR(__xludf.DUMMYFUNCTION("GOOGLETRANSLATE(C1850, ""en"", ""sk"")"),"Slepá dôvera pred overením")</f>
        <v>Slepá dôvera pred overením</v>
      </c>
      <c r="AD1850" s="6" t="s">
        <v>132</v>
      </c>
      <c r="AE1850" s="1" t="s">
        <v>36884</v>
      </c>
      <c r="AF1850" s="1" t="s">
        <v>36885</v>
      </c>
      <c r="AG1850" s="6" t="s">
        <v>132</v>
      </c>
      <c r="AH1850" s="7" t="str">
        <f>IFERROR(__xludf.DUMMYFUNCTION("GOOGLETRANSLATE(C1850, ""en"", ""tr"")"),"Doğrulamadan önce kör güven")</f>
        <v>Doğrulamadan önce kör güven</v>
      </c>
      <c r="AI1850" s="6" t="s">
        <v>36886</v>
      </c>
      <c r="AJ1850" s="6" t="s">
        <v>132</v>
      </c>
      <c r="AK1850" s="7" t="str">
        <f>IFERROR(__xludf.DUMMYFUNCTION("GOOGLETRANSLATE(C1850, ""en"", ""zh"")"),"验证前盲目信任")</f>
        <v>验证前盲目信任</v>
      </c>
      <c r="AL1850" s="6" t="s">
        <v>36887</v>
      </c>
    </row>
    <row r="1851" ht="15.75" customHeight="1">
      <c r="A1851" s="1" t="s">
        <v>127</v>
      </c>
      <c r="B1851" s="1" t="s">
        <v>36888</v>
      </c>
      <c r="C1851" s="1" t="s">
        <v>36889</v>
      </c>
      <c r="D1851" s="8" t="s">
        <v>36890</v>
      </c>
      <c r="E1851" s="1" t="s">
        <v>36891</v>
      </c>
      <c r="F1851" s="6" t="s">
        <v>132</v>
      </c>
      <c r="G1851" s="1" t="s">
        <v>36892</v>
      </c>
      <c r="H1851" s="1" t="s">
        <v>36893</v>
      </c>
      <c r="I1851" s="1" t="s">
        <v>36894</v>
      </c>
      <c r="J1851" s="6" t="s">
        <v>36895</v>
      </c>
      <c r="K1851" s="1" t="s">
        <v>36896</v>
      </c>
      <c r="L1851" s="1" t="s">
        <v>36897</v>
      </c>
      <c r="M1851" s="1" t="s">
        <v>36898</v>
      </c>
      <c r="N1851" s="6" t="s">
        <v>132</v>
      </c>
      <c r="O1851" s="6" t="s">
        <v>36899</v>
      </c>
      <c r="P1851" s="1" t="s">
        <v>36900</v>
      </c>
      <c r="Q1851" s="1" t="s">
        <v>36901</v>
      </c>
      <c r="R1851" s="1" t="s">
        <v>36902</v>
      </c>
      <c r="S1851" s="10" t="s">
        <v>36903</v>
      </c>
      <c r="T1851" s="1" t="s">
        <v>36904</v>
      </c>
      <c r="U1851" s="1" t="s">
        <v>36905</v>
      </c>
      <c r="V1851" s="1" t="s">
        <v>36906</v>
      </c>
      <c r="W1851" s="1" t="s">
        <v>36907</v>
      </c>
      <c r="X1851" s="1" t="s">
        <v>36908</v>
      </c>
      <c r="Y1851" s="1" t="s">
        <v>36909</v>
      </c>
      <c r="Z1851" s="1" t="s">
        <v>36910</v>
      </c>
      <c r="AA1851" s="1" t="s">
        <v>36911</v>
      </c>
      <c r="AB1851" s="1" t="s">
        <v>36912</v>
      </c>
      <c r="AC1851" s="1" t="s">
        <v>36913</v>
      </c>
      <c r="AD1851" s="6" t="s">
        <v>36914</v>
      </c>
      <c r="AE1851" s="1" t="s">
        <v>36915</v>
      </c>
      <c r="AF1851" s="1" t="s">
        <v>36916</v>
      </c>
      <c r="AG1851" s="6" t="s">
        <v>36917</v>
      </c>
      <c r="AH1851" s="1" t="s">
        <v>36918</v>
      </c>
      <c r="AI1851" s="6" t="s">
        <v>132</v>
      </c>
      <c r="AJ1851" s="6" t="s">
        <v>36919</v>
      </c>
      <c r="AK1851" s="1" t="s">
        <v>36920</v>
      </c>
      <c r="AL1851" s="6" t="s">
        <v>36921</v>
      </c>
    </row>
    <row r="1852" ht="15.75" hidden="1" customHeight="1">
      <c r="A1852" s="1" t="s">
        <v>38</v>
      </c>
      <c r="B1852" s="1" t="s">
        <v>36922</v>
      </c>
      <c r="C1852" s="1" t="s">
        <v>36923</v>
      </c>
      <c r="D1852" s="7" t="str">
        <f>IFERROR(__xludf.DUMMYFUNCTION("GOOGLETRANSLATE(C1852, ""en"", ""ar"")"),"niue.")</f>
        <v>niue.</v>
      </c>
      <c r="E1852" s="7" t="str">
        <f>IFERROR(__xludf.DUMMYFUNCTION("GOOGLETRANSLATE(C1852, ""en"", ""bg"")"),"Дело")</f>
        <v>Дело</v>
      </c>
      <c r="F1852" s="6" t="s">
        <v>132</v>
      </c>
      <c r="G1852" s="7" t="str">
        <f>IFERROR(__xludf.DUMMYFUNCTION("GOOGLETRANSLATE(C1852, ""en"", ""cs"")"),"Niue.")</f>
        <v>Niue.</v>
      </c>
      <c r="H1852" s="7" t="str">
        <f>IFERROR(__xludf.DUMMYFUNCTION("GOOGLETRANSLATE(C1852, ""en"", ""da"")"),"Niue.")</f>
        <v>Niue.</v>
      </c>
      <c r="I1852" s="1" t="s">
        <v>36923</v>
      </c>
      <c r="J1852" s="6" t="s">
        <v>132</v>
      </c>
      <c r="K1852" s="1" t="s">
        <v>36923</v>
      </c>
      <c r="L1852" s="7" t="str">
        <f>IFERROR(__xludf.DUMMYFUNCTION("GOOGLETRANSLATE(C1852, ""en"", ""fi"")"),"Niue")</f>
        <v>Niue</v>
      </c>
      <c r="M1852" s="1" t="s">
        <v>36923</v>
      </c>
      <c r="N1852" s="6" t="s">
        <v>132</v>
      </c>
      <c r="O1852" s="6" t="s">
        <v>132</v>
      </c>
      <c r="P1852" s="1" t="s">
        <v>36923</v>
      </c>
      <c r="Q1852" s="7" t="str">
        <f>IFERROR(__xludf.DUMMYFUNCTION("GOOGLETRANSLATE(C1852, ""en"", ""in"")"),"Niue.")</f>
        <v>Niue.</v>
      </c>
      <c r="R1852" s="7" t="str">
        <f>IFERROR(__xludf.DUMMYFUNCTION("GOOGLETRANSLATE(C1852, ""en"", ""it"")"),"Niue.")</f>
        <v>Niue.</v>
      </c>
      <c r="S1852" s="6" t="s">
        <v>132</v>
      </c>
      <c r="T1852" s="7" t="str">
        <f>IFERROR(__xludf.DUMMYFUNCTION("GOOGLETRANSLATE(C1852, ""en"", ""ja"")"),"ニウエ")</f>
        <v>ニウエ</v>
      </c>
      <c r="U1852" s="7" t="str">
        <f>IFERROR(__xludf.DUMMYFUNCTION("GOOGLETRANSLATE(C1852, ""en"", ""ko"")"),"썩은 사람")</f>
        <v>썩은 사람</v>
      </c>
      <c r="V1852" s="7" t="str">
        <f>IFERROR(__xludf.DUMMYFUNCTION("GOOGLETRANSLATE(C1852, ""en"", ""ms"")"),"Niue")</f>
        <v>Niue</v>
      </c>
      <c r="W1852" s="7" t="str">
        <f>IFERROR(__xludf.DUMMYFUNCTION("GOOGLETRANSLATE(C1852, ""en"", ""nl"")"),"Niue")</f>
        <v>Niue</v>
      </c>
      <c r="X1852" s="7" t="str">
        <f>IFERROR(__xludf.DUMMYFUNCTION("GOOGLETRANSLATE(C1852, ""en"", ""no"")"),"Niue.")</f>
        <v>Niue.</v>
      </c>
      <c r="Y1852" s="7" t="str">
        <f>IFERROR(__xludf.DUMMYFUNCTION("GOOGLETRANSLATE(C1852, ""en"", ""pl"")"),"Niue.")</f>
        <v>Niue.</v>
      </c>
      <c r="Z1852" s="7" t="str">
        <f>IFERROR(__xludf.DUMMYFUNCTION("GOOGLETRANSLATE(C1852, ""en"", ""pt"")"),"Niue.")</f>
        <v>Niue.</v>
      </c>
      <c r="AA1852" s="7" t="str">
        <f>IFERROR(__xludf.DUMMYFUNCTION("GOOGLETRANSLATE(C1852, ""en"", ""ro"")"),"Niue.")</f>
        <v>Niue.</v>
      </c>
      <c r="AB1852" s="1" t="s">
        <v>36924</v>
      </c>
      <c r="AC1852" s="7" t="str">
        <f>IFERROR(__xludf.DUMMYFUNCTION("GOOGLETRANSLATE(C1852, ""en"", ""sk"")"),"Niue")</f>
        <v>Niue</v>
      </c>
      <c r="AD1852" s="6" t="s">
        <v>132</v>
      </c>
      <c r="AE1852" s="1" t="s">
        <v>36925</v>
      </c>
      <c r="AF1852" s="7" t="str">
        <f>IFERROR(__xludf.DUMMYFUNCTION("GOOGLETRANSLATE(C1852, ""en"", ""sv"")"),"Niu")</f>
        <v>Niu</v>
      </c>
      <c r="AG1852" s="6" t="s">
        <v>132</v>
      </c>
      <c r="AH1852" s="7" t="str">
        <f>IFERROR(__xludf.DUMMYFUNCTION("GOOGLETRANSLATE(C1852, ""en"", ""tr"")"),"Niue")</f>
        <v>Niue</v>
      </c>
      <c r="AI1852" s="6" t="s">
        <v>132</v>
      </c>
      <c r="AJ1852" s="6" t="s">
        <v>132</v>
      </c>
      <c r="AK1852" s="7" t="str">
        <f>IFERROR(__xludf.DUMMYFUNCTION("GOOGLETRANSLATE(C1852, ""en"", ""zh"")"),"纽厄斯")</f>
        <v>纽厄斯</v>
      </c>
      <c r="AL1852" s="6" t="s">
        <v>132</v>
      </c>
    </row>
    <row r="1853" ht="15.75" hidden="1" customHeight="1">
      <c r="A1853" s="1" t="s">
        <v>38</v>
      </c>
      <c r="B1853" s="1" t="s">
        <v>36926</v>
      </c>
      <c r="C1853" s="1" t="s">
        <v>36927</v>
      </c>
      <c r="D1853" s="7" t="str">
        <f>IFERROR(__xludf.DUMMYFUNCTION("GOOGLETRANSLATE(C1853, ""en"", ""ar"")"),"تركمانستان")</f>
        <v>تركمانستان</v>
      </c>
      <c r="E1853" s="7" t="str">
        <f>IFERROR(__xludf.DUMMYFUNCTION("GOOGLETRANSLATE(C1853, ""en"", ""bg"")"),"Туркменистан")</f>
        <v>Туркменистан</v>
      </c>
      <c r="F1853" s="6" t="s">
        <v>132</v>
      </c>
      <c r="G1853" s="7" t="str">
        <f>IFERROR(__xludf.DUMMYFUNCTION("GOOGLETRANSLATE(C1853, ""en"", ""cs"")"),"Turkmenistan.")</f>
        <v>Turkmenistan.</v>
      </c>
      <c r="H1853" s="7" t="str">
        <f>IFERROR(__xludf.DUMMYFUNCTION("GOOGLETRANSLATE(C1853, ""en"", ""da"")"),"Turkmenistan.")</f>
        <v>Turkmenistan.</v>
      </c>
      <c r="I1853" s="1" t="s">
        <v>36927</v>
      </c>
      <c r="J1853" s="6" t="s">
        <v>132</v>
      </c>
      <c r="K1853" s="1" t="s">
        <v>36928</v>
      </c>
      <c r="L1853" s="7" t="str">
        <f>IFERROR(__xludf.DUMMYFUNCTION("GOOGLETRANSLATE(C1853, ""en"", ""fi"")"),"Turkmenistan")</f>
        <v>Turkmenistan</v>
      </c>
      <c r="M1853" s="1" t="s">
        <v>36929</v>
      </c>
      <c r="N1853" s="6" t="s">
        <v>132</v>
      </c>
      <c r="O1853" s="6" t="s">
        <v>132</v>
      </c>
      <c r="P1853" s="1" t="s">
        <v>36927</v>
      </c>
      <c r="Q1853" s="7" t="str">
        <f>IFERROR(__xludf.DUMMYFUNCTION("GOOGLETRANSLATE(C1853, ""en"", ""in"")"),"Turkmenistan")</f>
        <v>Turkmenistan</v>
      </c>
      <c r="R1853" s="7" t="str">
        <f>IFERROR(__xludf.DUMMYFUNCTION("GOOGLETRANSLATE(C1853, ""en"", ""it"")"),"Turkmenistan.")</f>
        <v>Turkmenistan.</v>
      </c>
      <c r="S1853" s="6" t="s">
        <v>132</v>
      </c>
      <c r="T1853" s="7" t="str">
        <f>IFERROR(__xludf.DUMMYFUNCTION("GOOGLETRANSLATE(C1853, ""en"", ""ja"")"),"トルクメニスタン")</f>
        <v>トルクメニスタン</v>
      </c>
      <c r="U1853" s="7" t="str">
        <f>IFERROR(__xludf.DUMMYFUNCTION("GOOGLETRANSLATE(C1853, ""en"", ""ko"")"),"투르크 메니스탄")</f>
        <v>투르크 메니스탄</v>
      </c>
      <c r="V1853" s="7" t="str">
        <f>IFERROR(__xludf.DUMMYFUNCTION("GOOGLETRANSLATE(C1853, ""en"", ""ms"")"),"Turkmenistan.")</f>
        <v>Turkmenistan.</v>
      </c>
      <c r="W1853" s="7" t="str">
        <f>IFERROR(__xludf.DUMMYFUNCTION("GOOGLETRANSLATE(C1853, ""en"", ""nl"")"),"Turkmenistan")</f>
        <v>Turkmenistan</v>
      </c>
      <c r="X1853" s="7" t="str">
        <f>IFERROR(__xludf.DUMMYFUNCTION("GOOGLETRANSLATE(C1853, ""en"", ""no"")"),"Turkmenistan")</f>
        <v>Turkmenistan</v>
      </c>
      <c r="Y1853" s="7" t="str">
        <f>IFERROR(__xludf.DUMMYFUNCTION("GOOGLETRANSLATE(C1853, ""en"", ""pl"")"),"Turkmenia")</f>
        <v>Turkmenia</v>
      </c>
      <c r="Z1853" s="7" t="str">
        <f>IFERROR(__xludf.DUMMYFUNCTION("GOOGLETRANSLATE(C1853, ""en"", ""pt"")"),"Turquemenistão.")</f>
        <v>Turquemenistão.</v>
      </c>
      <c r="AA1853" s="7" t="str">
        <f>IFERROR(__xludf.DUMMYFUNCTION("GOOGLETRANSLATE(C1853, ""en"", ""ro"")"),"Turkmenistan.")</f>
        <v>Turkmenistan.</v>
      </c>
      <c r="AB1853" s="1" t="s">
        <v>36930</v>
      </c>
      <c r="AC1853" s="7" t="str">
        <f>IFERROR(__xludf.DUMMYFUNCTION("GOOGLETRANSLATE(C1853, ""en"", ""sk"")"),"Turkménsko")</f>
        <v>Turkménsko</v>
      </c>
      <c r="AD1853" s="6" t="s">
        <v>132</v>
      </c>
      <c r="AE1853" s="1" t="s">
        <v>36927</v>
      </c>
      <c r="AF1853" s="7" t="str">
        <f>IFERROR(__xludf.DUMMYFUNCTION("GOOGLETRANSLATE(C1853, ""en"", ""sv"")"),"Turkmenistan")</f>
        <v>Turkmenistan</v>
      </c>
      <c r="AG1853" s="6" t="s">
        <v>132</v>
      </c>
      <c r="AH1853" s="7" t="str">
        <f>IFERROR(__xludf.DUMMYFUNCTION("GOOGLETRANSLATE(C1853, ""en"", ""tr"")"),"Türkmenistan")</f>
        <v>Türkmenistan</v>
      </c>
      <c r="AI1853" s="6" t="s">
        <v>132</v>
      </c>
      <c r="AJ1853" s="6" t="s">
        <v>132</v>
      </c>
      <c r="AK1853" s="7" t="str">
        <f>IFERROR(__xludf.DUMMYFUNCTION("GOOGLETRANSLATE(C1853, ""en"", ""zh"")"),"土库曼斯坦")</f>
        <v>土库曼斯坦</v>
      </c>
      <c r="AL1853" s="6" t="s">
        <v>132</v>
      </c>
    </row>
    <row r="1854" ht="15.75" customHeight="1">
      <c r="A1854" s="1" t="s">
        <v>127</v>
      </c>
      <c r="B1854" s="1" t="s">
        <v>36931</v>
      </c>
      <c r="C1854" s="1" t="s">
        <v>36932</v>
      </c>
      <c r="D1854" s="8" t="s">
        <v>36933</v>
      </c>
      <c r="E1854" s="1" t="s">
        <v>36934</v>
      </c>
      <c r="F1854" s="6" t="s">
        <v>132</v>
      </c>
      <c r="G1854" s="1" t="s">
        <v>36935</v>
      </c>
      <c r="H1854" s="1" t="s">
        <v>36936</v>
      </c>
      <c r="I1854" s="1" t="s">
        <v>36937</v>
      </c>
      <c r="J1854" s="6" t="s">
        <v>36938</v>
      </c>
      <c r="K1854" s="1" t="s">
        <v>36939</v>
      </c>
      <c r="L1854" s="1" t="s">
        <v>36940</v>
      </c>
      <c r="M1854" s="1" t="s">
        <v>36941</v>
      </c>
      <c r="N1854" s="6" t="s">
        <v>132</v>
      </c>
      <c r="O1854" s="6" t="s">
        <v>36942</v>
      </c>
      <c r="P1854" s="1" t="s">
        <v>36943</v>
      </c>
      <c r="Q1854" s="1" t="s">
        <v>36944</v>
      </c>
      <c r="R1854" s="1" t="s">
        <v>36945</v>
      </c>
      <c r="S1854" s="10" t="s">
        <v>36946</v>
      </c>
      <c r="T1854" s="1" t="s">
        <v>36947</v>
      </c>
      <c r="U1854" s="1" t="s">
        <v>36948</v>
      </c>
      <c r="V1854" s="1" t="s">
        <v>36949</v>
      </c>
      <c r="W1854" s="1" t="s">
        <v>36950</v>
      </c>
      <c r="X1854" s="1" t="s">
        <v>36951</v>
      </c>
      <c r="Y1854" s="1" t="s">
        <v>36952</v>
      </c>
      <c r="Z1854" s="1" t="s">
        <v>36953</v>
      </c>
      <c r="AA1854" s="1" t="s">
        <v>36954</v>
      </c>
      <c r="AB1854" s="1" t="s">
        <v>36955</v>
      </c>
      <c r="AC1854" s="1" t="s">
        <v>36956</v>
      </c>
      <c r="AD1854" s="6" t="s">
        <v>36957</v>
      </c>
      <c r="AE1854" s="1" t="s">
        <v>36958</v>
      </c>
      <c r="AF1854" s="1" t="s">
        <v>36959</v>
      </c>
      <c r="AG1854" s="6" t="s">
        <v>36960</v>
      </c>
      <c r="AH1854" s="1" t="s">
        <v>36961</v>
      </c>
      <c r="AI1854" s="6" t="s">
        <v>132</v>
      </c>
      <c r="AJ1854" s="6" t="s">
        <v>36962</v>
      </c>
      <c r="AK1854" s="1" t="s">
        <v>36963</v>
      </c>
      <c r="AL1854" s="6" t="s">
        <v>36964</v>
      </c>
    </row>
    <row r="1855" ht="15.75" hidden="1" customHeight="1">
      <c r="A1855" s="1" t="s">
        <v>38</v>
      </c>
      <c r="B1855" s="1" t="s">
        <v>36965</v>
      </c>
      <c r="C1855" s="1" t="s">
        <v>36966</v>
      </c>
      <c r="D1855" s="8" t="s">
        <v>36967</v>
      </c>
      <c r="E1855" s="1" t="s">
        <v>36968</v>
      </c>
      <c r="F1855" s="6" t="s">
        <v>36969</v>
      </c>
      <c r="G1855" s="7" t="str">
        <f>IFERROR(__xludf.DUMMYFUNCTION("GOOGLETRANSLATE(C1855, ""en"", ""cs"")"),"Pokud odstraníte svůj účet, celá historie konverzace bude ztracena")</f>
        <v>Pokud odstraníte svůj účet, celá historie konverzace bude ztracena</v>
      </c>
      <c r="H1855" s="7" t="str">
        <f>IFERROR(__xludf.DUMMYFUNCTION("GOOGLETRANSLATE(C1855, ""en"", ""da"")"),"Hvis du sletter din konto, vil hele din samtalehistorie gå tabt")</f>
        <v>Hvis du sletter din konto, vil hele din samtalehistorie gå tabt</v>
      </c>
      <c r="I1855" s="1" t="s">
        <v>36970</v>
      </c>
      <c r="J1855" s="6" t="s">
        <v>132</v>
      </c>
      <c r="K1855" s="1" t="s">
        <v>36971</v>
      </c>
      <c r="L1855" s="7" t="str">
        <f>IFERROR(__xludf.DUMMYFUNCTION("GOOGLETRANSLATE(C1855, ""en"", ""fi"")"),"Jos poistat tilisi, koko keskusteluhistoria menetetään")</f>
        <v>Jos poistat tilisi, koko keskusteluhistoria menetetään</v>
      </c>
      <c r="M1855" s="1" t="s">
        <v>36972</v>
      </c>
      <c r="N1855" s="6" t="s">
        <v>36973</v>
      </c>
      <c r="O1855" s="6" t="s">
        <v>132</v>
      </c>
      <c r="P1855" s="1" t="s">
        <v>36974</v>
      </c>
      <c r="Q1855" s="7" t="str">
        <f>IFERROR(__xludf.DUMMYFUNCTION("GOOGLETRANSLATE(C1855, ""en"", ""in"")"),"Jika Anda menghapus akun Anda, seluruh riwayat percakapan Anda akan hilang")</f>
        <v>Jika Anda menghapus akun Anda, seluruh riwayat percakapan Anda akan hilang</v>
      </c>
      <c r="R1855" s="1" t="s">
        <v>36975</v>
      </c>
      <c r="S1855" s="6" t="s">
        <v>132</v>
      </c>
      <c r="T1855" s="1" t="s">
        <v>36976</v>
      </c>
      <c r="U1855" s="7" t="str">
        <f>IFERROR(__xludf.DUMMYFUNCTION("GOOGLETRANSLATE(C1855, ""en"", ""ko"")"),"계정을 삭제하면 전체 대화 기록이 손실됩니다.")</f>
        <v>계정을 삭제하면 전체 대화 기록이 손실됩니다.</v>
      </c>
      <c r="V1855" s="7" t="str">
        <f>IFERROR(__xludf.DUMMYFUNCTION("GOOGLETRANSLATE(C1855, ""en"", ""ms"")"),"Jika anda memadamkan akaun anda, keseluruhan sejarah perbualan anda akan hilang")</f>
        <v>Jika anda memadamkan akaun anda, keseluruhan sejarah perbualan anda akan hilang</v>
      </c>
      <c r="W1855" s="1" t="s">
        <v>36977</v>
      </c>
      <c r="X1855" s="7" t="str">
        <f>IFERROR(__xludf.DUMMYFUNCTION("GOOGLETRANSLATE(C1855, ""en"", ""no"")"),"Hvis du sletter kontoen din, vil hele samtalen din gå tapt")</f>
        <v>Hvis du sletter kontoen din, vil hele samtalen din gå tapt</v>
      </c>
      <c r="Y1855" s="1" t="s">
        <v>36978</v>
      </c>
      <c r="Z1855" s="1" t="s">
        <v>36979</v>
      </c>
      <c r="AA1855" s="7" t="str">
        <f>IFERROR(__xludf.DUMMYFUNCTION("GOOGLETRANSLATE(C1855, ""en"", ""ro"")"),"Dacă ștergeți contul dvs., întreaga dvs. istorică de conversație va fi pierdută")</f>
        <v>Dacă ștergeți contul dvs., întreaga dvs. istorică de conversație va fi pierdută</v>
      </c>
      <c r="AB1855" s="1" t="s">
        <v>36980</v>
      </c>
      <c r="AC1855" s="7" t="str">
        <f>IFERROR(__xludf.DUMMYFUNCTION("GOOGLETRANSLATE(C1855, ""en"", ""sk"")"),"Ak vymažete svoj účet, vaša história konverzácie sa stratí")</f>
        <v>Ak vymažete svoj účet, vaša história konverzácie sa stratí</v>
      </c>
      <c r="AD1855" s="6" t="s">
        <v>132</v>
      </c>
      <c r="AE1855" s="1" t="s">
        <v>36981</v>
      </c>
      <c r="AF1855" s="1" t="s">
        <v>36982</v>
      </c>
      <c r="AG1855" s="6" t="s">
        <v>132</v>
      </c>
      <c r="AH1855" s="7" t="str">
        <f>IFERROR(__xludf.DUMMYFUNCTION("GOOGLETRANSLATE(C1855, ""en"", ""tr"")"),"Hesabınızı silerseniz, tüm konuşma geçmişiniz kaybolur")</f>
        <v>Hesabınızı silerseniz, tüm konuşma geçmişiniz kaybolur</v>
      </c>
      <c r="AI1855" s="6" t="s">
        <v>36983</v>
      </c>
      <c r="AJ1855" s="6" t="s">
        <v>132</v>
      </c>
      <c r="AK1855" s="7" t="str">
        <f>IFERROR(__xludf.DUMMYFUNCTION("GOOGLETRANSLATE(C1855, ""en"", ""zh"")"),"如果删除帐户，您的整个对话历史将会丢失")</f>
        <v>如果删除帐户，您的整个对话历史将会丢失</v>
      </c>
      <c r="AL1855" s="6" t="s">
        <v>36984</v>
      </c>
    </row>
    <row r="1856" ht="15.75" hidden="1" customHeight="1">
      <c r="A1856" s="1" t="s">
        <v>11050</v>
      </c>
      <c r="B1856" s="1" t="s">
        <v>36985</v>
      </c>
      <c r="C1856" s="12" t="s">
        <v>132</v>
      </c>
      <c r="D1856" s="8" t="s">
        <v>36986</v>
      </c>
      <c r="E1856" s="1" t="s">
        <v>36987</v>
      </c>
      <c r="F1856" s="6" t="s">
        <v>132</v>
      </c>
      <c r="G1856" s="1" t="s">
        <v>36988</v>
      </c>
      <c r="H1856" s="1" t="s">
        <v>36989</v>
      </c>
      <c r="I1856" s="7" t="str">
        <f>IFERROR(__xludf.DUMMYFUNCTION("GOOGLETRANSLATE(C1856, ""en"", ""de"")"),"#VALUE!")</f>
        <v>#VALUE!</v>
      </c>
      <c r="J1856" s="6" t="s">
        <v>36990</v>
      </c>
      <c r="K1856" s="7" t="str">
        <f>IFERROR(__xludf.DUMMYFUNCTION("GOOGLETRANSLATE(C1856, ""en"", ""es"")"),"#VALUE!")</f>
        <v>#VALUE!</v>
      </c>
      <c r="L1856" s="1" t="s">
        <v>36991</v>
      </c>
      <c r="M1856" s="7" t="str">
        <f>IFERROR(__xludf.DUMMYFUNCTION("GOOGLETRANSLATE(C1856, ""en"", ""fr"")"),"#VALUE!")</f>
        <v>#VALUE!</v>
      </c>
      <c r="N1856" s="6" t="s">
        <v>132</v>
      </c>
      <c r="O1856" s="6" t="s">
        <v>36992</v>
      </c>
      <c r="P1856" s="7" t="str">
        <f>IFERROR(__xludf.DUMMYFUNCTION("GOOGLETRANSLATE(C1856, ""en"", ""hu"")"),"#VALUE!")</f>
        <v>#VALUE!</v>
      </c>
      <c r="Q1856" s="7" t="str">
        <f>IFERROR(__xludf.DUMMYFUNCTION("GOOGLETRANSLATE(C1856, ""en"", ""in"")"),"#VALUE!")</f>
        <v>#VALUE!</v>
      </c>
      <c r="R1856" s="7" t="str">
        <f>IFERROR(__xludf.DUMMYFUNCTION("GOOGLETRANSLATE(C1856, ""en"", ""it"")"),"#VALUE!")</f>
        <v>#VALUE!</v>
      </c>
      <c r="S1856" s="10" t="s">
        <v>36993</v>
      </c>
      <c r="T1856" s="7" t="str">
        <f>IFERROR(__xludf.DUMMYFUNCTION("GOOGLETRANSLATE(C1856, ""en"", ""ja"")"),"#VALUE!")</f>
        <v>#VALUE!</v>
      </c>
      <c r="U1856" s="1" t="s">
        <v>36994</v>
      </c>
      <c r="V1856" s="7" t="str">
        <f>IFERROR(__xludf.DUMMYFUNCTION("GOOGLETRANSLATE(C1856, ""en"", ""ms"")"),"#VALUE!")</f>
        <v>#VALUE!</v>
      </c>
      <c r="W1856" s="7" t="str">
        <f>IFERROR(__xludf.DUMMYFUNCTION("GOOGLETRANSLATE(C1856, ""en"", ""nl"")"),"#VALUE!")</f>
        <v>#VALUE!</v>
      </c>
      <c r="X1856" s="1" t="s">
        <v>36995</v>
      </c>
      <c r="Y1856" s="7" t="str">
        <f>IFERROR(__xludf.DUMMYFUNCTION("GOOGLETRANSLATE(C1856, ""en"", ""pl"")"),"#VALUE!")</f>
        <v>#VALUE!</v>
      </c>
      <c r="Z1856" s="7" t="str">
        <f>IFERROR(__xludf.DUMMYFUNCTION("GOOGLETRANSLATE(C1856, ""en"", ""pt"")"),"#VALUE!")</f>
        <v>#VALUE!</v>
      </c>
      <c r="AA1856" s="1" t="s">
        <v>36996</v>
      </c>
      <c r="AB1856" s="7" t="str">
        <f>IFERROR(__xludf.DUMMYFUNCTION("GOOGLETRANSLATE(C1856, ""en"", ""ru"")"),"#VALUE!")</f>
        <v>#VALUE!</v>
      </c>
      <c r="AC1856" s="1" t="s">
        <v>36997</v>
      </c>
      <c r="AD1856" s="6" t="s">
        <v>36998</v>
      </c>
      <c r="AE1856" s="7" t="str">
        <f>IFERROR(__xludf.DUMMYFUNCTION("GOOGLETRANSLATE(C1856, ""en"", ""sr"")"),"#VALUE!")</f>
        <v>#VALUE!</v>
      </c>
      <c r="AF1856" s="1" t="s">
        <v>36999</v>
      </c>
      <c r="AG1856" s="6" t="s">
        <v>37000</v>
      </c>
      <c r="AH1856" s="7" t="str">
        <f>IFERROR(__xludf.DUMMYFUNCTION("GOOGLETRANSLATE(C1856, ""en"", ""tr"")"),"#VALUE!")</f>
        <v>#VALUE!</v>
      </c>
      <c r="AI1856" s="6" t="s">
        <v>132</v>
      </c>
      <c r="AJ1856" s="6" t="s">
        <v>37001</v>
      </c>
      <c r="AK1856" s="7" t="str">
        <f>IFERROR(__xludf.DUMMYFUNCTION("GOOGLETRANSLATE(C1856, ""en"", ""zh"")"),"#VALUE!")</f>
        <v>#VALUE!</v>
      </c>
      <c r="AL1856" s="6" t="s">
        <v>132</v>
      </c>
    </row>
    <row r="1857" ht="15.75" customHeight="1">
      <c r="A1857" s="1" t="s">
        <v>127</v>
      </c>
      <c r="B1857" s="1" t="s">
        <v>37002</v>
      </c>
      <c r="C1857" s="13" t="s">
        <v>37003</v>
      </c>
      <c r="D1857" s="7" t="str">
        <f>IFERROR(__xludf.DUMMYFUNCTION("GOOGLETRANSLATE(C1857, ""en"", ""ar"")"),"أظهر الأخبار باللغة الإنجليزية عند اختيار اللغة غير متوفرة")</f>
        <v>أظهر الأخبار باللغة الإنجليزية عند اختيار اللغة غير متوفرة</v>
      </c>
      <c r="E1857" s="7" t="str">
        <f>IFERROR(__xludf.DUMMYFUNCTION("GOOGLETRANSLATE(C1857, ""en"", ""bg"")"),"Показване на новини на английски език, когато е избран език, който не е на разположение")</f>
        <v>Показване на новини на английски език, когато е избран език, който не е на разположение</v>
      </c>
      <c r="F1857" s="6" t="s">
        <v>132</v>
      </c>
      <c r="G1857" s="7" t="str">
        <f>IFERROR(__xludf.DUMMYFUNCTION("GOOGLETRANSLATE(C1857, ""en"", ""cs"")"),"Zobrazit zprávy v angličtině, když zvolený jazyk není k dispozici")</f>
        <v>Zobrazit zprávy v angličtině, když zvolený jazyk není k dispozici</v>
      </c>
      <c r="H1857" s="7" t="str">
        <f>IFERROR(__xludf.DUMMYFUNCTION("GOOGLETRANSLATE(C1857, ""en"", ""da"")"),"Vis nyheder på engelsk, når det valgte sprog ikke tilgængeligt")</f>
        <v>Vis nyheder på engelsk, når det valgte sprog ikke tilgængeligt</v>
      </c>
      <c r="I1857" s="1" t="s">
        <v>37004</v>
      </c>
      <c r="J1857" s="6" t="s">
        <v>132</v>
      </c>
      <c r="K1857" s="13" t="s">
        <v>37005</v>
      </c>
      <c r="L1857" s="7" t="str">
        <f>IFERROR(__xludf.DUMMYFUNCTION("GOOGLETRANSLATE(C1857, ""en"", ""fi"")"),"Näytä uutiset englanniksi, kun valittu kieli ei ole käytettävissä")</f>
        <v>Näytä uutiset englanniksi, kun valittu kieli ei ole käytettävissä</v>
      </c>
      <c r="M1857" s="13" t="s">
        <v>37006</v>
      </c>
      <c r="N1857" s="6" t="s">
        <v>132</v>
      </c>
      <c r="O1857" s="6" t="s">
        <v>132</v>
      </c>
      <c r="P1857" s="1" t="s">
        <v>37007</v>
      </c>
      <c r="Q1857" s="1" t="s">
        <v>37008</v>
      </c>
      <c r="R1857" s="1" t="s">
        <v>37009</v>
      </c>
      <c r="S1857" s="6" t="s">
        <v>132</v>
      </c>
      <c r="T1857" s="1" t="s">
        <v>37010</v>
      </c>
      <c r="U1857" s="7" t="str">
        <f>IFERROR(__xludf.DUMMYFUNCTION("GOOGLETRANSLATE(C1857, ""en"", ""ko"")"),"선택한 언어를 사용할 수 없을 때 영어로 뉴스를 보여줍니다")</f>
        <v>선택한 언어를 사용할 수 없을 때 영어로 뉴스를 보여줍니다</v>
      </c>
      <c r="V1857" s="1" t="s">
        <v>37011</v>
      </c>
      <c r="W1857" s="1" t="s">
        <v>37012</v>
      </c>
      <c r="X1857" s="7" t="str">
        <f>IFERROR(__xludf.DUMMYFUNCTION("GOOGLETRANSLATE(C1857, ""en"", ""no"")"),"Vis nyheter på engelsk når valgt språk ikke tilgjengelig")</f>
        <v>Vis nyheter på engelsk når valgt språk ikke tilgjengelig</v>
      </c>
      <c r="Y1857" s="11" t="s">
        <v>37013</v>
      </c>
      <c r="Z1857" s="1" t="s">
        <v>37014</v>
      </c>
      <c r="AA1857" s="7" t="str">
        <f>IFERROR(__xludf.DUMMYFUNCTION("GOOGLETRANSLATE(C1857, ""en"", ""ro"")"),"Afișați știri în limba engleză atunci când limbajul ales nu este disponibil")</f>
        <v>Afișați știri în limba engleză atunci când limbajul ales nu este disponibil</v>
      </c>
      <c r="AB1857" s="13" t="s">
        <v>37015</v>
      </c>
      <c r="AC1857" s="7" t="str">
        <f>IFERROR(__xludf.DUMMYFUNCTION("GOOGLETRANSLATE(C1857, ""en"", ""sk"")"),"Zobraziť novinky v angličtine pri zvolenom jazyku nie je k dispozícii")</f>
        <v>Zobraziť novinky v angličtine pri zvolenom jazyku nie je k dispozícii</v>
      </c>
      <c r="AD1857" s="6" t="s">
        <v>132</v>
      </c>
      <c r="AE1857" s="7" t="str">
        <f>IFERROR(__xludf.DUMMYFUNCTION("GOOGLETRANSLATE(C1857, ""en"", ""sr"")"),"Прикажи вести на енглеском језику када изабрани језик није доступан")</f>
        <v>Прикажи вести на енглеском језику када изабрани језик није доступан</v>
      </c>
      <c r="AF1857" s="11" t="s">
        <v>37016</v>
      </c>
      <c r="AG1857" s="6" t="s">
        <v>132</v>
      </c>
      <c r="AH1857" s="1" t="s">
        <v>37017</v>
      </c>
      <c r="AI1857" s="6" t="s">
        <v>132</v>
      </c>
      <c r="AJ1857" s="6" t="s">
        <v>132</v>
      </c>
      <c r="AK1857" s="14" t="s">
        <v>37018</v>
      </c>
      <c r="AL1857" s="6" t="s">
        <v>132</v>
      </c>
    </row>
    <row r="1858" ht="15.75" customHeight="1">
      <c r="A1858" s="1" t="s">
        <v>127</v>
      </c>
      <c r="B1858" s="1" t="s">
        <v>37019</v>
      </c>
      <c r="C1858" s="1" t="s">
        <v>37020</v>
      </c>
      <c r="D1858" s="8" t="s">
        <v>37021</v>
      </c>
      <c r="E1858" s="1" t="s">
        <v>37022</v>
      </c>
      <c r="F1858" s="6" t="s">
        <v>132</v>
      </c>
      <c r="G1858" s="1" t="s">
        <v>37023</v>
      </c>
      <c r="H1858" s="1" t="s">
        <v>37024</v>
      </c>
      <c r="I1858" s="1" t="s">
        <v>37025</v>
      </c>
      <c r="J1858" s="6" t="s">
        <v>37026</v>
      </c>
      <c r="K1858" s="1" t="s">
        <v>37027</v>
      </c>
      <c r="L1858" s="1" t="s">
        <v>37028</v>
      </c>
      <c r="M1858" s="1" t="s">
        <v>37029</v>
      </c>
      <c r="N1858" s="6" t="s">
        <v>132</v>
      </c>
      <c r="O1858" s="6" t="s">
        <v>37030</v>
      </c>
      <c r="P1858" s="1" t="s">
        <v>37031</v>
      </c>
      <c r="Q1858" s="1" t="s">
        <v>37032</v>
      </c>
      <c r="R1858" s="1" t="s">
        <v>37033</v>
      </c>
      <c r="S1858" s="10" t="s">
        <v>37034</v>
      </c>
      <c r="T1858" s="1" t="s">
        <v>37035</v>
      </c>
      <c r="U1858" s="1" t="s">
        <v>37036</v>
      </c>
      <c r="V1858" s="1" t="s">
        <v>37037</v>
      </c>
      <c r="W1858" s="1" t="s">
        <v>37038</v>
      </c>
      <c r="X1858" s="1" t="s">
        <v>37039</v>
      </c>
      <c r="Y1858" s="1" t="s">
        <v>37040</v>
      </c>
      <c r="Z1858" s="1" t="s">
        <v>37041</v>
      </c>
      <c r="AA1858" s="1" t="s">
        <v>37042</v>
      </c>
      <c r="AB1858" s="1" t="s">
        <v>37043</v>
      </c>
      <c r="AC1858" s="1" t="s">
        <v>37044</v>
      </c>
      <c r="AD1858" s="6" t="s">
        <v>37045</v>
      </c>
      <c r="AE1858" s="1" t="s">
        <v>37046</v>
      </c>
      <c r="AF1858" s="1" t="s">
        <v>37047</v>
      </c>
      <c r="AG1858" s="6" t="s">
        <v>37048</v>
      </c>
      <c r="AH1858" s="1" t="s">
        <v>37049</v>
      </c>
      <c r="AI1858" s="6" t="s">
        <v>132</v>
      </c>
      <c r="AJ1858" s="6" t="s">
        <v>37050</v>
      </c>
      <c r="AK1858" s="1" t="s">
        <v>37051</v>
      </c>
      <c r="AL1858" s="6" t="s">
        <v>132</v>
      </c>
    </row>
    <row r="1859" ht="15.75" customHeight="1">
      <c r="A1859" s="1" t="s">
        <v>127</v>
      </c>
      <c r="B1859" s="1" t="s">
        <v>37052</v>
      </c>
      <c r="C1859" s="1" t="s">
        <v>37053</v>
      </c>
      <c r="D1859" s="8" t="s">
        <v>19204</v>
      </c>
      <c r="E1859" s="1" t="s">
        <v>37054</v>
      </c>
      <c r="F1859" s="6" t="s">
        <v>132</v>
      </c>
      <c r="G1859" s="1" t="s">
        <v>37055</v>
      </c>
      <c r="H1859" s="1" t="s">
        <v>37056</v>
      </c>
      <c r="I1859" s="1" t="s">
        <v>37057</v>
      </c>
      <c r="J1859" s="6" t="s">
        <v>37058</v>
      </c>
      <c r="K1859" s="1" t="s">
        <v>37059</v>
      </c>
      <c r="L1859" s="1" t="s">
        <v>37060</v>
      </c>
      <c r="M1859" s="1" t="s">
        <v>37061</v>
      </c>
      <c r="N1859" s="6" t="s">
        <v>132</v>
      </c>
      <c r="O1859" s="6" t="s">
        <v>37062</v>
      </c>
      <c r="P1859" s="1" t="s">
        <v>37063</v>
      </c>
      <c r="Q1859" s="1" t="s">
        <v>37064</v>
      </c>
      <c r="R1859" s="1" t="s">
        <v>37065</v>
      </c>
      <c r="S1859" s="10" t="s">
        <v>37066</v>
      </c>
      <c r="T1859" s="1" t="s">
        <v>37067</v>
      </c>
      <c r="U1859" s="1" t="s">
        <v>37068</v>
      </c>
      <c r="V1859" s="1" t="s">
        <v>37069</v>
      </c>
      <c r="W1859" s="1" t="s">
        <v>37070</v>
      </c>
      <c r="X1859" s="1" t="s">
        <v>37056</v>
      </c>
      <c r="Y1859" s="1" t="s">
        <v>37071</v>
      </c>
      <c r="Z1859" s="1" t="s">
        <v>37072</v>
      </c>
      <c r="AA1859" s="1" t="s">
        <v>37073</v>
      </c>
      <c r="AB1859" s="1" t="s">
        <v>37074</v>
      </c>
      <c r="AC1859" s="1" t="s">
        <v>37075</v>
      </c>
      <c r="AD1859" s="6" t="s">
        <v>37076</v>
      </c>
      <c r="AE1859" s="1" t="s">
        <v>37077</v>
      </c>
      <c r="AF1859" s="1" t="s">
        <v>19224</v>
      </c>
      <c r="AG1859" s="6" t="s">
        <v>37078</v>
      </c>
      <c r="AH1859" s="1" t="s">
        <v>37079</v>
      </c>
      <c r="AI1859" s="6" t="s">
        <v>132</v>
      </c>
      <c r="AJ1859" s="6" t="s">
        <v>19227</v>
      </c>
      <c r="AK1859" s="1" t="s">
        <v>37080</v>
      </c>
      <c r="AL1859" s="6" t="s">
        <v>37081</v>
      </c>
    </row>
    <row r="1860" ht="15.75" hidden="1" customHeight="1">
      <c r="A1860" s="1" t="s">
        <v>38</v>
      </c>
      <c r="B1860" s="1" t="s">
        <v>37082</v>
      </c>
      <c r="C1860" s="1" t="s">
        <v>37083</v>
      </c>
      <c r="D1860" s="8" t="s">
        <v>37084</v>
      </c>
      <c r="E1860" s="1" t="s">
        <v>37085</v>
      </c>
      <c r="F1860" s="6" t="s">
        <v>37086</v>
      </c>
      <c r="G1860" s="7" t="str">
        <f>IFERROR(__xludf.DUMMYFUNCTION("GOOGLETRANSLATE(C1860, ""en"", ""cs"")"),"Odesílání ...")</f>
        <v>Odesílání ...</v>
      </c>
      <c r="H1860" s="7" t="str">
        <f>IFERROR(__xludf.DUMMYFUNCTION("GOOGLETRANSLATE(C1860, ""en"", ""da"")"),"Sende ...")</f>
        <v>Sende ...</v>
      </c>
      <c r="I1860" s="1" t="s">
        <v>37087</v>
      </c>
      <c r="J1860" s="6" t="s">
        <v>132</v>
      </c>
      <c r="K1860" s="1" t="s">
        <v>37088</v>
      </c>
      <c r="L1860" s="7" t="str">
        <f>IFERROR(__xludf.DUMMYFUNCTION("GOOGLETRANSLATE(C1860, ""en"", ""fi"")"),"Lähettäminen ...")</f>
        <v>Lähettäminen ...</v>
      </c>
      <c r="M1860" s="1" t="s">
        <v>37089</v>
      </c>
      <c r="N1860" s="6" t="s">
        <v>37088</v>
      </c>
      <c r="O1860" s="6" t="s">
        <v>132</v>
      </c>
      <c r="P1860" s="1" t="s">
        <v>37090</v>
      </c>
      <c r="Q1860" s="9" t="s">
        <v>37091</v>
      </c>
      <c r="R1860" s="1" t="s">
        <v>37092</v>
      </c>
      <c r="S1860" s="6" t="s">
        <v>132</v>
      </c>
      <c r="T1860" s="1" t="s">
        <v>37093</v>
      </c>
      <c r="U1860" s="1" t="s">
        <v>37094</v>
      </c>
      <c r="V1860" s="7" t="str">
        <f>IFERROR(__xludf.DUMMYFUNCTION("GOOGLETRANSLATE(C1860, ""en"", ""ms"")"),"Menghantar ...")</f>
        <v>Menghantar ...</v>
      </c>
      <c r="W1860" s="1" t="s">
        <v>37095</v>
      </c>
      <c r="X1860" s="7" t="str">
        <f>IFERROR(__xludf.DUMMYFUNCTION("GOOGLETRANSLATE(C1860, ""en"", ""no"")"),"Sende ...")</f>
        <v>Sende ...</v>
      </c>
      <c r="Y1860" s="1" t="s">
        <v>37096</v>
      </c>
      <c r="Z1860" s="1" t="s">
        <v>37097</v>
      </c>
      <c r="AA1860" s="7" t="str">
        <f>IFERROR(__xludf.DUMMYFUNCTION("GOOGLETRANSLATE(C1860, ""en"", ""ro"")"),"Trimiterea ...")</f>
        <v>Trimiterea ...</v>
      </c>
      <c r="AB1860" s="1" t="s">
        <v>37098</v>
      </c>
      <c r="AC1860" s="1" t="s">
        <v>37099</v>
      </c>
      <c r="AD1860" s="6" t="s">
        <v>132</v>
      </c>
      <c r="AE1860" s="1" t="s">
        <v>37100</v>
      </c>
      <c r="AF1860" s="1" t="s">
        <v>37101</v>
      </c>
      <c r="AG1860" s="6" t="s">
        <v>132</v>
      </c>
      <c r="AH1860" s="7" t="str">
        <f>IFERROR(__xludf.DUMMYFUNCTION("GOOGLETRANSLATE(C1860, ""en"", ""tr"")"),"Gönderme ...")</f>
        <v>Gönderme ...</v>
      </c>
      <c r="AI1860" s="6" t="s">
        <v>37102</v>
      </c>
      <c r="AJ1860" s="6" t="s">
        <v>37103</v>
      </c>
      <c r="AK1860" s="7" t="str">
        <f>IFERROR(__xludf.DUMMYFUNCTION("GOOGLETRANSLATE(C1860, ""en"", ""zh"")"),"发送......")</f>
        <v>发送......</v>
      </c>
      <c r="AL1860" s="6" t="s">
        <v>37104</v>
      </c>
    </row>
    <row r="1861" ht="15.75" customHeight="1">
      <c r="A1861" s="1" t="s">
        <v>127</v>
      </c>
      <c r="B1861" s="1" t="s">
        <v>37105</v>
      </c>
      <c r="C1861" s="1" t="s">
        <v>37106</v>
      </c>
      <c r="D1861" s="8" t="s">
        <v>37107</v>
      </c>
      <c r="E1861" s="1" t="s">
        <v>37108</v>
      </c>
      <c r="F1861" s="6" t="s">
        <v>132</v>
      </c>
      <c r="G1861" s="1" t="s">
        <v>37109</v>
      </c>
      <c r="H1861" s="1" t="s">
        <v>37110</v>
      </c>
      <c r="I1861" s="1" t="s">
        <v>37111</v>
      </c>
      <c r="J1861" s="6" t="s">
        <v>37112</v>
      </c>
      <c r="K1861" s="1" t="s">
        <v>37113</v>
      </c>
      <c r="L1861" s="1" t="s">
        <v>37114</v>
      </c>
      <c r="M1861" s="1" t="s">
        <v>37115</v>
      </c>
      <c r="N1861" s="6" t="s">
        <v>132</v>
      </c>
      <c r="O1861" s="6" t="s">
        <v>37116</v>
      </c>
      <c r="P1861" s="1" t="s">
        <v>37117</v>
      </c>
      <c r="Q1861" s="1" t="s">
        <v>37118</v>
      </c>
      <c r="R1861" s="1" t="s">
        <v>37119</v>
      </c>
      <c r="S1861" s="10" t="s">
        <v>37120</v>
      </c>
      <c r="T1861" s="1" t="s">
        <v>37121</v>
      </c>
      <c r="U1861" s="1" t="s">
        <v>37122</v>
      </c>
      <c r="V1861" s="1" t="s">
        <v>37123</v>
      </c>
      <c r="W1861" s="1" t="s">
        <v>37124</v>
      </c>
      <c r="X1861" s="1" t="s">
        <v>37110</v>
      </c>
      <c r="Y1861" s="1" t="s">
        <v>37125</v>
      </c>
      <c r="Z1861" s="1" t="s">
        <v>37126</v>
      </c>
      <c r="AA1861" s="1" t="s">
        <v>37127</v>
      </c>
      <c r="AB1861" s="1" t="s">
        <v>37128</v>
      </c>
      <c r="AC1861" s="1" t="s">
        <v>37129</v>
      </c>
      <c r="AD1861" s="6" t="s">
        <v>37130</v>
      </c>
      <c r="AE1861" s="1" t="s">
        <v>37106</v>
      </c>
      <c r="AF1861" s="1" t="s">
        <v>37131</v>
      </c>
      <c r="AG1861" s="6" t="s">
        <v>37132</v>
      </c>
      <c r="AH1861" s="1" t="s">
        <v>37133</v>
      </c>
      <c r="AI1861" s="6" t="s">
        <v>132</v>
      </c>
      <c r="AJ1861" s="6" t="s">
        <v>37134</v>
      </c>
      <c r="AK1861" s="1" t="s">
        <v>37135</v>
      </c>
      <c r="AL1861" s="6" t="s">
        <v>37136</v>
      </c>
    </row>
    <row r="1862" ht="15.75" customHeight="1">
      <c r="A1862" s="1" t="s">
        <v>127</v>
      </c>
      <c r="B1862" s="1" t="s">
        <v>37137</v>
      </c>
      <c r="C1862" s="1" t="s">
        <v>1088</v>
      </c>
      <c r="D1862" s="8" t="s">
        <v>1089</v>
      </c>
      <c r="E1862" s="1" t="s">
        <v>1090</v>
      </c>
      <c r="F1862" s="6" t="s">
        <v>132</v>
      </c>
      <c r="G1862" s="1" t="s">
        <v>1091</v>
      </c>
      <c r="H1862" s="1" t="s">
        <v>1092</v>
      </c>
      <c r="I1862" s="1" t="s">
        <v>1093</v>
      </c>
      <c r="J1862" s="6" t="s">
        <v>1094</v>
      </c>
      <c r="K1862" s="1" t="s">
        <v>1095</v>
      </c>
      <c r="L1862" s="1" t="s">
        <v>1096</v>
      </c>
      <c r="M1862" s="1" t="s">
        <v>1097</v>
      </c>
      <c r="N1862" s="6" t="s">
        <v>132</v>
      </c>
      <c r="O1862" s="6" t="s">
        <v>1098</v>
      </c>
      <c r="P1862" s="1" t="s">
        <v>1099</v>
      </c>
      <c r="Q1862" s="1" t="s">
        <v>1100</v>
      </c>
      <c r="R1862" s="1" t="s">
        <v>1101</v>
      </c>
      <c r="S1862" s="10" t="s">
        <v>1102</v>
      </c>
      <c r="T1862" s="1" t="s">
        <v>1103</v>
      </c>
      <c r="U1862" s="1" t="s">
        <v>1104</v>
      </c>
      <c r="V1862" s="1" t="s">
        <v>1100</v>
      </c>
      <c r="W1862" s="1" t="s">
        <v>1092</v>
      </c>
      <c r="X1862" s="1" t="s">
        <v>1092</v>
      </c>
      <c r="Y1862" s="1" t="s">
        <v>1105</v>
      </c>
      <c r="Z1862" s="1" t="s">
        <v>37138</v>
      </c>
      <c r="AA1862" s="1" t="s">
        <v>1107</v>
      </c>
      <c r="AB1862" s="1" t="s">
        <v>1108</v>
      </c>
      <c r="AC1862" s="1" t="s">
        <v>1109</v>
      </c>
      <c r="AD1862" s="6" t="s">
        <v>1110</v>
      </c>
      <c r="AE1862" s="1" t="s">
        <v>1110</v>
      </c>
      <c r="AF1862" s="1" t="s">
        <v>1092</v>
      </c>
      <c r="AG1862" s="6" t="s">
        <v>1111</v>
      </c>
      <c r="AH1862" s="1" t="s">
        <v>1112</v>
      </c>
      <c r="AI1862" s="6" t="s">
        <v>132</v>
      </c>
      <c r="AJ1862" s="6" t="s">
        <v>1113</v>
      </c>
      <c r="AK1862" s="1" t="s">
        <v>1103</v>
      </c>
      <c r="AL1862" s="6" t="s">
        <v>37139</v>
      </c>
    </row>
    <row r="1863" ht="15.75" customHeight="1">
      <c r="A1863" s="1" t="s">
        <v>127</v>
      </c>
      <c r="B1863" s="1" t="s">
        <v>37140</v>
      </c>
      <c r="C1863" s="1" t="s">
        <v>37141</v>
      </c>
      <c r="D1863" s="8" t="s">
        <v>37142</v>
      </c>
      <c r="E1863" s="1" t="s">
        <v>37141</v>
      </c>
      <c r="F1863" s="6" t="s">
        <v>132</v>
      </c>
      <c r="G1863" s="1" t="s">
        <v>37141</v>
      </c>
      <c r="H1863" s="1" t="s">
        <v>37141</v>
      </c>
      <c r="I1863" s="1" t="s">
        <v>37143</v>
      </c>
      <c r="J1863" s="6" t="s">
        <v>37141</v>
      </c>
      <c r="K1863" s="1" t="s">
        <v>37141</v>
      </c>
      <c r="L1863" s="1" t="s">
        <v>37144</v>
      </c>
      <c r="M1863" s="1" t="s">
        <v>37141</v>
      </c>
      <c r="N1863" s="6" t="s">
        <v>132</v>
      </c>
      <c r="O1863" s="6" t="s">
        <v>25083</v>
      </c>
      <c r="P1863" s="1" t="s">
        <v>37145</v>
      </c>
      <c r="Q1863" s="1" t="s">
        <v>37141</v>
      </c>
      <c r="R1863" s="1" t="s">
        <v>37141</v>
      </c>
      <c r="S1863" s="10" t="s">
        <v>37146</v>
      </c>
      <c r="T1863" s="1" t="s">
        <v>37147</v>
      </c>
      <c r="U1863" s="1" t="s">
        <v>28565</v>
      </c>
      <c r="V1863" s="1" t="s">
        <v>37141</v>
      </c>
      <c r="W1863" s="1" t="s">
        <v>37148</v>
      </c>
      <c r="X1863" s="1" t="s">
        <v>37144</v>
      </c>
      <c r="Y1863" s="1" t="s">
        <v>37149</v>
      </c>
      <c r="Z1863" s="1" t="s">
        <v>37141</v>
      </c>
      <c r="AA1863" s="1" t="s">
        <v>37141</v>
      </c>
      <c r="AB1863" s="1" t="s">
        <v>37150</v>
      </c>
      <c r="AC1863" s="1" t="s">
        <v>37151</v>
      </c>
      <c r="AD1863" s="6" t="s">
        <v>37141</v>
      </c>
      <c r="AE1863" s="1" t="s">
        <v>37152</v>
      </c>
      <c r="AF1863" s="1" t="s">
        <v>37153</v>
      </c>
      <c r="AG1863" s="6" t="s">
        <v>28572</v>
      </c>
      <c r="AH1863" s="1" t="s">
        <v>37154</v>
      </c>
      <c r="AI1863" s="6" t="s">
        <v>132</v>
      </c>
      <c r="AJ1863" s="6" t="s">
        <v>33089</v>
      </c>
      <c r="AK1863" s="1" t="s">
        <v>28575</v>
      </c>
      <c r="AL1863" s="6" t="s">
        <v>132</v>
      </c>
    </row>
    <row r="1864" ht="15.75" hidden="1" customHeight="1">
      <c r="A1864" s="1" t="s">
        <v>38</v>
      </c>
      <c r="B1864" s="1" t="s">
        <v>23</v>
      </c>
      <c r="C1864" s="1" t="s">
        <v>3338</v>
      </c>
      <c r="D1864" s="7" t="str">
        <f>IFERROR(__xludf.DUMMYFUNCTION("GOOGLETRANSLATE(C1864, ""en"", ""ar"")"),"لا")</f>
        <v>لا</v>
      </c>
      <c r="E1864" s="1" t="s">
        <v>37155</v>
      </c>
      <c r="F1864" s="6" t="s">
        <v>132</v>
      </c>
      <c r="G1864" s="7" t="str">
        <f>IFERROR(__xludf.DUMMYFUNCTION("GOOGLETRANSLATE(C1864, ""en"", ""cs"")"),"Ne")</f>
        <v>Ne</v>
      </c>
      <c r="H1864" s="7" t="str">
        <f>IFERROR(__xludf.DUMMYFUNCTION("GOOGLETRANSLATE(C1864, ""en"", ""da"")"),"Ingen")</f>
        <v>Ingen</v>
      </c>
      <c r="I1864" s="1" t="s">
        <v>37156</v>
      </c>
      <c r="J1864" s="6" t="s">
        <v>132</v>
      </c>
      <c r="K1864" s="1" t="s">
        <v>3338</v>
      </c>
      <c r="L1864" s="7" t="str">
        <f>IFERROR(__xludf.DUMMYFUNCTION("GOOGLETRANSLATE(C1864, ""en"", ""fi"")"),"Ei")</f>
        <v>Ei</v>
      </c>
      <c r="M1864" s="7" t="str">
        <f>IFERROR(__xludf.DUMMYFUNCTION("GOOGLETRANSLATE(C1864, ""en"", ""fr"")"),"Non")</f>
        <v>Non</v>
      </c>
      <c r="N1864" s="6" t="s">
        <v>37157</v>
      </c>
      <c r="O1864" s="6" t="s">
        <v>132</v>
      </c>
      <c r="P1864" s="1" t="s">
        <v>37158</v>
      </c>
      <c r="Q1864" s="7" t="str">
        <f>IFERROR(__xludf.DUMMYFUNCTION("GOOGLETRANSLATE(C1864, ""en"", ""in"")"),"Tidak")</f>
        <v>Tidak</v>
      </c>
      <c r="R1864" s="1" t="s">
        <v>3338</v>
      </c>
      <c r="S1864" s="6" t="s">
        <v>132</v>
      </c>
      <c r="T1864" s="1" t="s">
        <v>3613</v>
      </c>
      <c r="U1864" s="7" t="str">
        <f>IFERROR(__xludf.DUMMYFUNCTION("GOOGLETRANSLATE(C1864, ""en"", ""ko"")"),"아니")</f>
        <v>아니</v>
      </c>
      <c r="V1864" s="7" t="str">
        <f>IFERROR(__xludf.DUMMYFUNCTION("GOOGLETRANSLATE(C1864, ""en"", ""ms"")"),"Tidak")</f>
        <v>Tidak</v>
      </c>
      <c r="W1864" s="1" t="s">
        <v>37159</v>
      </c>
      <c r="X1864" s="7" t="str">
        <f>IFERROR(__xludf.DUMMYFUNCTION("GOOGLETRANSLATE(C1864, ""en"", ""no"")"),"Nei")</f>
        <v>Nei</v>
      </c>
      <c r="Y1864" s="1" t="s">
        <v>37160</v>
      </c>
      <c r="Z1864" s="7" t="str">
        <f>IFERROR(__xludf.DUMMYFUNCTION("GOOGLETRANSLATE(C1864, ""en"", ""pt"")"),"Não")</f>
        <v>Não</v>
      </c>
      <c r="AA1864" s="7" t="str">
        <f>IFERROR(__xludf.DUMMYFUNCTION("GOOGLETRANSLATE(C1864, ""en"", ""ro"")"),"Nu")</f>
        <v>Nu</v>
      </c>
      <c r="AB1864" s="7" t="str">
        <f>IFERROR(__xludf.DUMMYFUNCTION("GOOGLETRANSLATE(C1864, ""en"", ""ru"")"),"Нет")</f>
        <v>Нет</v>
      </c>
      <c r="AC1864" s="7" t="str">
        <f>IFERROR(__xludf.DUMMYFUNCTION("GOOGLETRANSLATE(C1864, ""en"", ""sk"")"),"Nie")</f>
        <v>Nie</v>
      </c>
      <c r="AD1864" s="6" t="s">
        <v>132</v>
      </c>
      <c r="AE1864" s="7" t="str">
        <f>IFERROR(__xludf.DUMMYFUNCTION("GOOGLETRANSLATE(C1864, ""en"", ""sr"")"),"Не")</f>
        <v>Не</v>
      </c>
      <c r="AF1864" s="7" t="str">
        <f>IFERROR(__xludf.DUMMYFUNCTION("GOOGLETRANSLATE(C1864, ""en"", ""sv"")"),"Nej")</f>
        <v>Nej</v>
      </c>
      <c r="AG1864" s="6" t="s">
        <v>132</v>
      </c>
      <c r="AH1864" s="7" t="str">
        <f>IFERROR(__xludf.DUMMYFUNCTION("GOOGLETRANSLATE(C1864, ""en"", ""tr"")"),"Hayır")</f>
        <v>Hayır</v>
      </c>
      <c r="AI1864" s="6" t="s">
        <v>132</v>
      </c>
      <c r="AJ1864" s="6" t="s">
        <v>132</v>
      </c>
      <c r="AK1864" s="7" t="str">
        <f>IFERROR(__xludf.DUMMYFUNCTION("GOOGLETRANSLATE(C1864, ""en"", ""zh"")"),"不")</f>
        <v>不</v>
      </c>
      <c r="AL1864" s="6" t="s">
        <v>132</v>
      </c>
    </row>
    <row r="1865" ht="15.75" hidden="1" customHeight="1">
      <c r="A1865" s="1" t="s">
        <v>38</v>
      </c>
      <c r="B1865" s="1" t="s">
        <v>37161</v>
      </c>
      <c r="C1865" s="1" t="s">
        <v>37162</v>
      </c>
      <c r="D1865" s="8" t="s">
        <v>37163</v>
      </c>
      <c r="E1865" s="1" t="s">
        <v>37164</v>
      </c>
      <c r="F1865" s="6" t="s">
        <v>37165</v>
      </c>
      <c r="G1865" s="7" t="str">
        <f>IFERROR(__xludf.DUMMYFUNCTION("GOOGLETRANSLATE(C1865, ""en"", ""cs"")"),"Zobrazit kontaktní údaje")</f>
        <v>Zobrazit kontaktní údaje</v>
      </c>
      <c r="H1865" s="7" t="str">
        <f>IFERROR(__xludf.DUMMYFUNCTION("GOOGLETRANSLATE(C1865, ""en"", ""da"")"),"Se kontaktoplysninger.")</f>
        <v>Se kontaktoplysninger.</v>
      </c>
      <c r="I1865" s="1" t="s">
        <v>37166</v>
      </c>
      <c r="J1865" s="6" t="s">
        <v>132</v>
      </c>
      <c r="K1865" s="1" t="s">
        <v>37167</v>
      </c>
      <c r="L1865" s="7" t="str">
        <f>IFERROR(__xludf.DUMMYFUNCTION("GOOGLETRANSLATE(C1865, ""en"", ""fi"")"),"Näytä yhteystiedot")</f>
        <v>Näytä yhteystiedot</v>
      </c>
      <c r="M1865" s="1" t="s">
        <v>37168</v>
      </c>
      <c r="N1865" s="6" t="s">
        <v>37169</v>
      </c>
      <c r="O1865" s="6" t="s">
        <v>132</v>
      </c>
      <c r="P1865" s="1" t="s">
        <v>37170</v>
      </c>
      <c r="Q1865" s="9" t="s">
        <v>37171</v>
      </c>
      <c r="R1865" s="1" t="s">
        <v>37172</v>
      </c>
      <c r="S1865" s="6" t="s">
        <v>132</v>
      </c>
      <c r="T1865" s="1" t="s">
        <v>37173</v>
      </c>
      <c r="U1865" s="1" t="s">
        <v>37174</v>
      </c>
      <c r="V1865" s="7" t="str">
        <f>IFERROR(__xludf.DUMMYFUNCTION("GOOGLETRANSLATE(C1865, ""en"", ""ms"")"),"Lihat butiran hubungan")</f>
        <v>Lihat butiran hubungan</v>
      </c>
      <c r="W1865" s="1" t="s">
        <v>37175</v>
      </c>
      <c r="X1865" s="7" t="str">
        <f>IFERROR(__xludf.DUMMYFUNCTION("GOOGLETRANSLATE(C1865, ""en"", ""no"")"),"Se kontaktdetaljer")</f>
        <v>Se kontaktdetaljer</v>
      </c>
      <c r="Y1865" s="1" t="s">
        <v>7255</v>
      </c>
      <c r="Z1865" s="1" t="s">
        <v>37176</v>
      </c>
      <c r="AA1865" s="7" t="str">
        <f>IFERROR(__xludf.DUMMYFUNCTION("GOOGLETRANSLATE(C1865, ""en"", ""ro"")"),"Vizualizați detaliile de contact")</f>
        <v>Vizualizați detaliile de contact</v>
      </c>
      <c r="AB1865" s="1" t="s">
        <v>37177</v>
      </c>
      <c r="AC1865" s="1" t="s">
        <v>37178</v>
      </c>
      <c r="AD1865" s="6" t="s">
        <v>132</v>
      </c>
      <c r="AE1865" s="1" t="s">
        <v>37179</v>
      </c>
      <c r="AF1865" s="1" t="s">
        <v>37180</v>
      </c>
      <c r="AG1865" s="6" t="s">
        <v>132</v>
      </c>
      <c r="AH1865" s="7" t="str">
        <f>IFERROR(__xludf.DUMMYFUNCTION("GOOGLETRANSLATE(C1865, ""en"", ""tr"")"),"İletişim bilgilerini görüntüle")</f>
        <v>İletişim bilgilerini görüntüle</v>
      </c>
      <c r="AI1865" s="6" t="s">
        <v>37181</v>
      </c>
      <c r="AJ1865" s="6" t="s">
        <v>37182</v>
      </c>
      <c r="AK1865" s="7" t="str">
        <f>IFERROR(__xludf.DUMMYFUNCTION("GOOGLETRANSLATE(C1865, ""en"", ""zh"")"),"查看联系方式")</f>
        <v>查看联系方式</v>
      </c>
      <c r="AL1865" s="6" t="s">
        <v>37183</v>
      </c>
    </row>
    <row r="1866" ht="15.75" customHeight="1">
      <c r="A1866" s="1" t="s">
        <v>127</v>
      </c>
      <c r="B1866" s="1" t="s">
        <v>37184</v>
      </c>
      <c r="C1866" s="1" t="s">
        <v>25832</v>
      </c>
      <c r="D1866" s="8" t="s">
        <v>25833</v>
      </c>
      <c r="E1866" s="1" t="s">
        <v>25834</v>
      </c>
      <c r="F1866" s="6" t="s">
        <v>132</v>
      </c>
      <c r="G1866" s="1" t="s">
        <v>25835</v>
      </c>
      <c r="H1866" s="1" t="s">
        <v>25836</v>
      </c>
      <c r="I1866" s="1" t="s">
        <v>25837</v>
      </c>
      <c r="J1866" s="6" t="s">
        <v>25838</v>
      </c>
      <c r="K1866" s="1" t="s">
        <v>25852</v>
      </c>
      <c r="L1866" s="1" t="s">
        <v>25840</v>
      </c>
      <c r="M1866" s="1" t="s">
        <v>25841</v>
      </c>
      <c r="N1866" s="6" t="s">
        <v>132</v>
      </c>
      <c r="O1866" s="6" t="s">
        <v>25842</v>
      </c>
      <c r="P1866" s="1" t="s">
        <v>25843</v>
      </c>
      <c r="Q1866" s="1" t="s">
        <v>25844</v>
      </c>
      <c r="R1866" s="1" t="s">
        <v>25845</v>
      </c>
      <c r="S1866" s="10" t="s">
        <v>25846</v>
      </c>
      <c r="T1866" s="1" t="s">
        <v>37185</v>
      </c>
      <c r="U1866" s="1" t="s">
        <v>25848</v>
      </c>
      <c r="V1866" s="1" t="s">
        <v>25844</v>
      </c>
      <c r="W1866" s="1" t="s">
        <v>25849</v>
      </c>
      <c r="X1866" s="1" t="s">
        <v>25850</v>
      </c>
      <c r="Y1866" s="1" t="s">
        <v>25851</v>
      </c>
      <c r="Z1866" s="1" t="s">
        <v>25852</v>
      </c>
      <c r="AA1866" s="1" t="s">
        <v>25853</v>
      </c>
      <c r="AB1866" s="1" t="s">
        <v>25854</v>
      </c>
      <c r="AC1866" s="1" t="s">
        <v>25855</v>
      </c>
      <c r="AD1866" s="6" t="s">
        <v>25856</v>
      </c>
      <c r="AE1866" s="1" t="s">
        <v>25856</v>
      </c>
      <c r="AF1866" s="1" t="s">
        <v>25837</v>
      </c>
      <c r="AG1866" s="6" t="s">
        <v>25857</v>
      </c>
      <c r="AH1866" s="1" t="s">
        <v>25858</v>
      </c>
      <c r="AI1866" s="6" t="s">
        <v>132</v>
      </c>
      <c r="AJ1866" s="6" t="s">
        <v>25859</v>
      </c>
      <c r="AK1866" s="1" t="s">
        <v>25860</v>
      </c>
      <c r="AL1866" s="6" t="s">
        <v>37186</v>
      </c>
    </row>
    <row r="1867" ht="15.75" customHeight="1">
      <c r="A1867" s="1" t="s">
        <v>127</v>
      </c>
      <c r="B1867" s="1" t="s">
        <v>37187</v>
      </c>
      <c r="C1867" s="1" t="s">
        <v>37188</v>
      </c>
      <c r="D1867" s="8" t="s">
        <v>37189</v>
      </c>
      <c r="E1867" s="1" t="s">
        <v>37190</v>
      </c>
      <c r="F1867" s="6" t="s">
        <v>132</v>
      </c>
      <c r="G1867" s="1" t="s">
        <v>37191</v>
      </c>
      <c r="H1867" s="1" t="s">
        <v>37192</v>
      </c>
      <c r="I1867" s="1" t="s">
        <v>37193</v>
      </c>
      <c r="J1867" s="6" t="s">
        <v>37194</v>
      </c>
      <c r="K1867" s="1" t="s">
        <v>37195</v>
      </c>
      <c r="L1867" s="1" t="s">
        <v>37196</v>
      </c>
      <c r="M1867" s="1" t="s">
        <v>37197</v>
      </c>
      <c r="N1867" s="6" t="s">
        <v>132</v>
      </c>
      <c r="O1867" s="6" t="s">
        <v>37198</v>
      </c>
      <c r="P1867" s="1" t="s">
        <v>37199</v>
      </c>
      <c r="Q1867" s="1" t="s">
        <v>37200</v>
      </c>
      <c r="R1867" s="1" t="s">
        <v>37201</v>
      </c>
      <c r="S1867" s="10" t="s">
        <v>37202</v>
      </c>
      <c r="T1867" s="1" t="s">
        <v>37203</v>
      </c>
      <c r="U1867" s="1" t="s">
        <v>37204</v>
      </c>
      <c r="V1867" s="1" t="s">
        <v>37205</v>
      </c>
      <c r="W1867" s="1" t="s">
        <v>37206</v>
      </c>
      <c r="X1867" s="1" t="s">
        <v>37192</v>
      </c>
      <c r="Y1867" s="1" t="s">
        <v>37207</v>
      </c>
      <c r="Z1867" s="1" t="s">
        <v>37208</v>
      </c>
      <c r="AA1867" s="1" t="s">
        <v>37209</v>
      </c>
      <c r="AB1867" s="1" t="s">
        <v>37210</v>
      </c>
      <c r="AC1867" s="1" t="s">
        <v>37211</v>
      </c>
      <c r="AD1867" s="6" t="s">
        <v>37191</v>
      </c>
      <c r="AE1867" s="1" t="s">
        <v>37212</v>
      </c>
      <c r="AF1867" s="1" t="s">
        <v>37192</v>
      </c>
      <c r="AG1867" s="6" t="s">
        <v>37213</v>
      </c>
      <c r="AH1867" s="1" t="s">
        <v>37214</v>
      </c>
      <c r="AI1867" s="6" t="s">
        <v>132</v>
      </c>
      <c r="AJ1867" s="6" t="s">
        <v>37215</v>
      </c>
      <c r="AK1867" s="1" t="s">
        <v>37216</v>
      </c>
      <c r="AL1867" s="6" t="s">
        <v>37217</v>
      </c>
    </row>
    <row r="1868" ht="15.75" hidden="1" customHeight="1">
      <c r="A1868" s="1" t="s">
        <v>38</v>
      </c>
      <c r="B1868" s="1" t="s">
        <v>37218</v>
      </c>
      <c r="C1868" s="1" t="s">
        <v>37219</v>
      </c>
      <c r="D1868" s="7" t="str">
        <f>IFERROR(__xludf.DUMMYFUNCTION("GOOGLETRANSLATE(C1868, ""en"", ""ar"")"),"بويرتو ريكو")</f>
        <v>بويرتو ريكو</v>
      </c>
      <c r="E1868" s="7" t="str">
        <f>IFERROR(__xludf.DUMMYFUNCTION("GOOGLETRANSLATE(C1868, ""en"", ""bg"")"),"Пуерто Рико")</f>
        <v>Пуерто Рико</v>
      </c>
      <c r="F1868" s="6" t="s">
        <v>132</v>
      </c>
      <c r="G1868" s="7" t="str">
        <f>IFERROR(__xludf.DUMMYFUNCTION("GOOGLETRANSLATE(C1868, ""en"", ""cs"")"),"Portoriko")</f>
        <v>Portoriko</v>
      </c>
      <c r="H1868" s="7" t="str">
        <f>IFERROR(__xludf.DUMMYFUNCTION("GOOGLETRANSLATE(C1868, ""en"", ""da"")"),"Puerto Rico.")</f>
        <v>Puerto Rico.</v>
      </c>
      <c r="I1868" s="1" t="s">
        <v>37219</v>
      </c>
      <c r="J1868" s="6" t="s">
        <v>132</v>
      </c>
      <c r="K1868" s="1" t="s">
        <v>37219</v>
      </c>
      <c r="L1868" s="7" t="str">
        <f>IFERROR(__xludf.DUMMYFUNCTION("GOOGLETRANSLATE(C1868, ""en"", ""fi"")"),"Puerto Rico")</f>
        <v>Puerto Rico</v>
      </c>
      <c r="M1868" s="1" t="s">
        <v>37220</v>
      </c>
      <c r="N1868" s="6" t="s">
        <v>132</v>
      </c>
      <c r="O1868" s="6" t="s">
        <v>132</v>
      </c>
      <c r="P1868" s="1" t="s">
        <v>37219</v>
      </c>
      <c r="Q1868" s="7" t="str">
        <f>IFERROR(__xludf.DUMMYFUNCTION("GOOGLETRANSLATE(C1868, ""en"", ""in"")"),"Puerto Riko")</f>
        <v>Puerto Riko</v>
      </c>
      <c r="R1868" s="7" t="str">
        <f>IFERROR(__xludf.DUMMYFUNCTION("GOOGLETRANSLATE(C1868, ""en"", ""it"")"),"Puerto Rico.")</f>
        <v>Puerto Rico.</v>
      </c>
      <c r="S1868" s="6" t="s">
        <v>132</v>
      </c>
      <c r="T1868" s="7" t="str">
        <f>IFERROR(__xludf.DUMMYFUNCTION("GOOGLETRANSLATE(C1868, ""en"", ""ja"")"),"プエルトリコ")</f>
        <v>プエルトリコ</v>
      </c>
      <c r="U1868" s="7" t="str">
        <f>IFERROR(__xludf.DUMMYFUNCTION("GOOGLETRANSLATE(C1868, ""en"", ""ko"")"),"푸에르토 리코")</f>
        <v>푸에르토 리코</v>
      </c>
      <c r="V1868" s="7" t="str">
        <f>IFERROR(__xludf.DUMMYFUNCTION("GOOGLETRANSLATE(C1868, ""en"", ""ms"")"),"Puerto Rico")</f>
        <v>Puerto Rico</v>
      </c>
      <c r="W1868" s="7" t="str">
        <f>IFERROR(__xludf.DUMMYFUNCTION("GOOGLETRANSLATE(C1868, ""en"", ""nl"")"),"Puerto Rico")</f>
        <v>Puerto Rico</v>
      </c>
      <c r="X1868" s="7" t="str">
        <f>IFERROR(__xludf.DUMMYFUNCTION("GOOGLETRANSLATE(C1868, ""en"", ""no"")"),"Puerto Rico.")</f>
        <v>Puerto Rico.</v>
      </c>
      <c r="Y1868" s="7" t="str">
        <f>IFERROR(__xludf.DUMMYFUNCTION("GOOGLETRANSLATE(C1868, ""en"", ""pl"")"),"Portoryko")</f>
        <v>Portoryko</v>
      </c>
      <c r="Z1868" s="7" t="str">
        <f>IFERROR(__xludf.DUMMYFUNCTION("GOOGLETRANSLATE(C1868, ""en"", ""pt"")"),"Porto Rico")</f>
        <v>Porto Rico</v>
      </c>
      <c r="AA1868" s="7" t="str">
        <f>IFERROR(__xludf.DUMMYFUNCTION("GOOGLETRANSLATE(C1868, ""en"", ""ro"")"),"Puerto Rico.")</f>
        <v>Puerto Rico.</v>
      </c>
      <c r="AB1868" s="1" t="s">
        <v>37221</v>
      </c>
      <c r="AC1868" s="7" t="str">
        <f>IFERROR(__xludf.DUMMYFUNCTION("GOOGLETRANSLATE(C1868, ""en"", ""sk"")"),"Puerto Rico")</f>
        <v>Puerto Rico</v>
      </c>
      <c r="AD1868" s="6" t="s">
        <v>132</v>
      </c>
      <c r="AE1868" s="1" t="s">
        <v>37222</v>
      </c>
      <c r="AF1868" s="7" t="str">
        <f>IFERROR(__xludf.DUMMYFUNCTION("GOOGLETRANSLATE(C1868, ""en"", ""sv"")"),"Puerto Rico")</f>
        <v>Puerto Rico</v>
      </c>
      <c r="AG1868" s="6" t="s">
        <v>132</v>
      </c>
      <c r="AH1868" s="7" t="str">
        <f>IFERROR(__xludf.DUMMYFUNCTION("GOOGLETRANSLATE(C1868, ""en"", ""tr"")"),"Porto Riko")</f>
        <v>Porto Riko</v>
      </c>
      <c r="AI1868" s="6" t="s">
        <v>132</v>
      </c>
      <c r="AJ1868" s="6" t="s">
        <v>132</v>
      </c>
      <c r="AK1868" s="7" t="str">
        <f>IFERROR(__xludf.DUMMYFUNCTION("GOOGLETRANSLATE(C1868, ""en"", ""zh"")"),"波多黎各")</f>
        <v>波多黎各</v>
      </c>
      <c r="AL1868" s="6" t="s">
        <v>132</v>
      </c>
    </row>
    <row r="1869" ht="15.75" hidden="1" customHeight="1">
      <c r="A1869" s="1" t="s">
        <v>38</v>
      </c>
      <c r="B1869" s="1" t="s">
        <v>37223</v>
      </c>
      <c r="C1869" s="1" t="s">
        <v>37224</v>
      </c>
      <c r="D1869" s="8" t="s">
        <v>37225</v>
      </c>
      <c r="E1869" s="1" t="s">
        <v>37226</v>
      </c>
      <c r="F1869" s="6" t="s">
        <v>37227</v>
      </c>
      <c r="G1869" s="7" t="str">
        <f>IFERROR(__xludf.DUMMYFUNCTION("GOOGLETRANSLATE(C1869, ""en"", ""cs"")"),"Majitel")</f>
        <v>Majitel</v>
      </c>
      <c r="H1869" s="7" t="str">
        <f>IFERROR(__xludf.DUMMYFUNCTION("GOOGLETRANSLATE(C1869, ""en"", ""da"")"),"Ejer")</f>
        <v>Ejer</v>
      </c>
      <c r="I1869" s="1" t="s">
        <v>37228</v>
      </c>
      <c r="J1869" s="6" t="s">
        <v>132</v>
      </c>
      <c r="K1869" s="1" t="s">
        <v>37229</v>
      </c>
      <c r="L1869" s="7" t="str">
        <f>IFERROR(__xludf.DUMMYFUNCTION("GOOGLETRANSLATE(C1869, ""en"", ""fi"")"),"Omistaja")</f>
        <v>Omistaja</v>
      </c>
      <c r="M1869" s="1" t="s">
        <v>37230</v>
      </c>
      <c r="N1869" s="6" t="s">
        <v>37231</v>
      </c>
      <c r="O1869" s="6" t="s">
        <v>132</v>
      </c>
      <c r="P1869" s="1" t="s">
        <v>37232</v>
      </c>
      <c r="Q1869" s="9" t="s">
        <v>37233</v>
      </c>
      <c r="R1869" s="1" t="s">
        <v>37234</v>
      </c>
      <c r="S1869" s="6" t="s">
        <v>132</v>
      </c>
      <c r="T1869" s="1" t="s">
        <v>37235</v>
      </c>
      <c r="U1869" s="1" t="s">
        <v>37236</v>
      </c>
      <c r="V1869" s="7" t="str">
        <f>IFERROR(__xludf.DUMMYFUNCTION("GOOGLETRANSLATE(C1869, ""en"", ""ms"")"),"Pemiliknya")</f>
        <v>Pemiliknya</v>
      </c>
      <c r="W1869" s="1" t="s">
        <v>37237</v>
      </c>
      <c r="X1869" s="7" t="str">
        <f>IFERROR(__xludf.DUMMYFUNCTION("GOOGLETRANSLATE(C1869, ""en"", ""no"")"),"Eieren")</f>
        <v>Eieren</v>
      </c>
      <c r="Y1869" s="1" t="s">
        <v>37238</v>
      </c>
      <c r="Z1869" s="1" t="s">
        <v>37231</v>
      </c>
      <c r="AA1869" s="7" t="str">
        <f>IFERROR(__xludf.DUMMYFUNCTION("GOOGLETRANSLATE(C1869, ""en"", ""ro"")"),"Proprietar")</f>
        <v>Proprietar</v>
      </c>
      <c r="AB1869" s="1" t="s">
        <v>37239</v>
      </c>
      <c r="AC1869" s="1" t="s">
        <v>37240</v>
      </c>
      <c r="AD1869" s="6" t="s">
        <v>132</v>
      </c>
      <c r="AE1869" s="1" t="s">
        <v>37241</v>
      </c>
      <c r="AF1869" s="1" t="s">
        <v>37242</v>
      </c>
      <c r="AG1869" s="6" t="s">
        <v>132</v>
      </c>
      <c r="AH1869" s="7" t="str">
        <f>IFERROR(__xludf.DUMMYFUNCTION("GOOGLETRANSLATE(C1869, ""en"", ""tr"")"),"Sahip")</f>
        <v>Sahip</v>
      </c>
      <c r="AI1869" s="6" t="s">
        <v>37241</v>
      </c>
      <c r="AJ1869" s="6" t="s">
        <v>37243</v>
      </c>
      <c r="AK1869" s="7" t="str">
        <f>IFERROR(__xludf.DUMMYFUNCTION("GOOGLETRANSLATE(C1869, ""en"", ""zh"")"),"所有者")</f>
        <v>所有者</v>
      </c>
      <c r="AL1869" s="6" t="s">
        <v>37244</v>
      </c>
    </row>
    <row r="1870" ht="15.75" customHeight="1">
      <c r="A1870" s="1" t="s">
        <v>127</v>
      </c>
      <c r="B1870" s="1" t="s">
        <v>37245</v>
      </c>
      <c r="C1870" s="1" t="s">
        <v>37246</v>
      </c>
      <c r="D1870" s="8" t="s">
        <v>37247</v>
      </c>
      <c r="E1870" s="1" t="s">
        <v>37248</v>
      </c>
      <c r="F1870" s="6" t="s">
        <v>132</v>
      </c>
      <c r="G1870" s="1" t="s">
        <v>37249</v>
      </c>
      <c r="H1870" s="1" t="s">
        <v>37250</v>
      </c>
      <c r="I1870" s="1" t="s">
        <v>37246</v>
      </c>
      <c r="J1870" s="6" t="s">
        <v>37251</v>
      </c>
      <c r="K1870" s="1" t="s">
        <v>37248</v>
      </c>
      <c r="L1870" s="1" t="s">
        <v>37252</v>
      </c>
      <c r="M1870" s="1" t="s">
        <v>37248</v>
      </c>
      <c r="N1870" s="6" t="s">
        <v>132</v>
      </c>
      <c r="O1870" s="6" t="s">
        <v>37253</v>
      </c>
      <c r="P1870" s="1" t="s">
        <v>37248</v>
      </c>
      <c r="Q1870" s="1" t="s">
        <v>37254</v>
      </c>
      <c r="R1870" s="1" t="s">
        <v>37248</v>
      </c>
      <c r="S1870" s="10" t="s">
        <v>37255</v>
      </c>
      <c r="T1870" s="1" t="s">
        <v>37248</v>
      </c>
      <c r="U1870" s="1" t="s">
        <v>37256</v>
      </c>
      <c r="V1870" s="1" t="s">
        <v>37254</v>
      </c>
      <c r="W1870" s="1" t="s">
        <v>37248</v>
      </c>
      <c r="X1870" s="1" t="s">
        <v>37250</v>
      </c>
      <c r="Y1870" s="1" t="s">
        <v>37248</v>
      </c>
      <c r="Z1870" s="1" t="s">
        <v>37257</v>
      </c>
      <c r="AA1870" s="1" t="s">
        <v>37258</v>
      </c>
      <c r="AB1870" s="1" t="s">
        <v>37259</v>
      </c>
      <c r="AC1870" s="1" t="s">
        <v>37260</v>
      </c>
      <c r="AD1870" s="6" t="s">
        <v>37248</v>
      </c>
      <c r="AE1870" s="1" t="s">
        <v>37248</v>
      </c>
      <c r="AF1870" s="1" t="s">
        <v>37250</v>
      </c>
      <c r="AG1870" s="6" t="s">
        <v>37261</v>
      </c>
      <c r="AH1870" s="1" t="s">
        <v>37262</v>
      </c>
      <c r="AI1870" s="6" t="s">
        <v>132</v>
      </c>
      <c r="AJ1870" s="6" t="s">
        <v>37263</v>
      </c>
      <c r="AK1870" s="1" t="s">
        <v>37248</v>
      </c>
      <c r="AL1870" s="6" t="s">
        <v>37264</v>
      </c>
    </row>
    <row r="1871" ht="15.75" hidden="1" customHeight="1">
      <c r="A1871" s="1" t="s">
        <v>38</v>
      </c>
      <c r="B1871" s="1" t="s">
        <v>37265</v>
      </c>
      <c r="C1871" s="1" t="s">
        <v>37266</v>
      </c>
      <c r="D1871" s="7" t="str">
        <f>IFERROR(__xludf.DUMMYFUNCTION("GOOGLETRANSLATE(C1871, ""en"", ""ar"")"),"قبرص")</f>
        <v>قبرص</v>
      </c>
      <c r="E1871" s="7" t="str">
        <f>IFERROR(__xludf.DUMMYFUNCTION("GOOGLETRANSLATE(C1871, ""en"", ""bg"")"),"Кипър")</f>
        <v>Кипър</v>
      </c>
      <c r="F1871" s="6" t="s">
        <v>132</v>
      </c>
      <c r="G1871" s="7" t="str">
        <f>IFERROR(__xludf.DUMMYFUNCTION("GOOGLETRANSLATE(C1871, ""en"", ""cs"")"),"Kypr")</f>
        <v>Kypr</v>
      </c>
      <c r="H1871" s="7" t="str">
        <f>IFERROR(__xludf.DUMMYFUNCTION("GOOGLETRANSLATE(C1871, ""en"", ""da"")"),"Cypern.")</f>
        <v>Cypern.</v>
      </c>
      <c r="I1871" s="1" t="s">
        <v>37267</v>
      </c>
      <c r="J1871" s="6" t="s">
        <v>132</v>
      </c>
      <c r="K1871" s="1" t="s">
        <v>37268</v>
      </c>
      <c r="L1871" s="7" t="str">
        <f>IFERROR(__xludf.DUMMYFUNCTION("GOOGLETRANSLATE(C1871, ""en"", ""fi"")"),"Kypros")</f>
        <v>Kypros</v>
      </c>
      <c r="M1871" s="1" t="s">
        <v>37269</v>
      </c>
      <c r="N1871" s="6" t="s">
        <v>132</v>
      </c>
      <c r="O1871" s="6" t="s">
        <v>132</v>
      </c>
      <c r="P1871" s="1" t="s">
        <v>37266</v>
      </c>
      <c r="Q1871" s="7" t="str">
        <f>IFERROR(__xludf.DUMMYFUNCTION("GOOGLETRANSLATE(C1871, ""en"", ""in"")"),"Siprus")</f>
        <v>Siprus</v>
      </c>
      <c r="R1871" s="7" t="str">
        <f>IFERROR(__xludf.DUMMYFUNCTION("GOOGLETRANSLATE(C1871, ""en"", ""it"")"),"Cipro")</f>
        <v>Cipro</v>
      </c>
      <c r="S1871" s="6" t="s">
        <v>132</v>
      </c>
      <c r="T1871" s="7" t="str">
        <f>IFERROR(__xludf.DUMMYFUNCTION("GOOGLETRANSLATE(C1871, ""en"", ""ja"")"),"キプロス")</f>
        <v>キプロス</v>
      </c>
      <c r="U1871" s="7" t="str">
        <f>IFERROR(__xludf.DUMMYFUNCTION("GOOGLETRANSLATE(C1871, ""en"", ""ko"")"),"키프로스")</f>
        <v>키프로스</v>
      </c>
      <c r="V1871" s="7" t="str">
        <f>IFERROR(__xludf.DUMMYFUNCTION("GOOGLETRANSLATE(C1871, ""en"", ""ms"")"),"Cyprus.")</f>
        <v>Cyprus.</v>
      </c>
      <c r="W1871" s="7" t="str">
        <f>IFERROR(__xludf.DUMMYFUNCTION("GOOGLETRANSLATE(C1871, ""en"", ""nl"")"),"Cyprus")</f>
        <v>Cyprus</v>
      </c>
      <c r="X1871" s="7" t="str">
        <f>IFERROR(__xludf.DUMMYFUNCTION("GOOGLETRANSLATE(C1871, ""en"", ""no"")"),"Kypros")</f>
        <v>Kypros</v>
      </c>
      <c r="Y1871" s="7" t="str">
        <f>IFERROR(__xludf.DUMMYFUNCTION("GOOGLETRANSLATE(C1871, ""en"", ""pl"")"),"Cypr")</f>
        <v>Cypr</v>
      </c>
      <c r="Z1871" s="7" t="str">
        <f>IFERROR(__xludf.DUMMYFUNCTION("GOOGLETRANSLATE(C1871, ""en"", ""pt"")"),"Chipre")</f>
        <v>Chipre</v>
      </c>
      <c r="AA1871" s="7" t="str">
        <f>IFERROR(__xludf.DUMMYFUNCTION("GOOGLETRANSLATE(C1871, ""en"", ""ro"")"),"Cipru")</f>
        <v>Cipru</v>
      </c>
      <c r="AB1871" s="1" t="s">
        <v>37270</v>
      </c>
      <c r="AC1871" s="7" t="str">
        <f>IFERROR(__xludf.DUMMYFUNCTION("GOOGLETRANSLATE(C1871, ""en"", ""sk"")"),"Cyprus")</f>
        <v>Cyprus</v>
      </c>
      <c r="AD1871" s="6" t="s">
        <v>132</v>
      </c>
      <c r="AE1871" s="1" t="s">
        <v>37271</v>
      </c>
      <c r="AF1871" s="7" t="str">
        <f>IFERROR(__xludf.DUMMYFUNCTION("GOOGLETRANSLATE(C1871, ""en"", ""sv"")"),"Cyprus")</f>
        <v>Cyprus</v>
      </c>
      <c r="AG1871" s="6" t="s">
        <v>132</v>
      </c>
      <c r="AH1871" s="7" t="str">
        <f>IFERROR(__xludf.DUMMYFUNCTION("GOOGLETRANSLATE(C1871, ""en"", ""tr"")"),"Kıbrıs")</f>
        <v>Kıbrıs</v>
      </c>
      <c r="AI1871" s="6" t="s">
        <v>132</v>
      </c>
      <c r="AJ1871" s="6" t="s">
        <v>132</v>
      </c>
      <c r="AK1871" s="7" t="str">
        <f>IFERROR(__xludf.DUMMYFUNCTION("GOOGLETRANSLATE(C1871, ""en"", ""zh"")"),"塞浦路斯")</f>
        <v>塞浦路斯</v>
      </c>
      <c r="AL1871" s="6" t="s">
        <v>132</v>
      </c>
    </row>
    <row r="1872" ht="15.75" hidden="1" customHeight="1">
      <c r="A1872" s="1" t="s">
        <v>38</v>
      </c>
      <c r="B1872" s="1" t="s">
        <v>37272</v>
      </c>
      <c r="C1872" s="1" t="s">
        <v>37273</v>
      </c>
      <c r="D1872" s="8" t="s">
        <v>37274</v>
      </c>
      <c r="E1872" s="1" t="s">
        <v>37275</v>
      </c>
      <c r="F1872" s="6" t="s">
        <v>37276</v>
      </c>
      <c r="G1872" s="7" t="str">
        <f>IFERROR(__xludf.DUMMYFUNCTION("GOOGLETRANSLATE(C1872, ""en"", ""cs"")"),"Zadejte heslo")</f>
        <v>Zadejte heslo</v>
      </c>
      <c r="H1872" s="7" t="str">
        <f>IFERROR(__xludf.DUMMYFUNCTION("GOOGLETRANSLATE(C1872, ""en"", ""da"")"),"Indtast adgangskode")</f>
        <v>Indtast adgangskode</v>
      </c>
      <c r="I1872" s="1" t="s">
        <v>37277</v>
      </c>
      <c r="J1872" s="6" t="s">
        <v>132</v>
      </c>
      <c r="K1872" s="1" t="s">
        <v>37278</v>
      </c>
      <c r="L1872" s="7" t="str">
        <f>IFERROR(__xludf.DUMMYFUNCTION("GOOGLETRANSLATE(C1872, ""en"", ""fi"")"),"Kirjoita salasana")</f>
        <v>Kirjoita salasana</v>
      </c>
      <c r="M1872" s="1" t="s">
        <v>37279</v>
      </c>
      <c r="N1872" s="6" t="s">
        <v>37280</v>
      </c>
      <c r="O1872" s="6" t="s">
        <v>132</v>
      </c>
      <c r="P1872" s="1" t="s">
        <v>37281</v>
      </c>
      <c r="Q1872" s="9" t="s">
        <v>37282</v>
      </c>
      <c r="R1872" s="1" t="s">
        <v>37283</v>
      </c>
      <c r="S1872" s="6" t="s">
        <v>132</v>
      </c>
      <c r="T1872" s="1" t="s">
        <v>3577</v>
      </c>
      <c r="U1872" s="1" t="s">
        <v>37284</v>
      </c>
      <c r="V1872" s="7" t="str">
        <f>IFERROR(__xludf.DUMMYFUNCTION("GOOGLETRANSLATE(C1872, ""en"", ""ms"")"),"Masukkan kata laluan")</f>
        <v>Masukkan kata laluan</v>
      </c>
      <c r="W1872" s="1" t="s">
        <v>37285</v>
      </c>
      <c r="X1872" s="7" t="str">
        <f>IFERROR(__xludf.DUMMYFUNCTION("GOOGLETRANSLATE(C1872, ""en"", ""no"")"),"Oppgi passord")</f>
        <v>Oppgi passord</v>
      </c>
      <c r="Y1872" s="1" t="s">
        <v>37286</v>
      </c>
      <c r="Z1872" s="1" t="s">
        <v>37287</v>
      </c>
      <c r="AA1872" s="7" t="str">
        <f>IFERROR(__xludf.DUMMYFUNCTION("GOOGLETRANSLATE(C1872, ""en"", ""ro"")"),"Introdu parola")</f>
        <v>Introdu parola</v>
      </c>
      <c r="AB1872" s="1" t="s">
        <v>37288</v>
      </c>
      <c r="AC1872" s="1" t="s">
        <v>37289</v>
      </c>
      <c r="AD1872" s="6" t="s">
        <v>132</v>
      </c>
      <c r="AE1872" s="1" t="s">
        <v>37290</v>
      </c>
      <c r="AF1872" s="1" t="s">
        <v>37291</v>
      </c>
      <c r="AG1872" s="6" t="s">
        <v>132</v>
      </c>
      <c r="AH1872" s="7" t="str">
        <f>IFERROR(__xludf.DUMMYFUNCTION("GOOGLETRANSLATE(C1872, ""en"", ""tr"")"),"Parolanı Gir")</f>
        <v>Parolanı Gir</v>
      </c>
      <c r="AI1872" s="6" t="s">
        <v>37292</v>
      </c>
      <c r="AJ1872" s="6" t="s">
        <v>37293</v>
      </c>
      <c r="AK1872" s="7" t="str">
        <f>IFERROR(__xludf.DUMMYFUNCTION("GOOGLETRANSLATE(C1872, ""en"", ""zh"")"),"输入密码")</f>
        <v>输入密码</v>
      </c>
      <c r="AL1872" s="6" t="s">
        <v>37294</v>
      </c>
    </row>
    <row r="1873" ht="15.75" hidden="1" customHeight="1">
      <c r="A1873" s="1" t="s">
        <v>38</v>
      </c>
      <c r="B1873" s="1" t="s">
        <v>37295</v>
      </c>
      <c r="C1873" s="1" t="s">
        <v>37296</v>
      </c>
      <c r="D1873" s="7" t="str">
        <f>IFERROR(__xludf.DUMMYFUNCTION("GOOGLETRANSLATE(C1873, ""en"", ""ar"")"),"موريشيوس")</f>
        <v>موريشيوس</v>
      </c>
      <c r="E1873" s="7" t="str">
        <f>IFERROR(__xludf.DUMMYFUNCTION("GOOGLETRANSLATE(C1873, ""en"", ""bg"")"),"Мавриций")</f>
        <v>Мавриций</v>
      </c>
      <c r="F1873" s="6" t="s">
        <v>132</v>
      </c>
      <c r="G1873" s="7" t="str">
        <f>IFERROR(__xludf.DUMMYFUNCTION("GOOGLETRANSLATE(C1873, ""en"", ""cs"")"),"Mauricius")</f>
        <v>Mauricius</v>
      </c>
      <c r="H1873" s="7" t="str">
        <f>IFERROR(__xludf.DUMMYFUNCTION("GOOGLETRANSLATE(C1873, ""en"", ""da"")"),"Mauritius.")</f>
        <v>Mauritius.</v>
      </c>
      <c r="I1873" s="1" t="s">
        <v>37296</v>
      </c>
      <c r="J1873" s="6" t="s">
        <v>132</v>
      </c>
      <c r="K1873" s="1" t="s">
        <v>37297</v>
      </c>
      <c r="L1873" s="7" t="str">
        <f>IFERROR(__xludf.DUMMYFUNCTION("GOOGLETRANSLATE(C1873, ""en"", ""fi"")"),"Mauritius")</f>
        <v>Mauritius</v>
      </c>
      <c r="M1873" s="1" t="s">
        <v>37298</v>
      </c>
      <c r="N1873" s="6" t="s">
        <v>132</v>
      </c>
      <c r="O1873" s="6" t="s">
        <v>132</v>
      </c>
      <c r="P1873" s="1" t="s">
        <v>37296</v>
      </c>
      <c r="Q1873" s="7" t="str">
        <f>IFERROR(__xludf.DUMMYFUNCTION("GOOGLETRANSLATE(C1873, ""en"", ""in"")"),"Mauritius.")</f>
        <v>Mauritius.</v>
      </c>
      <c r="R1873" s="7" t="str">
        <f>IFERROR(__xludf.DUMMYFUNCTION("GOOGLETRANSLATE(C1873, ""en"", ""it"")"),"Mauritius.")</f>
        <v>Mauritius.</v>
      </c>
      <c r="S1873" s="6" t="s">
        <v>132</v>
      </c>
      <c r="T1873" s="7" t="str">
        <f>IFERROR(__xludf.DUMMYFUNCTION("GOOGLETRANSLATE(C1873, ""en"", ""ja"")"),"モーリシャス")</f>
        <v>モーリシャス</v>
      </c>
      <c r="U1873" s="7" t="str">
        <f>IFERROR(__xludf.DUMMYFUNCTION("GOOGLETRANSLATE(C1873, ""en"", ""ko"")"),"모리셔스")</f>
        <v>모리셔스</v>
      </c>
      <c r="V1873" s="7" t="str">
        <f>IFERROR(__xludf.DUMMYFUNCTION("GOOGLETRANSLATE(C1873, ""en"", ""ms"")"),"Mauritius.")</f>
        <v>Mauritius.</v>
      </c>
      <c r="W1873" s="7" t="str">
        <f>IFERROR(__xludf.DUMMYFUNCTION("GOOGLETRANSLATE(C1873, ""en"", ""nl"")"),"Mauritius")</f>
        <v>Mauritius</v>
      </c>
      <c r="X1873" s="7" t="str">
        <f>IFERROR(__xludf.DUMMYFUNCTION("GOOGLETRANSLATE(C1873, ""en"", ""no"")"),"Mauritius")</f>
        <v>Mauritius</v>
      </c>
      <c r="Y1873" s="7" t="str">
        <f>IFERROR(__xludf.DUMMYFUNCTION("GOOGLETRANSLATE(C1873, ""en"", ""pl"")"),"Mauritius")</f>
        <v>Mauritius</v>
      </c>
      <c r="Z1873" s="7" t="str">
        <f>IFERROR(__xludf.DUMMYFUNCTION("GOOGLETRANSLATE(C1873, ""en"", ""pt"")"),"Maurício")</f>
        <v>Maurício</v>
      </c>
      <c r="AA1873" s="7" t="str">
        <f>IFERROR(__xludf.DUMMYFUNCTION("GOOGLETRANSLATE(C1873, ""en"", ""ro"")"),"Mauritius.")</f>
        <v>Mauritius.</v>
      </c>
      <c r="AB1873" s="1" t="s">
        <v>37299</v>
      </c>
      <c r="AC1873" s="7" t="str">
        <f>IFERROR(__xludf.DUMMYFUNCTION("GOOGLETRANSLATE(C1873, ""en"", ""sk"")"),"Maurícius")</f>
        <v>Maurícius</v>
      </c>
      <c r="AD1873" s="6" t="s">
        <v>132</v>
      </c>
      <c r="AE1873" s="1" t="s">
        <v>37300</v>
      </c>
      <c r="AF1873" s="7" t="str">
        <f>IFERROR(__xludf.DUMMYFUNCTION("GOOGLETRANSLATE(C1873, ""en"", ""sv"")"),"Mauritius")</f>
        <v>Mauritius</v>
      </c>
      <c r="AG1873" s="6" t="s">
        <v>132</v>
      </c>
      <c r="AH1873" s="7" t="str">
        <f>IFERROR(__xludf.DUMMYFUNCTION("GOOGLETRANSLATE(C1873, ""en"", ""tr"")"),"Mauritius")</f>
        <v>Mauritius</v>
      </c>
      <c r="AI1873" s="6" t="s">
        <v>132</v>
      </c>
      <c r="AJ1873" s="6" t="s">
        <v>132</v>
      </c>
      <c r="AK1873" s="7" t="str">
        <f>IFERROR(__xludf.DUMMYFUNCTION("GOOGLETRANSLATE(C1873, ""en"", ""zh"")"),"毛里求斯")</f>
        <v>毛里求斯</v>
      </c>
      <c r="AL1873" s="6" t="s">
        <v>132</v>
      </c>
    </row>
    <row r="1874" ht="15.75" hidden="1" customHeight="1">
      <c r="A1874" s="1" t="s">
        <v>38</v>
      </c>
      <c r="B1874" s="1" t="s">
        <v>37301</v>
      </c>
      <c r="C1874" s="1" t="s">
        <v>37302</v>
      </c>
      <c r="D1874" s="7" t="str">
        <f>IFERROR(__xludf.DUMMYFUNCTION("GOOGLETRANSLATE(C1874, ""en"", ""ar"")"),"نيوزيلاندا")</f>
        <v>نيوزيلاندا</v>
      </c>
      <c r="E1874" s="7" t="str">
        <f>IFERROR(__xludf.DUMMYFUNCTION("GOOGLETRANSLATE(C1874, ""en"", ""bg"")"),"Нова Зеландия")</f>
        <v>Нова Зеландия</v>
      </c>
      <c r="F1874" s="6" t="s">
        <v>132</v>
      </c>
      <c r="G1874" s="7" t="str">
        <f>IFERROR(__xludf.DUMMYFUNCTION("GOOGLETRANSLATE(C1874, ""en"", ""cs"")"),"Nový Zéland")</f>
        <v>Nový Zéland</v>
      </c>
      <c r="H1874" s="7" t="str">
        <f>IFERROR(__xludf.DUMMYFUNCTION("GOOGLETRANSLATE(C1874, ""en"", ""da"")"),"New Zealand.")</f>
        <v>New Zealand.</v>
      </c>
      <c r="I1874" s="1" t="s">
        <v>37303</v>
      </c>
      <c r="J1874" s="6" t="s">
        <v>132</v>
      </c>
      <c r="K1874" s="1" t="s">
        <v>37304</v>
      </c>
      <c r="L1874" s="7" t="str">
        <f>IFERROR(__xludf.DUMMYFUNCTION("GOOGLETRANSLATE(C1874, ""en"", ""fi"")"),"Uusi Seelanti")</f>
        <v>Uusi Seelanti</v>
      </c>
      <c r="M1874" s="1" t="s">
        <v>37305</v>
      </c>
      <c r="N1874" s="6" t="s">
        <v>132</v>
      </c>
      <c r="O1874" s="6" t="s">
        <v>132</v>
      </c>
      <c r="P1874" s="1" t="s">
        <v>37302</v>
      </c>
      <c r="Q1874" s="7" t="str">
        <f>IFERROR(__xludf.DUMMYFUNCTION("GOOGLETRANSLATE(C1874, ""en"", ""in"")"),"Selandia Baru")</f>
        <v>Selandia Baru</v>
      </c>
      <c r="R1874" s="7" t="str">
        <f>IFERROR(__xludf.DUMMYFUNCTION("GOOGLETRANSLATE(C1874, ""en"", ""it"")"),"Nuova Zelanda")</f>
        <v>Nuova Zelanda</v>
      </c>
      <c r="S1874" s="6" t="s">
        <v>132</v>
      </c>
      <c r="T1874" s="7" t="str">
        <f>IFERROR(__xludf.DUMMYFUNCTION("GOOGLETRANSLATE(C1874, ""en"", ""ja"")"),"ニュージーランド")</f>
        <v>ニュージーランド</v>
      </c>
      <c r="U1874" s="7" t="str">
        <f>IFERROR(__xludf.DUMMYFUNCTION("GOOGLETRANSLATE(C1874, ""en"", ""ko"")"),"뉴질랜드")</f>
        <v>뉴질랜드</v>
      </c>
      <c r="V1874" s="7" t="str">
        <f>IFERROR(__xludf.DUMMYFUNCTION("GOOGLETRANSLATE(C1874, ""en"", ""ms"")"),"New Zealand.")</f>
        <v>New Zealand.</v>
      </c>
      <c r="W1874" s="7" t="str">
        <f>IFERROR(__xludf.DUMMYFUNCTION("GOOGLETRANSLATE(C1874, ""en"", ""nl"")"),"Nieuw-Zeeland")</f>
        <v>Nieuw-Zeeland</v>
      </c>
      <c r="X1874" s="7" t="str">
        <f>IFERROR(__xludf.DUMMYFUNCTION("GOOGLETRANSLATE(C1874, ""en"", ""no"")"),"New Zealand")</f>
        <v>New Zealand</v>
      </c>
      <c r="Y1874" s="7" t="str">
        <f>IFERROR(__xludf.DUMMYFUNCTION("GOOGLETRANSLATE(C1874, ""en"", ""pl"")"),"Nowa Zelandia")</f>
        <v>Nowa Zelandia</v>
      </c>
      <c r="Z1874" s="7" t="str">
        <f>IFERROR(__xludf.DUMMYFUNCTION("GOOGLETRANSLATE(C1874, ""en"", ""pt"")"),"Nova Zelândia")</f>
        <v>Nova Zelândia</v>
      </c>
      <c r="AA1874" s="7" t="str">
        <f>IFERROR(__xludf.DUMMYFUNCTION("GOOGLETRANSLATE(C1874, ""en"", ""ro"")"),"Noua Zeelandă")</f>
        <v>Noua Zeelandă</v>
      </c>
      <c r="AB1874" s="1" t="s">
        <v>37306</v>
      </c>
      <c r="AC1874" s="7" t="str">
        <f>IFERROR(__xludf.DUMMYFUNCTION("GOOGLETRANSLATE(C1874, ""en"", ""sk"")"),"Nový Zéland")</f>
        <v>Nový Zéland</v>
      </c>
      <c r="AD1874" s="6" t="s">
        <v>132</v>
      </c>
      <c r="AE1874" s="1" t="s">
        <v>37307</v>
      </c>
      <c r="AF1874" s="7" t="str">
        <f>IFERROR(__xludf.DUMMYFUNCTION("GOOGLETRANSLATE(C1874, ""en"", ""sv"")"),"Nya Zeeland")</f>
        <v>Nya Zeeland</v>
      </c>
      <c r="AG1874" s="6" t="s">
        <v>132</v>
      </c>
      <c r="AH1874" s="7" t="str">
        <f>IFERROR(__xludf.DUMMYFUNCTION("GOOGLETRANSLATE(C1874, ""en"", ""tr"")"),"Yeni Zelanda")</f>
        <v>Yeni Zelanda</v>
      </c>
      <c r="AI1874" s="6" t="s">
        <v>132</v>
      </c>
      <c r="AJ1874" s="6" t="s">
        <v>132</v>
      </c>
      <c r="AK1874" s="7" t="str">
        <f>IFERROR(__xludf.DUMMYFUNCTION("GOOGLETRANSLATE(C1874, ""en"", ""zh"")"),"新西兰")</f>
        <v>新西兰</v>
      </c>
      <c r="AL1874" s="6" t="s">
        <v>132</v>
      </c>
    </row>
    <row r="1875" ht="15.75" hidden="1" customHeight="1">
      <c r="A1875" s="1" t="s">
        <v>38</v>
      </c>
      <c r="B1875" s="1" t="s">
        <v>37308</v>
      </c>
      <c r="C1875" s="1" t="s">
        <v>37309</v>
      </c>
      <c r="D1875" s="7" t="str">
        <f>IFERROR(__xludf.DUMMYFUNCTION("GOOGLETRANSLATE(C1875, ""en"", ""ar"")"),"جزر فيرجن الأمريكية")</f>
        <v>جزر فيرجن الأمريكية</v>
      </c>
      <c r="E1875" s="7" t="str">
        <f>IFERROR(__xludf.DUMMYFUNCTION("GOOGLETRANSLATE(C1875, ""en"", ""bg"")"),"Вирджински острови, САЩ")</f>
        <v>Вирджински острови, САЩ</v>
      </c>
      <c r="F1875" s="6" t="s">
        <v>132</v>
      </c>
      <c r="G1875" s="7" t="str">
        <f>IFERROR(__xludf.DUMMYFUNCTION("GOOGLETRANSLATE(C1875, ""en"", ""cs"")"),"Panenské ostrovy, USA")</f>
        <v>Panenské ostrovy, USA</v>
      </c>
      <c r="H1875" s="7" t="str">
        <f>IFERROR(__xludf.DUMMYFUNCTION("GOOGLETRANSLATE(C1875, ""en"", ""da"")"),"Jomfruøer, os")</f>
        <v>Jomfruøer, os</v>
      </c>
      <c r="I1875" s="1" t="s">
        <v>37310</v>
      </c>
      <c r="J1875" s="6" t="s">
        <v>132</v>
      </c>
      <c r="K1875" s="1" t="s">
        <v>37311</v>
      </c>
      <c r="L1875" s="7" t="str">
        <f>IFERROR(__xludf.DUMMYFUNCTION("GOOGLETRANSLATE(C1875, ""en"", ""fi"")"),"Neitsytsaaret, Yhdysvallat")</f>
        <v>Neitsytsaaret, Yhdysvallat</v>
      </c>
      <c r="M1875" s="1" t="s">
        <v>37312</v>
      </c>
      <c r="N1875" s="6" t="s">
        <v>132</v>
      </c>
      <c r="O1875" s="6" t="s">
        <v>132</v>
      </c>
      <c r="P1875" s="1" t="s">
        <v>37309</v>
      </c>
      <c r="Q1875" s="7" t="str">
        <f>IFERROR(__xludf.DUMMYFUNCTION("GOOGLETRANSLATE(C1875, ""en"", ""in"")"),"Kepulauan Virgin, AS")</f>
        <v>Kepulauan Virgin, AS</v>
      </c>
      <c r="R1875" s="7" t="str">
        <f>IFERROR(__xludf.DUMMYFUNCTION("GOOGLETRANSLATE(C1875, ""en"", ""it"")"),"Isole Vergini, Stati Uniti")</f>
        <v>Isole Vergini, Stati Uniti</v>
      </c>
      <c r="S1875" s="6" t="s">
        <v>132</v>
      </c>
      <c r="T1875" s="7" t="str">
        <f>IFERROR(__xludf.DUMMYFUNCTION("GOOGLETRANSLATE(C1875, ""en"", ""ja"")"),"バージン諸島、US")</f>
        <v>バージン諸島、US</v>
      </c>
      <c r="U1875" s="7" t="str">
        <f>IFERROR(__xludf.DUMMYFUNCTION("GOOGLETRANSLATE(C1875, ""en"", ""ko"")"),"버진 아일랜드, 미국")</f>
        <v>버진 아일랜드, 미국</v>
      </c>
      <c r="V1875" s="7" t="str">
        <f>IFERROR(__xludf.DUMMYFUNCTION("GOOGLETRANSLATE(C1875, ""en"", ""ms"")"),"Kepulauan Virgin, AS")</f>
        <v>Kepulauan Virgin, AS</v>
      </c>
      <c r="W1875" s="7" t="str">
        <f>IFERROR(__xludf.DUMMYFUNCTION("GOOGLETRANSLATE(C1875, ""en"", ""nl"")"),"Maagdelijke eilanden, VS.")</f>
        <v>Maagdelijke eilanden, VS.</v>
      </c>
      <c r="X1875" s="7" t="str">
        <f>IFERROR(__xludf.DUMMYFUNCTION("GOOGLETRANSLATE(C1875, ""en"", ""no"")"),"Jomfruøyene, USA")</f>
        <v>Jomfruøyene, USA</v>
      </c>
      <c r="Y1875" s="7" t="str">
        <f>IFERROR(__xludf.DUMMYFUNCTION("GOOGLETRANSLATE(C1875, ""en"", ""pl"")"),"Wyspy Dziewicze, USA")</f>
        <v>Wyspy Dziewicze, USA</v>
      </c>
      <c r="Z1875" s="7" t="str">
        <f>IFERROR(__xludf.DUMMYFUNCTION("GOOGLETRANSLATE(C1875, ""en"", ""pt"")"),"Ilhas Virgens, EUA")</f>
        <v>Ilhas Virgens, EUA</v>
      </c>
      <c r="AA1875" s="7" t="str">
        <f>IFERROR(__xludf.DUMMYFUNCTION("GOOGLETRANSLATE(C1875, ""en"", ""ro"")"),"Insulele Virgine, SUA")</f>
        <v>Insulele Virgine, SUA</v>
      </c>
      <c r="AB1875" s="1" t="s">
        <v>37313</v>
      </c>
      <c r="AC1875" s="7" t="str">
        <f>IFERROR(__xludf.DUMMYFUNCTION("GOOGLETRANSLATE(C1875, ""en"", ""sk"")"),"Panenské ostrovy, USA")</f>
        <v>Panenské ostrovy, USA</v>
      </c>
      <c r="AD1875" s="6" t="s">
        <v>132</v>
      </c>
      <c r="AE1875" s="1" t="s">
        <v>37314</v>
      </c>
      <c r="AF1875" s="7" t="str">
        <f>IFERROR(__xludf.DUMMYFUNCTION("GOOGLETRANSLATE(C1875, ""en"", ""sv"")"),"Jungfruöarna, USA")</f>
        <v>Jungfruöarna, USA</v>
      </c>
      <c r="AG1875" s="6" t="s">
        <v>132</v>
      </c>
      <c r="AH1875" s="7" t="str">
        <f>IFERROR(__xludf.DUMMYFUNCTION("GOOGLETRANSLATE(C1875, ""en"", ""tr"")"),"Virgin Adaları, ABD")</f>
        <v>Virgin Adaları, ABD</v>
      </c>
      <c r="AI1875" s="6" t="s">
        <v>132</v>
      </c>
      <c r="AJ1875" s="6" t="s">
        <v>132</v>
      </c>
      <c r="AK1875" s="7" t="str">
        <f>IFERROR(__xludf.DUMMYFUNCTION("GOOGLETRANSLATE(C1875, ""en"", ""zh"")"),"维尔京群岛，美国")</f>
        <v>维尔京群岛，美国</v>
      </c>
      <c r="AL1875" s="6" t="s">
        <v>132</v>
      </c>
    </row>
    <row r="1876" ht="15.75" customHeight="1">
      <c r="A1876" s="1" t="s">
        <v>127</v>
      </c>
      <c r="B1876" s="1" t="s">
        <v>37315</v>
      </c>
      <c r="C1876" s="1" t="s">
        <v>37316</v>
      </c>
      <c r="D1876" s="8" t="s">
        <v>37317</v>
      </c>
      <c r="E1876" s="1" t="s">
        <v>37318</v>
      </c>
      <c r="F1876" s="6" t="s">
        <v>132</v>
      </c>
      <c r="G1876" s="1" t="s">
        <v>37319</v>
      </c>
      <c r="H1876" s="1" t="s">
        <v>37320</v>
      </c>
      <c r="I1876" s="1" t="s">
        <v>37321</v>
      </c>
      <c r="J1876" s="6" t="s">
        <v>37322</v>
      </c>
      <c r="K1876" s="1" t="s">
        <v>37323</v>
      </c>
      <c r="L1876" s="1" t="s">
        <v>37324</v>
      </c>
      <c r="M1876" s="1" t="s">
        <v>37325</v>
      </c>
      <c r="N1876" s="6" t="s">
        <v>132</v>
      </c>
      <c r="O1876" s="6" t="s">
        <v>37326</v>
      </c>
      <c r="P1876" s="1" t="s">
        <v>37327</v>
      </c>
      <c r="Q1876" s="1" t="s">
        <v>37328</v>
      </c>
      <c r="R1876" s="1" t="s">
        <v>37329</v>
      </c>
      <c r="S1876" s="10" t="s">
        <v>37330</v>
      </c>
      <c r="T1876" s="1" t="s">
        <v>37331</v>
      </c>
      <c r="U1876" s="1" t="s">
        <v>37332</v>
      </c>
      <c r="V1876" s="1" t="s">
        <v>37328</v>
      </c>
      <c r="W1876" s="1" t="s">
        <v>37333</v>
      </c>
      <c r="X1876" s="1" t="s">
        <v>37334</v>
      </c>
      <c r="Y1876" s="1" t="s">
        <v>37335</v>
      </c>
      <c r="Z1876" s="1" t="s">
        <v>37336</v>
      </c>
      <c r="AA1876" s="1" t="s">
        <v>37337</v>
      </c>
      <c r="AB1876" s="1" t="s">
        <v>37338</v>
      </c>
      <c r="AC1876" s="1" t="s">
        <v>37339</v>
      </c>
      <c r="AD1876" s="6" t="s">
        <v>37340</v>
      </c>
      <c r="AE1876" s="1" t="s">
        <v>37341</v>
      </c>
      <c r="AF1876" s="1" t="s">
        <v>37342</v>
      </c>
      <c r="AG1876" s="6" t="s">
        <v>37343</v>
      </c>
      <c r="AH1876" s="1" t="s">
        <v>37344</v>
      </c>
      <c r="AI1876" s="6" t="s">
        <v>132</v>
      </c>
      <c r="AJ1876" s="6" t="s">
        <v>37345</v>
      </c>
      <c r="AK1876" s="1" t="s">
        <v>37346</v>
      </c>
      <c r="AL1876" s="6" t="s">
        <v>132</v>
      </c>
    </row>
    <row r="1877" ht="15.75" customHeight="1">
      <c r="A1877" s="1" t="s">
        <v>127</v>
      </c>
      <c r="B1877" s="1" t="s">
        <v>37347</v>
      </c>
      <c r="C1877" s="1" t="s">
        <v>15849</v>
      </c>
      <c r="D1877" s="8" t="s">
        <v>15850</v>
      </c>
      <c r="E1877" s="1" t="s">
        <v>37348</v>
      </c>
      <c r="F1877" s="6" t="s">
        <v>132</v>
      </c>
      <c r="G1877" s="1" t="s">
        <v>15852</v>
      </c>
      <c r="H1877" s="1" t="s">
        <v>15853</v>
      </c>
      <c r="I1877" s="1" t="s">
        <v>15849</v>
      </c>
      <c r="J1877" s="6" t="s">
        <v>15854</v>
      </c>
      <c r="K1877" s="1" t="s">
        <v>15849</v>
      </c>
      <c r="L1877" s="1" t="s">
        <v>15856</v>
      </c>
      <c r="M1877" s="1" t="s">
        <v>15857</v>
      </c>
      <c r="N1877" s="6" t="s">
        <v>132</v>
      </c>
      <c r="O1877" s="6" t="s">
        <v>15858</v>
      </c>
      <c r="P1877" s="1" t="s">
        <v>15849</v>
      </c>
      <c r="Q1877" s="1" t="s">
        <v>15859</v>
      </c>
      <c r="R1877" s="1" t="s">
        <v>15849</v>
      </c>
      <c r="S1877" s="10" t="s">
        <v>37349</v>
      </c>
      <c r="T1877" s="1" t="s">
        <v>15860</v>
      </c>
      <c r="U1877" s="1" t="s">
        <v>15861</v>
      </c>
      <c r="V1877" s="1" t="s">
        <v>15862</v>
      </c>
      <c r="W1877" s="1" t="s">
        <v>15849</v>
      </c>
      <c r="X1877" s="1" t="s">
        <v>15863</v>
      </c>
      <c r="Y1877" s="1" t="s">
        <v>37350</v>
      </c>
      <c r="Z1877" s="1" t="s">
        <v>15865</v>
      </c>
      <c r="AA1877" s="1" t="s">
        <v>15866</v>
      </c>
      <c r="AB1877" s="1" t="s">
        <v>15867</v>
      </c>
      <c r="AC1877" s="1" t="s">
        <v>15868</v>
      </c>
      <c r="AD1877" s="6" t="s">
        <v>15869</v>
      </c>
      <c r="AE1877" s="1" t="s">
        <v>37351</v>
      </c>
      <c r="AF1877" s="1" t="s">
        <v>15853</v>
      </c>
      <c r="AG1877" s="6" t="s">
        <v>15871</v>
      </c>
      <c r="AH1877" s="1" t="s">
        <v>15872</v>
      </c>
      <c r="AI1877" s="6" t="s">
        <v>132</v>
      </c>
      <c r="AJ1877" s="6" t="s">
        <v>15873</v>
      </c>
      <c r="AK1877" s="1" t="s">
        <v>15874</v>
      </c>
      <c r="AL1877" s="6" t="s">
        <v>15875</v>
      </c>
    </row>
    <row r="1878" ht="15.75" customHeight="1">
      <c r="A1878" s="1" t="s">
        <v>127</v>
      </c>
      <c r="B1878" s="1" t="s">
        <v>37352</v>
      </c>
      <c r="C1878" s="1" t="s">
        <v>37353</v>
      </c>
      <c r="D1878" s="8" t="s">
        <v>37354</v>
      </c>
      <c r="E1878" s="1" t="s">
        <v>37355</v>
      </c>
      <c r="F1878" s="6" t="s">
        <v>132</v>
      </c>
      <c r="G1878" s="1" t="s">
        <v>37356</v>
      </c>
      <c r="H1878" s="1" t="s">
        <v>37357</v>
      </c>
      <c r="I1878" s="1" t="s">
        <v>37358</v>
      </c>
      <c r="J1878" s="6" t="s">
        <v>37359</v>
      </c>
      <c r="K1878" s="1" t="s">
        <v>37360</v>
      </c>
      <c r="L1878" s="1" t="s">
        <v>37361</v>
      </c>
      <c r="M1878" s="1" t="s">
        <v>37362</v>
      </c>
      <c r="N1878" s="6" t="s">
        <v>132</v>
      </c>
      <c r="O1878" s="6" t="s">
        <v>37363</v>
      </c>
      <c r="P1878" s="1" t="s">
        <v>37364</v>
      </c>
      <c r="Q1878" s="1" t="s">
        <v>37365</v>
      </c>
      <c r="R1878" s="1" t="s">
        <v>37366</v>
      </c>
      <c r="S1878" s="10" t="s">
        <v>37367</v>
      </c>
      <c r="T1878" s="1" t="s">
        <v>37368</v>
      </c>
      <c r="U1878" s="1" t="s">
        <v>37369</v>
      </c>
      <c r="V1878" s="1" t="s">
        <v>37370</v>
      </c>
      <c r="W1878" s="1" t="s">
        <v>37371</v>
      </c>
      <c r="X1878" s="1" t="s">
        <v>37372</v>
      </c>
      <c r="Y1878" s="1" t="s">
        <v>37373</v>
      </c>
      <c r="Z1878" s="1" t="s">
        <v>37374</v>
      </c>
      <c r="AA1878" s="1" t="s">
        <v>37375</v>
      </c>
      <c r="AB1878" s="1" t="s">
        <v>37376</v>
      </c>
      <c r="AC1878" s="1" t="s">
        <v>37377</v>
      </c>
      <c r="AD1878" s="6" t="s">
        <v>37378</v>
      </c>
      <c r="AE1878" s="1" t="s">
        <v>37379</v>
      </c>
      <c r="AF1878" s="1" t="s">
        <v>37380</v>
      </c>
      <c r="AG1878" s="6" t="s">
        <v>37381</v>
      </c>
      <c r="AH1878" s="1" t="s">
        <v>37382</v>
      </c>
      <c r="AI1878" s="6" t="s">
        <v>132</v>
      </c>
      <c r="AJ1878" s="6" t="s">
        <v>37383</v>
      </c>
      <c r="AK1878" s="1" t="s">
        <v>32091</v>
      </c>
      <c r="AL1878" s="6" t="s">
        <v>32092</v>
      </c>
    </row>
    <row r="1879" ht="15.75" customHeight="1">
      <c r="A1879" s="1" t="s">
        <v>127</v>
      </c>
      <c r="B1879" s="1" t="s">
        <v>37384</v>
      </c>
      <c r="C1879" s="1" t="s">
        <v>37385</v>
      </c>
      <c r="D1879" s="8" t="s">
        <v>37386</v>
      </c>
      <c r="E1879" s="1" t="s">
        <v>37387</v>
      </c>
      <c r="F1879" s="6" t="s">
        <v>132</v>
      </c>
      <c r="G1879" s="1" t="s">
        <v>37388</v>
      </c>
      <c r="H1879" s="1" t="s">
        <v>37389</v>
      </c>
      <c r="I1879" s="1" t="s">
        <v>37390</v>
      </c>
      <c r="J1879" s="6" t="s">
        <v>37391</v>
      </c>
      <c r="K1879" s="1" t="s">
        <v>37392</v>
      </c>
      <c r="L1879" s="1" t="s">
        <v>37393</v>
      </c>
      <c r="M1879" s="1" t="s">
        <v>37394</v>
      </c>
      <c r="N1879" s="6" t="s">
        <v>132</v>
      </c>
      <c r="O1879" s="6" t="s">
        <v>37395</v>
      </c>
      <c r="P1879" s="1" t="s">
        <v>37396</v>
      </c>
      <c r="Q1879" s="1" t="s">
        <v>37397</v>
      </c>
      <c r="R1879" s="1" t="s">
        <v>37398</v>
      </c>
      <c r="S1879" s="10" t="s">
        <v>37399</v>
      </c>
      <c r="T1879" s="1" t="s">
        <v>37400</v>
      </c>
      <c r="U1879" s="1" t="s">
        <v>37401</v>
      </c>
      <c r="V1879" s="1" t="s">
        <v>37402</v>
      </c>
      <c r="W1879" s="1" t="s">
        <v>37403</v>
      </c>
      <c r="X1879" s="1" t="s">
        <v>37404</v>
      </c>
      <c r="Y1879" s="1" t="s">
        <v>37405</v>
      </c>
      <c r="Z1879" s="1" t="s">
        <v>37406</v>
      </c>
      <c r="AA1879" s="1" t="s">
        <v>37407</v>
      </c>
      <c r="AB1879" s="1" t="s">
        <v>37408</v>
      </c>
      <c r="AC1879" s="1" t="s">
        <v>37409</v>
      </c>
      <c r="AD1879" s="6" t="s">
        <v>37410</v>
      </c>
      <c r="AE1879" s="1" t="s">
        <v>37411</v>
      </c>
      <c r="AF1879" s="1" t="s">
        <v>37412</v>
      </c>
      <c r="AG1879" s="6" t="s">
        <v>37413</v>
      </c>
      <c r="AH1879" s="1" t="s">
        <v>37414</v>
      </c>
      <c r="AI1879" s="6" t="s">
        <v>132</v>
      </c>
      <c r="AJ1879" s="6" t="s">
        <v>37415</v>
      </c>
      <c r="AK1879" s="1" t="s">
        <v>37416</v>
      </c>
      <c r="AL1879" s="6" t="s">
        <v>37417</v>
      </c>
    </row>
    <row r="1880" ht="15.75" hidden="1" customHeight="1">
      <c r="A1880" s="1" t="s">
        <v>38</v>
      </c>
      <c r="B1880" s="1" t="s">
        <v>37418</v>
      </c>
      <c r="C1880" s="1" t="s">
        <v>37419</v>
      </c>
      <c r="D1880" s="8" t="s">
        <v>37420</v>
      </c>
      <c r="E1880" s="1" t="s">
        <v>37421</v>
      </c>
      <c r="F1880" s="6" t="s">
        <v>37422</v>
      </c>
      <c r="G1880" s="7" t="str">
        <f>IFERROR(__xludf.DUMMYFUNCTION("GOOGLETRANSLATE(C1880, ""en"", ""cs"")"),"Exportní historie")</f>
        <v>Exportní historie</v>
      </c>
      <c r="H1880" s="7" t="str">
        <f>IFERROR(__xludf.DUMMYFUNCTION("GOOGLETRANSLATE(C1880, ""en"", ""da"")"),"Eksport Historie.")</f>
        <v>Eksport Historie.</v>
      </c>
      <c r="I1880" s="1" t="s">
        <v>37423</v>
      </c>
      <c r="J1880" s="6" t="s">
        <v>132</v>
      </c>
      <c r="K1880" s="1" t="s">
        <v>37424</v>
      </c>
      <c r="L1880" s="7" t="str">
        <f>IFERROR(__xludf.DUMMYFUNCTION("GOOGLETRANSLATE(C1880, ""en"", ""fi"")"),"Vientihistoria")</f>
        <v>Vientihistoria</v>
      </c>
      <c r="M1880" s="1" t="s">
        <v>37425</v>
      </c>
      <c r="N1880" s="6" t="s">
        <v>37424</v>
      </c>
      <c r="O1880" s="6" t="s">
        <v>132</v>
      </c>
      <c r="P1880" s="1" t="s">
        <v>37426</v>
      </c>
      <c r="Q1880" s="7" t="str">
        <f>IFERROR(__xludf.DUMMYFUNCTION("GOOGLETRANSLATE(C1880, ""en"", ""in"")"),"Sejarah Ekspor")</f>
        <v>Sejarah Ekspor</v>
      </c>
      <c r="R1880" s="1" t="s">
        <v>37427</v>
      </c>
      <c r="S1880" s="6" t="s">
        <v>132</v>
      </c>
      <c r="T1880" s="1" t="s">
        <v>37428</v>
      </c>
      <c r="U1880" s="1" t="s">
        <v>37429</v>
      </c>
      <c r="V1880" s="7" t="str">
        <f>IFERROR(__xludf.DUMMYFUNCTION("GOOGLETRANSLATE(C1880, ""en"", ""ms"")"),"Sejarah eksport")</f>
        <v>Sejarah eksport</v>
      </c>
      <c r="W1880" s="1" t="s">
        <v>37430</v>
      </c>
      <c r="X1880" s="7" t="str">
        <f>IFERROR(__xludf.DUMMYFUNCTION("GOOGLETRANSLATE(C1880, ""en"", ""no"")"),"Eksporterhistorikk")</f>
        <v>Eksporterhistorikk</v>
      </c>
      <c r="Y1880" s="1" t="s">
        <v>37431</v>
      </c>
      <c r="Z1880" s="1" t="s">
        <v>37432</v>
      </c>
      <c r="AA1880" s="7" t="str">
        <f>IFERROR(__xludf.DUMMYFUNCTION("GOOGLETRANSLATE(C1880, ""en"", ""ro"")"),"Istoricul exportului")</f>
        <v>Istoricul exportului</v>
      </c>
      <c r="AB1880" s="1" t="s">
        <v>37433</v>
      </c>
      <c r="AC1880" s="7" t="str">
        <f>IFERROR(__xludf.DUMMYFUNCTION("GOOGLETRANSLATE(C1880, ""en"", ""sk"")"),"Vývozná história")</f>
        <v>Vývozná história</v>
      </c>
      <c r="AD1880" s="6" t="s">
        <v>132</v>
      </c>
      <c r="AE1880" s="1" t="s">
        <v>37434</v>
      </c>
      <c r="AF1880" s="1" t="s">
        <v>37435</v>
      </c>
      <c r="AG1880" s="6" t="s">
        <v>132</v>
      </c>
      <c r="AH1880" s="7" t="str">
        <f>IFERROR(__xludf.DUMMYFUNCTION("GOOGLETRANSLATE(C1880, ""en"", ""tr"")"),"İhracat geçmişi")</f>
        <v>İhracat geçmişi</v>
      </c>
      <c r="AI1880" s="6" t="s">
        <v>37436</v>
      </c>
      <c r="AJ1880" s="6" t="s">
        <v>132</v>
      </c>
      <c r="AK1880" s="7" t="str">
        <f>IFERROR(__xludf.DUMMYFUNCTION("GOOGLETRANSLATE(C1880, ""en"", ""zh"")"),"出口历史")</f>
        <v>出口历史</v>
      </c>
      <c r="AL1880" s="6" t="s">
        <v>37437</v>
      </c>
    </row>
    <row r="1881" ht="15.75" customHeight="1">
      <c r="A1881" s="1" t="s">
        <v>127</v>
      </c>
      <c r="B1881" s="1" t="s">
        <v>37438</v>
      </c>
      <c r="C1881" s="1" t="s">
        <v>37439</v>
      </c>
      <c r="D1881" s="8" t="s">
        <v>37440</v>
      </c>
      <c r="E1881" s="1" t="s">
        <v>37441</v>
      </c>
      <c r="F1881" s="6" t="s">
        <v>132</v>
      </c>
      <c r="G1881" s="1" t="s">
        <v>37442</v>
      </c>
      <c r="H1881" s="1" t="s">
        <v>37443</v>
      </c>
      <c r="I1881" s="1" t="s">
        <v>37444</v>
      </c>
      <c r="J1881" s="6" t="s">
        <v>37445</v>
      </c>
      <c r="K1881" s="1" t="s">
        <v>37446</v>
      </c>
      <c r="L1881" s="1" t="s">
        <v>37447</v>
      </c>
      <c r="M1881" s="1" t="s">
        <v>37448</v>
      </c>
      <c r="N1881" s="6" t="s">
        <v>132</v>
      </c>
      <c r="O1881" s="6" t="s">
        <v>37449</v>
      </c>
      <c r="P1881" s="1" t="s">
        <v>37450</v>
      </c>
      <c r="Q1881" s="1" t="s">
        <v>37451</v>
      </c>
      <c r="R1881" s="1" t="s">
        <v>37452</v>
      </c>
      <c r="S1881" s="10" t="s">
        <v>37453</v>
      </c>
      <c r="T1881" s="1" t="s">
        <v>37454</v>
      </c>
      <c r="U1881" s="1" t="s">
        <v>37455</v>
      </c>
      <c r="V1881" s="1" t="s">
        <v>37451</v>
      </c>
      <c r="W1881" s="1" t="s">
        <v>37456</v>
      </c>
      <c r="X1881" s="1" t="s">
        <v>37457</v>
      </c>
      <c r="Y1881" s="1" t="s">
        <v>37458</v>
      </c>
      <c r="Z1881" s="1" t="s">
        <v>37459</v>
      </c>
      <c r="AA1881" s="1" t="s">
        <v>37460</v>
      </c>
      <c r="AB1881" s="1" t="s">
        <v>37461</v>
      </c>
      <c r="AC1881" s="1" t="s">
        <v>37462</v>
      </c>
      <c r="AD1881" s="6" t="s">
        <v>37463</v>
      </c>
      <c r="AE1881" s="1" t="s">
        <v>37464</v>
      </c>
      <c r="AF1881" s="1" t="s">
        <v>37465</v>
      </c>
      <c r="AG1881" s="6" t="s">
        <v>37466</v>
      </c>
      <c r="AH1881" s="1" t="s">
        <v>37467</v>
      </c>
      <c r="AI1881" s="6" t="s">
        <v>132</v>
      </c>
      <c r="AJ1881" s="6" t="s">
        <v>37468</v>
      </c>
      <c r="AK1881" s="1" t="s">
        <v>37469</v>
      </c>
      <c r="AL1881" s="6" t="s">
        <v>37470</v>
      </c>
    </row>
    <row r="1882" ht="15.75" customHeight="1">
      <c r="A1882" s="1" t="s">
        <v>127</v>
      </c>
      <c r="B1882" s="1" t="s">
        <v>37471</v>
      </c>
      <c r="C1882" s="1" t="s">
        <v>37472</v>
      </c>
      <c r="D1882" s="8" t="s">
        <v>37473</v>
      </c>
      <c r="E1882" s="1" t="s">
        <v>37474</v>
      </c>
      <c r="F1882" s="6" t="s">
        <v>132</v>
      </c>
      <c r="G1882" s="1" t="s">
        <v>37475</v>
      </c>
      <c r="H1882" s="1" t="s">
        <v>37476</v>
      </c>
      <c r="I1882" s="1" t="s">
        <v>37477</v>
      </c>
      <c r="J1882" s="6" t="s">
        <v>37478</v>
      </c>
      <c r="K1882" s="1" t="s">
        <v>37479</v>
      </c>
      <c r="L1882" s="1" t="s">
        <v>37480</v>
      </c>
      <c r="M1882" s="1" t="s">
        <v>37481</v>
      </c>
      <c r="N1882" s="6" t="s">
        <v>132</v>
      </c>
      <c r="O1882" s="6" t="s">
        <v>37482</v>
      </c>
      <c r="P1882" s="1" t="s">
        <v>37483</v>
      </c>
      <c r="Q1882" s="1" t="s">
        <v>37484</v>
      </c>
      <c r="R1882" s="1" t="s">
        <v>37485</v>
      </c>
      <c r="S1882" s="10" t="s">
        <v>37486</v>
      </c>
      <c r="T1882" s="1" t="s">
        <v>37487</v>
      </c>
      <c r="U1882" s="1" t="s">
        <v>37488</v>
      </c>
      <c r="V1882" s="1" t="s">
        <v>37489</v>
      </c>
      <c r="W1882" s="1" t="s">
        <v>37490</v>
      </c>
      <c r="X1882" s="1" t="s">
        <v>37491</v>
      </c>
      <c r="Y1882" s="1" t="s">
        <v>37492</v>
      </c>
      <c r="Z1882" s="1" t="s">
        <v>37493</v>
      </c>
      <c r="AA1882" s="1" t="s">
        <v>37494</v>
      </c>
      <c r="AB1882" s="1" t="s">
        <v>37495</v>
      </c>
      <c r="AC1882" s="1" t="s">
        <v>37496</v>
      </c>
      <c r="AD1882" s="6" t="s">
        <v>37497</v>
      </c>
      <c r="AE1882" s="1" t="s">
        <v>37498</v>
      </c>
      <c r="AF1882" s="1" t="s">
        <v>37499</v>
      </c>
      <c r="AG1882" s="6" t="s">
        <v>37500</v>
      </c>
      <c r="AH1882" s="1" t="s">
        <v>37501</v>
      </c>
      <c r="AI1882" s="6" t="s">
        <v>132</v>
      </c>
      <c r="AJ1882" s="6" t="s">
        <v>37502</v>
      </c>
      <c r="AK1882" s="1" t="s">
        <v>37503</v>
      </c>
      <c r="AL1882" s="6" t="s">
        <v>132</v>
      </c>
    </row>
    <row r="1883" ht="15.75" hidden="1" customHeight="1">
      <c r="A1883" s="1" t="s">
        <v>38</v>
      </c>
      <c r="B1883" s="1" t="s">
        <v>37504</v>
      </c>
      <c r="C1883" s="1" t="s">
        <v>37505</v>
      </c>
      <c r="D1883" s="7" t="str">
        <f>IFERROR(__xludf.DUMMYFUNCTION("GOOGLETRANSLATE(C1883, ""en"", ""ar"")"),"بروناي دار السلام")</f>
        <v>بروناي دار السلام</v>
      </c>
      <c r="E1883" s="7" t="str">
        <f>IFERROR(__xludf.DUMMYFUNCTION("GOOGLETRANSLATE(C1883, ""en"", ""bg"")"),"Бруней Даруссалам")</f>
        <v>Бруней Даруссалам</v>
      </c>
      <c r="F1883" s="6" t="s">
        <v>132</v>
      </c>
      <c r="G1883" s="7" t="str">
        <f>IFERROR(__xludf.DUMMYFUNCTION("GOOGLETRANSLATE(C1883, ""en"", ""cs"")"),"Brunej Darussalam.")</f>
        <v>Brunej Darussalam.</v>
      </c>
      <c r="H1883" s="7" t="str">
        <f>IFERROR(__xludf.DUMMYFUNCTION("GOOGLETRANSLATE(C1883, ""en"", ""da"")"),"Brunei Darussalam.")</f>
        <v>Brunei Darussalam.</v>
      </c>
      <c r="I1883" s="1" t="s">
        <v>37505</v>
      </c>
      <c r="J1883" s="6" t="s">
        <v>132</v>
      </c>
      <c r="K1883" s="1" t="s">
        <v>37506</v>
      </c>
      <c r="L1883" s="7" t="str">
        <f>IFERROR(__xludf.DUMMYFUNCTION("GOOGLETRANSLATE(C1883, ""en"", ""fi"")"),"Brunei Darussalam")</f>
        <v>Brunei Darussalam</v>
      </c>
      <c r="M1883" s="1" t="s">
        <v>37505</v>
      </c>
      <c r="N1883" s="6" t="s">
        <v>132</v>
      </c>
      <c r="O1883" s="6" t="s">
        <v>132</v>
      </c>
      <c r="P1883" s="1" t="s">
        <v>37505</v>
      </c>
      <c r="Q1883" s="7" t="str">
        <f>IFERROR(__xludf.DUMMYFUNCTION("GOOGLETRANSLATE(C1883, ""en"", ""in"")"),"Brunei Darussalam")</f>
        <v>Brunei Darussalam</v>
      </c>
      <c r="R1883" s="7" t="str">
        <f>IFERROR(__xludf.DUMMYFUNCTION("GOOGLETRANSLATE(C1883, ""en"", ""it"")"),"Brunei Darussalam.")</f>
        <v>Brunei Darussalam.</v>
      </c>
      <c r="S1883" s="6" t="s">
        <v>132</v>
      </c>
      <c r="T1883" s="7" t="str">
        <f>IFERROR(__xludf.DUMMYFUNCTION("GOOGLETRANSLATE(C1883, ""en"", ""ja"")"),"ブルネイ・ダルサラム")</f>
        <v>ブルネイ・ダルサラム</v>
      </c>
      <c r="U1883" s="7" t="str">
        <f>IFERROR(__xludf.DUMMYFUNCTION("GOOGLETRANSLATE(C1883, ""en"", ""ko"")"),"브루나이 Darussalam.")</f>
        <v>브루나이 Darussalam.</v>
      </c>
      <c r="V1883" s="7" t="str">
        <f>IFERROR(__xludf.DUMMYFUNCTION("GOOGLETRANSLATE(C1883, ""en"", ""ms"")"),"Brunei Darussalam")</f>
        <v>Brunei Darussalam</v>
      </c>
      <c r="W1883" s="7" t="str">
        <f>IFERROR(__xludf.DUMMYFUNCTION("GOOGLETRANSLATE(C1883, ""en"", ""nl"")"),"Brunei Darussalam")</f>
        <v>Brunei Darussalam</v>
      </c>
      <c r="X1883" s="7" t="str">
        <f>IFERROR(__xludf.DUMMYFUNCTION("GOOGLETRANSLATE(C1883, ""en"", ""no"")"),"Brunei Darussalam")</f>
        <v>Brunei Darussalam</v>
      </c>
      <c r="Y1883" s="7" t="str">
        <f>IFERROR(__xludf.DUMMYFUNCTION("GOOGLETRANSLATE(C1883, ""en"", ""pl"")"),"Brunei Darussalam.")</f>
        <v>Brunei Darussalam.</v>
      </c>
      <c r="Z1883" s="7" t="str">
        <f>IFERROR(__xludf.DUMMYFUNCTION("GOOGLETRANSLATE(C1883, ""en"", ""pt"")"),"Brunei Darussalam")</f>
        <v>Brunei Darussalam</v>
      </c>
      <c r="AA1883" s="7" t="str">
        <f>IFERROR(__xludf.DUMMYFUNCTION("GOOGLETRANSLATE(C1883, ""en"", ""ro"")"),"Brunei Darussalam")</f>
        <v>Brunei Darussalam</v>
      </c>
      <c r="AB1883" s="1" t="s">
        <v>37507</v>
      </c>
      <c r="AC1883" s="7" t="str">
        <f>IFERROR(__xludf.DUMMYFUNCTION("GOOGLETRANSLATE(C1883, ""en"", ""sk"")"),"Brunei Darussalamský")</f>
        <v>Brunei Darussalamský</v>
      </c>
      <c r="AD1883" s="6" t="s">
        <v>132</v>
      </c>
      <c r="AE1883" s="1" t="s">
        <v>37508</v>
      </c>
      <c r="AF1883" s="7" t="str">
        <f>IFERROR(__xludf.DUMMYFUNCTION("GOOGLETRANSLATE(C1883, ""en"", ""sv"")"),"Brunei darussalam")</f>
        <v>Brunei darussalam</v>
      </c>
      <c r="AG1883" s="6" t="s">
        <v>132</v>
      </c>
      <c r="AH1883" s="7" t="str">
        <f>IFERROR(__xludf.DUMMYFUNCTION("GOOGLETRANSLATE(C1883, ""en"", ""tr"")"),"Brunei darüssalam")</f>
        <v>Brunei darüssalam</v>
      </c>
      <c r="AI1883" s="6" t="s">
        <v>132</v>
      </c>
      <c r="AJ1883" s="6" t="s">
        <v>132</v>
      </c>
      <c r="AK1883" s="7" t="str">
        <f>IFERROR(__xludf.DUMMYFUNCTION("GOOGLETRANSLATE(C1883, ""en"", ""zh"")"),"文莱达鲁萨兰国")</f>
        <v>文莱达鲁萨兰国</v>
      </c>
      <c r="AL1883" s="6" t="s">
        <v>132</v>
      </c>
    </row>
    <row r="1884" ht="15.75" customHeight="1">
      <c r="A1884" s="1" t="s">
        <v>127</v>
      </c>
      <c r="B1884" s="1" t="s">
        <v>37509</v>
      </c>
      <c r="C1884" s="1" t="s">
        <v>21637</v>
      </c>
      <c r="D1884" s="8" t="s">
        <v>21638</v>
      </c>
      <c r="E1884" s="1" t="s">
        <v>21639</v>
      </c>
      <c r="F1884" s="6" t="s">
        <v>132</v>
      </c>
      <c r="G1884" s="1" t="s">
        <v>21637</v>
      </c>
      <c r="H1884" s="1" t="s">
        <v>21637</v>
      </c>
      <c r="I1884" s="1" t="s">
        <v>21637</v>
      </c>
      <c r="J1884" s="6" t="s">
        <v>21640</v>
      </c>
      <c r="K1884" s="1" t="s">
        <v>21637</v>
      </c>
      <c r="L1884" s="1" t="s">
        <v>21641</v>
      </c>
      <c r="M1884" s="1" t="s">
        <v>21637</v>
      </c>
      <c r="N1884" s="6" t="s">
        <v>132</v>
      </c>
      <c r="O1884" s="6" t="s">
        <v>21642</v>
      </c>
      <c r="P1884" s="1" t="s">
        <v>21637</v>
      </c>
      <c r="Q1884" s="1" t="s">
        <v>21653</v>
      </c>
      <c r="R1884" s="1" t="s">
        <v>21637</v>
      </c>
      <c r="S1884" s="10" t="s">
        <v>21644</v>
      </c>
      <c r="T1884" s="1" t="s">
        <v>21655</v>
      </c>
      <c r="U1884" s="1" t="s">
        <v>21646</v>
      </c>
      <c r="V1884" s="1" t="s">
        <v>21647</v>
      </c>
      <c r="W1884" s="1" t="s">
        <v>21637</v>
      </c>
      <c r="X1884" s="1" t="s">
        <v>21648</v>
      </c>
      <c r="Y1884" s="1" t="s">
        <v>21637</v>
      </c>
      <c r="Z1884" s="1" t="s">
        <v>37510</v>
      </c>
      <c r="AA1884" s="1" t="s">
        <v>21637</v>
      </c>
      <c r="AB1884" s="1" t="s">
        <v>37511</v>
      </c>
      <c r="AC1884" s="1" t="s">
        <v>21650</v>
      </c>
      <c r="AD1884" s="6" t="s">
        <v>21651</v>
      </c>
      <c r="AE1884" s="1" t="s">
        <v>21637</v>
      </c>
      <c r="AF1884" s="1" t="s">
        <v>21637</v>
      </c>
      <c r="AG1884" s="6" t="s">
        <v>21652</v>
      </c>
      <c r="AH1884" s="1" t="s">
        <v>21653</v>
      </c>
      <c r="AI1884" s="6" t="s">
        <v>132</v>
      </c>
      <c r="AJ1884" s="6" t="s">
        <v>21654</v>
      </c>
      <c r="AK1884" s="1" t="s">
        <v>21655</v>
      </c>
      <c r="AL1884" s="6" t="s">
        <v>21656</v>
      </c>
    </row>
    <row r="1885" ht="15.75" hidden="1" customHeight="1">
      <c r="A1885" s="1" t="s">
        <v>38</v>
      </c>
      <c r="B1885" s="1" t="s">
        <v>37512</v>
      </c>
      <c r="C1885" s="1" t="s">
        <v>37513</v>
      </c>
      <c r="D1885" s="8" t="s">
        <v>37514</v>
      </c>
      <c r="E1885" s="1" t="s">
        <v>37515</v>
      </c>
      <c r="F1885" s="6" t="s">
        <v>37516</v>
      </c>
      <c r="G1885" s="7" t="str">
        <f>IFERROR(__xludf.DUMMYFUNCTION("GOOGLETRANSLATE(C1885, ""en"", ""cs"")"),"Provádět akci")</f>
        <v>Provádět akci</v>
      </c>
      <c r="H1885" s="7" t="str">
        <f>IFERROR(__xludf.DUMMYFUNCTION("GOOGLETRANSLATE(C1885, ""en"", ""da"")"),"Udføre handling med")</f>
        <v>Udføre handling med</v>
      </c>
      <c r="I1885" s="1" t="s">
        <v>37517</v>
      </c>
      <c r="J1885" s="6" t="s">
        <v>132</v>
      </c>
      <c r="K1885" s="1" t="s">
        <v>37518</v>
      </c>
      <c r="L1885" s="7" t="str">
        <f>IFERROR(__xludf.DUMMYFUNCTION("GOOGLETRANSLATE(C1885, ""en"", ""fi"")"),"Suorittaa toimia")</f>
        <v>Suorittaa toimia</v>
      </c>
      <c r="M1885" s="1" t="s">
        <v>37519</v>
      </c>
      <c r="N1885" s="6" t="s">
        <v>37520</v>
      </c>
      <c r="O1885" s="6" t="s">
        <v>132</v>
      </c>
      <c r="P1885" s="1" t="s">
        <v>37521</v>
      </c>
      <c r="Q1885" s="9" t="s">
        <v>37522</v>
      </c>
      <c r="R1885" s="1" t="s">
        <v>37523</v>
      </c>
      <c r="S1885" s="6" t="s">
        <v>132</v>
      </c>
      <c r="T1885" s="1" t="s">
        <v>37524</v>
      </c>
      <c r="U1885" s="1" t="s">
        <v>37525</v>
      </c>
      <c r="V1885" s="7" t="str">
        <f>IFERROR(__xludf.DUMMYFUNCTION("GOOGLETRANSLATE(C1885, ""en"", ""ms"")"),"Melakukan tindakan dengan")</f>
        <v>Melakukan tindakan dengan</v>
      </c>
      <c r="W1885" s="1" t="s">
        <v>37526</v>
      </c>
      <c r="X1885" s="7" t="str">
        <f>IFERROR(__xludf.DUMMYFUNCTION("GOOGLETRANSLATE(C1885, ""en"", ""no"")"),"Utfør handling med")</f>
        <v>Utfør handling med</v>
      </c>
      <c r="Y1885" s="1" t="s">
        <v>37527</v>
      </c>
      <c r="Z1885" s="1" t="s">
        <v>37528</v>
      </c>
      <c r="AA1885" s="7" t="str">
        <f>IFERROR(__xludf.DUMMYFUNCTION("GOOGLETRANSLATE(C1885, ""en"", ""ro"")"),"Efectuați acțiune cu")</f>
        <v>Efectuați acțiune cu</v>
      </c>
      <c r="AB1885" s="1" t="s">
        <v>37529</v>
      </c>
      <c r="AC1885" s="1" t="s">
        <v>37530</v>
      </c>
      <c r="AD1885" s="6" t="s">
        <v>132</v>
      </c>
      <c r="AE1885" s="1" t="s">
        <v>37531</v>
      </c>
      <c r="AF1885" s="1" t="s">
        <v>37532</v>
      </c>
      <c r="AG1885" s="6" t="s">
        <v>132</v>
      </c>
      <c r="AH1885" s="7" t="str">
        <f>IFERROR(__xludf.DUMMYFUNCTION("GOOGLETRANSLATE(C1885, ""en"", ""tr"")"),"İle eylem yapmak")</f>
        <v>İle eylem yapmak</v>
      </c>
      <c r="AI1885" s="6" t="s">
        <v>37533</v>
      </c>
      <c r="AJ1885" s="6" t="s">
        <v>37534</v>
      </c>
      <c r="AK1885" s="7" t="str">
        <f>IFERROR(__xludf.DUMMYFUNCTION("GOOGLETRANSLATE(C1885, ""en"", ""zh"")"),"执行行动")</f>
        <v>执行行动</v>
      </c>
      <c r="AL1885" s="6" t="s">
        <v>37535</v>
      </c>
    </row>
    <row r="1886" ht="15.75" customHeight="1">
      <c r="A1886" s="1" t="s">
        <v>127</v>
      </c>
      <c r="B1886" s="1" t="s">
        <v>37536</v>
      </c>
      <c r="C1886" s="1" t="s">
        <v>37537</v>
      </c>
      <c r="D1886" s="8" t="s">
        <v>37538</v>
      </c>
      <c r="E1886" s="1" t="s">
        <v>37539</v>
      </c>
      <c r="F1886" s="6" t="s">
        <v>132</v>
      </c>
      <c r="G1886" s="1" t="s">
        <v>37540</v>
      </c>
      <c r="H1886" s="1" t="s">
        <v>37541</v>
      </c>
      <c r="I1886" s="1" t="s">
        <v>37542</v>
      </c>
      <c r="J1886" s="6" t="s">
        <v>37543</v>
      </c>
      <c r="K1886" s="1" t="s">
        <v>37544</v>
      </c>
      <c r="L1886" s="1" t="s">
        <v>37545</v>
      </c>
      <c r="M1886" s="1" t="s">
        <v>33299</v>
      </c>
      <c r="N1886" s="6" t="s">
        <v>132</v>
      </c>
      <c r="O1886" s="6" t="s">
        <v>37546</v>
      </c>
      <c r="P1886" s="1" t="s">
        <v>37547</v>
      </c>
      <c r="Q1886" s="1" t="s">
        <v>37548</v>
      </c>
      <c r="R1886" s="1" t="s">
        <v>37549</v>
      </c>
      <c r="S1886" s="10" t="s">
        <v>37550</v>
      </c>
      <c r="T1886" s="1" t="s">
        <v>37551</v>
      </c>
      <c r="U1886" s="1" t="s">
        <v>37552</v>
      </c>
      <c r="V1886" s="1" t="s">
        <v>37553</v>
      </c>
      <c r="W1886" s="1" t="s">
        <v>37554</v>
      </c>
      <c r="X1886" s="1" t="s">
        <v>37541</v>
      </c>
      <c r="Y1886" s="1" t="s">
        <v>37555</v>
      </c>
      <c r="Z1886" s="1" t="s">
        <v>37556</v>
      </c>
      <c r="AA1886" s="1" t="s">
        <v>37557</v>
      </c>
      <c r="AB1886" s="1" t="s">
        <v>37558</v>
      </c>
      <c r="AC1886" s="1" t="s">
        <v>37559</v>
      </c>
      <c r="AD1886" s="6" t="s">
        <v>37560</v>
      </c>
      <c r="AE1886" s="1" t="s">
        <v>37537</v>
      </c>
      <c r="AF1886" s="1" t="s">
        <v>37561</v>
      </c>
      <c r="AG1886" s="6" t="s">
        <v>37562</v>
      </c>
      <c r="AH1886" s="1" t="s">
        <v>37563</v>
      </c>
      <c r="AI1886" s="6" t="s">
        <v>132</v>
      </c>
      <c r="AJ1886" s="6" t="s">
        <v>37564</v>
      </c>
      <c r="AK1886" s="1" t="s">
        <v>37565</v>
      </c>
      <c r="AL1886" s="6" t="s">
        <v>37566</v>
      </c>
    </row>
    <row r="1887" ht="15.75" hidden="1" customHeight="1">
      <c r="A1887" s="1" t="s">
        <v>38</v>
      </c>
      <c r="B1887" s="1" t="s">
        <v>37567</v>
      </c>
      <c r="C1887" s="1" t="s">
        <v>37568</v>
      </c>
      <c r="D1887" s="8" t="s">
        <v>37569</v>
      </c>
      <c r="E1887" s="1" t="s">
        <v>37570</v>
      </c>
      <c r="F1887" s="6" t="s">
        <v>37571</v>
      </c>
      <c r="G1887" s="7" t="str">
        <f>IFERROR(__xludf.DUMMYFUNCTION("GOOGLETRANSLATE(C1887, ""en"", ""cs"")"),"Synchronizace s kontakty")</f>
        <v>Synchronizace s kontakty</v>
      </c>
      <c r="H1887" s="7" t="str">
        <f>IFERROR(__xludf.DUMMYFUNCTION("GOOGLETRANSLATE(C1887, ""en"", ""da"")"),"Synkronisere med kontakter")</f>
        <v>Synkronisere med kontakter</v>
      </c>
      <c r="I1887" s="1" t="s">
        <v>37572</v>
      </c>
      <c r="J1887" s="6" t="s">
        <v>132</v>
      </c>
      <c r="K1887" s="1" t="s">
        <v>37573</v>
      </c>
      <c r="L1887" s="7" t="str">
        <f>IFERROR(__xludf.DUMMYFUNCTION("GOOGLETRANSLATE(C1887, ""en"", ""fi"")"),"Synkronoi yhteystietojen kanssa")</f>
        <v>Synkronoi yhteystietojen kanssa</v>
      </c>
      <c r="M1887" s="1" t="s">
        <v>37574</v>
      </c>
      <c r="N1887" s="6" t="s">
        <v>37575</v>
      </c>
      <c r="O1887" s="6" t="s">
        <v>132</v>
      </c>
      <c r="P1887" s="1" t="s">
        <v>37576</v>
      </c>
      <c r="Q1887" s="9" t="s">
        <v>37577</v>
      </c>
      <c r="R1887" s="1" t="s">
        <v>37578</v>
      </c>
      <c r="S1887" s="6" t="s">
        <v>132</v>
      </c>
      <c r="T1887" s="1" t="s">
        <v>37579</v>
      </c>
      <c r="U1887" s="1" t="s">
        <v>37580</v>
      </c>
      <c r="V1887" s="7" t="str">
        <f>IFERROR(__xludf.DUMMYFUNCTION("GOOGLETRANSLATE(C1887, ""en"", ""ms"")"),"Menyegerakkan dengan kenalan")</f>
        <v>Menyegerakkan dengan kenalan</v>
      </c>
      <c r="W1887" s="1" t="s">
        <v>37581</v>
      </c>
      <c r="X1887" s="7" t="str">
        <f>IFERROR(__xludf.DUMMYFUNCTION("GOOGLETRANSLATE(C1887, ""en"", ""no"")"),"Synkroniser med kontakter")</f>
        <v>Synkroniser med kontakter</v>
      </c>
      <c r="Y1887" s="1" t="s">
        <v>37582</v>
      </c>
      <c r="Z1887" s="1" t="s">
        <v>37583</v>
      </c>
      <c r="AA1887" s="7" t="str">
        <f>IFERROR(__xludf.DUMMYFUNCTION("GOOGLETRANSLATE(C1887, ""en"", ""ro"")"),"Sincronizați cu contactele")</f>
        <v>Sincronizați cu contactele</v>
      </c>
      <c r="AB1887" s="1" t="s">
        <v>37584</v>
      </c>
      <c r="AC1887" s="7" t="str">
        <f>IFERROR(__xludf.DUMMYFUNCTION("GOOGLETRANSLATE(C1887, ""en"", ""sk"")"),"Synchronizovať s kontaktmi")</f>
        <v>Synchronizovať s kontaktmi</v>
      </c>
      <c r="AD1887" s="6" t="s">
        <v>132</v>
      </c>
      <c r="AE1887" s="1" t="s">
        <v>37585</v>
      </c>
      <c r="AF1887" s="1" t="s">
        <v>37586</v>
      </c>
      <c r="AG1887" s="6" t="s">
        <v>132</v>
      </c>
      <c r="AH1887" s="7" t="str">
        <f>IFERROR(__xludf.DUMMYFUNCTION("GOOGLETRANSLATE(C1887, ""en"", ""tr"")"),"İletişim ile senkronize edin")</f>
        <v>İletişim ile senkronize edin</v>
      </c>
      <c r="AI1887" s="6" t="s">
        <v>37587</v>
      </c>
      <c r="AJ1887" s="6" t="s">
        <v>37588</v>
      </c>
      <c r="AK1887" s="7" t="str">
        <f>IFERROR(__xludf.DUMMYFUNCTION("GOOGLETRANSLATE(C1887, ""en"", ""zh"")"),"与联系人同步")</f>
        <v>与联系人同步</v>
      </c>
      <c r="AL1887" s="6" t="s">
        <v>37589</v>
      </c>
    </row>
    <row r="1888" ht="15.75" hidden="1" customHeight="1">
      <c r="A1888" s="1" t="s">
        <v>38</v>
      </c>
      <c r="B1888" s="1" t="s">
        <v>37590</v>
      </c>
      <c r="C1888" s="1" t="s">
        <v>37591</v>
      </c>
      <c r="D1888" s="8" t="s">
        <v>37592</v>
      </c>
      <c r="E1888" s="1" t="s">
        <v>37593</v>
      </c>
      <c r="F1888" s="6" t="s">
        <v>37594</v>
      </c>
      <c r="G1888" s="7" t="str">
        <f>IFERROR(__xludf.DUMMYFUNCTION("GOOGLETRANSLATE(C1888, ""en"", ""cs"")"),"Mě")</f>
        <v>Mě</v>
      </c>
      <c r="H1888" s="7" t="str">
        <f>IFERROR(__xludf.DUMMYFUNCTION("GOOGLETRANSLATE(C1888, ""en"", ""da"")"),"Mig")</f>
        <v>Mig</v>
      </c>
      <c r="I1888" s="1" t="s">
        <v>37595</v>
      </c>
      <c r="J1888" s="6" t="s">
        <v>132</v>
      </c>
      <c r="K1888" s="1" t="s">
        <v>37596</v>
      </c>
      <c r="L1888" s="7" t="str">
        <f>IFERROR(__xludf.DUMMYFUNCTION("GOOGLETRANSLATE(C1888, ""en"", ""fi"")"),"Minä")</f>
        <v>Minä</v>
      </c>
      <c r="M1888" s="1" t="s">
        <v>37597</v>
      </c>
      <c r="N1888" s="6" t="s">
        <v>37598</v>
      </c>
      <c r="O1888" s="6" t="s">
        <v>132</v>
      </c>
      <c r="P1888" s="1" t="s">
        <v>37599</v>
      </c>
      <c r="Q1888" s="7" t="str">
        <f>IFERROR(__xludf.DUMMYFUNCTION("GOOGLETRANSLATE(C1888, ""en"", ""in"")"),"Saya")</f>
        <v>Saya</v>
      </c>
      <c r="R1888" s="1" t="s">
        <v>37600</v>
      </c>
      <c r="S1888" s="6" t="s">
        <v>132</v>
      </c>
      <c r="T1888" s="1" t="s">
        <v>37601</v>
      </c>
      <c r="U1888" s="1" t="s">
        <v>37602</v>
      </c>
      <c r="V1888" s="7" t="str">
        <f>IFERROR(__xludf.DUMMYFUNCTION("GOOGLETRANSLATE(C1888, ""en"", ""ms"")"),"Saya")</f>
        <v>Saya</v>
      </c>
      <c r="W1888" s="1" t="s">
        <v>37603</v>
      </c>
      <c r="X1888" s="7" t="str">
        <f>IFERROR(__xludf.DUMMYFUNCTION("GOOGLETRANSLATE(C1888, ""en"", ""no"")"),"Meg")</f>
        <v>Meg</v>
      </c>
      <c r="Y1888" s="1" t="s">
        <v>3461</v>
      </c>
      <c r="Z1888" s="1" t="s">
        <v>37598</v>
      </c>
      <c r="AA1888" s="7" t="str">
        <f>IFERROR(__xludf.DUMMYFUNCTION("GOOGLETRANSLATE(C1888, ""en"", ""ro"")"),"Pe mine")</f>
        <v>Pe mine</v>
      </c>
      <c r="AB1888" s="1" t="s">
        <v>37604</v>
      </c>
      <c r="AC1888" s="7" t="str">
        <f>IFERROR(__xludf.DUMMYFUNCTION("GOOGLETRANSLATE(C1888, ""en"", ""sk"")"),"Mi")</f>
        <v>Mi</v>
      </c>
      <c r="AD1888" s="6" t="s">
        <v>132</v>
      </c>
      <c r="AE1888" s="1" t="s">
        <v>37605</v>
      </c>
      <c r="AF1888" s="1" t="s">
        <v>37606</v>
      </c>
      <c r="AG1888" s="6" t="s">
        <v>132</v>
      </c>
      <c r="AH1888" s="7" t="str">
        <f>IFERROR(__xludf.DUMMYFUNCTION("GOOGLETRANSLATE(C1888, ""en"", ""tr"")"),"Ben mi")</f>
        <v>Ben mi</v>
      </c>
      <c r="AI1888" s="6" t="s">
        <v>37604</v>
      </c>
      <c r="AJ1888" s="6" t="s">
        <v>132</v>
      </c>
      <c r="AK1888" s="7" t="str">
        <f>IFERROR(__xludf.DUMMYFUNCTION("GOOGLETRANSLATE(C1888, ""en"", ""zh"")"),"我")</f>
        <v>我</v>
      </c>
      <c r="AL1888" s="6" t="s">
        <v>37607</v>
      </c>
    </row>
    <row r="1889" ht="15.75" hidden="1" customHeight="1">
      <c r="A1889" s="1" t="s">
        <v>38</v>
      </c>
      <c r="B1889" s="1" t="s">
        <v>37608</v>
      </c>
      <c r="C1889" s="1" t="s">
        <v>37609</v>
      </c>
      <c r="D1889" s="8" t="s">
        <v>37610</v>
      </c>
      <c r="E1889" s="1" t="s">
        <v>37611</v>
      </c>
      <c r="F1889" s="6" t="s">
        <v>37612</v>
      </c>
      <c r="G1889" s="7" t="str">
        <f>IFERROR(__xludf.DUMMYFUNCTION("GOOGLETRANSLATE(C1889, ""en"", ""cs"")"),"Aktualizace ...")</f>
        <v>Aktualizace ...</v>
      </c>
      <c r="H1889" s="7" t="str">
        <f>IFERROR(__xludf.DUMMYFUNCTION("GOOGLETRANSLATE(C1889, ""en"", ""da"")"),"Opdatering ...")</f>
        <v>Opdatering ...</v>
      </c>
      <c r="I1889" s="1" t="s">
        <v>37613</v>
      </c>
      <c r="J1889" s="6" t="s">
        <v>132</v>
      </c>
      <c r="K1889" s="1" t="s">
        <v>37614</v>
      </c>
      <c r="L1889" s="7" t="str">
        <f>IFERROR(__xludf.DUMMYFUNCTION("GOOGLETRANSLATE(C1889, ""en"", ""fi"")"),"Päivitys ...")</f>
        <v>Päivitys ...</v>
      </c>
      <c r="M1889" s="1" t="s">
        <v>20189</v>
      </c>
      <c r="N1889" s="6" t="s">
        <v>37615</v>
      </c>
      <c r="O1889" s="6" t="s">
        <v>132</v>
      </c>
      <c r="P1889" s="1" t="s">
        <v>37616</v>
      </c>
      <c r="Q1889" s="9" t="s">
        <v>37617</v>
      </c>
      <c r="R1889" s="1" t="s">
        <v>37618</v>
      </c>
      <c r="S1889" s="6" t="s">
        <v>132</v>
      </c>
      <c r="T1889" s="1" t="s">
        <v>37619</v>
      </c>
      <c r="U1889" s="1" t="s">
        <v>37620</v>
      </c>
      <c r="V1889" s="7" t="str">
        <f>IFERROR(__xludf.DUMMYFUNCTION("GOOGLETRANSLATE(C1889, ""en"", ""ms"")"),"Mengemaskini ...")</f>
        <v>Mengemaskini ...</v>
      </c>
      <c r="W1889" s="1" t="s">
        <v>37621</v>
      </c>
      <c r="X1889" s="7" t="str">
        <f>IFERROR(__xludf.DUMMYFUNCTION("GOOGLETRANSLATE(C1889, ""en"", ""no"")"),"Oppdatering ...")</f>
        <v>Oppdatering ...</v>
      </c>
      <c r="Y1889" s="1" t="s">
        <v>37622</v>
      </c>
      <c r="Z1889" s="1" t="s">
        <v>37623</v>
      </c>
      <c r="AA1889" s="7" t="str">
        <f>IFERROR(__xludf.DUMMYFUNCTION("GOOGLETRANSLATE(C1889, ""en"", ""ro"")"),"Actualizarea ...")</f>
        <v>Actualizarea ...</v>
      </c>
      <c r="AB1889" s="1" t="s">
        <v>37624</v>
      </c>
      <c r="AC1889" s="1" t="s">
        <v>37625</v>
      </c>
      <c r="AD1889" s="6" t="s">
        <v>132</v>
      </c>
      <c r="AE1889" s="1" t="s">
        <v>37626</v>
      </c>
      <c r="AF1889" s="1" t="s">
        <v>37627</v>
      </c>
      <c r="AG1889" s="6" t="s">
        <v>132</v>
      </c>
      <c r="AH1889" s="7" t="str">
        <f>IFERROR(__xludf.DUMMYFUNCTION("GOOGLETRANSLATE(C1889, ""en"", ""tr"")"),"Güncelleme ...")</f>
        <v>Güncelleme ...</v>
      </c>
      <c r="AI1889" s="6" t="s">
        <v>37628</v>
      </c>
      <c r="AJ1889" s="6" t="s">
        <v>37629</v>
      </c>
      <c r="AK1889" s="7" t="str">
        <f>IFERROR(__xludf.DUMMYFUNCTION("GOOGLETRANSLATE(C1889, ""en"", ""zh"")"),"更新......")</f>
        <v>更新......</v>
      </c>
      <c r="AL1889" s="6" t="s">
        <v>37630</v>
      </c>
    </row>
    <row r="1890" ht="15.75" customHeight="1">
      <c r="A1890" s="1" t="s">
        <v>127</v>
      </c>
      <c r="B1890" s="1" t="s">
        <v>37631</v>
      </c>
      <c r="C1890" s="1" t="s">
        <v>26440</v>
      </c>
      <c r="D1890" s="8" t="s">
        <v>26441</v>
      </c>
      <c r="E1890" s="1" t="s">
        <v>24730</v>
      </c>
      <c r="F1890" s="6" t="s">
        <v>132</v>
      </c>
      <c r="G1890" s="1" t="s">
        <v>24750</v>
      </c>
      <c r="H1890" s="1" t="s">
        <v>24732</v>
      </c>
      <c r="I1890" s="1" t="s">
        <v>26442</v>
      </c>
      <c r="J1890" s="6" t="s">
        <v>26443</v>
      </c>
      <c r="K1890" s="1" t="s">
        <v>24735</v>
      </c>
      <c r="L1890" s="1" t="s">
        <v>24736</v>
      </c>
      <c r="M1890" s="1" t="s">
        <v>24737</v>
      </c>
      <c r="N1890" s="6" t="s">
        <v>132</v>
      </c>
      <c r="O1890" s="6" t="s">
        <v>26444</v>
      </c>
      <c r="P1890" s="1" t="s">
        <v>24739</v>
      </c>
      <c r="Q1890" s="1" t="s">
        <v>24740</v>
      </c>
      <c r="R1890" s="1" t="s">
        <v>24741</v>
      </c>
      <c r="S1890" s="10" t="s">
        <v>24742</v>
      </c>
      <c r="T1890" s="1" t="s">
        <v>24743</v>
      </c>
      <c r="U1890" s="1" t="s">
        <v>24744</v>
      </c>
      <c r="V1890" s="1" t="s">
        <v>24740</v>
      </c>
      <c r="W1890" s="1" t="s">
        <v>24745</v>
      </c>
      <c r="X1890" s="1" t="s">
        <v>24746</v>
      </c>
      <c r="Y1890" s="1" t="s">
        <v>24747</v>
      </c>
      <c r="Z1890" s="1" t="s">
        <v>24748</v>
      </c>
      <c r="AA1890" s="1" t="s">
        <v>37632</v>
      </c>
      <c r="AB1890" s="1" t="s">
        <v>24730</v>
      </c>
      <c r="AC1890" s="1" t="s">
        <v>26446</v>
      </c>
      <c r="AD1890" s="6" t="s">
        <v>26447</v>
      </c>
      <c r="AE1890" s="1" t="s">
        <v>24752</v>
      </c>
      <c r="AF1890" s="1" t="s">
        <v>24732</v>
      </c>
      <c r="AG1890" s="6" t="s">
        <v>24753</v>
      </c>
      <c r="AH1890" s="1" t="s">
        <v>26448</v>
      </c>
      <c r="AI1890" s="6" t="s">
        <v>132</v>
      </c>
      <c r="AJ1890" s="6" t="s">
        <v>24755</v>
      </c>
      <c r="AK1890" s="1" t="s">
        <v>26449</v>
      </c>
      <c r="AL1890" s="6" t="s">
        <v>26450</v>
      </c>
    </row>
    <row r="1891" ht="15.75" hidden="1" customHeight="1">
      <c r="A1891" s="1" t="s">
        <v>38</v>
      </c>
      <c r="B1891" s="1" t="s">
        <v>37633</v>
      </c>
      <c r="C1891" s="1" t="s">
        <v>37634</v>
      </c>
      <c r="D1891" s="7" t="str">
        <f>IFERROR(__xludf.DUMMYFUNCTION("GOOGLETRANSLATE(C1891, ""en"", ""ar"")"),"اتصالات بحث")</f>
        <v>اتصالات بحث</v>
      </c>
      <c r="E1891" s="1" t="s">
        <v>37635</v>
      </c>
      <c r="F1891" s="6" t="s">
        <v>37636</v>
      </c>
      <c r="G1891" s="7" t="str">
        <f>IFERROR(__xludf.DUMMYFUNCTION("GOOGLETRANSLATE(C1891, ""en"", ""cs"")"),"Hledat kontakty")</f>
        <v>Hledat kontakty</v>
      </c>
      <c r="H1891" s="7" t="str">
        <f>IFERROR(__xludf.DUMMYFUNCTION("GOOGLETRANSLATE(C1891, ""en"", ""da"")"),"Søgekontakter.")</f>
        <v>Søgekontakter.</v>
      </c>
      <c r="I1891" s="1" t="s">
        <v>37637</v>
      </c>
      <c r="J1891" s="6" t="s">
        <v>132</v>
      </c>
      <c r="K1891" s="1" t="s">
        <v>37638</v>
      </c>
      <c r="L1891" s="7" t="str">
        <f>IFERROR(__xludf.DUMMYFUNCTION("GOOGLETRANSLATE(C1891, ""en"", ""fi"")"),"Hae yhteystiedot")</f>
        <v>Hae yhteystiedot</v>
      </c>
      <c r="M1891" s="1" t="s">
        <v>37639</v>
      </c>
      <c r="N1891" s="6" t="s">
        <v>37638</v>
      </c>
      <c r="O1891" s="6" t="s">
        <v>132</v>
      </c>
      <c r="P1891" s="1" t="s">
        <v>37640</v>
      </c>
      <c r="Q1891" s="7" t="str">
        <f>IFERROR(__xludf.DUMMYFUNCTION("GOOGLETRANSLATE(C1891, ""en"", ""in"")"),"Cari kontak")</f>
        <v>Cari kontak</v>
      </c>
      <c r="R1891" s="1" t="s">
        <v>37641</v>
      </c>
      <c r="S1891" s="6" t="s">
        <v>132</v>
      </c>
      <c r="T1891" s="7" t="str">
        <f>IFERROR(__xludf.DUMMYFUNCTION("GOOGLETRANSLATE(C1891, ""en"", ""ja"")"),"検索コンタクト")</f>
        <v>検索コンタクト</v>
      </c>
      <c r="U1891" s="7" t="str">
        <f>IFERROR(__xludf.DUMMYFUNCTION("GOOGLETRANSLATE(C1891, ""en"", ""ko"")"),"연락처 검색")</f>
        <v>연락처 검색</v>
      </c>
      <c r="V1891" s="7" t="str">
        <f>IFERROR(__xludf.DUMMYFUNCTION("GOOGLETRANSLATE(C1891, ""en"", ""ms"")"),"Cari kenalan")</f>
        <v>Cari kenalan</v>
      </c>
      <c r="W1891" s="1" t="s">
        <v>37642</v>
      </c>
      <c r="X1891" s="7" t="str">
        <f>IFERROR(__xludf.DUMMYFUNCTION("GOOGLETRANSLATE(C1891, ""en"", ""no"")"),"Søk kontakter")</f>
        <v>Søk kontakter</v>
      </c>
      <c r="Y1891" s="1" t="s">
        <v>37643</v>
      </c>
      <c r="Z1891" s="1" t="s">
        <v>37644</v>
      </c>
      <c r="AA1891" s="7" t="str">
        <f>IFERROR(__xludf.DUMMYFUNCTION("GOOGLETRANSLATE(C1891, ""en"", ""ro"")"),"Căutați contacte")</f>
        <v>Căutați contacte</v>
      </c>
      <c r="AB1891" s="1" t="s">
        <v>37645</v>
      </c>
      <c r="AC1891" s="7" t="str">
        <f>IFERROR(__xludf.DUMMYFUNCTION("GOOGLETRANSLATE(C1891, ""en"", ""sk"")"),"Hľadať Kontakty")</f>
        <v>Hľadať Kontakty</v>
      </c>
      <c r="AD1891" s="6" t="s">
        <v>132</v>
      </c>
      <c r="AE1891" s="1" t="s">
        <v>37646</v>
      </c>
      <c r="AF1891" s="7" t="str">
        <f>IFERROR(__xludf.DUMMYFUNCTION("GOOGLETRANSLATE(C1891, ""en"", ""sv"")"),"Sökkontakter")</f>
        <v>Sökkontakter</v>
      </c>
      <c r="AG1891" s="6" t="s">
        <v>132</v>
      </c>
      <c r="AH1891" s="7" t="str">
        <f>IFERROR(__xludf.DUMMYFUNCTION("GOOGLETRANSLATE(C1891, ""en"", ""tr"")"),"Kişileri ara")</f>
        <v>Kişileri ara</v>
      </c>
      <c r="AI1891" s="6" t="s">
        <v>132</v>
      </c>
      <c r="AJ1891" s="6" t="s">
        <v>132</v>
      </c>
      <c r="AK1891" s="7" t="str">
        <f>IFERROR(__xludf.DUMMYFUNCTION("GOOGLETRANSLATE(C1891, ""en"", ""zh"")"),"搜索联系人")</f>
        <v>搜索联系人</v>
      </c>
      <c r="AL1891" s="6" t="s">
        <v>132</v>
      </c>
    </row>
    <row r="1892" ht="15.75" hidden="1" customHeight="1">
      <c r="A1892" s="1" t="s">
        <v>38</v>
      </c>
      <c r="B1892" s="1" t="s">
        <v>37647</v>
      </c>
      <c r="C1892" s="1" t="s">
        <v>37648</v>
      </c>
      <c r="D1892" s="8" t="s">
        <v>37649</v>
      </c>
      <c r="E1892" s="1" t="s">
        <v>37650</v>
      </c>
      <c r="F1892" s="6" t="s">
        <v>37651</v>
      </c>
      <c r="G1892" s="7" t="str">
        <f>IFERROR(__xludf.DUMMYFUNCTION("GOOGLETRANSLATE(C1892, ""en"", ""cs"")"),"Zabraňuje operačnímu systému zabití připojení")</f>
        <v>Zabraňuje operačnímu systému zabití připojení</v>
      </c>
      <c r="H1892" s="7" t="str">
        <f>IFERROR(__xludf.DUMMYFUNCTION("GOOGLETRANSLATE(C1892, ""en"", ""da"")"),"Forhindrer operativsystemet i at dræbe din forbindelse")</f>
        <v>Forhindrer operativsystemet i at dræbe din forbindelse</v>
      </c>
      <c r="I1892" s="1" t="s">
        <v>37652</v>
      </c>
      <c r="J1892" s="6" t="s">
        <v>132</v>
      </c>
      <c r="K1892" s="1" t="s">
        <v>37653</v>
      </c>
      <c r="L1892" s="7" t="str">
        <f>IFERROR(__xludf.DUMMYFUNCTION("GOOGLETRANSLATE(C1892, ""en"", ""fi"")"),"Estää käyttöjärjestelmän tappamasta yhteyden")</f>
        <v>Estää käyttöjärjestelmän tappamasta yhteyden</v>
      </c>
      <c r="M1892" s="1" t="s">
        <v>37654</v>
      </c>
      <c r="N1892" s="6" t="s">
        <v>37655</v>
      </c>
      <c r="O1892" s="6" t="s">
        <v>132</v>
      </c>
      <c r="P1892" s="1" t="s">
        <v>37656</v>
      </c>
      <c r="Q1892" s="9" t="s">
        <v>37657</v>
      </c>
      <c r="R1892" s="1" t="s">
        <v>37658</v>
      </c>
      <c r="S1892" s="6" t="s">
        <v>132</v>
      </c>
      <c r="T1892" s="1" t="s">
        <v>37659</v>
      </c>
      <c r="U1892" s="1" t="s">
        <v>37660</v>
      </c>
      <c r="V1892" s="7" t="str">
        <f>IFERROR(__xludf.DUMMYFUNCTION("GOOGLETRANSLATE(C1892, ""en"", ""ms"")"),"Menghalang sistem operasi daripada membunuh sambungan anda")</f>
        <v>Menghalang sistem operasi daripada membunuh sambungan anda</v>
      </c>
      <c r="W1892" s="1" t="s">
        <v>37661</v>
      </c>
      <c r="X1892" s="7" t="str">
        <f>IFERROR(__xludf.DUMMYFUNCTION("GOOGLETRANSLATE(C1892, ""en"", ""no"")"),"Hindrer operativsystemet i å drepe forbindelsen")</f>
        <v>Hindrer operativsystemet i å drepe forbindelsen</v>
      </c>
      <c r="Y1892" s="1" t="s">
        <v>37662</v>
      </c>
      <c r="Z1892" s="1" t="s">
        <v>37663</v>
      </c>
      <c r="AA1892" s="7" t="str">
        <f>IFERROR(__xludf.DUMMYFUNCTION("GOOGLETRANSLATE(C1892, ""en"", ""ro"")"),"Împiedică sistemul de operare să vă omoare conexiunea")</f>
        <v>Împiedică sistemul de operare să vă omoare conexiunea</v>
      </c>
      <c r="AB1892" s="1" t="s">
        <v>37664</v>
      </c>
      <c r="AC1892" s="1" t="s">
        <v>37665</v>
      </c>
      <c r="AD1892" s="6" t="s">
        <v>132</v>
      </c>
      <c r="AE1892" s="1" t="s">
        <v>37666</v>
      </c>
      <c r="AF1892" s="1" t="s">
        <v>37667</v>
      </c>
      <c r="AG1892" s="6" t="s">
        <v>132</v>
      </c>
      <c r="AH1892" s="7" t="str">
        <f>IFERROR(__xludf.DUMMYFUNCTION("GOOGLETRANSLATE(C1892, ""en"", ""tr"")"),"İşletim sisteminin bağlantınızı öldürmesini önler")</f>
        <v>İşletim sisteminin bağlantınızı öldürmesini önler</v>
      </c>
      <c r="AI1892" s="6" t="s">
        <v>37668</v>
      </c>
      <c r="AJ1892" s="6" t="s">
        <v>37669</v>
      </c>
      <c r="AK1892" s="7" t="str">
        <f>IFERROR(__xludf.DUMMYFUNCTION("GOOGLETRANSLATE(C1892, ""en"", ""zh"")"),"防止操作系统杀死您的连接")</f>
        <v>防止操作系统杀死您的连接</v>
      </c>
      <c r="AL1892" s="6" t="s">
        <v>37670</v>
      </c>
    </row>
    <row r="1893" ht="15.75" customHeight="1">
      <c r="A1893" s="1" t="s">
        <v>127</v>
      </c>
      <c r="B1893" s="1" t="s">
        <v>37671</v>
      </c>
      <c r="C1893" s="1" t="s">
        <v>34129</v>
      </c>
      <c r="D1893" s="8" t="s">
        <v>37672</v>
      </c>
      <c r="E1893" s="1" t="s">
        <v>34131</v>
      </c>
      <c r="F1893" s="6" t="s">
        <v>132</v>
      </c>
      <c r="G1893" s="1" t="s">
        <v>34143</v>
      </c>
      <c r="H1893" s="1" t="s">
        <v>37673</v>
      </c>
      <c r="I1893" s="1" t="s">
        <v>19235</v>
      </c>
      <c r="J1893" s="6" t="s">
        <v>37674</v>
      </c>
      <c r="K1893" s="1" t="s">
        <v>34133</v>
      </c>
      <c r="L1893" s="1" t="s">
        <v>37675</v>
      </c>
      <c r="M1893" s="1" t="s">
        <v>34134</v>
      </c>
      <c r="N1893" s="6" t="s">
        <v>132</v>
      </c>
      <c r="O1893" s="6" t="s">
        <v>37676</v>
      </c>
      <c r="P1893" s="1" t="s">
        <v>34136</v>
      </c>
      <c r="Q1893" s="1" t="s">
        <v>37677</v>
      </c>
      <c r="R1893" s="1" t="s">
        <v>34129</v>
      </c>
      <c r="S1893" s="10" t="s">
        <v>37678</v>
      </c>
      <c r="T1893" s="1" t="s">
        <v>34137</v>
      </c>
      <c r="U1893" s="1" t="s">
        <v>37679</v>
      </c>
      <c r="V1893" s="1" t="s">
        <v>37680</v>
      </c>
      <c r="W1893" s="1" t="s">
        <v>34129</v>
      </c>
      <c r="X1893" s="1" t="s">
        <v>37681</v>
      </c>
      <c r="Y1893" s="1" t="s">
        <v>34140</v>
      </c>
      <c r="Z1893" s="1" t="s">
        <v>37682</v>
      </c>
      <c r="AA1893" s="1" t="s">
        <v>37683</v>
      </c>
      <c r="AB1893" s="1" t="s">
        <v>34142</v>
      </c>
      <c r="AC1893" s="1" t="s">
        <v>34143</v>
      </c>
      <c r="AD1893" s="6" t="s">
        <v>37684</v>
      </c>
      <c r="AE1893" s="1" t="s">
        <v>37685</v>
      </c>
      <c r="AF1893" s="1" t="s">
        <v>34145</v>
      </c>
      <c r="AG1893" s="6" t="s">
        <v>37686</v>
      </c>
      <c r="AH1893" s="1" t="s">
        <v>37687</v>
      </c>
      <c r="AI1893" s="6" t="s">
        <v>132</v>
      </c>
      <c r="AJ1893" s="6" t="s">
        <v>34146</v>
      </c>
      <c r="AK1893" s="1" t="s">
        <v>37688</v>
      </c>
      <c r="AL1893" s="6" t="s">
        <v>37689</v>
      </c>
    </row>
    <row r="1894" ht="15.75" customHeight="1">
      <c r="A1894" s="1" t="s">
        <v>127</v>
      </c>
      <c r="B1894" s="1" t="s">
        <v>37690</v>
      </c>
      <c r="C1894" s="1" t="s">
        <v>22215</v>
      </c>
      <c r="D1894" s="8" t="s">
        <v>22216</v>
      </c>
      <c r="E1894" s="1" t="s">
        <v>16637</v>
      </c>
      <c r="F1894" s="6" t="s">
        <v>132</v>
      </c>
      <c r="G1894" s="1" t="s">
        <v>22217</v>
      </c>
      <c r="H1894" s="1" t="s">
        <v>22218</v>
      </c>
      <c r="I1894" s="1" t="s">
        <v>37691</v>
      </c>
      <c r="J1894" s="6" t="s">
        <v>22220</v>
      </c>
      <c r="K1894" s="1" t="s">
        <v>22221</v>
      </c>
      <c r="L1894" s="1" t="s">
        <v>22222</v>
      </c>
      <c r="M1894" s="1" t="s">
        <v>22223</v>
      </c>
      <c r="N1894" s="6" t="s">
        <v>132</v>
      </c>
      <c r="O1894" s="6" t="s">
        <v>22224</v>
      </c>
      <c r="P1894" s="1" t="s">
        <v>37692</v>
      </c>
      <c r="Q1894" s="1" t="s">
        <v>22225</v>
      </c>
      <c r="R1894" s="1" t="s">
        <v>37693</v>
      </c>
      <c r="S1894" s="10" t="s">
        <v>22227</v>
      </c>
      <c r="T1894" s="1" t="s">
        <v>29023</v>
      </c>
      <c r="U1894" s="1" t="s">
        <v>22229</v>
      </c>
      <c r="V1894" s="1" t="s">
        <v>22225</v>
      </c>
      <c r="W1894" s="1" t="s">
        <v>22230</v>
      </c>
      <c r="X1894" s="1" t="s">
        <v>22231</v>
      </c>
      <c r="Y1894" s="1" t="s">
        <v>29024</v>
      </c>
      <c r="Z1894" s="1" t="s">
        <v>22221</v>
      </c>
      <c r="AA1894" s="1" t="s">
        <v>22233</v>
      </c>
      <c r="AB1894" s="1" t="s">
        <v>22234</v>
      </c>
      <c r="AC1894" s="1" t="s">
        <v>22235</v>
      </c>
      <c r="AD1894" s="6" t="s">
        <v>22236</v>
      </c>
      <c r="AE1894" s="1" t="s">
        <v>22237</v>
      </c>
      <c r="AF1894" s="1" t="s">
        <v>22238</v>
      </c>
      <c r="AG1894" s="6" t="s">
        <v>22239</v>
      </c>
      <c r="AH1894" s="1" t="s">
        <v>29026</v>
      </c>
      <c r="AI1894" s="6" t="s">
        <v>132</v>
      </c>
      <c r="AJ1894" s="6" t="s">
        <v>16660</v>
      </c>
      <c r="AK1894" s="1" t="s">
        <v>22241</v>
      </c>
      <c r="AL1894" s="6" t="s">
        <v>22242</v>
      </c>
    </row>
    <row r="1895" ht="15.75" hidden="1" customHeight="1">
      <c r="A1895" s="1" t="s">
        <v>38</v>
      </c>
      <c r="B1895" s="1" t="s">
        <v>37694</v>
      </c>
      <c r="C1895" s="1" t="s">
        <v>37695</v>
      </c>
      <c r="D1895" s="8" t="s">
        <v>37696</v>
      </c>
      <c r="E1895" s="1" t="s">
        <v>37697</v>
      </c>
      <c r="F1895" s="6" t="s">
        <v>37698</v>
      </c>
      <c r="G1895" s="7" t="str">
        <f>IFERROR(__xludf.DUMMYFUNCTION("GOOGLETRANSLATE(C1895, ""en"", ""cs"")"),"% s přestaly psát")</f>
        <v>% s přestaly psát</v>
      </c>
      <c r="H1895" s="7" t="str">
        <f>IFERROR(__xludf.DUMMYFUNCTION("GOOGLETRANSLATE(C1895, ""en"", ""da"")"),"% s er stoppet med at skrive")</f>
        <v>% s er stoppet med at skrive</v>
      </c>
      <c r="I1895" s="1" t="s">
        <v>37699</v>
      </c>
      <c r="J1895" s="6" t="s">
        <v>132</v>
      </c>
      <c r="K1895" s="1" t="s">
        <v>37700</v>
      </c>
      <c r="L1895" s="7" t="str">
        <f>IFERROR(__xludf.DUMMYFUNCTION("GOOGLETRANSLATE(C1895, ""en"", ""fi"")"),"% s on lakannut kirjoittamisen")</f>
        <v>% s on lakannut kirjoittamisen</v>
      </c>
      <c r="M1895" s="1" t="s">
        <v>37701</v>
      </c>
      <c r="N1895" s="6" t="s">
        <v>37702</v>
      </c>
      <c r="O1895" s="6" t="s">
        <v>132</v>
      </c>
      <c r="P1895" s="1" t="s">
        <v>7683</v>
      </c>
      <c r="Q1895" s="7" t="str">
        <f>IFERROR(__xludf.DUMMYFUNCTION("GOOGLETRANSLATE(C1895, ""en"", ""in"")"),"% s telah berhenti mengetik")</f>
        <v>% s telah berhenti mengetik</v>
      </c>
      <c r="R1895" s="1" t="s">
        <v>37703</v>
      </c>
      <c r="S1895" s="6" t="s">
        <v>132</v>
      </c>
      <c r="T1895" s="1" t="s">
        <v>37704</v>
      </c>
      <c r="U1895" s="1" t="s">
        <v>7687</v>
      </c>
      <c r="V1895" s="7" t="str">
        <f>IFERROR(__xludf.DUMMYFUNCTION("GOOGLETRANSLATE(C1895, ""en"", ""ms"")"),"% s telah berhenti menaip")</f>
        <v>% s telah berhenti menaip</v>
      </c>
      <c r="W1895" s="1" t="s">
        <v>37705</v>
      </c>
      <c r="X1895" s="7" t="str">
        <f>IFERROR(__xludf.DUMMYFUNCTION("GOOGLETRANSLATE(C1895, ""en"", ""no"")"),"% s har sluttet å skrive")</f>
        <v>% s har sluttet å skrive</v>
      </c>
      <c r="Y1895" s="1" t="s">
        <v>37706</v>
      </c>
      <c r="Z1895" s="1" t="s">
        <v>37707</v>
      </c>
      <c r="AA1895" s="7" t="str">
        <f>IFERROR(__xludf.DUMMYFUNCTION("GOOGLETRANSLATE(C1895, ""en"", ""ro"")"),"% s au încetat să tastați")</f>
        <v>% s au încetat să tastați</v>
      </c>
      <c r="AB1895" s="1" t="s">
        <v>37708</v>
      </c>
      <c r="AC1895" s="7" t="str">
        <f>IFERROR(__xludf.DUMMYFUNCTION("GOOGLETRANSLATE(C1895, ""en"", ""sk"")"),"% S prestali písanie")</f>
        <v>% S prestali písanie</v>
      </c>
      <c r="AD1895" s="6" t="s">
        <v>132</v>
      </c>
      <c r="AE1895" s="1" t="s">
        <v>37709</v>
      </c>
      <c r="AF1895" s="1" t="s">
        <v>7694</v>
      </c>
      <c r="AG1895" s="6" t="s">
        <v>132</v>
      </c>
      <c r="AH1895" s="7" t="str">
        <f>IFERROR(__xludf.DUMMYFUNCTION("GOOGLETRANSLATE(C1895, ""en"", ""tr"")"),"% s yazmayı durdurdu")</f>
        <v>% s yazmayı durdurdu</v>
      </c>
      <c r="AI1895" s="6" t="s">
        <v>37710</v>
      </c>
      <c r="AJ1895" s="6" t="s">
        <v>132</v>
      </c>
      <c r="AK1895" s="7" t="str">
        <f>IFERROR(__xludf.DUMMYFUNCTION("GOOGLETRANSLATE(C1895, ""en"", ""zh"")"),"％s已停止打字")</f>
        <v>％s已停止打字</v>
      </c>
      <c r="AL1895" s="6" t="s">
        <v>7697</v>
      </c>
    </row>
    <row r="1896" ht="15.75" hidden="1" customHeight="1">
      <c r="A1896" s="1" t="s">
        <v>38</v>
      </c>
      <c r="B1896" s="1" t="s">
        <v>37711</v>
      </c>
      <c r="C1896" s="1" t="s">
        <v>37712</v>
      </c>
      <c r="D1896" s="7" t="str">
        <f>IFERROR(__xludf.DUMMYFUNCTION("GOOGLETRANSLATE(C1896, ""en"", ""ar"")"),"جزر مارشال")</f>
        <v>جزر مارشال</v>
      </c>
      <c r="E1896" s="7" t="str">
        <f>IFERROR(__xludf.DUMMYFUNCTION("GOOGLETRANSLATE(C1896, ""en"", ""bg"")"),"Маршал Острови")</f>
        <v>Маршал Острови</v>
      </c>
      <c r="F1896" s="6" t="s">
        <v>132</v>
      </c>
      <c r="G1896" s="7" t="str">
        <f>IFERROR(__xludf.DUMMYFUNCTION("GOOGLETRANSLATE(C1896, ""en"", ""cs"")"),"Marshallovy ostrovy")</f>
        <v>Marshallovy ostrovy</v>
      </c>
      <c r="H1896" s="7" t="str">
        <f>IFERROR(__xludf.DUMMYFUNCTION("GOOGLETRANSLATE(C1896, ""en"", ""da"")"),"Marshalløerne")</f>
        <v>Marshalløerne</v>
      </c>
      <c r="I1896" s="1" t="s">
        <v>37713</v>
      </c>
      <c r="J1896" s="6" t="s">
        <v>132</v>
      </c>
      <c r="K1896" s="1" t="s">
        <v>37714</v>
      </c>
      <c r="L1896" s="7" t="str">
        <f>IFERROR(__xludf.DUMMYFUNCTION("GOOGLETRANSLATE(C1896, ""en"", ""fi"")"),"Marshallsaaret")</f>
        <v>Marshallsaaret</v>
      </c>
      <c r="M1896" s="1" t="s">
        <v>37715</v>
      </c>
      <c r="N1896" s="6" t="s">
        <v>132</v>
      </c>
      <c r="O1896" s="6" t="s">
        <v>132</v>
      </c>
      <c r="P1896" s="1" t="s">
        <v>37712</v>
      </c>
      <c r="Q1896" s="7" t="str">
        <f>IFERROR(__xludf.DUMMYFUNCTION("GOOGLETRANSLATE(C1896, ""en"", ""in"")"),"Pulau Marshall")</f>
        <v>Pulau Marshall</v>
      </c>
      <c r="R1896" s="7" t="str">
        <f>IFERROR(__xludf.DUMMYFUNCTION("GOOGLETRANSLATE(C1896, ""en"", ""it"")"),"Isole Marshall")</f>
        <v>Isole Marshall</v>
      </c>
      <c r="S1896" s="6" t="s">
        <v>132</v>
      </c>
      <c r="T1896" s="7" t="str">
        <f>IFERROR(__xludf.DUMMYFUNCTION("GOOGLETRANSLATE(C1896, ""en"", ""ja"")"),"マーシャル諸島")</f>
        <v>マーシャル諸島</v>
      </c>
      <c r="U1896" s="7" t="str">
        <f>IFERROR(__xludf.DUMMYFUNCTION("GOOGLETRANSLATE(C1896, ""en"", ""ko"")"),"마샬 군도")</f>
        <v>마샬 군도</v>
      </c>
      <c r="V1896" s="7" t="str">
        <f>IFERROR(__xludf.DUMMYFUNCTION("GOOGLETRANSLATE(C1896, ""en"", ""ms"")"),"Pulau Marshall")</f>
        <v>Pulau Marshall</v>
      </c>
      <c r="W1896" s="7" t="str">
        <f>IFERROR(__xludf.DUMMYFUNCTION("GOOGLETRANSLATE(C1896, ""en"", ""nl"")"),"Marshall eilanden")</f>
        <v>Marshall eilanden</v>
      </c>
      <c r="X1896" s="7" t="str">
        <f>IFERROR(__xludf.DUMMYFUNCTION("GOOGLETRANSLATE(C1896, ""en"", ""no"")"),"Marshalløyene")</f>
        <v>Marshalløyene</v>
      </c>
      <c r="Y1896" s="7" t="str">
        <f>IFERROR(__xludf.DUMMYFUNCTION("GOOGLETRANSLATE(C1896, ""en"", ""pl"")"),"Wyspy Marshalla")</f>
        <v>Wyspy Marshalla</v>
      </c>
      <c r="Z1896" s="7" t="str">
        <f>IFERROR(__xludf.DUMMYFUNCTION("GOOGLETRANSLATE(C1896, ""en"", ""pt"")"),"Ilhas Marshall")</f>
        <v>Ilhas Marshall</v>
      </c>
      <c r="AA1896" s="7" t="str">
        <f>IFERROR(__xludf.DUMMYFUNCTION("GOOGLETRANSLATE(C1896, ""en"", ""ro"")"),"Insulele Marshall")</f>
        <v>Insulele Marshall</v>
      </c>
      <c r="AB1896" s="1" t="s">
        <v>37716</v>
      </c>
      <c r="AC1896" s="7" t="str">
        <f>IFERROR(__xludf.DUMMYFUNCTION("GOOGLETRANSLATE(C1896, ""en"", ""sk"")"),"Maršalove ostrovy")</f>
        <v>Maršalove ostrovy</v>
      </c>
      <c r="AD1896" s="6" t="s">
        <v>132</v>
      </c>
      <c r="AE1896" s="1" t="s">
        <v>37717</v>
      </c>
      <c r="AF1896" s="7" t="str">
        <f>IFERROR(__xludf.DUMMYFUNCTION("GOOGLETRANSLATE(C1896, ""en"", ""sv"")"),"Marshallöarna")</f>
        <v>Marshallöarna</v>
      </c>
      <c r="AG1896" s="6" t="s">
        <v>132</v>
      </c>
      <c r="AH1896" s="7" t="str">
        <f>IFERROR(__xludf.DUMMYFUNCTION("GOOGLETRANSLATE(C1896, ""en"", ""tr"")"),"Marşal Adaları")</f>
        <v>Marşal Adaları</v>
      </c>
      <c r="AI1896" s="6" t="s">
        <v>132</v>
      </c>
      <c r="AJ1896" s="6" t="s">
        <v>132</v>
      </c>
      <c r="AK1896" s="7" t="str">
        <f>IFERROR(__xludf.DUMMYFUNCTION("GOOGLETRANSLATE(C1896, ""en"", ""zh"")"),"马绍尔群岛")</f>
        <v>马绍尔群岛</v>
      </c>
      <c r="AL1896" s="6" t="s">
        <v>132</v>
      </c>
    </row>
    <row r="1897" ht="15.75" customHeight="1">
      <c r="A1897" s="1" t="s">
        <v>127</v>
      </c>
      <c r="B1897" s="1" t="s">
        <v>37718</v>
      </c>
      <c r="C1897" s="1" t="s">
        <v>11018</v>
      </c>
      <c r="D1897" s="8" t="s">
        <v>11019</v>
      </c>
      <c r="E1897" s="1" t="s">
        <v>11020</v>
      </c>
      <c r="F1897" s="6" t="s">
        <v>132</v>
      </c>
      <c r="G1897" s="1" t="s">
        <v>11021</v>
      </c>
      <c r="H1897" s="1" t="s">
        <v>11022</v>
      </c>
      <c r="I1897" s="1" t="s">
        <v>11023</v>
      </c>
      <c r="J1897" s="6" t="s">
        <v>11024</v>
      </c>
      <c r="K1897" s="1" t="s">
        <v>37719</v>
      </c>
      <c r="L1897" s="1" t="s">
        <v>11026</v>
      </c>
      <c r="M1897" s="1" t="s">
        <v>11027</v>
      </c>
      <c r="N1897" s="6" t="s">
        <v>132</v>
      </c>
      <c r="O1897" s="6" t="s">
        <v>11028</v>
      </c>
      <c r="P1897" s="1" t="s">
        <v>11029</v>
      </c>
      <c r="Q1897" s="1" t="s">
        <v>11030</v>
      </c>
      <c r="R1897" s="1" t="s">
        <v>37720</v>
      </c>
      <c r="S1897" s="10" t="s">
        <v>11032</v>
      </c>
      <c r="T1897" s="1" t="s">
        <v>11033</v>
      </c>
      <c r="U1897" s="1" t="s">
        <v>11034</v>
      </c>
      <c r="V1897" s="1" t="s">
        <v>11030</v>
      </c>
      <c r="W1897" s="1" t="s">
        <v>37721</v>
      </c>
      <c r="X1897" s="1" t="s">
        <v>11036</v>
      </c>
      <c r="Y1897" s="1" t="s">
        <v>11037</v>
      </c>
      <c r="Z1897" s="1" t="s">
        <v>11038</v>
      </c>
      <c r="AA1897" s="1" t="s">
        <v>11039</v>
      </c>
      <c r="AB1897" s="1" t="s">
        <v>11040</v>
      </c>
      <c r="AC1897" s="1" t="s">
        <v>11041</v>
      </c>
      <c r="AD1897" s="6" t="s">
        <v>11042</v>
      </c>
      <c r="AE1897" s="1" t="s">
        <v>11043</v>
      </c>
      <c r="AF1897" s="1" t="s">
        <v>11044</v>
      </c>
      <c r="AG1897" s="6" t="s">
        <v>11045</v>
      </c>
      <c r="AH1897" s="1" t="s">
        <v>11046</v>
      </c>
      <c r="AI1897" s="6" t="s">
        <v>132</v>
      </c>
      <c r="AJ1897" s="6" t="s">
        <v>11047</v>
      </c>
      <c r="AK1897" s="1" t="s">
        <v>11048</v>
      </c>
      <c r="AL1897" s="6" t="s">
        <v>11049</v>
      </c>
    </row>
    <row r="1898" ht="15.75" hidden="1" customHeight="1">
      <c r="A1898" s="1" t="s">
        <v>38</v>
      </c>
      <c r="B1898" s="1" t="s">
        <v>37722</v>
      </c>
      <c r="C1898" s="1" t="s">
        <v>37723</v>
      </c>
      <c r="D1898" s="7" t="str">
        <f>IFERROR(__xludf.DUMMYFUNCTION("GOOGLETRANSLATE(C1898, ""en"", ""ar"")"),"(أو اضغط لفترة طويلة لإعادة الافتراضي)")</f>
        <v>(أو اضغط لفترة طويلة لإعادة الافتراضي)</v>
      </c>
      <c r="E1898" s="1" t="s">
        <v>37724</v>
      </c>
      <c r="F1898" s="6" t="s">
        <v>37725</v>
      </c>
      <c r="G1898" s="7" t="str">
        <f>IFERROR(__xludf.DUMMYFUNCTION("GOOGLETRANSLATE(C1898, ""en"", ""cs"")"),"(Nebo dlouhý stisk, aby se vrátil výchozí nastavení)")</f>
        <v>(Nebo dlouhý stisk, aby se vrátil výchozí nastavení)</v>
      </c>
      <c r="H1898" s="7" t="str">
        <f>IFERROR(__xludf.DUMMYFUNCTION("GOOGLETRANSLATE(C1898, ""en"", ""da"")"),"(Eller længe tryk for at bringe tilbage standard)")</f>
        <v>(Eller længe tryk for at bringe tilbage standard)</v>
      </c>
      <c r="I1898" s="1" t="s">
        <v>37726</v>
      </c>
      <c r="J1898" s="6" t="s">
        <v>132</v>
      </c>
      <c r="K1898" s="1" t="s">
        <v>37727</v>
      </c>
      <c r="L1898" s="7" t="str">
        <f>IFERROR(__xludf.DUMMYFUNCTION("GOOGLETRANSLATE(C1898, ""en"", ""fi"")"),"(Tai pitkä painatus, joka palauttaa takaisin oletus)")</f>
        <v>(Tai pitkä painatus, joka palauttaa takaisin oletus)</v>
      </c>
      <c r="M1898" s="1" t="s">
        <v>37728</v>
      </c>
      <c r="N1898" s="6" t="s">
        <v>37729</v>
      </c>
      <c r="O1898" s="6" t="s">
        <v>132</v>
      </c>
      <c r="P1898" s="1" t="s">
        <v>37730</v>
      </c>
      <c r="Q1898" s="9" t="s">
        <v>37731</v>
      </c>
      <c r="R1898" s="1" t="s">
        <v>37732</v>
      </c>
      <c r="S1898" s="6" t="s">
        <v>132</v>
      </c>
      <c r="T1898" s="1" t="s">
        <v>37733</v>
      </c>
      <c r="U1898" s="1" t="s">
        <v>37734</v>
      </c>
      <c r="V1898" s="7" t="str">
        <f>IFERROR(__xludf.DUMMYFUNCTION("GOOGLETRANSLATE(C1898, ""en"", ""ms"")"),"(Atau tekan lama untuk membawa kembali ke lalai)")</f>
        <v>(Atau tekan lama untuk membawa kembali ke lalai)</v>
      </c>
      <c r="W1898" s="1" t="s">
        <v>37735</v>
      </c>
      <c r="X1898" s="7" t="str">
        <f>IFERROR(__xludf.DUMMYFUNCTION("GOOGLETRANSLATE(C1898, ""en"", ""no"")"),"(Eller lenge trykk for å få tilbake standard)")</f>
        <v>(Eller lenge trykk for å få tilbake standard)</v>
      </c>
      <c r="Y1898" s="1" t="s">
        <v>37736</v>
      </c>
      <c r="Z1898" s="1" t="s">
        <v>37737</v>
      </c>
      <c r="AA1898" s="7" t="str">
        <f>IFERROR(__xludf.DUMMYFUNCTION("GOOGLETRANSLATE(C1898, ""en"", ""ro"")"),"(Sau apăsați lung pentru a aduce înapoi implicit)")</f>
        <v>(Sau apăsați lung pentru a aduce înapoi implicit)</v>
      </c>
      <c r="AB1898" s="1" t="s">
        <v>37738</v>
      </c>
      <c r="AC1898" s="1" t="s">
        <v>37739</v>
      </c>
      <c r="AD1898" s="6" t="s">
        <v>132</v>
      </c>
      <c r="AE1898" s="1" t="s">
        <v>37740</v>
      </c>
      <c r="AF1898" s="1" t="s">
        <v>37741</v>
      </c>
      <c r="AG1898" s="6" t="s">
        <v>132</v>
      </c>
      <c r="AH1898" s="7" t="str">
        <f>IFERROR(__xludf.DUMMYFUNCTION("GOOGLETRANSLATE(C1898, ""en"", ""tr"")"),"(Veya varsayılan geri getirmek için uzun basın)")</f>
        <v>(Veya varsayılan geri getirmek için uzun basın)</v>
      </c>
      <c r="AI1898" s="6" t="s">
        <v>37742</v>
      </c>
      <c r="AJ1898" s="6" t="s">
        <v>37743</v>
      </c>
      <c r="AK1898" s="7" t="str">
        <f>IFERROR(__xludf.DUMMYFUNCTION("GOOGLETRANSLATE(C1898, ""en"", ""zh"")"),"（或长按以拖欠默认）")</f>
        <v>（或长按以拖欠默认）</v>
      </c>
      <c r="AL1898" s="6" t="s">
        <v>37744</v>
      </c>
    </row>
    <row r="1899" ht="15.75" customHeight="1">
      <c r="A1899" s="1" t="s">
        <v>127</v>
      </c>
      <c r="B1899" s="1" t="s">
        <v>37745</v>
      </c>
      <c r="C1899" s="1" t="s">
        <v>37746</v>
      </c>
      <c r="D1899" s="8" t="s">
        <v>37747</v>
      </c>
      <c r="E1899" s="1" t="s">
        <v>37748</v>
      </c>
      <c r="F1899" s="6" t="s">
        <v>132</v>
      </c>
      <c r="G1899" s="1" t="s">
        <v>37749</v>
      </c>
      <c r="H1899" s="1" t="s">
        <v>37750</v>
      </c>
      <c r="I1899" s="1" t="s">
        <v>37751</v>
      </c>
      <c r="J1899" s="6" t="s">
        <v>37752</v>
      </c>
      <c r="K1899" s="1" t="s">
        <v>37753</v>
      </c>
      <c r="L1899" s="1" t="s">
        <v>37754</v>
      </c>
      <c r="M1899" s="1" t="s">
        <v>37755</v>
      </c>
      <c r="N1899" s="6" t="s">
        <v>132</v>
      </c>
      <c r="O1899" s="6" t="s">
        <v>37756</v>
      </c>
      <c r="P1899" s="1" t="s">
        <v>37746</v>
      </c>
      <c r="Q1899" s="1" t="s">
        <v>37757</v>
      </c>
      <c r="R1899" s="1" t="s">
        <v>37758</v>
      </c>
      <c r="S1899" s="10" t="s">
        <v>37759</v>
      </c>
      <c r="T1899" s="1" t="s">
        <v>37760</v>
      </c>
      <c r="U1899" s="1" t="s">
        <v>37761</v>
      </c>
      <c r="V1899" s="1" t="s">
        <v>37762</v>
      </c>
      <c r="W1899" s="1" t="s">
        <v>37763</v>
      </c>
      <c r="X1899" s="1" t="s">
        <v>37764</v>
      </c>
      <c r="Y1899" s="1" t="s">
        <v>37765</v>
      </c>
      <c r="Z1899" s="1" t="s">
        <v>37766</v>
      </c>
      <c r="AA1899" s="1" t="s">
        <v>37767</v>
      </c>
      <c r="AB1899" s="1" t="s">
        <v>37768</v>
      </c>
      <c r="AC1899" s="1" t="s">
        <v>37769</v>
      </c>
      <c r="AD1899" s="6" t="s">
        <v>37770</v>
      </c>
      <c r="AE1899" s="1" t="s">
        <v>37771</v>
      </c>
      <c r="AF1899" s="1" t="s">
        <v>37772</v>
      </c>
      <c r="AG1899" s="6" t="s">
        <v>37773</v>
      </c>
      <c r="AH1899" s="1" t="s">
        <v>37774</v>
      </c>
      <c r="AI1899" s="6" t="s">
        <v>132</v>
      </c>
      <c r="AJ1899" s="6" t="s">
        <v>37775</v>
      </c>
      <c r="AK1899" s="1" t="s">
        <v>37776</v>
      </c>
      <c r="AL1899" s="6" t="s">
        <v>132</v>
      </c>
    </row>
    <row r="1900" ht="15.75" customHeight="1">
      <c r="A1900" s="1" t="s">
        <v>127</v>
      </c>
      <c r="B1900" s="1" t="s">
        <v>37777</v>
      </c>
      <c r="C1900" s="1" t="s">
        <v>37778</v>
      </c>
      <c r="D1900" s="8" t="s">
        <v>37779</v>
      </c>
      <c r="E1900" s="1" t="s">
        <v>37780</v>
      </c>
      <c r="F1900" s="6" t="s">
        <v>132</v>
      </c>
      <c r="G1900" s="1" t="s">
        <v>37781</v>
      </c>
      <c r="H1900" s="1" t="s">
        <v>37782</v>
      </c>
      <c r="I1900" s="1" t="s">
        <v>37783</v>
      </c>
      <c r="J1900" s="6" t="s">
        <v>37784</v>
      </c>
      <c r="K1900" s="1" t="s">
        <v>37785</v>
      </c>
      <c r="L1900" s="1" t="s">
        <v>37786</v>
      </c>
      <c r="M1900" s="1" t="s">
        <v>37787</v>
      </c>
      <c r="N1900" s="6" t="s">
        <v>132</v>
      </c>
      <c r="O1900" s="6" t="s">
        <v>37788</v>
      </c>
      <c r="P1900" s="1" t="s">
        <v>37789</v>
      </c>
      <c r="Q1900" s="1" t="s">
        <v>37790</v>
      </c>
      <c r="R1900" s="1" t="s">
        <v>37791</v>
      </c>
      <c r="S1900" s="10" t="s">
        <v>37792</v>
      </c>
      <c r="T1900" s="1" t="s">
        <v>37793</v>
      </c>
      <c r="U1900" s="1" t="s">
        <v>37794</v>
      </c>
      <c r="V1900" s="1" t="s">
        <v>37790</v>
      </c>
      <c r="W1900" s="1" t="s">
        <v>37795</v>
      </c>
      <c r="X1900" s="1" t="s">
        <v>37796</v>
      </c>
      <c r="Y1900" s="1" t="s">
        <v>37797</v>
      </c>
      <c r="Z1900" s="1" t="s">
        <v>37798</v>
      </c>
      <c r="AA1900" s="1" t="s">
        <v>37799</v>
      </c>
      <c r="AB1900" s="1" t="s">
        <v>37800</v>
      </c>
      <c r="AC1900" s="1" t="s">
        <v>37801</v>
      </c>
      <c r="AD1900" s="6" t="s">
        <v>37802</v>
      </c>
      <c r="AE1900" s="1" t="s">
        <v>37803</v>
      </c>
      <c r="AF1900" s="1" t="s">
        <v>37778</v>
      </c>
      <c r="AG1900" s="6" t="s">
        <v>37804</v>
      </c>
      <c r="AH1900" s="1" t="s">
        <v>37805</v>
      </c>
      <c r="AI1900" s="6" t="s">
        <v>132</v>
      </c>
      <c r="AJ1900" s="6" t="s">
        <v>37806</v>
      </c>
      <c r="AK1900" s="1" t="s">
        <v>37807</v>
      </c>
      <c r="AL1900" s="6" t="s">
        <v>37808</v>
      </c>
    </row>
    <row r="1901" ht="15.75" hidden="1" customHeight="1">
      <c r="A1901" s="1" t="s">
        <v>38</v>
      </c>
      <c r="B1901" s="1" t="s">
        <v>37809</v>
      </c>
      <c r="C1901" s="1" t="s">
        <v>37810</v>
      </c>
      <c r="D1901" s="7" t="str">
        <f>IFERROR(__xludf.DUMMYFUNCTION("GOOGLETRANSLATE(C1901, ""en"", ""ar"")"),"أوروغواي")</f>
        <v>أوروغواي</v>
      </c>
      <c r="E1901" s="7" t="str">
        <f>IFERROR(__xludf.DUMMYFUNCTION("GOOGLETRANSLATE(C1901, ""en"", ""bg"")"),"Уругвай")</f>
        <v>Уругвай</v>
      </c>
      <c r="F1901" s="6" t="s">
        <v>132</v>
      </c>
      <c r="G1901" s="7" t="str">
        <f>IFERROR(__xludf.DUMMYFUNCTION("GOOGLETRANSLATE(C1901, ""en"", ""cs"")"),"Uruguay")</f>
        <v>Uruguay</v>
      </c>
      <c r="H1901" s="7" t="str">
        <f>IFERROR(__xludf.DUMMYFUNCTION("GOOGLETRANSLATE(C1901, ""en"", ""da"")"),"Uruguay.")</f>
        <v>Uruguay.</v>
      </c>
      <c r="I1901" s="1" t="s">
        <v>37810</v>
      </c>
      <c r="J1901" s="6" t="s">
        <v>132</v>
      </c>
      <c r="K1901" s="1" t="s">
        <v>37810</v>
      </c>
      <c r="L1901" s="7" t="str">
        <f>IFERROR(__xludf.DUMMYFUNCTION("GOOGLETRANSLATE(C1901, ""en"", ""fi"")"),"Uruguay")</f>
        <v>Uruguay</v>
      </c>
      <c r="M1901" s="1" t="s">
        <v>37810</v>
      </c>
      <c r="N1901" s="6" t="s">
        <v>132</v>
      </c>
      <c r="O1901" s="6" t="s">
        <v>132</v>
      </c>
      <c r="P1901" s="1" t="s">
        <v>37810</v>
      </c>
      <c r="Q1901" s="7" t="str">
        <f>IFERROR(__xludf.DUMMYFUNCTION("GOOGLETRANSLATE(C1901, ""en"", ""in"")"),"Uruguay.")</f>
        <v>Uruguay.</v>
      </c>
      <c r="R1901" s="7" t="str">
        <f>IFERROR(__xludf.DUMMYFUNCTION("GOOGLETRANSLATE(C1901, ""en"", ""it"")"),"Uruguay")</f>
        <v>Uruguay</v>
      </c>
      <c r="S1901" s="6" t="s">
        <v>132</v>
      </c>
      <c r="T1901" s="7" t="str">
        <f>IFERROR(__xludf.DUMMYFUNCTION("GOOGLETRANSLATE(C1901, ""en"", ""ja"")"),"ウルグアイ")</f>
        <v>ウルグアイ</v>
      </c>
      <c r="U1901" s="7" t="str">
        <f>IFERROR(__xludf.DUMMYFUNCTION("GOOGLETRANSLATE(C1901, ""en"", ""ko"")"),"우루과이")</f>
        <v>우루과이</v>
      </c>
      <c r="V1901" s="7" t="str">
        <f>IFERROR(__xludf.DUMMYFUNCTION("GOOGLETRANSLATE(C1901, ""en"", ""ms"")"),"Uruguay.")</f>
        <v>Uruguay.</v>
      </c>
      <c r="W1901" s="7" t="str">
        <f>IFERROR(__xludf.DUMMYFUNCTION("GOOGLETRANSLATE(C1901, ""en"", ""nl"")"),"Uruguay")</f>
        <v>Uruguay</v>
      </c>
      <c r="X1901" s="7" t="str">
        <f>IFERROR(__xludf.DUMMYFUNCTION("GOOGLETRANSLATE(C1901, ""en"", ""no"")"),"Uruguay.")</f>
        <v>Uruguay.</v>
      </c>
      <c r="Y1901" s="7" t="str">
        <f>IFERROR(__xludf.DUMMYFUNCTION("GOOGLETRANSLATE(C1901, ""en"", ""pl"")"),"Urugwaj")</f>
        <v>Urugwaj</v>
      </c>
      <c r="Z1901" s="7" t="str">
        <f>IFERROR(__xludf.DUMMYFUNCTION("GOOGLETRANSLATE(C1901, ""en"", ""pt"")"),"Uruguai")</f>
        <v>Uruguai</v>
      </c>
      <c r="AA1901" s="7" t="str">
        <f>IFERROR(__xludf.DUMMYFUNCTION("GOOGLETRANSLATE(C1901, ""en"", ""ro"")"),"Uruguay")</f>
        <v>Uruguay</v>
      </c>
      <c r="AB1901" s="1" t="s">
        <v>37811</v>
      </c>
      <c r="AC1901" s="7" t="str">
        <f>IFERROR(__xludf.DUMMYFUNCTION("GOOGLETRANSLATE(C1901, ""en"", ""sk"")"),"Uruguaj")</f>
        <v>Uruguaj</v>
      </c>
      <c r="AD1901" s="6" t="s">
        <v>132</v>
      </c>
      <c r="AE1901" s="1" t="s">
        <v>37812</v>
      </c>
      <c r="AF1901" s="7" t="str">
        <f>IFERROR(__xludf.DUMMYFUNCTION("GOOGLETRANSLATE(C1901, ""en"", ""sv"")"),"Uruguay")</f>
        <v>Uruguay</v>
      </c>
      <c r="AG1901" s="6" t="s">
        <v>132</v>
      </c>
      <c r="AH1901" s="7" t="str">
        <f>IFERROR(__xludf.DUMMYFUNCTION("GOOGLETRANSLATE(C1901, ""en"", ""tr"")"),"Uruguay")</f>
        <v>Uruguay</v>
      </c>
      <c r="AI1901" s="6" t="s">
        <v>132</v>
      </c>
      <c r="AJ1901" s="6" t="s">
        <v>132</v>
      </c>
      <c r="AK1901" s="7" t="str">
        <f>IFERROR(__xludf.DUMMYFUNCTION("GOOGLETRANSLATE(C1901, ""en"", ""zh"")"),"乌拉圭")</f>
        <v>乌拉圭</v>
      </c>
      <c r="AL1901" s="6" t="s">
        <v>132</v>
      </c>
    </row>
    <row r="1902" ht="15.75" hidden="1" customHeight="1">
      <c r="A1902" s="1" t="s">
        <v>38</v>
      </c>
      <c r="B1902" s="1" t="s">
        <v>37813</v>
      </c>
      <c r="C1902" s="1" t="s">
        <v>37814</v>
      </c>
      <c r="D1902" s="8" t="s">
        <v>37815</v>
      </c>
      <c r="E1902" s="1" t="s">
        <v>37816</v>
      </c>
      <c r="F1902" s="6" t="s">
        <v>37814</v>
      </c>
      <c r="G1902" s="7" t="str">
        <f>IFERROR(__xludf.DUMMYFUNCTION("GOOGLETRANSLATE(C1902, ""en"", ""cs"")"),"Přístav")</f>
        <v>Přístav</v>
      </c>
      <c r="H1902" s="7" t="str">
        <f>IFERROR(__xludf.DUMMYFUNCTION("GOOGLETRANSLATE(C1902, ""en"", ""da"")"),"Havn")</f>
        <v>Havn</v>
      </c>
      <c r="I1902" s="1" t="s">
        <v>37814</v>
      </c>
      <c r="J1902" s="6" t="s">
        <v>132</v>
      </c>
      <c r="K1902" s="1" t="s">
        <v>37817</v>
      </c>
      <c r="L1902" s="7" t="str">
        <f>IFERROR(__xludf.DUMMYFUNCTION("GOOGLETRANSLATE(C1902, ""en"", ""fi"")"),"Satama")</f>
        <v>Satama</v>
      </c>
      <c r="M1902" s="1" t="s">
        <v>37814</v>
      </c>
      <c r="N1902" s="6" t="s">
        <v>37818</v>
      </c>
      <c r="O1902" s="6" t="s">
        <v>132</v>
      </c>
      <c r="P1902" s="1" t="s">
        <v>37814</v>
      </c>
      <c r="Q1902" s="9" t="s">
        <v>37814</v>
      </c>
      <c r="R1902" s="1" t="s">
        <v>37819</v>
      </c>
      <c r="S1902" s="6" t="s">
        <v>132</v>
      </c>
      <c r="T1902" s="1" t="s">
        <v>37820</v>
      </c>
      <c r="U1902" s="1" t="s">
        <v>37821</v>
      </c>
      <c r="V1902" s="7" t="str">
        <f>IFERROR(__xludf.DUMMYFUNCTION("GOOGLETRANSLATE(C1902, ""en"", ""ms"")"),"Pelabuhan")</f>
        <v>Pelabuhan</v>
      </c>
      <c r="W1902" s="1" t="s">
        <v>37822</v>
      </c>
      <c r="X1902" s="7" t="str">
        <f>IFERROR(__xludf.DUMMYFUNCTION("GOOGLETRANSLATE(C1902, ""en"", ""no"")"),"Havn")</f>
        <v>Havn</v>
      </c>
      <c r="Y1902" s="1" t="s">
        <v>37814</v>
      </c>
      <c r="Z1902" s="1" t="s">
        <v>37818</v>
      </c>
      <c r="AA1902" s="7" t="str">
        <f>IFERROR(__xludf.DUMMYFUNCTION("GOOGLETRANSLATE(C1902, ""en"", ""ro"")"),"Port")</f>
        <v>Port</v>
      </c>
      <c r="AB1902" s="1" t="s">
        <v>37816</v>
      </c>
      <c r="AC1902" s="7" t="str">
        <f>IFERROR(__xludf.DUMMYFUNCTION("GOOGLETRANSLATE(C1902, ""en"", ""sk"")"),"Port")</f>
        <v>Port</v>
      </c>
      <c r="AD1902" s="6" t="s">
        <v>132</v>
      </c>
      <c r="AE1902" s="1" t="s">
        <v>37816</v>
      </c>
      <c r="AF1902" s="1" t="s">
        <v>37814</v>
      </c>
      <c r="AG1902" s="6" t="s">
        <v>132</v>
      </c>
      <c r="AH1902" s="7" t="str">
        <f>IFERROR(__xludf.DUMMYFUNCTION("GOOGLETRANSLATE(C1902, ""en"", ""tr"")"),"Liman")</f>
        <v>Liman</v>
      </c>
      <c r="AI1902" s="6" t="s">
        <v>37816</v>
      </c>
      <c r="AJ1902" s="6" t="s">
        <v>37823</v>
      </c>
      <c r="AK1902" s="7" t="str">
        <f>IFERROR(__xludf.DUMMYFUNCTION("GOOGLETRANSLATE(C1902, ""en"", ""zh"")"),"港口")</f>
        <v>港口</v>
      </c>
      <c r="AL1902" s="6" t="s">
        <v>37824</v>
      </c>
    </row>
    <row r="1903" ht="15.75" customHeight="1">
      <c r="A1903" s="1" t="s">
        <v>127</v>
      </c>
      <c r="B1903" s="1" t="s">
        <v>37825</v>
      </c>
      <c r="C1903" s="1" t="s">
        <v>37826</v>
      </c>
      <c r="D1903" s="8" t="s">
        <v>37827</v>
      </c>
      <c r="E1903" s="1" t="s">
        <v>37828</v>
      </c>
      <c r="F1903" s="6" t="s">
        <v>132</v>
      </c>
      <c r="G1903" s="1" t="s">
        <v>37829</v>
      </c>
      <c r="H1903" s="1" t="s">
        <v>37830</v>
      </c>
      <c r="I1903" s="1" t="s">
        <v>37831</v>
      </c>
      <c r="J1903" s="6" t="s">
        <v>37832</v>
      </c>
      <c r="K1903" s="1" t="s">
        <v>37833</v>
      </c>
      <c r="L1903" s="1" t="s">
        <v>37834</v>
      </c>
      <c r="M1903" s="1" t="s">
        <v>37835</v>
      </c>
      <c r="N1903" s="6" t="s">
        <v>132</v>
      </c>
      <c r="O1903" s="6" t="s">
        <v>37836</v>
      </c>
      <c r="P1903" s="1" t="s">
        <v>37837</v>
      </c>
      <c r="Q1903" s="1" t="s">
        <v>37838</v>
      </c>
      <c r="R1903" s="1" t="s">
        <v>30014</v>
      </c>
      <c r="S1903" s="10" t="s">
        <v>30015</v>
      </c>
      <c r="T1903" s="1" t="s">
        <v>37839</v>
      </c>
      <c r="U1903" s="1" t="s">
        <v>37840</v>
      </c>
      <c r="V1903" s="1" t="s">
        <v>37841</v>
      </c>
      <c r="W1903" s="1" t="s">
        <v>37826</v>
      </c>
      <c r="X1903" s="1" t="s">
        <v>37842</v>
      </c>
      <c r="Y1903" s="1" t="s">
        <v>37843</v>
      </c>
      <c r="Z1903" s="1" t="s">
        <v>37844</v>
      </c>
      <c r="AA1903" s="1" t="s">
        <v>37845</v>
      </c>
      <c r="AB1903" s="1" t="s">
        <v>37846</v>
      </c>
      <c r="AC1903" s="1" t="s">
        <v>37847</v>
      </c>
      <c r="AD1903" s="6" t="s">
        <v>37848</v>
      </c>
      <c r="AE1903" s="1" t="s">
        <v>37849</v>
      </c>
      <c r="AF1903" s="1" t="s">
        <v>37850</v>
      </c>
      <c r="AG1903" s="6" t="s">
        <v>37851</v>
      </c>
      <c r="AH1903" s="1" t="s">
        <v>37852</v>
      </c>
      <c r="AI1903" s="6" t="s">
        <v>132</v>
      </c>
      <c r="AJ1903" s="6" t="s">
        <v>37853</v>
      </c>
      <c r="AK1903" s="1" t="s">
        <v>37854</v>
      </c>
      <c r="AL1903" s="6" t="s">
        <v>37855</v>
      </c>
    </row>
    <row r="1904" ht="15.75" customHeight="1">
      <c r="A1904" s="1" t="s">
        <v>127</v>
      </c>
      <c r="B1904" s="1" t="s">
        <v>37856</v>
      </c>
      <c r="C1904" s="1" t="s">
        <v>37857</v>
      </c>
      <c r="D1904" s="7" t="str">
        <f>IFERROR(__xludf.DUMMYFUNCTION("GOOGLETRANSLATE(C1904, ""en"", ""ar"")"),"(تصنيف منظر للجبل)")</f>
        <v>(تصنيف منظر للجبل)</v>
      </c>
      <c r="E1904" s="7" t="str">
        <f>IFERROR(__xludf.DUMMYFUNCTION("GOOGLETRANSLATE(C1904, ""en"", ""bg"")"),"(рейтинг от гледна точка на планината)")</f>
        <v>(рейтинг от гледна точка на планината)</v>
      </c>
      <c r="F1904" s="6" t="s">
        <v>132</v>
      </c>
      <c r="G1904" s="13" t="s">
        <v>37858</v>
      </c>
      <c r="H1904" s="1" t="s">
        <v>37859</v>
      </c>
      <c r="I1904" s="1" t="s">
        <v>37860</v>
      </c>
      <c r="J1904" s="6" t="s">
        <v>132</v>
      </c>
      <c r="K1904" s="7" t="str">
        <f>IFERROR(__xludf.DUMMYFUNCTION("GOOGLETRANSLATE(C1904, ""en"", ""es"")"),"(Clasificación por vista a la montaña)")</f>
        <v>(Clasificación por vista a la montaña)</v>
      </c>
      <c r="L1904" s="1" t="s">
        <v>37861</v>
      </c>
      <c r="M1904" s="1" t="s">
        <v>37862</v>
      </c>
      <c r="N1904" s="6" t="s">
        <v>132</v>
      </c>
      <c r="O1904" s="6" t="s">
        <v>132</v>
      </c>
      <c r="P1904" s="1" t="s">
        <v>37863</v>
      </c>
      <c r="Q1904" s="1" t="s">
        <v>37864</v>
      </c>
      <c r="R1904" s="1" t="s">
        <v>37865</v>
      </c>
      <c r="S1904" s="6" t="s">
        <v>132</v>
      </c>
      <c r="T1904" s="1" t="s">
        <v>37866</v>
      </c>
      <c r="U1904" s="7" t="str">
        <f>IFERROR(__xludf.DUMMYFUNCTION("GOOGLETRANSLATE(C1904, ""en"", ""ko"")"),"(등급 별도)")</f>
        <v>(등급 별도)</v>
      </c>
      <c r="V1904" s="1" t="s">
        <v>37864</v>
      </c>
      <c r="W1904" s="1" t="s">
        <v>37867</v>
      </c>
      <c r="X1904" s="1" t="s">
        <v>37868</v>
      </c>
      <c r="Y1904" s="11" t="s">
        <v>37869</v>
      </c>
      <c r="Z1904" s="1" t="s">
        <v>37870</v>
      </c>
      <c r="AA1904" s="7" t="str">
        <f>IFERROR(__xludf.DUMMYFUNCTION("GOOGLETRANSLATE(C1904, ""en"", ""ro"")"),"(Evaluare după vedere la munte)")</f>
        <v>(Evaluare după vedere la munte)</v>
      </c>
      <c r="AB1904" s="1" t="s">
        <v>37871</v>
      </c>
      <c r="AC1904" s="13" t="s">
        <v>37872</v>
      </c>
      <c r="AD1904" s="6" t="s">
        <v>132</v>
      </c>
      <c r="AE1904" s="7" t="str">
        <f>IFERROR(__xludf.DUMMYFUNCTION("GOOGLETRANSLATE(C1904, ""en"", ""sr"")"),"(Оцена погледи на планину)")</f>
        <v>(Оцена погледи на планину)</v>
      </c>
      <c r="AF1904" s="11" t="s">
        <v>37873</v>
      </c>
      <c r="AG1904" s="6" t="s">
        <v>132</v>
      </c>
      <c r="AH1904" s="1" t="s">
        <v>37874</v>
      </c>
      <c r="AI1904" s="6" t="s">
        <v>132</v>
      </c>
      <c r="AJ1904" s="6" t="s">
        <v>132</v>
      </c>
      <c r="AK1904" s="14" t="s">
        <v>37875</v>
      </c>
      <c r="AL1904" s="6" t="s">
        <v>132</v>
      </c>
    </row>
    <row r="1905" ht="15.75" hidden="1" customHeight="1">
      <c r="A1905" s="1" t="s">
        <v>38</v>
      </c>
      <c r="B1905" s="1" t="s">
        <v>37876</v>
      </c>
      <c r="C1905" s="1" t="s">
        <v>37877</v>
      </c>
      <c r="D1905" s="7" t="str">
        <f>IFERROR(__xludf.DUMMYFUNCTION("GOOGLETRANSLATE(C1905, ""en"", ""ar"")"),"محاولات كثيرة")</f>
        <v>محاولات كثيرة</v>
      </c>
      <c r="E1905" s="1" t="s">
        <v>37878</v>
      </c>
      <c r="F1905" s="6" t="s">
        <v>132</v>
      </c>
      <c r="G1905" s="7" t="str">
        <f>IFERROR(__xludf.DUMMYFUNCTION("GOOGLETRANSLATE(C1905, ""en"", ""cs"")"),"Příliš mnoho pokusů")</f>
        <v>Příliš mnoho pokusů</v>
      </c>
      <c r="H1905" s="7" t="str">
        <f>IFERROR(__xludf.DUMMYFUNCTION("GOOGLETRANSLATE(C1905, ""en"", ""da"")"),"For mange forsøg")</f>
        <v>For mange forsøg</v>
      </c>
      <c r="I1905" s="1" t="s">
        <v>37879</v>
      </c>
      <c r="J1905" s="6" t="s">
        <v>132</v>
      </c>
      <c r="K1905" s="1" t="s">
        <v>37880</v>
      </c>
      <c r="L1905" s="7" t="str">
        <f>IFERROR(__xludf.DUMMYFUNCTION("GOOGLETRANSLATE(C1905, ""en"", ""fi"")"),"Liian monta yritystä")</f>
        <v>Liian monta yritystä</v>
      </c>
      <c r="M1905" s="13" t="s">
        <v>37881</v>
      </c>
      <c r="N1905" s="6" t="s">
        <v>37880</v>
      </c>
      <c r="O1905" s="6" t="s">
        <v>132</v>
      </c>
      <c r="P1905" s="1" t="s">
        <v>37882</v>
      </c>
      <c r="Q1905" s="7" t="str">
        <f>IFERROR(__xludf.DUMMYFUNCTION("GOOGLETRANSLATE(C1905, ""en"", ""in"")"),"Terlalu banyak upaya")</f>
        <v>Terlalu banyak upaya</v>
      </c>
      <c r="R1905" s="1" t="s">
        <v>37883</v>
      </c>
      <c r="S1905" s="6" t="s">
        <v>132</v>
      </c>
      <c r="T1905" s="7" t="str">
        <f>IFERROR(__xludf.DUMMYFUNCTION("GOOGLETRANSLATE(C1905, ""en"", ""ja"")"),"あまりにも多くの試みがあります")</f>
        <v>あまりにも多くの試みがあります</v>
      </c>
      <c r="U1905" s="7" t="str">
        <f>IFERROR(__xludf.DUMMYFUNCTION("GOOGLETRANSLATE(C1905, ""en"", ""ko"")"),"너무 많은 시도")</f>
        <v>너무 많은 시도</v>
      </c>
      <c r="V1905" s="7" t="str">
        <f>IFERROR(__xludf.DUMMYFUNCTION("GOOGLETRANSLATE(C1905, ""en"", ""ms"")"),"Terlalu banyak percubaan")</f>
        <v>Terlalu banyak percubaan</v>
      </c>
      <c r="W1905" s="1" t="s">
        <v>37884</v>
      </c>
      <c r="X1905" s="7" t="str">
        <f>IFERROR(__xludf.DUMMYFUNCTION("GOOGLETRANSLATE(C1905, ""en"", ""no"")"),"For mange forsøk")</f>
        <v>For mange forsøk</v>
      </c>
      <c r="Y1905" s="1" t="s">
        <v>37885</v>
      </c>
      <c r="Z1905" s="7" t="str">
        <f>IFERROR(__xludf.DUMMYFUNCTION("GOOGLETRANSLATE(C1905, ""en"", ""pt"")"),"Muitas tentativas")</f>
        <v>Muitas tentativas</v>
      </c>
      <c r="AA1905" s="7" t="str">
        <f>IFERROR(__xludf.DUMMYFUNCTION("GOOGLETRANSLATE(C1905, ""en"", ""ro"")"),"Prea multe incercari")</f>
        <v>Prea multe incercari</v>
      </c>
      <c r="AB1905" s="7" t="str">
        <f>IFERROR(__xludf.DUMMYFUNCTION("GOOGLETRANSLATE(C1905, ""en"", ""ru"")"),"Слишком много попыток")</f>
        <v>Слишком много попыток</v>
      </c>
      <c r="AC1905" s="7" t="str">
        <f>IFERROR(__xludf.DUMMYFUNCTION("GOOGLETRANSLATE(C1905, ""en"", ""sk"")"),"Príliš veľa pokusov")</f>
        <v>Príliš veľa pokusov</v>
      </c>
      <c r="AD1905" s="6" t="s">
        <v>132</v>
      </c>
      <c r="AE1905" s="7" t="str">
        <f>IFERROR(__xludf.DUMMYFUNCTION("GOOGLETRANSLATE(C1905, ""en"", ""sr"")"),"Превише покушаја")</f>
        <v>Превише покушаја</v>
      </c>
      <c r="AF1905" s="7" t="str">
        <f>IFERROR(__xludf.DUMMYFUNCTION("GOOGLETRANSLATE(C1905, ""en"", ""sv"")"),"För många försök")</f>
        <v>För många försök</v>
      </c>
      <c r="AG1905" s="6" t="s">
        <v>132</v>
      </c>
      <c r="AH1905" s="7" t="str">
        <f>IFERROR(__xludf.DUMMYFUNCTION("GOOGLETRANSLATE(C1905, ""en"", ""tr"")"),"Çok fazla girişim")</f>
        <v>Çok fazla girişim</v>
      </c>
      <c r="AI1905" s="6" t="s">
        <v>132</v>
      </c>
      <c r="AJ1905" s="6" t="s">
        <v>132</v>
      </c>
      <c r="AK1905" s="7" t="str">
        <f>IFERROR(__xludf.DUMMYFUNCTION("GOOGLETRANSLATE(C1905, ""en"", ""zh"")"),"太多的尝试")</f>
        <v>太多的尝试</v>
      </c>
      <c r="AL1905" s="6" t="s">
        <v>132</v>
      </c>
    </row>
    <row r="1906" ht="15.75" hidden="1" customHeight="1">
      <c r="A1906" s="1" t="s">
        <v>38</v>
      </c>
      <c r="B1906" s="1" t="s">
        <v>37886</v>
      </c>
      <c r="C1906" s="1" t="s">
        <v>37887</v>
      </c>
      <c r="D1906" s="8" t="s">
        <v>37888</v>
      </c>
      <c r="E1906" s="1" t="s">
        <v>37889</v>
      </c>
      <c r="F1906" s="6" t="s">
        <v>37890</v>
      </c>
      <c r="G1906" s="7" t="str">
        <f>IFERROR(__xludf.DUMMYFUNCTION("GOOGLETRANSLATE(C1906, ""en"", ""cs"")"),"Konverzace potřebuje přístup k externím úložišti")</f>
        <v>Konverzace potřebuje přístup k externím úložišti</v>
      </c>
      <c r="H1906" s="7" t="str">
        <f>IFERROR(__xludf.DUMMYFUNCTION("GOOGLETRANSLATE(C1906, ""en"", ""da"")"),"Samtaler har brug for adgang til ekstern opbevaring")</f>
        <v>Samtaler har brug for adgang til ekstern opbevaring</v>
      </c>
      <c r="I1906" s="1" t="s">
        <v>37891</v>
      </c>
      <c r="J1906" s="6" t="s">
        <v>132</v>
      </c>
      <c r="K1906" s="1" t="s">
        <v>37892</v>
      </c>
      <c r="L1906" s="7" t="str">
        <f>IFERROR(__xludf.DUMMYFUNCTION("GOOGLETRANSLATE(C1906, ""en"", ""fi"")"),"Keskustelut edellyttävät pääsyä ulkoiseen tallennustilaan")</f>
        <v>Keskustelut edellyttävät pääsyä ulkoiseen tallennustilaan</v>
      </c>
      <c r="M1906" s="1" t="s">
        <v>37893</v>
      </c>
      <c r="N1906" s="6" t="s">
        <v>37894</v>
      </c>
      <c r="O1906" s="6" t="s">
        <v>132</v>
      </c>
      <c r="P1906" s="1" t="s">
        <v>37895</v>
      </c>
      <c r="Q1906" s="7" t="str">
        <f>IFERROR(__xludf.DUMMYFUNCTION("GOOGLETRANSLATE(C1906, ""en"", ""in"")"),"Percakapan membutuhkan akses ke penyimpanan eksternal")</f>
        <v>Percakapan membutuhkan akses ke penyimpanan eksternal</v>
      </c>
      <c r="R1906" s="1" t="s">
        <v>37896</v>
      </c>
      <c r="S1906" s="6" t="s">
        <v>132</v>
      </c>
      <c r="T1906" s="7" t="str">
        <f>IFERROR(__xludf.DUMMYFUNCTION("GOOGLETRANSLATE(C1906, ""en"", ""ja"")"),"会話は外部記憶域へのアクセスが必要です")</f>
        <v>会話は外部記憶域へのアクセスが必要です</v>
      </c>
      <c r="U1906" s="7" t="str">
        <f>IFERROR(__xludf.DUMMYFUNCTION("GOOGLETRANSLATE(C1906, ""en"", ""ko"")"),"대화는 외부 저장소에 액세스해야합니다")</f>
        <v>대화는 외부 저장소에 액세스해야합니다</v>
      </c>
      <c r="V1906" s="7" t="str">
        <f>IFERROR(__xludf.DUMMYFUNCTION("GOOGLETRANSLATE(C1906, ""en"", ""ms"")"),"Perbualan memerlukan akses kepada storan luaran")</f>
        <v>Perbualan memerlukan akses kepada storan luaran</v>
      </c>
      <c r="W1906" s="1" t="s">
        <v>37897</v>
      </c>
      <c r="X1906" s="7" t="str">
        <f>IFERROR(__xludf.DUMMYFUNCTION("GOOGLETRANSLATE(C1906, ""en"", ""no"")"),"Samtaler trenger tilgang til ekstern lagring")</f>
        <v>Samtaler trenger tilgang til ekstern lagring</v>
      </c>
      <c r="Y1906" s="1" t="s">
        <v>37898</v>
      </c>
      <c r="Z1906" s="1" t="s">
        <v>37899</v>
      </c>
      <c r="AA1906" s="7" t="str">
        <f>IFERROR(__xludf.DUMMYFUNCTION("GOOGLETRANSLATE(C1906, ""en"", ""ro"")"),"Conversațiile au nevoie de acces la stocarea externă")</f>
        <v>Conversațiile au nevoie de acces la stocarea externă</v>
      </c>
      <c r="AB1906" s="1" t="s">
        <v>37900</v>
      </c>
      <c r="AC1906" s="7" t="str">
        <f>IFERROR(__xludf.DUMMYFUNCTION("GOOGLETRANSLATE(C1906, ""en"", ""sk"")"),"Konverzácie potrebujú prístup k externému ukladaniu")</f>
        <v>Konverzácie potrebujú prístup k externému ukladaniu</v>
      </c>
      <c r="AD1906" s="6" t="s">
        <v>132</v>
      </c>
      <c r="AE1906" s="7" t="str">
        <f>IFERROR(__xludf.DUMMYFUNCTION("GOOGLETRANSLATE(C1906, ""en"", ""sr"")"),"Разговори су потребни приступ спољном складишту")</f>
        <v>Разговори су потребни приступ спољном складишту</v>
      </c>
      <c r="AF1906" s="7" t="str">
        <f>IFERROR(__xludf.DUMMYFUNCTION("GOOGLETRANSLATE(C1906, ""en"", ""sv"")"),"Samtal behöver tillgång till externt lagring")</f>
        <v>Samtal behöver tillgång till externt lagring</v>
      </c>
      <c r="AG1906" s="6" t="s">
        <v>132</v>
      </c>
      <c r="AH1906" s="7" t="str">
        <f>IFERROR(__xludf.DUMMYFUNCTION("GOOGLETRANSLATE(C1906, ""en"", ""tr"")"),"Konuşmaların dış depoya erişim ihtiyacı var")</f>
        <v>Konuşmaların dış depoya erişim ihtiyacı var</v>
      </c>
      <c r="AI1906" s="6" t="s">
        <v>132</v>
      </c>
      <c r="AJ1906" s="6" t="s">
        <v>132</v>
      </c>
      <c r="AK1906" s="7" t="str">
        <f>IFERROR(__xludf.DUMMYFUNCTION("GOOGLETRANSLATE(C1906, ""en"", ""zh"")"),"对话需要访问外部存储")</f>
        <v>对话需要访问外部存储</v>
      </c>
      <c r="AL1906" s="6" t="s">
        <v>132</v>
      </c>
    </row>
    <row r="1907" ht="15.75" hidden="1" customHeight="1">
      <c r="A1907" s="1" t="s">
        <v>38</v>
      </c>
      <c r="B1907" s="1" t="s">
        <v>37901</v>
      </c>
      <c r="C1907" s="1" t="s">
        <v>37902</v>
      </c>
      <c r="D1907" s="7" t="str">
        <f>IFERROR(__xludf.DUMMYFUNCTION("GOOGLETRANSLATE(C1907, ""en"", ""ar"")"),"ليبيريا")</f>
        <v>ليبيريا</v>
      </c>
      <c r="E1907" s="7" t="str">
        <f>IFERROR(__xludf.DUMMYFUNCTION("GOOGLETRANSLATE(C1907, ""en"", ""bg"")"),"Либерия")</f>
        <v>Либерия</v>
      </c>
      <c r="F1907" s="6" t="s">
        <v>132</v>
      </c>
      <c r="G1907" s="7" t="str">
        <f>IFERROR(__xludf.DUMMYFUNCTION("GOOGLETRANSLATE(C1907, ""en"", ""cs"")"),"Libérie")</f>
        <v>Libérie</v>
      </c>
      <c r="H1907" s="7" t="str">
        <f>IFERROR(__xludf.DUMMYFUNCTION("GOOGLETRANSLATE(C1907, ""en"", ""da"")"),"Liberia.")</f>
        <v>Liberia.</v>
      </c>
      <c r="I1907" s="1" t="s">
        <v>37902</v>
      </c>
      <c r="J1907" s="6" t="s">
        <v>132</v>
      </c>
      <c r="K1907" s="1" t="s">
        <v>37902</v>
      </c>
      <c r="L1907" s="7" t="str">
        <f>IFERROR(__xludf.DUMMYFUNCTION("GOOGLETRANSLATE(C1907, ""en"", ""fi"")"),"Liberia")</f>
        <v>Liberia</v>
      </c>
      <c r="M1907" s="1" t="s">
        <v>37903</v>
      </c>
      <c r="N1907" s="6" t="s">
        <v>132</v>
      </c>
      <c r="O1907" s="6" t="s">
        <v>132</v>
      </c>
      <c r="P1907" s="1" t="s">
        <v>37902</v>
      </c>
      <c r="Q1907" s="7" t="str">
        <f>IFERROR(__xludf.DUMMYFUNCTION("GOOGLETRANSLATE(C1907, ""en"", ""in"")"),"Liberia")</f>
        <v>Liberia</v>
      </c>
      <c r="R1907" s="7" t="str">
        <f>IFERROR(__xludf.DUMMYFUNCTION("GOOGLETRANSLATE(C1907, ""en"", ""it"")"),"Liberia")</f>
        <v>Liberia</v>
      </c>
      <c r="S1907" s="6" t="s">
        <v>132</v>
      </c>
      <c r="T1907" s="7" t="str">
        <f>IFERROR(__xludf.DUMMYFUNCTION("GOOGLETRANSLATE(C1907, ""en"", ""ja"")"),"リベリア")</f>
        <v>リベリア</v>
      </c>
      <c r="U1907" s="7" t="str">
        <f>IFERROR(__xludf.DUMMYFUNCTION("GOOGLETRANSLATE(C1907, ""en"", ""ko"")"),"라이베리아")</f>
        <v>라이베리아</v>
      </c>
      <c r="V1907" s="7" t="str">
        <f>IFERROR(__xludf.DUMMYFUNCTION("GOOGLETRANSLATE(C1907, ""en"", ""ms"")"),"Liberia.")</f>
        <v>Liberia.</v>
      </c>
      <c r="W1907" s="7" t="str">
        <f>IFERROR(__xludf.DUMMYFUNCTION("GOOGLETRANSLATE(C1907, ""en"", ""nl"")"),"Liberia")</f>
        <v>Liberia</v>
      </c>
      <c r="X1907" s="7" t="str">
        <f>IFERROR(__xludf.DUMMYFUNCTION("GOOGLETRANSLATE(C1907, ""en"", ""no"")"),"Liberia")</f>
        <v>Liberia</v>
      </c>
      <c r="Y1907" s="7" t="str">
        <f>IFERROR(__xludf.DUMMYFUNCTION("GOOGLETRANSLATE(C1907, ""en"", ""pl"")"),"Liberia.")</f>
        <v>Liberia.</v>
      </c>
      <c r="Z1907" s="7" t="str">
        <f>IFERROR(__xludf.DUMMYFUNCTION("GOOGLETRANSLATE(C1907, ""en"", ""pt"")"),"Libéria")</f>
        <v>Libéria</v>
      </c>
      <c r="AA1907" s="7" t="str">
        <f>IFERROR(__xludf.DUMMYFUNCTION("GOOGLETRANSLATE(C1907, ""en"", ""ro"")"),"Liberia.")</f>
        <v>Liberia.</v>
      </c>
      <c r="AB1907" s="1" t="s">
        <v>37904</v>
      </c>
      <c r="AC1907" s="7" t="str">
        <f>IFERROR(__xludf.DUMMYFUNCTION("GOOGLETRANSLATE(C1907, ""en"", ""sk"")"),"Libéria")</f>
        <v>Libéria</v>
      </c>
      <c r="AD1907" s="6" t="s">
        <v>132</v>
      </c>
      <c r="AE1907" s="1" t="s">
        <v>37902</v>
      </c>
      <c r="AF1907" s="7" t="str">
        <f>IFERROR(__xludf.DUMMYFUNCTION("GOOGLETRANSLATE(C1907, ""en"", ""sv"")"),"Liberia")</f>
        <v>Liberia</v>
      </c>
      <c r="AG1907" s="6" t="s">
        <v>132</v>
      </c>
      <c r="AH1907" s="7" t="str">
        <f>IFERROR(__xludf.DUMMYFUNCTION("GOOGLETRANSLATE(C1907, ""en"", ""tr"")"),"Liberya")</f>
        <v>Liberya</v>
      </c>
      <c r="AI1907" s="6" t="s">
        <v>132</v>
      </c>
      <c r="AJ1907" s="6" t="s">
        <v>132</v>
      </c>
      <c r="AK1907" s="7" t="str">
        <f>IFERROR(__xludf.DUMMYFUNCTION("GOOGLETRANSLATE(C1907, ""en"", ""zh"")"),"利比里亚")</f>
        <v>利比里亚</v>
      </c>
      <c r="AL1907" s="6" t="s">
        <v>132</v>
      </c>
    </row>
    <row r="1908" ht="15.75" customHeight="1">
      <c r="A1908" s="1" t="s">
        <v>127</v>
      </c>
      <c r="B1908" s="1" t="s">
        <v>37905</v>
      </c>
      <c r="C1908" s="1" t="s">
        <v>37906</v>
      </c>
      <c r="D1908" s="8" t="s">
        <v>37907</v>
      </c>
      <c r="E1908" s="1" t="s">
        <v>37908</v>
      </c>
      <c r="F1908" s="6" t="s">
        <v>132</v>
      </c>
      <c r="G1908" s="1" t="s">
        <v>37909</v>
      </c>
      <c r="H1908" s="1" t="s">
        <v>37910</v>
      </c>
      <c r="I1908" s="1" t="s">
        <v>37906</v>
      </c>
      <c r="J1908" s="6" t="s">
        <v>37911</v>
      </c>
      <c r="K1908" s="1" t="s">
        <v>37912</v>
      </c>
      <c r="L1908" s="1" t="s">
        <v>37913</v>
      </c>
      <c r="M1908" s="1" t="s">
        <v>37906</v>
      </c>
      <c r="N1908" s="6" t="s">
        <v>132</v>
      </c>
      <c r="O1908" s="6" t="s">
        <v>37914</v>
      </c>
      <c r="P1908" s="1" t="s">
        <v>37906</v>
      </c>
      <c r="Q1908" s="1" t="s">
        <v>37915</v>
      </c>
      <c r="R1908" s="1" t="s">
        <v>37916</v>
      </c>
      <c r="S1908" s="10" t="s">
        <v>37917</v>
      </c>
      <c r="T1908" s="1" t="s">
        <v>37918</v>
      </c>
      <c r="U1908" s="1" t="s">
        <v>37919</v>
      </c>
      <c r="V1908" s="1" t="s">
        <v>37915</v>
      </c>
      <c r="W1908" s="1" t="s">
        <v>37920</v>
      </c>
      <c r="X1908" s="1" t="s">
        <v>37921</v>
      </c>
      <c r="Y1908" s="1" t="s">
        <v>37906</v>
      </c>
      <c r="Z1908" s="1" t="s">
        <v>37922</v>
      </c>
      <c r="AA1908" s="1" t="s">
        <v>37923</v>
      </c>
      <c r="AB1908" s="1" t="s">
        <v>37924</v>
      </c>
      <c r="AC1908" s="1" t="s">
        <v>37925</v>
      </c>
      <c r="AD1908" s="6" t="s">
        <v>37926</v>
      </c>
      <c r="AE1908" s="1" t="s">
        <v>37906</v>
      </c>
      <c r="AF1908" s="1" t="s">
        <v>37906</v>
      </c>
      <c r="AG1908" s="6" t="s">
        <v>37927</v>
      </c>
      <c r="AH1908" s="1" t="s">
        <v>37928</v>
      </c>
      <c r="AI1908" s="6" t="s">
        <v>132</v>
      </c>
      <c r="AJ1908" s="6" t="s">
        <v>37929</v>
      </c>
      <c r="AK1908" s="1" t="s">
        <v>37930</v>
      </c>
      <c r="AL1908" s="6" t="s">
        <v>37931</v>
      </c>
    </row>
    <row r="1909" ht="15.75" hidden="1" customHeight="1">
      <c r="A1909" s="1" t="s">
        <v>38</v>
      </c>
      <c r="B1909" s="1" t="s">
        <v>37932</v>
      </c>
      <c r="C1909" s="1" t="s">
        <v>37933</v>
      </c>
      <c r="D1909" s="7" t="str">
        <f>IFERROR(__xludf.DUMMYFUNCTION("GOOGLETRANSLATE(C1909, ""en"", ""ar"")"),"الأرض الخضراء")</f>
        <v>الأرض الخضراء</v>
      </c>
      <c r="E1909" s="7" t="str">
        <f>IFERROR(__xludf.DUMMYFUNCTION("GOOGLETRANSLATE(C1909, ""en"", ""bg"")"),"Гренландия")</f>
        <v>Гренландия</v>
      </c>
      <c r="F1909" s="6" t="s">
        <v>132</v>
      </c>
      <c r="G1909" s="7" t="str">
        <f>IFERROR(__xludf.DUMMYFUNCTION("GOOGLETRANSLATE(C1909, ""en"", ""cs"")"),"Grónsko")</f>
        <v>Grónsko</v>
      </c>
      <c r="H1909" s="7" t="str">
        <f>IFERROR(__xludf.DUMMYFUNCTION("GOOGLETRANSLATE(C1909, ""en"", ""da"")"),"Grønland.")</f>
        <v>Grønland.</v>
      </c>
      <c r="I1909" s="1" t="s">
        <v>37934</v>
      </c>
      <c r="J1909" s="6" t="s">
        <v>132</v>
      </c>
      <c r="K1909" s="1" t="s">
        <v>37935</v>
      </c>
      <c r="L1909" s="7" t="str">
        <f>IFERROR(__xludf.DUMMYFUNCTION("GOOGLETRANSLATE(C1909, ""en"", ""fi"")"),"Grönlanti")</f>
        <v>Grönlanti</v>
      </c>
      <c r="M1909" s="1" t="s">
        <v>37936</v>
      </c>
      <c r="N1909" s="6" t="s">
        <v>132</v>
      </c>
      <c r="O1909" s="6" t="s">
        <v>132</v>
      </c>
      <c r="P1909" s="1" t="s">
        <v>37933</v>
      </c>
      <c r="Q1909" s="7" t="str">
        <f>IFERROR(__xludf.DUMMYFUNCTION("GOOGLETRANSLATE(C1909, ""en"", ""in"")"),"Tanah penggembalaan")</f>
        <v>Tanah penggembalaan</v>
      </c>
      <c r="R1909" s="7" t="str">
        <f>IFERROR(__xludf.DUMMYFUNCTION("GOOGLETRANSLATE(C1909, ""en"", ""it"")"),"Groenlandia")</f>
        <v>Groenlandia</v>
      </c>
      <c r="S1909" s="6" t="s">
        <v>132</v>
      </c>
      <c r="T1909" s="7" t="str">
        <f>IFERROR(__xludf.DUMMYFUNCTION("GOOGLETRANSLATE(C1909, ""en"", ""ja"")"),"グリーンランド")</f>
        <v>グリーンランド</v>
      </c>
      <c r="U1909" s="7" t="str">
        <f>IFERROR(__xludf.DUMMYFUNCTION("GOOGLETRANSLATE(C1909, ""en"", ""ko"")"),"그린란드")</f>
        <v>그린란드</v>
      </c>
      <c r="V1909" s="7" t="str">
        <f>IFERROR(__xludf.DUMMYFUNCTION("GOOGLETRANSLATE(C1909, ""en"", ""ms"")"),"Greenland.")</f>
        <v>Greenland.</v>
      </c>
      <c r="W1909" s="7" t="str">
        <f>IFERROR(__xludf.DUMMYFUNCTION("GOOGLETRANSLATE(C1909, ""en"", ""nl"")"),"Groenland")</f>
        <v>Groenland</v>
      </c>
      <c r="X1909" s="7" t="str">
        <f>IFERROR(__xludf.DUMMYFUNCTION("GOOGLETRANSLATE(C1909, ""en"", ""no"")"),"Grønland")</f>
        <v>Grønland</v>
      </c>
      <c r="Y1909" s="7" t="str">
        <f>IFERROR(__xludf.DUMMYFUNCTION("GOOGLETRANSLATE(C1909, ""en"", ""pl"")"),"Grenlandia")</f>
        <v>Grenlandia</v>
      </c>
      <c r="Z1909" s="7" t="str">
        <f>IFERROR(__xludf.DUMMYFUNCTION("GOOGLETRANSLATE(C1909, ""en"", ""pt"")"),"Groenlândia")</f>
        <v>Groenlândia</v>
      </c>
      <c r="AA1909" s="7" t="str">
        <f>IFERROR(__xludf.DUMMYFUNCTION("GOOGLETRANSLATE(C1909, ""en"", ""ro"")"),"Groenlanda")</f>
        <v>Groenlanda</v>
      </c>
      <c r="AB1909" s="1" t="s">
        <v>37937</v>
      </c>
      <c r="AC1909" s="7" t="str">
        <f>IFERROR(__xludf.DUMMYFUNCTION("GOOGLETRANSLATE(C1909, ""en"", ""sk"")"),"Grónsko")</f>
        <v>Grónsko</v>
      </c>
      <c r="AD1909" s="6" t="s">
        <v>132</v>
      </c>
      <c r="AE1909" s="1" t="s">
        <v>37938</v>
      </c>
      <c r="AF1909" s="7" t="str">
        <f>IFERROR(__xludf.DUMMYFUNCTION("GOOGLETRANSLATE(C1909, ""en"", ""sv"")"),"Grönland")</f>
        <v>Grönland</v>
      </c>
      <c r="AG1909" s="6" t="s">
        <v>132</v>
      </c>
      <c r="AH1909" s="7" t="str">
        <f>IFERROR(__xludf.DUMMYFUNCTION("GOOGLETRANSLATE(C1909, ""en"", ""tr"")"),"Grönland")</f>
        <v>Grönland</v>
      </c>
      <c r="AI1909" s="6" t="s">
        <v>132</v>
      </c>
      <c r="AJ1909" s="6" t="s">
        <v>132</v>
      </c>
      <c r="AK1909" s="7" t="str">
        <f>IFERROR(__xludf.DUMMYFUNCTION("GOOGLETRANSLATE(C1909, ""en"", ""zh"")"),"格陵兰")</f>
        <v>格陵兰</v>
      </c>
      <c r="AL1909" s="6" t="s">
        <v>132</v>
      </c>
    </row>
    <row r="1910" ht="15.75" hidden="1" customHeight="1">
      <c r="A1910" s="1" t="s">
        <v>38</v>
      </c>
      <c r="B1910" s="1" t="s">
        <v>37939</v>
      </c>
      <c r="C1910" s="1" t="s">
        <v>37940</v>
      </c>
      <c r="D1910" s="8" t="s">
        <v>37941</v>
      </c>
      <c r="E1910" s="1" t="s">
        <v>37942</v>
      </c>
      <c r="F1910" s="6" t="s">
        <v>37943</v>
      </c>
      <c r="G1910" s="7" t="str">
        <f>IFERROR(__xludf.DUMMYFUNCTION("GOOGLETRANSLATE(C1910, ""en"", ""cs"")"),"Nelze aktualizovat účet")</f>
        <v>Nelze aktualizovat účet</v>
      </c>
      <c r="H1910" s="7" t="str">
        <f>IFERROR(__xludf.DUMMYFUNCTION("GOOGLETRANSLATE(C1910, ""en"", ""da"")"),"Kan ikke opdatere konto")</f>
        <v>Kan ikke opdatere konto</v>
      </c>
      <c r="I1910" s="1" t="s">
        <v>37944</v>
      </c>
      <c r="J1910" s="6" t="s">
        <v>132</v>
      </c>
      <c r="K1910" s="1" t="s">
        <v>37945</v>
      </c>
      <c r="L1910" s="7" t="str">
        <f>IFERROR(__xludf.DUMMYFUNCTION("GOOGLETRANSLATE(C1910, ""en"", ""fi"")"),"Tilin päivittäminen ei onnistu")</f>
        <v>Tilin päivittäminen ei onnistu</v>
      </c>
      <c r="M1910" s="1" t="s">
        <v>37946</v>
      </c>
      <c r="N1910" s="6" t="s">
        <v>37947</v>
      </c>
      <c r="O1910" s="6" t="s">
        <v>132</v>
      </c>
      <c r="P1910" s="1" t="s">
        <v>37948</v>
      </c>
      <c r="Q1910" s="7" t="str">
        <f>IFERROR(__xludf.DUMMYFUNCTION("GOOGLETRANSLATE(C1910, ""en"", ""in"")"),"Tidak dapat memperbarui akun")</f>
        <v>Tidak dapat memperbarui akun</v>
      </c>
      <c r="R1910" s="1" t="s">
        <v>37949</v>
      </c>
      <c r="S1910" s="6" t="s">
        <v>132</v>
      </c>
      <c r="T1910" s="1" t="s">
        <v>37950</v>
      </c>
      <c r="U1910" s="1" t="s">
        <v>37951</v>
      </c>
      <c r="V1910" s="7" t="str">
        <f>IFERROR(__xludf.DUMMYFUNCTION("GOOGLETRANSLATE(C1910, ""en"", ""ms"")"),"Tidak dapat mengemas kini akaun")</f>
        <v>Tidak dapat mengemas kini akaun</v>
      </c>
      <c r="W1910" s="1" t="s">
        <v>37952</v>
      </c>
      <c r="X1910" s="7" t="str">
        <f>IFERROR(__xludf.DUMMYFUNCTION("GOOGLETRANSLATE(C1910, ""en"", ""no"")"),"Kan ikke oppdatere konto")</f>
        <v>Kan ikke oppdatere konto</v>
      </c>
      <c r="Y1910" s="1" t="s">
        <v>37953</v>
      </c>
      <c r="Z1910" s="1" t="s">
        <v>37954</v>
      </c>
      <c r="AA1910" s="7" t="str">
        <f>IFERROR(__xludf.DUMMYFUNCTION("GOOGLETRANSLATE(C1910, ""en"", ""ro"")"),"Imposibil de actualizat contul")</f>
        <v>Imposibil de actualizat contul</v>
      </c>
      <c r="AB1910" s="1" t="s">
        <v>37955</v>
      </c>
      <c r="AC1910" s="7" t="str">
        <f>IFERROR(__xludf.DUMMYFUNCTION("GOOGLETRANSLATE(C1910, ""en"", ""sk"")"),"Nie je možné aktualizovať účet")</f>
        <v>Nie je možné aktualizovať účet</v>
      </c>
      <c r="AD1910" s="6" t="s">
        <v>132</v>
      </c>
      <c r="AE1910" s="1" t="s">
        <v>37956</v>
      </c>
      <c r="AF1910" s="1" t="s">
        <v>37957</v>
      </c>
      <c r="AG1910" s="6" t="s">
        <v>132</v>
      </c>
      <c r="AH1910" s="7" t="str">
        <f>IFERROR(__xludf.DUMMYFUNCTION("GOOGLETRANSLATE(C1910, ""en"", ""tr"")"),"Hesap güncellenemiyor")</f>
        <v>Hesap güncellenemiyor</v>
      </c>
      <c r="AI1910" s="6" t="s">
        <v>37958</v>
      </c>
      <c r="AJ1910" s="6" t="s">
        <v>132</v>
      </c>
      <c r="AK1910" s="7" t="str">
        <f>IFERROR(__xludf.DUMMYFUNCTION("GOOGLETRANSLATE(C1910, ""en"", ""zh"")"),"无法更新帐户")</f>
        <v>无法更新帐户</v>
      </c>
      <c r="AL1910" s="6" t="s">
        <v>37959</v>
      </c>
    </row>
    <row r="1911" ht="15.75" customHeight="1">
      <c r="A1911" s="1" t="s">
        <v>127</v>
      </c>
      <c r="B1911" s="1" t="s">
        <v>37960</v>
      </c>
      <c r="C1911" s="1" t="s">
        <v>37961</v>
      </c>
      <c r="D1911" s="8" t="s">
        <v>37962</v>
      </c>
      <c r="E1911" s="1" t="s">
        <v>37963</v>
      </c>
      <c r="F1911" s="6" t="s">
        <v>132</v>
      </c>
      <c r="G1911" s="1" t="s">
        <v>37964</v>
      </c>
      <c r="H1911" s="1" t="s">
        <v>37965</v>
      </c>
      <c r="I1911" s="1" t="s">
        <v>37966</v>
      </c>
      <c r="J1911" s="6" t="s">
        <v>37967</v>
      </c>
      <c r="K1911" s="1" t="s">
        <v>37968</v>
      </c>
      <c r="L1911" s="1" t="s">
        <v>37969</v>
      </c>
      <c r="M1911" s="1" t="s">
        <v>37970</v>
      </c>
      <c r="N1911" s="6" t="s">
        <v>132</v>
      </c>
      <c r="O1911" s="6" t="s">
        <v>37971</v>
      </c>
      <c r="P1911" s="1" t="s">
        <v>37972</v>
      </c>
      <c r="Q1911" s="1" t="s">
        <v>37973</v>
      </c>
      <c r="R1911" s="1" t="s">
        <v>37968</v>
      </c>
      <c r="S1911" s="10" t="s">
        <v>37974</v>
      </c>
      <c r="T1911" s="1" t="s">
        <v>37975</v>
      </c>
      <c r="U1911" s="1" t="s">
        <v>37976</v>
      </c>
      <c r="V1911" s="1" t="s">
        <v>37973</v>
      </c>
      <c r="W1911" s="1" t="s">
        <v>37961</v>
      </c>
      <c r="X1911" s="1" t="s">
        <v>37977</v>
      </c>
      <c r="Y1911" s="1" t="s">
        <v>37978</v>
      </c>
      <c r="Z1911" s="1" t="s">
        <v>37979</v>
      </c>
      <c r="AA1911" s="1" t="s">
        <v>37980</v>
      </c>
      <c r="AB1911" s="1" t="s">
        <v>37981</v>
      </c>
      <c r="AC1911" s="1" t="s">
        <v>37982</v>
      </c>
      <c r="AD1911" s="6" t="s">
        <v>37983</v>
      </c>
      <c r="AE1911" s="1" t="s">
        <v>37984</v>
      </c>
      <c r="AF1911" s="1" t="s">
        <v>37985</v>
      </c>
      <c r="AG1911" s="6" t="s">
        <v>37986</v>
      </c>
      <c r="AH1911" s="1" t="s">
        <v>37987</v>
      </c>
      <c r="AI1911" s="6" t="s">
        <v>132</v>
      </c>
      <c r="AJ1911" s="6" t="s">
        <v>37988</v>
      </c>
      <c r="AK1911" s="1" t="s">
        <v>37989</v>
      </c>
      <c r="AL1911" s="6" t="s">
        <v>37990</v>
      </c>
    </row>
    <row r="1912" ht="15.75" hidden="1" customHeight="1">
      <c r="A1912" s="1" t="s">
        <v>38</v>
      </c>
      <c r="B1912" s="1" t="s">
        <v>37991</v>
      </c>
      <c r="C1912" s="1" t="s">
        <v>37992</v>
      </c>
      <c r="D1912" s="7" t="str">
        <f>IFERROR(__xludf.DUMMYFUNCTION("GOOGLETRANSLATE(C1912, ""en"", ""ar"")"),"جزيرة الكريسماس")</f>
        <v>جزيرة الكريسماس</v>
      </c>
      <c r="E1912" s="7" t="str">
        <f>IFERROR(__xludf.DUMMYFUNCTION("GOOGLETRANSLATE(C1912, ""en"", ""bg"")"),"Коледен остров")</f>
        <v>Коледен остров</v>
      </c>
      <c r="F1912" s="6" t="s">
        <v>132</v>
      </c>
      <c r="G1912" s="7" t="str">
        <f>IFERROR(__xludf.DUMMYFUNCTION("GOOGLETRANSLATE(C1912, ""en"", ""cs"")"),"Vánoční ostrov")</f>
        <v>Vánoční ostrov</v>
      </c>
      <c r="H1912" s="7" t="str">
        <f>IFERROR(__xludf.DUMMYFUNCTION("GOOGLETRANSLATE(C1912, ""en"", ""da"")"),"Christmas Island.")</f>
        <v>Christmas Island.</v>
      </c>
      <c r="I1912" s="1" t="s">
        <v>37993</v>
      </c>
      <c r="J1912" s="6" t="s">
        <v>132</v>
      </c>
      <c r="K1912" s="1" t="s">
        <v>37994</v>
      </c>
      <c r="L1912" s="7" t="str">
        <f>IFERROR(__xludf.DUMMYFUNCTION("GOOGLETRANSLATE(C1912, ""en"", ""fi"")"),"Joulusaari")</f>
        <v>Joulusaari</v>
      </c>
      <c r="M1912" s="1" t="s">
        <v>37995</v>
      </c>
      <c r="N1912" s="6" t="s">
        <v>132</v>
      </c>
      <c r="O1912" s="6" t="s">
        <v>132</v>
      </c>
      <c r="P1912" s="1" t="s">
        <v>37992</v>
      </c>
      <c r="Q1912" s="7" t="str">
        <f>IFERROR(__xludf.DUMMYFUNCTION("GOOGLETRANSLATE(C1912, ""en"", ""in"")"),"Pulau Natal")</f>
        <v>Pulau Natal</v>
      </c>
      <c r="R1912" s="7" t="str">
        <f>IFERROR(__xludf.DUMMYFUNCTION("GOOGLETRANSLATE(C1912, ""en"", ""it"")"),"Isola di Natale")</f>
        <v>Isola di Natale</v>
      </c>
      <c r="S1912" s="6" t="s">
        <v>132</v>
      </c>
      <c r="T1912" s="7" t="str">
        <f>IFERROR(__xludf.DUMMYFUNCTION("GOOGLETRANSLATE(C1912, ""en"", ""ja"")"),"クリスマス島")</f>
        <v>クリスマス島</v>
      </c>
      <c r="U1912" s="7" t="str">
        <f>IFERROR(__xludf.DUMMYFUNCTION("GOOGLETRANSLATE(C1912, ""en"", ""ko"")"),"크리스마스 섬")</f>
        <v>크리스마스 섬</v>
      </c>
      <c r="V1912" s="7" t="str">
        <f>IFERROR(__xludf.DUMMYFUNCTION("GOOGLETRANSLATE(C1912, ""en"", ""ms"")"),"Pulau Krismas")</f>
        <v>Pulau Krismas</v>
      </c>
      <c r="W1912" s="7" t="str">
        <f>IFERROR(__xludf.DUMMYFUNCTION("GOOGLETRANSLATE(C1912, ""en"", ""nl"")"),"Kersteiland")</f>
        <v>Kersteiland</v>
      </c>
      <c r="X1912" s="7" t="str">
        <f>IFERROR(__xludf.DUMMYFUNCTION("GOOGLETRANSLATE(C1912, ""en"", ""no"")"),"Christmas Island.")</f>
        <v>Christmas Island.</v>
      </c>
      <c r="Y1912" s="7" t="str">
        <f>IFERROR(__xludf.DUMMYFUNCTION("GOOGLETRANSLATE(C1912, ""en"", ""pl"")"),"Wyspa Bożego Narodzenia")</f>
        <v>Wyspa Bożego Narodzenia</v>
      </c>
      <c r="Z1912" s="7" t="str">
        <f>IFERROR(__xludf.DUMMYFUNCTION("GOOGLETRANSLATE(C1912, ""en"", ""pt"")"),"Ilha do Natal")</f>
        <v>Ilha do Natal</v>
      </c>
      <c r="AA1912" s="7" t="str">
        <f>IFERROR(__xludf.DUMMYFUNCTION("GOOGLETRANSLATE(C1912, ""en"", ""ro"")"),"Insula Craciunului")</f>
        <v>Insula Craciunului</v>
      </c>
      <c r="AB1912" s="1" t="s">
        <v>37996</v>
      </c>
      <c r="AC1912" s="7" t="str">
        <f>IFERROR(__xludf.DUMMYFUNCTION("GOOGLETRANSLATE(C1912, ""en"", ""sk"")"),"Vianočný ostrov")</f>
        <v>Vianočný ostrov</v>
      </c>
      <c r="AD1912" s="6" t="s">
        <v>132</v>
      </c>
      <c r="AE1912" s="1" t="s">
        <v>37997</v>
      </c>
      <c r="AF1912" s="7" t="str">
        <f>IFERROR(__xludf.DUMMYFUNCTION("GOOGLETRANSLATE(C1912, ""en"", ""sv"")"),"Julön")</f>
        <v>Julön</v>
      </c>
      <c r="AG1912" s="6" t="s">
        <v>132</v>
      </c>
      <c r="AH1912" s="7" t="str">
        <f>IFERROR(__xludf.DUMMYFUNCTION("GOOGLETRANSLATE(C1912, ""en"", ""tr"")"),"Noel Adası")</f>
        <v>Noel Adası</v>
      </c>
      <c r="AI1912" s="6" t="s">
        <v>132</v>
      </c>
      <c r="AJ1912" s="6" t="s">
        <v>132</v>
      </c>
      <c r="AK1912" s="7" t="str">
        <f>IFERROR(__xludf.DUMMYFUNCTION("GOOGLETRANSLATE(C1912, ""en"", ""zh"")"),"圣诞岛")</f>
        <v>圣诞岛</v>
      </c>
      <c r="AL1912" s="6" t="s">
        <v>132</v>
      </c>
    </row>
    <row r="1913" ht="15.75" customHeight="1">
      <c r="A1913" s="1" t="s">
        <v>2265</v>
      </c>
      <c r="B1913" s="1" t="s">
        <v>37998</v>
      </c>
      <c r="C1913" s="1" t="s">
        <v>17694</v>
      </c>
      <c r="D1913" s="8" t="s">
        <v>17695</v>
      </c>
      <c r="E1913" s="1" t="s">
        <v>17696</v>
      </c>
      <c r="F1913" s="6" t="s">
        <v>132</v>
      </c>
      <c r="G1913" s="1" t="s">
        <v>17697</v>
      </c>
      <c r="H1913" s="1" t="s">
        <v>17698</v>
      </c>
      <c r="I1913" s="1" t="s">
        <v>17699</v>
      </c>
      <c r="J1913" s="6" t="s">
        <v>17700</v>
      </c>
      <c r="K1913" s="1" t="s">
        <v>17701</v>
      </c>
      <c r="L1913" s="1" t="s">
        <v>17702</v>
      </c>
      <c r="M1913" s="1" t="s">
        <v>17703</v>
      </c>
      <c r="N1913" s="6" t="s">
        <v>132</v>
      </c>
      <c r="O1913" s="6" t="s">
        <v>17704</v>
      </c>
      <c r="P1913" s="1" t="s">
        <v>37999</v>
      </c>
      <c r="Q1913" s="1" t="s">
        <v>17706</v>
      </c>
      <c r="R1913" s="1" t="s">
        <v>38000</v>
      </c>
      <c r="S1913" s="10" t="s">
        <v>17708</v>
      </c>
      <c r="T1913" s="1" t="s">
        <v>17723</v>
      </c>
      <c r="U1913" s="1" t="s">
        <v>17710</v>
      </c>
      <c r="V1913" s="1" t="s">
        <v>38001</v>
      </c>
      <c r="W1913" s="1" t="s">
        <v>17711</v>
      </c>
      <c r="X1913" s="1" t="s">
        <v>17698</v>
      </c>
      <c r="Y1913" s="1" t="s">
        <v>17712</v>
      </c>
      <c r="Z1913" s="1" t="s">
        <v>17713</v>
      </c>
      <c r="AA1913" s="1" t="s">
        <v>17714</v>
      </c>
      <c r="AB1913" s="1" t="s">
        <v>38002</v>
      </c>
      <c r="AC1913" s="1" t="s">
        <v>17716</v>
      </c>
      <c r="AD1913" s="6" t="s">
        <v>17717</v>
      </c>
      <c r="AE1913" s="1" t="s">
        <v>23092</v>
      </c>
      <c r="AF1913" s="1" t="s">
        <v>17719</v>
      </c>
      <c r="AG1913" s="6" t="s">
        <v>17720</v>
      </c>
      <c r="AH1913" s="1" t="s">
        <v>38003</v>
      </c>
      <c r="AI1913" s="6" t="s">
        <v>132</v>
      </c>
      <c r="AJ1913" s="6" t="s">
        <v>17722</v>
      </c>
      <c r="AK1913" s="14" t="s">
        <v>17723</v>
      </c>
      <c r="AL1913" s="6" t="s">
        <v>132</v>
      </c>
    </row>
    <row r="1914" ht="15.75" hidden="1" customHeight="1">
      <c r="A1914" s="1" t="s">
        <v>38</v>
      </c>
      <c r="B1914" s="1" t="s">
        <v>38004</v>
      </c>
      <c r="C1914" s="1" t="s">
        <v>38005</v>
      </c>
      <c r="D1914" s="7" t="str">
        <f>IFERROR(__xludf.DUMMYFUNCTION("GOOGLETRANSLATE(C1914, ""en"", ""ar"")"),"أندورا")</f>
        <v>أندورا</v>
      </c>
      <c r="E1914" s="7" t="str">
        <f>IFERROR(__xludf.DUMMYFUNCTION("GOOGLETRANSLATE(C1914, ""en"", ""bg"")"),"Андора.")</f>
        <v>Андора.</v>
      </c>
      <c r="F1914" s="6" t="s">
        <v>132</v>
      </c>
      <c r="G1914" s="7" t="str">
        <f>IFERROR(__xludf.DUMMYFUNCTION("GOOGLETRANSLATE(C1914, ""en"", ""cs"")"),"Andorra")</f>
        <v>Andorra</v>
      </c>
      <c r="H1914" s="7" t="str">
        <f>IFERROR(__xludf.DUMMYFUNCTION("GOOGLETRANSLATE(C1914, ""en"", ""da"")"),"Andorra.")</f>
        <v>Andorra.</v>
      </c>
      <c r="I1914" s="1" t="s">
        <v>38005</v>
      </c>
      <c r="J1914" s="6" t="s">
        <v>132</v>
      </c>
      <c r="K1914" s="1" t="s">
        <v>38005</v>
      </c>
      <c r="L1914" s="7" t="str">
        <f>IFERROR(__xludf.DUMMYFUNCTION("GOOGLETRANSLATE(C1914, ""en"", ""fi"")"),"Andorra")</f>
        <v>Andorra</v>
      </c>
      <c r="M1914" s="1" t="s">
        <v>38006</v>
      </c>
      <c r="N1914" s="6" t="s">
        <v>132</v>
      </c>
      <c r="O1914" s="6" t="s">
        <v>132</v>
      </c>
      <c r="P1914" s="1" t="s">
        <v>38005</v>
      </c>
      <c r="Q1914" s="7" t="str">
        <f>IFERROR(__xludf.DUMMYFUNCTION("GOOGLETRANSLATE(C1914, ""en"", ""in"")"),"Andorra.")</f>
        <v>Andorra.</v>
      </c>
      <c r="R1914" s="7" t="str">
        <f>IFERROR(__xludf.DUMMYFUNCTION("GOOGLETRANSLATE(C1914, ""en"", ""it"")"),"Andorra.")</f>
        <v>Andorra.</v>
      </c>
      <c r="S1914" s="6" t="s">
        <v>132</v>
      </c>
      <c r="T1914" s="7" t="str">
        <f>IFERROR(__xludf.DUMMYFUNCTION("GOOGLETRANSLATE(C1914, ""en"", ""ja"")"),"and and")</f>
        <v>and and</v>
      </c>
      <c r="U1914" s="7" t="str">
        <f>IFERROR(__xludf.DUMMYFUNCTION("GOOGLETRANSLATE(C1914, ""en"", ""ko"")"),"안도라")</f>
        <v>안도라</v>
      </c>
      <c r="V1914" s="7" t="str">
        <f>IFERROR(__xludf.DUMMYFUNCTION("GOOGLETRANSLATE(C1914, ""en"", ""ms"")"),"Andorra.")</f>
        <v>Andorra.</v>
      </c>
      <c r="W1914" s="7" t="str">
        <f>IFERROR(__xludf.DUMMYFUNCTION("GOOGLETRANSLATE(C1914, ""en"", ""nl"")"),"Andorra")</f>
        <v>Andorra</v>
      </c>
      <c r="X1914" s="7" t="str">
        <f>IFERROR(__xludf.DUMMYFUNCTION("GOOGLETRANSLATE(C1914, ""en"", ""no"")"),"Andorra.")</f>
        <v>Andorra.</v>
      </c>
      <c r="Y1914" s="7" t="str">
        <f>IFERROR(__xludf.DUMMYFUNCTION("GOOGLETRANSLATE(C1914, ""en"", ""pl"")"),"Andorra.")</f>
        <v>Andorra.</v>
      </c>
      <c r="Z1914" s="7" t="str">
        <f>IFERROR(__xludf.DUMMYFUNCTION("GOOGLETRANSLATE(C1914, ""en"", ""pt"")"),"Andorra.")</f>
        <v>Andorra.</v>
      </c>
      <c r="AA1914" s="7" t="str">
        <f>IFERROR(__xludf.DUMMYFUNCTION("GOOGLETRANSLATE(C1914, ""en"", ""ro"")"),"Andorra")</f>
        <v>Andorra</v>
      </c>
      <c r="AB1914" s="1" t="s">
        <v>38007</v>
      </c>
      <c r="AC1914" s="7" t="str">
        <f>IFERROR(__xludf.DUMMYFUNCTION("GOOGLETRANSLATE(C1914, ""en"", ""sk"")"),"ANDORRA")</f>
        <v>ANDORRA</v>
      </c>
      <c r="AD1914" s="6" t="s">
        <v>132</v>
      </c>
      <c r="AE1914" s="1" t="s">
        <v>38008</v>
      </c>
      <c r="AF1914" s="7" t="str">
        <f>IFERROR(__xludf.DUMMYFUNCTION("GOOGLETRANSLATE(C1914, ""en"", ""sv"")"),"Andorra")</f>
        <v>Andorra</v>
      </c>
      <c r="AG1914" s="6" t="s">
        <v>132</v>
      </c>
      <c r="AH1914" s="7" t="str">
        <f>IFERROR(__xludf.DUMMYFUNCTION("GOOGLETRANSLATE(C1914, ""en"", ""tr"")"),"Andorra")</f>
        <v>Andorra</v>
      </c>
      <c r="AI1914" s="6" t="s">
        <v>132</v>
      </c>
      <c r="AJ1914" s="6" t="s">
        <v>132</v>
      </c>
      <c r="AK1914" s="7" t="str">
        <f>IFERROR(__xludf.DUMMYFUNCTION("GOOGLETRANSLATE(C1914, ""en"", ""zh"")"),"安道尔")</f>
        <v>安道尔</v>
      </c>
      <c r="AL1914" s="6" t="s">
        <v>132</v>
      </c>
    </row>
    <row r="1915" ht="15.75" customHeight="1">
      <c r="A1915" s="1" t="s">
        <v>127</v>
      </c>
      <c r="B1915" s="1" t="s">
        <v>38009</v>
      </c>
      <c r="C1915" s="1" t="s">
        <v>38010</v>
      </c>
      <c r="D1915" s="8" t="s">
        <v>4555</v>
      </c>
      <c r="E1915" s="1" t="s">
        <v>38011</v>
      </c>
      <c r="F1915" s="6" t="s">
        <v>132</v>
      </c>
      <c r="G1915" s="1" t="s">
        <v>38012</v>
      </c>
      <c r="H1915" s="1" t="s">
        <v>38013</v>
      </c>
      <c r="I1915" s="1" t="s">
        <v>38014</v>
      </c>
      <c r="J1915" s="6" t="s">
        <v>38015</v>
      </c>
      <c r="K1915" s="1" t="s">
        <v>38016</v>
      </c>
      <c r="L1915" s="1" t="s">
        <v>38017</v>
      </c>
      <c r="M1915" s="1" t="s">
        <v>38018</v>
      </c>
      <c r="N1915" s="6" t="s">
        <v>132</v>
      </c>
      <c r="O1915" s="6" t="s">
        <v>38019</v>
      </c>
      <c r="P1915" s="1" t="s">
        <v>38020</v>
      </c>
      <c r="Q1915" s="1" t="s">
        <v>4566</v>
      </c>
      <c r="R1915" s="1" t="s">
        <v>38021</v>
      </c>
      <c r="S1915" s="10" t="s">
        <v>38022</v>
      </c>
      <c r="T1915" s="1" t="s">
        <v>4569</v>
      </c>
      <c r="U1915" s="1" t="s">
        <v>4570</v>
      </c>
      <c r="V1915" s="1" t="s">
        <v>4566</v>
      </c>
      <c r="W1915" s="1" t="s">
        <v>38023</v>
      </c>
      <c r="X1915" s="1" t="s">
        <v>38024</v>
      </c>
      <c r="Y1915" s="1" t="s">
        <v>38025</v>
      </c>
      <c r="Z1915" s="1" t="s">
        <v>38026</v>
      </c>
      <c r="AA1915" s="1" t="s">
        <v>38027</v>
      </c>
      <c r="AB1915" s="1" t="s">
        <v>38028</v>
      </c>
      <c r="AC1915" s="1" t="s">
        <v>38029</v>
      </c>
      <c r="AD1915" s="6" t="s">
        <v>38030</v>
      </c>
      <c r="AE1915" s="1" t="s">
        <v>38031</v>
      </c>
      <c r="AF1915" s="1" t="s">
        <v>38032</v>
      </c>
      <c r="AG1915" s="6" t="s">
        <v>38033</v>
      </c>
      <c r="AH1915" s="1" t="s">
        <v>38034</v>
      </c>
      <c r="AI1915" s="6" t="s">
        <v>132</v>
      </c>
      <c r="AJ1915" s="6" t="s">
        <v>38035</v>
      </c>
      <c r="AK1915" s="1" t="s">
        <v>4584</v>
      </c>
      <c r="AL1915" s="6" t="s">
        <v>4585</v>
      </c>
    </row>
    <row r="1916" ht="15.75" hidden="1" customHeight="1">
      <c r="A1916" s="1" t="s">
        <v>38</v>
      </c>
      <c r="B1916" s="1" t="s">
        <v>38036</v>
      </c>
      <c r="C1916" s="1" t="s">
        <v>38037</v>
      </c>
      <c r="D1916" s="8" t="s">
        <v>38038</v>
      </c>
      <c r="E1916" s="1" t="s">
        <v>38039</v>
      </c>
      <c r="F1916" s="6" t="s">
        <v>38040</v>
      </c>
      <c r="G1916" s="7" t="str">
        <f>IFERROR(__xludf.DUMMYFUNCTION("GOOGLETRANSLATE(C1916, ""en"", ""cs"")"),"Heslo by nemělo být prázdné")</f>
        <v>Heslo by nemělo být prázdné</v>
      </c>
      <c r="H1916" s="7" t="str">
        <f>IFERROR(__xludf.DUMMYFUNCTION("GOOGLETRANSLATE(C1916, ""en"", ""da"")"),"Adgangskoden skal ikke være tom")</f>
        <v>Adgangskoden skal ikke være tom</v>
      </c>
      <c r="I1916" s="1" t="s">
        <v>38041</v>
      </c>
      <c r="J1916" s="6" t="s">
        <v>132</v>
      </c>
      <c r="K1916" s="1" t="s">
        <v>38042</v>
      </c>
      <c r="L1916" s="7" t="str">
        <f>IFERROR(__xludf.DUMMYFUNCTION("GOOGLETRANSLATE(C1916, ""en"", ""fi"")"),"Salasanan ei pitäisi olla tyhjä")</f>
        <v>Salasanan ei pitäisi olla tyhjä</v>
      </c>
      <c r="M1916" s="1" t="s">
        <v>38043</v>
      </c>
      <c r="N1916" s="6" t="s">
        <v>38044</v>
      </c>
      <c r="O1916" s="6" t="s">
        <v>132</v>
      </c>
      <c r="P1916" s="1" t="s">
        <v>38045</v>
      </c>
      <c r="Q1916" s="9" t="s">
        <v>38046</v>
      </c>
      <c r="R1916" s="1" t="s">
        <v>38047</v>
      </c>
      <c r="S1916" s="6" t="s">
        <v>132</v>
      </c>
      <c r="T1916" s="1" t="s">
        <v>38048</v>
      </c>
      <c r="U1916" s="1" t="s">
        <v>38049</v>
      </c>
      <c r="V1916" s="7" t="str">
        <f>IFERROR(__xludf.DUMMYFUNCTION("GOOGLETRANSLATE(C1916, ""en"", ""ms"")"),"Kata laluan tidak boleh kosong")</f>
        <v>Kata laluan tidak boleh kosong</v>
      </c>
      <c r="W1916" s="1" t="s">
        <v>38050</v>
      </c>
      <c r="X1916" s="7" t="str">
        <f>IFERROR(__xludf.DUMMYFUNCTION("GOOGLETRANSLATE(C1916, ""en"", ""no"")"),"Passordet bør ikke være tomt")</f>
        <v>Passordet bør ikke være tomt</v>
      </c>
      <c r="Y1916" s="1" t="s">
        <v>38051</v>
      </c>
      <c r="Z1916" s="1" t="s">
        <v>38052</v>
      </c>
      <c r="AA1916" s="7" t="str">
        <f>IFERROR(__xludf.DUMMYFUNCTION("GOOGLETRANSLATE(C1916, ""en"", ""ro"")"),"Parola nu trebuie să fie goală")</f>
        <v>Parola nu trebuie să fie goală</v>
      </c>
      <c r="AB1916" s="1" t="s">
        <v>38053</v>
      </c>
      <c r="AC1916" s="1" t="s">
        <v>38054</v>
      </c>
      <c r="AD1916" s="6" t="s">
        <v>132</v>
      </c>
      <c r="AE1916" s="1" t="s">
        <v>38055</v>
      </c>
      <c r="AF1916" s="1" t="s">
        <v>38056</v>
      </c>
      <c r="AG1916" s="6" t="s">
        <v>132</v>
      </c>
      <c r="AH1916" s="7" t="str">
        <f>IFERROR(__xludf.DUMMYFUNCTION("GOOGLETRANSLATE(C1916, ""en"", ""tr"")"),"Şifre boş olmamalıdır")</f>
        <v>Şifre boş olmamalıdır</v>
      </c>
      <c r="AI1916" s="6" t="s">
        <v>38057</v>
      </c>
      <c r="AJ1916" s="6" t="s">
        <v>38058</v>
      </c>
      <c r="AK1916" s="7" t="str">
        <f>IFERROR(__xludf.DUMMYFUNCTION("GOOGLETRANSLATE(C1916, ""en"", ""zh"")"),"密码不应该是空的")</f>
        <v>密码不应该是空的</v>
      </c>
      <c r="AL1916" s="6" t="s">
        <v>38059</v>
      </c>
    </row>
    <row r="1917" ht="15.75" customHeight="1">
      <c r="A1917" s="1" t="s">
        <v>127</v>
      </c>
      <c r="B1917" s="1" t="s">
        <v>38060</v>
      </c>
      <c r="C1917" s="1" t="s">
        <v>38061</v>
      </c>
      <c r="D1917" s="8" t="s">
        <v>38062</v>
      </c>
      <c r="E1917" s="1" t="s">
        <v>38063</v>
      </c>
      <c r="F1917" s="6" t="s">
        <v>132</v>
      </c>
      <c r="G1917" s="1" t="s">
        <v>38064</v>
      </c>
      <c r="H1917" s="1" t="s">
        <v>38065</v>
      </c>
      <c r="I1917" s="1" t="s">
        <v>38066</v>
      </c>
      <c r="J1917" s="6" t="s">
        <v>38067</v>
      </c>
      <c r="K1917" s="1" t="s">
        <v>38068</v>
      </c>
      <c r="L1917" s="1" t="s">
        <v>38069</v>
      </c>
      <c r="M1917" s="1" t="s">
        <v>38061</v>
      </c>
      <c r="N1917" s="6" t="s">
        <v>132</v>
      </c>
      <c r="O1917" s="6" t="s">
        <v>38070</v>
      </c>
      <c r="P1917" s="1" t="s">
        <v>38061</v>
      </c>
      <c r="Q1917" s="1" t="s">
        <v>38071</v>
      </c>
      <c r="R1917" s="1" t="s">
        <v>38061</v>
      </c>
      <c r="S1917" s="10" t="s">
        <v>38072</v>
      </c>
      <c r="T1917" s="1" t="s">
        <v>38073</v>
      </c>
      <c r="U1917" s="1" t="s">
        <v>38074</v>
      </c>
      <c r="V1917" s="1" t="s">
        <v>38071</v>
      </c>
      <c r="W1917" s="1" t="s">
        <v>38061</v>
      </c>
      <c r="X1917" s="1" t="s">
        <v>38061</v>
      </c>
      <c r="Y1917" s="1" t="s">
        <v>38075</v>
      </c>
      <c r="Z1917" s="1" t="s">
        <v>38061</v>
      </c>
      <c r="AA1917" s="1" t="s">
        <v>38076</v>
      </c>
      <c r="AB1917" s="1" t="s">
        <v>38077</v>
      </c>
      <c r="AC1917" s="1" t="s">
        <v>38078</v>
      </c>
      <c r="AD1917" s="6" t="s">
        <v>38079</v>
      </c>
      <c r="AE1917" s="1" t="s">
        <v>38061</v>
      </c>
      <c r="AF1917" s="1" t="s">
        <v>38061</v>
      </c>
      <c r="AG1917" s="6" t="s">
        <v>38080</v>
      </c>
      <c r="AH1917" s="1" t="s">
        <v>38081</v>
      </c>
      <c r="AI1917" s="6" t="s">
        <v>132</v>
      </c>
      <c r="AJ1917" s="6" t="s">
        <v>38082</v>
      </c>
      <c r="AK1917" s="1" t="s">
        <v>38083</v>
      </c>
      <c r="AL1917" s="6" t="s">
        <v>38084</v>
      </c>
    </row>
    <row r="1918" ht="15.75" customHeight="1">
      <c r="A1918" s="1" t="s">
        <v>127</v>
      </c>
      <c r="B1918" s="1" t="s">
        <v>38085</v>
      </c>
      <c r="C1918" s="1" t="s">
        <v>38086</v>
      </c>
      <c r="D1918" s="8" t="s">
        <v>38087</v>
      </c>
      <c r="E1918" s="1" t="s">
        <v>38088</v>
      </c>
      <c r="F1918" s="6" t="s">
        <v>132</v>
      </c>
      <c r="G1918" s="1" t="s">
        <v>38089</v>
      </c>
      <c r="H1918" s="1" t="s">
        <v>38090</v>
      </c>
      <c r="I1918" s="1" t="s">
        <v>38091</v>
      </c>
      <c r="J1918" s="6" t="s">
        <v>38092</v>
      </c>
      <c r="K1918" s="1" t="s">
        <v>38093</v>
      </c>
      <c r="L1918" s="1" t="s">
        <v>38094</v>
      </c>
      <c r="M1918" s="1" t="s">
        <v>38095</v>
      </c>
      <c r="N1918" s="6" t="s">
        <v>132</v>
      </c>
      <c r="O1918" s="6" t="s">
        <v>38096</v>
      </c>
      <c r="P1918" s="1" t="s">
        <v>38097</v>
      </c>
      <c r="Q1918" s="1" t="s">
        <v>38098</v>
      </c>
      <c r="R1918" s="1" t="s">
        <v>38099</v>
      </c>
      <c r="S1918" s="10" t="s">
        <v>38100</v>
      </c>
      <c r="T1918" s="1" t="s">
        <v>38101</v>
      </c>
      <c r="U1918" s="1" t="s">
        <v>38102</v>
      </c>
      <c r="V1918" s="1" t="s">
        <v>38098</v>
      </c>
      <c r="W1918" s="1" t="s">
        <v>38103</v>
      </c>
      <c r="X1918" s="1" t="s">
        <v>38104</v>
      </c>
      <c r="Y1918" s="1" t="s">
        <v>38105</v>
      </c>
      <c r="Z1918" s="1" t="s">
        <v>38106</v>
      </c>
      <c r="AA1918" s="1" t="s">
        <v>38107</v>
      </c>
      <c r="AB1918" s="1" t="s">
        <v>38108</v>
      </c>
      <c r="AC1918" s="1" t="s">
        <v>38089</v>
      </c>
      <c r="AD1918" s="6" t="s">
        <v>38109</v>
      </c>
      <c r="AE1918" s="1" t="s">
        <v>38109</v>
      </c>
      <c r="AF1918" s="1" t="s">
        <v>38104</v>
      </c>
      <c r="AG1918" s="6" t="s">
        <v>38110</v>
      </c>
      <c r="AH1918" s="1" t="s">
        <v>38111</v>
      </c>
      <c r="AI1918" s="6" t="s">
        <v>132</v>
      </c>
      <c r="AJ1918" s="6" t="s">
        <v>38112</v>
      </c>
      <c r="AK1918" s="1" t="s">
        <v>38113</v>
      </c>
      <c r="AL1918" s="6" t="s">
        <v>38114</v>
      </c>
    </row>
    <row r="1919" ht="15.75" customHeight="1">
      <c r="A1919" s="1" t="s">
        <v>127</v>
      </c>
      <c r="B1919" s="1" t="s">
        <v>38115</v>
      </c>
      <c r="C1919" s="1" t="s">
        <v>2762</v>
      </c>
      <c r="D1919" s="8" t="s">
        <v>2763</v>
      </c>
      <c r="E1919" s="1" t="s">
        <v>2764</v>
      </c>
      <c r="F1919" s="6" t="s">
        <v>132</v>
      </c>
      <c r="G1919" s="1" t="s">
        <v>2765</v>
      </c>
      <c r="H1919" s="1" t="s">
        <v>2766</v>
      </c>
      <c r="I1919" s="1" t="s">
        <v>2767</v>
      </c>
      <c r="J1919" s="6" t="s">
        <v>2768</v>
      </c>
      <c r="K1919" s="1" t="s">
        <v>2769</v>
      </c>
      <c r="L1919" s="1" t="s">
        <v>2770</v>
      </c>
      <c r="M1919" s="1" t="s">
        <v>2762</v>
      </c>
      <c r="N1919" s="6" t="s">
        <v>132</v>
      </c>
      <c r="O1919" s="6" t="s">
        <v>38116</v>
      </c>
      <c r="P1919" s="1" t="s">
        <v>2772</v>
      </c>
      <c r="Q1919" s="1" t="s">
        <v>2773</v>
      </c>
      <c r="R1919" s="1" t="s">
        <v>38117</v>
      </c>
      <c r="S1919" s="10" t="s">
        <v>2775</v>
      </c>
      <c r="T1919" s="1" t="s">
        <v>2762</v>
      </c>
      <c r="U1919" s="1" t="s">
        <v>2777</v>
      </c>
      <c r="V1919" s="1" t="s">
        <v>2773</v>
      </c>
      <c r="W1919" s="1" t="s">
        <v>38118</v>
      </c>
      <c r="X1919" s="1" t="s">
        <v>2779</v>
      </c>
      <c r="Y1919" s="1" t="s">
        <v>2780</v>
      </c>
      <c r="Z1919" s="1" t="s">
        <v>2762</v>
      </c>
      <c r="AA1919" s="1" t="s">
        <v>2781</v>
      </c>
      <c r="AB1919" s="1" t="s">
        <v>2782</v>
      </c>
      <c r="AC1919" s="1" t="s">
        <v>2783</v>
      </c>
      <c r="AD1919" s="6" t="s">
        <v>2784</v>
      </c>
      <c r="AE1919" s="1" t="s">
        <v>38119</v>
      </c>
      <c r="AF1919" s="1" t="s">
        <v>2786</v>
      </c>
      <c r="AG1919" s="6" t="s">
        <v>2787</v>
      </c>
      <c r="AH1919" s="1" t="s">
        <v>38120</v>
      </c>
      <c r="AI1919" s="6" t="s">
        <v>132</v>
      </c>
      <c r="AJ1919" s="6" t="s">
        <v>2789</v>
      </c>
      <c r="AK1919" s="1" t="s">
        <v>2790</v>
      </c>
      <c r="AL1919" s="6" t="s">
        <v>2791</v>
      </c>
    </row>
    <row r="1920" ht="15.75" hidden="1" customHeight="1">
      <c r="A1920" s="1" t="s">
        <v>38</v>
      </c>
      <c r="B1920" s="1" t="s">
        <v>38121</v>
      </c>
      <c r="C1920" s="1" t="s">
        <v>38122</v>
      </c>
      <c r="D1920" s="7" t="str">
        <f>IFERROR(__xludf.DUMMYFUNCTION("GOOGLETRANSLATE(C1920, ""en"", ""ar"")"),"تم رفض إذن التخزين. يرجى النظر في منحها من أجل الوصول إلى ميزة مشاركة الملفات!")</f>
        <v>تم رفض إذن التخزين. يرجى النظر في منحها من أجل الوصول إلى ميزة مشاركة الملفات!</v>
      </c>
      <c r="E1920" s="7" t="str">
        <f>IFERROR(__xludf.DUMMYFUNCTION("GOOGLETRANSLATE(C1920, ""en"", ""bg"")"),"Разрешение за съхранение бе отказано. Моля, помислете за предоставянето му, за да получите достъп до функцията за споделяне на файлове!")</f>
        <v>Разрешение за съхранение бе отказано. Моля, помислете за предоставянето му, за да получите достъп до функцията за споделяне на файлове!</v>
      </c>
      <c r="F1920" s="6" t="s">
        <v>132</v>
      </c>
      <c r="G1920" s="7" t="str">
        <f>IFERROR(__xludf.DUMMYFUNCTION("GOOGLETRANSLATE(C1920, ""en"", ""cs"")"),"Skladování bylo odepřeno. Prosím, zvažte, že to udělíte, abyste získali přístup k funkci Sdílení souborů!")</f>
        <v>Skladování bylo odepřeno. Prosím, zvažte, že to udělíte, abyste získali přístup k funkci Sdílení souborů!</v>
      </c>
      <c r="H1920" s="7" t="str">
        <f>IFERROR(__xludf.DUMMYFUNCTION("GOOGLETRANSLATE(C1920, ""en"", ""da"")"),"Opbevaringstilladelse blev nægtet. Overvej venligst at give det for at få adgang til Files Sharing-funktionen!")</f>
        <v>Opbevaringstilladelse blev nægtet. Overvej venligst at give det for at få adgang til Files Sharing-funktionen!</v>
      </c>
      <c r="I1920" s="1" t="s">
        <v>38123</v>
      </c>
      <c r="J1920" s="6" t="s">
        <v>132</v>
      </c>
      <c r="K1920" s="1" t="s">
        <v>38124</v>
      </c>
      <c r="L1920" s="7" t="str">
        <f>IFERROR(__xludf.DUMMYFUNCTION("GOOGLETRANSLATE(C1920, ""en"", ""fi"")"),"Varastolupa evättiin. Harkitse sen myöntämistä tiedostojen jakamiseen!")</f>
        <v>Varastolupa evättiin. Harkitse sen myöntämistä tiedostojen jakamiseen!</v>
      </c>
      <c r="M1920" s="1" t="s">
        <v>38125</v>
      </c>
      <c r="N1920" s="6" t="s">
        <v>132</v>
      </c>
      <c r="O1920" s="6" t="s">
        <v>132</v>
      </c>
      <c r="P1920" s="1" t="s">
        <v>38126</v>
      </c>
      <c r="Q1920" s="7" t="str">
        <f>IFERROR(__xludf.DUMMYFUNCTION("GOOGLETRANSLATE(C1920, ""en"", ""in"")"),"Izin penyimpanan ditolak. Silakan pertimbangkan untuk memberikannya untuk mengakses fitur berbagi file!")</f>
        <v>Izin penyimpanan ditolak. Silakan pertimbangkan untuk memberikannya untuk mengakses fitur berbagi file!</v>
      </c>
      <c r="R1920" s="7" t="str">
        <f>IFERROR(__xludf.DUMMYFUNCTION("GOOGLETRANSLATE(C1920, ""en"", ""it"")"),"Il permesso di conservazione è stato negato. Si prega di considerare di concederlo per accedere alla funzione di condivisione dei file!")</f>
        <v>Il permesso di conservazione è stato negato. Si prega di considerare di concederlo per accedere alla funzione di condivisione dei file!</v>
      </c>
      <c r="S1920" s="6" t="s">
        <v>132</v>
      </c>
      <c r="T1920" s="7" t="str">
        <f>IFERROR(__xludf.DUMMYFUNCTION("GOOGLETRANSLATE(C1920, ""en"", ""ja"")"),"保管許可が拒否されました。ファイル共有機能にアクセスするためにそれを付与することを検討してください！")</f>
        <v>保管許可が拒否されました。ファイル共有機能にアクセスするためにそれを付与することを検討してください！</v>
      </c>
      <c r="U1920" s="7" t="str">
        <f>IFERROR(__xludf.DUMMYFUNCTION("GOOGLETRANSLATE(C1920, ""en"", ""ko"")"),"스토리지 허가가 거부되었습니다. 파일 공유 기능에 액세스하려면이를 부여하십시오.")</f>
        <v>스토리지 허가가 거부되었습니다. 파일 공유 기능에 액세스하려면이를 부여하십시오.</v>
      </c>
      <c r="V1920" s="7" t="str">
        <f>IFERROR(__xludf.DUMMYFUNCTION("GOOGLETRANSLATE(C1920, ""en"", ""ms"")"),"Kebenaran penyimpanan dinafikan. Sila pertimbangkan untuk memberikannya untuk mengakses ciri perkongsian fail!")</f>
        <v>Kebenaran penyimpanan dinafikan. Sila pertimbangkan untuk memberikannya untuk mengakses ciri perkongsian fail!</v>
      </c>
      <c r="W1920" s="7" t="str">
        <f>IFERROR(__xludf.DUMMYFUNCTION("GOOGLETRANSLATE(C1920, ""en"", ""nl"")"),"Opslagrechten werd geweigerd. Overweeg om het te verlenen om toegang te krijgen tot de functie voor het delen van bestanden!")</f>
        <v>Opslagrechten werd geweigerd. Overweeg om het te verlenen om toegang te krijgen tot de functie voor het delen van bestanden!</v>
      </c>
      <c r="X1920" s="7" t="str">
        <f>IFERROR(__xludf.DUMMYFUNCTION("GOOGLETRANSLATE(C1920, ""en"", ""no"")"),"Lagringstillatelse ble nektet. Vennligst vurder å gi det for å få tilgang til funksjonen Filer deling!")</f>
        <v>Lagringstillatelse ble nektet. Vennligst vurder å gi det for å få tilgang til funksjonen Filer deling!</v>
      </c>
      <c r="Y1920" s="7" t="str">
        <f>IFERROR(__xludf.DUMMYFUNCTION("GOOGLETRANSLATE(C1920, ""en"", ""pl"")"),"Odmowa została pozwolenie na przechowywanie. Rozważ przyznanie go w celu uzyskania dostępu do funkcji udostępniania plików!")</f>
        <v>Odmowa została pozwolenie na przechowywanie. Rozważ przyznanie go w celu uzyskania dostępu do funkcji udostępniania plików!</v>
      </c>
      <c r="Z1920" s="7" t="str">
        <f>IFERROR(__xludf.DUMMYFUNCTION("GOOGLETRANSLATE(C1920, ""en"", ""pt"")"),"Permissão de armazenamento foi negada. Por favor, considere concedê-lo para acessar o recurso de compartilhamento de arquivos!")</f>
        <v>Permissão de armazenamento foi negada. Por favor, considere concedê-lo para acessar o recurso de compartilhamento de arquivos!</v>
      </c>
      <c r="AA1920" s="7" t="str">
        <f>IFERROR(__xludf.DUMMYFUNCTION("GOOGLETRANSLATE(C1920, ""en"", ""ro"")"),"Permisiunea de stocare a fost respinsă. Vă rugăm să luați în considerare acordarea acestuia pentru a accesa funcția de partajare a fișierelor!")</f>
        <v>Permisiunea de stocare a fost respinsă. Vă rugăm să luați în considerare acordarea acestuia pentru a accesa funcția de partajare a fișierelor!</v>
      </c>
      <c r="AB1920" s="1" t="s">
        <v>38127</v>
      </c>
      <c r="AC1920" s="7" t="str">
        <f>IFERROR(__xludf.DUMMYFUNCTION("GOOGLETRANSLATE(C1920, ""en"", ""sk"")"),"Povolenie na skladovanie bolo zamietnuté. Zvážte, prosím, udelenie, aby ste mali prístup k funkcii zdieľania súborov!")</f>
        <v>Povolenie na skladovanie bolo zamietnuté. Zvážte, prosím, udelenie, aby ste mali prístup k funkcii zdieľania súborov!</v>
      </c>
      <c r="AD1920" s="6" t="s">
        <v>132</v>
      </c>
      <c r="AE1920" s="1" t="s">
        <v>38128</v>
      </c>
      <c r="AF1920" s="7" t="str">
        <f>IFERROR(__xludf.DUMMYFUNCTION("GOOGLETRANSLATE(C1920, ""en"", ""sv"")"),"Lagringstillstånd nekades. Tänk på att bevilja det för att komma åt funktionen Filer Sharing!")</f>
        <v>Lagringstillstånd nekades. Tänk på att bevilja det för att komma åt funktionen Filer Sharing!</v>
      </c>
      <c r="AG1920" s="6" t="s">
        <v>132</v>
      </c>
      <c r="AH1920" s="7" t="str">
        <f>IFERROR(__xludf.DUMMYFUNCTION("GOOGLETRANSLATE(C1920, ""en"", ""tr"")"),"Depolama izni reddedildi. Lütfen dosya paylaşım özelliğine erişmek için vermeyi düşünün!")</f>
        <v>Depolama izni reddedildi. Lütfen dosya paylaşım özelliğine erişmek için vermeyi düşünün!</v>
      </c>
      <c r="AI1920" s="6" t="s">
        <v>132</v>
      </c>
      <c r="AJ1920" s="6" t="s">
        <v>132</v>
      </c>
      <c r="AK1920" s="7" t="str">
        <f>IFERROR(__xludf.DUMMYFUNCTION("GOOGLETRANSLATE(C1920, ""en"", ""zh"")"),"存储许可被拒绝。请考虑授予它以访问文件共享功能！")</f>
        <v>存储许可被拒绝。请考虑授予它以访问文件共享功能！</v>
      </c>
      <c r="AL1920" s="6" t="s">
        <v>132</v>
      </c>
    </row>
    <row r="1921" ht="15.75" hidden="1" customHeight="1">
      <c r="A1921" s="1" t="s">
        <v>38</v>
      </c>
      <c r="B1921" s="1" t="s">
        <v>38129</v>
      </c>
      <c r="C1921" s="1" t="s">
        <v>38130</v>
      </c>
      <c r="D1921" s="8" t="s">
        <v>38131</v>
      </c>
      <c r="E1921" s="1" t="s">
        <v>38132</v>
      </c>
      <c r="F1921" s="6" t="s">
        <v>38133</v>
      </c>
      <c r="G1921" s="7" t="str">
        <f>IFERROR(__xludf.DUMMYFUNCTION("GOOGLETRANSLATE(C1921, ""en"", ""cs"")"),"Rychlá akce")</f>
        <v>Rychlá akce</v>
      </c>
      <c r="H1921" s="7" t="str">
        <f>IFERROR(__xludf.DUMMYFUNCTION("GOOGLETRANSLATE(C1921, ""en"", ""da"")"),"Hurtig handling")</f>
        <v>Hurtig handling</v>
      </c>
      <c r="I1921" s="1" t="s">
        <v>38134</v>
      </c>
      <c r="J1921" s="6" t="s">
        <v>132</v>
      </c>
      <c r="K1921" s="1" t="s">
        <v>38135</v>
      </c>
      <c r="L1921" s="7" t="str">
        <f>IFERROR(__xludf.DUMMYFUNCTION("GOOGLETRANSLATE(C1921, ""en"", ""fi"")"),"Nopea toiminta")</f>
        <v>Nopea toiminta</v>
      </c>
      <c r="M1921" s="1" t="s">
        <v>38136</v>
      </c>
      <c r="N1921" s="6" t="s">
        <v>38135</v>
      </c>
      <c r="O1921" s="6" t="s">
        <v>132</v>
      </c>
      <c r="P1921" s="1" t="s">
        <v>38137</v>
      </c>
      <c r="Q1921" s="9" t="s">
        <v>38138</v>
      </c>
      <c r="R1921" s="1" t="s">
        <v>38139</v>
      </c>
      <c r="S1921" s="6" t="s">
        <v>132</v>
      </c>
      <c r="T1921" s="1" t="s">
        <v>38140</v>
      </c>
      <c r="U1921" s="1" t="s">
        <v>38141</v>
      </c>
      <c r="V1921" s="7" t="str">
        <f>IFERROR(__xludf.DUMMYFUNCTION("GOOGLETRANSLATE(C1921, ""en"", ""ms"")"),"Tindakan cepat")</f>
        <v>Tindakan cepat</v>
      </c>
      <c r="W1921" s="1" t="s">
        <v>38142</v>
      </c>
      <c r="X1921" s="7" t="str">
        <f>IFERROR(__xludf.DUMMYFUNCTION("GOOGLETRANSLATE(C1921, ""en"", ""no"")"),"Rask handling")</f>
        <v>Rask handling</v>
      </c>
      <c r="Y1921" s="1" t="s">
        <v>38143</v>
      </c>
      <c r="Z1921" s="1" t="s">
        <v>38144</v>
      </c>
      <c r="AA1921" s="7" t="str">
        <f>IFERROR(__xludf.DUMMYFUNCTION("GOOGLETRANSLATE(C1921, ""en"", ""ro"")"),"Actiune rapida")</f>
        <v>Actiune rapida</v>
      </c>
      <c r="AB1921" s="1" t="s">
        <v>38145</v>
      </c>
      <c r="AC1921" s="1" t="s">
        <v>38146</v>
      </c>
      <c r="AD1921" s="6" t="s">
        <v>132</v>
      </c>
      <c r="AE1921" s="1" t="s">
        <v>38147</v>
      </c>
      <c r="AF1921" s="1" t="s">
        <v>38148</v>
      </c>
      <c r="AG1921" s="6" t="s">
        <v>132</v>
      </c>
      <c r="AH1921" s="7" t="str">
        <f>IFERROR(__xludf.DUMMYFUNCTION("GOOGLETRANSLATE(C1921, ""en"", ""tr"")"),"Hızlı eylem")</f>
        <v>Hızlı eylem</v>
      </c>
      <c r="AI1921" s="6" t="s">
        <v>38149</v>
      </c>
      <c r="AJ1921" s="6" t="s">
        <v>38150</v>
      </c>
      <c r="AK1921" s="7" t="str">
        <f>IFERROR(__xludf.DUMMYFUNCTION("GOOGLETRANSLATE(C1921, ""en"", ""zh"")"),"快速行动")</f>
        <v>快速行动</v>
      </c>
      <c r="AL1921" s="6" t="s">
        <v>38151</v>
      </c>
    </row>
    <row r="1922" ht="15.75" customHeight="1">
      <c r="A1922" s="13" t="s">
        <v>127</v>
      </c>
      <c r="B1922" s="1" t="s">
        <v>38152</v>
      </c>
      <c r="C1922" s="1" t="s">
        <v>9855</v>
      </c>
      <c r="D1922" s="7" t="str">
        <f>IFERROR(__xludf.DUMMYFUNCTION("GOOGLETRANSLATE(C1922, ""en"", ""ar"")"),"مخزون الباحة")</f>
        <v>مخزون الباحة</v>
      </c>
      <c r="E1922" s="7" t="str">
        <f>IFERROR(__xludf.DUMMYFUNCTION("GOOGLETRANSLATE(C1922, ""en"", ""bg"")"),"Бахайски запаси")</f>
        <v>Бахайски запаси</v>
      </c>
      <c r="F1922" s="6" t="s">
        <v>132</v>
      </c>
      <c r="G1922" s="7" t="str">
        <f>IFERROR(__xludf.DUMMYFUNCTION("GOOGLETRANSLATE(C1922, ""en"", ""cs"")"),"Baha stocks.")</f>
        <v>Baha stocks.</v>
      </c>
      <c r="H1922" s="1" t="s">
        <v>9855</v>
      </c>
      <c r="I1922" s="1" t="s">
        <v>9855</v>
      </c>
      <c r="J1922" s="6" t="s">
        <v>132</v>
      </c>
      <c r="K1922" s="1" t="s">
        <v>9855</v>
      </c>
      <c r="L1922" s="1" t="s">
        <v>9855</v>
      </c>
      <c r="M1922" s="1" t="s">
        <v>9855</v>
      </c>
      <c r="N1922" s="6" t="s">
        <v>132</v>
      </c>
      <c r="O1922" s="6" t="s">
        <v>132</v>
      </c>
      <c r="P1922" s="1" t="s">
        <v>38153</v>
      </c>
      <c r="Q1922" s="1" t="s">
        <v>38154</v>
      </c>
      <c r="R1922" s="1" t="s">
        <v>9855</v>
      </c>
      <c r="S1922" s="6" t="s">
        <v>132</v>
      </c>
      <c r="T1922" s="1" t="s">
        <v>38155</v>
      </c>
      <c r="U1922" s="1" t="s">
        <v>38156</v>
      </c>
      <c r="V1922" s="1" t="s">
        <v>9855</v>
      </c>
      <c r="W1922" s="1" t="s">
        <v>38157</v>
      </c>
      <c r="X1922" s="1" t="s">
        <v>9855</v>
      </c>
      <c r="Y1922" s="1" t="s">
        <v>9855</v>
      </c>
      <c r="Z1922" s="1" t="s">
        <v>9855</v>
      </c>
      <c r="AA1922" s="7" t="str">
        <f>IFERROR(__xludf.DUMMYFUNCTION("GOOGLETRANSLATE(C1922, ""en"", ""ro"")"),"Stocurile Baha.")</f>
        <v>Stocurile Baha.</v>
      </c>
      <c r="AB1922" s="1" t="s">
        <v>9855</v>
      </c>
      <c r="AC1922" s="7" t="str">
        <f>IFERROR(__xludf.DUMMYFUNCTION("GOOGLETRANSLATE(C1922, ""en"", ""sk"")"),"Bahové zásoby")</f>
        <v>Bahové zásoby</v>
      </c>
      <c r="AD1922" s="6" t="s">
        <v>132</v>
      </c>
      <c r="AE1922" s="1" t="s">
        <v>9855</v>
      </c>
      <c r="AF1922" s="1" t="s">
        <v>9855</v>
      </c>
      <c r="AG1922" s="6" t="s">
        <v>132</v>
      </c>
      <c r="AH1922" s="1" t="s">
        <v>38158</v>
      </c>
      <c r="AI1922" s="6" t="s">
        <v>132</v>
      </c>
      <c r="AJ1922" s="6" t="s">
        <v>132</v>
      </c>
      <c r="AK1922" s="1" t="s">
        <v>9855</v>
      </c>
      <c r="AL1922" s="6" t="s">
        <v>132</v>
      </c>
    </row>
    <row r="1923" ht="15.75" hidden="1" customHeight="1">
      <c r="A1923" s="1" t="s">
        <v>38</v>
      </c>
      <c r="B1923" s="1" t="s">
        <v>38159</v>
      </c>
      <c r="C1923" s="1" t="s">
        <v>38160</v>
      </c>
      <c r="D1923" s="8" t="s">
        <v>35258</v>
      </c>
      <c r="E1923" s="1" t="s">
        <v>35259</v>
      </c>
      <c r="F1923" s="6" t="s">
        <v>35260</v>
      </c>
      <c r="G1923" s="7" t="str">
        <f>IFERROR(__xludf.DUMMYFUNCTION("GOOGLETRANSLATE(C1923, ""en"", ""cs"")"),"Připojte se ke skupině Chat.")</f>
        <v>Připojte se ke skupině Chat.</v>
      </c>
      <c r="H1923" s="7" t="str">
        <f>IFERROR(__xludf.DUMMYFUNCTION("GOOGLETRANSLATE(C1923, ""en"", ""da"")"),"Deltag i Group Chat.")</f>
        <v>Deltag i Group Chat.</v>
      </c>
      <c r="I1923" s="1" t="s">
        <v>35261</v>
      </c>
      <c r="J1923" s="6" t="s">
        <v>132</v>
      </c>
      <c r="K1923" s="1" t="s">
        <v>38161</v>
      </c>
      <c r="L1923" s="7" t="str">
        <f>IFERROR(__xludf.DUMMYFUNCTION("GOOGLETRANSLATE(C1923, ""en"", ""fi"")"),"Liity Ryhmäkeskusteluun")</f>
        <v>Liity Ryhmäkeskusteluun</v>
      </c>
      <c r="M1923" s="1" t="s">
        <v>11575</v>
      </c>
      <c r="N1923" s="6" t="s">
        <v>38162</v>
      </c>
      <c r="O1923" s="6" t="s">
        <v>132</v>
      </c>
      <c r="P1923" s="1" t="s">
        <v>38163</v>
      </c>
      <c r="Q1923" s="7" t="str">
        <f>IFERROR(__xludf.DUMMYFUNCTION("GOOGLETRANSLATE(C1923, ""en"", ""in"")"),"Bergabunglah dengan Grup Chat.")</f>
        <v>Bergabunglah dengan Grup Chat.</v>
      </c>
      <c r="R1923" s="1" t="s">
        <v>38164</v>
      </c>
      <c r="S1923" s="6" t="s">
        <v>132</v>
      </c>
      <c r="T1923" s="1" t="s">
        <v>35267</v>
      </c>
      <c r="U1923" s="7" t="str">
        <f>IFERROR(__xludf.DUMMYFUNCTION("GOOGLETRANSLATE(C1923, ""en"", ""ko"")"),"그룹 채팅에 가입하십시오")</f>
        <v>그룹 채팅에 가입하십시오</v>
      </c>
      <c r="V1923" s="7" t="str">
        <f>IFERROR(__xludf.DUMMYFUNCTION("GOOGLETRANSLATE(C1923, ""en"", ""ms"")"),"Sertai sembang kumpulan")</f>
        <v>Sertai sembang kumpulan</v>
      </c>
      <c r="W1923" s="1" t="s">
        <v>35268</v>
      </c>
      <c r="X1923" s="7" t="str">
        <f>IFERROR(__xludf.DUMMYFUNCTION("GOOGLETRANSLATE(C1923, ""en"", ""no"")"),"Bli med GROUP CHAT.")</f>
        <v>Bli med GROUP CHAT.</v>
      </c>
      <c r="Y1923" s="1" t="s">
        <v>35269</v>
      </c>
      <c r="Z1923" s="7" t="str">
        <f>IFERROR(__xludf.DUMMYFUNCTION("GOOGLETRANSLATE(C1923, ""en"", ""pt"")"),"Junte-se ao Grupo Chat.")</f>
        <v>Junte-se ao Grupo Chat.</v>
      </c>
      <c r="AA1923" s="7" t="str">
        <f>IFERROR(__xludf.DUMMYFUNCTION("GOOGLETRANSLATE(C1923, ""en"", ""ro"")"),"Alăturați-vă grupului de chat.")</f>
        <v>Alăturați-vă grupului de chat.</v>
      </c>
      <c r="AB1923" s="1" t="s">
        <v>35270</v>
      </c>
      <c r="AC1923" s="7" t="str">
        <f>IFERROR(__xludf.DUMMYFUNCTION("GOOGLETRANSLATE(C1923, ""en"", ""sk"")"),"Pridajte sa k skupinovému chatovi")</f>
        <v>Pridajte sa k skupinovému chatovi</v>
      </c>
      <c r="AD1923" s="6" t="s">
        <v>132</v>
      </c>
      <c r="AE1923" s="1" t="s">
        <v>35271</v>
      </c>
      <c r="AF1923" s="7" t="str">
        <f>IFERROR(__xludf.DUMMYFUNCTION("GOOGLETRANSLATE(C1923, ""en"", ""sv"")"),"Gå med i gruppchatt")</f>
        <v>Gå med i gruppchatt</v>
      </c>
      <c r="AG1923" s="6" t="s">
        <v>132</v>
      </c>
      <c r="AH1923" s="7" t="str">
        <f>IFERROR(__xludf.DUMMYFUNCTION("GOOGLETRANSLATE(C1923, ""en"", ""tr"")"),"Grup sohbetine katılın")</f>
        <v>Grup sohbetine katılın</v>
      </c>
      <c r="AI1923" s="6" t="s">
        <v>132</v>
      </c>
      <c r="AJ1923" s="6" t="s">
        <v>132</v>
      </c>
      <c r="AK1923" s="7" t="str">
        <f>IFERROR(__xludf.DUMMYFUNCTION("GOOGLETRANSLATE(C1923, ""en"", ""zh"")"),"加入小组聊天")</f>
        <v>加入小组聊天</v>
      </c>
      <c r="AL1923" s="6" t="s">
        <v>132</v>
      </c>
    </row>
    <row r="1924" ht="15.75" customHeight="1">
      <c r="A1924" s="1" t="s">
        <v>127</v>
      </c>
      <c r="B1924" s="1" t="s">
        <v>38165</v>
      </c>
      <c r="C1924" s="1" t="s">
        <v>38166</v>
      </c>
      <c r="D1924" s="8" t="s">
        <v>38167</v>
      </c>
      <c r="E1924" s="1" t="s">
        <v>38166</v>
      </c>
      <c r="F1924" s="6" t="s">
        <v>132</v>
      </c>
      <c r="G1924" s="1" t="s">
        <v>38166</v>
      </c>
      <c r="H1924" s="1" t="s">
        <v>38166</v>
      </c>
      <c r="I1924" s="1" t="s">
        <v>38166</v>
      </c>
      <c r="J1924" s="6" t="s">
        <v>38166</v>
      </c>
      <c r="K1924" s="1" t="s">
        <v>38166</v>
      </c>
      <c r="L1924" s="1" t="s">
        <v>38168</v>
      </c>
      <c r="M1924" s="1" t="s">
        <v>38169</v>
      </c>
      <c r="N1924" s="6" t="s">
        <v>132</v>
      </c>
      <c r="O1924" s="6" t="s">
        <v>38170</v>
      </c>
      <c r="P1924" s="1" t="s">
        <v>38166</v>
      </c>
      <c r="Q1924" s="1" t="s">
        <v>38166</v>
      </c>
      <c r="R1924" s="1" t="s">
        <v>38166</v>
      </c>
      <c r="S1924" s="10" t="s">
        <v>38171</v>
      </c>
      <c r="T1924" s="1" t="s">
        <v>38172</v>
      </c>
      <c r="U1924" s="1" t="s">
        <v>38173</v>
      </c>
      <c r="V1924" s="1" t="s">
        <v>38166</v>
      </c>
      <c r="W1924" s="1" t="s">
        <v>38174</v>
      </c>
      <c r="X1924" s="1" t="s">
        <v>38166</v>
      </c>
      <c r="Y1924" s="1" t="s">
        <v>38166</v>
      </c>
      <c r="Z1924" s="1" t="s">
        <v>38166</v>
      </c>
      <c r="AA1924" s="1" t="s">
        <v>38166</v>
      </c>
      <c r="AB1924" s="1" t="s">
        <v>38175</v>
      </c>
      <c r="AC1924" s="1" t="s">
        <v>38166</v>
      </c>
      <c r="AD1924" s="6" t="s">
        <v>38166</v>
      </c>
      <c r="AE1924" s="1" t="s">
        <v>38166</v>
      </c>
      <c r="AF1924" s="1" t="s">
        <v>38166</v>
      </c>
      <c r="AG1924" s="6" t="s">
        <v>38166</v>
      </c>
      <c r="AH1924" s="1" t="s">
        <v>38176</v>
      </c>
      <c r="AI1924" s="6" t="s">
        <v>132</v>
      </c>
      <c r="AJ1924" s="6" t="s">
        <v>38166</v>
      </c>
      <c r="AK1924" s="1" t="s">
        <v>38166</v>
      </c>
      <c r="AL1924" s="6" t="s">
        <v>132</v>
      </c>
    </row>
    <row r="1925" ht="15.75" customHeight="1">
      <c r="A1925" s="1" t="s">
        <v>2265</v>
      </c>
      <c r="B1925" s="1" t="s">
        <v>38177</v>
      </c>
      <c r="C1925" s="1" t="s">
        <v>38178</v>
      </c>
      <c r="D1925" s="8" t="s">
        <v>38179</v>
      </c>
      <c r="E1925" s="1" t="s">
        <v>38180</v>
      </c>
      <c r="F1925" s="6" t="s">
        <v>132</v>
      </c>
      <c r="G1925" s="1" t="s">
        <v>38181</v>
      </c>
      <c r="H1925" s="1" t="s">
        <v>38182</v>
      </c>
      <c r="I1925" s="1" t="s">
        <v>38183</v>
      </c>
      <c r="J1925" s="6" t="s">
        <v>38184</v>
      </c>
      <c r="K1925" s="1" t="s">
        <v>38185</v>
      </c>
      <c r="L1925" s="1" t="s">
        <v>38186</v>
      </c>
      <c r="M1925" s="1" t="s">
        <v>38187</v>
      </c>
      <c r="N1925" s="6" t="s">
        <v>132</v>
      </c>
      <c r="O1925" s="6" t="s">
        <v>38188</v>
      </c>
      <c r="P1925" s="1" t="s">
        <v>38189</v>
      </c>
      <c r="Q1925" s="1" t="s">
        <v>38190</v>
      </c>
      <c r="R1925" s="1" t="s">
        <v>38191</v>
      </c>
      <c r="S1925" s="10" t="s">
        <v>38192</v>
      </c>
      <c r="T1925" s="1" t="s">
        <v>38193</v>
      </c>
      <c r="U1925" s="1" t="s">
        <v>38194</v>
      </c>
      <c r="V1925" s="1" t="s">
        <v>38195</v>
      </c>
      <c r="W1925" s="1" t="s">
        <v>38196</v>
      </c>
      <c r="X1925" s="1" t="s">
        <v>38197</v>
      </c>
      <c r="Y1925" s="1" t="s">
        <v>38198</v>
      </c>
      <c r="Z1925" s="1" t="s">
        <v>38199</v>
      </c>
      <c r="AA1925" s="1" t="s">
        <v>38200</v>
      </c>
      <c r="AB1925" s="1" t="s">
        <v>38201</v>
      </c>
      <c r="AC1925" s="1" t="s">
        <v>38202</v>
      </c>
      <c r="AD1925" s="6" t="s">
        <v>38203</v>
      </c>
      <c r="AE1925" s="1" t="s">
        <v>38204</v>
      </c>
      <c r="AF1925" s="1" t="s">
        <v>38205</v>
      </c>
      <c r="AG1925" s="6" t="s">
        <v>38206</v>
      </c>
      <c r="AH1925" s="1" t="s">
        <v>38207</v>
      </c>
      <c r="AI1925" s="6" t="s">
        <v>132</v>
      </c>
      <c r="AJ1925" s="6" t="s">
        <v>38208</v>
      </c>
      <c r="AK1925" s="14" t="s">
        <v>38193</v>
      </c>
      <c r="AL1925" s="6" t="s">
        <v>132</v>
      </c>
    </row>
    <row r="1926" ht="15.75" hidden="1" customHeight="1">
      <c r="A1926" s="1" t="s">
        <v>38</v>
      </c>
      <c r="B1926" s="1" t="s">
        <v>38209</v>
      </c>
      <c r="C1926" s="1" t="s">
        <v>38210</v>
      </c>
      <c r="D1926" s="8" t="s">
        <v>38211</v>
      </c>
      <c r="E1926" s="1" t="s">
        <v>38212</v>
      </c>
      <c r="F1926" s="6" t="s">
        <v>38213</v>
      </c>
      <c r="G1926" s="7" t="str">
        <f>IFERROR(__xludf.DUMMYFUNCTION("GOOGLETRANSLATE(C1926, ""en"", ""cs"")"),"Tato záložka již existuje")</f>
        <v>Tato záložka již existuje</v>
      </c>
      <c r="H1926" s="7" t="str">
        <f>IFERROR(__xludf.DUMMYFUNCTION("GOOGLETRANSLATE(C1926, ""en"", ""da"")"),"Dette bogmærke eksisterer allerede")</f>
        <v>Dette bogmærke eksisterer allerede</v>
      </c>
      <c r="I1926" s="1" t="s">
        <v>38214</v>
      </c>
      <c r="J1926" s="6" t="s">
        <v>132</v>
      </c>
      <c r="K1926" s="1" t="s">
        <v>38215</v>
      </c>
      <c r="L1926" s="7" t="str">
        <f>IFERROR(__xludf.DUMMYFUNCTION("GOOGLETRANSLATE(C1926, ""en"", ""fi"")"),"Tämä kirjanmerkki on jo olemassa")</f>
        <v>Tämä kirjanmerkki on jo olemassa</v>
      </c>
      <c r="M1926" s="1" t="s">
        <v>38216</v>
      </c>
      <c r="N1926" s="6" t="s">
        <v>38217</v>
      </c>
      <c r="O1926" s="6" t="s">
        <v>132</v>
      </c>
      <c r="P1926" s="1" t="s">
        <v>38218</v>
      </c>
      <c r="Q1926" s="9" t="s">
        <v>38219</v>
      </c>
      <c r="R1926" s="1" t="s">
        <v>38220</v>
      </c>
      <c r="S1926" s="6" t="s">
        <v>132</v>
      </c>
      <c r="T1926" s="1" t="s">
        <v>38221</v>
      </c>
      <c r="U1926" s="1" t="s">
        <v>38222</v>
      </c>
      <c r="V1926" s="7" t="str">
        <f>IFERROR(__xludf.DUMMYFUNCTION("GOOGLETRANSLATE(C1926, ""en"", ""ms"")"),"Penanda buku ini sudah wujud")</f>
        <v>Penanda buku ini sudah wujud</v>
      </c>
      <c r="W1926" s="1" t="s">
        <v>38223</v>
      </c>
      <c r="X1926" s="7" t="str">
        <f>IFERROR(__xludf.DUMMYFUNCTION("GOOGLETRANSLATE(C1926, ""en"", ""no"")"),"Dette bokmerket eksisterer allerede")</f>
        <v>Dette bokmerket eksisterer allerede</v>
      </c>
      <c r="Y1926" s="1" t="s">
        <v>38224</v>
      </c>
      <c r="Z1926" s="1" t="s">
        <v>38225</v>
      </c>
      <c r="AA1926" s="7" t="str">
        <f>IFERROR(__xludf.DUMMYFUNCTION("GOOGLETRANSLATE(C1926, ""en"", ""ro"")"),"Acest marcaj există deja")</f>
        <v>Acest marcaj există deja</v>
      </c>
      <c r="AB1926" s="1" t="s">
        <v>38226</v>
      </c>
      <c r="AC1926" s="1" t="s">
        <v>38227</v>
      </c>
      <c r="AD1926" s="6" t="s">
        <v>132</v>
      </c>
      <c r="AE1926" s="1" t="s">
        <v>38228</v>
      </c>
      <c r="AF1926" s="1" t="s">
        <v>38229</v>
      </c>
      <c r="AG1926" s="6" t="s">
        <v>132</v>
      </c>
      <c r="AH1926" s="7" t="str">
        <f>IFERROR(__xludf.DUMMYFUNCTION("GOOGLETRANSLATE(C1926, ""en"", ""tr"")"),"Bu yer imi zaten var")</f>
        <v>Bu yer imi zaten var</v>
      </c>
      <c r="AI1926" s="6" t="s">
        <v>38230</v>
      </c>
      <c r="AJ1926" s="6" t="s">
        <v>38231</v>
      </c>
      <c r="AK1926" s="7" t="str">
        <f>IFERROR(__xludf.DUMMYFUNCTION("GOOGLETRANSLATE(C1926, ""en"", ""zh"")"),"此书签已存在")</f>
        <v>此书签已存在</v>
      </c>
      <c r="AL1926" s="6" t="s">
        <v>38232</v>
      </c>
    </row>
    <row r="1927" ht="15.75" customHeight="1">
      <c r="A1927" s="1" t="s">
        <v>127</v>
      </c>
      <c r="B1927" s="1" t="s">
        <v>38233</v>
      </c>
      <c r="C1927" s="1" t="s">
        <v>38234</v>
      </c>
      <c r="D1927" s="1" t="s">
        <v>38235</v>
      </c>
      <c r="E1927" s="1" t="s">
        <v>38236</v>
      </c>
      <c r="F1927" s="6" t="s">
        <v>132</v>
      </c>
      <c r="G1927" s="1" t="s">
        <v>38236</v>
      </c>
      <c r="H1927" s="1" t="s">
        <v>38236</v>
      </c>
      <c r="I1927" s="1" t="s">
        <v>38234</v>
      </c>
      <c r="J1927" s="6" t="s">
        <v>38236</v>
      </c>
      <c r="K1927" s="1" t="s">
        <v>38234</v>
      </c>
      <c r="L1927" s="1" t="s">
        <v>38236</v>
      </c>
      <c r="M1927" s="1" t="s">
        <v>38236</v>
      </c>
      <c r="N1927" s="6" t="s">
        <v>132</v>
      </c>
      <c r="O1927" s="6" t="s">
        <v>38236</v>
      </c>
      <c r="P1927" s="1" t="s">
        <v>38236</v>
      </c>
      <c r="Q1927" s="1" t="s">
        <v>38235</v>
      </c>
      <c r="R1927" s="1" t="s">
        <v>38236</v>
      </c>
      <c r="S1927" s="6" t="s">
        <v>38236</v>
      </c>
      <c r="T1927" s="1" t="s">
        <v>38236</v>
      </c>
      <c r="U1927" s="1" t="s">
        <v>38235</v>
      </c>
      <c r="V1927" s="1" t="s">
        <v>38235</v>
      </c>
      <c r="W1927" s="1" t="s">
        <v>38236</v>
      </c>
      <c r="X1927" s="1" t="s">
        <v>38236</v>
      </c>
      <c r="Y1927" s="1" t="s">
        <v>38236</v>
      </c>
      <c r="Z1927" s="1" t="s">
        <v>38236</v>
      </c>
      <c r="AA1927" s="1" t="s">
        <v>38236</v>
      </c>
      <c r="AB1927" s="1" t="s">
        <v>38236</v>
      </c>
      <c r="AC1927" s="1" t="s">
        <v>38236</v>
      </c>
      <c r="AD1927" s="6" t="s">
        <v>38236</v>
      </c>
      <c r="AE1927" s="1" t="s">
        <v>38236</v>
      </c>
      <c r="AF1927" s="1" t="s">
        <v>38236</v>
      </c>
      <c r="AG1927" s="6" t="s">
        <v>38236</v>
      </c>
      <c r="AH1927" s="1" t="s">
        <v>38235</v>
      </c>
      <c r="AI1927" s="6" t="s">
        <v>132</v>
      </c>
      <c r="AJ1927" s="6" t="s">
        <v>38236</v>
      </c>
      <c r="AK1927" s="1" t="s">
        <v>38236</v>
      </c>
      <c r="AL1927" s="6" t="s">
        <v>38237</v>
      </c>
    </row>
    <row r="1928" ht="15.75" customHeight="1">
      <c r="A1928" s="1" t="s">
        <v>127</v>
      </c>
      <c r="B1928" s="1" t="s">
        <v>38238</v>
      </c>
      <c r="C1928" s="1" t="s">
        <v>38239</v>
      </c>
      <c r="D1928" s="8" t="s">
        <v>38240</v>
      </c>
      <c r="E1928" s="1" t="s">
        <v>38241</v>
      </c>
      <c r="F1928" s="6" t="s">
        <v>132</v>
      </c>
      <c r="G1928" s="1" t="s">
        <v>38242</v>
      </c>
      <c r="H1928" s="1" t="s">
        <v>38243</v>
      </c>
      <c r="I1928" s="1" t="s">
        <v>38244</v>
      </c>
      <c r="J1928" s="6" t="s">
        <v>38245</v>
      </c>
      <c r="K1928" s="1" t="s">
        <v>38246</v>
      </c>
      <c r="L1928" s="1" t="s">
        <v>38247</v>
      </c>
      <c r="M1928" s="1" t="s">
        <v>38248</v>
      </c>
      <c r="N1928" s="6" t="s">
        <v>132</v>
      </c>
      <c r="O1928" s="6" t="s">
        <v>38249</v>
      </c>
      <c r="P1928" s="1" t="s">
        <v>38250</v>
      </c>
      <c r="Q1928" s="1" t="s">
        <v>38251</v>
      </c>
      <c r="R1928" s="1" t="s">
        <v>38252</v>
      </c>
      <c r="S1928" s="10" t="s">
        <v>38253</v>
      </c>
      <c r="T1928" s="1" t="s">
        <v>38254</v>
      </c>
      <c r="U1928" s="1" t="s">
        <v>38255</v>
      </c>
      <c r="V1928" s="1" t="s">
        <v>38251</v>
      </c>
      <c r="W1928" s="1" t="s">
        <v>38256</v>
      </c>
      <c r="X1928" s="1" t="s">
        <v>38257</v>
      </c>
      <c r="Y1928" s="1" t="s">
        <v>6724</v>
      </c>
      <c r="Z1928" s="1" t="s">
        <v>38258</v>
      </c>
      <c r="AA1928" s="1" t="s">
        <v>38259</v>
      </c>
      <c r="AB1928" s="1" t="s">
        <v>38260</v>
      </c>
      <c r="AC1928" s="1" t="s">
        <v>38261</v>
      </c>
      <c r="AD1928" s="6" t="s">
        <v>38262</v>
      </c>
      <c r="AE1928" s="1" t="s">
        <v>38263</v>
      </c>
      <c r="AF1928" s="1" t="s">
        <v>38264</v>
      </c>
      <c r="AG1928" s="6" t="s">
        <v>38265</v>
      </c>
      <c r="AH1928" s="1" t="s">
        <v>38266</v>
      </c>
      <c r="AI1928" s="6" t="s">
        <v>132</v>
      </c>
      <c r="AJ1928" s="6" t="s">
        <v>38267</v>
      </c>
      <c r="AK1928" s="1" t="s">
        <v>38268</v>
      </c>
      <c r="AL1928" s="6" t="s">
        <v>132</v>
      </c>
    </row>
    <row r="1929" ht="15.75" customHeight="1">
      <c r="A1929" s="1" t="s">
        <v>127</v>
      </c>
      <c r="B1929" s="1" t="s">
        <v>38269</v>
      </c>
      <c r="C1929" s="1" t="s">
        <v>38270</v>
      </c>
      <c r="D1929" s="8" t="s">
        <v>38271</v>
      </c>
      <c r="E1929" s="1" t="s">
        <v>38272</v>
      </c>
      <c r="F1929" s="6" t="s">
        <v>132</v>
      </c>
      <c r="G1929" s="1" t="s">
        <v>38273</v>
      </c>
      <c r="H1929" s="1" t="s">
        <v>38274</v>
      </c>
      <c r="I1929" s="1" t="s">
        <v>38275</v>
      </c>
      <c r="J1929" s="6" t="s">
        <v>38276</v>
      </c>
      <c r="K1929" s="1" t="s">
        <v>38277</v>
      </c>
      <c r="L1929" s="1" t="s">
        <v>38278</v>
      </c>
      <c r="M1929" s="1" t="s">
        <v>38275</v>
      </c>
      <c r="N1929" s="6" t="s">
        <v>132</v>
      </c>
      <c r="O1929" s="6" t="s">
        <v>38279</v>
      </c>
      <c r="P1929" s="1" t="s">
        <v>38250</v>
      </c>
      <c r="Q1929" s="1" t="s">
        <v>38274</v>
      </c>
      <c r="R1929" s="1" t="s">
        <v>38280</v>
      </c>
      <c r="S1929" s="10" t="s">
        <v>38281</v>
      </c>
      <c r="T1929" s="1" t="s">
        <v>38282</v>
      </c>
      <c r="U1929" s="1" t="s">
        <v>38283</v>
      </c>
      <c r="V1929" s="1" t="s">
        <v>38274</v>
      </c>
      <c r="W1929" s="1" t="s">
        <v>38275</v>
      </c>
      <c r="X1929" s="1" t="s">
        <v>38274</v>
      </c>
      <c r="Y1929" s="1" t="s">
        <v>38284</v>
      </c>
      <c r="Z1929" s="1" t="s">
        <v>38280</v>
      </c>
      <c r="AA1929" s="1" t="s">
        <v>38285</v>
      </c>
      <c r="AB1929" s="1" t="s">
        <v>38286</v>
      </c>
      <c r="AC1929" s="1" t="s">
        <v>38287</v>
      </c>
      <c r="AD1929" s="6" t="s">
        <v>38288</v>
      </c>
      <c r="AE1929" s="1" t="s">
        <v>38288</v>
      </c>
      <c r="AF1929" s="1" t="s">
        <v>38274</v>
      </c>
      <c r="AG1929" s="6" t="s">
        <v>38289</v>
      </c>
      <c r="AH1929" s="1" t="s">
        <v>38290</v>
      </c>
      <c r="AI1929" s="6" t="s">
        <v>132</v>
      </c>
      <c r="AJ1929" s="6" t="s">
        <v>38291</v>
      </c>
      <c r="AK1929" s="1" t="s">
        <v>38292</v>
      </c>
      <c r="AL1929" s="6" t="s">
        <v>132</v>
      </c>
    </row>
    <row r="1930" ht="15.75" customHeight="1">
      <c r="A1930" s="1" t="s">
        <v>127</v>
      </c>
      <c r="B1930" s="1" t="s">
        <v>38293</v>
      </c>
      <c r="C1930" s="1" t="s">
        <v>38294</v>
      </c>
      <c r="D1930" s="8" t="s">
        <v>38295</v>
      </c>
      <c r="E1930" s="1" t="s">
        <v>38296</v>
      </c>
      <c r="F1930" s="6" t="s">
        <v>132</v>
      </c>
      <c r="G1930" s="1" t="s">
        <v>38297</v>
      </c>
      <c r="H1930" s="1" t="s">
        <v>38298</v>
      </c>
      <c r="I1930" s="1" t="s">
        <v>38299</v>
      </c>
      <c r="J1930" s="6" t="s">
        <v>38300</v>
      </c>
      <c r="K1930" s="1" t="s">
        <v>38301</v>
      </c>
      <c r="L1930" s="1" t="s">
        <v>38302</v>
      </c>
      <c r="M1930" s="1" t="s">
        <v>38303</v>
      </c>
      <c r="N1930" s="6" t="s">
        <v>132</v>
      </c>
      <c r="O1930" s="6" t="s">
        <v>38304</v>
      </c>
      <c r="P1930" s="1" t="s">
        <v>38305</v>
      </c>
      <c r="Q1930" s="1" t="s">
        <v>38306</v>
      </c>
      <c r="R1930" s="1" t="s">
        <v>38307</v>
      </c>
      <c r="S1930" s="10" t="s">
        <v>38308</v>
      </c>
      <c r="T1930" s="1" t="s">
        <v>38309</v>
      </c>
      <c r="U1930" s="1" t="s">
        <v>38310</v>
      </c>
      <c r="V1930" s="1" t="s">
        <v>38311</v>
      </c>
      <c r="W1930" s="1" t="s">
        <v>38312</v>
      </c>
      <c r="X1930" s="1" t="s">
        <v>38313</v>
      </c>
      <c r="Y1930" s="1" t="s">
        <v>38314</v>
      </c>
      <c r="Z1930" s="1" t="s">
        <v>38315</v>
      </c>
      <c r="AA1930" s="1" t="s">
        <v>38316</v>
      </c>
      <c r="AB1930" s="1" t="s">
        <v>38317</v>
      </c>
      <c r="AC1930" s="1" t="s">
        <v>38318</v>
      </c>
      <c r="AD1930" s="6" t="s">
        <v>38319</v>
      </c>
      <c r="AE1930" s="1" t="s">
        <v>38320</v>
      </c>
      <c r="AF1930" s="1" t="s">
        <v>38321</v>
      </c>
      <c r="AG1930" s="6" t="s">
        <v>38322</v>
      </c>
      <c r="AH1930" s="1" t="s">
        <v>38323</v>
      </c>
      <c r="AI1930" s="6" t="s">
        <v>132</v>
      </c>
      <c r="AJ1930" s="6" t="s">
        <v>38324</v>
      </c>
      <c r="AK1930" s="1" t="s">
        <v>38325</v>
      </c>
      <c r="AL1930" s="6" t="s">
        <v>132</v>
      </c>
    </row>
    <row r="1931" ht="15.75" customHeight="1">
      <c r="A1931" s="1" t="s">
        <v>127</v>
      </c>
      <c r="B1931" s="1" t="s">
        <v>38326</v>
      </c>
      <c r="C1931" s="1" t="s">
        <v>38327</v>
      </c>
      <c r="D1931" s="8" t="s">
        <v>38328</v>
      </c>
      <c r="E1931" s="1" t="s">
        <v>38329</v>
      </c>
      <c r="F1931" s="6" t="s">
        <v>132</v>
      </c>
      <c r="G1931" s="1" t="s">
        <v>38330</v>
      </c>
      <c r="H1931" s="1" t="s">
        <v>38331</v>
      </c>
      <c r="I1931" s="1" t="s">
        <v>32388</v>
      </c>
      <c r="J1931" s="6" t="s">
        <v>38332</v>
      </c>
      <c r="K1931" s="1" t="s">
        <v>38333</v>
      </c>
      <c r="L1931" s="1" t="s">
        <v>38334</v>
      </c>
      <c r="M1931" s="1" t="s">
        <v>38335</v>
      </c>
      <c r="N1931" s="6" t="s">
        <v>132</v>
      </c>
      <c r="O1931" s="6" t="s">
        <v>38336</v>
      </c>
      <c r="P1931" s="1" t="s">
        <v>16841</v>
      </c>
      <c r="Q1931" s="1" t="s">
        <v>38337</v>
      </c>
      <c r="R1931" s="1" t="s">
        <v>38338</v>
      </c>
      <c r="S1931" s="10" t="s">
        <v>38339</v>
      </c>
      <c r="T1931" s="1" t="s">
        <v>38340</v>
      </c>
      <c r="U1931" s="1" t="s">
        <v>38341</v>
      </c>
      <c r="V1931" s="1" t="s">
        <v>38337</v>
      </c>
      <c r="W1931" s="1" t="s">
        <v>38342</v>
      </c>
      <c r="X1931" s="1" t="s">
        <v>38343</v>
      </c>
      <c r="Y1931" s="1" t="s">
        <v>38344</v>
      </c>
      <c r="Z1931" s="1" t="s">
        <v>38345</v>
      </c>
      <c r="AA1931" s="1" t="s">
        <v>38346</v>
      </c>
      <c r="AB1931" s="1" t="s">
        <v>38347</v>
      </c>
      <c r="AC1931" s="1" t="s">
        <v>38348</v>
      </c>
      <c r="AD1931" s="6" t="s">
        <v>38349</v>
      </c>
      <c r="AE1931" s="1" t="s">
        <v>38350</v>
      </c>
      <c r="AF1931" s="1" t="s">
        <v>38351</v>
      </c>
      <c r="AG1931" s="6" t="s">
        <v>38352</v>
      </c>
      <c r="AH1931" s="1" t="s">
        <v>38353</v>
      </c>
      <c r="AI1931" s="6" t="s">
        <v>132</v>
      </c>
      <c r="AJ1931" s="6" t="s">
        <v>14788</v>
      </c>
      <c r="AK1931" s="1" t="s">
        <v>38354</v>
      </c>
      <c r="AL1931" s="6" t="s">
        <v>132</v>
      </c>
    </row>
    <row r="1932" ht="15.75" customHeight="1">
      <c r="A1932" s="1" t="s">
        <v>127</v>
      </c>
      <c r="B1932" s="1" t="s">
        <v>38355</v>
      </c>
      <c r="C1932" s="1" t="s">
        <v>38356</v>
      </c>
      <c r="D1932" s="8" t="s">
        <v>38357</v>
      </c>
      <c r="E1932" s="1" t="s">
        <v>38358</v>
      </c>
      <c r="F1932" s="6" t="s">
        <v>132</v>
      </c>
      <c r="G1932" s="1" t="s">
        <v>38359</v>
      </c>
      <c r="H1932" s="1" t="s">
        <v>38360</v>
      </c>
      <c r="I1932" s="1" t="s">
        <v>38361</v>
      </c>
      <c r="J1932" s="6" t="s">
        <v>38362</v>
      </c>
      <c r="K1932" s="1" t="s">
        <v>38363</v>
      </c>
      <c r="L1932" s="1" t="s">
        <v>38364</v>
      </c>
      <c r="M1932" s="1" t="s">
        <v>38365</v>
      </c>
      <c r="N1932" s="6" t="s">
        <v>132</v>
      </c>
      <c r="O1932" s="6" t="s">
        <v>38366</v>
      </c>
      <c r="P1932" s="1" t="s">
        <v>38367</v>
      </c>
      <c r="Q1932" s="1" t="s">
        <v>38368</v>
      </c>
      <c r="R1932" s="1" t="s">
        <v>38369</v>
      </c>
      <c r="S1932" s="10" t="s">
        <v>38370</v>
      </c>
      <c r="T1932" s="1" t="s">
        <v>38371</v>
      </c>
      <c r="U1932" s="1" t="s">
        <v>38372</v>
      </c>
      <c r="V1932" s="1" t="s">
        <v>38373</v>
      </c>
      <c r="W1932" s="1" t="s">
        <v>38374</v>
      </c>
      <c r="X1932" s="1" t="s">
        <v>38375</v>
      </c>
      <c r="Y1932" s="1" t="s">
        <v>38376</v>
      </c>
      <c r="Z1932" s="1" t="s">
        <v>38377</v>
      </c>
      <c r="AA1932" s="1" t="s">
        <v>38378</v>
      </c>
      <c r="AB1932" s="1" t="s">
        <v>38379</v>
      </c>
      <c r="AC1932" s="1" t="s">
        <v>38380</v>
      </c>
      <c r="AD1932" s="6" t="s">
        <v>38381</v>
      </c>
      <c r="AE1932" s="1" t="s">
        <v>38382</v>
      </c>
      <c r="AF1932" s="1" t="s">
        <v>38383</v>
      </c>
      <c r="AG1932" s="6" t="s">
        <v>38384</v>
      </c>
      <c r="AH1932" s="1" t="s">
        <v>38385</v>
      </c>
      <c r="AI1932" s="6" t="s">
        <v>132</v>
      </c>
      <c r="AJ1932" s="6" t="s">
        <v>38386</v>
      </c>
      <c r="AK1932" s="1" t="s">
        <v>38387</v>
      </c>
      <c r="AL1932" s="6" t="s">
        <v>132</v>
      </c>
    </row>
    <row r="1933" ht="15.75" customHeight="1">
      <c r="A1933" s="1" t="s">
        <v>127</v>
      </c>
      <c r="B1933" s="1" t="s">
        <v>38388</v>
      </c>
      <c r="C1933" s="1" t="s">
        <v>38389</v>
      </c>
      <c r="D1933" s="8" t="s">
        <v>38390</v>
      </c>
      <c r="E1933" s="1" t="s">
        <v>38391</v>
      </c>
      <c r="F1933" s="6" t="s">
        <v>132</v>
      </c>
      <c r="G1933" s="1" t="s">
        <v>38392</v>
      </c>
      <c r="H1933" s="1" t="s">
        <v>38393</v>
      </c>
      <c r="I1933" s="1" t="s">
        <v>9392</v>
      </c>
      <c r="J1933" s="6" t="s">
        <v>38394</v>
      </c>
      <c r="K1933" s="1" t="s">
        <v>38395</v>
      </c>
      <c r="L1933" s="1" t="s">
        <v>38396</v>
      </c>
      <c r="M1933" s="1" t="s">
        <v>19091</v>
      </c>
      <c r="N1933" s="6" t="s">
        <v>132</v>
      </c>
      <c r="O1933" s="6" t="s">
        <v>38397</v>
      </c>
      <c r="P1933" s="1" t="s">
        <v>38398</v>
      </c>
      <c r="Q1933" s="1" t="s">
        <v>38399</v>
      </c>
      <c r="R1933" s="1" t="s">
        <v>19094</v>
      </c>
      <c r="S1933" s="10" t="s">
        <v>19095</v>
      </c>
      <c r="T1933" s="1" t="s">
        <v>38400</v>
      </c>
      <c r="U1933" s="1" t="s">
        <v>38401</v>
      </c>
      <c r="V1933" s="1" t="s">
        <v>38402</v>
      </c>
      <c r="W1933" s="1" t="s">
        <v>38403</v>
      </c>
      <c r="X1933" s="1" t="s">
        <v>38404</v>
      </c>
      <c r="Y1933" s="1" t="s">
        <v>38405</v>
      </c>
      <c r="Z1933" s="1" t="s">
        <v>38406</v>
      </c>
      <c r="AA1933" s="1" t="s">
        <v>38407</v>
      </c>
      <c r="AB1933" s="1" t="s">
        <v>19102</v>
      </c>
      <c r="AC1933" s="1" t="s">
        <v>38408</v>
      </c>
      <c r="AD1933" s="6" t="s">
        <v>38409</v>
      </c>
      <c r="AE1933" s="1" t="s">
        <v>38410</v>
      </c>
      <c r="AF1933" s="1" t="s">
        <v>38411</v>
      </c>
      <c r="AG1933" s="6" t="s">
        <v>38412</v>
      </c>
      <c r="AH1933" s="1" t="s">
        <v>38413</v>
      </c>
      <c r="AI1933" s="6" t="s">
        <v>132</v>
      </c>
      <c r="AJ1933" s="6" t="s">
        <v>38414</v>
      </c>
      <c r="AK1933" s="1" t="s">
        <v>38415</v>
      </c>
      <c r="AL1933" s="6" t="s">
        <v>38416</v>
      </c>
    </row>
    <row r="1934" ht="15.75" hidden="1" customHeight="1">
      <c r="A1934" s="1" t="s">
        <v>38</v>
      </c>
      <c r="B1934" s="1" t="s">
        <v>38417</v>
      </c>
      <c r="C1934" s="1" t="s">
        <v>38418</v>
      </c>
      <c r="D1934" s="8" t="s">
        <v>38419</v>
      </c>
      <c r="E1934" s="1" t="s">
        <v>38420</v>
      </c>
      <c r="F1934" s="6" t="s">
        <v>38421</v>
      </c>
      <c r="G1934" s="7" t="str">
        <f>IFERROR(__xludf.DUMMYFUNCTION("GOOGLETRANSLATE(C1934, ""en"", ""cs"")"),"Pryč")</f>
        <v>Pryč</v>
      </c>
      <c r="H1934" s="7" t="str">
        <f>IFERROR(__xludf.DUMMYFUNCTION("GOOGLETRANSLATE(C1934, ""en"", ""da"")"),"Væk")</f>
        <v>Væk</v>
      </c>
      <c r="I1934" s="1" t="s">
        <v>38422</v>
      </c>
      <c r="J1934" s="6" t="s">
        <v>132</v>
      </c>
      <c r="K1934" s="1" t="s">
        <v>38423</v>
      </c>
      <c r="L1934" s="7" t="str">
        <f>IFERROR(__xludf.DUMMYFUNCTION("GOOGLETRANSLATE(C1934, ""en"", ""fi"")"),"Pois")</f>
        <v>Pois</v>
      </c>
      <c r="M1934" s="1" t="s">
        <v>38424</v>
      </c>
      <c r="N1934" s="6" t="s">
        <v>38425</v>
      </c>
      <c r="O1934" s="6" t="s">
        <v>132</v>
      </c>
      <c r="P1934" s="1" t="s">
        <v>38426</v>
      </c>
      <c r="Q1934" s="9" t="s">
        <v>38427</v>
      </c>
      <c r="R1934" s="1" t="s">
        <v>38428</v>
      </c>
      <c r="S1934" s="6" t="s">
        <v>132</v>
      </c>
      <c r="T1934" s="1" t="s">
        <v>38429</v>
      </c>
      <c r="U1934" s="1" t="s">
        <v>38430</v>
      </c>
      <c r="V1934" s="7" t="str">
        <f>IFERROR(__xludf.DUMMYFUNCTION("GOOGLETRANSLATE(C1934, ""en"", ""ms"")"),"Jauhnya")</f>
        <v>Jauhnya</v>
      </c>
      <c r="W1934" s="1" t="s">
        <v>38431</v>
      </c>
      <c r="X1934" s="7" t="str">
        <f>IFERROR(__xludf.DUMMYFUNCTION("GOOGLETRANSLATE(C1934, ""en"", ""no"")"),"Borte")</f>
        <v>Borte</v>
      </c>
      <c r="Y1934" s="1" t="s">
        <v>38432</v>
      </c>
      <c r="Z1934" s="1" t="s">
        <v>38423</v>
      </c>
      <c r="AA1934" s="7" t="str">
        <f>IFERROR(__xludf.DUMMYFUNCTION("GOOGLETRANSLATE(C1934, ""en"", ""ro"")"),"Departe")</f>
        <v>Departe</v>
      </c>
      <c r="AB1934" s="1" t="s">
        <v>38433</v>
      </c>
      <c r="AC1934" s="7" t="str">
        <f>IFERROR(__xludf.DUMMYFUNCTION("GOOGLETRANSLATE(C1934, ""en"", ""sk"")"),"Preč")</f>
        <v>Preč</v>
      </c>
      <c r="AD1934" s="6" t="s">
        <v>132</v>
      </c>
      <c r="AE1934" s="1" t="s">
        <v>38434</v>
      </c>
      <c r="AF1934" s="1" t="s">
        <v>38435</v>
      </c>
      <c r="AG1934" s="6" t="s">
        <v>132</v>
      </c>
      <c r="AH1934" s="7" t="str">
        <f>IFERROR(__xludf.DUMMYFUNCTION("GOOGLETRANSLATE(C1934, ""en"", ""tr"")"),"Uzakta")</f>
        <v>Uzakta</v>
      </c>
      <c r="AI1934" s="6" t="s">
        <v>38436</v>
      </c>
      <c r="AJ1934" s="6" t="s">
        <v>132</v>
      </c>
      <c r="AK1934" s="7" t="str">
        <f>IFERROR(__xludf.DUMMYFUNCTION("GOOGLETRANSLATE(C1934, ""en"", ""zh"")"),"离开")</f>
        <v>离开</v>
      </c>
      <c r="AL1934" s="6" t="s">
        <v>23332</v>
      </c>
    </row>
    <row r="1935" ht="15.75" hidden="1" customHeight="1">
      <c r="A1935" s="1" t="s">
        <v>38</v>
      </c>
      <c r="B1935" s="1" t="s">
        <v>38437</v>
      </c>
      <c r="C1935" s="1" t="s">
        <v>38438</v>
      </c>
      <c r="D1935" s="8" t="s">
        <v>38439</v>
      </c>
      <c r="E1935" s="1" t="s">
        <v>38440</v>
      </c>
      <c r="F1935" s="6" t="s">
        <v>38441</v>
      </c>
      <c r="G1935" s="7" t="str">
        <f>IFERROR(__xludf.DUMMYFUNCTION("GOOGLETRANSLATE(C1935, ""en"", ""cs"")"),"Správná zpráva")</f>
        <v>Správná zpráva</v>
      </c>
      <c r="H1935" s="7" t="str">
        <f>IFERROR(__xludf.DUMMYFUNCTION("GOOGLETRANSLATE(C1935, ""en"", ""da"")"),"Korrekt besked.")</f>
        <v>Korrekt besked.</v>
      </c>
      <c r="I1935" s="1" t="s">
        <v>38442</v>
      </c>
      <c r="J1935" s="6" t="s">
        <v>132</v>
      </c>
      <c r="K1935" s="1" t="s">
        <v>38443</v>
      </c>
      <c r="L1935" s="7" t="str">
        <f>IFERROR(__xludf.DUMMYFUNCTION("GOOGLETRANSLATE(C1935, ""en"", ""fi"")"),"Oikea viesti")</f>
        <v>Oikea viesti</v>
      </c>
      <c r="M1935" s="1" t="s">
        <v>38444</v>
      </c>
      <c r="N1935" s="6" t="s">
        <v>38445</v>
      </c>
      <c r="O1935" s="6" t="s">
        <v>132</v>
      </c>
      <c r="P1935" s="1" t="s">
        <v>38446</v>
      </c>
      <c r="Q1935" s="9" t="s">
        <v>38447</v>
      </c>
      <c r="R1935" s="1" t="s">
        <v>38448</v>
      </c>
      <c r="S1935" s="6" t="s">
        <v>132</v>
      </c>
      <c r="T1935" s="1" t="s">
        <v>38449</v>
      </c>
      <c r="U1935" s="1" t="s">
        <v>38450</v>
      </c>
      <c r="V1935" s="7" t="str">
        <f>IFERROR(__xludf.DUMMYFUNCTION("GOOGLETRANSLATE(C1935, ""en"", ""ms"")"),"Mesej yang betul")</f>
        <v>Mesej yang betul</v>
      </c>
      <c r="W1935" s="1" t="s">
        <v>38451</v>
      </c>
      <c r="X1935" s="7" t="str">
        <f>IFERROR(__xludf.DUMMYFUNCTION("GOOGLETRANSLATE(C1935, ""en"", ""no"")"),"Riktig melding")</f>
        <v>Riktig melding</v>
      </c>
      <c r="Y1935" s="1" t="s">
        <v>38452</v>
      </c>
      <c r="Z1935" s="1" t="s">
        <v>38453</v>
      </c>
      <c r="AA1935" s="7" t="str">
        <f>IFERROR(__xludf.DUMMYFUNCTION("GOOGLETRANSLATE(C1935, ""en"", ""ro"")"),"Mesaj corect")</f>
        <v>Mesaj corect</v>
      </c>
      <c r="AB1935" s="1" t="s">
        <v>38454</v>
      </c>
      <c r="AC1935" s="7" t="str">
        <f>IFERROR(__xludf.DUMMYFUNCTION("GOOGLETRANSLATE(C1935, ""en"", ""sk"")"),"Správna správa")</f>
        <v>Správna správa</v>
      </c>
      <c r="AD1935" s="6" t="s">
        <v>132</v>
      </c>
      <c r="AE1935" s="1" t="s">
        <v>38455</v>
      </c>
      <c r="AF1935" s="1" t="s">
        <v>38456</v>
      </c>
      <c r="AG1935" s="6" t="s">
        <v>132</v>
      </c>
      <c r="AH1935" s="7" t="str">
        <f>IFERROR(__xludf.DUMMYFUNCTION("GOOGLETRANSLATE(C1935, ""en"", ""tr"")"),"Doğru mesaj")</f>
        <v>Doğru mesaj</v>
      </c>
      <c r="AI1935" s="6" t="s">
        <v>38457</v>
      </c>
      <c r="AJ1935" s="6" t="s">
        <v>132</v>
      </c>
      <c r="AK1935" s="7" t="str">
        <f>IFERROR(__xludf.DUMMYFUNCTION("GOOGLETRANSLATE(C1935, ""en"", ""zh"")"),"正确的消息")</f>
        <v>正确的消息</v>
      </c>
      <c r="AL1935" s="6" t="s">
        <v>38458</v>
      </c>
    </row>
    <row r="1936" ht="15.75" hidden="1" customHeight="1">
      <c r="A1936" s="1" t="s">
        <v>38</v>
      </c>
      <c r="B1936" s="1" t="s">
        <v>38459</v>
      </c>
      <c r="C1936" s="1" t="s">
        <v>38460</v>
      </c>
      <c r="D1936" s="7" t="str">
        <f>IFERROR(__xludf.DUMMYFUNCTION("GOOGLETRANSLATE(C1936, ""en"", ""ar"")"),"خطأ تيار")</f>
        <v>خطأ تيار</v>
      </c>
      <c r="E1936" s="1" t="s">
        <v>38461</v>
      </c>
      <c r="F1936" s="6" t="s">
        <v>38462</v>
      </c>
      <c r="G1936" s="7" t="str">
        <f>IFERROR(__xludf.DUMMYFUNCTION("GOOGLETRANSLATE(C1936, ""en"", ""cs"")"),"Chyba proudu")</f>
        <v>Chyba proudu</v>
      </c>
      <c r="H1936" s="7" t="str">
        <f>IFERROR(__xludf.DUMMYFUNCTION("GOOGLETRANSLATE(C1936, ""en"", ""da"")"),"Stream fejl")</f>
        <v>Stream fejl</v>
      </c>
      <c r="I1936" s="1" t="s">
        <v>38463</v>
      </c>
      <c r="J1936" s="6" t="s">
        <v>132</v>
      </c>
      <c r="K1936" s="1" t="s">
        <v>38464</v>
      </c>
      <c r="L1936" s="7" t="str">
        <f>IFERROR(__xludf.DUMMYFUNCTION("GOOGLETRANSLATE(C1936, ""en"", ""fi"")"),"Virhevirhe")</f>
        <v>Virhevirhe</v>
      </c>
      <c r="M1936" s="1" t="s">
        <v>38465</v>
      </c>
      <c r="N1936" s="6" t="s">
        <v>38466</v>
      </c>
      <c r="O1936" s="6" t="s">
        <v>132</v>
      </c>
      <c r="P1936" s="1" t="s">
        <v>38467</v>
      </c>
      <c r="Q1936" s="7" t="str">
        <f>IFERROR(__xludf.DUMMYFUNCTION("GOOGLETRANSLATE(C1936, ""en"", ""in"")"),"Kesalahan aliran")</f>
        <v>Kesalahan aliran</v>
      </c>
      <c r="R1936" s="1" t="s">
        <v>38468</v>
      </c>
      <c r="S1936" s="6" t="s">
        <v>132</v>
      </c>
      <c r="T1936" s="1" t="s">
        <v>38469</v>
      </c>
      <c r="U1936" s="1" t="s">
        <v>38470</v>
      </c>
      <c r="V1936" s="7" t="str">
        <f>IFERROR(__xludf.DUMMYFUNCTION("GOOGLETRANSLATE(C1936, ""en"", ""ms"")"),"Ralat aliran")</f>
        <v>Ralat aliran</v>
      </c>
      <c r="W1936" s="1" t="s">
        <v>38471</v>
      </c>
      <c r="X1936" s="7" t="str">
        <f>IFERROR(__xludf.DUMMYFUNCTION("GOOGLETRANSLATE(C1936, ""en"", ""no"")"),"Strøm feil")</f>
        <v>Strøm feil</v>
      </c>
      <c r="Y1936" s="1" t="s">
        <v>38472</v>
      </c>
      <c r="Z1936" s="7" t="str">
        <f>IFERROR(__xludf.DUMMYFUNCTION("GOOGLETRANSLATE(C1936, ""en"", ""pt"")"),"Erro de fluxo")</f>
        <v>Erro de fluxo</v>
      </c>
      <c r="AA1936" s="7" t="str">
        <f>IFERROR(__xludf.DUMMYFUNCTION("GOOGLETRANSLATE(C1936, ""en"", ""ro"")"),"Eroare de eroare")</f>
        <v>Eroare de eroare</v>
      </c>
      <c r="AB1936" s="1" t="s">
        <v>38473</v>
      </c>
      <c r="AC1936" s="7" t="str">
        <f>IFERROR(__xludf.DUMMYFUNCTION("GOOGLETRANSLATE(C1936, ""en"", ""sk"")"),"Chyba prúdenia")</f>
        <v>Chyba prúdenia</v>
      </c>
      <c r="AD1936" s="6" t="s">
        <v>132</v>
      </c>
      <c r="AE1936" s="1" t="s">
        <v>38474</v>
      </c>
      <c r="AF1936" s="1" t="s">
        <v>38475</v>
      </c>
      <c r="AG1936" s="6" t="s">
        <v>132</v>
      </c>
      <c r="AH1936" s="7" t="str">
        <f>IFERROR(__xludf.DUMMYFUNCTION("GOOGLETRANSLATE(C1936, ""en"", ""tr"")"),"Akış hatası")</f>
        <v>Akış hatası</v>
      </c>
      <c r="AI1936" s="6" t="s">
        <v>38476</v>
      </c>
      <c r="AJ1936" s="6" t="s">
        <v>38477</v>
      </c>
      <c r="AK1936" s="7" t="str">
        <f>IFERROR(__xludf.DUMMYFUNCTION("GOOGLETRANSLATE(C1936, ""en"", ""zh"")"),"流错误")</f>
        <v>流错误</v>
      </c>
      <c r="AL1936" s="6" t="s">
        <v>38478</v>
      </c>
    </row>
    <row r="1937" ht="15.75" customHeight="1">
      <c r="A1937" s="1" t="s">
        <v>127</v>
      </c>
      <c r="B1937" s="1" t="s">
        <v>38479</v>
      </c>
      <c r="C1937" s="1" t="s">
        <v>4471</v>
      </c>
      <c r="D1937" s="8" t="s">
        <v>4472</v>
      </c>
      <c r="E1937" s="1" t="s">
        <v>4473</v>
      </c>
      <c r="F1937" s="6" t="s">
        <v>132</v>
      </c>
      <c r="G1937" s="1" t="s">
        <v>4474</v>
      </c>
      <c r="H1937" s="1" t="s">
        <v>4475</v>
      </c>
      <c r="I1937" s="1" t="s">
        <v>4471</v>
      </c>
      <c r="J1937" s="6" t="s">
        <v>4476</v>
      </c>
      <c r="K1937" s="1" t="s">
        <v>4477</v>
      </c>
      <c r="L1937" s="1" t="s">
        <v>4478</v>
      </c>
      <c r="M1937" s="1" t="s">
        <v>4479</v>
      </c>
      <c r="N1937" s="6" t="s">
        <v>132</v>
      </c>
      <c r="O1937" s="6" t="s">
        <v>4480</v>
      </c>
      <c r="P1937" s="1" t="s">
        <v>4481</v>
      </c>
      <c r="Q1937" s="1" t="s">
        <v>4482</v>
      </c>
      <c r="R1937" s="1" t="s">
        <v>4477</v>
      </c>
      <c r="S1937" s="10" t="s">
        <v>4483</v>
      </c>
      <c r="T1937" s="1" t="s">
        <v>4484</v>
      </c>
      <c r="U1937" s="1" t="s">
        <v>4485</v>
      </c>
      <c r="V1937" s="1" t="s">
        <v>4482</v>
      </c>
      <c r="W1937" s="1" t="s">
        <v>4486</v>
      </c>
      <c r="X1937" s="1" t="s">
        <v>4487</v>
      </c>
      <c r="Y1937" s="1" t="s">
        <v>4488</v>
      </c>
      <c r="Z1937" s="1" t="s">
        <v>4489</v>
      </c>
      <c r="AA1937" s="1" t="s">
        <v>4490</v>
      </c>
      <c r="AB1937" s="1" t="s">
        <v>4491</v>
      </c>
      <c r="AC1937" s="1" t="s">
        <v>4474</v>
      </c>
      <c r="AD1937" s="6" t="s">
        <v>4474</v>
      </c>
      <c r="AE1937" s="1" t="s">
        <v>4474</v>
      </c>
      <c r="AF1937" s="1" t="s">
        <v>4475</v>
      </c>
      <c r="AG1937" s="6" t="s">
        <v>4492</v>
      </c>
      <c r="AH1937" s="1" t="s">
        <v>4493</v>
      </c>
      <c r="AI1937" s="6" t="s">
        <v>132</v>
      </c>
      <c r="AJ1937" s="6" t="s">
        <v>4494</v>
      </c>
      <c r="AK1937" s="1" t="s">
        <v>4495</v>
      </c>
      <c r="AL1937" s="6" t="s">
        <v>4496</v>
      </c>
    </row>
    <row r="1938" ht="15.75" hidden="1" customHeight="1">
      <c r="A1938" s="1" t="s">
        <v>38</v>
      </c>
      <c r="B1938" s="1" t="s">
        <v>38480</v>
      </c>
      <c r="C1938" s="1" t="s">
        <v>38481</v>
      </c>
      <c r="D1938" s="8" t="s">
        <v>38482</v>
      </c>
      <c r="E1938" s="1" t="s">
        <v>38483</v>
      </c>
      <c r="F1938" s="6" t="s">
        <v>38484</v>
      </c>
      <c r="G1938" s="7" t="str">
        <f>IFERROR(__xludf.DUMMYFUNCTION("GOOGLETRANSLATE(C1938, ""en"", ""cs"")"),"Připojit")</f>
        <v>Připojit</v>
      </c>
      <c r="H1938" s="7" t="str">
        <f>IFERROR(__xludf.DUMMYFUNCTION("GOOGLETRANSLATE(C1938, ""en"", ""da"")"),"Tilslutte")</f>
        <v>Tilslutte</v>
      </c>
      <c r="I1938" s="1" t="s">
        <v>38485</v>
      </c>
      <c r="J1938" s="6" t="s">
        <v>132</v>
      </c>
      <c r="K1938" s="1" t="s">
        <v>38486</v>
      </c>
      <c r="L1938" s="7" t="str">
        <f>IFERROR(__xludf.DUMMYFUNCTION("GOOGLETRANSLATE(C1938, ""en"", ""fi"")"),"Liittyä seuraan")</f>
        <v>Liittyä seuraan</v>
      </c>
      <c r="M1938" s="1" t="s">
        <v>38487</v>
      </c>
      <c r="N1938" s="6" t="s">
        <v>38486</v>
      </c>
      <c r="O1938" s="6" t="s">
        <v>132</v>
      </c>
      <c r="P1938" s="1" t="s">
        <v>38488</v>
      </c>
      <c r="Q1938" s="9" t="s">
        <v>38489</v>
      </c>
      <c r="R1938" s="1" t="s">
        <v>38484</v>
      </c>
      <c r="S1938" s="6" t="s">
        <v>132</v>
      </c>
      <c r="T1938" s="1" t="s">
        <v>38490</v>
      </c>
      <c r="U1938" s="1" t="s">
        <v>38491</v>
      </c>
      <c r="V1938" s="7" t="str">
        <f>IFERROR(__xludf.DUMMYFUNCTION("GOOGLETRANSLATE(C1938, ""en"", ""ms"")"),"Sertai")</f>
        <v>Sertai</v>
      </c>
      <c r="W1938" s="1" t="s">
        <v>38492</v>
      </c>
      <c r="X1938" s="7" t="str">
        <f>IFERROR(__xludf.DUMMYFUNCTION("GOOGLETRANSLATE(C1938, ""en"", ""no"")"),"Bli med")</f>
        <v>Bli med</v>
      </c>
      <c r="Y1938" s="1" t="s">
        <v>38493</v>
      </c>
      <c r="Z1938" s="1" t="s">
        <v>38494</v>
      </c>
      <c r="AA1938" s="7" t="str">
        <f>IFERROR(__xludf.DUMMYFUNCTION("GOOGLETRANSLATE(C1938, ""en"", ""ro"")"),"A te alatura")</f>
        <v>A te alatura</v>
      </c>
      <c r="AB1938" s="1" t="s">
        <v>38495</v>
      </c>
      <c r="AC1938" s="1" t="s">
        <v>38496</v>
      </c>
      <c r="AD1938" s="6" t="s">
        <v>132</v>
      </c>
      <c r="AE1938" s="1" t="s">
        <v>38497</v>
      </c>
      <c r="AF1938" s="1" t="s">
        <v>38498</v>
      </c>
      <c r="AG1938" s="6" t="s">
        <v>132</v>
      </c>
      <c r="AH1938" s="7" t="str">
        <f>IFERROR(__xludf.DUMMYFUNCTION("GOOGLETRANSLATE(C1938, ""en"", ""tr"")"),"Katılmak")</f>
        <v>Katılmak</v>
      </c>
      <c r="AI1938" s="6" t="s">
        <v>38499</v>
      </c>
      <c r="AJ1938" s="6" t="s">
        <v>38500</v>
      </c>
      <c r="AK1938" s="7" t="str">
        <f>IFERROR(__xludf.DUMMYFUNCTION("GOOGLETRANSLATE(C1938, ""en"", ""zh"")"),"加入")</f>
        <v>加入</v>
      </c>
      <c r="AL1938" s="6" t="s">
        <v>38501</v>
      </c>
    </row>
    <row r="1939" ht="15.75" hidden="1" customHeight="1">
      <c r="A1939" s="1" t="s">
        <v>38</v>
      </c>
      <c r="B1939" s="1" t="s">
        <v>38502</v>
      </c>
      <c r="C1939" s="1" t="s">
        <v>38503</v>
      </c>
      <c r="D1939" s="7" t="str">
        <f>IFERROR(__xludf.DUMMYFUNCTION("GOOGLETRANSLATE(C1939, ""en"", ""ar"")"),"احفظ الصورة")</f>
        <v>احفظ الصورة</v>
      </c>
      <c r="E1939" s="7" t="str">
        <f>IFERROR(__xludf.DUMMYFUNCTION("GOOGLETRANSLATE(C1939, ""en"", ""bg"")"),"Запазването на изображението")</f>
        <v>Запазването на изображението</v>
      </c>
      <c r="F1939" s="6" t="s">
        <v>132</v>
      </c>
      <c r="G1939" s="7" t="str">
        <f>IFERROR(__xludf.DUMMYFUNCTION("GOOGLETRANSLATE(C1939, ""en"", ""cs"")"),"Uložit obrázek")</f>
        <v>Uložit obrázek</v>
      </c>
      <c r="H1939" s="7" t="str">
        <f>IFERROR(__xludf.DUMMYFUNCTION("GOOGLETRANSLATE(C1939, ""en"", ""da"")"),"Gem billede")</f>
        <v>Gem billede</v>
      </c>
      <c r="I1939" s="1" t="s">
        <v>38504</v>
      </c>
      <c r="J1939" s="6" t="s">
        <v>132</v>
      </c>
      <c r="K1939" s="1" t="s">
        <v>38505</v>
      </c>
      <c r="L1939" s="7" t="str">
        <f>IFERROR(__xludf.DUMMYFUNCTION("GOOGLETRANSLATE(C1939, ""en"", ""fi"")"),"Tallenna kuva")</f>
        <v>Tallenna kuva</v>
      </c>
      <c r="M1939" s="1" t="s">
        <v>38506</v>
      </c>
      <c r="N1939" s="6" t="s">
        <v>132</v>
      </c>
      <c r="O1939" s="6" t="s">
        <v>132</v>
      </c>
      <c r="P1939" s="1" t="s">
        <v>38507</v>
      </c>
      <c r="Q1939" s="7" t="str">
        <f>IFERROR(__xludf.DUMMYFUNCTION("GOOGLETRANSLATE(C1939, ""en"", ""in"")"),"Simpan foto")</f>
        <v>Simpan foto</v>
      </c>
      <c r="R1939" s="7" t="str">
        <f>IFERROR(__xludf.DUMMYFUNCTION("GOOGLETRANSLATE(C1939, ""en"", ""it"")"),"Salva immagine")</f>
        <v>Salva immagine</v>
      </c>
      <c r="S1939" s="6" t="s">
        <v>132</v>
      </c>
      <c r="T1939" s="7" t="str">
        <f>IFERROR(__xludf.DUMMYFUNCTION("GOOGLETRANSLATE(C1939, ""en"", ""ja"")"),"画像を保存")</f>
        <v>画像を保存</v>
      </c>
      <c r="U1939" s="7" t="str">
        <f>IFERROR(__xludf.DUMMYFUNCTION("GOOGLETRANSLATE(C1939, ""en"", ""ko"")"),"이미지를 저장")</f>
        <v>이미지를 저장</v>
      </c>
      <c r="V1939" s="7" t="str">
        <f>IFERROR(__xludf.DUMMYFUNCTION("GOOGLETRANSLATE(C1939, ""en"", ""ms"")"),"Menyimpan imej")</f>
        <v>Menyimpan imej</v>
      </c>
      <c r="W1939" s="7" t="str">
        <f>IFERROR(__xludf.DUMMYFUNCTION("GOOGLETRANSLATE(C1939, ""en"", ""nl"")"),"Afbeelding opslaan")</f>
        <v>Afbeelding opslaan</v>
      </c>
      <c r="X1939" s="7" t="str">
        <f>IFERROR(__xludf.DUMMYFUNCTION("GOOGLETRANSLATE(C1939, ""en"", ""no"")"),"Lagre bildet")</f>
        <v>Lagre bildet</v>
      </c>
      <c r="Y1939" s="7" t="str">
        <f>IFERROR(__xludf.DUMMYFUNCTION("GOOGLETRANSLATE(C1939, ""en"", ""pl"")"),"Zapisać obraz")</f>
        <v>Zapisać obraz</v>
      </c>
      <c r="Z1939" s="7" t="str">
        <f>IFERROR(__xludf.DUMMYFUNCTION("GOOGLETRANSLATE(C1939, ""en"", ""pt"")"),"Salvar imagem")</f>
        <v>Salvar imagem</v>
      </c>
      <c r="AA1939" s="7" t="str">
        <f>IFERROR(__xludf.DUMMYFUNCTION("GOOGLETRANSLATE(C1939, ""en"", ""ro"")"),"Salvează imaginea")</f>
        <v>Salvează imaginea</v>
      </c>
      <c r="AB1939" s="1" t="s">
        <v>38508</v>
      </c>
      <c r="AC1939" s="7" t="str">
        <f>IFERROR(__xludf.DUMMYFUNCTION("GOOGLETRANSLATE(C1939, ""en"", ""sk"")"),"Uložiť obrázok")</f>
        <v>Uložiť obrázok</v>
      </c>
      <c r="AD1939" s="6" t="s">
        <v>132</v>
      </c>
      <c r="AE1939" s="1" t="s">
        <v>38509</v>
      </c>
      <c r="AF1939" s="7" t="str">
        <f>IFERROR(__xludf.DUMMYFUNCTION("GOOGLETRANSLATE(C1939, ""en"", ""sv"")"),"Spara bild")</f>
        <v>Spara bild</v>
      </c>
      <c r="AG1939" s="6" t="s">
        <v>132</v>
      </c>
      <c r="AH1939" s="7" t="str">
        <f>IFERROR(__xludf.DUMMYFUNCTION("GOOGLETRANSLATE(C1939, ""en"", ""tr"")"),"Resmi Kaydet")</f>
        <v>Resmi Kaydet</v>
      </c>
      <c r="AI1939" s="6" t="s">
        <v>132</v>
      </c>
      <c r="AJ1939" s="6" t="s">
        <v>132</v>
      </c>
      <c r="AK1939" s="7" t="str">
        <f>IFERROR(__xludf.DUMMYFUNCTION("GOOGLETRANSLATE(C1939, ""en"", ""zh"")"),"保存图片")</f>
        <v>保存图片</v>
      </c>
      <c r="AL1939" s="6" t="s">
        <v>132</v>
      </c>
    </row>
    <row r="1940" ht="15.75" hidden="1" customHeight="1">
      <c r="A1940" s="1" t="s">
        <v>38</v>
      </c>
      <c r="B1940" s="1" t="s">
        <v>38510</v>
      </c>
      <c r="C1940" s="1" t="s">
        <v>38511</v>
      </c>
      <c r="D1940" s="7" t="str">
        <f>IFERROR(__xludf.DUMMYFUNCTION("GOOGLETRANSLATE(C1940, ""en"", ""ar"")"),"الصومال")</f>
        <v>الصومال</v>
      </c>
      <c r="E1940" s="7" t="str">
        <f>IFERROR(__xludf.DUMMYFUNCTION("GOOGLETRANSLATE(C1940, ""en"", ""bg"")"),"Сомалия")</f>
        <v>Сомалия</v>
      </c>
      <c r="F1940" s="6" t="s">
        <v>132</v>
      </c>
      <c r="G1940" s="7" t="str">
        <f>IFERROR(__xludf.DUMMYFUNCTION("GOOGLETRANSLATE(C1940, ""en"", ""cs"")"),"Somálsko")</f>
        <v>Somálsko</v>
      </c>
      <c r="H1940" s="7" t="str">
        <f>IFERROR(__xludf.DUMMYFUNCTION("GOOGLETRANSLATE(C1940, ""en"", ""da"")"),"Somalia.")</f>
        <v>Somalia.</v>
      </c>
      <c r="I1940" s="1" t="s">
        <v>38511</v>
      </c>
      <c r="J1940" s="6" t="s">
        <v>132</v>
      </c>
      <c r="K1940" s="1" t="s">
        <v>38511</v>
      </c>
      <c r="L1940" s="7" t="str">
        <f>IFERROR(__xludf.DUMMYFUNCTION("GOOGLETRANSLATE(C1940, ""en"", ""fi"")"),"Somalia")</f>
        <v>Somalia</v>
      </c>
      <c r="M1940" s="1" t="s">
        <v>38512</v>
      </c>
      <c r="N1940" s="6" t="s">
        <v>132</v>
      </c>
      <c r="O1940" s="6" t="s">
        <v>132</v>
      </c>
      <c r="P1940" s="1" t="s">
        <v>38511</v>
      </c>
      <c r="Q1940" s="7" t="str">
        <f>IFERROR(__xludf.DUMMYFUNCTION("GOOGLETRANSLATE(C1940, ""en"", ""in"")"),"Somalia.")</f>
        <v>Somalia.</v>
      </c>
      <c r="R1940" s="7" t="str">
        <f>IFERROR(__xludf.DUMMYFUNCTION("GOOGLETRANSLATE(C1940, ""en"", ""it"")"),"Somalia")</f>
        <v>Somalia</v>
      </c>
      <c r="S1940" s="6" t="s">
        <v>132</v>
      </c>
      <c r="T1940" s="7" t="str">
        <f>IFERROR(__xludf.DUMMYFUNCTION("GOOGLETRANSLATE(C1940, ""en"", ""ja"")"),"ソマリア")</f>
        <v>ソマリア</v>
      </c>
      <c r="U1940" s="7" t="str">
        <f>IFERROR(__xludf.DUMMYFUNCTION("GOOGLETRANSLATE(C1940, ""en"", ""ko"")"),"소말리아")</f>
        <v>소말리아</v>
      </c>
      <c r="V1940" s="7" t="str">
        <f>IFERROR(__xludf.DUMMYFUNCTION("GOOGLETRANSLATE(C1940, ""en"", ""ms"")"),"Somalia.")</f>
        <v>Somalia.</v>
      </c>
      <c r="W1940" s="7" t="str">
        <f>IFERROR(__xludf.DUMMYFUNCTION("GOOGLETRANSLATE(C1940, ""en"", ""nl"")"),"Somalië")</f>
        <v>Somalië</v>
      </c>
      <c r="X1940" s="7" t="str">
        <f>IFERROR(__xludf.DUMMYFUNCTION("GOOGLETRANSLATE(C1940, ""en"", ""no"")"),"Somalia")</f>
        <v>Somalia</v>
      </c>
      <c r="Y1940" s="7" t="str">
        <f>IFERROR(__xludf.DUMMYFUNCTION("GOOGLETRANSLATE(C1940, ""en"", ""pl"")"),"Somali")</f>
        <v>Somali</v>
      </c>
      <c r="Z1940" s="7" t="str">
        <f>IFERROR(__xludf.DUMMYFUNCTION("GOOGLETRANSLATE(C1940, ""en"", ""pt"")"),"Somália")</f>
        <v>Somália</v>
      </c>
      <c r="AA1940" s="7" t="str">
        <f>IFERROR(__xludf.DUMMYFUNCTION("GOOGLETRANSLATE(C1940, ""en"", ""ro"")"),"Somalia")</f>
        <v>Somalia</v>
      </c>
      <c r="AB1940" s="1" t="s">
        <v>38513</v>
      </c>
      <c r="AC1940" s="7" t="str">
        <f>IFERROR(__xludf.DUMMYFUNCTION("GOOGLETRANSLATE(C1940, ""en"", ""sk"")"),"Somálsko")</f>
        <v>Somálsko</v>
      </c>
      <c r="AD1940" s="6" t="s">
        <v>132</v>
      </c>
      <c r="AE1940" s="1" t="s">
        <v>38514</v>
      </c>
      <c r="AF1940" s="7" t="str">
        <f>IFERROR(__xludf.DUMMYFUNCTION("GOOGLETRANSLATE(C1940, ""en"", ""sv"")"),"Somalj")</f>
        <v>Somalj</v>
      </c>
      <c r="AG1940" s="6" t="s">
        <v>132</v>
      </c>
      <c r="AH1940" s="7" t="str">
        <f>IFERROR(__xludf.DUMMYFUNCTION("GOOGLETRANSLATE(C1940, ""en"", ""tr"")"),"Somali")</f>
        <v>Somali</v>
      </c>
      <c r="AI1940" s="6" t="s">
        <v>132</v>
      </c>
      <c r="AJ1940" s="6" t="s">
        <v>132</v>
      </c>
      <c r="AK1940" s="7" t="str">
        <f>IFERROR(__xludf.DUMMYFUNCTION("GOOGLETRANSLATE(C1940, ""en"", ""zh"")"),"索马里")</f>
        <v>索马里</v>
      </c>
      <c r="AL1940" s="6" t="s">
        <v>132</v>
      </c>
    </row>
    <row r="1941" ht="15.75" customHeight="1">
      <c r="A1941" s="1" t="s">
        <v>127</v>
      </c>
      <c r="B1941" s="1" t="s">
        <v>38515</v>
      </c>
      <c r="C1941" s="1" t="s">
        <v>38516</v>
      </c>
      <c r="D1941" s="8" t="s">
        <v>38517</v>
      </c>
      <c r="E1941" s="1" t="s">
        <v>38518</v>
      </c>
      <c r="F1941" s="6" t="s">
        <v>132</v>
      </c>
      <c r="G1941" s="1" t="s">
        <v>38519</v>
      </c>
      <c r="H1941" s="1" t="s">
        <v>38520</v>
      </c>
      <c r="I1941" s="1" t="s">
        <v>38521</v>
      </c>
      <c r="J1941" s="6" t="s">
        <v>38522</v>
      </c>
      <c r="K1941" s="1" t="s">
        <v>38523</v>
      </c>
      <c r="L1941" s="1" t="s">
        <v>38524</v>
      </c>
      <c r="M1941" s="1" t="s">
        <v>38525</v>
      </c>
      <c r="N1941" s="6" t="s">
        <v>132</v>
      </c>
      <c r="O1941" s="6" t="s">
        <v>38526</v>
      </c>
      <c r="P1941" s="1" t="s">
        <v>38516</v>
      </c>
      <c r="Q1941" s="1" t="s">
        <v>38527</v>
      </c>
      <c r="R1941" s="1" t="s">
        <v>38528</v>
      </c>
      <c r="S1941" s="10" t="s">
        <v>38529</v>
      </c>
      <c r="T1941" s="1" t="s">
        <v>38530</v>
      </c>
      <c r="U1941" s="1" t="s">
        <v>38531</v>
      </c>
      <c r="V1941" s="1" t="s">
        <v>38532</v>
      </c>
      <c r="W1941" s="1" t="s">
        <v>38533</v>
      </c>
      <c r="X1941" s="1" t="s">
        <v>38534</v>
      </c>
      <c r="Y1941" s="1" t="s">
        <v>38535</v>
      </c>
      <c r="Z1941" s="1" t="s">
        <v>38536</v>
      </c>
      <c r="AA1941" s="1" t="s">
        <v>38537</v>
      </c>
      <c r="AB1941" s="1" t="s">
        <v>38538</v>
      </c>
      <c r="AC1941" s="1" t="s">
        <v>38539</v>
      </c>
      <c r="AD1941" s="6" t="s">
        <v>38540</v>
      </c>
      <c r="AE1941" s="1" t="s">
        <v>38541</v>
      </c>
      <c r="AF1941" s="1" t="s">
        <v>38542</v>
      </c>
      <c r="AG1941" s="6" t="s">
        <v>38543</v>
      </c>
      <c r="AH1941" s="1" t="s">
        <v>38544</v>
      </c>
      <c r="AI1941" s="6" t="s">
        <v>132</v>
      </c>
      <c r="AJ1941" s="6" t="s">
        <v>38545</v>
      </c>
      <c r="AK1941" s="1" t="s">
        <v>38546</v>
      </c>
      <c r="AL1941" s="6" t="s">
        <v>38547</v>
      </c>
    </row>
    <row r="1942" ht="15.75" customHeight="1">
      <c r="A1942" s="1" t="s">
        <v>127</v>
      </c>
      <c r="B1942" s="1" t="s">
        <v>38548</v>
      </c>
      <c r="C1942" s="1" t="s">
        <v>38549</v>
      </c>
      <c r="D1942" s="8" t="s">
        <v>38550</v>
      </c>
      <c r="E1942" s="1" t="s">
        <v>38551</v>
      </c>
      <c r="F1942" s="6" t="s">
        <v>132</v>
      </c>
      <c r="G1942" s="1" t="s">
        <v>38552</v>
      </c>
      <c r="H1942" s="1" t="s">
        <v>38553</v>
      </c>
      <c r="I1942" s="1" t="s">
        <v>38554</v>
      </c>
      <c r="J1942" s="6" t="s">
        <v>38555</v>
      </c>
      <c r="K1942" s="1" t="s">
        <v>38556</v>
      </c>
      <c r="L1942" s="1" t="s">
        <v>38557</v>
      </c>
      <c r="M1942" s="1" t="s">
        <v>38558</v>
      </c>
      <c r="N1942" s="6" t="s">
        <v>132</v>
      </c>
      <c r="O1942" s="6" t="s">
        <v>38559</v>
      </c>
      <c r="P1942" s="1" t="s">
        <v>38560</v>
      </c>
      <c r="Q1942" s="1" t="s">
        <v>38561</v>
      </c>
      <c r="R1942" s="1" t="s">
        <v>6688</v>
      </c>
      <c r="S1942" s="10" t="s">
        <v>38562</v>
      </c>
      <c r="T1942" s="1" t="s">
        <v>38563</v>
      </c>
      <c r="U1942" s="1" t="s">
        <v>38564</v>
      </c>
      <c r="V1942" s="1" t="s">
        <v>38565</v>
      </c>
      <c r="W1942" s="1" t="s">
        <v>38566</v>
      </c>
      <c r="X1942" s="1" t="s">
        <v>38567</v>
      </c>
      <c r="Y1942" s="1" t="s">
        <v>38568</v>
      </c>
      <c r="Z1942" s="1" t="s">
        <v>38556</v>
      </c>
      <c r="AA1942" s="1" t="s">
        <v>38569</v>
      </c>
      <c r="AB1942" s="1" t="s">
        <v>38570</v>
      </c>
      <c r="AC1942" s="1" t="s">
        <v>38571</v>
      </c>
      <c r="AD1942" s="6" t="s">
        <v>38549</v>
      </c>
      <c r="AE1942" s="1" t="s">
        <v>38572</v>
      </c>
      <c r="AF1942" s="1" t="s">
        <v>38573</v>
      </c>
      <c r="AG1942" s="6" t="s">
        <v>38574</v>
      </c>
      <c r="AH1942" s="1" t="s">
        <v>38575</v>
      </c>
      <c r="AI1942" s="6" t="s">
        <v>132</v>
      </c>
      <c r="AJ1942" s="6" t="s">
        <v>38576</v>
      </c>
      <c r="AK1942" s="1" t="s">
        <v>38577</v>
      </c>
      <c r="AL1942" s="6" t="s">
        <v>38578</v>
      </c>
    </row>
    <row r="1943" ht="15.75" customHeight="1">
      <c r="A1943" s="1" t="s">
        <v>127</v>
      </c>
      <c r="B1943" s="1" t="s">
        <v>38579</v>
      </c>
      <c r="C1943" s="1" t="s">
        <v>38580</v>
      </c>
      <c r="D1943" s="8" t="s">
        <v>38581</v>
      </c>
      <c r="E1943" s="1" t="s">
        <v>38582</v>
      </c>
      <c r="F1943" s="6" t="s">
        <v>132</v>
      </c>
      <c r="G1943" s="1" t="s">
        <v>38583</v>
      </c>
      <c r="H1943" s="1" t="s">
        <v>38584</v>
      </c>
      <c r="I1943" s="1" t="s">
        <v>38585</v>
      </c>
      <c r="J1943" s="6" t="s">
        <v>38586</v>
      </c>
      <c r="K1943" s="1" t="s">
        <v>38587</v>
      </c>
      <c r="L1943" s="1" t="s">
        <v>38588</v>
      </c>
      <c r="M1943" s="1" t="s">
        <v>38589</v>
      </c>
      <c r="N1943" s="6" t="s">
        <v>132</v>
      </c>
      <c r="O1943" s="6" t="s">
        <v>38590</v>
      </c>
      <c r="P1943" s="1" t="s">
        <v>38591</v>
      </c>
      <c r="Q1943" s="1" t="s">
        <v>38592</v>
      </c>
      <c r="R1943" s="1" t="s">
        <v>38593</v>
      </c>
      <c r="S1943" s="10" t="s">
        <v>38594</v>
      </c>
      <c r="T1943" s="1" t="s">
        <v>38595</v>
      </c>
      <c r="U1943" s="1" t="s">
        <v>2402</v>
      </c>
      <c r="V1943" s="1" t="s">
        <v>38592</v>
      </c>
      <c r="W1943" s="1" t="s">
        <v>38596</v>
      </c>
      <c r="X1943" s="1" t="s">
        <v>38597</v>
      </c>
      <c r="Y1943" s="1" t="s">
        <v>38598</v>
      </c>
      <c r="Z1943" s="1" t="s">
        <v>38599</v>
      </c>
      <c r="AA1943" s="1" t="s">
        <v>38600</v>
      </c>
      <c r="AB1943" s="1" t="s">
        <v>38601</v>
      </c>
      <c r="AC1943" s="1" t="s">
        <v>38602</v>
      </c>
      <c r="AD1943" s="6" t="s">
        <v>38603</v>
      </c>
      <c r="AE1943" s="1" t="s">
        <v>38604</v>
      </c>
      <c r="AF1943" s="1" t="s">
        <v>38605</v>
      </c>
      <c r="AG1943" s="6" t="s">
        <v>38606</v>
      </c>
      <c r="AH1943" s="1" t="s">
        <v>38607</v>
      </c>
      <c r="AI1943" s="6" t="s">
        <v>132</v>
      </c>
      <c r="AJ1943" s="6" t="s">
        <v>38608</v>
      </c>
      <c r="AK1943" s="1" t="s">
        <v>38609</v>
      </c>
      <c r="AL1943" s="6" t="s">
        <v>38610</v>
      </c>
    </row>
    <row r="1944" ht="15.75" customHeight="1">
      <c r="A1944" s="1" t="s">
        <v>127</v>
      </c>
      <c r="B1944" s="1" t="s">
        <v>38611</v>
      </c>
      <c r="C1944" s="1" t="s">
        <v>38612</v>
      </c>
      <c r="D1944" s="8" t="s">
        <v>38613</v>
      </c>
      <c r="E1944" s="1" t="s">
        <v>38614</v>
      </c>
      <c r="F1944" s="6" t="s">
        <v>132</v>
      </c>
      <c r="G1944" s="1" t="s">
        <v>38615</v>
      </c>
      <c r="H1944" s="1" t="s">
        <v>38616</v>
      </c>
      <c r="I1944" s="1" t="s">
        <v>38617</v>
      </c>
      <c r="J1944" s="6" t="s">
        <v>38618</v>
      </c>
      <c r="K1944" s="1" t="s">
        <v>38619</v>
      </c>
      <c r="L1944" s="1" t="s">
        <v>38620</v>
      </c>
      <c r="M1944" s="1" t="s">
        <v>38621</v>
      </c>
      <c r="N1944" s="6" t="s">
        <v>132</v>
      </c>
      <c r="O1944" s="6" t="s">
        <v>38622</v>
      </c>
      <c r="P1944" s="1" t="s">
        <v>38623</v>
      </c>
      <c r="Q1944" s="1" t="s">
        <v>38624</v>
      </c>
      <c r="R1944" s="1" t="s">
        <v>38625</v>
      </c>
      <c r="S1944" s="10" t="s">
        <v>38626</v>
      </c>
      <c r="T1944" s="1" t="s">
        <v>38627</v>
      </c>
      <c r="U1944" s="1" t="s">
        <v>38628</v>
      </c>
      <c r="V1944" s="1" t="s">
        <v>38629</v>
      </c>
      <c r="W1944" s="1" t="s">
        <v>38630</v>
      </c>
      <c r="X1944" s="1" t="s">
        <v>38631</v>
      </c>
      <c r="Y1944" s="1" t="s">
        <v>38632</v>
      </c>
      <c r="Z1944" s="1" t="s">
        <v>38612</v>
      </c>
      <c r="AA1944" s="7" t="str">
        <f>IFERROR(__xludf.DUMMYFUNCTION("GOOGLETRANSLATE(C1944, ""en"", ""ro"")"),"Vă rugăm să acceptați termenii de utilizare")</f>
        <v>Vă rugăm să acceptați termenii de utilizare</v>
      </c>
      <c r="AB1944" s="1" t="s">
        <v>38633</v>
      </c>
      <c r="AC1944" s="1" t="s">
        <v>38634</v>
      </c>
      <c r="AD1944" s="6" t="s">
        <v>38635</v>
      </c>
      <c r="AE1944" s="1" t="s">
        <v>38636</v>
      </c>
      <c r="AF1944" s="1" t="s">
        <v>38637</v>
      </c>
      <c r="AG1944" s="6" t="s">
        <v>16427</v>
      </c>
      <c r="AH1944" s="1" t="s">
        <v>38638</v>
      </c>
      <c r="AI1944" s="6" t="s">
        <v>132</v>
      </c>
      <c r="AJ1944" s="6" t="s">
        <v>38639</v>
      </c>
      <c r="AK1944" s="1" t="s">
        <v>16430</v>
      </c>
      <c r="AL1944" s="6" t="s">
        <v>132</v>
      </c>
    </row>
    <row r="1945" ht="15.75" customHeight="1">
      <c r="A1945" s="1" t="s">
        <v>127</v>
      </c>
      <c r="B1945" s="1" t="s">
        <v>38640</v>
      </c>
      <c r="C1945" s="1" t="s">
        <v>38641</v>
      </c>
      <c r="D1945" s="8" t="s">
        <v>38642</v>
      </c>
      <c r="E1945" s="1" t="s">
        <v>38643</v>
      </c>
      <c r="F1945" s="6" t="s">
        <v>132</v>
      </c>
      <c r="G1945" s="1" t="s">
        <v>38644</v>
      </c>
      <c r="H1945" s="1" t="s">
        <v>38645</v>
      </c>
      <c r="I1945" s="1" t="s">
        <v>38646</v>
      </c>
      <c r="J1945" s="6" t="s">
        <v>38647</v>
      </c>
      <c r="K1945" s="1" t="s">
        <v>38648</v>
      </c>
      <c r="L1945" s="1" t="s">
        <v>38649</v>
      </c>
      <c r="M1945" s="1" t="s">
        <v>38650</v>
      </c>
      <c r="N1945" s="6" t="s">
        <v>132</v>
      </c>
      <c r="O1945" s="6" t="s">
        <v>38651</v>
      </c>
      <c r="P1945" s="1" t="s">
        <v>38652</v>
      </c>
      <c r="Q1945" s="1" t="s">
        <v>38653</v>
      </c>
      <c r="R1945" s="1" t="s">
        <v>38654</v>
      </c>
      <c r="S1945" s="10" t="s">
        <v>38655</v>
      </c>
      <c r="T1945" s="1" t="s">
        <v>38627</v>
      </c>
      <c r="U1945" s="1" t="s">
        <v>38656</v>
      </c>
      <c r="V1945" s="1" t="s">
        <v>38657</v>
      </c>
      <c r="W1945" s="1" t="s">
        <v>38658</v>
      </c>
      <c r="X1945" s="1" t="s">
        <v>38659</v>
      </c>
      <c r="Y1945" s="1" t="s">
        <v>38660</v>
      </c>
      <c r="Z1945" s="1" t="s">
        <v>38661</v>
      </c>
      <c r="AA1945" s="7" t="str">
        <f>IFERROR(__xludf.DUMMYFUNCTION("GOOGLETRANSLATE(C1945, ""en"", ""ro"")"),"Acceptați")</f>
        <v>Acceptați</v>
      </c>
      <c r="AB1945" s="1" t="s">
        <v>38662</v>
      </c>
      <c r="AC1945" s="1" t="s">
        <v>38663</v>
      </c>
      <c r="AD1945" s="6" t="s">
        <v>38664</v>
      </c>
      <c r="AE1945" s="7" t="str">
        <f>IFERROR(__xludf.DUMMYFUNCTION("GOOGLETRANSLATE(C1945, ""en"", ""sr"")"),"Прихватите")</f>
        <v>Прихватите</v>
      </c>
      <c r="AF1945" s="1" t="s">
        <v>36383</v>
      </c>
      <c r="AG1945" s="6" t="s">
        <v>38665</v>
      </c>
      <c r="AH1945" s="1" t="s">
        <v>38666</v>
      </c>
      <c r="AI1945" s="6" t="s">
        <v>132</v>
      </c>
      <c r="AJ1945" s="6" t="s">
        <v>38667</v>
      </c>
      <c r="AK1945" s="1" t="s">
        <v>38668</v>
      </c>
      <c r="AL1945" s="6" t="s">
        <v>132</v>
      </c>
    </row>
    <row r="1946" ht="15.75" hidden="1" customHeight="1">
      <c r="A1946" s="1" t="s">
        <v>38</v>
      </c>
      <c r="B1946" s="1" t="s">
        <v>38669</v>
      </c>
      <c r="C1946" s="1" t="s">
        <v>38670</v>
      </c>
      <c r="D1946" s="7" t="str">
        <f>IFERROR(__xludf.DUMMYFUNCTION("GOOGLETRANSLATE(C1946, ""en"", ""ar"")"),"لصق كما اقتباس")</f>
        <v>لصق كما اقتباس</v>
      </c>
      <c r="E1946" s="1" t="s">
        <v>38671</v>
      </c>
      <c r="F1946" s="6" t="s">
        <v>38672</v>
      </c>
      <c r="G1946" s="7" t="str">
        <f>IFERROR(__xludf.DUMMYFUNCTION("GOOGLETRANSLATE(C1946, ""en"", ""cs"")"),"Vložit jako Quote.")</f>
        <v>Vložit jako Quote.</v>
      </c>
      <c r="H1946" s="7" t="str">
        <f>IFERROR(__xludf.DUMMYFUNCTION("GOOGLETRANSLATE(C1946, ""en"", ""da"")"),"Indsæt som citat")</f>
        <v>Indsæt som citat</v>
      </c>
      <c r="I1946" s="1" t="s">
        <v>38673</v>
      </c>
      <c r="J1946" s="6" t="s">
        <v>132</v>
      </c>
      <c r="K1946" s="1" t="s">
        <v>38674</v>
      </c>
      <c r="L1946" s="7" t="str">
        <f>IFERROR(__xludf.DUMMYFUNCTION("GOOGLETRANSLATE(C1946, ""en"", ""fi"")"),"Liittää")</f>
        <v>Liittää</v>
      </c>
      <c r="M1946" s="1" t="s">
        <v>38675</v>
      </c>
      <c r="N1946" s="6" t="s">
        <v>38674</v>
      </c>
      <c r="O1946" s="6" t="s">
        <v>132</v>
      </c>
      <c r="P1946" s="1" t="s">
        <v>38676</v>
      </c>
      <c r="Q1946" s="7" t="str">
        <f>IFERROR(__xludf.DUMMYFUNCTION("GOOGLETRANSLATE(C1946, ""en"", ""in"")"),"Tempel sebagai kutipan")</f>
        <v>Tempel sebagai kutipan</v>
      </c>
      <c r="R1946" s="1" t="s">
        <v>38677</v>
      </c>
      <c r="S1946" s="6" t="s">
        <v>132</v>
      </c>
      <c r="T1946" s="7" t="str">
        <f>IFERROR(__xludf.DUMMYFUNCTION("GOOGLETRANSLATE(C1946, ""en"", ""ja"")"),"見積もりを貼り付けます")</f>
        <v>見積もりを貼り付けます</v>
      </c>
      <c r="U1946" s="7" t="str">
        <f>IFERROR(__xludf.DUMMYFUNCTION("GOOGLETRANSLATE(C1946, ""en"", ""ko"")"),"견적으로 붙여 넣기")</f>
        <v>견적으로 붙여 넣기</v>
      </c>
      <c r="V1946" s="7" t="str">
        <f>IFERROR(__xludf.DUMMYFUNCTION("GOOGLETRANSLATE(C1946, ""en"", ""ms"")"),"Tampal sebagai petikan")</f>
        <v>Tampal sebagai petikan</v>
      </c>
      <c r="W1946" s="1" t="s">
        <v>38678</v>
      </c>
      <c r="X1946" s="7" t="str">
        <f>IFERROR(__xludf.DUMMYFUNCTION("GOOGLETRANSLATE(C1946, ""en"", ""no"")"),"Lim inn som sitat")</f>
        <v>Lim inn som sitat</v>
      </c>
      <c r="Y1946" s="1" t="s">
        <v>38679</v>
      </c>
      <c r="Z1946" s="1" t="s">
        <v>38680</v>
      </c>
      <c r="AA1946" s="7" t="str">
        <f>IFERROR(__xludf.DUMMYFUNCTION("GOOGLETRANSLATE(C1946, ""en"", ""ro"")"),"Paste ca citat")</f>
        <v>Paste ca citat</v>
      </c>
      <c r="AB1946" s="1" t="s">
        <v>38681</v>
      </c>
      <c r="AC1946" s="7" t="str">
        <f>IFERROR(__xludf.DUMMYFUNCTION("GOOGLETRANSLATE(C1946, ""en"", ""sk"")"),"Pasta ako citácia")</f>
        <v>Pasta ako citácia</v>
      </c>
      <c r="AD1946" s="6" t="s">
        <v>132</v>
      </c>
      <c r="AE1946" s="1" t="s">
        <v>38682</v>
      </c>
      <c r="AF1946" s="7" t="str">
        <f>IFERROR(__xludf.DUMMYFUNCTION("GOOGLETRANSLATE(C1946, ""en"", ""sv"")"),"Klistra in som citat")</f>
        <v>Klistra in som citat</v>
      </c>
      <c r="AG1946" s="6" t="s">
        <v>132</v>
      </c>
      <c r="AH1946" s="7" t="str">
        <f>IFERROR(__xludf.DUMMYFUNCTION("GOOGLETRANSLATE(C1946, ""en"", ""tr"")"),"Alıntı olarak yapıştır")</f>
        <v>Alıntı olarak yapıştır</v>
      </c>
      <c r="AI1946" s="6" t="s">
        <v>132</v>
      </c>
      <c r="AJ1946" s="6" t="s">
        <v>132</v>
      </c>
      <c r="AK1946" s="7" t="str">
        <f>IFERROR(__xludf.DUMMYFUNCTION("GOOGLETRANSLATE(C1946, ""en"", ""zh"")"),"粘贴为报价")</f>
        <v>粘贴为报价</v>
      </c>
      <c r="AL1946" s="6" t="s">
        <v>132</v>
      </c>
    </row>
    <row r="1947" ht="15.75" customHeight="1">
      <c r="A1947" s="1" t="s">
        <v>127</v>
      </c>
      <c r="B1947" s="1" t="s">
        <v>38683</v>
      </c>
      <c r="C1947" s="1" t="s">
        <v>11018</v>
      </c>
      <c r="D1947" s="8" t="s">
        <v>11019</v>
      </c>
      <c r="E1947" s="1" t="s">
        <v>11020</v>
      </c>
      <c r="F1947" s="6" t="s">
        <v>132</v>
      </c>
      <c r="G1947" s="1" t="s">
        <v>11021</v>
      </c>
      <c r="H1947" s="1" t="s">
        <v>11022</v>
      </c>
      <c r="I1947" s="1" t="s">
        <v>11023</v>
      </c>
      <c r="J1947" s="6" t="s">
        <v>38684</v>
      </c>
      <c r="K1947" s="1" t="s">
        <v>37719</v>
      </c>
      <c r="L1947" s="1" t="s">
        <v>11026</v>
      </c>
      <c r="M1947" s="1" t="s">
        <v>38685</v>
      </c>
      <c r="N1947" s="6" t="s">
        <v>132</v>
      </c>
      <c r="O1947" s="6" t="s">
        <v>11028</v>
      </c>
      <c r="P1947" s="1" t="s">
        <v>38686</v>
      </c>
      <c r="Q1947" s="1" t="s">
        <v>11030</v>
      </c>
      <c r="R1947" s="1" t="s">
        <v>11031</v>
      </c>
      <c r="S1947" s="10" t="s">
        <v>11032</v>
      </c>
      <c r="T1947" s="1" t="s">
        <v>11033</v>
      </c>
      <c r="U1947" s="1" t="s">
        <v>11034</v>
      </c>
      <c r="V1947" s="1" t="s">
        <v>11030</v>
      </c>
      <c r="W1947" s="1" t="s">
        <v>11035</v>
      </c>
      <c r="X1947" s="1" t="s">
        <v>11036</v>
      </c>
      <c r="Y1947" s="1" t="s">
        <v>38687</v>
      </c>
      <c r="Z1947" s="1" t="s">
        <v>11038</v>
      </c>
      <c r="AA1947" s="7" t="str">
        <f>IFERROR(__xludf.DUMMYFUNCTION("GOOGLETRANSLATE(C1947, ""en"", ""ro"")"),"Termeni de utilizare")</f>
        <v>Termeni de utilizare</v>
      </c>
      <c r="AB1947" s="1" t="s">
        <v>38688</v>
      </c>
      <c r="AC1947" s="1" t="s">
        <v>38689</v>
      </c>
      <c r="AD1947" s="6" t="s">
        <v>11042</v>
      </c>
      <c r="AE1947" s="1" t="s">
        <v>38690</v>
      </c>
      <c r="AF1947" s="1" t="s">
        <v>11044</v>
      </c>
      <c r="AG1947" s="6" t="s">
        <v>11045</v>
      </c>
      <c r="AH1947" s="1" t="s">
        <v>11046</v>
      </c>
      <c r="AI1947" s="6" t="s">
        <v>132</v>
      </c>
      <c r="AJ1947" s="6" t="s">
        <v>11047</v>
      </c>
      <c r="AK1947" s="1" t="s">
        <v>11048</v>
      </c>
      <c r="AL1947" s="6" t="s">
        <v>132</v>
      </c>
    </row>
    <row r="1948" ht="15.75" customHeight="1">
      <c r="A1948" s="1" t="s">
        <v>127</v>
      </c>
      <c r="B1948" s="1" t="s">
        <v>38691</v>
      </c>
      <c r="C1948" s="1" t="s">
        <v>38692</v>
      </c>
      <c r="D1948" s="8" t="s">
        <v>38693</v>
      </c>
      <c r="E1948" s="1" t="s">
        <v>38694</v>
      </c>
      <c r="F1948" s="6" t="s">
        <v>132</v>
      </c>
      <c r="G1948" s="1" t="s">
        <v>38695</v>
      </c>
      <c r="H1948" s="1" t="s">
        <v>38696</v>
      </c>
      <c r="I1948" s="1" t="s">
        <v>38692</v>
      </c>
      <c r="J1948" s="6" t="s">
        <v>38697</v>
      </c>
      <c r="K1948" s="1" t="s">
        <v>38698</v>
      </c>
      <c r="L1948" s="1" t="s">
        <v>38699</v>
      </c>
      <c r="M1948" s="1" t="s">
        <v>38692</v>
      </c>
      <c r="N1948" s="6" t="s">
        <v>132</v>
      </c>
      <c r="O1948" s="6" t="s">
        <v>38700</v>
      </c>
      <c r="P1948" s="1" t="s">
        <v>38692</v>
      </c>
      <c r="Q1948" s="1" t="s">
        <v>38701</v>
      </c>
      <c r="R1948" s="1" t="s">
        <v>38692</v>
      </c>
      <c r="S1948" s="10" t="s">
        <v>38702</v>
      </c>
      <c r="T1948" s="1" t="s">
        <v>38703</v>
      </c>
      <c r="U1948" s="1" t="s">
        <v>38704</v>
      </c>
      <c r="V1948" s="1" t="s">
        <v>38701</v>
      </c>
      <c r="W1948" s="1" t="s">
        <v>38705</v>
      </c>
      <c r="X1948" s="1" t="s">
        <v>38706</v>
      </c>
      <c r="Y1948" s="1" t="s">
        <v>38692</v>
      </c>
      <c r="Z1948" s="1" t="s">
        <v>38707</v>
      </c>
      <c r="AA1948" s="7" t="str">
        <f>IFERROR(__xludf.DUMMYFUNCTION("GOOGLETRANSLATE(C1948, ""en"", ""ro"")"),"Nivel inferior")</f>
        <v>Nivel inferior</v>
      </c>
      <c r="AB1948" s="1" t="s">
        <v>38708</v>
      </c>
      <c r="AC1948" s="1" t="s">
        <v>38709</v>
      </c>
      <c r="AD1948" s="6" t="s">
        <v>38710</v>
      </c>
      <c r="AE1948" s="1" t="s">
        <v>38692</v>
      </c>
      <c r="AF1948" s="1" t="s">
        <v>38692</v>
      </c>
      <c r="AG1948" s="6" t="s">
        <v>38711</v>
      </c>
      <c r="AH1948" s="1" t="s">
        <v>38712</v>
      </c>
      <c r="AI1948" s="6" t="s">
        <v>132</v>
      </c>
      <c r="AJ1948" s="6" t="s">
        <v>38713</v>
      </c>
      <c r="AK1948" s="1" t="s">
        <v>38714</v>
      </c>
      <c r="AL1948" s="6" t="s">
        <v>38715</v>
      </c>
    </row>
    <row r="1949" ht="15.75" customHeight="1">
      <c r="A1949" s="1" t="s">
        <v>127</v>
      </c>
      <c r="B1949" s="1" t="s">
        <v>38716</v>
      </c>
      <c r="C1949" s="1" t="s">
        <v>38717</v>
      </c>
      <c r="D1949" s="8" t="s">
        <v>38718</v>
      </c>
      <c r="E1949" s="1" t="s">
        <v>38719</v>
      </c>
      <c r="F1949" s="6" t="s">
        <v>132</v>
      </c>
      <c r="G1949" s="1" t="s">
        <v>38720</v>
      </c>
      <c r="H1949" s="1" t="s">
        <v>38721</v>
      </c>
      <c r="I1949" s="1" t="s">
        <v>38722</v>
      </c>
      <c r="J1949" s="6" t="s">
        <v>38723</v>
      </c>
      <c r="K1949" s="1" t="s">
        <v>38724</v>
      </c>
      <c r="L1949" s="1" t="s">
        <v>38725</v>
      </c>
      <c r="M1949" s="1" t="s">
        <v>38726</v>
      </c>
      <c r="N1949" s="6" t="s">
        <v>132</v>
      </c>
      <c r="O1949" s="6" t="s">
        <v>38727</v>
      </c>
      <c r="P1949" s="1" t="s">
        <v>38728</v>
      </c>
      <c r="Q1949" s="1" t="s">
        <v>38729</v>
      </c>
      <c r="R1949" s="1" t="s">
        <v>38730</v>
      </c>
      <c r="S1949" s="10" t="s">
        <v>38731</v>
      </c>
      <c r="T1949" s="1" t="s">
        <v>38732</v>
      </c>
      <c r="U1949" s="1" t="s">
        <v>38733</v>
      </c>
      <c r="V1949" s="1" t="s">
        <v>38729</v>
      </c>
      <c r="W1949" s="1" t="s">
        <v>38734</v>
      </c>
      <c r="X1949" s="1" t="s">
        <v>38735</v>
      </c>
      <c r="Y1949" s="1" t="s">
        <v>38736</v>
      </c>
      <c r="Z1949" s="1" t="s">
        <v>38737</v>
      </c>
      <c r="AA1949" s="7" t="str">
        <f>IFERROR(__xludf.DUMMYFUNCTION("GOOGLETRANSLATE(C1949, ""en"", ""ro"")"),"Accept")</f>
        <v>Accept</v>
      </c>
      <c r="AB1949" s="1" t="s">
        <v>38738</v>
      </c>
      <c r="AC1949" s="1" t="s">
        <v>38739</v>
      </c>
      <c r="AD1949" s="6" t="s">
        <v>38740</v>
      </c>
      <c r="AE1949" s="1" t="s">
        <v>38741</v>
      </c>
      <c r="AF1949" s="1" t="s">
        <v>38742</v>
      </c>
      <c r="AG1949" s="6" t="s">
        <v>38743</v>
      </c>
      <c r="AH1949" s="1" t="s">
        <v>38744</v>
      </c>
      <c r="AI1949" s="6" t="s">
        <v>132</v>
      </c>
      <c r="AJ1949" s="6" t="s">
        <v>38745</v>
      </c>
      <c r="AK1949" s="1" t="s">
        <v>38746</v>
      </c>
      <c r="AL1949" s="6" t="s">
        <v>132</v>
      </c>
    </row>
    <row r="1950" ht="15.75" hidden="1" customHeight="1">
      <c r="A1950" s="1" t="s">
        <v>38</v>
      </c>
      <c r="B1950" s="1" t="s">
        <v>38747</v>
      </c>
      <c r="C1950" s="1" t="s">
        <v>38748</v>
      </c>
      <c r="D1950" s="8" t="s">
        <v>38749</v>
      </c>
      <c r="E1950" s="1" t="s">
        <v>38750</v>
      </c>
      <c r="F1950" s="6" t="s">
        <v>38751</v>
      </c>
      <c r="G1950" s="7" t="str">
        <f>IFERROR(__xludf.DUMMYFUNCTION("GOOGLETRANSLATE(C1950, ""en"", ""cs"")"),"Příjem% 1 $ s (% 2 $ d %% dokončeno)")</f>
        <v>Příjem% 1 $ s (% 2 $ d %% dokončeno)</v>
      </c>
      <c r="H1950" s="13" t="s">
        <v>38752</v>
      </c>
      <c r="I1950" s="1" t="s">
        <v>38753</v>
      </c>
      <c r="J1950" s="6" t="s">
        <v>132</v>
      </c>
      <c r="K1950" s="1" t="s">
        <v>38754</v>
      </c>
      <c r="L1950" s="13" t="s">
        <v>38755</v>
      </c>
      <c r="M1950" s="1" t="s">
        <v>38756</v>
      </c>
      <c r="N1950" s="6" t="s">
        <v>38757</v>
      </c>
      <c r="O1950" s="6" t="s">
        <v>132</v>
      </c>
      <c r="P1950" s="1" t="s">
        <v>38758</v>
      </c>
      <c r="Q1950" s="9" t="s">
        <v>38759</v>
      </c>
      <c r="R1950" s="1" t="s">
        <v>38760</v>
      </c>
      <c r="S1950" s="6" t="s">
        <v>132</v>
      </c>
      <c r="T1950" s="1" t="s">
        <v>38761</v>
      </c>
      <c r="U1950" s="1" t="s">
        <v>38762</v>
      </c>
      <c r="V1950" s="7" t="str">
        <f>IFERROR(__xludf.DUMMYFUNCTION("GOOGLETRANSLATE(C1950, ""en"", ""ms"")"),"Menerima% 1 $ s (% 2 $ D %% selesai)")</f>
        <v>Menerima% 1 $ s (% 2 $ D %% selesai)</v>
      </c>
      <c r="W1950" s="1" t="s">
        <v>38763</v>
      </c>
      <c r="X1950" s="13" t="s">
        <v>38764</v>
      </c>
      <c r="Y1950" s="1" t="s">
        <v>38765</v>
      </c>
      <c r="Z1950" s="1" t="s">
        <v>38766</v>
      </c>
      <c r="AA1950" s="7" t="str">
        <f>IFERROR(__xludf.DUMMYFUNCTION("GOOGLETRANSLATE(C1950, ""en"", ""ro"")"),"Primirea% 1 $ s (% 2 $ d %% finalizată)")</f>
        <v>Primirea% 1 $ s (% 2 $ d %% finalizată)</v>
      </c>
      <c r="AB1950" s="1" t="s">
        <v>38767</v>
      </c>
      <c r="AC1950" s="1" t="s">
        <v>38768</v>
      </c>
      <c r="AD1950" s="6" t="s">
        <v>132</v>
      </c>
      <c r="AE1950" s="1" t="s">
        <v>38769</v>
      </c>
      <c r="AF1950" s="1" t="s">
        <v>38770</v>
      </c>
      <c r="AG1950" s="6" t="s">
        <v>132</v>
      </c>
      <c r="AH1950" s="13" t="s">
        <v>38771</v>
      </c>
      <c r="AI1950" s="6" t="s">
        <v>38772</v>
      </c>
      <c r="AJ1950" s="6" t="s">
        <v>38773</v>
      </c>
      <c r="AK1950" s="7" t="str">
        <f>IFERROR(__xludf.DUMMYFUNCTION("GOOGLETRANSLATE(C1950, ""en"", ""zh"")"),"接收％1 $ s（填写的％2 $ d %%）")</f>
        <v>接收％1 $ s（填写的％2 $ d %%）</v>
      </c>
      <c r="AL1950" s="6" t="s">
        <v>38774</v>
      </c>
    </row>
    <row r="1951" ht="15.75" customHeight="1">
      <c r="A1951" s="1" t="s">
        <v>127</v>
      </c>
      <c r="B1951" s="1" t="s">
        <v>38775</v>
      </c>
      <c r="C1951" s="1" t="s">
        <v>38776</v>
      </c>
      <c r="D1951" s="8" t="s">
        <v>38777</v>
      </c>
      <c r="E1951" s="1" t="s">
        <v>38778</v>
      </c>
      <c r="F1951" s="6" t="s">
        <v>132</v>
      </c>
      <c r="G1951" s="1" t="s">
        <v>38779</v>
      </c>
      <c r="H1951" s="1" t="s">
        <v>38780</v>
      </c>
      <c r="I1951" s="1" t="s">
        <v>38781</v>
      </c>
      <c r="J1951" s="6" t="s">
        <v>38782</v>
      </c>
      <c r="K1951" s="1" t="s">
        <v>38783</v>
      </c>
      <c r="L1951" s="1" t="s">
        <v>38784</v>
      </c>
      <c r="M1951" s="1" t="s">
        <v>38785</v>
      </c>
      <c r="N1951" s="6" t="s">
        <v>132</v>
      </c>
      <c r="O1951" s="6" t="s">
        <v>38786</v>
      </c>
      <c r="P1951" s="1" t="s">
        <v>38787</v>
      </c>
      <c r="Q1951" s="1" t="s">
        <v>38788</v>
      </c>
      <c r="R1951" s="1" t="s">
        <v>38789</v>
      </c>
      <c r="S1951" s="10" t="s">
        <v>38790</v>
      </c>
      <c r="T1951" s="1" t="s">
        <v>38791</v>
      </c>
      <c r="U1951" s="1" t="s">
        <v>38792</v>
      </c>
      <c r="V1951" s="1" t="s">
        <v>38793</v>
      </c>
      <c r="W1951" s="1" t="s">
        <v>38794</v>
      </c>
      <c r="X1951" s="1" t="s">
        <v>38795</v>
      </c>
      <c r="Y1951" s="1" t="s">
        <v>38796</v>
      </c>
      <c r="Z1951" s="1" t="s">
        <v>38797</v>
      </c>
      <c r="AA1951" s="7" t="str">
        <f>IFERROR(__xludf.DUMMYFUNCTION("GOOGLETRANSLATE(C1951, ""en"", ""ro"")"),"Rata de cumpărare")</f>
        <v>Rata de cumpărare</v>
      </c>
      <c r="AB1951" s="1" t="s">
        <v>38798</v>
      </c>
      <c r="AC1951" s="1" t="s">
        <v>38799</v>
      </c>
      <c r="AD1951" s="6" t="s">
        <v>2732</v>
      </c>
      <c r="AE1951" s="1" t="s">
        <v>38800</v>
      </c>
      <c r="AF1951" s="1" t="s">
        <v>38801</v>
      </c>
      <c r="AG1951" s="6" t="s">
        <v>38802</v>
      </c>
      <c r="AH1951" s="1" t="s">
        <v>38803</v>
      </c>
      <c r="AI1951" s="6" t="s">
        <v>132</v>
      </c>
      <c r="AJ1951" s="6" t="s">
        <v>38804</v>
      </c>
      <c r="AK1951" s="1" t="s">
        <v>38805</v>
      </c>
      <c r="AL1951" s="6" t="s">
        <v>38806</v>
      </c>
    </row>
    <row r="1952" ht="15.75" hidden="1" customHeight="1">
      <c r="A1952" s="1" t="s">
        <v>38</v>
      </c>
      <c r="B1952" s="1" t="s">
        <v>38807</v>
      </c>
      <c r="C1952" s="1" t="s">
        <v>38808</v>
      </c>
      <c r="D1952" s="7" t="str">
        <f>IFERROR(__xludf.DUMMYFUNCTION("GOOGLETRANSLATE(C1952, ""en"", ""ar"")"),"إخفاء: ينظر، تسليمها، الكتابة ...")</f>
        <v>إخفاء: ينظر، تسليمها، الكتابة ...</v>
      </c>
      <c r="E1952" s="7" t="str">
        <f>IFERROR(__xludf.DUMMYFUNCTION("GOOGLETRANSLATE(C1952, ""en"", ""bg"")"),"Скриване: видяно, доставено, писане ...")</f>
        <v>Скриване: видяно, доставено, писане ...</v>
      </c>
      <c r="F1952" s="6" t="s">
        <v>132</v>
      </c>
      <c r="G1952" s="7" t="str">
        <f>IFERROR(__xludf.DUMMYFUNCTION("GOOGLETRANSLATE(C1952, ""en"", ""cs"")"),"Skrýt: vidět, doručeno, psaní ...")</f>
        <v>Skrýt: vidět, doručeno, psaní ...</v>
      </c>
      <c r="H1952" s="7" t="str">
        <f>IFERROR(__xludf.DUMMYFUNCTION("GOOGLETRANSLATE(C1952, ""en"", ""da"")"),"Skjul: set, leveret, skrive ...")</f>
        <v>Skjul: set, leveret, skrive ...</v>
      </c>
      <c r="I1952" s="1" t="s">
        <v>38809</v>
      </c>
      <c r="J1952" s="6" t="s">
        <v>132</v>
      </c>
      <c r="K1952" s="1" t="s">
        <v>38810</v>
      </c>
      <c r="L1952" s="7" t="str">
        <f>IFERROR(__xludf.DUMMYFUNCTION("GOOGLETRANSLATE(C1952, ""en"", ""fi"")"),"Piilota: nähty, toimitettu, kirjoittamalla ...")</f>
        <v>Piilota: nähty, toimitettu, kirjoittamalla ...</v>
      </c>
      <c r="M1952" s="1" t="s">
        <v>38811</v>
      </c>
      <c r="N1952" s="6" t="s">
        <v>132</v>
      </c>
      <c r="O1952" s="6" t="s">
        <v>132</v>
      </c>
      <c r="P1952" s="1" t="s">
        <v>38810</v>
      </c>
      <c r="Q1952" s="7" t="str">
        <f>IFERROR(__xludf.DUMMYFUNCTION("GOOGLETRANSLATE(C1952, ""en"", ""in"")"),"Sembunyikan: Terlihat, Disampaikan, Mengetik ...")</f>
        <v>Sembunyikan: Terlihat, Disampaikan, Mengetik ...</v>
      </c>
      <c r="R1952" s="7" t="str">
        <f>IFERROR(__xludf.DUMMYFUNCTION("GOOGLETRANSLATE(C1952, ""en"", ""it"")"),"Nascondi: Visto, consegnato, digitando ...")</f>
        <v>Nascondi: Visto, consegnato, digitando ...</v>
      </c>
      <c r="S1952" s="6" t="s">
        <v>132</v>
      </c>
      <c r="T1952" s="7" t="str">
        <f>IFERROR(__xludf.DUMMYFUNCTION("GOOGLETRANSLATE(C1952, ""en"", ""ja"")"),"隠す：見た、配信、タイピング...")</f>
        <v>隠す：見た、配信、タイピング...</v>
      </c>
      <c r="U1952" s="7" t="str">
        <f>IFERROR(__xludf.DUMMYFUNCTION("GOOGLETRANSLATE(C1952, ""en"", ""ko"")"),"숨기기 : 본, 배달, 입력 ...")</f>
        <v>숨기기 : 본, 배달, 입력 ...</v>
      </c>
      <c r="V1952" s="7" t="str">
        <f>IFERROR(__xludf.DUMMYFUNCTION("GOOGLETRANSLATE(C1952, ""en"", ""ms"")"),"Sembunyikan: dilihat, dihantar, menaip ...")</f>
        <v>Sembunyikan: dilihat, dihantar, menaip ...</v>
      </c>
      <c r="W1952" s="7" t="str">
        <f>IFERROR(__xludf.DUMMYFUNCTION("GOOGLETRANSLATE(C1952, ""en"", ""nl"")"),"Verbergen: gezien, afgeleverd, typen ...")</f>
        <v>Verbergen: gezien, afgeleverd, typen ...</v>
      </c>
      <c r="X1952" s="7" t="str">
        <f>IFERROR(__xludf.DUMMYFUNCTION("GOOGLETRANSLATE(C1952, ""en"", ""no"")"),"Skjul: sett, levert, skriving ...")</f>
        <v>Skjul: sett, levert, skriving ...</v>
      </c>
      <c r="Y1952" s="7" t="str">
        <f>IFERROR(__xludf.DUMMYFUNCTION("GOOGLETRANSLATE(C1952, ""en"", ""pl"")"),"Ukryj: widziany, dostarczany, wpisując ...")</f>
        <v>Ukryj: widziany, dostarczany, wpisując ...</v>
      </c>
      <c r="Z1952" s="7" t="str">
        <f>IFERROR(__xludf.DUMMYFUNCTION("GOOGLETRANSLATE(C1952, ""en"", ""pt"")"),"Ocultar: visto, entregue, digitando ...")</f>
        <v>Ocultar: visto, entregue, digitando ...</v>
      </c>
      <c r="AA1952" s="7" t="str">
        <f>IFERROR(__xludf.DUMMYFUNCTION("GOOGLETRANSLATE(C1952, ""en"", ""ro"")"),"Ascunde: văzut, livrat, tastând ...")</f>
        <v>Ascunde: văzut, livrat, tastând ...</v>
      </c>
      <c r="AB1952" s="1" t="s">
        <v>38810</v>
      </c>
      <c r="AC1952" s="7" t="str">
        <f>IFERROR(__xludf.DUMMYFUNCTION("GOOGLETRANSLATE(C1952, ""en"", ""sk"")"),"Skryť: videný, dodaný, písanie ...")</f>
        <v>Skryť: videný, dodaný, písanie ...</v>
      </c>
      <c r="AD1952" s="6" t="s">
        <v>132</v>
      </c>
      <c r="AE1952" s="1" t="s">
        <v>38812</v>
      </c>
      <c r="AF1952" s="7" t="str">
        <f>IFERROR(__xludf.DUMMYFUNCTION("GOOGLETRANSLATE(C1952, ""en"", ""sv"")"),"Dölj: Sett, Levererat, Skriva ...")</f>
        <v>Dölj: Sett, Levererat, Skriva ...</v>
      </c>
      <c r="AG1952" s="6" t="s">
        <v>132</v>
      </c>
      <c r="AH1952" s="7" t="str">
        <f>IFERROR(__xludf.DUMMYFUNCTION("GOOGLETRANSLATE(C1952, ""en"", ""tr"")"),"Gizle: Görülen, Teslim Edilen, Yazma ...")</f>
        <v>Gizle: Görülen, Teslim Edilen, Yazma ...</v>
      </c>
      <c r="AI1952" s="6" t="s">
        <v>132</v>
      </c>
      <c r="AJ1952" s="6" t="s">
        <v>132</v>
      </c>
      <c r="AK1952" s="7" t="str">
        <f>IFERROR(__xludf.DUMMYFUNCTION("GOOGLETRANSLATE(C1952, ""en"", ""zh"")"),"隐藏：看到，交付，打字......")</f>
        <v>隐藏：看到，交付，打字......</v>
      </c>
      <c r="AL1952" s="6" t="s">
        <v>132</v>
      </c>
    </row>
    <row r="1953" ht="15.75" customHeight="1">
      <c r="A1953" s="1" t="s">
        <v>127</v>
      </c>
      <c r="B1953" s="1" t="s">
        <v>38813</v>
      </c>
      <c r="C1953" s="1" t="s">
        <v>38814</v>
      </c>
      <c r="D1953" s="8" t="s">
        <v>38815</v>
      </c>
      <c r="E1953" s="1" t="s">
        <v>38814</v>
      </c>
      <c r="F1953" s="6" t="s">
        <v>132</v>
      </c>
      <c r="G1953" s="1" t="s">
        <v>38814</v>
      </c>
      <c r="H1953" s="1" t="s">
        <v>38816</v>
      </c>
      <c r="I1953" s="1" t="s">
        <v>38814</v>
      </c>
      <c r="J1953" s="6" t="s">
        <v>38814</v>
      </c>
      <c r="K1953" s="1" t="s">
        <v>38814</v>
      </c>
      <c r="L1953" s="1" t="s">
        <v>38817</v>
      </c>
      <c r="M1953" s="1" t="s">
        <v>38814</v>
      </c>
      <c r="N1953" s="6" t="s">
        <v>132</v>
      </c>
      <c r="O1953" s="6" t="s">
        <v>38818</v>
      </c>
      <c r="P1953" s="1" t="s">
        <v>38814</v>
      </c>
      <c r="Q1953" s="1" t="s">
        <v>38819</v>
      </c>
      <c r="R1953" s="1" t="s">
        <v>38814</v>
      </c>
      <c r="S1953" s="6" t="s">
        <v>38820</v>
      </c>
      <c r="T1953" s="1" t="s">
        <v>38814</v>
      </c>
      <c r="U1953" s="1" t="s">
        <v>38821</v>
      </c>
      <c r="V1953" s="1" t="s">
        <v>38822</v>
      </c>
      <c r="W1953" s="1" t="s">
        <v>38816</v>
      </c>
      <c r="X1953" s="1" t="s">
        <v>38816</v>
      </c>
      <c r="Y1953" s="1" t="s">
        <v>38814</v>
      </c>
      <c r="Z1953" s="1" t="s">
        <v>38823</v>
      </c>
      <c r="AA1953" s="7" t="str">
        <f>IFERROR(__xludf.DUMMYFUNCTION("GOOGLETRANSLATE(C1953, ""en"", ""ro"")"),"D_period.")</f>
        <v>D_period.</v>
      </c>
      <c r="AB1953" s="1" t="s">
        <v>38824</v>
      </c>
      <c r="AC1953" s="1" t="s">
        <v>38825</v>
      </c>
      <c r="AD1953" s="6" t="s">
        <v>38814</v>
      </c>
      <c r="AE1953" s="1" t="s">
        <v>38814</v>
      </c>
      <c r="AF1953" s="1" t="s">
        <v>38814</v>
      </c>
      <c r="AG1953" s="6" t="s">
        <v>38826</v>
      </c>
      <c r="AH1953" s="1" t="s">
        <v>38827</v>
      </c>
      <c r="AI1953" s="6" t="s">
        <v>132</v>
      </c>
      <c r="AJ1953" s="6" t="s">
        <v>38814</v>
      </c>
      <c r="AK1953" s="1" t="s">
        <v>38828</v>
      </c>
      <c r="AL1953" s="6" t="s">
        <v>38829</v>
      </c>
    </row>
    <row r="1954" ht="15.75" customHeight="1">
      <c r="A1954" s="1" t="s">
        <v>127</v>
      </c>
      <c r="B1954" s="1" t="s">
        <v>38830</v>
      </c>
      <c r="C1954" s="1" t="s">
        <v>1745</v>
      </c>
      <c r="D1954" s="8" t="s">
        <v>1746</v>
      </c>
      <c r="E1954" s="1" t="s">
        <v>1747</v>
      </c>
      <c r="F1954" s="6" t="s">
        <v>132</v>
      </c>
      <c r="G1954" s="1" t="s">
        <v>1748</v>
      </c>
      <c r="H1954" s="1" t="s">
        <v>1749</v>
      </c>
      <c r="I1954" s="1" t="s">
        <v>1748</v>
      </c>
      <c r="J1954" s="6" t="s">
        <v>1750</v>
      </c>
      <c r="K1954" s="1" t="s">
        <v>1751</v>
      </c>
      <c r="L1954" s="1" t="s">
        <v>1752</v>
      </c>
      <c r="M1954" s="1" t="s">
        <v>1753</v>
      </c>
      <c r="N1954" s="6" t="s">
        <v>132</v>
      </c>
      <c r="O1954" s="6" t="s">
        <v>1754</v>
      </c>
      <c r="P1954" s="1" t="s">
        <v>1752</v>
      </c>
      <c r="Q1954" s="1" t="s">
        <v>1755</v>
      </c>
      <c r="R1954" s="1" t="s">
        <v>1752</v>
      </c>
      <c r="S1954" s="10" t="s">
        <v>1757</v>
      </c>
      <c r="T1954" s="1" t="s">
        <v>1758</v>
      </c>
      <c r="U1954" s="1" t="s">
        <v>1759</v>
      </c>
      <c r="V1954" s="1" t="s">
        <v>1755</v>
      </c>
      <c r="W1954" s="1" t="s">
        <v>1748</v>
      </c>
      <c r="X1954" s="1" t="s">
        <v>1749</v>
      </c>
      <c r="Y1954" s="1" t="s">
        <v>1752</v>
      </c>
      <c r="Z1954" s="1" t="s">
        <v>1752</v>
      </c>
      <c r="AA1954" s="7" t="str">
        <f>IFERROR(__xludf.DUMMYFUNCTION("GOOGLETRANSLATE(C1954, ""en"", ""ro"")"),"Energie")</f>
        <v>Energie</v>
      </c>
      <c r="AB1954" s="1" t="s">
        <v>38831</v>
      </c>
      <c r="AC1954" s="1" t="s">
        <v>1752</v>
      </c>
      <c r="AD1954" s="6" t="s">
        <v>1762</v>
      </c>
      <c r="AE1954" s="1" t="s">
        <v>1762</v>
      </c>
      <c r="AF1954" s="1" t="s">
        <v>1749</v>
      </c>
      <c r="AG1954" s="6" t="s">
        <v>1763</v>
      </c>
      <c r="AH1954" s="1" t="s">
        <v>1764</v>
      </c>
      <c r="AI1954" s="6" t="s">
        <v>132</v>
      </c>
      <c r="AJ1954" s="6" t="s">
        <v>1765</v>
      </c>
      <c r="AK1954" s="1" t="s">
        <v>1766</v>
      </c>
      <c r="AL1954" s="6" t="s">
        <v>132</v>
      </c>
    </row>
    <row r="1955" ht="15.75" customHeight="1">
      <c r="A1955" s="1" t="s">
        <v>127</v>
      </c>
      <c r="B1955" s="1" t="s">
        <v>38832</v>
      </c>
      <c r="C1955" s="1" t="s">
        <v>4084</v>
      </c>
      <c r="D1955" s="8" t="s">
        <v>4085</v>
      </c>
      <c r="E1955" s="1" t="s">
        <v>4086</v>
      </c>
      <c r="F1955" s="6" t="s">
        <v>132</v>
      </c>
      <c r="G1955" s="1" t="s">
        <v>4087</v>
      </c>
      <c r="H1955" s="1" t="s">
        <v>4088</v>
      </c>
      <c r="I1955" s="1" t="s">
        <v>4089</v>
      </c>
      <c r="J1955" s="6" t="s">
        <v>4090</v>
      </c>
      <c r="K1955" s="1" t="s">
        <v>4091</v>
      </c>
      <c r="L1955" s="1" t="s">
        <v>4092</v>
      </c>
      <c r="M1955" s="1" t="s">
        <v>38833</v>
      </c>
      <c r="N1955" s="6" t="s">
        <v>132</v>
      </c>
      <c r="O1955" s="6" t="s">
        <v>4094</v>
      </c>
      <c r="P1955" s="1" t="s">
        <v>4095</v>
      </c>
      <c r="Q1955" s="1" t="s">
        <v>4096</v>
      </c>
      <c r="R1955" s="1" t="s">
        <v>33129</v>
      </c>
      <c r="S1955" s="10" t="s">
        <v>4098</v>
      </c>
      <c r="T1955" s="1" t="s">
        <v>38834</v>
      </c>
      <c r="U1955" s="1" t="s">
        <v>4100</v>
      </c>
      <c r="V1955" s="1" t="s">
        <v>4101</v>
      </c>
      <c r="W1955" s="1" t="s">
        <v>4102</v>
      </c>
      <c r="X1955" s="1" t="s">
        <v>4088</v>
      </c>
      <c r="Y1955" s="1" t="s">
        <v>4084</v>
      </c>
      <c r="Z1955" s="1" t="s">
        <v>4084</v>
      </c>
      <c r="AA1955" s="7" t="str">
        <f>IFERROR(__xludf.DUMMYFUNCTION("GOOGLETRANSLATE(C1955, ""en"", ""ro"")"),"Mărfuri")</f>
        <v>Mărfuri</v>
      </c>
      <c r="AB1955" s="1" t="s">
        <v>4106</v>
      </c>
      <c r="AC1955" s="1" t="s">
        <v>4087</v>
      </c>
      <c r="AD1955" s="6" t="s">
        <v>4107</v>
      </c>
      <c r="AE1955" s="1" t="s">
        <v>38835</v>
      </c>
      <c r="AF1955" s="1" t="s">
        <v>4109</v>
      </c>
      <c r="AG1955" s="6" t="s">
        <v>33132</v>
      </c>
      <c r="AH1955" s="1" t="s">
        <v>4111</v>
      </c>
      <c r="AI1955" s="6" t="s">
        <v>132</v>
      </c>
      <c r="AJ1955" s="6" t="s">
        <v>4112</v>
      </c>
      <c r="AK1955" s="1" t="s">
        <v>4099</v>
      </c>
      <c r="AL1955" s="6" t="s">
        <v>132</v>
      </c>
    </row>
    <row r="1956" ht="15.75" hidden="1" customHeight="1">
      <c r="A1956" s="1" t="s">
        <v>38</v>
      </c>
      <c r="B1956" s="1" t="s">
        <v>38836</v>
      </c>
      <c r="C1956" s="1" t="s">
        <v>38837</v>
      </c>
      <c r="D1956" s="8" t="s">
        <v>38838</v>
      </c>
      <c r="E1956" s="1" t="s">
        <v>19935</v>
      </c>
      <c r="F1956" s="6" t="s">
        <v>38839</v>
      </c>
      <c r="G1956" s="7" t="str">
        <f>IFERROR(__xludf.DUMMYFUNCTION("GOOGLETRANSLATE(C1956, ""en"", ""cs"")"),"Zahájit konverzaci")</f>
        <v>Zahájit konverzaci</v>
      </c>
      <c r="H1956" s="7" t="str">
        <f>IFERROR(__xludf.DUMMYFUNCTION("GOOGLETRANSLATE(C1956, ""en"", ""da"")"),"Start samtale")</f>
        <v>Start samtale</v>
      </c>
      <c r="I1956" s="1" t="s">
        <v>19937</v>
      </c>
      <c r="J1956" s="6" t="s">
        <v>132</v>
      </c>
      <c r="K1956" s="1" t="s">
        <v>38840</v>
      </c>
      <c r="L1956" s="7" t="str">
        <f>IFERROR(__xludf.DUMMYFUNCTION("GOOGLETRANSLATE(C1956, ""en"", ""fi"")"),"Aloita keskustelu")</f>
        <v>Aloita keskustelu</v>
      </c>
      <c r="M1956" s="1" t="s">
        <v>19939</v>
      </c>
      <c r="N1956" s="6" t="s">
        <v>38841</v>
      </c>
      <c r="O1956" s="6" t="s">
        <v>132</v>
      </c>
      <c r="P1956" s="1" t="s">
        <v>38842</v>
      </c>
      <c r="Q1956" s="7" t="str">
        <f>IFERROR(__xludf.DUMMYFUNCTION("GOOGLETRANSLATE(C1956, ""en"", ""in"")"),"Mulai percakapan")</f>
        <v>Mulai percakapan</v>
      </c>
      <c r="R1956" s="1" t="s">
        <v>38843</v>
      </c>
      <c r="S1956" s="6" t="s">
        <v>132</v>
      </c>
      <c r="T1956" s="1" t="s">
        <v>38844</v>
      </c>
      <c r="U1956" s="7" t="str">
        <f>IFERROR(__xludf.DUMMYFUNCTION("GOOGLETRANSLATE(C1956, ""en"", ""ko"")"),"대화를 시작하십시오")</f>
        <v>대화를 시작하십시오</v>
      </c>
      <c r="V1956" s="7" t="str">
        <f>IFERROR(__xludf.DUMMYFUNCTION("GOOGLETRANSLATE(C1956, ""en"", ""ms"")"),"Mula perbualan")</f>
        <v>Mula perbualan</v>
      </c>
      <c r="W1956" s="1" t="s">
        <v>38845</v>
      </c>
      <c r="X1956" s="7" t="str">
        <f>IFERROR(__xludf.DUMMYFUNCTION("GOOGLETRANSLATE(C1956, ""en"", ""no"")"),"Start samtale")</f>
        <v>Start samtale</v>
      </c>
      <c r="Y1956" s="1" t="s">
        <v>38846</v>
      </c>
      <c r="Z1956" s="1" t="s">
        <v>19940</v>
      </c>
      <c r="AA1956" s="7" t="str">
        <f>IFERROR(__xludf.DUMMYFUNCTION("GOOGLETRANSLATE(C1956, ""en"", ""ro"")"),"Începeți conversația")</f>
        <v>Începeți conversația</v>
      </c>
      <c r="AB1956" s="1" t="s">
        <v>19948</v>
      </c>
      <c r="AC1956" s="7" t="str">
        <f>IFERROR(__xludf.DUMMYFUNCTION("GOOGLETRANSLATE(C1956, ""en"", ""sk"")"),"Začať konverzáciu")</f>
        <v>Začať konverzáciu</v>
      </c>
      <c r="AD1956" s="6" t="s">
        <v>132</v>
      </c>
      <c r="AE1956" s="1" t="s">
        <v>19950</v>
      </c>
      <c r="AF1956" s="7" t="str">
        <f>IFERROR(__xludf.DUMMYFUNCTION("GOOGLETRANSLATE(C1956, ""en"", ""sv"")"),"Starta konversation")</f>
        <v>Starta konversation</v>
      </c>
      <c r="AG1956" s="6" t="s">
        <v>132</v>
      </c>
      <c r="AH1956" s="7" t="str">
        <f>IFERROR(__xludf.DUMMYFUNCTION("GOOGLETRANSLATE(C1956, ""en"", ""tr"")"),"Konuşmaya başla")</f>
        <v>Konuşmaya başla</v>
      </c>
      <c r="AI1956" s="6" t="s">
        <v>132</v>
      </c>
      <c r="AJ1956" s="6" t="s">
        <v>132</v>
      </c>
      <c r="AK1956" s="7" t="str">
        <f>IFERROR(__xludf.DUMMYFUNCTION("GOOGLETRANSLATE(C1956, ""en"", ""zh"")"),"开始谈话")</f>
        <v>开始谈话</v>
      </c>
      <c r="AL1956" s="6" t="s">
        <v>132</v>
      </c>
    </row>
    <row r="1957" ht="15.75" customHeight="1">
      <c r="A1957" s="1" t="s">
        <v>127</v>
      </c>
      <c r="B1957" s="1" t="s">
        <v>38847</v>
      </c>
      <c r="C1957" s="1" t="s">
        <v>24816</v>
      </c>
      <c r="D1957" s="8" t="s">
        <v>38848</v>
      </c>
      <c r="E1957" s="1" t="s">
        <v>38849</v>
      </c>
      <c r="F1957" s="6" t="s">
        <v>132</v>
      </c>
      <c r="G1957" s="1" t="s">
        <v>38850</v>
      </c>
      <c r="H1957" s="1" t="s">
        <v>38851</v>
      </c>
      <c r="I1957" s="1" t="s">
        <v>38852</v>
      </c>
      <c r="J1957" s="6" t="s">
        <v>38853</v>
      </c>
      <c r="K1957" s="1" t="s">
        <v>21826</v>
      </c>
      <c r="L1957" s="1" t="s">
        <v>38854</v>
      </c>
      <c r="M1957" s="1" t="s">
        <v>38855</v>
      </c>
      <c r="N1957" s="6" t="s">
        <v>132</v>
      </c>
      <c r="O1957" s="6" t="s">
        <v>38856</v>
      </c>
      <c r="P1957" s="1" t="s">
        <v>38857</v>
      </c>
      <c r="Q1957" s="1" t="s">
        <v>38858</v>
      </c>
      <c r="R1957" s="1" t="s">
        <v>24816</v>
      </c>
      <c r="S1957" s="10" t="s">
        <v>38859</v>
      </c>
      <c r="T1957" s="1" t="s">
        <v>38860</v>
      </c>
      <c r="U1957" s="1" t="s">
        <v>38861</v>
      </c>
      <c r="V1957" s="1" t="s">
        <v>38862</v>
      </c>
      <c r="W1957" s="1" t="s">
        <v>38863</v>
      </c>
      <c r="X1957" s="1" t="s">
        <v>38864</v>
      </c>
      <c r="Y1957" s="1" t="s">
        <v>38865</v>
      </c>
      <c r="Z1957" s="1" t="s">
        <v>38866</v>
      </c>
      <c r="AA1957" s="7" t="str">
        <f>IFERROR(__xludf.DUMMYFUNCTION("GOOGLETRANSLATE(C1957, ""en"", ""ro"")"),"Resetare")</f>
        <v>Resetare</v>
      </c>
      <c r="AB1957" s="1" t="s">
        <v>38867</v>
      </c>
      <c r="AC1957" s="1" t="s">
        <v>1592</v>
      </c>
      <c r="AD1957" s="6" t="s">
        <v>38868</v>
      </c>
      <c r="AE1957" s="1" t="s">
        <v>24816</v>
      </c>
      <c r="AF1957" s="1" t="s">
        <v>38869</v>
      </c>
      <c r="AG1957" s="6" t="s">
        <v>38870</v>
      </c>
      <c r="AH1957" s="1" t="s">
        <v>38871</v>
      </c>
      <c r="AI1957" s="6" t="s">
        <v>132</v>
      </c>
      <c r="AJ1957" s="6" t="s">
        <v>38872</v>
      </c>
      <c r="AK1957" s="1" t="s">
        <v>38873</v>
      </c>
      <c r="AL1957" s="6" t="s">
        <v>38874</v>
      </c>
    </row>
    <row r="1958" ht="15.75" hidden="1" customHeight="1">
      <c r="A1958" s="1" t="s">
        <v>38</v>
      </c>
      <c r="B1958" s="1" t="s">
        <v>38875</v>
      </c>
      <c r="C1958" s="1" t="s">
        <v>38876</v>
      </c>
      <c r="D1958" s="7" t="str">
        <f>IFERROR(__xludf.DUMMYFUNCTION("GOOGLETRANSLATE(C1958, ""en"", ""ar"")"),"إسبانيا")</f>
        <v>إسبانيا</v>
      </c>
      <c r="E1958" s="7" t="str">
        <f>IFERROR(__xludf.DUMMYFUNCTION("GOOGLETRANSLATE(C1958, ""en"", ""bg"")"),"Испания")</f>
        <v>Испания</v>
      </c>
      <c r="F1958" s="6" t="s">
        <v>132</v>
      </c>
      <c r="G1958" s="7" t="str">
        <f>IFERROR(__xludf.DUMMYFUNCTION("GOOGLETRANSLATE(C1958, ""en"", ""cs"")"),"Španělsko")</f>
        <v>Španělsko</v>
      </c>
      <c r="H1958" s="7" t="str">
        <f>IFERROR(__xludf.DUMMYFUNCTION("GOOGLETRANSLATE(C1958, ""en"", ""da"")"),"Spanien.")</f>
        <v>Spanien.</v>
      </c>
      <c r="I1958" s="1" t="s">
        <v>38877</v>
      </c>
      <c r="J1958" s="6" t="s">
        <v>132</v>
      </c>
      <c r="K1958" s="1" t="s">
        <v>38878</v>
      </c>
      <c r="L1958" s="7" t="str">
        <f>IFERROR(__xludf.DUMMYFUNCTION("GOOGLETRANSLATE(C1958, ""en"", ""fi"")"),"Espanja")</f>
        <v>Espanja</v>
      </c>
      <c r="M1958" s="1" t="s">
        <v>38879</v>
      </c>
      <c r="N1958" s="6" t="s">
        <v>132</v>
      </c>
      <c r="O1958" s="6" t="s">
        <v>132</v>
      </c>
      <c r="P1958" s="1" t="s">
        <v>38876</v>
      </c>
      <c r="Q1958" s="7" t="str">
        <f>IFERROR(__xludf.DUMMYFUNCTION("GOOGLETRANSLATE(C1958, ""en"", ""in"")"),"Spanyol")</f>
        <v>Spanyol</v>
      </c>
      <c r="R1958" s="7" t="str">
        <f>IFERROR(__xludf.DUMMYFUNCTION("GOOGLETRANSLATE(C1958, ""en"", ""it"")"),"Spagna")</f>
        <v>Spagna</v>
      </c>
      <c r="S1958" s="6" t="s">
        <v>132</v>
      </c>
      <c r="T1958" s="7" t="str">
        <f>IFERROR(__xludf.DUMMYFUNCTION("GOOGLETRANSLATE(C1958, ""en"", ""ja"")"),"スペイン")</f>
        <v>スペイン</v>
      </c>
      <c r="U1958" s="7" t="str">
        <f>IFERROR(__xludf.DUMMYFUNCTION("GOOGLETRANSLATE(C1958, ""en"", ""ko"")"),"스페인")</f>
        <v>스페인</v>
      </c>
      <c r="V1958" s="7" t="str">
        <f>IFERROR(__xludf.DUMMYFUNCTION("GOOGLETRANSLATE(C1958, ""en"", ""ms"")"),"Sepanyol")</f>
        <v>Sepanyol</v>
      </c>
      <c r="W1958" s="7" t="str">
        <f>IFERROR(__xludf.DUMMYFUNCTION("GOOGLETRANSLATE(C1958, ""en"", ""nl"")"),"Spanje")</f>
        <v>Spanje</v>
      </c>
      <c r="X1958" s="7" t="str">
        <f>IFERROR(__xludf.DUMMYFUNCTION("GOOGLETRANSLATE(C1958, ""en"", ""no"")"),"Spania")</f>
        <v>Spania</v>
      </c>
      <c r="Y1958" s="7" t="str">
        <f>IFERROR(__xludf.DUMMYFUNCTION("GOOGLETRANSLATE(C1958, ""en"", ""pl"")"),"Hiszpania")</f>
        <v>Hiszpania</v>
      </c>
      <c r="Z1958" s="7" t="str">
        <f>IFERROR(__xludf.DUMMYFUNCTION("GOOGLETRANSLATE(C1958, ""en"", ""pt"")"),"Espanha")</f>
        <v>Espanha</v>
      </c>
      <c r="AA1958" s="7" t="str">
        <f>IFERROR(__xludf.DUMMYFUNCTION("GOOGLETRANSLATE(C1958, ""en"", ""ro"")"),"Spania")</f>
        <v>Spania</v>
      </c>
      <c r="AB1958" s="1" t="s">
        <v>38880</v>
      </c>
      <c r="AC1958" s="7" t="str">
        <f>IFERROR(__xludf.DUMMYFUNCTION("GOOGLETRANSLATE(C1958, ""en"", ""sk"")"),"Španielsky")</f>
        <v>Španielsky</v>
      </c>
      <c r="AD1958" s="6" t="s">
        <v>132</v>
      </c>
      <c r="AE1958" s="1" t="s">
        <v>38881</v>
      </c>
      <c r="AF1958" s="7" t="str">
        <f>IFERROR(__xludf.DUMMYFUNCTION("GOOGLETRANSLATE(C1958, ""en"", ""sv"")"),"Spanien")</f>
        <v>Spanien</v>
      </c>
      <c r="AG1958" s="6" t="s">
        <v>132</v>
      </c>
      <c r="AH1958" s="7" t="str">
        <f>IFERROR(__xludf.DUMMYFUNCTION("GOOGLETRANSLATE(C1958, ""en"", ""tr"")"),"ispanya")</f>
        <v>ispanya</v>
      </c>
      <c r="AI1958" s="6" t="s">
        <v>132</v>
      </c>
      <c r="AJ1958" s="6" t="s">
        <v>132</v>
      </c>
      <c r="AK1958" s="7" t="str">
        <f>IFERROR(__xludf.DUMMYFUNCTION("GOOGLETRANSLATE(C1958, ""en"", ""zh"")"),"西班牙")</f>
        <v>西班牙</v>
      </c>
      <c r="AL1958" s="6" t="s">
        <v>132</v>
      </c>
    </row>
    <row r="1959" ht="15.75" hidden="1" customHeight="1">
      <c r="A1959" s="1" t="s">
        <v>38</v>
      </c>
      <c r="B1959" s="1" t="s">
        <v>38882</v>
      </c>
      <c r="C1959" s="1" t="s">
        <v>38883</v>
      </c>
      <c r="D1959" s="8" t="s">
        <v>38884</v>
      </c>
      <c r="E1959" s="1" t="s">
        <v>38885</v>
      </c>
      <c r="F1959" s="6" t="s">
        <v>38886</v>
      </c>
      <c r="G1959" s="7" t="str">
        <f>IFERROR(__xludf.DUMMYFUNCTION("GOOGLETRANSLATE(C1959, ""en"", ""cs"")"),"Publikovat")</f>
        <v>Publikovat</v>
      </c>
      <c r="H1959" s="7" t="str">
        <f>IFERROR(__xludf.DUMMYFUNCTION("GOOGLETRANSLATE(C1959, ""en"", ""da"")"),"Offentliggøre")</f>
        <v>Offentliggøre</v>
      </c>
      <c r="I1959" s="1" t="s">
        <v>38887</v>
      </c>
      <c r="J1959" s="6" t="s">
        <v>132</v>
      </c>
      <c r="K1959" s="1" t="s">
        <v>38888</v>
      </c>
      <c r="L1959" s="7" t="str">
        <f>IFERROR(__xludf.DUMMYFUNCTION("GOOGLETRANSLATE(C1959, ""en"", ""fi"")"),"Julkaista")</f>
        <v>Julkaista</v>
      </c>
      <c r="M1959" s="1" t="s">
        <v>38889</v>
      </c>
      <c r="N1959" s="6" t="s">
        <v>38888</v>
      </c>
      <c r="O1959" s="6" t="s">
        <v>132</v>
      </c>
      <c r="P1959" s="1" t="s">
        <v>38890</v>
      </c>
      <c r="Q1959" s="9" t="s">
        <v>38891</v>
      </c>
      <c r="R1959" s="1" t="s">
        <v>38892</v>
      </c>
      <c r="S1959" s="6" t="s">
        <v>132</v>
      </c>
      <c r="T1959" s="1" t="s">
        <v>38893</v>
      </c>
      <c r="U1959" s="1" t="s">
        <v>38894</v>
      </c>
      <c r="V1959" s="7" t="str">
        <f>IFERROR(__xludf.DUMMYFUNCTION("GOOGLETRANSLATE(C1959, ""en"", ""ms"")"),"Menerbitkan")</f>
        <v>Menerbitkan</v>
      </c>
      <c r="W1959" s="1" t="s">
        <v>38895</v>
      </c>
      <c r="X1959" s="7" t="str">
        <f>IFERROR(__xludf.DUMMYFUNCTION("GOOGLETRANSLATE(C1959, ""en"", ""no"")"),"publisere")</f>
        <v>publisere</v>
      </c>
      <c r="Y1959" s="1" t="s">
        <v>38896</v>
      </c>
      <c r="Z1959" s="1" t="s">
        <v>38888</v>
      </c>
      <c r="AA1959" s="7" t="str">
        <f>IFERROR(__xludf.DUMMYFUNCTION("GOOGLETRANSLATE(C1959, ""en"", ""ro"")"),"Publica")</f>
        <v>Publica</v>
      </c>
      <c r="AB1959" s="1" t="s">
        <v>38897</v>
      </c>
      <c r="AC1959" s="1" t="s">
        <v>38898</v>
      </c>
      <c r="AD1959" s="6" t="s">
        <v>132</v>
      </c>
      <c r="AE1959" s="1" t="s">
        <v>38899</v>
      </c>
      <c r="AF1959" s="1" t="s">
        <v>38900</v>
      </c>
      <c r="AG1959" s="6" t="s">
        <v>132</v>
      </c>
      <c r="AH1959" s="7" t="str">
        <f>IFERROR(__xludf.DUMMYFUNCTION("GOOGLETRANSLATE(C1959, ""en"", ""tr"")"),"Yayınla")</f>
        <v>Yayınla</v>
      </c>
      <c r="AI1959" s="6" t="s">
        <v>38901</v>
      </c>
      <c r="AJ1959" s="6" t="s">
        <v>38902</v>
      </c>
      <c r="AK1959" s="7" t="str">
        <f>IFERROR(__xludf.DUMMYFUNCTION("GOOGLETRANSLATE(C1959, ""en"", ""zh"")"),"发布")</f>
        <v>发布</v>
      </c>
      <c r="AL1959" s="6" t="s">
        <v>38903</v>
      </c>
    </row>
    <row r="1960" ht="15.75" customHeight="1">
      <c r="A1960" s="1" t="s">
        <v>127</v>
      </c>
      <c r="B1960" s="1" t="s">
        <v>38904</v>
      </c>
      <c r="C1960" s="1" t="s">
        <v>38905</v>
      </c>
      <c r="D1960" s="8" t="s">
        <v>38906</v>
      </c>
      <c r="E1960" s="1" t="s">
        <v>38907</v>
      </c>
      <c r="F1960" s="6" t="s">
        <v>132</v>
      </c>
      <c r="G1960" s="1" t="s">
        <v>38908</v>
      </c>
      <c r="H1960" s="1" t="s">
        <v>38909</v>
      </c>
      <c r="I1960" s="1" t="s">
        <v>38905</v>
      </c>
      <c r="J1960" s="6" t="s">
        <v>38910</v>
      </c>
      <c r="K1960" s="1" t="s">
        <v>38905</v>
      </c>
      <c r="L1960" s="1" t="s">
        <v>38911</v>
      </c>
      <c r="M1960" s="1" t="s">
        <v>38912</v>
      </c>
      <c r="N1960" s="6" t="s">
        <v>132</v>
      </c>
      <c r="O1960" s="6" t="s">
        <v>38913</v>
      </c>
      <c r="P1960" s="1" t="s">
        <v>38914</v>
      </c>
      <c r="Q1960" s="1" t="s">
        <v>38915</v>
      </c>
      <c r="R1960" s="1" t="s">
        <v>38905</v>
      </c>
      <c r="S1960" s="10" t="s">
        <v>38916</v>
      </c>
      <c r="T1960" s="1" t="s">
        <v>38917</v>
      </c>
      <c r="U1960" s="1" t="s">
        <v>38918</v>
      </c>
      <c r="V1960" s="1" t="s">
        <v>38919</v>
      </c>
      <c r="W1960" s="1" t="s">
        <v>38905</v>
      </c>
      <c r="X1960" s="1" t="s">
        <v>38920</v>
      </c>
      <c r="Y1960" s="1" t="s">
        <v>38921</v>
      </c>
      <c r="Z1960" s="1" t="s">
        <v>38922</v>
      </c>
      <c r="AA1960" s="7" t="str">
        <f>IFERROR(__xludf.DUMMYFUNCTION("GOOGLETRANSLATE(C1960, ""en"", ""ro"")"),"Media în mișcare - exponențială")</f>
        <v>Media în mișcare - exponențială</v>
      </c>
      <c r="AB1960" s="1" t="s">
        <v>23752</v>
      </c>
      <c r="AC1960" s="1" t="s">
        <v>38923</v>
      </c>
      <c r="AD1960" s="6" t="s">
        <v>38924</v>
      </c>
      <c r="AE1960" s="1" t="s">
        <v>38905</v>
      </c>
      <c r="AF1960" s="1" t="s">
        <v>38925</v>
      </c>
      <c r="AG1960" s="6" t="s">
        <v>38926</v>
      </c>
      <c r="AH1960" s="1" t="s">
        <v>38927</v>
      </c>
      <c r="AI1960" s="6" t="s">
        <v>132</v>
      </c>
      <c r="AJ1960" s="6" t="s">
        <v>38928</v>
      </c>
      <c r="AK1960" s="1" t="s">
        <v>38929</v>
      </c>
      <c r="AL1960" s="6" t="s">
        <v>38930</v>
      </c>
    </row>
    <row r="1961" ht="15.75" customHeight="1">
      <c r="A1961" s="1" t="s">
        <v>127</v>
      </c>
      <c r="B1961" s="1" t="s">
        <v>38931</v>
      </c>
      <c r="C1961" s="12" t="s">
        <v>132</v>
      </c>
      <c r="D1961" s="7" t="str">
        <f>IFERROR(__xludf.DUMMYFUNCTION("GOOGLETRANSLATE(C1961, ""en"", ""ar"")"),"#VALUE!")</f>
        <v>#VALUE!</v>
      </c>
      <c r="E1961" s="1" t="s">
        <v>38932</v>
      </c>
      <c r="F1961" s="6" t="s">
        <v>132</v>
      </c>
      <c r="G1961" s="1" t="s">
        <v>38933</v>
      </c>
      <c r="H1961" s="1" t="s">
        <v>38934</v>
      </c>
      <c r="I1961" s="7" t="str">
        <f>IFERROR(__xludf.DUMMYFUNCTION("GOOGLETRANSLATE(C1961, ""en"", ""de"")"),"#VALUE!")</f>
        <v>#VALUE!</v>
      </c>
      <c r="J1961" s="6" t="s">
        <v>38935</v>
      </c>
      <c r="K1961" s="7" t="str">
        <f>IFERROR(__xludf.DUMMYFUNCTION("GOOGLETRANSLATE(C1961, ""en"", ""es"")"),"#VALUE!")</f>
        <v>#VALUE!</v>
      </c>
      <c r="L1961" s="1" t="s">
        <v>38936</v>
      </c>
      <c r="M1961" s="7" t="str">
        <f>IFERROR(__xludf.DUMMYFUNCTION("GOOGLETRANSLATE(C1961, ""en"", ""fr"")"),"#VALUE!")</f>
        <v>#VALUE!</v>
      </c>
      <c r="N1961" s="6" t="s">
        <v>132</v>
      </c>
      <c r="O1961" s="6" t="s">
        <v>132</v>
      </c>
      <c r="P1961" s="7" t="str">
        <f>IFERROR(__xludf.DUMMYFUNCTION("GOOGLETRANSLATE(C1961, ""en"", ""hu"")"),"#VALUE!")</f>
        <v>#VALUE!</v>
      </c>
      <c r="Q1961" s="7" t="str">
        <f>IFERROR(__xludf.DUMMYFUNCTION("GOOGLETRANSLATE(C1961, ""en"", ""in"")"),"#VALUE!")</f>
        <v>#VALUE!</v>
      </c>
      <c r="R1961" s="7" t="str">
        <f>IFERROR(__xludf.DUMMYFUNCTION("GOOGLETRANSLATE(C1961, ""en"", ""it"")"),"#VALUE!")</f>
        <v>#VALUE!</v>
      </c>
      <c r="S1961" s="6" t="s">
        <v>132</v>
      </c>
      <c r="T1961" s="7" t="str">
        <f>IFERROR(__xludf.DUMMYFUNCTION("GOOGLETRANSLATE(C1961, ""en"", ""ja"")"),"#VALUE!")</f>
        <v>#VALUE!</v>
      </c>
      <c r="U1961" s="7" t="str">
        <f>IFERROR(__xludf.DUMMYFUNCTION("GOOGLETRANSLATE(C1961, ""en"", ""ko"")"),"#VALUE!")</f>
        <v>#VALUE!</v>
      </c>
      <c r="V1961" s="7" t="str">
        <f>IFERROR(__xludf.DUMMYFUNCTION("GOOGLETRANSLATE(C1961, ""en"", ""ms"")"),"#VALUE!")</f>
        <v>#VALUE!</v>
      </c>
      <c r="W1961" s="7" t="str">
        <f>IFERROR(__xludf.DUMMYFUNCTION("GOOGLETRANSLATE(C1961, ""en"", ""nl"")"),"#VALUE!")</f>
        <v>#VALUE!</v>
      </c>
      <c r="X1961" s="1" t="s">
        <v>38937</v>
      </c>
      <c r="Y1961" s="7" t="str">
        <f>IFERROR(__xludf.DUMMYFUNCTION("GOOGLETRANSLATE(C1961, ""en"", ""pl"")"),"#VALUE!")</f>
        <v>#VALUE!</v>
      </c>
      <c r="Z1961" s="7" t="str">
        <f>IFERROR(__xludf.DUMMYFUNCTION("GOOGLETRANSLATE(C1961, ""en"", ""pt"")"),"#VALUE!")</f>
        <v>#VALUE!</v>
      </c>
      <c r="AA1961" s="7" t="str">
        <f>IFERROR(__xludf.DUMMYFUNCTION("GOOGLETRANSLATE(C1961, ""en"", ""ro"")"),"#VALUE!")</f>
        <v>#VALUE!</v>
      </c>
      <c r="AB1961" s="7" t="str">
        <f>IFERROR(__xludf.DUMMYFUNCTION("GOOGLETRANSLATE(C1961, ""en"", ""ru"")"),"#VALUE!")</f>
        <v>#VALUE!</v>
      </c>
      <c r="AC1961" s="1" t="s">
        <v>38938</v>
      </c>
      <c r="AD1961" s="6" t="s">
        <v>38939</v>
      </c>
      <c r="AE1961" s="7" t="str">
        <f>IFERROR(__xludf.DUMMYFUNCTION("GOOGLETRANSLATE(C1961, ""en"", ""sr"")"),"#VALUE!")</f>
        <v>#VALUE!</v>
      </c>
      <c r="AF1961" s="7" t="str">
        <f>IFERROR(__xludf.DUMMYFUNCTION("GOOGLETRANSLATE(C1961, ""en"", ""sv"")"),"#VALUE!")</f>
        <v>#VALUE!</v>
      </c>
      <c r="AG1961" s="6" t="s">
        <v>132</v>
      </c>
      <c r="AH1961" s="7" t="str">
        <f>IFERROR(__xludf.DUMMYFUNCTION("GOOGLETRANSLATE(C1961, ""en"", ""tr"")"),"#VALUE!")</f>
        <v>#VALUE!</v>
      </c>
      <c r="AI1961" s="6" t="s">
        <v>132</v>
      </c>
      <c r="AJ1961" s="6" t="s">
        <v>132</v>
      </c>
      <c r="AK1961" s="7" t="str">
        <f>IFERROR(__xludf.DUMMYFUNCTION("GOOGLETRANSLATE(C1961, ""en"", ""zh"")"),"#VALUE!")</f>
        <v>#VALUE!</v>
      </c>
      <c r="AL1961" s="6" t="s">
        <v>132</v>
      </c>
    </row>
    <row r="1962" ht="15.75" hidden="1" customHeight="1">
      <c r="A1962" s="1" t="s">
        <v>38</v>
      </c>
      <c r="B1962" s="1" t="s">
        <v>38940</v>
      </c>
      <c r="C1962" s="1" t="s">
        <v>38941</v>
      </c>
      <c r="D1962" s="7" t="str">
        <f>IFERROR(__xludf.DUMMYFUNCTION("GOOGLETRANSLATE(C1962, ""en"", ""ar"")"),"التصدير التاريخ")</f>
        <v>التصدير التاريخ</v>
      </c>
      <c r="E1962" s="1" t="s">
        <v>37421</v>
      </c>
      <c r="F1962" s="6" t="s">
        <v>132</v>
      </c>
      <c r="G1962" s="7" t="str">
        <f>IFERROR(__xludf.DUMMYFUNCTION("GOOGLETRANSLATE(C1962, ""en"", ""cs"")"),"Historie Export.")</f>
        <v>Historie Export.</v>
      </c>
      <c r="H1962" s="7" t="str">
        <f>IFERROR(__xludf.DUMMYFUNCTION("GOOGLETRANSLATE(C1962, ""en"", ""da"")"),"Historie Eksport")</f>
        <v>Historie Eksport</v>
      </c>
      <c r="I1962" s="1" t="s">
        <v>38942</v>
      </c>
      <c r="J1962" s="6" t="s">
        <v>132</v>
      </c>
      <c r="K1962" s="1" t="s">
        <v>37424</v>
      </c>
      <c r="L1962" s="7" t="str">
        <f>IFERROR(__xludf.DUMMYFUNCTION("GOOGLETRANSLATE(C1962, ""en"", ""fi"")"),"Historia Vienti")</f>
        <v>Historia Vienti</v>
      </c>
      <c r="M1962" s="1" t="s">
        <v>38943</v>
      </c>
      <c r="N1962" s="6" t="s">
        <v>37424</v>
      </c>
      <c r="O1962" s="6" t="s">
        <v>132</v>
      </c>
      <c r="P1962" s="1" t="s">
        <v>38944</v>
      </c>
      <c r="Q1962" s="7" t="str">
        <f>IFERROR(__xludf.DUMMYFUNCTION("GOOGLETRANSLATE(C1962, ""en"", ""in"")"),"Ekspor Sejarah")</f>
        <v>Ekspor Sejarah</v>
      </c>
      <c r="R1962" s="1" t="s">
        <v>38945</v>
      </c>
      <c r="S1962" s="6" t="s">
        <v>132</v>
      </c>
      <c r="T1962" s="7" t="str">
        <f>IFERROR(__xludf.DUMMYFUNCTION("GOOGLETRANSLATE(C1962, ""en"", ""ja"")"),"歴史輸出")</f>
        <v>歴史輸出</v>
      </c>
      <c r="U1962" s="7" t="str">
        <f>IFERROR(__xludf.DUMMYFUNCTION("GOOGLETRANSLATE(C1962, ""en"", ""ko"")"),"역사 수출")</f>
        <v>역사 수출</v>
      </c>
      <c r="V1962" s="7" t="str">
        <f>IFERROR(__xludf.DUMMYFUNCTION("GOOGLETRANSLATE(C1962, ""en"", ""ms"")"),"Eksport Sejarah")</f>
        <v>Eksport Sejarah</v>
      </c>
      <c r="W1962" s="1" t="s">
        <v>37430</v>
      </c>
      <c r="X1962" s="7" t="str">
        <f>IFERROR(__xludf.DUMMYFUNCTION("GOOGLETRANSLATE(C1962, ""en"", ""no"")"),"Historikkeksport")</f>
        <v>Historikkeksport</v>
      </c>
      <c r="Y1962" s="1" t="s">
        <v>38946</v>
      </c>
      <c r="Z1962" s="7" t="str">
        <f>IFERROR(__xludf.DUMMYFUNCTION("GOOGLETRANSLATE(C1962, ""en"", ""pt"")"),"História Export")</f>
        <v>História Export</v>
      </c>
      <c r="AA1962" s="7" t="str">
        <f>IFERROR(__xludf.DUMMYFUNCTION("GOOGLETRANSLATE(C1962, ""en"", ""ro"")"),"Export de istorie")</f>
        <v>Export de istorie</v>
      </c>
      <c r="AB1962" s="7" t="str">
        <f>IFERROR(__xludf.DUMMYFUNCTION("GOOGLETRANSLATE(C1962, ""en"", ""ru"")"),"История экспортирует")</f>
        <v>История экспортирует</v>
      </c>
      <c r="AC1962" s="7" t="str">
        <f>IFERROR(__xludf.DUMMYFUNCTION("GOOGLETRANSLATE(C1962, ""en"", ""sk"")"),"Vývoz histórie")</f>
        <v>Vývoz histórie</v>
      </c>
      <c r="AD1962" s="6" t="s">
        <v>132</v>
      </c>
      <c r="AE1962" s="7" t="str">
        <f>IFERROR(__xludf.DUMMYFUNCTION("GOOGLETRANSLATE(C1962, ""en"", ""sr"")"),"Извоз историје")</f>
        <v>Извоз историје</v>
      </c>
      <c r="AF1962" s="7" t="str">
        <f>IFERROR(__xludf.DUMMYFUNCTION("GOOGLETRANSLATE(C1962, ""en"", ""sv"")"),"Historia export")</f>
        <v>Historia export</v>
      </c>
      <c r="AG1962" s="6" t="s">
        <v>132</v>
      </c>
      <c r="AH1962" s="7" t="str">
        <f>IFERROR(__xludf.DUMMYFUNCTION("GOOGLETRANSLATE(C1962, ""en"", ""tr"")"),"Tarih İhracatı")</f>
        <v>Tarih İhracatı</v>
      </c>
      <c r="AI1962" s="6" t="s">
        <v>132</v>
      </c>
      <c r="AJ1962" s="6" t="s">
        <v>132</v>
      </c>
      <c r="AK1962" s="7" t="str">
        <f>IFERROR(__xludf.DUMMYFUNCTION("GOOGLETRANSLATE(C1962, ""en"", ""zh"")"),"历史出口")</f>
        <v>历史出口</v>
      </c>
      <c r="AL1962" s="6" t="s">
        <v>132</v>
      </c>
    </row>
    <row r="1963" ht="15.75" customHeight="1">
      <c r="A1963" s="1" t="s">
        <v>127</v>
      </c>
      <c r="B1963" s="1" t="s">
        <v>38947</v>
      </c>
      <c r="C1963" s="1" t="s">
        <v>38948</v>
      </c>
      <c r="D1963" s="8" t="s">
        <v>38949</v>
      </c>
      <c r="E1963" s="1" t="s">
        <v>38950</v>
      </c>
      <c r="F1963" s="6" t="s">
        <v>132</v>
      </c>
      <c r="G1963" s="1" t="s">
        <v>38951</v>
      </c>
      <c r="H1963" s="1" t="s">
        <v>38952</v>
      </c>
      <c r="I1963" s="1" t="s">
        <v>38953</v>
      </c>
      <c r="J1963" s="6" t="s">
        <v>38954</v>
      </c>
      <c r="K1963" s="1" t="s">
        <v>38955</v>
      </c>
      <c r="L1963" s="1" t="s">
        <v>38956</v>
      </c>
      <c r="M1963" s="1" t="s">
        <v>38957</v>
      </c>
      <c r="N1963" s="6" t="s">
        <v>132</v>
      </c>
      <c r="O1963" s="6" t="s">
        <v>38958</v>
      </c>
      <c r="P1963" s="1" t="s">
        <v>38959</v>
      </c>
      <c r="Q1963" s="1" t="s">
        <v>38960</v>
      </c>
      <c r="R1963" s="1" t="s">
        <v>38961</v>
      </c>
      <c r="S1963" s="10" t="s">
        <v>38962</v>
      </c>
      <c r="T1963" s="1" t="s">
        <v>21320</v>
      </c>
      <c r="U1963" s="1" t="s">
        <v>38963</v>
      </c>
      <c r="V1963" s="1" t="s">
        <v>38964</v>
      </c>
      <c r="W1963" s="1" t="s">
        <v>38965</v>
      </c>
      <c r="X1963" s="1" t="s">
        <v>38966</v>
      </c>
      <c r="Y1963" s="1" t="s">
        <v>38967</v>
      </c>
      <c r="Z1963" s="1" t="s">
        <v>38968</v>
      </c>
      <c r="AA1963" s="7" t="str">
        <f>IFERROR(__xludf.DUMMYFUNCTION("GOOGLETRANSLATE(C1963, ""en"", ""ro"")"),"Eliberați-vă pentru a reîmprospăta ...")</f>
        <v>Eliberați-vă pentru a reîmprospăta ...</v>
      </c>
      <c r="AB1963" s="1" t="s">
        <v>38969</v>
      </c>
      <c r="AC1963" s="1" t="s">
        <v>38970</v>
      </c>
      <c r="AD1963" s="6" t="s">
        <v>38971</v>
      </c>
      <c r="AE1963" s="1" t="s">
        <v>38972</v>
      </c>
      <c r="AF1963" s="1" t="s">
        <v>38973</v>
      </c>
      <c r="AG1963" s="6" t="s">
        <v>38974</v>
      </c>
      <c r="AH1963" s="1" t="s">
        <v>38975</v>
      </c>
      <c r="AI1963" s="6" t="s">
        <v>132</v>
      </c>
      <c r="AJ1963" s="6" t="s">
        <v>38976</v>
      </c>
      <c r="AK1963" s="1" t="s">
        <v>1583</v>
      </c>
      <c r="AL1963" s="6" t="s">
        <v>1599</v>
      </c>
    </row>
    <row r="1964" ht="15.75" hidden="1" customHeight="1">
      <c r="A1964" s="1" t="s">
        <v>38</v>
      </c>
      <c r="B1964" s="1" t="s">
        <v>38977</v>
      </c>
      <c r="C1964" s="1" t="s">
        <v>38978</v>
      </c>
      <c r="D1964" s="8" t="s">
        <v>38979</v>
      </c>
      <c r="E1964" s="1" t="s">
        <v>38980</v>
      </c>
      <c r="F1964" s="6" t="s">
        <v>38981</v>
      </c>
      <c r="G1964" s="7" t="str">
        <f>IFERROR(__xludf.DUMMYFUNCTION("GOOGLETRANSLATE(C1964, ""en"", ""cs"")"),"Vyberte paletu barev")</f>
        <v>Vyberte paletu barev</v>
      </c>
      <c r="H1964" s="7" t="str">
        <f>IFERROR(__xludf.DUMMYFUNCTION("GOOGLETRANSLATE(C1964, ""en"", ""da"")"),"Vælg farvepaletten")</f>
        <v>Vælg farvepaletten</v>
      </c>
      <c r="I1964" s="1" t="s">
        <v>38982</v>
      </c>
      <c r="J1964" s="6" t="s">
        <v>132</v>
      </c>
      <c r="K1964" s="1" t="s">
        <v>38983</v>
      </c>
      <c r="L1964" s="7" t="str">
        <f>IFERROR(__xludf.DUMMYFUNCTION("GOOGLETRANSLATE(C1964, ""en"", ""fi"")"),"Valitse väripaletti")</f>
        <v>Valitse väripaletti</v>
      </c>
      <c r="M1964" s="1" t="s">
        <v>38984</v>
      </c>
      <c r="N1964" s="6" t="s">
        <v>38985</v>
      </c>
      <c r="O1964" s="6" t="s">
        <v>132</v>
      </c>
      <c r="P1964" s="1" t="s">
        <v>38986</v>
      </c>
      <c r="Q1964" s="7" t="str">
        <f>IFERROR(__xludf.DUMMYFUNCTION("GOOGLETRANSLATE(C1964, ""en"", ""in"")"),"Pilih palet warna")</f>
        <v>Pilih palet warna</v>
      </c>
      <c r="R1964" s="1" t="s">
        <v>38987</v>
      </c>
      <c r="S1964" s="6" t="s">
        <v>132</v>
      </c>
      <c r="T1964" s="1" t="s">
        <v>38988</v>
      </c>
      <c r="U1964" s="1" t="s">
        <v>38989</v>
      </c>
      <c r="V1964" s="7" t="str">
        <f>IFERROR(__xludf.DUMMYFUNCTION("GOOGLETRANSLATE(C1964, ""en"", ""ms"")"),"Pilih palet warna")</f>
        <v>Pilih palet warna</v>
      </c>
      <c r="W1964" s="1" t="s">
        <v>38990</v>
      </c>
      <c r="X1964" s="7" t="str">
        <f>IFERROR(__xludf.DUMMYFUNCTION("GOOGLETRANSLATE(C1964, ""en"", ""no"")"),"Velg fargepaletten")</f>
        <v>Velg fargepaletten</v>
      </c>
      <c r="Y1964" s="1" t="s">
        <v>38991</v>
      </c>
      <c r="Z1964" s="1" t="s">
        <v>38992</v>
      </c>
      <c r="AA1964" s="7" t="str">
        <f>IFERROR(__xludf.DUMMYFUNCTION("GOOGLETRANSLATE(C1964, ""en"", ""ro"")"),"Selectați paleta de culori")</f>
        <v>Selectați paleta de culori</v>
      </c>
      <c r="AB1964" s="1" t="s">
        <v>38993</v>
      </c>
      <c r="AC1964" s="7" t="str">
        <f>IFERROR(__xludf.DUMMYFUNCTION("GOOGLETRANSLATE(C1964, ""en"", ""sk"")"),"Vyberte paletu farieb")</f>
        <v>Vyberte paletu farieb</v>
      </c>
      <c r="AD1964" s="6" t="s">
        <v>132</v>
      </c>
      <c r="AE1964" s="1" t="s">
        <v>38994</v>
      </c>
      <c r="AF1964" s="1" t="s">
        <v>38995</v>
      </c>
      <c r="AG1964" s="6" t="s">
        <v>132</v>
      </c>
      <c r="AH1964" s="7" t="str">
        <f>IFERROR(__xludf.DUMMYFUNCTION("GOOGLETRANSLATE(C1964, ""en"", ""tr"")"),"Renk paleti seçin")</f>
        <v>Renk paleti seçin</v>
      </c>
      <c r="AI1964" s="6" t="s">
        <v>38996</v>
      </c>
      <c r="AJ1964" s="6" t="s">
        <v>132</v>
      </c>
      <c r="AK1964" s="7" t="str">
        <f>IFERROR(__xludf.DUMMYFUNCTION("GOOGLETRANSLATE(C1964, ""en"", ""zh"")"),"选择颜色调色板")</f>
        <v>选择颜色调色板</v>
      </c>
      <c r="AL1964" s="6" t="s">
        <v>38997</v>
      </c>
    </row>
    <row r="1965" ht="15.75" hidden="1" customHeight="1">
      <c r="A1965" s="1" t="s">
        <v>38</v>
      </c>
      <c r="B1965" s="1" t="s">
        <v>38998</v>
      </c>
      <c r="C1965" s="1" t="s">
        <v>38999</v>
      </c>
      <c r="D1965" s="7" t="str">
        <f>IFERROR(__xludf.DUMMYFUNCTION("GOOGLETRANSLATE(C1965, ""en"", ""ar"")"),"غير قادر على إنشاء اتصال آمن.")</f>
        <v>غير قادر على إنشاء اتصال آمن.</v>
      </c>
      <c r="E1965" s="1" t="s">
        <v>39000</v>
      </c>
      <c r="F1965" s="6" t="s">
        <v>132</v>
      </c>
      <c r="G1965" s="7" t="str">
        <f>IFERROR(__xludf.DUMMYFUNCTION("GOOGLETRANSLATE(C1965, ""en"", ""cs"")"),"Nelze navázat zabezpečené připojení.")</f>
        <v>Nelze navázat zabezpečené připojení.</v>
      </c>
      <c r="H1965" s="7" t="str">
        <f>IFERROR(__xludf.DUMMYFUNCTION("GOOGLETRANSLATE(C1965, ""en"", ""da"")"),"Kan ikke etablere sikker forbindelse.")</f>
        <v>Kan ikke etablere sikker forbindelse.</v>
      </c>
      <c r="I1965" s="1" t="s">
        <v>39001</v>
      </c>
      <c r="J1965" s="6" t="s">
        <v>132</v>
      </c>
      <c r="K1965" s="1" t="s">
        <v>39002</v>
      </c>
      <c r="L1965" s="7" t="str">
        <f>IFERROR(__xludf.DUMMYFUNCTION("GOOGLETRANSLATE(C1965, ""en"", ""fi"")"),"Turvallista yhteyttä ei voi luoda.")</f>
        <v>Turvallista yhteyttä ei voi luoda.</v>
      </c>
      <c r="M1965" s="13" t="s">
        <v>39003</v>
      </c>
      <c r="N1965" s="6" t="s">
        <v>39004</v>
      </c>
      <c r="O1965" s="6" t="s">
        <v>132</v>
      </c>
      <c r="P1965" s="1" t="s">
        <v>39005</v>
      </c>
      <c r="Q1965" s="7" t="str">
        <f>IFERROR(__xludf.DUMMYFUNCTION("GOOGLETRANSLATE(C1965, ""en"", ""in"")"),"Tidak dapat membuat koneksi aman.")</f>
        <v>Tidak dapat membuat koneksi aman.</v>
      </c>
      <c r="R1965" s="1" t="s">
        <v>39006</v>
      </c>
      <c r="S1965" s="6" t="s">
        <v>132</v>
      </c>
      <c r="T1965" s="7" t="str">
        <f>IFERROR(__xludf.DUMMYFUNCTION("GOOGLETRANSLATE(C1965, ""en"", ""ja"")"),"安全な接続を確立できません。")</f>
        <v>安全な接続を確立できません。</v>
      </c>
      <c r="U1965" s="7" t="str">
        <f>IFERROR(__xludf.DUMMYFUNCTION("GOOGLETRANSLATE(C1965, ""en"", ""ko"")"),"보안 연결을 설정할 수 없습니다.")</f>
        <v>보안 연결을 설정할 수 없습니다.</v>
      </c>
      <c r="V1965" s="7" t="str">
        <f>IFERROR(__xludf.DUMMYFUNCTION("GOOGLETRANSLATE(C1965, ""en"", ""ms"")"),"Tidak dapat menubuhkan sambungan yang selamat.")</f>
        <v>Tidak dapat menubuhkan sambungan yang selamat.</v>
      </c>
      <c r="W1965" s="1" t="s">
        <v>39007</v>
      </c>
      <c r="X1965" s="7" t="str">
        <f>IFERROR(__xludf.DUMMYFUNCTION("GOOGLETRANSLATE(C1965, ""en"", ""no"")"),"Kan ikke etablere sikker tilkobling.")</f>
        <v>Kan ikke etablere sikker tilkobling.</v>
      </c>
      <c r="Y1965" s="1" t="s">
        <v>39008</v>
      </c>
      <c r="Z1965" s="7" t="str">
        <f>IFERROR(__xludf.DUMMYFUNCTION("GOOGLETRANSLATE(C1965, ""en"", ""pt"")"),"Não é possível estabelecer conexão segura.")</f>
        <v>Não é possível estabelecer conexão segura.</v>
      </c>
      <c r="AA1965" s="7" t="str">
        <f>IFERROR(__xludf.DUMMYFUNCTION("GOOGLETRANSLATE(C1965, ""en"", ""ro"")"),"Imposibil de stabilit conexiune securizată.")</f>
        <v>Imposibil de stabilit conexiune securizată.</v>
      </c>
      <c r="AB1965" s="7" t="str">
        <f>IFERROR(__xludf.DUMMYFUNCTION("GOOGLETRANSLATE(C1965, ""en"", ""ru"")"),"Невозможно установить безопасное соединение.")</f>
        <v>Невозможно установить безопасное соединение.</v>
      </c>
      <c r="AC1965" s="7" t="str">
        <f>IFERROR(__xludf.DUMMYFUNCTION("GOOGLETRANSLATE(C1965, ""en"", ""sk"")"),"Nie je možné vytvoriť bezpečné pripojenie.")</f>
        <v>Nie je možné vytvoriť bezpečné pripojenie.</v>
      </c>
      <c r="AD1965" s="6" t="s">
        <v>132</v>
      </c>
      <c r="AE1965" s="7" t="str">
        <f>IFERROR(__xludf.DUMMYFUNCTION("GOOGLETRANSLATE(C1965, ""en"", ""sr"")"),"Није могуће успоставити сигурну везу.")</f>
        <v>Није могуће успоставити сигурну везу.</v>
      </c>
      <c r="AF1965" s="7" t="str">
        <f>IFERROR(__xludf.DUMMYFUNCTION("GOOGLETRANSLATE(C1965, ""en"", ""sv"")"),"Det gick inte att upprätta säker anslutning.")</f>
        <v>Det gick inte att upprätta säker anslutning.</v>
      </c>
      <c r="AG1965" s="6" t="s">
        <v>132</v>
      </c>
      <c r="AH1965" s="7" t="str">
        <f>IFERROR(__xludf.DUMMYFUNCTION("GOOGLETRANSLATE(C1965, ""en"", ""tr"")"),"Güvenli bağlantı kurulamıyor.")</f>
        <v>Güvenli bağlantı kurulamıyor.</v>
      </c>
      <c r="AI1965" s="6" t="s">
        <v>132</v>
      </c>
      <c r="AJ1965" s="6" t="s">
        <v>132</v>
      </c>
      <c r="AK1965" s="7" t="str">
        <f>IFERROR(__xludf.DUMMYFUNCTION("GOOGLETRANSLATE(C1965, ""en"", ""zh"")"),"无法建立安全连接。")</f>
        <v>无法建立安全连接。</v>
      </c>
      <c r="AL1965" s="6" t="s">
        <v>132</v>
      </c>
    </row>
    <row r="1966" ht="15.75" customHeight="1">
      <c r="A1966" s="1" t="s">
        <v>127</v>
      </c>
      <c r="B1966" s="1" t="s">
        <v>39009</v>
      </c>
      <c r="C1966" s="1" t="s">
        <v>39010</v>
      </c>
      <c r="D1966" s="8" t="s">
        <v>39011</v>
      </c>
      <c r="E1966" s="1" t="s">
        <v>39012</v>
      </c>
      <c r="F1966" s="6" t="s">
        <v>132</v>
      </c>
      <c r="G1966" s="1" t="s">
        <v>39013</v>
      </c>
      <c r="H1966" s="1" t="s">
        <v>39014</v>
      </c>
      <c r="I1966" s="1" t="s">
        <v>39015</v>
      </c>
      <c r="J1966" s="6" t="s">
        <v>39016</v>
      </c>
      <c r="K1966" s="1" t="s">
        <v>39017</v>
      </c>
      <c r="L1966" s="1" t="s">
        <v>39018</v>
      </c>
      <c r="M1966" s="1" t="s">
        <v>39019</v>
      </c>
      <c r="N1966" s="6" t="s">
        <v>132</v>
      </c>
      <c r="O1966" s="6" t="s">
        <v>39020</v>
      </c>
      <c r="P1966" s="1" t="s">
        <v>39021</v>
      </c>
      <c r="Q1966" s="1" t="s">
        <v>39022</v>
      </c>
      <c r="R1966" s="1" t="s">
        <v>39023</v>
      </c>
      <c r="S1966" s="10" t="s">
        <v>39024</v>
      </c>
      <c r="T1966" s="1" t="s">
        <v>39025</v>
      </c>
      <c r="U1966" s="1" t="s">
        <v>39026</v>
      </c>
      <c r="V1966" s="1" t="s">
        <v>39027</v>
      </c>
      <c r="W1966" s="1" t="s">
        <v>39028</v>
      </c>
      <c r="X1966" s="1" t="s">
        <v>39029</v>
      </c>
      <c r="Y1966" s="1" t="s">
        <v>39030</v>
      </c>
      <c r="Z1966" s="1" t="s">
        <v>39031</v>
      </c>
      <c r="AA1966" s="7" t="str">
        <f>IFERROR(__xludf.DUMMYFUNCTION("GOOGLETRANSLATE(C1966, ""en"", ""ro"")"),"Creați un cont acum și beneficiați de mai multe caracteristici, cum ar fi sincronizarea și salvarea listelor de vizionări și portofolii, alarmele de e-mail și multe altele.")</f>
        <v>Creați un cont acum și beneficiați de mai multe caracteristici, cum ar fi sincronizarea și salvarea listelor de vizionări și portofolii, alarmele de e-mail și multe altele.</v>
      </c>
      <c r="AB1966" s="1" t="s">
        <v>39032</v>
      </c>
      <c r="AC1966" s="1" t="s">
        <v>39033</v>
      </c>
      <c r="AD1966" s="6" t="s">
        <v>39034</v>
      </c>
      <c r="AE1966" s="1" t="s">
        <v>39035</v>
      </c>
      <c r="AF1966" s="1" t="s">
        <v>39036</v>
      </c>
      <c r="AG1966" s="6" t="s">
        <v>39037</v>
      </c>
      <c r="AH1966" s="1" t="s">
        <v>39038</v>
      </c>
      <c r="AI1966" s="6" t="s">
        <v>132</v>
      </c>
      <c r="AJ1966" s="6" t="s">
        <v>39039</v>
      </c>
      <c r="AK1966" s="1" t="s">
        <v>39040</v>
      </c>
      <c r="AL1966" s="6" t="s">
        <v>39041</v>
      </c>
    </row>
    <row r="1967" ht="15.75" hidden="1" customHeight="1">
      <c r="A1967" s="1" t="s">
        <v>38</v>
      </c>
      <c r="B1967" s="1" t="s">
        <v>39042</v>
      </c>
      <c r="C1967" s="1" t="s">
        <v>39043</v>
      </c>
      <c r="D1967" s="7" t="str">
        <f>IFERROR(__xludf.DUMMYFUNCTION("GOOGLETRANSLATE(C1967, ""en"", ""ar"")"),"تفضيلات أرشفة جانب الخادم")</f>
        <v>تفضيلات أرشفة جانب الخادم</v>
      </c>
      <c r="E1967" s="1" t="s">
        <v>39044</v>
      </c>
      <c r="F1967" s="6" t="s">
        <v>39045</v>
      </c>
      <c r="G1967" s="7" t="str">
        <f>IFERROR(__xludf.DUMMYFUNCTION("GOOGLETRANSLATE(C1967, ""en"", ""cs"")"),"Předvolby archivace na straně serveru")</f>
        <v>Předvolby archivace na straně serveru</v>
      </c>
      <c r="H1967" s="7" t="str">
        <f>IFERROR(__xludf.DUMMYFUNCTION("GOOGLETRANSLATE(C1967, ""en"", ""da"")"),"Server-side arkivering præferencer")</f>
        <v>Server-side arkivering præferencer</v>
      </c>
      <c r="I1967" s="1" t="s">
        <v>39046</v>
      </c>
      <c r="J1967" s="6" t="s">
        <v>132</v>
      </c>
      <c r="K1967" s="1" t="s">
        <v>39047</v>
      </c>
      <c r="L1967" s="7" t="str">
        <f>IFERROR(__xludf.DUMMYFUNCTION("GOOGLETRANSLATE(C1967, ""en"", ""fi"")"),"Palvelinpuoliset arkistointiasetukset")</f>
        <v>Palvelinpuoliset arkistointiasetukset</v>
      </c>
      <c r="M1967" s="1" t="s">
        <v>39048</v>
      </c>
      <c r="N1967" s="6" t="s">
        <v>39049</v>
      </c>
      <c r="O1967" s="6" t="s">
        <v>132</v>
      </c>
      <c r="P1967" s="1" t="s">
        <v>39050</v>
      </c>
      <c r="Q1967" s="7" t="str">
        <f>IFERROR(__xludf.DUMMYFUNCTION("GOOGLETRANSLATE(C1967, ""en"", ""in"")"),"Preferensi pengarsipan sisi server")</f>
        <v>Preferensi pengarsipan sisi server</v>
      </c>
      <c r="R1967" s="1" t="s">
        <v>39051</v>
      </c>
      <c r="S1967" s="6" t="s">
        <v>132</v>
      </c>
      <c r="T1967" s="1" t="s">
        <v>39052</v>
      </c>
      <c r="U1967" s="1" t="s">
        <v>39053</v>
      </c>
      <c r="V1967" s="7" t="str">
        <f>IFERROR(__xludf.DUMMYFUNCTION("GOOGLETRANSLATE(C1967, ""en"", ""ms"")"),"Keutamaan pengarkiban sisi pelayan")</f>
        <v>Keutamaan pengarkiban sisi pelayan</v>
      </c>
      <c r="W1967" s="1" t="s">
        <v>39054</v>
      </c>
      <c r="X1967" s="7" t="str">
        <f>IFERROR(__xludf.DUMMYFUNCTION("GOOGLETRANSLATE(C1967, ""en"", ""no"")"),"Server-side arkiveringsinnstillinger")</f>
        <v>Server-side arkiveringsinnstillinger</v>
      </c>
      <c r="Y1967" s="1" t="s">
        <v>39055</v>
      </c>
      <c r="Z1967" s="1" t="s">
        <v>39056</v>
      </c>
      <c r="AA1967" s="7" t="str">
        <f>IFERROR(__xludf.DUMMYFUNCTION("GOOGLETRANSLATE(C1967, ""en"", ""ro"")"),"Server-lateral de arhivare preferințe")</f>
        <v>Server-lateral de arhivare preferințe</v>
      </c>
      <c r="AB1967" s="1" t="s">
        <v>39057</v>
      </c>
      <c r="AC1967" s="7" t="str">
        <f>IFERROR(__xludf.DUMMYFUNCTION("GOOGLETRANSLATE(C1967, ""en"", ""sk"")"),"Predvoľby archivácie na strane servera")</f>
        <v>Predvoľby archivácie na strane servera</v>
      </c>
      <c r="AD1967" s="6" t="s">
        <v>132</v>
      </c>
      <c r="AE1967" s="1" t="s">
        <v>39058</v>
      </c>
      <c r="AF1967" s="1" t="s">
        <v>39059</v>
      </c>
      <c r="AG1967" s="6" t="s">
        <v>132</v>
      </c>
      <c r="AH1967" s="7" t="str">
        <f>IFERROR(__xludf.DUMMYFUNCTION("GOOGLETRANSLATE(C1967, ""en"", ""tr"")"),"Sunucu tarafı arşivleme tercihleri")</f>
        <v>Sunucu tarafı arşivleme tercihleri</v>
      </c>
      <c r="AI1967" s="6" t="s">
        <v>39060</v>
      </c>
      <c r="AJ1967" s="6" t="s">
        <v>132</v>
      </c>
      <c r="AK1967" s="7" t="str">
        <f>IFERROR(__xludf.DUMMYFUNCTION("GOOGLETRANSLATE(C1967, ""en"", ""zh"")"),"服务器端归档首选项")</f>
        <v>服务器端归档首选项</v>
      </c>
      <c r="AL1967" s="6" t="s">
        <v>39061</v>
      </c>
    </row>
    <row r="1968" ht="15.75" hidden="1" customHeight="1">
      <c r="A1968" s="1" t="s">
        <v>38</v>
      </c>
      <c r="B1968" s="1" t="s">
        <v>39062</v>
      </c>
      <c r="C1968" s="1" t="s">
        <v>39063</v>
      </c>
      <c r="D1968" s="8" t="s">
        <v>39064</v>
      </c>
      <c r="E1968" s="1" t="s">
        <v>39065</v>
      </c>
      <c r="F1968" s="6" t="s">
        <v>39066</v>
      </c>
      <c r="G1968" s="7" t="str">
        <f>IFERROR(__xludf.DUMMYFUNCTION("GOOGLETRANSLATE(C1968, ""en"", ""cs"")"),"Byl jste vyhozen z této skupinové chatu")</f>
        <v>Byl jste vyhozen z této skupinové chatu</v>
      </c>
      <c r="H1968" s="7" t="str">
        <f>IFERROR(__xludf.DUMMYFUNCTION("GOOGLETRANSLATE(C1968, ""en"", ""da"")"),"Du er blevet sparket fra denne gruppe chat")</f>
        <v>Du er blevet sparket fra denne gruppe chat</v>
      </c>
      <c r="I1968" s="1" t="s">
        <v>39067</v>
      </c>
      <c r="J1968" s="6" t="s">
        <v>132</v>
      </c>
      <c r="K1968" s="1" t="s">
        <v>39068</v>
      </c>
      <c r="L1968" s="7" t="str">
        <f>IFERROR(__xludf.DUMMYFUNCTION("GOOGLETRANSLATE(C1968, ""en"", ""fi"")"),"Olet potkinut tästä ryhmän chat")</f>
        <v>Olet potkinut tästä ryhmän chat</v>
      </c>
      <c r="M1968" s="1" t="s">
        <v>39069</v>
      </c>
      <c r="N1968" s="6" t="s">
        <v>39070</v>
      </c>
      <c r="O1968" s="6" t="s">
        <v>132</v>
      </c>
      <c r="P1968" s="1" t="s">
        <v>39071</v>
      </c>
      <c r="Q1968" s="7" t="str">
        <f>IFERROR(__xludf.DUMMYFUNCTION("GOOGLETRANSLATE(C1968, ""en"", ""in"")"),"Anda telah ditendang dari obrolan grup ini")</f>
        <v>Anda telah ditendang dari obrolan grup ini</v>
      </c>
      <c r="R1968" s="1" t="s">
        <v>39072</v>
      </c>
      <c r="S1968" s="6" t="s">
        <v>132</v>
      </c>
      <c r="T1968" s="1" t="s">
        <v>39073</v>
      </c>
      <c r="U1968" s="7" t="str">
        <f>IFERROR(__xludf.DUMMYFUNCTION("GOOGLETRANSLATE(C1968, ""en"", ""ko"")"),"이 그룹 채팅에서 쫓겨났습니다")</f>
        <v>이 그룹 채팅에서 쫓겨났습니다</v>
      </c>
      <c r="V1968" s="7" t="str">
        <f>IFERROR(__xludf.DUMMYFUNCTION("GOOGLETRANSLATE(C1968, ""en"", ""ms"")"),"Anda telah ditendang dari sembang kumpulan ini")</f>
        <v>Anda telah ditendang dari sembang kumpulan ini</v>
      </c>
      <c r="W1968" s="1" t="s">
        <v>39074</v>
      </c>
      <c r="X1968" s="7" t="str">
        <f>IFERROR(__xludf.DUMMYFUNCTION("GOOGLETRANSLATE(C1968, ""en"", ""no"")"),"Du har blitt sparket fra denne gruppen chat")</f>
        <v>Du har blitt sparket fra denne gruppen chat</v>
      </c>
      <c r="Y1968" s="1" t="s">
        <v>39075</v>
      </c>
      <c r="Z1968" s="7" t="str">
        <f>IFERROR(__xludf.DUMMYFUNCTION("GOOGLETRANSLATE(C1968, ""en"", ""pt"")"),"Você foi chutado a partir deste grupo de bate-papo")</f>
        <v>Você foi chutado a partir deste grupo de bate-papo</v>
      </c>
      <c r="AA1968" s="7" t="str">
        <f>IFERROR(__xludf.DUMMYFUNCTION("GOOGLETRANSLATE(C1968, ""en"", ""ro"")"),"Ați fost lovit de acest grup de chat")</f>
        <v>Ați fost lovit de acest grup de chat</v>
      </c>
      <c r="AB1968" s="1" t="s">
        <v>39076</v>
      </c>
      <c r="AC1968" s="7" t="str">
        <f>IFERROR(__xludf.DUMMYFUNCTION("GOOGLETRANSLATE(C1968, ""en"", ""sk"")"),"Boli ste kopol z tejto skupiny")</f>
        <v>Boli ste kopol z tejto skupiny</v>
      </c>
      <c r="AD1968" s="6" t="s">
        <v>132</v>
      </c>
      <c r="AE1968" s="1" t="s">
        <v>39077</v>
      </c>
      <c r="AF1968" s="7" t="str">
        <f>IFERROR(__xludf.DUMMYFUNCTION("GOOGLETRANSLATE(C1968, ""en"", ""sv"")"),"Du har sparkats från den här gruppen chatt")</f>
        <v>Du har sparkats från den här gruppen chatt</v>
      </c>
      <c r="AG1968" s="6" t="s">
        <v>132</v>
      </c>
      <c r="AH1968" s="7" t="str">
        <f>IFERROR(__xludf.DUMMYFUNCTION("GOOGLETRANSLATE(C1968, ""en"", ""tr"")"),"Bu grup sohbetinden tekmeledi")</f>
        <v>Bu grup sohbetinden tekmeledi</v>
      </c>
      <c r="AI1968" s="6" t="s">
        <v>132</v>
      </c>
      <c r="AJ1968" s="6" t="s">
        <v>132</v>
      </c>
      <c r="AK1968" s="7" t="str">
        <f>IFERROR(__xludf.DUMMYFUNCTION("GOOGLETRANSLATE(C1968, ""en"", ""zh"")"),"从这个群组聊天踢了你")</f>
        <v>从这个群组聊天踢了你</v>
      </c>
      <c r="AL1968" s="6" t="s">
        <v>132</v>
      </c>
    </row>
    <row r="1969" ht="15.75" hidden="1" customHeight="1">
      <c r="A1969" s="1" t="s">
        <v>38</v>
      </c>
      <c r="B1969" s="1" t="s">
        <v>39078</v>
      </c>
      <c r="C1969" s="1" t="s">
        <v>39079</v>
      </c>
      <c r="D1969" s="7" t="str">
        <f>IFERROR(__xludf.DUMMYFUNCTION("GOOGLETRANSLATE(C1969, ""en"", ""ar"")"),"بهاء نرحب بالدردشة النص الطويل.")</f>
        <v>بهاء نرحب بالدردشة النص الطويل.</v>
      </c>
      <c r="E1969" s="1" t="s">
        <v>39080</v>
      </c>
      <c r="F1969" s="6" t="s">
        <v>39081</v>
      </c>
      <c r="G1969" s="7" t="str">
        <f>IFERROR(__xludf.DUMMYFUNCTION("GOOGLETRANSLATE(C1969, ""en"", ""cs"")"),"Baha Úvodní chat dlouhý text.")</f>
        <v>Baha Úvodní chat dlouhý text.</v>
      </c>
      <c r="H1969" s="7" t="str">
        <f>IFERROR(__xludf.DUMMYFUNCTION("GOOGLETRANSLATE(C1969, ""en"", ""da"")"),"Baha Velkommen Chat Long Text.")</f>
        <v>Baha Velkommen Chat Long Text.</v>
      </c>
      <c r="I1969" s="1" t="s">
        <v>39082</v>
      </c>
      <c r="J1969" s="6" t="s">
        <v>132</v>
      </c>
      <c r="K1969" s="1" t="s">
        <v>39083</v>
      </c>
      <c r="L1969" s="7" t="str">
        <f>IFERROR(__xludf.DUMMYFUNCTION("GOOGLETRANSLATE(C1969, ""en"", ""fi"")"),"Baha Tervetuloa chat pitkä teksti.")</f>
        <v>Baha Tervetuloa chat pitkä teksti.</v>
      </c>
      <c r="M1969" s="1" t="s">
        <v>39084</v>
      </c>
      <c r="N1969" s="6" t="s">
        <v>39085</v>
      </c>
      <c r="O1969" s="6" t="s">
        <v>132</v>
      </c>
      <c r="P1969" s="1" t="s">
        <v>39086</v>
      </c>
      <c r="Q1969" s="7" t="str">
        <f>IFERROR(__xludf.DUMMYFUNCTION("GOOGLETRANSLATE(C1969, ""en"", ""in"")"),"Baha Selamat Datang Obrolan Teks Panjang.")</f>
        <v>Baha Selamat Datang Obrolan Teks Panjang.</v>
      </c>
      <c r="R1969" s="1" t="s">
        <v>39087</v>
      </c>
      <c r="S1969" s="6" t="s">
        <v>132</v>
      </c>
      <c r="T1969" s="7" t="str">
        <f>IFERROR(__xludf.DUMMYFUNCTION("GOOGLETRANSLATE(C1969, ""en"", ""ja"")"),"Bahaさてのチャットの長いテキスト。")</f>
        <v>Bahaさてのチャットの長いテキスト。</v>
      </c>
      <c r="U1969" s="7" t="str">
        <f>IFERROR(__xludf.DUMMYFUNCTION("GOOGLETRANSLATE(C1969, ""en"", ""ko"")"),"Baha는 긴 텍스트를 환영합니다.")</f>
        <v>Baha는 긴 텍스트를 환영합니다.</v>
      </c>
      <c r="V1969" s="7" t="str">
        <f>IFERROR(__xludf.DUMMYFUNCTION("GOOGLETRANSLATE(C1969, ""en"", ""ms"")"),"Baha Selamat Datang Chat Teks Long.")</f>
        <v>Baha Selamat Datang Chat Teks Long.</v>
      </c>
      <c r="W1969" s="1" t="s">
        <v>39088</v>
      </c>
      <c r="X1969" s="7" t="str">
        <f>IFERROR(__xludf.DUMMYFUNCTION("GOOGLETRANSLATE(C1969, ""en"", ""no"")"),"Baha velkommen chat lang tekst.")</f>
        <v>Baha velkommen chat lang tekst.</v>
      </c>
      <c r="Y1969" s="1" t="s">
        <v>39089</v>
      </c>
      <c r="Z1969" s="7" t="str">
        <f>IFERROR(__xludf.DUMMYFUNCTION("GOOGLETRANSLATE(C1969, ""en"", ""pt"")"),"Baha Bem-vindo bate-papo longo texto.")</f>
        <v>Baha Bem-vindo bate-papo longo texto.</v>
      </c>
      <c r="AA1969" s="7" t="str">
        <f>IFERROR(__xludf.DUMMYFUNCTION("GOOGLETRANSLATE(C1969, ""en"", ""ro"")"),"Baha Bine ați venit text lung.")</f>
        <v>Baha Bine ați venit text lung.</v>
      </c>
      <c r="AB1969" s="7" t="str">
        <f>IFERROR(__xludf.DUMMYFUNCTION("GOOGLETRANSLATE(C1969, ""en"", ""ru"")"),"Баха Добро пожаловать в чат длинный текст.")</f>
        <v>Баха Добро пожаловать в чат длинный текст.</v>
      </c>
      <c r="AC1969" s="7" t="str">
        <f>IFERROR(__xludf.DUMMYFUNCTION("GOOGLETRANSLATE(C1969, ""en"", ""sk"")"),"BahA Vitajte Chat Long Text.")</f>
        <v>BahA Vitajte Chat Long Text.</v>
      </c>
      <c r="AD1969" s="6" t="s">
        <v>132</v>
      </c>
      <c r="AE1969" s="7" t="str">
        <f>IFERROR(__xludf.DUMMYFUNCTION("GOOGLETRANSLATE(C1969, ""en"", ""sr"")"),"Баха добродошли ћаскање дуги текст.")</f>
        <v>Баха добродошли ћаскање дуги текст.</v>
      </c>
      <c r="AF1969" s="7" t="str">
        <f>IFERROR(__xludf.DUMMYFUNCTION("GOOGLETRANSLATE(C1969, ""en"", ""sv"")"),"Baha Welcome Chat Long Text.")</f>
        <v>Baha Welcome Chat Long Text.</v>
      </c>
      <c r="AG1969" s="6" t="s">
        <v>132</v>
      </c>
      <c r="AH1969" s="7" t="str">
        <f>IFERROR(__xludf.DUMMYFUNCTION("GOOGLETRANSLATE(C1969, ""en"", ""tr"")"),"Baha Hoşgeldiniz Sohbet Uzun Metin.")</f>
        <v>Baha Hoşgeldiniz Sohbet Uzun Metin.</v>
      </c>
      <c r="AI1969" s="6" t="s">
        <v>132</v>
      </c>
      <c r="AJ1969" s="6" t="s">
        <v>132</v>
      </c>
      <c r="AK1969" s="7" t="str">
        <f>IFERROR(__xludf.DUMMYFUNCTION("GOOGLETRANSLATE(C1969, ""en"", ""zh"")"),"巴哈欢迎聊天长篇文章。")</f>
        <v>巴哈欢迎聊天长篇文章。</v>
      </c>
      <c r="AL1969" s="6" t="s">
        <v>132</v>
      </c>
    </row>
    <row r="1970" ht="15.75" hidden="1" customHeight="1">
      <c r="A1970" s="1" t="s">
        <v>38</v>
      </c>
      <c r="B1970" s="1" t="s">
        <v>39090</v>
      </c>
      <c r="C1970" s="1" t="s">
        <v>39091</v>
      </c>
      <c r="D1970" s="7" t="str">
        <f>IFERROR(__xludf.DUMMYFUNCTION("GOOGLETRANSLATE(C1970, ""en"", ""ar"")"),"الكونغو (كينشاسا)")</f>
        <v>الكونغو (كينشاسا)</v>
      </c>
      <c r="E1970" s="7" t="str">
        <f>IFERROR(__xludf.DUMMYFUNCTION("GOOGLETRANSLATE(C1970, ""en"", ""bg"")"),"Конго (Киншаса)")</f>
        <v>Конго (Киншаса)</v>
      </c>
      <c r="F1970" s="6" t="s">
        <v>132</v>
      </c>
      <c r="G1970" s="7" t="str">
        <f>IFERROR(__xludf.DUMMYFUNCTION("GOOGLETRANSLATE(C1970, ""en"", ""cs"")"),"Kongo (Kinshasa)")</f>
        <v>Kongo (Kinshasa)</v>
      </c>
      <c r="H1970" s="7" t="str">
        <f>IFERROR(__xludf.DUMMYFUNCTION("GOOGLETRANSLATE(C1970, ""en"", ""da"")"),"Congo (Kinshasa)")</f>
        <v>Congo (Kinshasa)</v>
      </c>
      <c r="I1970" s="1" t="s">
        <v>39092</v>
      </c>
      <c r="J1970" s="6" t="s">
        <v>132</v>
      </c>
      <c r="K1970" s="1" t="s">
        <v>39091</v>
      </c>
      <c r="L1970" s="7" t="str">
        <f>IFERROR(__xludf.DUMMYFUNCTION("GOOGLETRANSLATE(C1970, ""en"", ""fi"")"),"Kongo (Kinshasa)")</f>
        <v>Kongo (Kinshasa)</v>
      </c>
      <c r="M1970" s="1" t="s">
        <v>39091</v>
      </c>
      <c r="N1970" s="6" t="s">
        <v>132</v>
      </c>
      <c r="O1970" s="6" t="s">
        <v>132</v>
      </c>
      <c r="P1970" s="1" t="s">
        <v>39091</v>
      </c>
      <c r="Q1970" s="7" t="str">
        <f>IFERROR(__xludf.DUMMYFUNCTION("GOOGLETRANSLATE(C1970, ""en"", ""in"")"),"Kongo (Kinshasa)")</f>
        <v>Kongo (Kinshasa)</v>
      </c>
      <c r="R1970" s="7" t="str">
        <f>IFERROR(__xludf.DUMMYFUNCTION("GOOGLETRANSLATE(C1970, ""en"", ""it"")"),"Congo (Kinshasa)")</f>
        <v>Congo (Kinshasa)</v>
      </c>
      <c r="S1970" s="6" t="s">
        <v>132</v>
      </c>
      <c r="T1970" s="7" t="str">
        <f>IFERROR(__xludf.DUMMYFUNCTION("GOOGLETRANSLATE(C1970, ""en"", ""ja"")"),"コンゴ（Kinshasa）")</f>
        <v>コンゴ（Kinshasa）</v>
      </c>
      <c r="U1970" s="7" t="str">
        <f>IFERROR(__xludf.DUMMYFUNCTION("GOOGLETRANSLATE(C1970, ""en"", ""ko"")"),"콩고 (Kinshasa)")</f>
        <v>콩고 (Kinshasa)</v>
      </c>
      <c r="V1970" s="7" t="str">
        <f>IFERROR(__xludf.DUMMYFUNCTION("GOOGLETRANSLATE(C1970, ""en"", ""ms"")"),"Congo (Kinshasa)")</f>
        <v>Congo (Kinshasa)</v>
      </c>
      <c r="W1970" s="7" t="str">
        <f>IFERROR(__xludf.DUMMYFUNCTION("GOOGLETRANSLATE(C1970, ""en"", ""nl"")"),"Congo (Kinshasa)")</f>
        <v>Congo (Kinshasa)</v>
      </c>
      <c r="X1970" s="7" t="str">
        <f>IFERROR(__xludf.DUMMYFUNCTION("GOOGLETRANSLATE(C1970, ""en"", ""no"")"),"Kongo (Kinshasa)")</f>
        <v>Kongo (Kinshasa)</v>
      </c>
      <c r="Y1970" s="7" t="str">
        <f>IFERROR(__xludf.DUMMYFUNCTION("GOOGLETRANSLATE(C1970, ""en"", ""pl"")"),"Kongo (Kinszasa)")</f>
        <v>Kongo (Kinszasa)</v>
      </c>
      <c r="Z1970" s="7" t="str">
        <f>IFERROR(__xludf.DUMMYFUNCTION("GOOGLETRANSLATE(C1970, ""en"", ""pt"")"),"Congo (Kinshasa)")</f>
        <v>Congo (Kinshasa)</v>
      </c>
      <c r="AA1970" s="7" t="str">
        <f>IFERROR(__xludf.DUMMYFUNCTION("GOOGLETRANSLATE(C1970, ""en"", ""ro"")"),"Congo (Kinshasa)")</f>
        <v>Congo (Kinshasa)</v>
      </c>
      <c r="AB1970" s="1" t="s">
        <v>39093</v>
      </c>
      <c r="AC1970" s="7" t="str">
        <f>IFERROR(__xludf.DUMMYFUNCTION("GOOGLETRANSLATE(C1970, ""en"", ""sk"")"),"Kongo (Kinshasa)")</f>
        <v>Kongo (Kinshasa)</v>
      </c>
      <c r="AD1970" s="6" t="s">
        <v>132</v>
      </c>
      <c r="AE1970" s="1" t="s">
        <v>39094</v>
      </c>
      <c r="AF1970" s="7" t="str">
        <f>IFERROR(__xludf.DUMMYFUNCTION("GOOGLETRANSLATE(C1970, ""en"", ""sv"")"),"Kongo (Kinshasa)")</f>
        <v>Kongo (Kinshasa)</v>
      </c>
      <c r="AG1970" s="6" t="s">
        <v>132</v>
      </c>
      <c r="AH1970" s="7" t="str">
        <f>IFERROR(__xludf.DUMMYFUNCTION("GOOGLETRANSLATE(C1970, ""en"", ""tr"")"),"Kongo (Kinshasa)")</f>
        <v>Kongo (Kinshasa)</v>
      </c>
      <c r="AI1970" s="6" t="s">
        <v>132</v>
      </c>
      <c r="AJ1970" s="6" t="s">
        <v>132</v>
      </c>
      <c r="AK1970" s="7" t="str">
        <f>IFERROR(__xludf.DUMMYFUNCTION("GOOGLETRANSLATE(C1970, ""en"", ""zh"")"),"刚果（金沙萨）")</f>
        <v>刚果（金沙萨）</v>
      </c>
      <c r="AL1970" s="6" t="s">
        <v>132</v>
      </c>
    </row>
    <row r="1971" ht="15.75" hidden="1" customHeight="1">
      <c r="A1971" s="1" t="s">
        <v>38</v>
      </c>
      <c r="B1971" s="1" t="s">
        <v>39095</v>
      </c>
      <c r="C1971" s="1" t="s">
        <v>39096</v>
      </c>
      <c r="D1971" s="7" t="str">
        <f>IFERROR(__xludf.DUMMYFUNCTION("GOOGLETRANSLATE(C1971, ""en"", ""ar"")"),"توجو")</f>
        <v>توجو</v>
      </c>
      <c r="E1971" s="7" t="str">
        <f>IFERROR(__xludf.DUMMYFUNCTION("GOOGLETRANSLATE(C1971, ""en"", ""bg"")"),"Да отида")</f>
        <v>Да отида</v>
      </c>
      <c r="F1971" s="6" t="s">
        <v>132</v>
      </c>
      <c r="G1971" s="7" t="str">
        <f>IFERROR(__xludf.DUMMYFUNCTION("GOOGLETRANSLATE(C1971, ""en"", ""cs"")"),"Jít")</f>
        <v>Jít</v>
      </c>
      <c r="H1971" s="7" t="str">
        <f>IFERROR(__xludf.DUMMYFUNCTION("GOOGLETRANSLATE(C1971, ""en"", ""da"")"),"At gå")</f>
        <v>At gå</v>
      </c>
      <c r="I1971" s="1" t="s">
        <v>39096</v>
      </c>
      <c r="J1971" s="6" t="s">
        <v>132</v>
      </c>
      <c r="K1971" s="1" t="s">
        <v>39096</v>
      </c>
      <c r="L1971" s="7" t="str">
        <f>IFERROR(__xludf.DUMMYFUNCTION("GOOGLETRANSLATE(C1971, ""en"", ""fi"")"),"Mennä")</f>
        <v>Mennä</v>
      </c>
      <c r="M1971" s="1" t="s">
        <v>39096</v>
      </c>
      <c r="N1971" s="6" t="s">
        <v>132</v>
      </c>
      <c r="O1971" s="6" t="s">
        <v>132</v>
      </c>
      <c r="P1971" s="1" t="s">
        <v>39096</v>
      </c>
      <c r="Q1971" s="7" t="str">
        <f>IFERROR(__xludf.DUMMYFUNCTION("GOOGLETRANSLATE(C1971, ""en"", ""in"")"),"Untuk pergi")</f>
        <v>Untuk pergi</v>
      </c>
      <c r="R1971" s="7" t="str">
        <f>IFERROR(__xludf.DUMMYFUNCTION("GOOGLETRANSLATE(C1971, ""en"", ""it"")"),"Andare")</f>
        <v>Andare</v>
      </c>
      <c r="S1971" s="6" t="s">
        <v>132</v>
      </c>
      <c r="T1971" s="7" t="str">
        <f>IFERROR(__xludf.DUMMYFUNCTION("GOOGLETRANSLATE(C1971, ""en"", ""ja"")"),"トーゴ")</f>
        <v>トーゴ</v>
      </c>
      <c r="U1971" s="7" t="str">
        <f>IFERROR(__xludf.DUMMYFUNCTION("GOOGLETRANSLATE(C1971, ""en"", ""ko"")"),"토고")</f>
        <v>토고</v>
      </c>
      <c r="V1971" s="7" t="str">
        <f>IFERROR(__xludf.DUMMYFUNCTION("GOOGLETRANSLATE(C1971, ""en"", ""ms"")"),"Untuk pergi")</f>
        <v>Untuk pergi</v>
      </c>
      <c r="W1971" s="7" t="str">
        <f>IFERROR(__xludf.DUMMYFUNCTION("GOOGLETRANSLATE(C1971, ""en"", ""nl"")"),"Gaan")</f>
        <v>Gaan</v>
      </c>
      <c r="X1971" s="7" t="str">
        <f>IFERROR(__xludf.DUMMYFUNCTION("GOOGLETRANSLATE(C1971, ""en"", ""no"")"),"Å gå")</f>
        <v>Å gå</v>
      </c>
      <c r="Y1971" s="7" t="str">
        <f>IFERROR(__xludf.DUMMYFUNCTION("GOOGLETRANSLATE(C1971, ""en"", ""pl"")"),"Iść")</f>
        <v>Iść</v>
      </c>
      <c r="Z1971" s="7" t="str">
        <f>IFERROR(__xludf.DUMMYFUNCTION("GOOGLETRANSLATE(C1971, ""en"", ""pt"")"),"Ir")</f>
        <v>Ir</v>
      </c>
      <c r="AA1971" s="7" t="str">
        <f>IFERROR(__xludf.DUMMYFUNCTION("GOOGLETRANSLATE(C1971, ""en"", ""ro"")"),"A merge")</f>
        <v>A merge</v>
      </c>
      <c r="AB1971" s="1" t="s">
        <v>39097</v>
      </c>
      <c r="AC1971" s="7" t="str">
        <f>IFERROR(__xludf.DUMMYFUNCTION("GOOGLETRANSLATE(C1971, ""en"", ""sk"")"),"Ísť")</f>
        <v>Ísť</v>
      </c>
      <c r="AD1971" s="6" t="s">
        <v>132</v>
      </c>
      <c r="AE1971" s="1" t="s">
        <v>39096</v>
      </c>
      <c r="AF1971" s="7" t="str">
        <f>IFERROR(__xludf.DUMMYFUNCTION("GOOGLETRANSLATE(C1971, ""en"", ""sv"")"),"Tyg")</f>
        <v>Tyg</v>
      </c>
      <c r="AG1971" s="6" t="s">
        <v>132</v>
      </c>
      <c r="AH1971" s="7" t="str">
        <f>IFERROR(__xludf.DUMMYFUNCTION("GOOGLETRANSLATE(C1971, ""en"", ""tr"")"),"Gitmek")</f>
        <v>Gitmek</v>
      </c>
      <c r="AI1971" s="6" t="s">
        <v>132</v>
      </c>
      <c r="AJ1971" s="6" t="s">
        <v>132</v>
      </c>
      <c r="AK1971" s="7" t="str">
        <f>IFERROR(__xludf.DUMMYFUNCTION("GOOGLETRANSLATE(C1971, ""en"", ""zh"")"),"多哥")</f>
        <v>多哥</v>
      </c>
      <c r="AL1971" s="6" t="s">
        <v>132</v>
      </c>
    </row>
    <row r="1972" ht="15.75" customHeight="1">
      <c r="A1972" s="1" t="s">
        <v>127</v>
      </c>
      <c r="B1972" s="1" t="s">
        <v>39098</v>
      </c>
      <c r="C1972" s="1" t="s">
        <v>39099</v>
      </c>
      <c r="D1972" s="8" t="s">
        <v>39100</v>
      </c>
      <c r="E1972" s="1" t="s">
        <v>39101</v>
      </c>
      <c r="F1972" s="6" t="s">
        <v>132</v>
      </c>
      <c r="G1972" s="1" t="s">
        <v>39102</v>
      </c>
      <c r="H1972" s="1" t="s">
        <v>39099</v>
      </c>
      <c r="I1972" s="1" t="s">
        <v>39099</v>
      </c>
      <c r="J1972" s="6" t="s">
        <v>39103</v>
      </c>
      <c r="K1972" s="1" t="s">
        <v>39104</v>
      </c>
      <c r="L1972" s="1" t="s">
        <v>39105</v>
      </c>
      <c r="M1972" s="1" t="s">
        <v>39099</v>
      </c>
      <c r="N1972" s="6" t="s">
        <v>132</v>
      </c>
      <c r="O1972" s="6" t="s">
        <v>39106</v>
      </c>
      <c r="P1972" s="1" t="s">
        <v>39107</v>
      </c>
      <c r="Q1972" s="1" t="s">
        <v>39108</v>
      </c>
      <c r="R1972" s="1" t="s">
        <v>39109</v>
      </c>
      <c r="S1972" s="10" t="s">
        <v>39110</v>
      </c>
      <c r="T1972" s="1" t="s">
        <v>39099</v>
      </c>
      <c r="U1972" s="1" t="s">
        <v>39111</v>
      </c>
      <c r="V1972" s="1" t="s">
        <v>39108</v>
      </c>
      <c r="W1972" s="1" t="s">
        <v>39112</v>
      </c>
      <c r="X1972" s="1" t="s">
        <v>39113</v>
      </c>
      <c r="Y1972" s="1" t="s">
        <v>39114</v>
      </c>
      <c r="Z1972" s="1" t="s">
        <v>39115</v>
      </c>
      <c r="AA1972" s="7" t="str">
        <f>IFERROR(__xludf.DUMMYFUNCTION("GOOGLETRANSLATE(C1972, ""en"", ""ro"")"),"Versiune {1}")</f>
        <v>Versiune {1}</v>
      </c>
      <c r="AB1972" s="1" t="s">
        <v>39101</v>
      </c>
      <c r="AC1972" s="1" t="s">
        <v>39116</v>
      </c>
      <c r="AD1972" s="6" t="s">
        <v>39117</v>
      </c>
      <c r="AE1972" s="1" t="s">
        <v>39118</v>
      </c>
      <c r="AF1972" s="1" t="s">
        <v>39099</v>
      </c>
      <c r="AG1972" s="6" t="s">
        <v>39119</v>
      </c>
      <c r="AH1972" s="1" t="s">
        <v>39120</v>
      </c>
      <c r="AI1972" s="6" t="s">
        <v>132</v>
      </c>
      <c r="AJ1972" s="6" t="s">
        <v>39121</v>
      </c>
      <c r="AK1972" s="1" t="s">
        <v>39122</v>
      </c>
      <c r="AL1972" s="6" t="s">
        <v>39123</v>
      </c>
    </row>
    <row r="1973" ht="15.75" hidden="1" customHeight="1">
      <c r="A1973" s="1" t="s">
        <v>38</v>
      </c>
      <c r="B1973" s="1" t="s">
        <v>39124</v>
      </c>
      <c r="C1973" s="1" t="s">
        <v>39125</v>
      </c>
      <c r="D1973" s="7" t="str">
        <f>IFERROR(__xludf.DUMMYFUNCTION("GOOGLETRANSLATE(C1973, ""en"", ""ar"")"),"يجب أن يتم تشغيل OMEMO بشكل صريح للحصول على محادثات جديدة.")</f>
        <v>يجب أن يتم تشغيل OMEMO بشكل صريح للحصول على محادثات جديدة.</v>
      </c>
      <c r="E1973" s="1" t="s">
        <v>39126</v>
      </c>
      <c r="F1973" s="6" t="s">
        <v>39127</v>
      </c>
      <c r="G1973" s="7" t="str">
        <f>IFERROR(__xludf.DUMMYFUNCTION("GOOGLETRANSLATE(C1973, ""en"", ""cs"")"),"Omemo bude muset být výslovně zapnuta pro nové konverzace.")</f>
        <v>Omemo bude muset být výslovně zapnuta pro nové konverzace.</v>
      </c>
      <c r="H1973" s="7" t="str">
        <f>IFERROR(__xludf.DUMMYFUNCTION("GOOGLETRANSLATE(C1973, ""en"", ""da"")"),"Omemo skal tændes eksplicit for nye samtaler.")</f>
        <v>Omemo skal tændes eksplicit for nye samtaler.</v>
      </c>
      <c r="I1973" s="1" t="s">
        <v>39128</v>
      </c>
      <c r="J1973" s="6" t="s">
        <v>132</v>
      </c>
      <c r="K1973" s="1" t="s">
        <v>39129</v>
      </c>
      <c r="L1973" s="7" t="str">
        <f>IFERROR(__xludf.DUMMYFUNCTION("GOOGLETRANSLATE(C1973, ""en"", ""fi"")"),"Omemo on käännettävä nimenomaisesti uusille keskusteluille.")</f>
        <v>Omemo on käännettävä nimenomaisesti uusille keskusteluille.</v>
      </c>
      <c r="M1973" s="1" t="s">
        <v>39130</v>
      </c>
      <c r="N1973" s="6" t="s">
        <v>39131</v>
      </c>
      <c r="O1973" s="6" t="s">
        <v>132</v>
      </c>
      <c r="P1973" s="1" t="s">
        <v>39132</v>
      </c>
      <c r="Q1973" s="7" t="str">
        <f>IFERROR(__xludf.DUMMYFUNCTION("GOOGLETRANSLATE(C1973, ""en"", ""in"")"),"Omemo harus dihidupkan secara eksplisit untuk percakapan baru.")</f>
        <v>Omemo harus dihidupkan secara eksplisit untuk percakapan baru.</v>
      </c>
      <c r="R1973" s="1" t="s">
        <v>39133</v>
      </c>
      <c r="S1973" s="6" t="s">
        <v>132</v>
      </c>
      <c r="T1973" s="7" t="str">
        <f>IFERROR(__xludf.DUMMYFUNCTION("GOOGLETRANSLATE(C1973, ""en"", ""ja"")"),"Omemoは新しい会話のために明示的にオンにされなければなりません。")</f>
        <v>Omemoは新しい会話のために明示的にオンにされなければなりません。</v>
      </c>
      <c r="U1973" s="7" t="str">
        <f>IFERROR(__xludf.DUMMYFUNCTION("GOOGLETRANSLATE(C1973, ""en"", ""ko"")"),"Omemo는 새로운 대화를 위해 명시 적으로 켜야합니다.")</f>
        <v>Omemo는 새로운 대화를 위해 명시 적으로 켜야합니다.</v>
      </c>
      <c r="V1973" s="7" t="str">
        <f>IFERROR(__xludf.DUMMYFUNCTION("GOOGLETRANSLATE(C1973, ""en"", ""ms"")"),"Omemo perlu dihidupkan secara eksplisit untuk perbualan baru.")</f>
        <v>Omemo perlu dihidupkan secara eksplisit untuk perbualan baru.</v>
      </c>
      <c r="W1973" s="1" t="s">
        <v>39134</v>
      </c>
      <c r="X1973" s="7" t="str">
        <f>IFERROR(__xludf.DUMMYFUNCTION("GOOGLETRANSLATE(C1973, ""en"", ""no"")"),"OMEMO må slås på eksplisitt for nye samtaler.")</f>
        <v>OMEMO må slås på eksplisitt for nye samtaler.</v>
      </c>
      <c r="Y1973" s="1" t="s">
        <v>39135</v>
      </c>
      <c r="Z1973" s="7" t="str">
        <f>IFERROR(__xludf.DUMMYFUNCTION("GOOGLETRANSLATE(C1973, ""en"", ""pt"")"),"OMEMO terá que ser ligado explicitamente para novas conversas.")</f>
        <v>OMEMO terá que ser ligado explicitamente para novas conversas.</v>
      </c>
      <c r="AA1973" s="7" t="str">
        <f>IFERROR(__xludf.DUMMYFUNCTION("GOOGLETRANSLATE(C1973, ""en"", ""ro"")"),"Omemo va trebui să fie activată în mod explicit pentru conversații noi.")</f>
        <v>Omemo va trebui să fie activată în mod explicit pentru conversații noi.</v>
      </c>
      <c r="AB1973" s="7" t="str">
        <f>IFERROR(__xludf.DUMMYFUNCTION("GOOGLETRANSLATE(C1973, ""en"", ""ru"")"),"Omemo должен быть включен явно для новых разговоров.")</f>
        <v>Omemo должен быть включен явно для новых разговоров.</v>
      </c>
      <c r="AC1973" s="7" t="str">
        <f>IFERROR(__xludf.DUMMYFUNCTION("GOOGLETRANSLATE(C1973, ""en"", ""sk"")"),"OMEMO bude musieť byť explicitne pre nové rozhovory.")</f>
        <v>OMEMO bude musieť byť explicitne pre nové rozhovory.</v>
      </c>
      <c r="AD1973" s="6" t="s">
        <v>132</v>
      </c>
      <c r="AE1973" s="7" t="str">
        <f>IFERROR(__xludf.DUMMYFUNCTION("GOOGLETRANSLATE(C1973, ""en"", ""sr"")"),"ОМЕМО ће морати да се наступи на изричито за нове разговоре.")</f>
        <v>ОМЕМО ће морати да се наступи на изричито за нове разговоре.</v>
      </c>
      <c r="AF1973" s="7" t="str">
        <f>IFERROR(__xludf.DUMMYFUNCTION("GOOGLETRANSLATE(C1973, ""en"", ""sv"")"),"Omemo måste vara påtryckt uttryckligen för nya konversationer.")</f>
        <v>Omemo måste vara påtryckt uttryckligen för nya konversationer.</v>
      </c>
      <c r="AG1973" s="6" t="s">
        <v>132</v>
      </c>
      <c r="AH1973" s="7" t="str">
        <f>IFERROR(__xludf.DUMMYFUNCTION("GOOGLETRANSLATE(C1973, ""en"", ""tr"")"),"Omemo yeni konuşmalar için açıkça açılmalıdır.")</f>
        <v>Omemo yeni konuşmalar için açıkça açılmalıdır.</v>
      </c>
      <c r="AI1973" s="6" t="s">
        <v>132</v>
      </c>
      <c r="AJ1973" s="6" t="s">
        <v>132</v>
      </c>
      <c r="AK1973" s="7" t="str">
        <f>IFERROR(__xludf.DUMMYFUNCTION("GOOGLETRANSLATE(C1973, ""en"", ""zh"")"),"omemo必须明确打开新的对话。")</f>
        <v>omemo必须明确打开新的对话。</v>
      </c>
      <c r="AL1973" s="6" t="s">
        <v>39136</v>
      </c>
    </row>
    <row r="1974" ht="15.75" customHeight="1">
      <c r="A1974" s="1" t="s">
        <v>127</v>
      </c>
      <c r="B1974" s="1" t="s">
        <v>39137</v>
      </c>
      <c r="C1974" s="1" t="s">
        <v>39138</v>
      </c>
      <c r="D1974" s="8" t="s">
        <v>20463</v>
      </c>
      <c r="E1974" s="1" t="s">
        <v>39139</v>
      </c>
      <c r="F1974" s="6" t="s">
        <v>132</v>
      </c>
      <c r="G1974" s="1" t="s">
        <v>39140</v>
      </c>
      <c r="H1974" s="1" t="s">
        <v>39141</v>
      </c>
      <c r="I1974" s="1" t="s">
        <v>39142</v>
      </c>
      <c r="J1974" s="6" t="s">
        <v>39143</v>
      </c>
      <c r="K1974" s="1" t="s">
        <v>39144</v>
      </c>
      <c r="L1974" s="1" t="s">
        <v>20470</v>
      </c>
      <c r="M1974" s="1" t="s">
        <v>20471</v>
      </c>
      <c r="N1974" s="6" t="s">
        <v>132</v>
      </c>
      <c r="O1974" s="6" t="s">
        <v>39145</v>
      </c>
      <c r="P1974" s="1" t="s">
        <v>20473</v>
      </c>
      <c r="Q1974" s="1" t="s">
        <v>39146</v>
      </c>
      <c r="R1974" s="1" t="s">
        <v>39147</v>
      </c>
      <c r="S1974" s="10" t="s">
        <v>39148</v>
      </c>
      <c r="T1974" s="1" t="s">
        <v>39149</v>
      </c>
      <c r="U1974" s="1" t="s">
        <v>39150</v>
      </c>
      <c r="V1974" s="1" t="s">
        <v>39151</v>
      </c>
      <c r="W1974" s="1" t="s">
        <v>39152</v>
      </c>
      <c r="X1974" s="1" t="s">
        <v>39141</v>
      </c>
      <c r="Y1974" s="1" t="s">
        <v>39153</v>
      </c>
      <c r="Z1974" s="1" t="s">
        <v>39154</v>
      </c>
      <c r="AA1974" s="7" t="str">
        <f>IFERROR(__xludf.DUMMYFUNCTION("GOOGLETRANSLATE(C1974, ""en"", ""ro"")"),"Timp / dată.")</f>
        <v>Timp / dată.</v>
      </c>
      <c r="AB1974" s="1" t="s">
        <v>20485</v>
      </c>
      <c r="AC1974" s="1" t="s">
        <v>39155</v>
      </c>
      <c r="AD1974" s="6" t="s">
        <v>39140</v>
      </c>
      <c r="AE1974" s="1" t="s">
        <v>39156</v>
      </c>
      <c r="AF1974" s="1" t="s">
        <v>39157</v>
      </c>
      <c r="AG1974" s="6" t="s">
        <v>39158</v>
      </c>
      <c r="AH1974" s="1" t="s">
        <v>39159</v>
      </c>
      <c r="AI1974" s="6" t="s">
        <v>132</v>
      </c>
      <c r="AJ1974" s="6" t="s">
        <v>39160</v>
      </c>
      <c r="AK1974" s="1" t="s">
        <v>20492</v>
      </c>
      <c r="AL1974" s="6" t="s">
        <v>39161</v>
      </c>
    </row>
    <row r="1975" ht="15.75" hidden="1" customHeight="1">
      <c r="A1975" s="1" t="s">
        <v>38</v>
      </c>
      <c r="B1975" s="1" t="s">
        <v>39162</v>
      </c>
      <c r="C1975" s="1" t="s">
        <v>39163</v>
      </c>
      <c r="D1975" s="7" t="str">
        <f>IFERROR(__xludf.DUMMYFUNCTION("GOOGLETRANSLATE(C1975, ""en"", ""ar"")"),"آخر ثانية قبل بضع ثوان")</f>
        <v>آخر ثانية قبل بضع ثوان</v>
      </c>
      <c r="E1975" s="7" t="str">
        <f>IFERROR(__xludf.DUMMYFUNCTION("GOOGLETRANSLATE(C1975, ""en"", ""bg"")"),"Последно преди няколко секунди")</f>
        <v>Последно преди няколко секунди</v>
      </c>
      <c r="F1975" s="6" t="s">
        <v>132</v>
      </c>
      <c r="G1975" s="7" t="str">
        <f>IFERROR(__xludf.DUMMYFUNCTION("GOOGLETRANSLATE(C1975, ""en"", ""cs"")"),"Před několika vteřinami")</f>
        <v>Před několika vteřinami</v>
      </c>
      <c r="H1975" s="7" t="str">
        <f>IFERROR(__xludf.DUMMYFUNCTION("GOOGLETRANSLATE(C1975, ""en"", ""da"")"),"Sidste online få sekunder siden")</f>
        <v>Sidste online få sekunder siden</v>
      </c>
      <c r="I1975" s="1" t="s">
        <v>39164</v>
      </c>
      <c r="J1975" s="6" t="s">
        <v>132</v>
      </c>
      <c r="K1975" s="1" t="s">
        <v>39165</v>
      </c>
      <c r="L1975" s="7" t="str">
        <f>IFERROR(__xludf.DUMMYFUNCTION("GOOGLETRANSLATE(C1975, ""en"", ""fi"")"),"Viimeisin verkossa muutama sekunti sitten")</f>
        <v>Viimeisin verkossa muutama sekunti sitten</v>
      </c>
      <c r="M1975" s="1" t="s">
        <v>39166</v>
      </c>
      <c r="N1975" s="6" t="s">
        <v>132</v>
      </c>
      <c r="O1975" s="6" t="s">
        <v>132</v>
      </c>
      <c r="P1975" s="1" t="s">
        <v>39167</v>
      </c>
      <c r="Q1975" s="7" t="str">
        <f>IFERROR(__xludf.DUMMYFUNCTION("GOOGLETRANSLATE(C1975, ""en"", ""in"")"),"Terakhir online beberapa detik yang lalu")</f>
        <v>Terakhir online beberapa detik yang lalu</v>
      </c>
      <c r="R1975" s="7" t="str">
        <f>IFERROR(__xludf.DUMMYFUNCTION("GOOGLETRANSLATE(C1975, ""en"", ""it"")"),"Ultimi pochi secondi fa")</f>
        <v>Ultimi pochi secondi fa</v>
      </c>
      <c r="S1975" s="6" t="s">
        <v>132</v>
      </c>
      <c r="T1975" s="7" t="str">
        <f>IFERROR(__xludf.DUMMYFUNCTION("GOOGLETRANSLATE(C1975, ""en"", ""ja"")"),"最後に数秒前にオンライン")</f>
        <v>最後に数秒前にオンライン</v>
      </c>
      <c r="U1975" s="7" t="str">
        <f>IFERROR(__xludf.DUMMYFUNCTION("GOOGLETRANSLATE(C1975, ""en"", ""ko"")"),"마지막으로 몇 초 전 온라인으로")</f>
        <v>마지막으로 몇 초 전 온라인으로</v>
      </c>
      <c r="V1975" s="7" t="str">
        <f>IFERROR(__xludf.DUMMYFUNCTION("GOOGLETRANSLATE(C1975, ""en"", ""ms"")"),"Dalam talian terakhir beberapa saat yang lalu")</f>
        <v>Dalam talian terakhir beberapa saat yang lalu</v>
      </c>
      <c r="W1975" s="7" t="str">
        <f>IFERROR(__xludf.DUMMYFUNCTION("GOOGLETRANSLATE(C1975, ""en"", ""nl"")"),"Laatste online enkele seconden geleden")</f>
        <v>Laatste online enkele seconden geleden</v>
      </c>
      <c r="X1975" s="7" t="str">
        <f>IFERROR(__xludf.DUMMYFUNCTION("GOOGLETRANSLATE(C1975, ""en"", ""no"")"),"Sist på nettet noen sekunder siden")</f>
        <v>Sist på nettet noen sekunder siden</v>
      </c>
      <c r="Y1975" s="7" t="str">
        <f>IFERROR(__xludf.DUMMYFUNCTION("GOOGLETRANSLATE(C1975, ""en"", ""pl"")"),"Ostatnie kilka sekund temu")</f>
        <v>Ostatnie kilka sekund temu</v>
      </c>
      <c r="Z1975" s="7" t="str">
        <f>IFERROR(__xludf.DUMMYFUNCTION("GOOGLETRANSLATE(C1975, ""en"", ""pt"")"),"Últimos poucos segundos atrás")</f>
        <v>Últimos poucos segundos atrás</v>
      </c>
      <c r="AA1975" s="7" t="str">
        <f>IFERROR(__xludf.DUMMYFUNCTION("GOOGLETRANSLATE(C1975, ""en"", ""ro"")"),"Ultimele câteva secunde în urmă")</f>
        <v>Ultimele câteva secunde în urmă</v>
      </c>
      <c r="AB1975" s="1" t="s">
        <v>39168</v>
      </c>
      <c r="AC1975" s="7" t="str">
        <f>IFERROR(__xludf.DUMMYFUNCTION("GOOGLETRANSLATE(C1975, ""en"", ""sk"")"),"Posledné online niekoľko sekúnd")</f>
        <v>Posledné online niekoľko sekúnd</v>
      </c>
      <c r="AD1975" s="6" t="s">
        <v>132</v>
      </c>
      <c r="AE1975" s="1" t="s">
        <v>39169</v>
      </c>
      <c r="AF1975" s="7" t="str">
        <f>IFERROR(__xludf.DUMMYFUNCTION("GOOGLETRANSLATE(C1975, ""en"", ""sv"")"),"Senaste några sekunder sedan")</f>
        <v>Senaste några sekunder sedan</v>
      </c>
      <c r="AG1975" s="6" t="s">
        <v>132</v>
      </c>
      <c r="AH1975" s="7" t="str">
        <f>IFERROR(__xludf.DUMMYFUNCTION("GOOGLETRANSLATE(C1975, ""en"", ""tr"")"),"Birkaç saniye önce son çevrimiçi")</f>
        <v>Birkaç saniye önce son çevrimiçi</v>
      </c>
      <c r="AI1975" s="6" t="s">
        <v>132</v>
      </c>
      <c r="AJ1975" s="6" t="s">
        <v>132</v>
      </c>
      <c r="AK1975" s="7" t="str">
        <f>IFERROR(__xludf.DUMMYFUNCTION("GOOGLETRANSLATE(C1975, ""en"", ""zh"")"),"几秒钟前上次在线")</f>
        <v>几秒钟前上次在线</v>
      </c>
      <c r="AL1975" s="6" t="s">
        <v>132</v>
      </c>
    </row>
    <row r="1976" ht="15.75" customHeight="1">
      <c r="A1976" s="1" t="s">
        <v>127</v>
      </c>
      <c r="B1976" s="1" t="s">
        <v>39170</v>
      </c>
      <c r="C1976" s="1" t="s">
        <v>39171</v>
      </c>
      <c r="D1976" s="8" t="s">
        <v>39172</v>
      </c>
      <c r="E1976" s="1" t="s">
        <v>39173</v>
      </c>
      <c r="F1976" s="6" t="s">
        <v>132</v>
      </c>
      <c r="G1976" s="1" t="s">
        <v>39174</v>
      </c>
      <c r="H1976" s="1" t="s">
        <v>39171</v>
      </c>
      <c r="I1976" s="1" t="s">
        <v>39175</v>
      </c>
      <c r="J1976" s="6" t="s">
        <v>39171</v>
      </c>
      <c r="K1976" s="1" t="s">
        <v>39176</v>
      </c>
      <c r="L1976" s="1" t="s">
        <v>39177</v>
      </c>
      <c r="M1976" s="1" t="s">
        <v>39178</v>
      </c>
      <c r="N1976" s="6" t="s">
        <v>132</v>
      </c>
      <c r="O1976" s="6" t="s">
        <v>39179</v>
      </c>
      <c r="P1976" s="1" t="s">
        <v>39171</v>
      </c>
      <c r="Q1976" s="1" t="s">
        <v>39180</v>
      </c>
      <c r="R1976" s="1" t="s">
        <v>39171</v>
      </c>
      <c r="S1976" s="10" t="s">
        <v>39181</v>
      </c>
      <c r="T1976" s="1" t="s">
        <v>39182</v>
      </c>
      <c r="U1976" s="1" t="s">
        <v>39183</v>
      </c>
      <c r="V1976" s="1" t="s">
        <v>39180</v>
      </c>
      <c r="W1976" s="1" t="s">
        <v>39171</v>
      </c>
      <c r="X1976" s="1" t="s">
        <v>39184</v>
      </c>
      <c r="Y1976" s="1" t="s">
        <v>39185</v>
      </c>
      <c r="Z1976" s="1" t="s">
        <v>39171</v>
      </c>
      <c r="AA1976" s="7" t="str">
        <f>IFERROR(__xludf.DUMMYFUNCTION("GOOGLETRANSLATE(C1976, ""en"", ""ro"")"),"Crosshair.")</f>
        <v>Crosshair.</v>
      </c>
      <c r="AB1976" s="1" t="s">
        <v>39186</v>
      </c>
      <c r="AC1976" s="1" t="s">
        <v>39171</v>
      </c>
      <c r="AD1976" s="6" t="s">
        <v>39187</v>
      </c>
      <c r="AE1976" s="1" t="s">
        <v>30878</v>
      </c>
      <c r="AF1976" s="1" t="s">
        <v>39188</v>
      </c>
      <c r="AG1976" s="6" t="s">
        <v>39189</v>
      </c>
      <c r="AH1976" s="1" t="s">
        <v>39190</v>
      </c>
      <c r="AI1976" s="6" t="s">
        <v>132</v>
      </c>
      <c r="AJ1976" s="6" t="s">
        <v>39191</v>
      </c>
      <c r="AK1976" s="1" t="s">
        <v>39192</v>
      </c>
      <c r="AL1976" s="6" t="s">
        <v>39193</v>
      </c>
    </row>
    <row r="1977" ht="15.75" customHeight="1">
      <c r="A1977" s="1" t="s">
        <v>127</v>
      </c>
      <c r="B1977" s="1" t="s">
        <v>39194</v>
      </c>
      <c r="C1977" s="1" t="s">
        <v>39195</v>
      </c>
      <c r="D1977" s="8" t="s">
        <v>39196</v>
      </c>
      <c r="E1977" s="1" t="s">
        <v>39197</v>
      </c>
      <c r="F1977" s="6" t="s">
        <v>132</v>
      </c>
      <c r="G1977" s="1" t="s">
        <v>39198</v>
      </c>
      <c r="H1977" s="1" t="s">
        <v>39199</v>
      </c>
      <c r="I1977" s="1" t="s">
        <v>39200</v>
      </c>
      <c r="J1977" s="6" t="s">
        <v>39201</v>
      </c>
      <c r="K1977" s="1" t="s">
        <v>39202</v>
      </c>
      <c r="L1977" s="1" t="s">
        <v>39203</v>
      </c>
      <c r="M1977" s="1" t="s">
        <v>39204</v>
      </c>
      <c r="N1977" s="6" t="s">
        <v>132</v>
      </c>
      <c r="O1977" s="6" t="s">
        <v>39205</v>
      </c>
      <c r="P1977" s="1" t="s">
        <v>39206</v>
      </c>
      <c r="Q1977" s="1" t="s">
        <v>39207</v>
      </c>
      <c r="R1977" s="1" t="s">
        <v>39208</v>
      </c>
      <c r="S1977" s="10" t="s">
        <v>39209</v>
      </c>
      <c r="T1977" s="1" t="s">
        <v>35114</v>
      </c>
      <c r="U1977" s="1" t="s">
        <v>39210</v>
      </c>
      <c r="V1977" s="1" t="s">
        <v>39211</v>
      </c>
      <c r="W1977" s="1" t="s">
        <v>39212</v>
      </c>
      <c r="X1977" s="1" t="s">
        <v>39213</v>
      </c>
      <c r="Y1977" s="1" t="s">
        <v>39214</v>
      </c>
      <c r="Z1977" s="1" t="s">
        <v>39215</v>
      </c>
      <c r="AA1977" s="7" t="str">
        <f>IFERROR(__xludf.DUMMYFUNCTION("GOOGLETRANSLATE(C1977, ""en"", ""ro"")"),"Simbolul adăugat la portofoliu!")</f>
        <v>Simbolul adăugat la portofoliu!</v>
      </c>
      <c r="AB1977" s="1" t="s">
        <v>39216</v>
      </c>
      <c r="AC1977" s="1" t="s">
        <v>39217</v>
      </c>
      <c r="AD1977" s="6" t="s">
        <v>39218</v>
      </c>
      <c r="AE1977" s="1" t="s">
        <v>39219</v>
      </c>
      <c r="AF1977" s="1" t="s">
        <v>39220</v>
      </c>
      <c r="AG1977" s="6" t="s">
        <v>39221</v>
      </c>
      <c r="AH1977" s="1" t="s">
        <v>39222</v>
      </c>
      <c r="AI1977" s="6" t="s">
        <v>132</v>
      </c>
      <c r="AJ1977" s="6" t="s">
        <v>39223</v>
      </c>
      <c r="AK1977" s="1" t="s">
        <v>39224</v>
      </c>
      <c r="AL1977" s="6" t="s">
        <v>39225</v>
      </c>
    </row>
    <row r="1978" ht="15.75" hidden="1" customHeight="1">
      <c r="A1978" s="1" t="s">
        <v>38</v>
      </c>
      <c r="B1978" s="1" t="s">
        <v>39226</v>
      </c>
      <c r="C1978" s="1" t="s">
        <v>39227</v>
      </c>
      <c r="D1978" s="7" t="str">
        <f>IFERROR(__xludf.DUMMYFUNCTION("GOOGLETRANSLATE(C1978, ""en"", ""ar"")"),"يقوم جهازك بالقيام ببعض تحسينات البطارية الثقيلة على دردشة Baha التي قد تؤدي إلى تأخير الإخطارات أو حتى خسارة الرسائل. \ N \ Nyou سيطلب منك الآن تعطيل أولئك.")</f>
        <v>يقوم جهازك بالقيام ببعض تحسينات البطارية الثقيلة على دردشة Baha التي قد تؤدي إلى تأخير الإخطارات أو حتى خسارة الرسائل. \ N \ Nyou سيطلب منك الآن تعطيل أولئك.</v>
      </c>
      <c r="E1978" s="1" t="s">
        <v>39228</v>
      </c>
      <c r="F1978" s="6" t="s">
        <v>39229</v>
      </c>
      <c r="G1978" s="7" t="str">
        <f>IFERROR(__xludf.DUMMYFUNCTION("GOOGLETRANSLATE(C1978, ""en"", ""cs"")"),"Vaše zařízení dělá některé těžké optimalizace baterií na baha chatu, které by mohlo vést k opožděným oznámením nebo dokonce ztrátě zpráv. Nyou budou nyní požádáni o zakázat ty.")</f>
        <v>Vaše zařízení dělá některé těžké optimalizace baterií na baha chatu, které by mohlo vést k opožděným oznámením nebo dokonce ztrátě zpráv. Nyou budou nyní požádáni o zakázat ty.</v>
      </c>
      <c r="H1978" s="7" t="str">
        <f>IFERROR(__xludf.DUMMYFUNCTION("GOOGLETRANSLATE(C1978, ""en"", ""da"")"),"Din enhed gør nogle tunge batterioptimeringer på BAHA-chat, der kan føre til forsinkede meddelelser eller endda besked tab. \ N \ nyou bliver nu bedt om at deaktivere dem.")</f>
        <v>Din enhed gør nogle tunge batterioptimeringer på BAHA-chat, der kan føre til forsinkede meddelelser eller endda besked tab. \ N \ nyou bliver nu bedt om at deaktivere dem.</v>
      </c>
      <c r="I1978" s="1" t="s">
        <v>39230</v>
      </c>
      <c r="J1978" s="6" t="s">
        <v>132</v>
      </c>
      <c r="K1978" s="1" t="s">
        <v>39231</v>
      </c>
      <c r="L1978" s="7" t="str">
        <f>IFERROR(__xludf.DUMMYFUNCTION("GOOGLETRANSLATE(C1978, ""en"", ""fi"")"),"Laite tekee joitakin raskaita akun optimointeja Baha-keskustelussa, joka saattaa johtaa viivästyneisiin ilmoituksiin tai jopa viestihäviöön. \ N \ NYou on nyt pyydettävä pois käytöstä.")</f>
        <v>Laite tekee joitakin raskaita akun optimointeja Baha-keskustelussa, joka saattaa johtaa viivästyneisiin ilmoituksiin tai jopa viestihäviöön. \ N \ NYou on nyt pyydettävä pois käytöstä.</v>
      </c>
      <c r="M1978" s="1" t="s">
        <v>39232</v>
      </c>
      <c r="N1978" s="6" t="s">
        <v>39233</v>
      </c>
      <c r="O1978" s="6" t="s">
        <v>132</v>
      </c>
      <c r="P1978" s="1" t="s">
        <v>39234</v>
      </c>
      <c r="Q1978" s="7" t="str">
        <f>IFERROR(__xludf.DUMMYFUNCTION("GOOGLETRANSLATE(C1978, ""en"", ""in"")"),"Perangkat Anda melakukan beberapa optimasi baterai yang berat pada obrolan Baha yang dapat menyebabkan pemberitahuan yang tertunda atau bahkan kehilangan pesan. \ N \ NAnda sekarang akan diminta untuk menonaktifkannya.")</f>
        <v>Perangkat Anda melakukan beberapa optimasi baterai yang berat pada obrolan Baha yang dapat menyebabkan pemberitahuan yang tertunda atau bahkan kehilangan pesan. \ N \ NAnda sekarang akan diminta untuk menonaktifkannya.</v>
      </c>
      <c r="R1978" s="1" t="s">
        <v>39235</v>
      </c>
      <c r="S1978" s="6" t="s">
        <v>132</v>
      </c>
      <c r="T1978" s="1" t="s">
        <v>39236</v>
      </c>
      <c r="U1978" s="1" t="s">
        <v>39237</v>
      </c>
      <c r="V1978" s="7" t="str">
        <f>IFERROR(__xludf.DUMMYFUNCTION("GOOGLETRANSLATE(C1978, ""en"", ""ms"")"),"Peranti anda melakukan beberapa pengoptimuman bateri yang berat di Baha Chat yang mungkin membawa kepada pemberitahuan tertunda atau bahkan kehilangan mesej. \ N \ nAnda sekarang akan diminta untuk melumpuhkan mereka.")</f>
        <v>Peranti anda melakukan beberapa pengoptimuman bateri yang berat di Baha Chat yang mungkin membawa kepada pemberitahuan tertunda atau bahkan kehilangan mesej. \ N \ nAnda sekarang akan diminta untuk melumpuhkan mereka.</v>
      </c>
      <c r="W1978" s="1" t="s">
        <v>39238</v>
      </c>
      <c r="X1978" s="7" t="str">
        <f>IFERROR(__xludf.DUMMYFUNCTION("GOOGLETRANSLATE(C1978, ""en"", ""no"")"),"Enheten din gjør noen tunge batteri optimaliseringer på Baha Chat som kan føre til forsinkede varsler eller til og med meldingstap. \ N \ NYou vil nå bli bedt om å deaktivere dem.")</f>
        <v>Enheten din gjør noen tunge batteri optimaliseringer på Baha Chat som kan føre til forsinkede varsler eller til og med meldingstap. \ N \ NYou vil nå bli bedt om å deaktivere dem.</v>
      </c>
      <c r="Y1978" s="1" t="s">
        <v>39239</v>
      </c>
      <c r="Z1978" s="1" t="s">
        <v>39240</v>
      </c>
      <c r="AA1978" s="7" t="str">
        <f>IFERROR(__xludf.DUMMYFUNCTION("GOOGLETRANSLATE(C1978, ""en"", ""ro"")"),"Dispozitivul dvs. efectuează unele optimizări de baterii grele pe chat-ul Baha, care ar putea duce la notificări întârziate sau chiar la pierderea mesajelor. \ N \ nyou acum va fi solicitat să dezactivați aceste.")</f>
        <v>Dispozitivul dvs. efectuează unele optimizări de baterii grele pe chat-ul Baha, care ar putea duce la notificări întârziate sau chiar la pierderea mesajelor. \ N \ nyou acum va fi solicitat să dezactivați aceste.</v>
      </c>
      <c r="AB1978" s="1" t="s">
        <v>39241</v>
      </c>
      <c r="AC1978" s="7" t="str">
        <f>IFERROR(__xludf.DUMMYFUNCTION("GOOGLETRANSLATE(C1978, ""en"", ""sk"")"),"Vaše zariadenie robí niektoré ťažké optimalizácie batérií na chatu BahA, ktoré by mohli viesť k oneskoreným oznámeniam alebo dokonca straty správy.")</f>
        <v>Vaše zariadenie robí niektoré ťažké optimalizácie batérií na chatu BahA, ktoré by mohli viesť k oneskoreným oznámeniam alebo dokonca straty správy.</v>
      </c>
      <c r="AD1978" s="6" t="s">
        <v>132</v>
      </c>
      <c r="AE1978" s="1" t="s">
        <v>39242</v>
      </c>
      <c r="AF1978" s="1" t="s">
        <v>39243</v>
      </c>
      <c r="AG1978" s="6" t="s">
        <v>132</v>
      </c>
      <c r="AH1978" s="13" t="s">
        <v>39244</v>
      </c>
      <c r="AI1978" s="6" t="s">
        <v>39245</v>
      </c>
      <c r="AJ1978" s="6" t="s">
        <v>39246</v>
      </c>
      <c r="AK1978" s="7" t="str">
        <f>IFERROR(__xludf.DUMMYFUNCTION("GOOGLETRANSLATE(C1978, ""en"", ""zh"")"),"您的设备正在对BAHA聊天进行一些备用电池优化，可能导致通知延迟或甚至消息丢失。\ n \ nyou现在将被要求禁用这些。")</f>
        <v>您的设备正在对BAHA聊天进行一些备用电池优化，可能导致通知延迟或甚至消息丢失。\ n \ nyou现在将被要求禁用这些。</v>
      </c>
      <c r="AL1978" s="6" t="s">
        <v>10363</v>
      </c>
    </row>
    <row r="1979" ht="15.75" hidden="1" customHeight="1">
      <c r="A1979" s="1" t="s">
        <v>38</v>
      </c>
      <c r="B1979" s="1" t="s">
        <v>39247</v>
      </c>
      <c r="C1979" s="1" t="s">
        <v>39248</v>
      </c>
      <c r="D1979" s="7" t="str">
        <f>IFERROR(__xludf.DUMMYFUNCTION("GOOGLETRANSLATE(C1979, ""en"", ""ar"")"),"غواديلوب")</f>
        <v>غواديلوب</v>
      </c>
      <c r="E1979" s="7" t="str">
        <f>IFERROR(__xludf.DUMMYFUNCTION("GOOGLETRANSLATE(C1979, ""en"", ""bg"")"),"Гуаделупа")</f>
        <v>Гуаделупа</v>
      </c>
      <c r="F1979" s="6" t="s">
        <v>132</v>
      </c>
      <c r="G1979" s="7" t="str">
        <f>IFERROR(__xludf.DUMMYFUNCTION("GOOGLETRANSLATE(C1979, ""en"", ""cs"")"),"Guadeloupe.")</f>
        <v>Guadeloupe.</v>
      </c>
      <c r="H1979" s="7" t="str">
        <f>IFERROR(__xludf.DUMMYFUNCTION("GOOGLETRANSLATE(C1979, ""en"", ""da"")"),"Guadeloupe.")</f>
        <v>Guadeloupe.</v>
      </c>
      <c r="I1979" s="1" t="s">
        <v>39248</v>
      </c>
      <c r="J1979" s="6" t="s">
        <v>132</v>
      </c>
      <c r="K1979" s="1" t="s">
        <v>39248</v>
      </c>
      <c r="L1979" s="7" t="str">
        <f>IFERROR(__xludf.DUMMYFUNCTION("GOOGLETRANSLATE(C1979, ""en"", ""fi"")"),"Guadeloupe")</f>
        <v>Guadeloupe</v>
      </c>
      <c r="M1979" s="1" t="s">
        <v>39248</v>
      </c>
      <c r="N1979" s="6" t="s">
        <v>132</v>
      </c>
      <c r="O1979" s="6" t="s">
        <v>132</v>
      </c>
      <c r="P1979" s="1" t="s">
        <v>39248</v>
      </c>
      <c r="Q1979" s="7" t="str">
        <f>IFERROR(__xludf.DUMMYFUNCTION("GOOGLETRANSLATE(C1979, ""en"", ""in"")"),"Guadeloupe.")</f>
        <v>Guadeloupe.</v>
      </c>
      <c r="R1979" s="7" t="str">
        <f>IFERROR(__xludf.DUMMYFUNCTION("GOOGLETRANSLATE(C1979, ""en"", ""it"")"),"Guadalupa")</f>
        <v>Guadalupa</v>
      </c>
      <c r="S1979" s="6" t="s">
        <v>132</v>
      </c>
      <c r="T1979" s="7" t="str">
        <f>IFERROR(__xludf.DUMMYFUNCTION("GOOGLETRANSLATE(C1979, ""en"", ""ja"")"),"グアドループ")</f>
        <v>グアドループ</v>
      </c>
      <c r="U1979" s="7" t="str">
        <f>IFERROR(__xludf.DUMMYFUNCTION("GOOGLETRANSLATE(C1979, ""en"", ""ko"")"),"과들루프")</f>
        <v>과들루프</v>
      </c>
      <c r="V1979" s="7" t="str">
        <f>IFERROR(__xludf.DUMMYFUNCTION("GOOGLETRANSLATE(C1979, ""en"", ""ms"")"),"Guadeloupe.")</f>
        <v>Guadeloupe.</v>
      </c>
      <c r="W1979" s="7" t="str">
        <f>IFERROR(__xludf.DUMMYFUNCTION("GOOGLETRANSLATE(C1979, ""en"", ""nl"")"),"Guadeloupe")</f>
        <v>Guadeloupe</v>
      </c>
      <c r="X1979" s="7" t="str">
        <f>IFERROR(__xludf.DUMMYFUNCTION("GOOGLETRANSLATE(C1979, ""en"", ""no"")"),"Guadeloupe.")</f>
        <v>Guadeloupe.</v>
      </c>
      <c r="Y1979" s="7" t="str">
        <f>IFERROR(__xludf.DUMMYFUNCTION("GOOGLETRANSLATE(C1979, ""en"", ""pl"")"),"Gwadelupa.")</f>
        <v>Gwadelupa.</v>
      </c>
      <c r="Z1979" s="7" t="str">
        <f>IFERROR(__xludf.DUMMYFUNCTION("GOOGLETRANSLATE(C1979, ""en"", ""pt"")"),"Guadalupe.")</f>
        <v>Guadalupe.</v>
      </c>
      <c r="AA1979" s="7" t="str">
        <f>IFERROR(__xludf.DUMMYFUNCTION("GOOGLETRANSLATE(C1979, ""en"", ""ro"")"),"Guadelupa.")</f>
        <v>Guadelupa.</v>
      </c>
      <c r="AB1979" s="1" t="s">
        <v>39249</v>
      </c>
      <c r="AC1979" s="7" t="str">
        <f>IFERROR(__xludf.DUMMYFUNCTION("GOOGLETRANSLATE(C1979, ""en"", ""sk"")"),"Guadeloupe")</f>
        <v>Guadeloupe</v>
      </c>
      <c r="AD1979" s="6" t="s">
        <v>132</v>
      </c>
      <c r="AE1979" s="1" t="s">
        <v>39250</v>
      </c>
      <c r="AF1979" s="7" t="str">
        <f>IFERROR(__xludf.DUMMYFUNCTION("GOOGLETRANSLATE(C1979, ""en"", ""sv"")"),"Guadeloupe")</f>
        <v>Guadeloupe</v>
      </c>
      <c r="AG1979" s="6" t="s">
        <v>132</v>
      </c>
      <c r="AH1979" s="7" t="str">
        <f>IFERROR(__xludf.DUMMYFUNCTION("GOOGLETRANSLATE(C1979, ""en"", ""tr"")"),"Guadeloupe")</f>
        <v>Guadeloupe</v>
      </c>
      <c r="AI1979" s="6" t="s">
        <v>132</v>
      </c>
      <c r="AJ1979" s="6" t="s">
        <v>132</v>
      </c>
      <c r="AK1979" s="7" t="str">
        <f>IFERROR(__xludf.DUMMYFUNCTION("GOOGLETRANSLATE(C1979, ""en"", ""zh"")"),"瓜德罗普")</f>
        <v>瓜德罗普</v>
      </c>
      <c r="AL1979" s="6" t="s">
        <v>132</v>
      </c>
    </row>
    <row r="1980" ht="15.75" customHeight="1">
      <c r="A1980" s="1" t="s">
        <v>127</v>
      </c>
      <c r="B1980" s="1" t="s">
        <v>39251</v>
      </c>
      <c r="C1980" s="1" t="s">
        <v>39252</v>
      </c>
      <c r="D1980" s="8" t="s">
        <v>8780</v>
      </c>
      <c r="E1980" s="1" t="s">
        <v>39253</v>
      </c>
      <c r="F1980" s="6" t="s">
        <v>132</v>
      </c>
      <c r="G1980" s="1" t="s">
        <v>39254</v>
      </c>
      <c r="H1980" s="1" t="s">
        <v>39255</v>
      </c>
      <c r="I1980" s="1" t="s">
        <v>39256</v>
      </c>
      <c r="J1980" s="6" t="s">
        <v>39257</v>
      </c>
      <c r="K1980" s="1" t="s">
        <v>39258</v>
      </c>
      <c r="L1980" s="1" t="s">
        <v>39259</v>
      </c>
      <c r="M1980" s="1" t="s">
        <v>39260</v>
      </c>
      <c r="N1980" s="6" t="s">
        <v>132</v>
      </c>
      <c r="O1980" s="6" t="s">
        <v>39261</v>
      </c>
      <c r="P1980" s="1" t="s">
        <v>8790</v>
      </c>
      <c r="Q1980" s="1" t="s">
        <v>39262</v>
      </c>
      <c r="R1980" s="1" t="s">
        <v>39263</v>
      </c>
      <c r="S1980" s="10" t="s">
        <v>8793</v>
      </c>
      <c r="T1980" s="1" t="s">
        <v>39252</v>
      </c>
      <c r="U1980" s="1" t="s">
        <v>8795</v>
      </c>
      <c r="V1980" s="1" t="s">
        <v>39262</v>
      </c>
      <c r="W1980" s="1" t="s">
        <v>39264</v>
      </c>
      <c r="X1980" s="1" t="s">
        <v>39265</v>
      </c>
      <c r="Y1980" s="1" t="s">
        <v>39266</v>
      </c>
      <c r="Z1980" s="1" t="s">
        <v>39267</v>
      </c>
      <c r="AA1980" s="7" t="str">
        <f>IFERROR(__xludf.DUMMYFUNCTION("GOOGLETRANSLATE(C1980, ""en"", ""ro"")"),"AUTENTIFICARE")</f>
        <v>AUTENTIFICARE</v>
      </c>
      <c r="AB1980" s="1" t="s">
        <v>39268</v>
      </c>
      <c r="AC1980" s="1" t="s">
        <v>39269</v>
      </c>
      <c r="AD1980" s="6" t="s">
        <v>27640</v>
      </c>
      <c r="AE1980" s="1" t="s">
        <v>39252</v>
      </c>
      <c r="AF1980" s="1" t="s">
        <v>39270</v>
      </c>
      <c r="AG1980" s="6" t="s">
        <v>8805</v>
      </c>
      <c r="AH1980" s="1" t="s">
        <v>39271</v>
      </c>
      <c r="AI1980" s="6" t="s">
        <v>132</v>
      </c>
      <c r="AJ1980" s="6" t="s">
        <v>39272</v>
      </c>
      <c r="AK1980" s="1" t="s">
        <v>39273</v>
      </c>
      <c r="AL1980" s="6" t="s">
        <v>132</v>
      </c>
    </row>
    <row r="1981" ht="15.75" customHeight="1">
      <c r="A1981" s="1" t="s">
        <v>127</v>
      </c>
      <c r="B1981" s="1" t="s">
        <v>39274</v>
      </c>
      <c r="C1981" s="1" t="s">
        <v>39275</v>
      </c>
      <c r="D1981" s="8" t="s">
        <v>39276</v>
      </c>
      <c r="E1981" s="1" t="s">
        <v>39277</v>
      </c>
      <c r="F1981" s="6" t="s">
        <v>132</v>
      </c>
      <c r="G1981" s="1" t="s">
        <v>39278</v>
      </c>
      <c r="H1981" s="1" t="s">
        <v>39279</v>
      </c>
      <c r="I1981" s="1" t="s">
        <v>39275</v>
      </c>
      <c r="J1981" s="6" t="s">
        <v>39280</v>
      </c>
      <c r="K1981" s="1" t="s">
        <v>39275</v>
      </c>
      <c r="L1981" s="1" t="s">
        <v>39275</v>
      </c>
      <c r="M1981" s="1" t="s">
        <v>39281</v>
      </c>
      <c r="N1981" s="6" t="s">
        <v>132</v>
      </c>
      <c r="O1981" s="6" t="s">
        <v>39282</v>
      </c>
      <c r="P1981" s="1" t="s">
        <v>39275</v>
      </c>
      <c r="Q1981" s="1" t="s">
        <v>39283</v>
      </c>
      <c r="R1981" s="1" t="s">
        <v>39284</v>
      </c>
      <c r="S1981" s="10" t="s">
        <v>39285</v>
      </c>
      <c r="T1981" s="1" t="s">
        <v>39286</v>
      </c>
      <c r="U1981" s="1" t="s">
        <v>39287</v>
      </c>
      <c r="V1981" s="1" t="s">
        <v>39288</v>
      </c>
      <c r="W1981" s="1" t="s">
        <v>39289</v>
      </c>
      <c r="X1981" s="1" t="s">
        <v>39290</v>
      </c>
      <c r="Y1981" s="1" t="s">
        <v>39291</v>
      </c>
      <c r="Z1981" s="1" t="s">
        <v>39292</v>
      </c>
      <c r="AA1981" s="7" t="str">
        <f>IFERROR(__xludf.DUMMYFUNCTION("GOOGLETRANSLATE(C1981, ""en"", ""ro"")"),"Directorii tranzacții")</f>
        <v>Directorii tranzacții</v>
      </c>
      <c r="AB1981" s="1" t="s">
        <v>39293</v>
      </c>
      <c r="AC1981" s="1" t="s">
        <v>39294</v>
      </c>
      <c r="AD1981" s="6" t="s">
        <v>39295</v>
      </c>
      <c r="AE1981" s="1" t="s">
        <v>39275</v>
      </c>
      <c r="AF1981" s="1" t="s">
        <v>39296</v>
      </c>
      <c r="AG1981" s="6" t="s">
        <v>39297</v>
      </c>
      <c r="AH1981" s="1" t="s">
        <v>39298</v>
      </c>
      <c r="AI1981" s="6" t="s">
        <v>132</v>
      </c>
      <c r="AJ1981" s="6" t="s">
        <v>39299</v>
      </c>
      <c r="AK1981" s="1" t="s">
        <v>39300</v>
      </c>
      <c r="AL1981" s="6" t="s">
        <v>39301</v>
      </c>
    </row>
    <row r="1982" ht="15.75" customHeight="1">
      <c r="A1982" s="1" t="s">
        <v>127</v>
      </c>
      <c r="B1982" s="1" t="s">
        <v>39302</v>
      </c>
      <c r="C1982" s="1" t="s">
        <v>39303</v>
      </c>
      <c r="D1982" s="8" t="s">
        <v>39304</v>
      </c>
      <c r="E1982" s="1" t="s">
        <v>39305</v>
      </c>
      <c r="F1982" s="6" t="s">
        <v>132</v>
      </c>
      <c r="G1982" s="1" t="s">
        <v>39306</v>
      </c>
      <c r="H1982" s="1" t="s">
        <v>39307</v>
      </c>
      <c r="I1982" s="1" t="s">
        <v>25408</v>
      </c>
      <c r="J1982" s="6" t="s">
        <v>39308</v>
      </c>
      <c r="K1982" s="1" t="s">
        <v>39309</v>
      </c>
      <c r="L1982" s="1" t="s">
        <v>39310</v>
      </c>
      <c r="M1982" s="1" t="s">
        <v>39311</v>
      </c>
      <c r="N1982" s="6" t="s">
        <v>132</v>
      </c>
      <c r="O1982" s="6" t="s">
        <v>39312</v>
      </c>
      <c r="P1982" s="1" t="s">
        <v>39313</v>
      </c>
      <c r="Q1982" s="1" t="s">
        <v>39314</v>
      </c>
      <c r="R1982" s="1" t="s">
        <v>39309</v>
      </c>
      <c r="S1982" s="10" t="s">
        <v>39315</v>
      </c>
      <c r="T1982" s="1" t="s">
        <v>39316</v>
      </c>
      <c r="U1982" s="1" t="s">
        <v>39317</v>
      </c>
      <c r="V1982" s="1" t="s">
        <v>39318</v>
      </c>
      <c r="W1982" s="1" t="s">
        <v>25408</v>
      </c>
      <c r="X1982" s="1" t="s">
        <v>39319</v>
      </c>
      <c r="Y1982" s="1" t="s">
        <v>39320</v>
      </c>
      <c r="Z1982" s="1" t="s">
        <v>39321</v>
      </c>
      <c r="AA1982" s="7" t="str">
        <f>IFERROR(__xludf.DUMMYFUNCTION("GOOGLETRANSLATE(C1982, ""en"", ""ro"")"),"Cost")</f>
        <v>Cost</v>
      </c>
      <c r="AB1982" s="1" t="s">
        <v>6410</v>
      </c>
      <c r="AC1982" s="1" t="s">
        <v>39306</v>
      </c>
      <c r="AD1982" s="6" t="s">
        <v>22919</v>
      </c>
      <c r="AE1982" s="1" t="s">
        <v>39322</v>
      </c>
      <c r="AF1982" s="1" t="s">
        <v>39323</v>
      </c>
      <c r="AG1982" s="6" t="s">
        <v>39324</v>
      </c>
      <c r="AH1982" s="1" t="s">
        <v>39325</v>
      </c>
      <c r="AI1982" s="6" t="s">
        <v>132</v>
      </c>
      <c r="AJ1982" s="6" t="s">
        <v>39326</v>
      </c>
      <c r="AK1982" s="1" t="s">
        <v>39327</v>
      </c>
      <c r="AL1982" s="6" t="s">
        <v>39328</v>
      </c>
    </row>
    <row r="1983" ht="15.75" customHeight="1">
      <c r="A1983" s="1" t="s">
        <v>127</v>
      </c>
      <c r="B1983" s="1" t="s">
        <v>39329</v>
      </c>
      <c r="C1983" s="1" t="s">
        <v>39330</v>
      </c>
      <c r="D1983" s="8" t="s">
        <v>39331</v>
      </c>
      <c r="E1983" s="1" t="s">
        <v>39332</v>
      </c>
      <c r="F1983" s="6" t="s">
        <v>132</v>
      </c>
      <c r="G1983" s="1" t="s">
        <v>39333</v>
      </c>
      <c r="H1983" s="1" t="s">
        <v>39334</v>
      </c>
      <c r="I1983" s="1" t="s">
        <v>39335</v>
      </c>
      <c r="J1983" s="6" t="s">
        <v>39336</v>
      </c>
      <c r="K1983" s="1" t="s">
        <v>39337</v>
      </c>
      <c r="L1983" s="1" t="s">
        <v>39338</v>
      </c>
      <c r="M1983" s="1" t="s">
        <v>39339</v>
      </c>
      <c r="N1983" s="6" t="s">
        <v>132</v>
      </c>
      <c r="O1983" s="6" t="s">
        <v>39340</v>
      </c>
      <c r="P1983" s="1" t="s">
        <v>39341</v>
      </c>
      <c r="Q1983" s="1" t="s">
        <v>39342</v>
      </c>
      <c r="R1983" s="1" t="s">
        <v>39343</v>
      </c>
      <c r="S1983" s="10" t="s">
        <v>39344</v>
      </c>
      <c r="T1983" s="1" t="s">
        <v>39345</v>
      </c>
      <c r="U1983" s="1" t="s">
        <v>39346</v>
      </c>
      <c r="V1983" s="1" t="s">
        <v>39347</v>
      </c>
      <c r="W1983" s="1" t="s">
        <v>39330</v>
      </c>
      <c r="X1983" s="1" t="s">
        <v>39348</v>
      </c>
      <c r="Y1983" s="1" t="s">
        <v>39349</v>
      </c>
      <c r="Z1983" s="1" t="s">
        <v>39350</v>
      </c>
      <c r="AA1983" s="7" t="str">
        <f>IFERROR(__xludf.DUMMYFUNCTION("GOOGLETRANSLATE(C1983, ""en"", ""ro"")"),"Data emiterii")</f>
        <v>Data emiterii</v>
      </c>
      <c r="AB1983" s="1" t="s">
        <v>39351</v>
      </c>
      <c r="AC1983" s="1" t="s">
        <v>39352</v>
      </c>
      <c r="AD1983" s="6" t="s">
        <v>39353</v>
      </c>
      <c r="AE1983" s="1" t="s">
        <v>39330</v>
      </c>
      <c r="AF1983" s="1" t="s">
        <v>39335</v>
      </c>
      <c r="AG1983" s="6" t="s">
        <v>39354</v>
      </c>
      <c r="AH1983" s="1" t="s">
        <v>39355</v>
      </c>
      <c r="AI1983" s="6" t="s">
        <v>132</v>
      </c>
      <c r="AJ1983" s="6" t="s">
        <v>39356</v>
      </c>
      <c r="AK1983" s="1" t="s">
        <v>39357</v>
      </c>
      <c r="AL1983" s="6" t="s">
        <v>132</v>
      </c>
    </row>
    <row r="1984" ht="15.75" hidden="1" customHeight="1">
      <c r="A1984" s="1" t="s">
        <v>38</v>
      </c>
      <c r="B1984" s="1" t="s">
        <v>39358</v>
      </c>
      <c r="C1984" s="1" t="s">
        <v>39359</v>
      </c>
      <c r="D1984" s="7" t="str">
        <f>IFERROR(__xludf.DUMMYFUNCTION("GOOGLETRANSLATE(C1984, ""en"", ""ar"")"),"السنغال")</f>
        <v>السنغال</v>
      </c>
      <c r="E1984" s="7" t="str">
        <f>IFERROR(__xludf.DUMMYFUNCTION("GOOGLETRANSLATE(C1984, ""en"", ""bg"")"),"Сенегал")</f>
        <v>Сенегал</v>
      </c>
      <c r="F1984" s="6" t="s">
        <v>132</v>
      </c>
      <c r="G1984" s="7" t="str">
        <f>IFERROR(__xludf.DUMMYFUNCTION("GOOGLETRANSLATE(C1984, ""en"", ""cs"")"),"Senegal.")</f>
        <v>Senegal.</v>
      </c>
      <c r="H1984" s="7" t="str">
        <f>IFERROR(__xludf.DUMMYFUNCTION("GOOGLETRANSLATE(C1984, ""en"", ""da"")"),"Senegal.")</f>
        <v>Senegal.</v>
      </c>
      <c r="I1984" s="1" t="s">
        <v>39359</v>
      </c>
      <c r="J1984" s="6" t="s">
        <v>132</v>
      </c>
      <c r="K1984" s="1" t="s">
        <v>39359</v>
      </c>
      <c r="L1984" s="7" t="str">
        <f>IFERROR(__xludf.DUMMYFUNCTION("GOOGLETRANSLATE(C1984, ""en"", ""fi"")"),"Senegal")</f>
        <v>Senegal</v>
      </c>
      <c r="M1984" s="1" t="s">
        <v>39360</v>
      </c>
      <c r="N1984" s="6" t="s">
        <v>132</v>
      </c>
      <c r="O1984" s="6" t="s">
        <v>132</v>
      </c>
      <c r="P1984" s="1" t="s">
        <v>39359</v>
      </c>
      <c r="Q1984" s="7" t="str">
        <f>IFERROR(__xludf.DUMMYFUNCTION("GOOGLETRANSLATE(C1984, ""en"", ""in"")"),"Senegal.")</f>
        <v>Senegal.</v>
      </c>
      <c r="R1984" s="7" t="str">
        <f>IFERROR(__xludf.DUMMYFUNCTION("GOOGLETRANSLATE(C1984, ""en"", ""it"")"),"Senegal")</f>
        <v>Senegal</v>
      </c>
      <c r="S1984" s="6" t="s">
        <v>132</v>
      </c>
      <c r="T1984" s="7" t="str">
        <f>IFERROR(__xludf.DUMMYFUNCTION("GOOGLETRANSLATE(C1984, ""en"", ""ja"")"),"セネガル")</f>
        <v>セネガル</v>
      </c>
      <c r="U1984" s="7" t="str">
        <f>IFERROR(__xludf.DUMMYFUNCTION("GOOGLETRANSLATE(C1984, ""en"", ""ko"")"),"세네갈")</f>
        <v>세네갈</v>
      </c>
      <c r="V1984" s="7" t="str">
        <f>IFERROR(__xludf.DUMMYFUNCTION("GOOGLETRANSLATE(C1984, ""en"", ""ms"")"),"Senegal.")</f>
        <v>Senegal.</v>
      </c>
      <c r="W1984" s="7" t="str">
        <f>IFERROR(__xludf.DUMMYFUNCTION("GOOGLETRANSLATE(C1984, ""en"", ""nl"")"),"Senegal")</f>
        <v>Senegal</v>
      </c>
      <c r="X1984" s="7" t="str">
        <f>IFERROR(__xludf.DUMMYFUNCTION("GOOGLETRANSLATE(C1984, ""en"", ""no"")"),"Senegal")</f>
        <v>Senegal</v>
      </c>
      <c r="Y1984" s="7" t="str">
        <f>IFERROR(__xludf.DUMMYFUNCTION("GOOGLETRANSLATE(C1984, ""en"", ""pl"")"),"Senegal.")</f>
        <v>Senegal.</v>
      </c>
      <c r="Z1984" s="7" t="str">
        <f>IFERROR(__xludf.DUMMYFUNCTION("GOOGLETRANSLATE(C1984, ""en"", ""pt"")"),"Senegal")</f>
        <v>Senegal</v>
      </c>
      <c r="AA1984" s="7" t="str">
        <f>IFERROR(__xludf.DUMMYFUNCTION("GOOGLETRANSLATE(C1984, ""en"", ""ro"")"),"Senegal.")</f>
        <v>Senegal.</v>
      </c>
      <c r="AB1984" s="1" t="s">
        <v>39361</v>
      </c>
      <c r="AC1984" s="7" t="str">
        <f>IFERROR(__xludf.DUMMYFUNCTION("GOOGLETRANSLATE(C1984, ""en"", ""sk"")"),"Senegal")</f>
        <v>Senegal</v>
      </c>
      <c r="AD1984" s="6" t="s">
        <v>132</v>
      </c>
      <c r="AE1984" s="1" t="s">
        <v>39359</v>
      </c>
      <c r="AF1984" s="7" t="str">
        <f>IFERROR(__xludf.DUMMYFUNCTION("GOOGLETRANSLATE(C1984, ""en"", ""sv"")"),"Senegal")</f>
        <v>Senegal</v>
      </c>
      <c r="AG1984" s="6" t="s">
        <v>132</v>
      </c>
      <c r="AH1984" s="7" t="str">
        <f>IFERROR(__xludf.DUMMYFUNCTION("GOOGLETRANSLATE(C1984, ""en"", ""tr"")"),"Senegal")</f>
        <v>Senegal</v>
      </c>
      <c r="AI1984" s="6" t="s">
        <v>132</v>
      </c>
      <c r="AJ1984" s="6" t="s">
        <v>132</v>
      </c>
      <c r="AK1984" s="7" t="str">
        <f>IFERROR(__xludf.DUMMYFUNCTION("GOOGLETRANSLATE(C1984, ""en"", ""zh"")"),"塞内加尔")</f>
        <v>塞内加尔</v>
      </c>
      <c r="AL1984" s="6" t="s">
        <v>132</v>
      </c>
    </row>
    <row r="1985" ht="15.75" customHeight="1">
      <c r="A1985" s="1" t="s">
        <v>127</v>
      </c>
      <c r="B1985" s="1" t="s">
        <v>39362</v>
      </c>
      <c r="C1985" s="1" t="s">
        <v>852</v>
      </c>
      <c r="D1985" s="8" t="s">
        <v>853</v>
      </c>
      <c r="E1985" s="1" t="s">
        <v>854</v>
      </c>
      <c r="F1985" s="6" t="s">
        <v>132</v>
      </c>
      <c r="G1985" s="1" t="s">
        <v>855</v>
      </c>
      <c r="H1985" s="1" t="s">
        <v>856</v>
      </c>
      <c r="I1985" s="1" t="s">
        <v>857</v>
      </c>
      <c r="J1985" s="6" t="s">
        <v>858</v>
      </c>
      <c r="K1985" s="1" t="s">
        <v>859</v>
      </c>
      <c r="L1985" s="1" t="s">
        <v>860</v>
      </c>
      <c r="M1985" s="1" t="s">
        <v>11638</v>
      </c>
      <c r="N1985" s="6" t="s">
        <v>132</v>
      </c>
      <c r="O1985" s="6" t="s">
        <v>862</v>
      </c>
      <c r="P1985" s="1" t="s">
        <v>11639</v>
      </c>
      <c r="Q1985" s="1" t="s">
        <v>864</v>
      </c>
      <c r="R1985" s="1" t="s">
        <v>865</v>
      </c>
      <c r="S1985" s="10" t="s">
        <v>866</v>
      </c>
      <c r="T1985" s="1" t="s">
        <v>867</v>
      </c>
      <c r="U1985" s="1" t="s">
        <v>868</v>
      </c>
      <c r="V1985" s="1" t="s">
        <v>869</v>
      </c>
      <c r="W1985" s="1" t="s">
        <v>11640</v>
      </c>
      <c r="X1985" s="1" t="s">
        <v>856</v>
      </c>
      <c r="Y1985" s="1" t="s">
        <v>871</v>
      </c>
      <c r="Z1985" s="1" t="s">
        <v>872</v>
      </c>
      <c r="AA1985" s="7" t="str">
        <f>IFERROR(__xludf.DUMMYFUNCTION("GOOGLETRANSLATE(C1985, ""en"", ""ro"")"),"Valutele")</f>
        <v>Valutele</v>
      </c>
      <c r="AB1985" s="1" t="s">
        <v>29656</v>
      </c>
      <c r="AC1985" s="1" t="s">
        <v>874</v>
      </c>
      <c r="AD1985" s="6" t="s">
        <v>865</v>
      </c>
      <c r="AE1985" s="1" t="s">
        <v>29645</v>
      </c>
      <c r="AF1985" s="1" t="s">
        <v>875</v>
      </c>
      <c r="AG1985" s="6" t="s">
        <v>876</v>
      </c>
      <c r="AH1985" s="1" t="s">
        <v>11641</v>
      </c>
      <c r="AI1985" s="6" t="s">
        <v>132</v>
      </c>
      <c r="AJ1985" s="6" t="s">
        <v>878</v>
      </c>
      <c r="AK1985" s="1" t="s">
        <v>879</v>
      </c>
      <c r="AL1985" s="6" t="s">
        <v>29659</v>
      </c>
    </row>
    <row r="1986" ht="15.75" customHeight="1">
      <c r="A1986" s="1" t="s">
        <v>127</v>
      </c>
      <c r="B1986" s="1" t="s">
        <v>39363</v>
      </c>
      <c r="C1986" s="1" t="s">
        <v>39364</v>
      </c>
      <c r="D1986" s="8" t="s">
        <v>39365</v>
      </c>
      <c r="E1986" s="1" t="s">
        <v>39366</v>
      </c>
      <c r="F1986" s="6" t="s">
        <v>132</v>
      </c>
      <c r="G1986" s="1" t="s">
        <v>39367</v>
      </c>
      <c r="H1986" s="1" t="s">
        <v>39368</v>
      </c>
      <c r="I1986" s="1" t="s">
        <v>39369</v>
      </c>
      <c r="J1986" s="6" t="s">
        <v>39370</v>
      </c>
      <c r="K1986" s="1" t="s">
        <v>39371</v>
      </c>
      <c r="L1986" s="1" t="s">
        <v>39372</v>
      </c>
      <c r="M1986" s="1" t="s">
        <v>39373</v>
      </c>
      <c r="N1986" s="6" t="s">
        <v>132</v>
      </c>
      <c r="O1986" s="6" t="s">
        <v>39374</v>
      </c>
      <c r="P1986" s="1" t="s">
        <v>39375</v>
      </c>
      <c r="Q1986" s="1" t="s">
        <v>39376</v>
      </c>
      <c r="R1986" s="1" t="s">
        <v>39377</v>
      </c>
      <c r="S1986" s="10" t="s">
        <v>39378</v>
      </c>
      <c r="T1986" s="1" t="s">
        <v>39379</v>
      </c>
      <c r="U1986" s="1" t="s">
        <v>39380</v>
      </c>
      <c r="V1986" s="1" t="s">
        <v>39381</v>
      </c>
      <c r="W1986" s="1" t="s">
        <v>39382</v>
      </c>
      <c r="X1986" s="1" t="s">
        <v>39383</v>
      </c>
      <c r="Y1986" s="1" t="s">
        <v>39384</v>
      </c>
      <c r="Z1986" s="1" t="s">
        <v>39371</v>
      </c>
      <c r="AA1986" s="7" t="str">
        <f>IFERROR(__xludf.DUMMYFUNCTION("GOOGLETRANSLATE(C1986, ""en"", ""ro"")"),"Zvonuri")</f>
        <v>Zvonuri</v>
      </c>
      <c r="AB1986" s="1" t="s">
        <v>39385</v>
      </c>
      <c r="AC1986" s="1" t="s">
        <v>39386</v>
      </c>
      <c r="AD1986" s="6" t="s">
        <v>39387</v>
      </c>
      <c r="AE1986" s="1" t="s">
        <v>39388</v>
      </c>
      <c r="AF1986" s="1" t="s">
        <v>39389</v>
      </c>
      <c r="AG1986" s="6" t="s">
        <v>39390</v>
      </c>
      <c r="AH1986" s="1" t="s">
        <v>39391</v>
      </c>
      <c r="AI1986" s="6" t="s">
        <v>132</v>
      </c>
      <c r="AJ1986" s="6" t="s">
        <v>39392</v>
      </c>
      <c r="AK1986" s="1" t="s">
        <v>39393</v>
      </c>
      <c r="AL1986" s="6" t="s">
        <v>39394</v>
      </c>
    </row>
    <row r="1987" ht="15.75" hidden="1" customHeight="1">
      <c r="A1987" s="1" t="s">
        <v>38</v>
      </c>
      <c r="B1987" s="1" t="s">
        <v>39395</v>
      </c>
      <c r="C1987" s="1" t="s">
        <v>39396</v>
      </c>
      <c r="D1987" s="8" t="s">
        <v>39397</v>
      </c>
      <c r="E1987" s="1" t="s">
        <v>39398</v>
      </c>
      <c r="F1987" s="6" t="s">
        <v>39399</v>
      </c>
      <c r="G1987" s="7" t="str">
        <f>IFERROR(__xludf.DUMMYFUNCTION("GOOGLETRANSLATE(C1987, ""en"", ""cs"")"),"Stáhnout% S.")</f>
        <v>Stáhnout% S.</v>
      </c>
      <c r="H1987" s="7" t="str">
        <f>IFERROR(__xludf.DUMMYFUNCTION("GOOGLETRANSLATE(C1987, ""en"", ""da"")"),"Downloads")</f>
        <v>Downloads</v>
      </c>
      <c r="I1987" s="1" t="s">
        <v>39400</v>
      </c>
      <c r="J1987" s="6" t="s">
        <v>132</v>
      </c>
      <c r="K1987" s="1" t="s">
        <v>39401</v>
      </c>
      <c r="L1987" s="7" t="str">
        <f>IFERROR(__xludf.DUMMYFUNCTION("GOOGLETRANSLATE(C1987, ""en"", ""fi"")"),"Lataa% s")</f>
        <v>Lataa% s</v>
      </c>
      <c r="M1987" s="1" t="s">
        <v>39402</v>
      </c>
      <c r="N1987" s="6" t="s">
        <v>39401</v>
      </c>
      <c r="O1987" s="6" t="s">
        <v>132</v>
      </c>
      <c r="P1987" s="1" t="s">
        <v>39403</v>
      </c>
      <c r="Q1987" s="9" t="s">
        <v>39404</v>
      </c>
      <c r="R1987" s="1" t="s">
        <v>39405</v>
      </c>
      <c r="S1987" s="6" t="s">
        <v>132</v>
      </c>
      <c r="T1987" s="1" t="s">
        <v>39406</v>
      </c>
      <c r="U1987" s="1" t="s">
        <v>39407</v>
      </c>
      <c r="V1987" s="7" t="str">
        <f>IFERROR(__xludf.DUMMYFUNCTION("GOOGLETRANSLATE(C1987, ""en"", ""ms"")"),"Muat turun% S.")</f>
        <v>Muat turun% S.</v>
      </c>
      <c r="W1987" s="1" t="s">
        <v>39408</v>
      </c>
      <c r="X1987" s="7" t="str">
        <f>IFERROR(__xludf.DUMMYFUNCTION("GOOGLETRANSLATE(C1987, ""en"", ""no"")"),"Last ned% S.")</f>
        <v>Last ned% S.</v>
      </c>
      <c r="Y1987" s="1" t="s">
        <v>39409</v>
      </c>
      <c r="Z1987" s="1" t="s">
        <v>39410</v>
      </c>
      <c r="AA1987" s="7" t="str">
        <f>IFERROR(__xludf.DUMMYFUNCTION("GOOGLETRANSLATE(C1987, ""en"", ""ro"")"),"Descărcați% S.")</f>
        <v>Descărcați% S.</v>
      </c>
      <c r="AB1987" s="1" t="s">
        <v>39411</v>
      </c>
      <c r="AC1987" s="1" t="s">
        <v>39412</v>
      </c>
      <c r="AD1987" s="6" t="s">
        <v>132</v>
      </c>
      <c r="AE1987" s="1" t="s">
        <v>39413</v>
      </c>
      <c r="AF1987" s="1" t="s">
        <v>39414</v>
      </c>
      <c r="AG1987" s="6" t="s">
        <v>132</v>
      </c>
      <c r="AH1987" s="7" t="str">
        <f>IFERROR(__xludf.DUMMYFUNCTION("GOOGLETRANSLATE(C1987, ""en"", ""tr"")"),"İndirilenler")</f>
        <v>İndirilenler</v>
      </c>
      <c r="AI1987" s="6" t="s">
        <v>39415</v>
      </c>
      <c r="AJ1987" s="6" t="s">
        <v>39416</v>
      </c>
      <c r="AK1987" s="7" t="str">
        <f>IFERROR(__xludf.DUMMYFUNCTION("GOOGLETRANSLATE(C1987, ""en"", ""zh"")"),"下载％S.")</f>
        <v>下载％S.</v>
      </c>
      <c r="AL1987" s="6" t="s">
        <v>39417</v>
      </c>
    </row>
    <row r="1988" ht="15.75" customHeight="1">
      <c r="A1988" s="1" t="s">
        <v>127</v>
      </c>
      <c r="B1988" s="1" t="s">
        <v>39418</v>
      </c>
      <c r="C1988" s="1" t="s">
        <v>39419</v>
      </c>
      <c r="D1988" s="8" t="s">
        <v>39420</v>
      </c>
      <c r="E1988" s="1" t="s">
        <v>39421</v>
      </c>
      <c r="F1988" s="6" t="s">
        <v>132</v>
      </c>
      <c r="G1988" s="1" t="s">
        <v>39422</v>
      </c>
      <c r="H1988" s="1" t="s">
        <v>39423</v>
      </c>
      <c r="I1988" s="1" t="s">
        <v>39424</v>
      </c>
      <c r="J1988" s="6" t="s">
        <v>39425</v>
      </c>
      <c r="K1988" s="1" t="s">
        <v>39426</v>
      </c>
      <c r="L1988" s="1" t="s">
        <v>39427</v>
      </c>
      <c r="M1988" s="1" t="s">
        <v>39428</v>
      </c>
      <c r="N1988" s="6" t="s">
        <v>132</v>
      </c>
      <c r="O1988" s="6" t="s">
        <v>39429</v>
      </c>
      <c r="P1988" s="1" t="s">
        <v>39430</v>
      </c>
      <c r="Q1988" s="1" t="s">
        <v>39431</v>
      </c>
      <c r="R1988" s="1" t="s">
        <v>39432</v>
      </c>
      <c r="S1988" s="10" t="s">
        <v>39433</v>
      </c>
      <c r="T1988" s="1" t="s">
        <v>39434</v>
      </c>
      <c r="U1988" s="1" t="s">
        <v>39435</v>
      </c>
      <c r="V1988" s="1" t="s">
        <v>39436</v>
      </c>
      <c r="W1988" s="1" t="s">
        <v>39437</v>
      </c>
      <c r="X1988" s="1" t="s">
        <v>39438</v>
      </c>
      <c r="Y1988" s="1" t="s">
        <v>39439</v>
      </c>
      <c r="Z1988" s="1" t="s">
        <v>39440</v>
      </c>
      <c r="AA1988" s="7" t="str">
        <f>IFERROR(__xludf.DUMMYFUNCTION("GOOGLETRANSLATE(C1988, ""en"", ""ro"")"),"Noua listă de urmărire")</f>
        <v>Noua listă de urmărire</v>
      </c>
      <c r="AB1988" s="1" t="s">
        <v>39441</v>
      </c>
      <c r="AC1988" s="1" t="s">
        <v>39442</v>
      </c>
      <c r="AD1988" s="6" t="s">
        <v>39443</v>
      </c>
      <c r="AE1988" s="1" t="s">
        <v>39444</v>
      </c>
      <c r="AF1988" s="1" t="s">
        <v>39445</v>
      </c>
      <c r="AG1988" s="6" t="s">
        <v>39446</v>
      </c>
      <c r="AH1988" s="1" t="s">
        <v>39447</v>
      </c>
      <c r="AI1988" s="6" t="s">
        <v>132</v>
      </c>
      <c r="AJ1988" s="6" t="s">
        <v>39448</v>
      </c>
      <c r="AK1988" s="1" t="s">
        <v>39449</v>
      </c>
      <c r="AL1988" s="6" t="s">
        <v>39450</v>
      </c>
    </row>
    <row r="1989" ht="15.75" hidden="1" customHeight="1">
      <c r="A1989" s="1" t="s">
        <v>38</v>
      </c>
      <c r="B1989" s="1" t="s">
        <v>39451</v>
      </c>
      <c r="C1989" s="1" t="s">
        <v>39452</v>
      </c>
      <c r="D1989" s="7" t="str">
        <f>IFERROR(__xludf.DUMMYFUNCTION("GOOGLETRANSLATE(C1989, ""en"", ""ar"")"),"هل أنت متأكد أنك تريد حذف هذا الملف؟ \ n \ n")</f>
        <v>هل أنت متأكد أنك تريد حذف هذا الملف؟ \ n \ n</v>
      </c>
      <c r="E1989" s="1" t="s">
        <v>39453</v>
      </c>
      <c r="F1989" s="6" t="s">
        <v>39454</v>
      </c>
      <c r="G1989" s="7" t="str">
        <f>IFERROR(__xludf.DUMMYFUNCTION("GOOGLETRANSLATE(C1989, ""en"", ""cs"")"),"Opravdu chcete tento soubor odstranit? N \ n")</f>
        <v>Opravdu chcete tento soubor odstranit? N \ n</v>
      </c>
      <c r="H1989" s="7" t="str">
        <f>IFERROR(__xludf.DUMMYFUNCTION("GOOGLETRANSLATE(C1989, ""en"", ""da"")"),"Er du sikker på, at du vil slette denne fil? \ N \ n")</f>
        <v>Er du sikker på, at du vil slette denne fil? \ N \ n</v>
      </c>
      <c r="I1989" s="1" t="s">
        <v>39455</v>
      </c>
      <c r="J1989" s="6" t="s">
        <v>132</v>
      </c>
      <c r="K1989" s="1" t="s">
        <v>39456</v>
      </c>
      <c r="L1989" s="7" t="str">
        <f>IFERROR(__xludf.DUMMYFUNCTION("GOOGLETRANSLATE(C1989, ""en"", ""fi"")"),"Haluatko varmasti poistaa tämän tiedoston? \ N \ n")</f>
        <v>Haluatko varmasti poistaa tämän tiedoston? \ N \ n</v>
      </c>
      <c r="M1989" s="1" t="s">
        <v>39457</v>
      </c>
      <c r="N1989" s="6" t="s">
        <v>39458</v>
      </c>
      <c r="O1989" s="6" t="s">
        <v>132</v>
      </c>
      <c r="P1989" s="1" t="s">
        <v>39459</v>
      </c>
      <c r="Q1989" s="7" t="str">
        <f>IFERROR(__xludf.DUMMYFUNCTION("GOOGLETRANSLATE(C1989, ""en"", ""in"")"),"Apakah Anda yakin ingin menghapus file ini? \ N \ n")</f>
        <v>Apakah Anda yakin ingin menghapus file ini? \ N \ n</v>
      </c>
      <c r="R1989" s="1" t="s">
        <v>39460</v>
      </c>
      <c r="S1989" s="6" t="s">
        <v>132</v>
      </c>
      <c r="T1989" s="7" t="str">
        <f>IFERROR(__xludf.DUMMYFUNCTION("GOOGLETRANSLATE(C1989, ""en"", ""ja"")"),"このファイルを削除してもよろしいですか？\ n \ n")</f>
        <v>このファイルを削除してもよろしいですか？\ n \ n</v>
      </c>
      <c r="U1989" s="7" t="str">
        <f>IFERROR(__xludf.DUMMYFUNCTION("GOOGLETRANSLATE(C1989, ""en"", ""ko"")"),"이 파일을 삭제 하시겠습니까? \ n \ n")</f>
        <v>이 파일을 삭제 하시겠습니까? \ n \ n</v>
      </c>
      <c r="V1989" s="7" t="str">
        <f>IFERROR(__xludf.DUMMYFUNCTION("GOOGLETRANSLATE(C1989, ""en"", ""ms"")"),"Adakah anda pasti mahu memadamkan fail ini? \ N \ n")</f>
        <v>Adakah anda pasti mahu memadamkan fail ini? \ N \ n</v>
      </c>
      <c r="W1989" s="1" t="s">
        <v>39461</v>
      </c>
      <c r="X1989" s="7" t="str">
        <f>IFERROR(__xludf.DUMMYFUNCTION("GOOGLETRANSLATE(C1989, ""en"", ""no"")"),"Er du sikker på at du vil slette denne filen? \ N \ n")</f>
        <v>Er du sikker på at du vil slette denne filen? \ N \ n</v>
      </c>
      <c r="Y1989" s="1" t="s">
        <v>39462</v>
      </c>
      <c r="Z1989" s="7" t="str">
        <f>IFERROR(__xludf.DUMMYFUNCTION("GOOGLETRANSLATE(C1989, ""en"", ""pt"")"),"Tem certeza de que deseja excluir este arquivo? \ N \ n")</f>
        <v>Tem certeza de que deseja excluir este arquivo? \ N \ n</v>
      </c>
      <c r="AA1989" s="7" t="str">
        <f>IFERROR(__xludf.DUMMYFUNCTION("GOOGLETRANSLATE(C1989, ""en"", ""ro"")"),"Sigur doriți să ștergeți acest fișier? \ N \ n")</f>
        <v>Sigur doriți să ștergeți acest fișier? \ N \ n</v>
      </c>
      <c r="AB1989" s="1" t="s">
        <v>39463</v>
      </c>
      <c r="AC1989" s="7" t="str">
        <f>IFERROR(__xludf.DUMMYFUNCTION("GOOGLETRANSLATE(C1989, ""en"", ""sk"")"),"Ste si istý, že chcete odstrániť tento súbor? \ N")</f>
        <v>Ste si istý, že chcete odstrániť tento súbor? \ N</v>
      </c>
      <c r="AD1989" s="6" t="s">
        <v>132</v>
      </c>
      <c r="AE1989" s="7" t="str">
        <f>IFERROR(__xludf.DUMMYFUNCTION("GOOGLETRANSLATE(C1989, ""en"", ""sr"")"),"Јесте ли сигурни да желите да избришете ову датотеку? \ Н \ н")</f>
        <v>Јесте ли сигурни да желите да избришете ову датотеку? \ Н \ н</v>
      </c>
      <c r="AF1989" s="7" t="str">
        <f>IFERROR(__xludf.DUMMYFUNCTION("GOOGLETRANSLATE(C1989, ""en"", ""sv"")"),"Är du säker på att du vill radera den här filen? \ N \ n")</f>
        <v>Är du säker på att du vill radera den här filen? \ N \ n</v>
      </c>
      <c r="AG1989" s="6" t="s">
        <v>132</v>
      </c>
      <c r="AH1989" s="7" t="str">
        <f>IFERROR(__xludf.DUMMYFUNCTION("GOOGLETRANSLATE(C1989, ""en"", ""tr"")"),"Bu dosyayı silmek istediğinize emin misiniz? \ N \ n")</f>
        <v>Bu dosyayı silmek istediğinize emin misiniz? \ N \ n</v>
      </c>
      <c r="AI1989" s="6" t="s">
        <v>132</v>
      </c>
      <c r="AJ1989" s="6" t="s">
        <v>132</v>
      </c>
      <c r="AK1989" s="7" t="str">
        <f>IFERROR(__xludf.DUMMYFUNCTION("GOOGLETRANSLATE(C1989, ""en"", ""zh"")"),"您确定要删除此文件吗？\ n \ n")</f>
        <v>您确定要删除此文件吗？\ n \ n</v>
      </c>
      <c r="AL1989" s="6" t="s">
        <v>132</v>
      </c>
    </row>
    <row r="1990" ht="15.75" customHeight="1">
      <c r="A1990" s="1" t="s">
        <v>127</v>
      </c>
      <c r="B1990" s="1" t="s">
        <v>39464</v>
      </c>
      <c r="C1990" s="1" t="s">
        <v>5370</v>
      </c>
      <c r="D1990" s="8" t="s">
        <v>5371</v>
      </c>
      <c r="E1990" s="1" t="s">
        <v>5372</v>
      </c>
      <c r="F1990" s="6" t="s">
        <v>132</v>
      </c>
      <c r="G1990" s="1" t="s">
        <v>5373</v>
      </c>
      <c r="H1990" s="1" t="s">
        <v>5374</v>
      </c>
      <c r="I1990" s="1" t="s">
        <v>5375</v>
      </c>
      <c r="J1990" s="6" t="s">
        <v>5376</v>
      </c>
      <c r="K1990" s="1" t="s">
        <v>5377</v>
      </c>
      <c r="L1990" s="1" t="s">
        <v>5378</v>
      </c>
      <c r="M1990" s="1" t="s">
        <v>5379</v>
      </c>
      <c r="N1990" s="6" t="s">
        <v>132</v>
      </c>
      <c r="O1990" s="6" t="s">
        <v>5380</v>
      </c>
      <c r="P1990" s="1" t="s">
        <v>5381</v>
      </c>
      <c r="Q1990" s="1" t="s">
        <v>5382</v>
      </c>
      <c r="R1990" s="1" t="s">
        <v>5383</v>
      </c>
      <c r="S1990" s="10" t="s">
        <v>5384</v>
      </c>
      <c r="T1990" s="1" t="s">
        <v>5385</v>
      </c>
      <c r="U1990" s="1" t="s">
        <v>5386</v>
      </c>
      <c r="V1990" s="1" t="s">
        <v>5382</v>
      </c>
      <c r="W1990" s="1" t="s">
        <v>5387</v>
      </c>
      <c r="X1990" s="1" t="s">
        <v>5374</v>
      </c>
      <c r="Y1990" s="1" t="s">
        <v>39465</v>
      </c>
      <c r="Z1990" s="1" t="s">
        <v>39466</v>
      </c>
      <c r="AA1990" s="7" t="str">
        <f>IFERROR(__xludf.DUMMYFUNCTION("GOOGLETRANSLATE(C1990, ""en"", ""ro"")"),"1 an")</f>
        <v>1 an</v>
      </c>
      <c r="AB1990" s="1" t="s">
        <v>39467</v>
      </c>
      <c r="AC1990" s="1" t="s">
        <v>5373</v>
      </c>
      <c r="AD1990" s="6" t="s">
        <v>5391</v>
      </c>
      <c r="AE1990" s="1" t="s">
        <v>39468</v>
      </c>
      <c r="AF1990" s="1" t="s">
        <v>5374</v>
      </c>
      <c r="AG1990" s="6" t="s">
        <v>5393</v>
      </c>
      <c r="AH1990" s="1" t="s">
        <v>15310</v>
      </c>
      <c r="AI1990" s="6" t="s">
        <v>132</v>
      </c>
      <c r="AJ1990" s="6" t="s">
        <v>5395</v>
      </c>
      <c r="AK1990" s="1" t="s">
        <v>5396</v>
      </c>
      <c r="AL1990" s="6" t="s">
        <v>5397</v>
      </c>
    </row>
    <row r="1991" ht="15.75" customHeight="1">
      <c r="A1991" s="1" t="s">
        <v>127</v>
      </c>
      <c r="B1991" s="1" t="s">
        <v>39469</v>
      </c>
      <c r="C1991" s="1" t="s">
        <v>39470</v>
      </c>
      <c r="D1991" s="8" t="s">
        <v>39471</v>
      </c>
      <c r="E1991" s="1" t="s">
        <v>39472</v>
      </c>
      <c r="F1991" s="6" t="s">
        <v>132</v>
      </c>
      <c r="G1991" s="1" t="s">
        <v>39473</v>
      </c>
      <c r="H1991" s="1" t="s">
        <v>39474</v>
      </c>
      <c r="I1991" s="1" t="s">
        <v>39475</v>
      </c>
      <c r="J1991" s="6" t="s">
        <v>39476</v>
      </c>
      <c r="K1991" s="1" t="s">
        <v>39477</v>
      </c>
      <c r="L1991" s="1" t="s">
        <v>39478</v>
      </c>
      <c r="M1991" s="1" t="s">
        <v>39479</v>
      </c>
      <c r="N1991" s="6" t="s">
        <v>132</v>
      </c>
      <c r="O1991" s="6" t="s">
        <v>39480</v>
      </c>
      <c r="P1991" s="1" t="s">
        <v>39481</v>
      </c>
      <c r="Q1991" s="1" t="s">
        <v>39482</v>
      </c>
      <c r="R1991" s="1" t="s">
        <v>39483</v>
      </c>
      <c r="S1991" s="10" t="s">
        <v>39484</v>
      </c>
      <c r="T1991" s="1" t="s">
        <v>39485</v>
      </c>
      <c r="U1991" s="1" t="s">
        <v>39486</v>
      </c>
      <c r="V1991" s="1" t="s">
        <v>39487</v>
      </c>
      <c r="W1991" s="1" t="s">
        <v>39488</v>
      </c>
      <c r="X1991" s="1" t="s">
        <v>39489</v>
      </c>
      <c r="Y1991" s="1" t="s">
        <v>39490</v>
      </c>
      <c r="Z1991" s="1" t="s">
        <v>39491</v>
      </c>
      <c r="AA1991" s="7" t="str">
        <f>IFERROR(__xludf.DUMMYFUNCTION("GOOGLETRANSLATE(C1991, ""en"", ""ro"")"),"Tranzacția a fost finalizată cu succes!")</f>
        <v>Tranzacția a fost finalizată cu succes!</v>
      </c>
      <c r="AB1991" s="1" t="s">
        <v>39492</v>
      </c>
      <c r="AC1991" s="1" t="s">
        <v>39493</v>
      </c>
      <c r="AD1991" s="6" t="s">
        <v>39494</v>
      </c>
      <c r="AE1991" s="1" t="s">
        <v>39495</v>
      </c>
      <c r="AF1991" s="1" t="s">
        <v>39496</v>
      </c>
      <c r="AG1991" s="6" t="s">
        <v>39497</v>
      </c>
      <c r="AH1991" s="1" t="s">
        <v>39498</v>
      </c>
      <c r="AI1991" s="6" t="s">
        <v>132</v>
      </c>
      <c r="AJ1991" s="6" t="s">
        <v>39499</v>
      </c>
      <c r="AK1991" s="1" t="s">
        <v>39500</v>
      </c>
      <c r="AL1991" s="6" t="s">
        <v>39501</v>
      </c>
    </row>
    <row r="1992" ht="15.75" hidden="1" customHeight="1">
      <c r="A1992" s="1" t="s">
        <v>38</v>
      </c>
      <c r="B1992" s="1" t="s">
        <v>39502</v>
      </c>
      <c r="C1992" s="1" t="s">
        <v>39503</v>
      </c>
      <c r="D1992" s="7" t="str">
        <f>IFERROR(__xludf.DUMMYFUNCTION("GOOGLETRANSLATE(C1992, ""en"", ""ar"")"),"تحقق")</f>
        <v>تحقق</v>
      </c>
      <c r="E1992" s="7" t="str">
        <f>IFERROR(__xludf.DUMMYFUNCTION("GOOGLETRANSLATE(C1992, ""en"", ""bg"")"),"Проверка")</f>
        <v>Проверка</v>
      </c>
      <c r="F1992" s="6" t="s">
        <v>132</v>
      </c>
      <c r="G1992" s="7" t="str">
        <f>IFERROR(__xludf.DUMMYFUNCTION("GOOGLETRANSLATE(C1992, ""en"", ""cs"")"),"Ověřovat")</f>
        <v>Ověřovat</v>
      </c>
      <c r="H1992" s="7" t="str">
        <f>IFERROR(__xludf.DUMMYFUNCTION("GOOGLETRANSLATE(C1992, ""en"", ""da"")"),"Verificere")</f>
        <v>Verificere</v>
      </c>
      <c r="I1992" s="7" t="str">
        <f>IFERROR(__xludf.DUMMYFUNCTION("GOOGLETRANSLATE(C1992, ""en"", ""de"")"),"Überprüfen")</f>
        <v>Überprüfen</v>
      </c>
      <c r="J1992" s="6" t="s">
        <v>132</v>
      </c>
      <c r="K1992" s="7" t="str">
        <f>IFERROR(__xludf.DUMMYFUNCTION("GOOGLETRANSLATE(C1992, ""en"", ""es"")"),"Verificar")</f>
        <v>Verificar</v>
      </c>
      <c r="L1992" s="7" t="str">
        <f>IFERROR(__xludf.DUMMYFUNCTION("GOOGLETRANSLATE(C1992, ""en"", ""fi"")"),"Tarkistaa")</f>
        <v>Tarkistaa</v>
      </c>
      <c r="M1992" s="7" t="str">
        <f>IFERROR(__xludf.DUMMYFUNCTION("GOOGLETRANSLATE(C1992, ""en"", ""fr"")"),"Vérifier")</f>
        <v>Vérifier</v>
      </c>
      <c r="N1992" s="6" t="s">
        <v>132</v>
      </c>
      <c r="O1992" s="6" t="s">
        <v>132</v>
      </c>
      <c r="P1992" s="7" t="str">
        <f>IFERROR(__xludf.DUMMYFUNCTION("GOOGLETRANSLATE(C1992, ""en"", ""hu"")"),"Ellenőriz")</f>
        <v>Ellenőriz</v>
      </c>
      <c r="Q1992" s="7" t="str">
        <f>IFERROR(__xludf.DUMMYFUNCTION("GOOGLETRANSLATE(C1992, ""en"", ""in"")"),"Memeriksa")</f>
        <v>Memeriksa</v>
      </c>
      <c r="R1992" s="7" t="str">
        <f>IFERROR(__xludf.DUMMYFUNCTION("GOOGLETRANSLATE(C1992, ""en"", ""it"")"),"Verificare")</f>
        <v>Verificare</v>
      </c>
      <c r="S1992" s="6" t="s">
        <v>132</v>
      </c>
      <c r="T1992" s="7" t="str">
        <f>IFERROR(__xludf.DUMMYFUNCTION("GOOGLETRANSLATE(C1992, ""en"", ""ja"")"),"確認")</f>
        <v>確認</v>
      </c>
      <c r="U1992" s="7" t="str">
        <f>IFERROR(__xludf.DUMMYFUNCTION("GOOGLETRANSLATE(C1992, ""en"", ""ko"")"),"검증")</f>
        <v>검증</v>
      </c>
      <c r="V1992" s="7" t="str">
        <f>IFERROR(__xludf.DUMMYFUNCTION("GOOGLETRANSLATE(C1992, ""en"", ""ms"")"),"Sahkan")</f>
        <v>Sahkan</v>
      </c>
      <c r="W1992" s="7" t="str">
        <f>IFERROR(__xludf.DUMMYFUNCTION("GOOGLETRANSLATE(C1992, ""en"", ""nl"")"),"Verifiëren")</f>
        <v>Verifiëren</v>
      </c>
      <c r="X1992" s="7" t="str">
        <f>IFERROR(__xludf.DUMMYFUNCTION("GOOGLETRANSLATE(C1992, ""en"", ""no"")"),"Bekrefte")</f>
        <v>Bekrefte</v>
      </c>
      <c r="Y1992" s="7" t="str">
        <f>IFERROR(__xludf.DUMMYFUNCTION("GOOGLETRANSLATE(C1992, ""en"", ""pl"")"),"Zweryfikować")</f>
        <v>Zweryfikować</v>
      </c>
      <c r="Z1992" s="7" t="str">
        <f>IFERROR(__xludf.DUMMYFUNCTION("GOOGLETRANSLATE(C1992, ""en"", ""pt"")"),"Verificar")</f>
        <v>Verificar</v>
      </c>
      <c r="AA1992" s="7" t="str">
        <f>IFERROR(__xludf.DUMMYFUNCTION("GOOGLETRANSLATE(C1992, ""en"", ""ro"")"),"Verifica")</f>
        <v>Verifica</v>
      </c>
      <c r="AB1992" s="7" t="str">
        <f>IFERROR(__xludf.DUMMYFUNCTION("GOOGLETRANSLATE(C1992, ""en"", ""ru"")"),"Проверять")</f>
        <v>Проверять</v>
      </c>
      <c r="AC1992" s="7" t="str">
        <f>IFERROR(__xludf.DUMMYFUNCTION("GOOGLETRANSLATE(C1992, ""en"", ""sk"")"),"Overiť")</f>
        <v>Overiť</v>
      </c>
      <c r="AD1992" s="6" t="s">
        <v>132</v>
      </c>
      <c r="AE1992" s="7" t="str">
        <f>IFERROR(__xludf.DUMMYFUNCTION("GOOGLETRANSLATE(C1992, ""en"", ""sr"")"),"Проверити")</f>
        <v>Проверити</v>
      </c>
      <c r="AF1992" s="7" t="str">
        <f>IFERROR(__xludf.DUMMYFUNCTION("GOOGLETRANSLATE(C1992, ""en"", ""sv"")"),"Kontrollera")</f>
        <v>Kontrollera</v>
      </c>
      <c r="AG1992" s="6" t="s">
        <v>132</v>
      </c>
      <c r="AH1992" s="7" t="str">
        <f>IFERROR(__xludf.DUMMYFUNCTION("GOOGLETRANSLATE(C1992, ""en"", ""tr"")"),"Doğrulayın")</f>
        <v>Doğrulayın</v>
      </c>
      <c r="AI1992" s="6" t="s">
        <v>132</v>
      </c>
      <c r="AJ1992" s="6" t="s">
        <v>132</v>
      </c>
      <c r="AK1992" s="7" t="str">
        <f>IFERROR(__xludf.DUMMYFUNCTION("GOOGLETRANSLATE(C1992, ""en"", ""zh"")"),"核实")</f>
        <v>核实</v>
      </c>
      <c r="AL1992" s="6" t="s">
        <v>132</v>
      </c>
    </row>
    <row r="1993" ht="15.75" hidden="1" customHeight="1">
      <c r="A1993" s="1" t="s">
        <v>38</v>
      </c>
      <c r="B1993" s="1" t="s">
        <v>39504</v>
      </c>
      <c r="C1993" s="1" t="s">
        <v>39505</v>
      </c>
      <c r="D1993" s="8" t="s">
        <v>39506</v>
      </c>
      <c r="E1993" s="1" t="s">
        <v>39507</v>
      </c>
      <c r="F1993" s="6" t="s">
        <v>39508</v>
      </c>
      <c r="G1993" s="7" t="str">
        <f>IFERROR(__xludf.DUMMYFUNCTION("GOOGLETRANSLATE(C1993, ""en"", ""cs"")"),"Nebyla nalezena žádná žádost o otevření souboru")</f>
        <v>Nebyla nalezena žádná žádost o otevření souboru</v>
      </c>
      <c r="H1993" s="7" t="str">
        <f>IFERROR(__xludf.DUMMYFUNCTION("GOOGLETRANSLATE(C1993, ""en"", ""da"")"),"Ingen ansøgning fundet for at åbne filen")</f>
        <v>Ingen ansøgning fundet for at åbne filen</v>
      </c>
      <c r="I1993" s="1" t="s">
        <v>39509</v>
      </c>
      <c r="J1993" s="6" t="s">
        <v>132</v>
      </c>
      <c r="K1993" s="1" t="s">
        <v>39510</v>
      </c>
      <c r="L1993" s="7" t="str">
        <f>IFERROR(__xludf.DUMMYFUNCTION("GOOGLETRANSLATE(C1993, ""en"", ""fi"")"),"Tiedostoa ei löydy sovellusta")</f>
        <v>Tiedostoa ei löydy sovellusta</v>
      </c>
      <c r="M1993" s="1" t="s">
        <v>39511</v>
      </c>
      <c r="N1993" s="6" t="s">
        <v>39512</v>
      </c>
      <c r="O1993" s="6" t="s">
        <v>132</v>
      </c>
      <c r="P1993" s="1" t="s">
        <v>39513</v>
      </c>
      <c r="Q1993" s="9" t="s">
        <v>39514</v>
      </c>
      <c r="R1993" s="1" t="s">
        <v>39515</v>
      </c>
      <c r="S1993" s="6" t="s">
        <v>132</v>
      </c>
      <c r="T1993" s="1" t="s">
        <v>39516</v>
      </c>
      <c r="U1993" s="1" t="s">
        <v>39517</v>
      </c>
      <c r="V1993" s="7" t="str">
        <f>IFERROR(__xludf.DUMMYFUNCTION("GOOGLETRANSLATE(C1993, ""en"", ""ms"")"),"Tiada permohonan yang didapati membuka fail")</f>
        <v>Tiada permohonan yang didapati membuka fail</v>
      </c>
      <c r="W1993" s="1" t="s">
        <v>39518</v>
      </c>
      <c r="X1993" s="7" t="str">
        <f>IFERROR(__xludf.DUMMYFUNCTION("GOOGLETRANSLATE(C1993, ""en"", ""no"")"),"Ingen applikasjon funnet å åpne filen")</f>
        <v>Ingen applikasjon funnet å åpne filen</v>
      </c>
      <c r="Y1993" s="1" t="s">
        <v>39519</v>
      </c>
      <c r="Z1993" s="1" t="s">
        <v>39520</v>
      </c>
      <c r="AA1993" s="7" t="str">
        <f>IFERROR(__xludf.DUMMYFUNCTION("GOOGLETRANSLATE(C1993, ""en"", ""ro"")"),"Nici o aplicație nu a fost găsită pentru a deschide fișierul")</f>
        <v>Nici o aplicație nu a fost găsită pentru a deschide fișierul</v>
      </c>
      <c r="AB1993" s="1" t="s">
        <v>39521</v>
      </c>
      <c r="AC1993" s="1" t="s">
        <v>39522</v>
      </c>
      <c r="AD1993" s="6" t="s">
        <v>132</v>
      </c>
      <c r="AE1993" s="1" t="s">
        <v>39523</v>
      </c>
      <c r="AF1993" s="1" t="s">
        <v>39524</v>
      </c>
      <c r="AG1993" s="6" t="s">
        <v>132</v>
      </c>
      <c r="AH1993" s="7" t="str">
        <f>IFERROR(__xludf.DUMMYFUNCTION("GOOGLETRANSLATE(C1993, ""en"", ""tr"")"),"Dosya açmak için hiçbir uygulama bulunamadı")</f>
        <v>Dosya açmak için hiçbir uygulama bulunamadı</v>
      </c>
      <c r="AI1993" s="6" t="s">
        <v>39525</v>
      </c>
      <c r="AJ1993" s="6" t="s">
        <v>39526</v>
      </c>
      <c r="AK1993" s="7" t="str">
        <f>IFERROR(__xludf.DUMMYFUNCTION("GOOGLETRANSLATE(C1993, ""en"", ""zh"")"),"找不到要打开文件的应用程序")</f>
        <v>找不到要打开文件的应用程序</v>
      </c>
      <c r="AL1993" s="6" t="s">
        <v>39527</v>
      </c>
    </row>
    <row r="1994" ht="15.75" hidden="1" customHeight="1">
      <c r="A1994" s="1" t="s">
        <v>38</v>
      </c>
      <c r="B1994" s="1" t="s">
        <v>39528</v>
      </c>
      <c r="C1994" s="1" t="s">
        <v>39529</v>
      </c>
      <c r="D1994" s="8" t="s">
        <v>39530</v>
      </c>
      <c r="E1994" s="1" t="s">
        <v>39531</v>
      </c>
      <c r="F1994" s="6" t="s">
        <v>39532</v>
      </c>
      <c r="G1994" s="7" t="str">
        <f>IFERROR(__xludf.DUMMYFUNCTION("GOOGLETRANSLATE(C1994, ""en"", ""cs"")"),"Před 1 minutou")</f>
        <v>Před 1 minutou</v>
      </c>
      <c r="H1994" s="7" t="str">
        <f>IFERROR(__xludf.DUMMYFUNCTION("GOOGLETRANSLATE(C1994, ""en"", ""da"")"),"1 min siden.")</f>
        <v>1 min siden.</v>
      </c>
      <c r="I1994" s="1" t="s">
        <v>39533</v>
      </c>
      <c r="J1994" s="6" t="s">
        <v>132</v>
      </c>
      <c r="K1994" s="1" t="s">
        <v>39534</v>
      </c>
      <c r="L1994" s="7" t="str">
        <f>IFERROR(__xludf.DUMMYFUNCTION("GOOGLETRANSLATE(C1994, ""en"", ""fi"")"),"1 min sitten")</f>
        <v>1 min sitten</v>
      </c>
      <c r="M1994" s="1" t="s">
        <v>39535</v>
      </c>
      <c r="N1994" s="6" t="s">
        <v>39536</v>
      </c>
      <c r="O1994" s="6" t="s">
        <v>132</v>
      </c>
      <c r="P1994" s="1" t="s">
        <v>39537</v>
      </c>
      <c r="Q1994" s="9" t="s">
        <v>39538</v>
      </c>
      <c r="R1994" s="1" t="s">
        <v>39539</v>
      </c>
      <c r="S1994" s="6" t="s">
        <v>132</v>
      </c>
      <c r="T1994" s="1" t="s">
        <v>39540</v>
      </c>
      <c r="U1994" s="1" t="s">
        <v>39541</v>
      </c>
      <c r="V1994" s="7" t="str">
        <f>IFERROR(__xludf.DUMMYFUNCTION("GOOGLETRANSLATE(C1994, ""en"", ""ms"")"),"1 minit yang lalu")</f>
        <v>1 minit yang lalu</v>
      </c>
      <c r="W1994" s="1" t="s">
        <v>39542</v>
      </c>
      <c r="X1994" s="7" t="str">
        <f>IFERROR(__xludf.DUMMYFUNCTION("GOOGLETRANSLATE(C1994, ""en"", ""no"")"),"1 min siden.")</f>
        <v>1 min siden.</v>
      </c>
      <c r="Y1994" s="1" t="s">
        <v>39543</v>
      </c>
      <c r="Z1994" s="1" t="s">
        <v>39544</v>
      </c>
      <c r="AA1994" s="7" t="str">
        <f>IFERROR(__xludf.DUMMYFUNCTION("GOOGLETRANSLATE(C1994, ""en"", ""ro"")"),"Acum 1 min")</f>
        <v>Acum 1 min</v>
      </c>
      <c r="AB1994" s="1" t="s">
        <v>39545</v>
      </c>
      <c r="AC1994" s="1" t="s">
        <v>39546</v>
      </c>
      <c r="AD1994" s="6" t="s">
        <v>132</v>
      </c>
      <c r="AE1994" s="1" t="s">
        <v>39547</v>
      </c>
      <c r="AF1994" s="1" t="s">
        <v>39548</v>
      </c>
      <c r="AG1994" s="6" t="s">
        <v>132</v>
      </c>
      <c r="AH1994" s="7" t="str">
        <f>IFERROR(__xludf.DUMMYFUNCTION("GOOGLETRANSLATE(C1994, ""en"", ""tr"")"),"1 dakika önce")</f>
        <v>1 dakika önce</v>
      </c>
      <c r="AI1994" s="6" t="s">
        <v>39549</v>
      </c>
      <c r="AJ1994" s="6" t="s">
        <v>39550</v>
      </c>
      <c r="AK1994" s="7" t="str">
        <f>IFERROR(__xludf.DUMMYFUNCTION("GOOGLETRANSLATE(C1994, ""en"", ""zh"")"),"1分钟前")</f>
        <v>1分钟前</v>
      </c>
      <c r="AL1994" s="6" t="s">
        <v>39551</v>
      </c>
    </row>
    <row r="1995" ht="15.75" hidden="1" customHeight="1">
      <c r="A1995" s="1" t="s">
        <v>38</v>
      </c>
      <c r="B1995" s="1" t="s">
        <v>39552</v>
      </c>
      <c r="C1995" s="1" t="s">
        <v>39553</v>
      </c>
      <c r="D1995" s="7" t="str">
        <f>IFERROR(__xludf.DUMMYFUNCTION("GOOGLETRANSLATE(C1995, ""en"", ""ar"")"),"بنغلاديش")</f>
        <v>بنغلاديش</v>
      </c>
      <c r="E1995" s="7" t="str">
        <f>IFERROR(__xludf.DUMMYFUNCTION("GOOGLETRANSLATE(C1995, ""en"", ""bg"")"),"Бангладеш.")</f>
        <v>Бангладеш.</v>
      </c>
      <c r="F1995" s="6" t="s">
        <v>132</v>
      </c>
      <c r="G1995" s="7" t="str">
        <f>IFERROR(__xludf.DUMMYFUNCTION("GOOGLETRANSLATE(C1995, ""en"", ""cs"")"),"Bangladéš")</f>
        <v>Bangladéš</v>
      </c>
      <c r="H1995" s="7" t="str">
        <f>IFERROR(__xludf.DUMMYFUNCTION("GOOGLETRANSLATE(C1995, ""en"", ""da"")"),"Bangladesh")</f>
        <v>Bangladesh</v>
      </c>
      <c r="I1995" s="1" t="s">
        <v>39554</v>
      </c>
      <c r="J1995" s="6" t="s">
        <v>132</v>
      </c>
      <c r="K1995" s="1" t="s">
        <v>39553</v>
      </c>
      <c r="L1995" s="7" t="str">
        <f>IFERROR(__xludf.DUMMYFUNCTION("GOOGLETRANSLATE(C1995, ""en"", ""fi"")"),"Bangladesh")</f>
        <v>Bangladesh</v>
      </c>
      <c r="M1995" s="1" t="s">
        <v>39553</v>
      </c>
      <c r="N1995" s="6" t="s">
        <v>132</v>
      </c>
      <c r="O1995" s="6" t="s">
        <v>132</v>
      </c>
      <c r="P1995" s="1" t="s">
        <v>39553</v>
      </c>
      <c r="Q1995" s="7" t="str">
        <f>IFERROR(__xludf.DUMMYFUNCTION("GOOGLETRANSLATE(C1995, ""en"", ""in"")"),"Bangladesh")</f>
        <v>Bangladesh</v>
      </c>
      <c r="R1995" s="7" t="str">
        <f>IFERROR(__xludf.DUMMYFUNCTION("GOOGLETRANSLATE(C1995, ""en"", ""it"")"),"Bangladesh.")</f>
        <v>Bangladesh.</v>
      </c>
      <c r="S1995" s="6" t="s">
        <v>132</v>
      </c>
      <c r="T1995" s="7" t="str">
        <f>IFERROR(__xludf.DUMMYFUNCTION("GOOGLETRANSLATE(C1995, ""en"", ""ja"")"),"バングラデシュ")</f>
        <v>バングラデシュ</v>
      </c>
      <c r="U1995" s="7" t="str">
        <f>IFERROR(__xludf.DUMMYFUNCTION("GOOGLETRANSLATE(C1995, ""en"", ""ko"")"),"방글라데시")</f>
        <v>방글라데시</v>
      </c>
      <c r="V1995" s="7" t="str">
        <f>IFERROR(__xludf.DUMMYFUNCTION("GOOGLETRANSLATE(C1995, ""en"", ""ms"")"),"Bangladesh.")</f>
        <v>Bangladesh.</v>
      </c>
      <c r="W1995" s="7" t="str">
        <f>IFERROR(__xludf.DUMMYFUNCTION("GOOGLETRANSLATE(C1995, ""en"", ""nl"")"),"Bangladesh")</f>
        <v>Bangladesh</v>
      </c>
      <c r="X1995" s="7" t="str">
        <f>IFERROR(__xludf.DUMMYFUNCTION("GOOGLETRANSLATE(C1995, ""en"", ""no"")"),"Bangladesh.")</f>
        <v>Bangladesh.</v>
      </c>
      <c r="Y1995" s="7" t="str">
        <f>IFERROR(__xludf.DUMMYFUNCTION("GOOGLETRANSLATE(C1995, ""en"", ""pl"")"),"Bangladesz")</f>
        <v>Bangladesz</v>
      </c>
      <c r="Z1995" s="7" t="str">
        <f>IFERROR(__xludf.DUMMYFUNCTION("GOOGLETRANSLATE(C1995, ""en"", ""pt"")"),"Bangladesh")</f>
        <v>Bangladesh</v>
      </c>
      <c r="AA1995" s="7" t="str">
        <f>IFERROR(__xludf.DUMMYFUNCTION("GOOGLETRANSLATE(C1995, ""en"", ""ro"")"),"Bangladesh.")</f>
        <v>Bangladesh.</v>
      </c>
      <c r="AB1995" s="1" t="s">
        <v>39555</v>
      </c>
      <c r="AC1995" s="7" t="str">
        <f>IFERROR(__xludf.DUMMYFUNCTION("GOOGLETRANSLATE(C1995, ""en"", ""sk"")"),"Bangladéš")</f>
        <v>Bangladéš</v>
      </c>
      <c r="AD1995" s="6" t="s">
        <v>132</v>
      </c>
      <c r="AE1995" s="1" t="s">
        <v>39556</v>
      </c>
      <c r="AF1995" s="7" t="str">
        <f>IFERROR(__xludf.DUMMYFUNCTION("GOOGLETRANSLATE(C1995, ""en"", ""sv"")"),"Bangladesh")</f>
        <v>Bangladesh</v>
      </c>
      <c r="AG1995" s="6" t="s">
        <v>132</v>
      </c>
      <c r="AH1995" s="7" t="str">
        <f>IFERROR(__xludf.DUMMYFUNCTION("GOOGLETRANSLATE(C1995, ""en"", ""tr"")"),"Bangladeş")</f>
        <v>Bangladeş</v>
      </c>
      <c r="AI1995" s="6" t="s">
        <v>132</v>
      </c>
      <c r="AJ1995" s="6" t="s">
        <v>132</v>
      </c>
      <c r="AK1995" s="7" t="str">
        <f>IFERROR(__xludf.DUMMYFUNCTION("GOOGLETRANSLATE(C1995, ""en"", ""zh"")"),"孟加拉国")</f>
        <v>孟加拉国</v>
      </c>
      <c r="AL1995" s="6" t="s">
        <v>132</v>
      </c>
    </row>
    <row r="1996" ht="15.75" hidden="1" customHeight="1">
      <c r="A1996" s="1" t="s">
        <v>38</v>
      </c>
      <c r="B1996" s="1" t="s">
        <v>39557</v>
      </c>
      <c r="C1996" s="1" t="s">
        <v>39558</v>
      </c>
      <c r="D1996" s="8" t="s">
        <v>39559</v>
      </c>
      <c r="E1996" s="1" t="s">
        <v>39560</v>
      </c>
      <c r="F1996" s="6" t="s">
        <v>39561</v>
      </c>
      <c r="G1996" s="7" t="str">
        <f>IFERROR(__xludf.DUMMYFUNCTION("GOOGLETRANSLATE(C1996, ""en"", ""cs"")"),"Spořič dat povoleno")</f>
        <v>Spořič dat povoleno</v>
      </c>
      <c r="H1996" s="7" t="str">
        <f>IFERROR(__xludf.DUMMYFUNCTION("GOOGLETRANSLATE(C1996, ""en"", ""da"")"),"DATA SAVER aktiveret.")</f>
        <v>DATA SAVER aktiveret.</v>
      </c>
      <c r="I1996" s="1" t="s">
        <v>39562</v>
      </c>
      <c r="J1996" s="6" t="s">
        <v>132</v>
      </c>
      <c r="K1996" s="1" t="s">
        <v>39563</v>
      </c>
      <c r="L1996" s="7" t="str">
        <f>IFERROR(__xludf.DUMMYFUNCTION("GOOGLETRANSLATE(C1996, ""en"", ""fi"")"),"Tietojensäästäjä on käytössä")</f>
        <v>Tietojensäästäjä on käytössä</v>
      </c>
      <c r="M1996" s="1" t="s">
        <v>39564</v>
      </c>
      <c r="N1996" s="6" t="s">
        <v>39565</v>
      </c>
      <c r="O1996" s="6" t="s">
        <v>132</v>
      </c>
      <c r="P1996" s="1" t="s">
        <v>39566</v>
      </c>
      <c r="Q1996" s="7" t="str">
        <f>IFERROR(__xludf.DUMMYFUNCTION("GOOGLETRANSLATE(C1996, ""en"", ""in"")"),"Penghemat Data diaktifkan")</f>
        <v>Penghemat Data diaktifkan</v>
      </c>
      <c r="R1996" s="1" t="s">
        <v>39567</v>
      </c>
      <c r="S1996" s="6" t="s">
        <v>132</v>
      </c>
      <c r="T1996" s="1" t="s">
        <v>39568</v>
      </c>
      <c r="U1996" s="1" t="s">
        <v>39569</v>
      </c>
      <c r="V1996" s="7" t="str">
        <f>IFERROR(__xludf.DUMMYFUNCTION("GOOGLETRANSLATE(C1996, ""en"", ""ms"")"),"Saver data diaktifkan")</f>
        <v>Saver data diaktifkan</v>
      </c>
      <c r="W1996" s="1" t="s">
        <v>39570</v>
      </c>
      <c r="X1996" s="7" t="str">
        <f>IFERROR(__xludf.DUMMYFUNCTION("GOOGLETRANSLATE(C1996, ""en"", ""no"")"),"Datasparer aktivert")</f>
        <v>Datasparer aktivert</v>
      </c>
      <c r="Y1996" s="1" t="s">
        <v>39571</v>
      </c>
      <c r="Z1996" s="1" t="s">
        <v>39572</v>
      </c>
      <c r="AA1996" s="7" t="str">
        <f>IFERROR(__xludf.DUMMYFUNCTION("GOOGLETRANSLATE(C1996, ""en"", ""ro"")"),"Economisirea economizorului de date")</f>
        <v>Economisirea economizorului de date</v>
      </c>
      <c r="AB1996" s="1" t="s">
        <v>39573</v>
      </c>
      <c r="AC1996" s="7" t="str">
        <f>IFERROR(__xludf.DUMMYFUNCTION("GOOGLETRANSLATE(C1996, ""en"", ""sk"")"),"Sautor údajov je povolený")</f>
        <v>Sautor údajov je povolený</v>
      </c>
      <c r="AD1996" s="6" t="s">
        <v>132</v>
      </c>
      <c r="AE1996" s="1" t="s">
        <v>39574</v>
      </c>
      <c r="AF1996" s="1" t="s">
        <v>39575</v>
      </c>
      <c r="AG1996" s="6" t="s">
        <v>132</v>
      </c>
      <c r="AH1996" s="7" t="str">
        <f>IFERROR(__xludf.DUMMYFUNCTION("GOOGLETRANSLATE(C1996, ""en"", ""tr"")"),"Veri Tasarrufu Etkin")</f>
        <v>Veri Tasarrufu Etkin</v>
      </c>
      <c r="AI1996" s="6" t="s">
        <v>39576</v>
      </c>
      <c r="AJ1996" s="6" t="s">
        <v>132</v>
      </c>
      <c r="AK1996" s="7" t="str">
        <f>IFERROR(__xludf.DUMMYFUNCTION("GOOGLETRANSLATE(C1996, ""en"", ""zh"")"),"已启用数据保护程序")</f>
        <v>已启用数据保护程序</v>
      </c>
      <c r="AL1996" s="6" t="s">
        <v>39577</v>
      </c>
    </row>
    <row r="1997" ht="15.75" customHeight="1">
      <c r="A1997" s="1" t="s">
        <v>127</v>
      </c>
      <c r="B1997" s="1" t="s">
        <v>39578</v>
      </c>
      <c r="C1997" s="1" t="s">
        <v>4748</v>
      </c>
      <c r="D1997" s="8" t="s">
        <v>4749</v>
      </c>
      <c r="E1997" s="1" t="s">
        <v>4750</v>
      </c>
      <c r="F1997" s="6" t="s">
        <v>132</v>
      </c>
      <c r="G1997" s="1" t="s">
        <v>4751</v>
      </c>
      <c r="H1997" s="1" t="s">
        <v>4752</v>
      </c>
      <c r="I1997" s="1" t="s">
        <v>4753</v>
      </c>
      <c r="J1997" s="6" t="s">
        <v>4754</v>
      </c>
      <c r="K1997" s="1" t="s">
        <v>4755</v>
      </c>
      <c r="L1997" s="1" t="s">
        <v>4756</v>
      </c>
      <c r="M1997" s="1" t="s">
        <v>4757</v>
      </c>
      <c r="N1997" s="6" t="s">
        <v>132</v>
      </c>
      <c r="O1997" s="6" t="s">
        <v>4758</v>
      </c>
      <c r="P1997" s="1" t="s">
        <v>4759</v>
      </c>
      <c r="Q1997" s="1" t="s">
        <v>4760</v>
      </c>
      <c r="R1997" s="1" t="s">
        <v>4761</v>
      </c>
      <c r="S1997" s="10" t="s">
        <v>4762</v>
      </c>
      <c r="T1997" s="1" t="s">
        <v>4763</v>
      </c>
      <c r="U1997" s="1" t="s">
        <v>4764</v>
      </c>
      <c r="V1997" s="1" t="s">
        <v>4765</v>
      </c>
      <c r="W1997" s="1" t="s">
        <v>4766</v>
      </c>
      <c r="X1997" s="1" t="s">
        <v>4767</v>
      </c>
      <c r="Y1997" s="1" t="s">
        <v>4768</v>
      </c>
      <c r="Z1997" s="1" t="s">
        <v>4769</v>
      </c>
      <c r="AA1997" s="7" t="str">
        <f>IFERROR(__xludf.DUMMYFUNCTION("GOOGLETRANSLATE(C1997, ""en"", ""ro"")"),"Prezentare generală")</f>
        <v>Prezentare generală</v>
      </c>
      <c r="AB1997" s="1" t="s">
        <v>4771</v>
      </c>
      <c r="AC1997" s="1" t="s">
        <v>4772</v>
      </c>
      <c r="AD1997" s="6" t="s">
        <v>4773</v>
      </c>
      <c r="AE1997" s="1" t="s">
        <v>4774</v>
      </c>
      <c r="AF1997" s="1" t="s">
        <v>4775</v>
      </c>
      <c r="AG1997" s="6" t="s">
        <v>4776</v>
      </c>
      <c r="AH1997" s="1" t="s">
        <v>4777</v>
      </c>
      <c r="AI1997" s="6" t="s">
        <v>132</v>
      </c>
      <c r="AJ1997" s="6" t="s">
        <v>1531</v>
      </c>
      <c r="AK1997" s="1" t="s">
        <v>4778</v>
      </c>
      <c r="AL1997" s="6" t="s">
        <v>4779</v>
      </c>
    </row>
    <row r="1998" ht="15.75" customHeight="1">
      <c r="A1998" s="1" t="s">
        <v>127</v>
      </c>
      <c r="B1998" s="1" t="s">
        <v>39579</v>
      </c>
      <c r="C1998" s="1" t="s">
        <v>39580</v>
      </c>
      <c r="D1998" s="8" t="s">
        <v>39581</v>
      </c>
      <c r="E1998" s="1" t="s">
        <v>39582</v>
      </c>
      <c r="F1998" s="6" t="s">
        <v>132</v>
      </c>
      <c r="G1998" s="1" t="s">
        <v>39583</v>
      </c>
      <c r="H1998" s="1" t="s">
        <v>39584</v>
      </c>
      <c r="I1998" s="1" t="s">
        <v>39585</v>
      </c>
      <c r="J1998" s="6" t="s">
        <v>39586</v>
      </c>
      <c r="K1998" s="1" t="s">
        <v>39587</v>
      </c>
      <c r="L1998" s="1" t="s">
        <v>39588</v>
      </c>
      <c r="M1998" s="1" t="s">
        <v>39589</v>
      </c>
      <c r="N1998" s="6" t="s">
        <v>132</v>
      </c>
      <c r="O1998" s="6" t="s">
        <v>39590</v>
      </c>
      <c r="P1998" s="1" t="s">
        <v>39591</v>
      </c>
      <c r="Q1998" s="1" t="s">
        <v>39592</v>
      </c>
      <c r="R1998" s="1" t="s">
        <v>39593</v>
      </c>
      <c r="S1998" s="10" t="s">
        <v>39594</v>
      </c>
      <c r="T1998" s="1" t="s">
        <v>39595</v>
      </c>
      <c r="U1998" s="1" t="s">
        <v>39596</v>
      </c>
      <c r="V1998" s="1" t="s">
        <v>39597</v>
      </c>
      <c r="W1998" s="1" t="s">
        <v>39598</v>
      </c>
      <c r="X1998" s="1" t="s">
        <v>39599</v>
      </c>
      <c r="Y1998" s="1" t="s">
        <v>39580</v>
      </c>
      <c r="Z1998" s="1" t="s">
        <v>39600</v>
      </c>
      <c r="AA1998" s="7" t="str">
        <f>IFERROR(__xludf.DUMMYFUNCTION("GOOGLETRANSLATE(C1998, ""en"", ""ro"")"),"Acționarii ""Rapoartele de întâlnire")</f>
        <v>Acționarii "Rapoartele de întâlnire</v>
      </c>
      <c r="AB1998" s="1" t="s">
        <v>39601</v>
      </c>
      <c r="AC1998" s="1" t="s">
        <v>39602</v>
      </c>
      <c r="AD1998" s="6" t="s">
        <v>39603</v>
      </c>
      <c r="AE1998" s="1" t="s">
        <v>39580</v>
      </c>
      <c r="AF1998" s="1" t="s">
        <v>39604</v>
      </c>
      <c r="AG1998" s="6" t="s">
        <v>39605</v>
      </c>
      <c r="AH1998" s="1" t="s">
        <v>39606</v>
      </c>
      <c r="AI1998" s="6" t="s">
        <v>132</v>
      </c>
      <c r="AJ1998" s="6" t="s">
        <v>39607</v>
      </c>
      <c r="AK1998" s="1" t="s">
        <v>39608</v>
      </c>
      <c r="AL1998" s="6" t="s">
        <v>39609</v>
      </c>
    </row>
    <row r="1999" ht="15.75" customHeight="1">
      <c r="A1999" s="1" t="s">
        <v>127</v>
      </c>
      <c r="B1999" s="1" t="s">
        <v>39610</v>
      </c>
      <c r="C1999" s="1" t="s">
        <v>39611</v>
      </c>
      <c r="D1999" s="8" t="s">
        <v>39612</v>
      </c>
      <c r="E1999" s="1" t="s">
        <v>39613</v>
      </c>
      <c r="F1999" s="6" t="s">
        <v>132</v>
      </c>
      <c r="G1999" s="1" t="s">
        <v>39614</v>
      </c>
      <c r="H1999" s="1" t="s">
        <v>39615</v>
      </c>
      <c r="I1999" s="1" t="s">
        <v>39616</v>
      </c>
      <c r="J1999" s="6" t="s">
        <v>39617</v>
      </c>
      <c r="K1999" s="1" t="s">
        <v>39618</v>
      </c>
      <c r="L1999" s="1" t="s">
        <v>39619</v>
      </c>
      <c r="M1999" s="1" t="s">
        <v>39620</v>
      </c>
      <c r="N1999" s="6" t="s">
        <v>132</v>
      </c>
      <c r="O1999" s="6" t="s">
        <v>39621</v>
      </c>
      <c r="P1999" s="1" t="s">
        <v>39622</v>
      </c>
      <c r="Q1999" s="1" t="s">
        <v>39623</v>
      </c>
      <c r="R1999" s="1" t="s">
        <v>39624</v>
      </c>
      <c r="S1999" s="10" t="s">
        <v>39625</v>
      </c>
      <c r="T1999" s="1" t="s">
        <v>39626</v>
      </c>
      <c r="U1999" s="1" t="s">
        <v>39627</v>
      </c>
      <c r="V1999" s="1" t="s">
        <v>39628</v>
      </c>
      <c r="W1999" s="1" t="s">
        <v>39629</v>
      </c>
      <c r="X1999" s="1" t="s">
        <v>39615</v>
      </c>
      <c r="Y1999" s="1" t="s">
        <v>39611</v>
      </c>
      <c r="Z1999" s="1" t="s">
        <v>39630</v>
      </c>
      <c r="AA1999" s="7" t="str">
        <f>IFERROR(__xludf.DUMMYFUNCTION("GOOGLETRANSLATE(C1999, ""en"", ""ro"")"),"Evaluarea pieței")</f>
        <v>Evaluarea pieței</v>
      </c>
      <c r="AB1999" s="1" t="s">
        <v>39631</v>
      </c>
      <c r="AC1999" s="1" t="s">
        <v>39632</v>
      </c>
      <c r="AD1999" s="6" t="s">
        <v>39633</v>
      </c>
      <c r="AE1999" s="1" t="s">
        <v>39611</v>
      </c>
      <c r="AF1999" s="1" t="s">
        <v>39634</v>
      </c>
      <c r="AG1999" s="6" t="s">
        <v>39635</v>
      </c>
      <c r="AH1999" s="1" t="s">
        <v>39636</v>
      </c>
      <c r="AI1999" s="6" t="s">
        <v>132</v>
      </c>
      <c r="AJ1999" s="6" t="s">
        <v>39637</v>
      </c>
      <c r="AK1999" s="1" t="s">
        <v>39638</v>
      </c>
      <c r="AL1999" s="6" t="s">
        <v>39639</v>
      </c>
    </row>
    <row r="2000" ht="15.75" hidden="1" customHeight="1">
      <c r="A2000" s="1" t="s">
        <v>38</v>
      </c>
      <c r="B2000" s="1" t="s">
        <v>39640</v>
      </c>
      <c r="C2000" s="1" t="s">
        <v>39641</v>
      </c>
      <c r="D2000" s="8" t="s">
        <v>39642</v>
      </c>
      <c r="E2000" s="1" t="s">
        <v>39643</v>
      </c>
      <c r="F2000" s="6" t="s">
        <v>39644</v>
      </c>
      <c r="G2000" s="7" t="str">
        <f>IFERROR(__xludf.DUMMYFUNCTION("GOOGLETRANSLATE(C2000, ""en"", ""cs"")"),"Sdílet s konverzací")</f>
        <v>Sdílet s konverzací</v>
      </c>
      <c r="H2000" s="7" t="str">
        <f>IFERROR(__xludf.DUMMYFUNCTION("GOOGLETRANSLATE(C2000, ""en"", ""da"")"),"Del med samtale")</f>
        <v>Del med samtale</v>
      </c>
      <c r="I2000" s="1" t="s">
        <v>39645</v>
      </c>
      <c r="J2000" s="6" t="s">
        <v>132</v>
      </c>
      <c r="K2000" s="1" t="s">
        <v>39646</v>
      </c>
      <c r="L2000" s="7" t="str">
        <f>IFERROR(__xludf.DUMMYFUNCTION("GOOGLETRANSLATE(C2000, ""en"", ""fi"")"),"Jaa keskustelun kanssa")</f>
        <v>Jaa keskustelun kanssa</v>
      </c>
      <c r="M2000" s="1" t="s">
        <v>39647</v>
      </c>
      <c r="N2000" s="6" t="s">
        <v>39648</v>
      </c>
      <c r="O2000" s="6" t="s">
        <v>132</v>
      </c>
      <c r="P2000" s="1" t="s">
        <v>39649</v>
      </c>
      <c r="Q2000" s="9" t="s">
        <v>39650</v>
      </c>
      <c r="R2000" s="1" t="s">
        <v>39651</v>
      </c>
      <c r="S2000" s="6" t="s">
        <v>132</v>
      </c>
      <c r="T2000" s="1" t="s">
        <v>39652</v>
      </c>
      <c r="U2000" s="1" t="s">
        <v>39653</v>
      </c>
      <c r="V2000" s="7" t="str">
        <f>IFERROR(__xludf.DUMMYFUNCTION("GOOGLETRANSLATE(C2000, ""en"", ""ms"")"),"Berkongsi dengan perbualan")</f>
        <v>Berkongsi dengan perbualan</v>
      </c>
      <c r="W2000" s="1" t="s">
        <v>39654</v>
      </c>
      <c r="X2000" s="7" t="str">
        <f>IFERROR(__xludf.DUMMYFUNCTION("GOOGLETRANSLATE(C2000, ""en"", ""no"")"),"Del med samtalen")</f>
        <v>Del med samtalen</v>
      </c>
      <c r="Y2000" s="1" t="s">
        <v>39655</v>
      </c>
      <c r="Z2000" s="1" t="s">
        <v>39656</v>
      </c>
      <c r="AA2000" s="7" t="str">
        <f>IFERROR(__xludf.DUMMYFUNCTION("GOOGLETRANSLATE(C2000, ""en"", ""ro"")"),"Distribuiți cu conversație")</f>
        <v>Distribuiți cu conversație</v>
      </c>
      <c r="AB2000" s="1" t="s">
        <v>18254</v>
      </c>
      <c r="AC2000" s="1" t="s">
        <v>39657</v>
      </c>
      <c r="AD2000" s="6" t="s">
        <v>132</v>
      </c>
      <c r="AE2000" s="1" t="s">
        <v>39658</v>
      </c>
      <c r="AF2000" s="1" t="s">
        <v>39659</v>
      </c>
      <c r="AG2000" s="6" t="s">
        <v>132</v>
      </c>
      <c r="AH2000" s="7" t="str">
        <f>IFERROR(__xludf.DUMMYFUNCTION("GOOGLETRANSLATE(C2000, ""en"", ""tr"")"),"Konuşma ile paylaş")</f>
        <v>Konuşma ile paylaş</v>
      </c>
      <c r="AI2000" s="6" t="s">
        <v>39660</v>
      </c>
      <c r="AJ2000" s="6" t="s">
        <v>39661</v>
      </c>
      <c r="AK2000" s="7" t="str">
        <f>IFERROR(__xludf.DUMMYFUNCTION("GOOGLETRANSLATE(C2000, ""en"", ""zh"")"),"分享谈话")</f>
        <v>分享谈话</v>
      </c>
      <c r="AL2000" s="6" t="s">
        <v>39662</v>
      </c>
    </row>
    <row r="2001" ht="15.75" hidden="1" customHeight="1">
      <c r="A2001" s="1" t="s">
        <v>38</v>
      </c>
      <c r="B2001" s="1" t="s">
        <v>39663</v>
      </c>
      <c r="C2001" s="1" t="s">
        <v>39664</v>
      </c>
      <c r="D2001" s="7" t="str">
        <f>IFERROR(__xludf.DUMMYFUNCTION("GOOGLETRANSLATE(C2001, ""en"", ""ar"")"),"بحث الرسائل")</f>
        <v>بحث الرسائل</v>
      </c>
      <c r="E2001" s="1" t="s">
        <v>39665</v>
      </c>
      <c r="F2001" s="6" t="s">
        <v>39666</v>
      </c>
      <c r="G2001" s="7" t="str">
        <f>IFERROR(__xludf.DUMMYFUNCTION("GOOGLETRANSLATE(C2001, ""en"", ""cs"")"),"Hledat zprávy")</f>
        <v>Hledat zprávy</v>
      </c>
      <c r="H2001" s="7" t="str">
        <f>IFERROR(__xludf.DUMMYFUNCTION("GOOGLETRANSLATE(C2001, ""en"", ""da"")"),"Søgemeddelelser.")</f>
        <v>Søgemeddelelser.</v>
      </c>
      <c r="I2001" s="1" t="s">
        <v>39667</v>
      </c>
      <c r="J2001" s="6" t="s">
        <v>132</v>
      </c>
      <c r="K2001" s="1" t="s">
        <v>39668</v>
      </c>
      <c r="L2001" s="7" t="str">
        <f>IFERROR(__xludf.DUMMYFUNCTION("GOOGLETRANSLATE(C2001, ""en"", ""fi"")"),"Etsi viestejä")</f>
        <v>Etsi viestejä</v>
      </c>
      <c r="M2001" s="1" t="s">
        <v>39669</v>
      </c>
      <c r="N2001" s="6" t="s">
        <v>39670</v>
      </c>
      <c r="O2001" s="6" t="s">
        <v>132</v>
      </c>
      <c r="P2001" s="1" t="s">
        <v>39671</v>
      </c>
      <c r="Q2001" s="7" t="str">
        <f>IFERROR(__xludf.DUMMYFUNCTION("GOOGLETRANSLATE(C2001, ""en"", ""in"")"),"Cari pesan")</f>
        <v>Cari pesan</v>
      </c>
      <c r="R2001" s="1" t="s">
        <v>39672</v>
      </c>
      <c r="S2001" s="6" t="s">
        <v>132</v>
      </c>
      <c r="T2001" s="1" t="s">
        <v>39673</v>
      </c>
      <c r="U2001" s="7" t="str">
        <f>IFERROR(__xludf.DUMMYFUNCTION("GOOGLETRANSLATE(C2001, ""en"", ""ko"")"),"검색 메시지")</f>
        <v>검색 메시지</v>
      </c>
      <c r="V2001" s="7" t="str">
        <f>IFERROR(__xludf.DUMMYFUNCTION("GOOGLETRANSLATE(C2001, ""en"", ""ms"")"),"Mesej Cari")</f>
        <v>Mesej Cari</v>
      </c>
      <c r="W2001" s="1" t="s">
        <v>39674</v>
      </c>
      <c r="X2001" s="7" t="str">
        <f>IFERROR(__xludf.DUMMYFUNCTION("GOOGLETRANSLATE(C2001, ""en"", ""no"")"),"Søkemeldinger")</f>
        <v>Søkemeldinger</v>
      </c>
      <c r="Y2001" s="1" t="s">
        <v>39675</v>
      </c>
      <c r="Z2001" s="7" t="str">
        <f>IFERROR(__xludf.DUMMYFUNCTION("GOOGLETRANSLATE(C2001, ""en"", ""pt"")"),"Pesquisar mensagens")</f>
        <v>Pesquisar mensagens</v>
      </c>
      <c r="AA2001" s="7" t="str">
        <f>IFERROR(__xludf.DUMMYFUNCTION("GOOGLETRANSLATE(C2001, ""en"", ""ro"")"),"Mesaje de căutare")</f>
        <v>Mesaje de căutare</v>
      </c>
      <c r="AB2001" s="1" t="s">
        <v>39676</v>
      </c>
      <c r="AC2001" s="7" t="str">
        <f>IFERROR(__xludf.DUMMYFUNCTION("GOOGLETRANSLATE(C2001, ""en"", ""sk"")"),"Hľadať správy")</f>
        <v>Hľadať správy</v>
      </c>
      <c r="AD2001" s="6" t="s">
        <v>132</v>
      </c>
      <c r="AE2001" s="1" t="s">
        <v>39677</v>
      </c>
      <c r="AF2001" s="7" t="str">
        <f>IFERROR(__xludf.DUMMYFUNCTION("GOOGLETRANSLATE(C2001, ""en"", ""sv"")"),"Sökmeddelanden")</f>
        <v>Sökmeddelanden</v>
      </c>
      <c r="AG2001" s="6" t="s">
        <v>132</v>
      </c>
      <c r="AH2001" s="7" t="str">
        <f>IFERROR(__xludf.DUMMYFUNCTION("GOOGLETRANSLATE(C2001, ""en"", ""tr"")"),"Arama mesajları")</f>
        <v>Arama mesajları</v>
      </c>
      <c r="AI2001" s="6" t="s">
        <v>132</v>
      </c>
      <c r="AJ2001" s="6" t="s">
        <v>132</v>
      </c>
      <c r="AK2001" s="7" t="str">
        <f>IFERROR(__xludf.DUMMYFUNCTION("GOOGLETRANSLATE(C2001, ""en"", ""zh"")"),"搜索消息")</f>
        <v>搜索消息</v>
      </c>
      <c r="AL2001" s="6" t="s">
        <v>39678</v>
      </c>
    </row>
    <row r="2002" ht="15.75" customHeight="1">
      <c r="A2002" s="1" t="s">
        <v>127</v>
      </c>
      <c r="B2002" s="1" t="s">
        <v>39679</v>
      </c>
      <c r="C2002" s="1" t="s">
        <v>39680</v>
      </c>
      <c r="D2002" s="8" t="s">
        <v>39681</v>
      </c>
      <c r="E2002" s="1" t="s">
        <v>39682</v>
      </c>
      <c r="F2002" s="6" t="s">
        <v>132</v>
      </c>
      <c r="G2002" s="1" t="s">
        <v>39683</v>
      </c>
      <c r="H2002" s="1" t="s">
        <v>39684</v>
      </c>
      <c r="I2002" s="1" t="s">
        <v>39685</v>
      </c>
      <c r="J2002" s="6" t="s">
        <v>39686</v>
      </c>
      <c r="K2002" s="1" t="s">
        <v>39687</v>
      </c>
      <c r="L2002" s="1" t="s">
        <v>39688</v>
      </c>
      <c r="M2002" s="1" t="s">
        <v>39689</v>
      </c>
      <c r="N2002" s="6" t="s">
        <v>132</v>
      </c>
      <c r="O2002" s="6" t="s">
        <v>39690</v>
      </c>
      <c r="P2002" s="1" t="s">
        <v>39691</v>
      </c>
      <c r="Q2002" s="1" t="s">
        <v>39692</v>
      </c>
      <c r="R2002" s="1" t="s">
        <v>39693</v>
      </c>
      <c r="S2002" s="10" t="s">
        <v>39694</v>
      </c>
      <c r="T2002" s="1" t="s">
        <v>39695</v>
      </c>
      <c r="U2002" s="1" t="s">
        <v>39696</v>
      </c>
      <c r="V2002" s="1" t="s">
        <v>39697</v>
      </c>
      <c r="W2002" s="1" t="s">
        <v>39698</v>
      </c>
      <c r="X2002" s="1" t="s">
        <v>39699</v>
      </c>
      <c r="Y2002" s="1" t="s">
        <v>39680</v>
      </c>
      <c r="Z2002" s="1" t="s">
        <v>39700</v>
      </c>
      <c r="AA2002" s="7" t="str">
        <f>IFERROR(__xludf.DUMMYFUNCTION("GOOGLETRANSLATE(C2002, ""en"", ""ro"")"),"Hedge Fond News.")</f>
        <v>Hedge Fond News.</v>
      </c>
      <c r="AB2002" s="1" t="s">
        <v>39701</v>
      </c>
      <c r="AC2002" s="1" t="s">
        <v>39702</v>
      </c>
      <c r="AD2002" s="6" t="s">
        <v>39703</v>
      </c>
      <c r="AE2002" s="1" t="s">
        <v>39680</v>
      </c>
      <c r="AF2002" s="1" t="s">
        <v>39704</v>
      </c>
      <c r="AG2002" s="6" t="s">
        <v>39705</v>
      </c>
      <c r="AH2002" s="1" t="s">
        <v>39706</v>
      </c>
      <c r="AI2002" s="6" t="s">
        <v>132</v>
      </c>
      <c r="AJ2002" s="6" t="s">
        <v>39707</v>
      </c>
      <c r="AK2002" s="1" t="s">
        <v>39708</v>
      </c>
      <c r="AL2002" s="6" t="s">
        <v>39709</v>
      </c>
    </row>
    <row r="2003" ht="15.75" customHeight="1">
      <c r="A2003" s="1" t="s">
        <v>127</v>
      </c>
      <c r="B2003" s="1" t="s">
        <v>39710</v>
      </c>
      <c r="C2003" s="1" t="s">
        <v>13067</v>
      </c>
      <c r="D2003" s="8" t="s">
        <v>13068</v>
      </c>
      <c r="E2003" s="1" t="s">
        <v>13069</v>
      </c>
      <c r="F2003" s="6" t="s">
        <v>132</v>
      </c>
      <c r="G2003" s="1" t="s">
        <v>39711</v>
      </c>
      <c r="H2003" s="1" t="s">
        <v>39712</v>
      </c>
      <c r="I2003" s="1" t="s">
        <v>39713</v>
      </c>
      <c r="J2003" s="6" t="s">
        <v>39714</v>
      </c>
      <c r="K2003" s="1" t="s">
        <v>13072</v>
      </c>
      <c r="L2003" s="1" t="s">
        <v>39715</v>
      </c>
      <c r="M2003" s="1" t="s">
        <v>39716</v>
      </c>
      <c r="N2003" s="6" t="s">
        <v>132</v>
      </c>
      <c r="O2003" s="6" t="s">
        <v>39717</v>
      </c>
      <c r="P2003" s="1" t="s">
        <v>13074</v>
      </c>
      <c r="Q2003" s="1" t="s">
        <v>13075</v>
      </c>
      <c r="R2003" s="1" t="s">
        <v>13070</v>
      </c>
      <c r="S2003" s="10" t="s">
        <v>39718</v>
      </c>
      <c r="T2003" s="1" t="s">
        <v>13076</v>
      </c>
      <c r="U2003" s="1" t="s">
        <v>13077</v>
      </c>
      <c r="V2003" s="1" t="s">
        <v>13075</v>
      </c>
      <c r="W2003" s="1" t="s">
        <v>39719</v>
      </c>
      <c r="X2003" s="1" t="s">
        <v>39720</v>
      </c>
      <c r="Y2003" s="1" t="s">
        <v>13079</v>
      </c>
      <c r="Z2003" s="1" t="s">
        <v>13072</v>
      </c>
      <c r="AA2003" s="7" t="str">
        <f>IFERROR(__xludf.DUMMYFUNCTION("GOOGLETRANSLATE(C2003, ""en"", ""ro"")"),"Căutare")</f>
        <v>Căutare</v>
      </c>
      <c r="AB2003" s="1" t="s">
        <v>13081</v>
      </c>
      <c r="AC2003" s="1" t="s">
        <v>39721</v>
      </c>
      <c r="AD2003" s="6" t="s">
        <v>39722</v>
      </c>
      <c r="AE2003" s="1" t="s">
        <v>39723</v>
      </c>
      <c r="AF2003" s="1" t="s">
        <v>13084</v>
      </c>
      <c r="AG2003" s="6" t="s">
        <v>39724</v>
      </c>
      <c r="AH2003" s="1" t="s">
        <v>39725</v>
      </c>
      <c r="AI2003" s="6" t="s">
        <v>132</v>
      </c>
      <c r="AJ2003" s="6" t="s">
        <v>13086</v>
      </c>
      <c r="AK2003" s="1" t="s">
        <v>39726</v>
      </c>
      <c r="AL2003" s="6" t="s">
        <v>39727</v>
      </c>
    </row>
    <row r="2004" ht="15.75" customHeight="1">
      <c r="A2004" s="1" t="s">
        <v>127</v>
      </c>
      <c r="B2004" s="1" t="s">
        <v>39728</v>
      </c>
      <c r="C2004" s="1" t="s">
        <v>39729</v>
      </c>
      <c r="D2004" s="8" t="s">
        <v>39730</v>
      </c>
      <c r="E2004" s="1" t="s">
        <v>39731</v>
      </c>
      <c r="F2004" s="6" t="s">
        <v>132</v>
      </c>
      <c r="G2004" s="1" t="s">
        <v>39732</v>
      </c>
      <c r="H2004" s="1" t="s">
        <v>39733</v>
      </c>
      <c r="I2004" s="1" t="s">
        <v>39734</v>
      </c>
      <c r="J2004" s="6" t="s">
        <v>39735</v>
      </c>
      <c r="K2004" s="1" t="s">
        <v>39736</v>
      </c>
      <c r="L2004" s="1" t="s">
        <v>39737</v>
      </c>
      <c r="M2004" s="1" t="s">
        <v>39738</v>
      </c>
      <c r="N2004" s="6" t="s">
        <v>132</v>
      </c>
      <c r="O2004" s="6" t="s">
        <v>39739</v>
      </c>
      <c r="P2004" s="1" t="s">
        <v>39740</v>
      </c>
      <c r="Q2004" s="1" t="s">
        <v>39741</v>
      </c>
      <c r="R2004" s="1" t="s">
        <v>39742</v>
      </c>
      <c r="S2004" s="10" t="s">
        <v>39743</v>
      </c>
      <c r="T2004" s="1" t="s">
        <v>39744</v>
      </c>
      <c r="U2004" s="1" t="s">
        <v>39745</v>
      </c>
      <c r="V2004" s="1" t="s">
        <v>39741</v>
      </c>
      <c r="W2004" s="1" t="s">
        <v>39746</v>
      </c>
      <c r="X2004" s="1" t="s">
        <v>39733</v>
      </c>
      <c r="Y2004" s="1" t="s">
        <v>39747</v>
      </c>
      <c r="Z2004" s="1" t="s">
        <v>39748</v>
      </c>
      <c r="AA2004" s="7" t="str">
        <f>IFERROR(__xludf.DUMMYFUNCTION("GOOGLETRANSLATE(C2004, ""en"", ""ro"")"),"Rapoarte anuale")</f>
        <v>Rapoarte anuale</v>
      </c>
      <c r="AB2004" s="1" t="s">
        <v>39749</v>
      </c>
      <c r="AC2004" s="1" t="s">
        <v>39750</v>
      </c>
      <c r="AD2004" s="6" t="s">
        <v>39751</v>
      </c>
      <c r="AE2004" s="1" t="s">
        <v>39752</v>
      </c>
      <c r="AF2004" s="1" t="s">
        <v>39753</v>
      </c>
      <c r="AG2004" s="6" t="s">
        <v>39754</v>
      </c>
      <c r="AH2004" s="1" t="s">
        <v>39755</v>
      </c>
      <c r="AI2004" s="6" t="s">
        <v>132</v>
      </c>
      <c r="AJ2004" s="6" t="s">
        <v>39756</v>
      </c>
      <c r="AK2004" s="1" t="s">
        <v>39757</v>
      </c>
      <c r="AL2004" s="6" t="s">
        <v>39758</v>
      </c>
    </row>
    <row r="2005" ht="15.75" customHeight="1">
      <c r="A2005" s="1" t="s">
        <v>127</v>
      </c>
      <c r="B2005" s="1" t="s">
        <v>39759</v>
      </c>
      <c r="C2005" s="1" t="s">
        <v>39760</v>
      </c>
      <c r="D2005" s="8" t="s">
        <v>39761</v>
      </c>
      <c r="E2005" s="1" t="s">
        <v>39762</v>
      </c>
      <c r="F2005" s="6" t="s">
        <v>132</v>
      </c>
      <c r="G2005" s="1" t="s">
        <v>39763</v>
      </c>
      <c r="H2005" s="1" t="s">
        <v>39764</v>
      </c>
      <c r="I2005" s="1" t="s">
        <v>39765</v>
      </c>
      <c r="J2005" s="6" t="s">
        <v>39766</v>
      </c>
      <c r="K2005" s="1" t="s">
        <v>39767</v>
      </c>
      <c r="L2005" s="1" t="s">
        <v>39768</v>
      </c>
      <c r="M2005" s="1" t="s">
        <v>39769</v>
      </c>
      <c r="N2005" s="6" t="s">
        <v>132</v>
      </c>
      <c r="O2005" s="6" t="s">
        <v>39770</v>
      </c>
      <c r="P2005" s="1" t="s">
        <v>39771</v>
      </c>
      <c r="Q2005" s="1" t="s">
        <v>39772</v>
      </c>
      <c r="R2005" s="1" t="s">
        <v>39773</v>
      </c>
      <c r="S2005" s="10" t="s">
        <v>39774</v>
      </c>
      <c r="T2005" s="1" t="s">
        <v>39775</v>
      </c>
      <c r="U2005" s="1" t="s">
        <v>39776</v>
      </c>
      <c r="V2005" s="1" t="s">
        <v>39772</v>
      </c>
      <c r="W2005" s="1" t="s">
        <v>39777</v>
      </c>
      <c r="X2005" s="1" t="s">
        <v>39778</v>
      </c>
      <c r="Y2005" s="1" t="s">
        <v>39779</v>
      </c>
      <c r="Z2005" s="1" t="s">
        <v>39780</v>
      </c>
      <c r="AA2005" s="7" t="str">
        <f>IFERROR(__xludf.DUMMYFUNCTION("GOOGLETRANSLATE(C2005, ""en"", ""ro"")"),"Înscrieți-vă cu Baha")</f>
        <v>Înscrieți-vă cu Baha</v>
      </c>
      <c r="AB2005" s="1" t="s">
        <v>39781</v>
      </c>
      <c r="AC2005" s="1" t="s">
        <v>39782</v>
      </c>
      <c r="AD2005" s="6" t="s">
        <v>39783</v>
      </c>
      <c r="AE2005" s="1" t="s">
        <v>39784</v>
      </c>
      <c r="AF2005" s="1" t="s">
        <v>39785</v>
      </c>
      <c r="AG2005" s="6" t="s">
        <v>39786</v>
      </c>
      <c r="AH2005" s="1" t="s">
        <v>39787</v>
      </c>
      <c r="AI2005" s="6" t="s">
        <v>132</v>
      </c>
      <c r="AJ2005" s="6" t="s">
        <v>39788</v>
      </c>
      <c r="AK2005" s="1" t="s">
        <v>39789</v>
      </c>
      <c r="AL2005" s="6" t="s">
        <v>132</v>
      </c>
    </row>
    <row r="2006" ht="15.75" hidden="1" customHeight="1">
      <c r="A2006" s="1" t="s">
        <v>38</v>
      </c>
      <c r="B2006" s="1" t="s">
        <v>39790</v>
      </c>
      <c r="C2006" s="1" t="s">
        <v>39791</v>
      </c>
      <c r="D2006" s="7" t="str">
        <f>IFERROR(__xludf.DUMMYFUNCTION("GOOGLETRANSLATE(C2006, ""en"", ""ar"")"),"انسخ معرف Jabber")</f>
        <v>انسخ معرف Jabber</v>
      </c>
      <c r="E2006" s="1" t="s">
        <v>39792</v>
      </c>
      <c r="F2006" s="6" t="s">
        <v>39793</v>
      </c>
      <c r="G2006" s="7" t="str">
        <f>IFERROR(__xludf.DUMMYFUNCTION("GOOGLETRANSLATE(C2006, ""en"", ""cs"")"),"Kopírovat Jabber ID.")</f>
        <v>Kopírovat Jabber ID.</v>
      </c>
      <c r="H2006" s="7" t="str">
        <f>IFERROR(__xludf.DUMMYFUNCTION("GOOGLETRANSLATE(C2006, ""en"", ""da"")"),"Kopier Jabber ID.")</f>
        <v>Kopier Jabber ID.</v>
      </c>
      <c r="I2006" s="1" t="s">
        <v>39794</v>
      </c>
      <c r="J2006" s="6" t="s">
        <v>132</v>
      </c>
      <c r="K2006" s="1" t="s">
        <v>39795</v>
      </c>
      <c r="L2006" s="7" t="str">
        <f>IFERROR(__xludf.DUMMYFUNCTION("GOOGLETRANSLATE(C2006, ""en"", ""fi"")"),"Kopioi Jabber ID")</f>
        <v>Kopioi Jabber ID</v>
      </c>
      <c r="M2006" s="1" t="s">
        <v>39796</v>
      </c>
      <c r="N2006" s="6" t="s">
        <v>39797</v>
      </c>
      <c r="O2006" s="6" t="s">
        <v>132</v>
      </c>
      <c r="P2006" s="1" t="s">
        <v>39798</v>
      </c>
      <c r="Q2006" s="7" t="str">
        <f>IFERROR(__xludf.DUMMYFUNCTION("GOOGLETRANSLATE(C2006, ""en"", ""in"")"),"Salin Id Jabber.")</f>
        <v>Salin Id Jabber.</v>
      </c>
      <c r="R2006" s="1" t="s">
        <v>39799</v>
      </c>
      <c r="S2006" s="6" t="s">
        <v>132</v>
      </c>
      <c r="T2006" s="1" t="s">
        <v>39800</v>
      </c>
      <c r="U2006" s="7" t="str">
        <f>IFERROR(__xludf.DUMMYFUNCTION("GOOGLETRANSLATE(C2006, ""en"", ""ko"")"),"Jabber ID를 복사하십시오")</f>
        <v>Jabber ID를 복사하십시오</v>
      </c>
      <c r="V2006" s="7" t="str">
        <f>IFERROR(__xludf.DUMMYFUNCTION("GOOGLETRANSLATE(C2006, ""en"", ""ms"")"),"Salin Jabber ID")</f>
        <v>Salin Jabber ID</v>
      </c>
      <c r="W2006" s="1" t="s">
        <v>39801</v>
      </c>
      <c r="X2006" s="7" t="str">
        <f>IFERROR(__xludf.DUMMYFUNCTION("GOOGLETRANSLATE(C2006, ""en"", ""no"")"),"Kopier Jabber ID.")</f>
        <v>Kopier Jabber ID.</v>
      </c>
      <c r="Y2006" s="1" t="s">
        <v>39802</v>
      </c>
      <c r="Z2006" s="7" t="str">
        <f>IFERROR(__xludf.DUMMYFUNCTION("GOOGLETRANSLATE(C2006, ""en"", ""pt"")"),"Copiar Jabber ID")</f>
        <v>Copiar Jabber ID</v>
      </c>
      <c r="AA2006" s="7" t="str">
        <f>IFERROR(__xludf.DUMMYFUNCTION("GOOGLETRANSLATE(C2006, ""en"", ""ro"")"),"Copiați ID-ul Jabber")</f>
        <v>Copiați ID-ul Jabber</v>
      </c>
      <c r="AB2006" s="1" t="s">
        <v>39803</v>
      </c>
      <c r="AC2006" s="7" t="str">
        <f>IFERROR(__xludf.DUMMYFUNCTION("GOOGLETRANSLATE(C2006, ""en"", ""sk"")"),"Kopírovať Jabber ID")</f>
        <v>Kopírovať Jabber ID</v>
      </c>
      <c r="AD2006" s="6" t="s">
        <v>132</v>
      </c>
      <c r="AE2006" s="1" t="s">
        <v>39804</v>
      </c>
      <c r="AF2006" s="7" t="str">
        <f>IFERROR(__xludf.DUMMYFUNCTION("GOOGLETRANSLATE(C2006, ""en"", ""sv"")"),"Kopiera Jabber ID")</f>
        <v>Kopiera Jabber ID</v>
      </c>
      <c r="AG2006" s="6" t="s">
        <v>132</v>
      </c>
      <c r="AH2006" s="7" t="str">
        <f>IFERROR(__xludf.DUMMYFUNCTION("GOOGLETRANSLATE(C2006, ""en"", ""tr"")"),"Kopyala Jabber Kimliği")</f>
        <v>Kopyala Jabber Kimliği</v>
      </c>
      <c r="AI2006" s="6" t="s">
        <v>132</v>
      </c>
      <c r="AJ2006" s="6" t="s">
        <v>132</v>
      </c>
      <c r="AK2006" s="7" t="str">
        <f>IFERROR(__xludf.DUMMYFUNCTION("GOOGLETRANSLATE(C2006, ""en"", ""zh"")"),"复制Jabber ID")</f>
        <v>复制Jabber ID</v>
      </c>
      <c r="AL2006" s="6" t="s">
        <v>132</v>
      </c>
    </row>
    <row r="2007" ht="15.75" hidden="1" customHeight="1">
      <c r="A2007" s="1" t="s">
        <v>38</v>
      </c>
      <c r="B2007" s="1" t="s">
        <v>39805</v>
      </c>
      <c r="C2007" s="1" t="s">
        <v>39806</v>
      </c>
      <c r="D2007" s="7" t="str">
        <f>IFERROR(__xludf.DUMMYFUNCTION("GOOGLETRANSLATE(C2007, ""en"", ""ar"")"),"أنت تستخدم إصدار قديم من هذا التطبيق.")</f>
        <v>أنت تستخدم إصدار قديم من هذا التطبيق.</v>
      </c>
      <c r="E2007" s="1" t="s">
        <v>39807</v>
      </c>
      <c r="F2007" s="6" t="s">
        <v>132</v>
      </c>
      <c r="G2007" s="7" t="str">
        <f>IFERROR(__xludf.DUMMYFUNCTION("GOOGLETRANSLATE(C2007, ""en"", ""cs"")"),"Používáte verzi této aplikace.")</f>
        <v>Používáte verzi této aplikace.</v>
      </c>
      <c r="H2007" s="7" t="str">
        <f>IFERROR(__xludf.DUMMYFUNCTION("GOOGLETRANSLATE(C2007, ""en"", ""da"")"),"Du bruger en ud af dato version af denne app.")</f>
        <v>Du bruger en ud af dato version af denne app.</v>
      </c>
      <c r="I2007" s="1" t="s">
        <v>39808</v>
      </c>
      <c r="J2007" s="6" t="s">
        <v>132</v>
      </c>
      <c r="K2007" s="1" t="s">
        <v>39809</v>
      </c>
      <c r="L2007" s="7" t="str">
        <f>IFERROR(__xludf.DUMMYFUNCTION("GOOGLETRANSLATE(C2007, ""en"", ""fi"")"),"Käytät tämän sovelluksen vanhentuneita versioita.")</f>
        <v>Käytät tämän sovelluksen vanhentuneita versioita.</v>
      </c>
      <c r="M2007" s="7" t="str">
        <f>IFERROR(__xludf.DUMMYFUNCTION("GOOGLETRANSLATE(C2007, ""en"", ""fr"")"),"Vous utilisez une version hors date de cette application.")</f>
        <v>Vous utilisez une version hors date de cette application.</v>
      </c>
      <c r="N2007" s="6" t="s">
        <v>39810</v>
      </c>
      <c r="O2007" s="6" t="s">
        <v>132</v>
      </c>
      <c r="P2007" s="1" t="s">
        <v>39811</v>
      </c>
      <c r="Q2007" s="7" t="str">
        <f>IFERROR(__xludf.DUMMYFUNCTION("GOOGLETRANSLATE(C2007, ""en"", ""in"")"),"Anda menggunakan versi keluar dari aplikasi ini.")</f>
        <v>Anda menggunakan versi keluar dari aplikasi ini.</v>
      </c>
      <c r="R2007" s="1" t="s">
        <v>39812</v>
      </c>
      <c r="S2007" s="6" t="s">
        <v>132</v>
      </c>
      <c r="T2007" s="7" t="str">
        <f>IFERROR(__xludf.DUMMYFUNCTION("GOOGLETRANSLATE(C2007, ""en"", ""ja"")"),"あなたはこのアプリの最新バージョンを使用しています。")</f>
        <v>あなたはこのアプリの最新バージョンを使用しています。</v>
      </c>
      <c r="U2007" s="7" t="str">
        <f>IFERROR(__xludf.DUMMYFUNCTION("GOOGLETRANSLATE(C2007, ""en"", ""ko"")"),"이 앱의 날짜가 부족한 버전을 사용하고 있습니다.")</f>
        <v>이 앱의 날짜가 부족한 버전을 사용하고 있습니다.</v>
      </c>
      <c r="V2007" s="7" t="str">
        <f>IFERROR(__xludf.DUMMYFUNCTION("GOOGLETRANSLATE(C2007, ""en"", ""ms"")"),"Anda menggunakan versi tarikh aplikasi ini.")</f>
        <v>Anda menggunakan versi tarikh aplikasi ini.</v>
      </c>
      <c r="W2007" s="1" t="s">
        <v>39813</v>
      </c>
      <c r="X2007" s="7" t="str">
        <f>IFERROR(__xludf.DUMMYFUNCTION("GOOGLETRANSLATE(C2007, ""en"", ""no"")"),"Du bruker en utdatert versjon av denne appen.")</f>
        <v>Du bruker en utdatert versjon av denne appen.</v>
      </c>
      <c r="Y2007" s="1" t="s">
        <v>39814</v>
      </c>
      <c r="Z2007" s="7" t="str">
        <f>IFERROR(__xludf.DUMMYFUNCTION("GOOGLETRANSLATE(C2007, ""en"", ""pt"")"),"Você está usando uma versão desatualizada deste aplicativo.")</f>
        <v>Você está usando uma versão desatualizada deste aplicativo.</v>
      </c>
      <c r="AA2007" s="7" t="str">
        <f>IFERROR(__xludf.DUMMYFUNCTION("GOOGLETRANSLATE(C2007, ""en"", ""ro"")"),"Utilizați o versiune depășită a acestei aplicații.")</f>
        <v>Utilizați o versiune depășită a acestei aplicații.</v>
      </c>
      <c r="AB2007" s="7" t="str">
        <f>IFERROR(__xludf.DUMMYFUNCTION("GOOGLETRANSLATE(C2007, ""en"", ""ru"")"),"Вы используете устаревшую версию этого приложения.")</f>
        <v>Вы используете устаревшую версию этого приложения.</v>
      </c>
      <c r="AC2007" s="7" t="str">
        <f>IFERROR(__xludf.DUMMYFUNCTION("GOOGLETRANSLATE(C2007, ""en"", ""sk"")"),"Používate verziu tejto aplikácie.")</f>
        <v>Používate verziu tejto aplikácie.</v>
      </c>
      <c r="AD2007" s="6" t="s">
        <v>132</v>
      </c>
      <c r="AE2007" s="7" t="str">
        <f>IFERROR(__xludf.DUMMYFUNCTION("GOOGLETRANSLATE(C2007, ""en"", ""sr"")"),"Користите застарјели верзију ове апликације.")</f>
        <v>Користите застарјели верзију ове апликације.</v>
      </c>
      <c r="AF2007" s="7" t="str">
        <f>IFERROR(__xludf.DUMMYFUNCTION("GOOGLETRANSLATE(C2007, ""en"", ""sv"")"),"Du använder en föråldrad version av den här appen.")</f>
        <v>Du använder en föråldrad version av den här appen.</v>
      </c>
      <c r="AG2007" s="6" t="s">
        <v>132</v>
      </c>
      <c r="AH2007" s="7" t="str">
        <f>IFERROR(__xludf.DUMMYFUNCTION("GOOGLETRANSLATE(C2007, ""en"", ""tr"")"),"Bu uygulamanın güncel sürümünü kullanıyorsunuz.")</f>
        <v>Bu uygulamanın güncel sürümünü kullanıyorsunuz.</v>
      </c>
      <c r="AI2007" s="6" t="s">
        <v>132</v>
      </c>
      <c r="AJ2007" s="6" t="s">
        <v>132</v>
      </c>
      <c r="AK2007" s="7" t="str">
        <f>IFERROR(__xludf.DUMMYFUNCTION("GOOGLETRANSLATE(C2007, ""en"", ""zh"")"),"您使用的是此应用程序的过期版本。")</f>
        <v>您使用的是此应用程序的过期版本。</v>
      </c>
      <c r="AL2007" s="6" t="s">
        <v>132</v>
      </c>
    </row>
    <row r="2008" ht="15.75" customHeight="1">
      <c r="A2008" s="1" t="s">
        <v>127</v>
      </c>
      <c r="B2008" s="1" t="s">
        <v>39815</v>
      </c>
      <c r="C2008" s="1" t="s">
        <v>3604</v>
      </c>
      <c r="D2008" s="8" t="s">
        <v>39816</v>
      </c>
      <c r="E2008" s="1" t="s">
        <v>30081</v>
      </c>
      <c r="F2008" s="6" t="s">
        <v>132</v>
      </c>
      <c r="G2008" s="1" t="s">
        <v>30083</v>
      </c>
      <c r="H2008" s="1" t="s">
        <v>3605</v>
      </c>
      <c r="I2008" s="1" t="s">
        <v>37160</v>
      </c>
      <c r="J2008" s="6" t="s">
        <v>39817</v>
      </c>
      <c r="K2008" s="1" t="s">
        <v>3607</v>
      </c>
      <c r="L2008" s="1" t="s">
        <v>3608</v>
      </c>
      <c r="M2008" s="1" t="s">
        <v>3609</v>
      </c>
      <c r="N2008" s="6" t="s">
        <v>132</v>
      </c>
      <c r="O2008" s="6" t="s">
        <v>39818</v>
      </c>
      <c r="P2008" s="1" t="s">
        <v>3610</v>
      </c>
      <c r="Q2008" s="1" t="s">
        <v>39819</v>
      </c>
      <c r="R2008" s="1" t="s">
        <v>3612</v>
      </c>
      <c r="S2008" s="10" t="s">
        <v>39820</v>
      </c>
      <c r="T2008" s="1" t="s">
        <v>39821</v>
      </c>
      <c r="U2008" s="1" t="s">
        <v>39822</v>
      </c>
      <c r="V2008" s="1" t="s">
        <v>39823</v>
      </c>
      <c r="W2008" s="1" t="s">
        <v>3616</v>
      </c>
      <c r="X2008" s="1" t="s">
        <v>3617</v>
      </c>
      <c r="Y2008" s="1" t="s">
        <v>3618</v>
      </c>
      <c r="Z2008" s="1" t="s">
        <v>3607</v>
      </c>
      <c r="AA2008" s="7" t="str">
        <f>IFERROR(__xludf.DUMMYFUNCTION("GOOGLETRANSLATE(C2008, ""en"", ""ro"")"),"Nu")</f>
        <v>Nu</v>
      </c>
      <c r="AB2008" s="1" t="s">
        <v>3619</v>
      </c>
      <c r="AC2008" s="1" t="s">
        <v>30083</v>
      </c>
      <c r="AD2008" s="6" t="s">
        <v>39824</v>
      </c>
      <c r="AE2008" s="1" t="s">
        <v>39825</v>
      </c>
      <c r="AF2008" s="1" t="s">
        <v>3605</v>
      </c>
      <c r="AG2008" s="6" t="s">
        <v>39826</v>
      </c>
      <c r="AH2008" s="1" t="s">
        <v>39827</v>
      </c>
      <c r="AI2008" s="6" t="s">
        <v>132</v>
      </c>
      <c r="AJ2008" s="6" t="s">
        <v>39828</v>
      </c>
      <c r="AK2008" s="1" t="s">
        <v>39829</v>
      </c>
      <c r="AL2008" s="6" t="s">
        <v>132</v>
      </c>
    </row>
    <row r="2009" ht="15.75" customHeight="1">
      <c r="A2009" s="1" t="s">
        <v>127</v>
      </c>
      <c r="B2009" s="1" t="s">
        <v>39830</v>
      </c>
      <c r="C2009" s="1" t="s">
        <v>39831</v>
      </c>
      <c r="D2009" s="8" t="s">
        <v>39832</v>
      </c>
      <c r="E2009" s="1" t="s">
        <v>39833</v>
      </c>
      <c r="F2009" s="6" t="s">
        <v>132</v>
      </c>
      <c r="G2009" s="1" t="s">
        <v>39834</v>
      </c>
      <c r="H2009" s="1" t="s">
        <v>39835</v>
      </c>
      <c r="I2009" s="1" t="s">
        <v>39836</v>
      </c>
      <c r="J2009" s="6" t="s">
        <v>39837</v>
      </c>
      <c r="K2009" s="1" t="s">
        <v>39838</v>
      </c>
      <c r="L2009" s="1" t="s">
        <v>39839</v>
      </c>
      <c r="M2009" s="1" t="s">
        <v>39840</v>
      </c>
      <c r="N2009" s="6" t="s">
        <v>132</v>
      </c>
      <c r="O2009" s="6" t="s">
        <v>39841</v>
      </c>
      <c r="P2009" s="1" t="s">
        <v>39842</v>
      </c>
      <c r="Q2009" s="1" t="s">
        <v>39843</v>
      </c>
      <c r="R2009" s="1" t="s">
        <v>39844</v>
      </c>
      <c r="S2009" s="10" t="s">
        <v>39845</v>
      </c>
      <c r="T2009" s="1" t="s">
        <v>39846</v>
      </c>
      <c r="U2009" s="1" t="s">
        <v>39847</v>
      </c>
      <c r="V2009" s="1" t="s">
        <v>39843</v>
      </c>
      <c r="W2009" s="1" t="s">
        <v>39848</v>
      </c>
      <c r="X2009" s="1" t="s">
        <v>39849</v>
      </c>
      <c r="Y2009" s="1" t="s">
        <v>39850</v>
      </c>
      <c r="Z2009" s="1" t="s">
        <v>39838</v>
      </c>
      <c r="AA2009" s="7" t="str">
        <f>IFERROR(__xludf.DUMMYFUNCTION("GOOGLETRANSLATE(C2009, ""en"", ""ro"")"),"Pierderi")</f>
        <v>Pierderi</v>
      </c>
      <c r="AB2009" s="1" t="s">
        <v>39851</v>
      </c>
      <c r="AC2009" s="1" t="s">
        <v>39852</v>
      </c>
      <c r="AD2009" s="6" t="s">
        <v>39853</v>
      </c>
      <c r="AE2009" s="1" t="s">
        <v>39854</v>
      </c>
      <c r="AF2009" s="1" t="s">
        <v>39855</v>
      </c>
      <c r="AG2009" s="6" t="s">
        <v>39856</v>
      </c>
      <c r="AH2009" s="1" t="s">
        <v>39857</v>
      </c>
      <c r="AI2009" s="6" t="s">
        <v>132</v>
      </c>
      <c r="AJ2009" s="6" t="s">
        <v>39858</v>
      </c>
      <c r="AK2009" s="1" t="s">
        <v>39859</v>
      </c>
      <c r="AL2009" s="6" t="s">
        <v>39860</v>
      </c>
    </row>
    <row r="2010" ht="15.75" hidden="1" customHeight="1">
      <c r="A2010" s="1" t="s">
        <v>38</v>
      </c>
      <c r="B2010" s="1" t="s">
        <v>39861</v>
      </c>
      <c r="C2010" s="1" t="s">
        <v>39862</v>
      </c>
      <c r="D2010" s="8" t="s">
        <v>39863</v>
      </c>
      <c r="E2010" s="1" t="s">
        <v>39864</v>
      </c>
      <c r="F2010" s="6" t="s">
        <v>39865</v>
      </c>
      <c r="G2010" s="7" t="str">
        <f>IFERROR(__xludf.DUMMYFUNCTION("GOOGLETRANSLATE(C2010, ""en"", ""cs"")"),"Omemo otisk prstu")</f>
        <v>Omemo otisk prstu</v>
      </c>
      <c r="H2010" s="7" t="str">
        <f>IFERROR(__xludf.DUMMYFUNCTION("GOOGLETRANSLATE(C2010, ""en"", ""da"")"),"Omemo Fingerprint.")</f>
        <v>Omemo Fingerprint.</v>
      </c>
      <c r="I2010" s="1" t="s">
        <v>39866</v>
      </c>
      <c r="J2010" s="6" t="s">
        <v>132</v>
      </c>
      <c r="K2010" s="1" t="s">
        <v>39867</v>
      </c>
      <c r="L2010" s="7" t="str">
        <f>IFERROR(__xludf.DUMMYFUNCTION("GOOGLETRANSLATE(C2010, ""en"", ""fi"")"),"Omemo sormenjälki")</f>
        <v>Omemo sormenjälki</v>
      </c>
      <c r="M2010" s="1" t="s">
        <v>39868</v>
      </c>
      <c r="N2010" s="6" t="s">
        <v>39869</v>
      </c>
      <c r="O2010" s="6" t="s">
        <v>132</v>
      </c>
      <c r="P2010" s="1" t="s">
        <v>39870</v>
      </c>
      <c r="Q2010" s="7" t="str">
        <f>IFERROR(__xludf.DUMMYFUNCTION("GOOGLETRANSLATE(C2010, ""en"", ""in"")"),"Omemo Sidik Jari")</f>
        <v>Omemo Sidik Jari</v>
      </c>
      <c r="R2010" s="1" t="s">
        <v>39871</v>
      </c>
      <c r="S2010" s="6" t="s">
        <v>132</v>
      </c>
      <c r="T2010" s="1" t="s">
        <v>39872</v>
      </c>
      <c r="U2010" s="1" t="s">
        <v>39873</v>
      </c>
      <c r="V2010" s="7" t="str">
        <f>IFERROR(__xludf.DUMMYFUNCTION("GOOGLETRANSLATE(C2010, ""en"", ""ms"")"),"Omemo cap jari.")</f>
        <v>Omemo cap jari.</v>
      </c>
      <c r="W2010" s="1" t="s">
        <v>39874</v>
      </c>
      <c r="X2010" s="7" t="str">
        <f>IFERROR(__xludf.DUMMYFUNCTION("GOOGLETRANSLATE(C2010, ""en"", ""no"")"),"OMEMO fingeravtrykk")</f>
        <v>OMEMO fingeravtrykk</v>
      </c>
      <c r="Y2010" s="1" t="s">
        <v>39875</v>
      </c>
      <c r="Z2010" s="1" t="s">
        <v>39876</v>
      </c>
      <c r="AA2010" s="7" t="str">
        <f>IFERROR(__xludf.DUMMYFUNCTION("GOOGLETRANSLATE(C2010, ""en"", ""ro"")"),"Omemo amprentă")</f>
        <v>Omemo amprentă</v>
      </c>
      <c r="AB2010" s="1" t="s">
        <v>39877</v>
      </c>
      <c r="AC2010" s="1" t="s">
        <v>39878</v>
      </c>
      <c r="AD2010" s="6" t="s">
        <v>132</v>
      </c>
      <c r="AE2010" s="1" t="s">
        <v>39879</v>
      </c>
      <c r="AF2010" s="1" t="s">
        <v>39880</v>
      </c>
      <c r="AG2010" s="6" t="s">
        <v>132</v>
      </c>
      <c r="AH2010" s="7" t="str">
        <f>IFERROR(__xludf.DUMMYFUNCTION("GOOGLETRANSLATE(C2010, ""en"", ""tr"")"),"Omemo parmak izi")</f>
        <v>Omemo parmak izi</v>
      </c>
      <c r="AI2010" s="6" t="s">
        <v>39881</v>
      </c>
      <c r="AJ2010" s="6" t="s">
        <v>39882</v>
      </c>
      <c r="AK2010" s="7" t="str">
        <f>IFERROR(__xludf.DUMMYFUNCTION("GOOGLETRANSLATE(C2010, ""en"", ""zh"")"),"omemo指纹")</f>
        <v>omemo指纹</v>
      </c>
      <c r="AL2010" s="6" t="s">
        <v>39883</v>
      </c>
    </row>
    <row r="2011" ht="15.75" hidden="1" customHeight="1">
      <c r="A2011" s="1" t="s">
        <v>38</v>
      </c>
      <c r="B2011" s="1" t="s">
        <v>39884</v>
      </c>
      <c r="C2011" s="1" t="s">
        <v>39885</v>
      </c>
      <c r="D2011" s="8" t="s">
        <v>39886</v>
      </c>
      <c r="E2011" s="1" t="s">
        <v>39887</v>
      </c>
      <c r="F2011" s="6" t="s">
        <v>39888</v>
      </c>
      <c r="G2011" s="7" t="str">
        <f>IFERROR(__xludf.DUMMYFUNCTION("GOOGLETRANSLATE(C2011, ""en"", ""cs"")"),"Skupinový chat vyžaduje heslo")</f>
        <v>Skupinový chat vyžaduje heslo</v>
      </c>
      <c r="H2011" s="7" t="str">
        <f>IFERROR(__xludf.DUMMYFUNCTION("GOOGLETRANSLATE(C2011, ""en"", ""da"")"),"Gruppe chat kræver adgangskode")</f>
        <v>Gruppe chat kræver adgangskode</v>
      </c>
      <c r="I2011" s="1" t="s">
        <v>39889</v>
      </c>
      <c r="J2011" s="6" t="s">
        <v>132</v>
      </c>
      <c r="K2011" s="1" t="s">
        <v>39890</v>
      </c>
      <c r="L2011" s="7" t="str">
        <f>IFERROR(__xludf.DUMMYFUNCTION("GOOGLETRANSLATE(C2011, ""en"", ""fi"")"),"Ryhmäkeskustelu vaatii salasanaa")</f>
        <v>Ryhmäkeskustelu vaatii salasanaa</v>
      </c>
      <c r="M2011" s="1" t="s">
        <v>39891</v>
      </c>
      <c r="N2011" s="6" t="s">
        <v>39892</v>
      </c>
      <c r="O2011" s="6" t="s">
        <v>132</v>
      </c>
      <c r="P2011" s="1" t="s">
        <v>39893</v>
      </c>
      <c r="Q2011" s="7" t="str">
        <f>IFERROR(__xludf.DUMMYFUNCTION("GOOGLETRANSLATE(C2011, ""en"", ""in"")"),"Obrolan grup membutuhkan kata sandi")</f>
        <v>Obrolan grup membutuhkan kata sandi</v>
      </c>
      <c r="R2011" s="1" t="s">
        <v>39894</v>
      </c>
      <c r="S2011" s="6" t="s">
        <v>132</v>
      </c>
      <c r="T2011" s="1" t="s">
        <v>39895</v>
      </c>
      <c r="U2011" s="7" t="str">
        <f>IFERROR(__xludf.DUMMYFUNCTION("GOOGLETRANSLATE(C2011, ""en"", ""ko"")"),"그룹 채팅이 필요합니다")</f>
        <v>그룹 채팅이 필요합니다</v>
      </c>
      <c r="V2011" s="7" t="str">
        <f>IFERROR(__xludf.DUMMYFUNCTION("GOOGLETRANSLATE(C2011, ""en"", ""ms"")"),"Sembang kumpulan memerlukan kata laluan")</f>
        <v>Sembang kumpulan memerlukan kata laluan</v>
      </c>
      <c r="W2011" s="1" t="s">
        <v>39896</v>
      </c>
      <c r="X2011" s="7" t="str">
        <f>IFERROR(__xludf.DUMMYFUNCTION("GOOGLETRANSLATE(C2011, ""en"", ""no"")"),"Gruppe Chat krever passord")</f>
        <v>Gruppe Chat krever passord</v>
      </c>
      <c r="Y2011" s="1" t="s">
        <v>39897</v>
      </c>
      <c r="Z2011" s="1" t="s">
        <v>39898</v>
      </c>
      <c r="AA2011" s="7" t="str">
        <f>IFERROR(__xludf.DUMMYFUNCTION("GOOGLETRANSLATE(C2011, ""en"", ""ro"")"),"Chat de grup necesită o parolă")</f>
        <v>Chat de grup necesită o parolă</v>
      </c>
      <c r="AB2011" s="1" t="s">
        <v>39899</v>
      </c>
      <c r="AC2011" s="7" t="str">
        <f>IFERROR(__xludf.DUMMYFUNCTION("GOOGLETRANSLATE(C2011, ""en"", ""sk"")"),"Skupinový chat vyžaduje heslo")</f>
        <v>Skupinový chat vyžaduje heslo</v>
      </c>
      <c r="AD2011" s="6" t="s">
        <v>132</v>
      </c>
      <c r="AE2011" s="1" t="s">
        <v>39900</v>
      </c>
      <c r="AF2011" s="7" t="str">
        <f>IFERROR(__xludf.DUMMYFUNCTION("GOOGLETRANSLATE(C2011, ""en"", ""sv"")"),"Gruppchatt kräver lösenord")</f>
        <v>Gruppchatt kräver lösenord</v>
      </c>
      <c r="AG2011" s="6" t="s">
        <v>132</v>
      </c>
      <c r="AH2011" s="7" t="str">
        <f>IFERROR(__xludf.DUMMYFUNCTION("GOOGLETRANSLATE(C2011, ""en"", ""tr"")"),"Grup sohbeti şifre gerektirir")</f>
        <v>Grup sohbeti şifre gerektirir</v>
      </c>
      <c r="AI2011" s="6" t="s">
        <v>132</v>
      </c>
      <c r="AJ2011" s="6" t="s">
        <v>132</v>
      </c>
      <c r="AK2011" s="7" t="str">
        <f>IFERROR(__xludf.DUMMYFUNCTION("GOOGLETRANSLATE(C2011, ""en"", ""zh"")"),"小组聊天需要密码")</f>
        <v>小组聊天需要密码</v>
      </c>
      <c r="AL2011" s="6" t="s">
        <v>132</v>
      </c>
    </row>
    <row r="2012" ht="15.75" hidden="1" customHeight="1">
      <c r="A2012" s="1" t="s">
        <v>38</v>
      </c>
      <c r="B2012" s="1" t="s">
        <v>39901</v>
      </c>
      <c r="C2012" s="1" t="s">
        <v>39902</v>
      </c>
      <c r="D2012" s="8" t="s">
        <v>39903</v>
      </c>
      <c r="E2012" s="1" t="s">
        <v>39904</v>
      </c>
      <c r="F2012" s="6" t="s">
        <v>39905</v>
      </c>
      <c r="G2012" s="7" t="str">
        <f>IFERROR(__xludf.DUMMYFUNCTION("GOOGLETRANSLATE(C2012, ""en"", ""cs"")"),"Vymazat historii konverzace")</f>
        <v>Vymazat historii konverzace</v>
      </c>
      <c r="H2012" s="7" t="str">
        <f>IFERROR(__xludf.DUMMYFUNCTION("GOOGLETRANSLATE(C2012, ""en"", ""da"")"),"Ryd samtalehistorik")</f>
        <v>Ryd samtalehistorik</v>
      </c>
      <c r="I2012" s="1" t="s">
        <v>39906</v>
      </c>
      <c r="J2012" s="6" t="s">
        <v>132</v>
      </c>
      <c r="K2012" s="1" t="s">
        <v>39907</v>
      </c>
      <c r="L2012" s="7" t="str">
        <f>IFERROR(__xludf.DUMMYFUNCTION("GOOGLETRANSLATE(C2012, ""en"", ""fi"")"),"Selkeä keskusteluhistoria")</f>
        <v>Selkeä keskusteluhistoria</v>
      </c>
      <c r="M2012" s="1" t="s">
        <v>39908</v>
      </c>
      <c r="N2012" s="6" t="s">
        <v>39909</v>
      </c>
      <c r="O2012" s="6" t="s">
        <v>132</v>
      </c>
      <c r="P2012" s="1" t="s">
        <v>39910</v>
      </c>
      <c r="Q2012" s="9" t="s">
        <v>39911</v>
      </c>
      <c r="R2012" s="1" t="s">
        <v>39912</v>
      </c>
      <c r="S2012" s="6" t="s">
        <v>132</v>
      </c>
      <c r="T2012" s="1" t="s">
        <v>39913</v>
      </c>
      <c r="U2012" s="1" t="s">
        <v>39914</v>
      </c>
      <c r="V2012" s="7" t="str">
        <f>IFERROR(__xludf.DUMMYFUNCTION("GOOGLETRANSLATE(C2012, ""en"", ""ms"")"),"Sejarah perbualan yang jelas")</f>
        <v>Sejarah perbualan yang jelas</v>
      </c>
      <c r="W2012" s="1" t="s">
        <v>39915</v>
      </c>
      <c r="X2012" s="7" t="str">
        <f>IFERROR(__xludf.DUMMYFUNCTION("GOOGLETRANSLATE(C2012, ""en"", ""no"")"),"Klar samtalehistorie")</f>
        <v>Klar samtalehistorie</v>
      </c>
      <c r="Y2012" s="1" t="s">
        <v>39916</v>
      </c>
      <c r="Z2012" s="1" t="s">
        <v>39917</v>
      </c>
      <c r="AA2012" s="7" t="str">
        <f>IFERROR(__xludf.DUMMYFUNCTION("GOOGLETRANSLATE(C2012, ""en"", ""ro"")"),"Ștergeți istoricul conversației")</f>
        <v>Ștergeți istoricul conversației</v>
      </c>
      <c r="AB2012" s="1" t="s">
        <v>36331</v>
      </c>
      <c r="AC2012" s="1" t="s">
        <v>39918</v>
      </c>
      <c r="AD2012" s="6" t="s">
        <v>132</v>
      </c>
      <c r="AE2012" s="1" t="s">
        <v>39919</v>
      </c>
      <c r="AF2012" s="1" t="s">
        <v>39920</v>
      </c>
      <c r="AG2012" s="6" t="s">
        <v>132</v>
      </c>
      <c r="AH2012" s="7" t="str">
        <f>IFERROR(__xludf.DUMMYFUNCTION("GOOGLETRANSLATE(C2012, ""en"", ""tr"")"),"Konuşma geçmişini temizle")</f>
        <v>Konuşma geçmişini temizle</v>
      </c>
      <c r="AI2012" s="6" t="s">
        <v>39921</v>
      </c>
      <c r="AJ2012" s="6" t="s">
        <v>39922</v>
      </c>
      <c r="AK2012" s="7" t="str">
        <f>IFERROR(__xludf.DUMMYFUNCTION("GOOGLETRANSLATE(C2012, ""en"", ""zh"")"),"清晰的谈话历史记录")</f>
        <v>清晰的谈话历史记录</v>
      </c>
      <c r="AL2012" s="6" t="s">
        <v>39923</v>
      </c>
    </row>
    <row r="2013" ht="15.75" customHeight="1">
      <c r="A2013" s="1" t="s">
        <v>127</v>
      </c>
      <c r="B2013" s="1" t="s">
        <v>39924</v>
      </c>
      <c r="C2013" s="1" t="s">
        <v>39925</v>
      </c>
      <c r="D2013" s="8" t="s">
        <v>39926</v>
      </c>
      <c r="E2013" s="1" t="s">
        <v>39927</v>
      </c>
      <c r="F2013" s="6" t="s">
        <v>132</v>
      </c>
      <c r="G2013" s="1" t="s">
        <v>39928</v>
      </c>
      <c r="H2013" s="1" t="s">
        <v>39929</v>
      </c>
      <c r="I2013" s="1" t="s">
        <v>39930</v>
      </c>
      <c r="J2013" s="6" t="s">
        <v>39931</v>
      </c>
      <c r="K2013" s="1" t="s">
        <v>39932</v>
      </c>
      <c r="L2013" s="1" t="s">
        <v>39933</v>
      </c>
      <c r="M2013" s="1" t="s">
        <v>39934</v>
      </c>
      <c r="N2013" s="6" t="s">
        <v>132</v>
      </c>
      <c r="O2013" s="6" t="s">
        <v>39935</v>
      </c>
      <c r="P2013" s="1" t="s">
        <v>39936</v>
      </c>
      <c r="Q2013" s="1" t="s">
        <v>39937</v>
      </c>
      <c r="R2013" s="1" t="s">
        <v>39938</v>
      </c>
      <c r="S2013" s="10" t="s">
        <v>39939</v>
      </c>
      <c r="T2013" s="1" t="s">
        <v>39940</v>
      </c>
      <c r="U2013" s="1" t="s">
        <v>39941</v>
      </c>
      <c r="V2013" s="1" t="s">
        <v>39937</v>
      </c>
      <c r="W2013" s="1" t="s">
        <v>39942</v>
      </c>
      <c r="X2013" s="1" t="s">
        <v>39943</v>
      </c>
      <c r="Y2013" s="1" t="s">
        <v>39944</v>
      </c>
      <c r="Z2013" s="1" t="s">
        <v>39945</v>
      </c>
      <c r="AA2013" s="7" t="str">
        <f>IFERROR(__xludf.DUMMYFUNCTION("GOOGLETRANSLATE(C2013, ""en"", ""ro"")"),"Conectat!")</f>
        <v>Conectat!</v>
      </c>
      <c r="AB2013" s="1" t="s">
        <v>39946</v>
      </c>
      <c r="AC2013" s="1" t="s">
        <v>39947</v>
      </c>
      <c r="AD2013" s="6" t="s">
        <v>39948</v>
      </c>
      <c r="AE2013" s="1" t="s">
        <v>39949</v>
      </c>
      <c r="AF2013" s="1" t="s">
        <v>39950</v>
      </c>
      <c r="AG2013" s="6" t="s">
        <v>39951</v>
      </c>
      <c r="AH2013" s="1" t="s">
        <v>39952</v>
      </c>
      <c r="AI2013" s="6" t="s">
        <v>132</v>
      </c>
      <c r="AJ2013" s="6" t="s">
        <v>39953</v>
      </c>
      <c r="AK2013" s="1" t="s">
        <v>39954</v>
      </c>
      <c r="AL2013" s="6" t="s">
        <v>132</v>
      </c>
    </row>
    <row r="2014" ht="15.75" hidden="1" customHeight="1">
      <c r="A2014" s="1" t="s">
        <v>38</v>
      </c>
      <c r="B2014" s="1" t="s">
        <v>39955</v>
      </c>
      <c r="C2014" s="1" t="s">
        <v>39956</v>
      </c>
      <c r="D2014" s="8" t="s">
        <v>39957</v>
      </c>
      <c r="E2014" s="1" t="s">
        <v>39958</v>
      </c>
      <c r="F2014" s="6" t="s">
        <v>39959</v>
      </c>
      <c r="G2014" s="7" t="str">
        <f>IFERROR(__xludf.DUMMYFUNCTION("GOOGLETRANSLATE(C2014, ""en"", ""cs"")"),"naposledy viděný% d minut")</f>
        <v>naposledy viděný% d minut</v>
      </c>
      <c r="H2014" s="7" t="str">
        <f>IFERROR(__xludf.DUMMYFUNCTION("GOOGLETRANSLATE(C2014, ""en"", ""da"")"),"sidst set% for minutter siden")</f>
        <v>sidst set% for minutter siden</v>
      </c>
      <c r="I2014" s="1" t="s">
        <v>39960</v>
      </c>
      <c r="J2014" s="6" t="s">
        <v>132</v>
      </c>
      <c r="K2014" s="1" t="s">
        <v>39961</v>
      </c>
      <c r="L2014" s="7" t="str">
        <f>IFERROR(__xludf.DUMMYFUNCTION("GOOGLETRANSLATE(C2014, ""en"", ""fi"")"),"Viimeksi nähnyt% muutama minuutti sitten")</f>
        <v>Viimeksi nähnyt% muutama minuutti sitten</v>
      </c>
      <c r="M2014" s="1" t="s">
        <v>39962</v>
      </c>
      <c r="N2014" s="6" t="s">
        <v>39963</v>
      </c>
      <c r="O2014" s="6" t="s">
        <v>132</v>
      </c>
      <c r="P2014" s="1" t="s">
        <v>39964</v>
      </c>
      <c r="Q2014" s="9" t="s">
        <v>39965</v>
      </c>
      <c r="R2014" s="1" t="s">
        <v>39966</v>
      </c>
      <c r="S2014" s="6" t="s">
        <v>132</v>
      </c>
      <c r="T2014" s="1" t="s">
        <v>39967</v>
      </c>
      <c r="U2014" s="1" t="s">
        <v>39968</v>
      </c>
      <c r="V2014" s="7" t="str">
        <f>IFERROR(__xludf.DUMMYFUNCTION("GOOGLETRANSLATE(C2014, ""en"", ""ms"")"),"terakhir dilihat% D minit yang lalu")</f>
        <v>terakhir dilihat% D minit yang lalu</v>
      </c>
      <c r="W2014" s="1" t="s">
        <v>39969</v>
      </c>
      <c r="X2014" s="7" t="str">
        <f>IFERROR(__xludf.DUMMYFUNCTION("GOOGLETRANSLATE(C2014, ""en"", ""no"")"),"Sist sett% d noen minutter siden")</f>
        <v>Sist sett% d noen minutter siden</v>
      </c>
      <c r="Y2014" s="1" t="s">
        <v>39970</v>
      </c>
      <c r="Z2014" s="1" t="s">
        <v>39971</v>
      </c>
      <c r="AA2014" s="7" t="str">
        <f>IFERROR(__xludf.DUMMYFUNCTION("GOOGLETRANSLATE(C2014, ""en"", ""ro"")"),"ultima s-au văzut% d în urmă")</f>
        <v>ultima s-au văzut% d în urmă</v>
      </c>
      <c r="AB2014" s="1" t="s">
        <v>39972</v>
      </c>
      <c r="AC2014" s="1" t="s">
        <v>39973</v>
      </c>
      <c r="AD2014" s="6" t="s">
        <v>132</v>
      </c>
      <c r="AE2014" s="1" t="s">
        <v>39974</v>
      </c>
      <c r="AF2014" s="1" t="s">
        <v>39975</v>
      </c>
      <c r="AG2014" s="6" t="s">
        <v>132</v>
      </c>
      <c r="AH2014" s="7" t="str">
        <f>IFERROR(__xludf.DUMMYFUNCTION("GOOGLETRANSLATE(C2014, ""en"", ""tr"")"),"Son görülen% d dakika önce")</f>
        <v>Son görülen% d dakika önce</v>
      </c>
      <c r="AI2014" s="6" t="s">
        <v>39976</v>
      </c>
      <c r="AJ2014" s="6" t="s">
        <v>39977</v>
      </c>
      <c r="AK2014" s="7" t="str">
        <f>IFERROR(__xludf.DUMMYFUNCTION("GOOGLETRANSLATE(C2014, ""en"", ""zh"")"),"最后一次看到％d分钟前")</f>
        <v>最后一次看到％d分钟前</v>
      </c>
      <c r="AL2014" s="6" t="s">
        <v>39978</v>
      </c>
    </row>
    <row r="2015" ht="15.75" customHeight="1">
      <c r="A2015" s="1" t="s">
        <v>127</v>
      </c>
      <c r="B2015" s="1" t="s">
        <v>39979</v>
      </c>
      <c r="C2015" s="1" t="s">
        <v>3279</v>
      </c>
      <c r="D2015" s="8" t="s">
        <v>23953</v>
      </c>
      <c r="E2015" s="1" t="s">
        <v>23954</v>
      </c>
      <c r="F2015" s="6" t="s">
        <v>132</v>
      </c>
      <c r="G2015" s="1" t="s">
        <v>23955</v>
      </c>
      <c r="H2015" s="1" t="s">
        <v>23956</v>
      </c>
      <c r="I2015" s="1" t="s">
        <v>3279</v>
      </c>
      <c r="J2015" s="6" t="s">
        <v>3279</v>
      </c>
      <c r="K2015" s="1" t="s">
        <v>3279</v>
      </c>
      <c r="L2015" s="1" t="s">
        <v>23957</v>
      </c>
      <c r="M2015" s="1" t="s">
        <v>3279</v>
      </c>
      <c r="N2015" s="6" t="s">
        <v>132</v>
      </c>
      <c r="O2015" s="6" t="s">
        <v>23958</v>
      </c>
      <c r="P2015" s="1" t="s">
        <v>3279</v>
      </c>
      <c r="Q2015" s="1" t="s">
        <v>23959</v>
      </c>
      <c r="R2015" s="1" t="s">
        <v>3279</v>
      </c>
      <c r="S2015" s="10" t="s">
        <v>23960</v>
      </c>
      <c r="T2015" s="1" t="s">
        <v>3271</v>
      </c>
      <c r="U2015" s="1" t="s">
        <v>3279</v>
      </c>
      <c r="V2015" s="1" t="s">
        <v>23959</v>
      </c>
      <c r="W2015" s="1" t="s">
        <v>3279</v>
      </c>
      <c r="X2015" s="1" t="s">
        <v>23956</v>
      </c>
      <c r="Y2015" s="1" t="s">
        <v>3279</v>
      </c>
      <c r="Z2015" s="1" t="s">
        <v>39980</v>
      </c>
      <c r="AA2015" s="7" t="str">
        <f>IFERROR(__xludf.DUMMYFUNCTION("GOOGLETRANSLATE(C2015, ""en"", ""ro"")"),"YTD")</f>
        <v>YTD</v>
      </c>
      <c r="AB2015" s="1" t="s">
        <v>23961</v>
      </c>
      <c r="AC2015" s="1" t="s">
        <v>3279</v>
      </c>
      <c r="AD2015" s="6" t="s">
        <v>23962</v>
      </c>
      <c r="AE2015" s="1" t="s">
        <v>3279</v>
      </c>
      <c r="AF2015" s="1" t="s">
        <v>3279</v>
      </c>
      <c r="AG2015" s="6" t="s">
        <v>3279</v>
      </c>
      <c r="AH2015" s="1" t="s">
        <v>23963</v>
      </c>
      <c r="AI2015" s="6" t="s">
        <v>132</v>
      </c>
      <c r="AJ2015" s="6" t="s">
        <v>3279</v>
      </c>
      <c r="AK2015" s="1" t="s">
        <v>23964</v>
      </c>
      <c r="AL2015" s="6" t="s">
        <v>23965</v>
      </c>
    </row>
    <row r="2016" ht="15.75" hidden="1" customHeight="1">
      <c r="A2016" s="1" t="s">
        <v>38</v>
      </c>
      <c r="B2016" s="1" t="s">
        <v>39981</v>
      </c>
      <c r="C2016" s="1" t="s">
        <v>39982</v>
      </c>
      <c r="D2016" s="8" t="s">
        <v>39983</v>
      </c>
      <c r="E2016" s="1" t="s">
        <v>39984</v>
      </c>
      <c r="F2016" s="6" t="s">
        <v>39985</v>
      </c>
      <c r="G2016" s="7" t="str">
        <f>IFERROR(__xludf.DUMMYFUNCTION("GOOGLETRANSLATE(C2016, ""en"", ""cs"")"),"Avatar byl publikován!")</f>
        <v>Avatar byl publikován!</v>
      </c>
      <c r="H2016" s="7" t="str">
        <f>IFERROR(__xludf.DUMMYFUNCTION("GOOGLETRANSLATE(C2016, ""en"", ""da"")"),"Avatar er blevet offentliggjort!")</f>
        <v>Avatar er blevet offentliggjort!</v>
      </c>
      <c r="I2016" s="1" t="s">
        <v>39986</v>
      </c>
      <c r="J2016" s="6" t="s">
        <v>132</v>
      </c>
      <c r="K2016" s="1" t="s">
        <v>39987</v>
      </c>
      <c r="L2016" s="7" t="str">
        <f>IFERROR(__xludf.DUMMYFUNCTION("GOOGLETRANSLATE(C2016, ""en"", ""fi"")"),"Avatar on julkaistu!")</f>
        <v>Avatar on julkaistu!</v>
      </c>
      <c r="M2016" s="1" t="s">
        <v>39988</v>
      </c>
      <c r="N2016" s="6" t="s">
        <v>39989</v>
      </c>
      <c r="O2016" s="6" t="s">
        <v>132</v>
      </c>
      <c r="P2016" s="1" t="s">
        <v>39990</v>
      </c>
      <c r="Q2016" s="9" t="s">
        <v>39991</v>
      </c>
      <c r="R2016" s="1" t="s">
        <v>39992</v>
      </c>
      <c r="S2016" s="6" t="s">
        <v>132</v>
      </c>
      <c r="T2016" s="1" t="s">
        <v>39993</v>
      </c>
      <c r="U2016" s="1" t="s">
        <v>39994</v>
      </c>
      <c r="V2016" s="7" t="str">
        <f>IFERROR(__xludf.DUMMYFUNCTION("GOOGLETRANSLATE(C2016, ""en"", ""ms"")"),"Avatar telah diterbitkan!")</f>
        <v>Avatar telah diterbitkan!</v>
      </c>
      <c r="W2016" s="1" t="s">
        <v>39995</v>
      </c>
      <c r="X2016" s="7" t="str">
        <f>IFERROR(__xludf.DUMMYFUNCTION("GOOGLETRANSLATE(C2016, ""en"", ""no"")"),"Avatar har blitt publisert!")</f>
        <v>Avatar har blitt publisert!</v>
      </c>
      <c r="Y2016" s="1" t="s">
        <v>39996</v>
      </c>
      <c r="Z2016" s="1" t="s">
        <v>39997</v>
      </c>
      <c r="AA2016" s="7" t="str">
        <f>IFERROR(__xludf.DUMMYFUNCTION("GOOGLETRANSLATE(C2016, ""en"", ""ro"")"),"Avatar a fost publicat!")</f>
        <v>Avatar a fost publicat!</v>
      </c>
      <c r="AB2016" s="1" t="s">
        <v>39998</v>
      </c>
      <c r="AC2016" s="1" t="s">
        <v>39999</v>
      </c>
      <c r="AD2016" s="6" t="s">
        <v>132</v>
      </c>
      <c r="AE2016" s="1" t="s">
        <v>40000</v>
      </c>
      <c r="AF2016" s="1" t="s">
        <v>40001</v>
      </c>
      <c r="AG2016" s="6" t="s">
        <v>132</v>
      </c>
      <c r="AH2016" s="7" t="str">
        <f>IFERROR(__xludf.DUMMYFUNCTION("GOOGLETRANSLATE(C2016, ""en"", ""tr"")"),"Avatar yayınlandı!")</f>
        <v>Avatar yayınlandı!</v>
      </c>
      <c r="AI2016" s="6" t="s">
        <v>40002</v>
      </c>
      <c r="AJ2016" s="6" t="s">
        <v>40003</v>
      </c>
      <c r="AK2016" s="7" t="str">
        <f>IFERROR(__xludf.DUMMYFUNCTION("GOOGLETRANSLATE(C2016, ""en"", ""zh"")"),"阿凡达已发表！")</f>
        <v>阿凡达已发表！</v>
      </c>
      <c r="AL2016" s="6" t="s">
        <v>40004</v>
      </c>
    </row>
    <row r="2017" ht="15.75" customHeight="1">
      <c r="A2017" s="1" t="s">
        <v>127</v>
      </c>
      <c r="B2017" s="1" t="s">
        <v>40005</v>
      </c>
      <c r="C2017" s="1" t="s">
        <v>40006</v>
      </c>
      <c r="D2017" s="8" t="s">
        <v>40007</v>
      </c>
      <c r="E2017" s="1" t="s">
        <v>40008</v>
      </c>
      <c r="F2017" s="6" t="s">
        <v>132</v>
      </c>
      <c r="G2017" s="1" t="s">
        <v>40009</v>
      </c>
      <c r="H2017" s="1" t="s">
        <v>40010</v>
      </c>
      <c r="I2017" s="1" t="s">
        <v>40011</v>
      </c>
      <c r="J2017" s="6" t="s">
        <v>4795</v>
      </c>
      <c r="K2017" s="1" t="s">
        <v>40012</v>
      </c>
      <c r="L2017" s="1" t="s">
        <v>4797</v>
      </c>
      <c r="M2017" s="1" t="s">
        <v>40013</v>
      </c>
      <c r="N2017" s="6" t="s">
        <v>132</v>
      </c>
      <c r="O2017" s="6" t="s">
        <v>40014</v>
      </c>
      <c r="P2017" s="1" t="s">
        <v>40015</v>
      </c>
      <c r="Q2017" s="1" t="s">
        <v>40016</v>
      </c>
      <c r="R2017" s="1" t="s">
        <v>40017</v>
      </c>
      <c r="S2017" s="10" t="s">
        <v>40018</v>
      </c>
      <c r="T2017" s="1" t="s">
        <v>40019</v>
      </c>
      <c r="U2017" s="1" t="s">
        <v>40020</v>
      </c>
      <c r="V2017" s="1" t="s">
        <v>40021</v>
      </c>
      <c r="W2017" s="1" t="s">
        <v>40022</v>
      </c>
      <c r="X2017" s="1" t="s">
        <v>40023</v>
      </c>
      <c r="Y2017" s="1" t="s">
        <v>40024</v>
      </c>
      <c r="Z2017" s="1" t="s">
        <v>40025</v>
      </c>
      <c r="AA2017" s="7" t="str">
        <f>IFERROR(__xludf.DUMMYFUNCTION("GOOGLETRANSLATE(C2017, ""en"", ""ro"")"),"Calendarul financiar")</f>
        <v>Calendarul financiar</v>
      </c>
      <c r="AB2017" s="1" t="s">
        <v>40026</v>
      </c>
      <c r="AC2017" s="1" t="s">
        <v>40027</v>
      </c>
      <c r="AD2017" s="6" t="s">
        <v>40028</v>
      </c>
      <c r="AE2017" s="1" t="s">
        <v>40029</v>
      </c>
      <c r="AF2017" s="1" t="s">
        <v>4815</v>
      </c>
      <c r="AG2017" s="6" t="s">
        <v>40030</v>
      </c>
      <c r="AH2017" s="1" t="s">
        <v>40031</v>
      </c>
      <c r="AI2017" s="6" t="s">
        <v>132</v>
      </c>
      <c r="AJ2017" s="6" t="s">
        <v>40032</v>
      </c>
      <c r="AK2017" s="1" t="s">
        <v>40033</v>
      </c>
      <c r="AL2017" s="6" t="s">
        <v>40034</v>
      </c>
    </row>
    <row r="2018" ht="15.75" customHeight="1">
      <c r="A2018" s="1" t="s">
        <v>127</v>
      </c>
      <c r="B2018" s="1" t="s">
        <v>40035</v>
      </c>
      <c r="C2018" s="1" t="s">
        <v>40036</v>
      </c>
      <c r="D2018" s="8" t="s">
        <v>40037</v>
      </c>
      <c r="E2018" s="1" t="s">
        <v>40038</v>
      </c>
      <c r="F2018" s="6" t="s">
        <v>132</v>
      </c>
      <c r="G2018" s="1" t="s">
        <v>40039</v>
      </c>
      <c r="H2018" s="1" t="s">
        <v>40040</v>
      </c>
      <c r="I2018" s="1" t="s">
        <v>40036</v>
      </c>
      <c r="J2018" s="6" t="s">
        <v>40041</v>
      </c>
      <c r="K2018" s="1" t="s">
        <v>40042</v>
      </c>
      <c r="L2018" s="1" t="s">
        <v>36552</v>
      </c>
      <c r="M2018" s="1" t="s">
        <v>40043</v>
      </c>
      <c r="N2018" s="6" t="s">
        <v>132</v>
      </c>
      <c r="O2018" s="6" t="s">
        <v>40044</v>
      </c>
      <c r="P2018" s="1" t="s">
        <v>40045</v>
      </c>
      <c r="Q2018" s="1" t="s">
        <v>40046</v>
      </c>
      <c r="R2018" s="1" t="s">
        <v>40047</v>
      </c>
      <c r="S2018" s="10" t="s">
        <v>40048</v>
      </c>
      <c r="T2018" s="1" t="s">
        <v>40049</v>
      </c>
      <c r="U2018" s="1" t="s">
        <v>40050</v>
      </c>
      <c r="V2018" s="1" t="s">
        <v>40046</v>
      </c>
      <c r="W2018" s="1" t="s">
        <v>40051</v>
      </c>
      <c r="X2018" s="1" t="s">
        <v>40052</v>
      </c>
      <c r="Y2018" s="1" t="s">
        <v>40053</v>
      </c>
      <c r="Z2018" s="1" t="s">
        <v>40054</v>
      </c>
      <c r="AA2018" s="7" t="str">
        <f>IFERROR(__xludf.DUMMYFUNCTION("GOOGLETRANSLATE(C2018, ""en"", ""ro"")"),"Top Știri")</f>
        <v>Top Știri</v>
      </c>
      <c r="AB2018" s="1" t="s">
        <v>40055</v>
      </c>
      <c r="AC2018" s="1" t="s">
        <v>40056</v>
      </c>
      <c r="AD2018" s="6" t="s">
        <v>40057</v>
      </c>
      <c r="AE2018" s="1" t="s">
        <v>40058</v>
      </c>
      <c r="AF2018" s="1" t="s">
        <v>40052</v>
      </c>
      <c r="AG2018" s="6" t="s">
        <v>40059</v>
      </c>
      <c r="AH2018" s="1" t="s">
        <v>40060</v>
      </c>
      <c r="AI2018" s="6" t="s">
        <v>132</v>
      </c>
      <c r="AJ2018" s="6" t="s">
        <v>40061</v>
      </c>
      <c r="AK2018" s="1" t="s">
        <v>40062</v>
      </c>
      <c r="AL2018" s="6" t="s">
        <v>40063</v>
      </c>
    </row>
    <row r="2019" ht="15.75" hidden="1" customHeight="1">
      <c r="A2019" s="1" t="s">
        <v>38</v>
      </c>
      <c r="B2019" s="1" t="s">
        <v>40064</v>
      </c>
      <c r="C2019" s="1" t="s">
        <v>40065</v>
      </c>
      <c r="D2019" s="8" t="s">
        <v>40066</v>
      </c>
      <c r="E2019" s="1" t="s">
        <v>40067</v>
      </c>
      <c r="F2019" s="6" t="s">
        <v>40068</v>
      </c>
      <c r="G2019" s="7" t="str">
        <f>IFERROR(__xludf.DUMMYFUNCTION("GOOGLETRANSLATE(C2019, ""en"", ""cs"")"),"Nekompatibilní server")</f>
        <v>Nekompatibilní server</v>
      </c>
      <c r="H2019" s="7" t="str">
        <f>IFERROR(__xludf.DUMMYFUNCTION("GOOGLETRANSLATE(C2019, ""en"", ""da"")"),"Uforenelig server")</f>
        <v>Uforenelig server</v>
      </c>
      <c r="I2019" s="1" t="s">
        <v>40069</v>
      </c>
      <c r="J2019" s="6" t="s">
        <v>132</v>
      </c>
      <c r="K2019" s="1" t="s">
        <v>40068</v>
      </c>
      <c r="L2019" s="7" t="str">
        <f>IFERROR(__xludf.DUMMYFUNCTION("GOOGLETRANSLATE(C2019, ""en"", ""fi"")"),"Yhteensopimaton palvelin")</f>
        <v>Yhteensopimaton palvelin</v>
      </c>
      <c r="M2019" s="1" t="s">
        <v>40070</v>
      </c>
      <c r="N2019" s="6" t="s">
        <v>40068</v>
      </c>
      <c r="O2019" s="6" t="s">
        <v>132</v>
      </c>
      <c r="P2019" s="1" t="s">
        <v>40071</v>
      </c>
      <c r="Q2019" s="9" t="s">
        <v>40072</v>
      </c>
      <c r="R2019" s="1" t="s">
        <v>40073</v>
      </c>
      <c r="S2019" s="6" t="s">
        <v>132</v>
      </c>
      <c r="T2019" s="1" t="s">
        <v>40074</v>
      </c>
      <c r="U2019" s="1" t="s">
        <v>40075</v>
      </c>
      <c r="V2019" s="7" t="str">
        <f>IFERROR(__xludf.DUMMYFUNCTION("GOOGLETRANSLATE(C2019, ""en"", ""ms"")"),"Server yang tidak serasi")</f>
        <v>Server yang tidak serasi</v>
      </c>
      <c r="W2019" s="1" t="s">
        <v>40076</v>
      </c>
      <c r="X2019" s="7" t="str">
        <f>IFERROR(__xludf.DUMMYFUNCTION("GOOGLETRANSLATE(C2019, ""en"", ""no"")"),"Inkompatibel server")</f>
        <v>Inkompatibel server</v>
      </c>
      <c r="Y2019" s="1" t="s">
        <v>40077</v>
      </c>
      <c r="Z2019" s="1" t="s">
        <v>40078</v>
      </c>
      <c r="AA2019" s="7" t="str">
        <f>IFERROR(__xludf.DUMMYFUNCTION("GOOGLETRANSLATE(C2019, ""en"", ""ro"")"),"Server incompatibil")</f>
        <v>Server incompatibil</v>
      </c>
      <c r="AB2019" s="1" t="s">
        <v>40079</v>
      </c>
      <c r="AC2019" s="1" t="s">
        <v>40080</v>
      </c>
      <c r="AD2019" s="6" t="s">
        <v>132</v>
      </c>
      <c r="AE2019" s="1" t="s">
        <v>40081</v>
      </c>
      <c r="AF2019" s="1" t="s">
        <v>40082</v>
      </c>
      <c r="AG2019" s="6" t="s">
        <v>132</v>
      </c>
      <c r="AH2019" s="7" t="str">
        <f>IFERROR(__xludf.DUMMYFUNCTION("GOOGLETRANSLATE(C2019, ""en"", ""tr"")"),"Uyumsuz sunucu")</f>
        <v>Uyumsuz sunucu</v>
      </c>
      <c r="AI2019" s="6" t="s">
        <v>40083</v>
      </c>
      <c r="AJ2019" s="6" t="s">
        <v>40084</v>
      </c>
      <c r="AK2019" s="7" t="str">
        <f>IFERROR(__xludf.DUMMYFUNCTION("GOOGLETRANSLATE(C2019, ""en"", ""zh"")"),"不兼容的服务器")</f>
        <v>不兼容的服务器</v>
      </c>
      <c r="AL2019" s="6" t="s">
        <v>40085</v>
      </c>
    </row>
    <row r="2020" ht="15.75" customHeight="1">
      <c r="A2020" s="1" t="s">
        <v>127</v>
      </c>
      <c r="B2020" s="1" t="s">
        <v>40086</v>
      </c>
      <c r="C2020" s="1" t="s">
        <v>40087</v>
      </c>
      <c r="D2020" s="8" t="s">
        <v>40088</v>
      </c>
      <c r="E2020" s="1" t="s">
        <v>40089</v>
      </c>
      <c r="F2020" s="6" t="s">
        <v>132</v>
      </c>
      <c r="G2020" s="1" t="s">
        <v>40090</v>
      </c>
      <c r="H2020" s="1" t="s">
        <v>40091</v>
      </c>
      <c r="I2020" s="1" t="s">
        <v>40092</v>
      </c>
      <c r="J2020" s="6" t="s">
        <v>40093</v>
      </c>
      <c r="K2020" s="1" t="s">
        <v>40094</v>
      </c>
      <c r="L2020" s="1" t="s">
        <v>40095</v>
      </c>
      <c r="M2020" s="1" t="s">
        <v>40096</v>
      </c>
      <c r="N2020" s="6" t="s">
        <v>132</v>
      </c>
      <c r="O2020" s="6" t="s">
        <v>40097</v>
      </c>
      <c r="P2020" s="1" t="s">
        <v>40098</v>
      </c>
      <c r="Q2020" s="1" t="s">
        <v>40099</v>
      </c>
      <c r="R2020" s="1" t="s">
        <v>40100</v>
      </c>
      <c r="S2020" s="10" t="s">
        <v>40101</v>
      </c>
      <c r="T2020" s="1" t="s">
        <v>40102</v>
      </c>
      <c r="U2020" s="1" t="s">
        <v>40103</v>
      </c>
      <c r="V2020" s="1" t="s">
        <v>40099</v>
      </c>
      <c r="W2020" s="1" t="s">
        <v>40104</v>
      </c>
      <c r="X2020" s="1" t="s">
        <v>40105</v>
      </c>
      <c r="Y2020" s="1" t="s">
        <v>40087</v>
      </c>
      <c r="Z2020" s="1" t="s">
        <v>40106</v>
      </c>
      <c r="AA2020" s="7" t="str">
        <f>IFERROR(__xludf.DUMMYFUNCTION("GOOGLETRANSLATE(C2020, ""en"", ""ro"")"),"Recomandări analist")</f>
        <v>Recomandări analist</v>
      </c>
      <c r="AB2020" s="1" t="s">
        <v>40107</v>
      </c>
      <c r="AC2020" s="1" t="s">
        <v>40108</v>
      </c>
      <c r="AD2020" s="6" t="s">
        <v>40109</v>
      </c>
      <c r="AE2020" s="1" t="s">
        <v>40087</v>
      </c>
      <c r="AF2020" s="1" t="s">
        <v>40110</v>
      </c>
      <c r="AG2020" s="6" t="s">
        <v>40111</v>
      </c>
      <c r="AH2020" s="1" t="s">
        <v>40112</v>
      </c>
      <c r="AI2020" s="6" t="s">
        <v>132</v>
      </c>
      <c r="AJ2020" s="6" t="s">
        <v>40113</v>
      </c>
      <c r="AK2020" s="1" t="s">
        <v>40114</v>
      </c>
      <c r="AL2020" s="6" t="s">
        <v>40115</v>
      </c>
    </row>
    <row r="2021" ht="15.75" customHeight="1">
      <c r="A2021" s="1" t="s">
        <v>127</v>
      </c>
      <c r="B2021" s="1" t="s">
        <v>40116</v>
      </c>
      <c r="C2021" s="1" t="s">
        <v>40117</v>
      </c>
      <c r="D2021" s="8" t="s">
        <v>40118</v>
      </c>
      <c r="E2021" s="1" t="s">
        <v>40119</v>
      </c>
      <c r="F2021" s="6" t="s">
        <v>132</v>
      </c>
      <c r="G2021" s="1" t="s">
        <v>40120</v>
      </c>
      <c r="H2021" s="1" t="s">
        <v>40121</v>
      </c>
      <c r="I2021" s="1" t="s">
        <v>4559</v>
      </c>
      <c r="J2021" s="6" t="s">
        <v>40122</v>
      </c>
      <c r="K2021" s="1" t="s">
        <v>29612</v>
      </c>
      <c r="L2021" s="1" t="s">
        <v>40123</v>
      </c>
      <c r="M2021" s="1" t="s">
        <v>40124</v>
      </c>
      <c r="N2021" s="6" t="s">
        <v>132</v>
      </c>
      <c r="O2021" s="6" t="s">
        <v>40125</v>
      </c>
      <c r="P2021" s="1" t="s">
        <v>40126</v>
      </c>
      <c r="Q2021" s="1" t="s">
        <v>4566</v>
      </c>
      <c r="R2021" s="1" t="s">
        <v>40127</v>
      </c>
      <c r="S2021" s="10" t="s">
        <v>40128</v>
      </c>
      <c r="T2021" s="1" t="s">
        <v>4569</v>
      </c>
      <c r="U2021" s="1" t="s">
        <v>4570</v>
      </c>
      <c r="V2021" s="1" t="s">
        <v>4566</v>
      </c>
      <c r="W2021" s="1" t="s">
        <v>40129</v>
      </c>
      <c r="X2021" s="1" t="s">
        <v>40130</v>
      </c>
      <c r="Y2021" s="1" t="s">
        <v>4573</v>
      </c>
      <c r="Z2021" s="1" t="s">
        <v>29613</v>
      </c>
      <c r="AA2021" s="7" t="str">
        <f>IFERROR(__xludf.DUMMYFUNCTION("GOOGLETRANSLATE(C2021, ""en"", ""ro"")"),"Fonduri comune")</f>
        <v>Fonduri comune</v>
      </c>
      <c r="AB2021" s="1" t="s">
        <v>40131</v>
      </c>
      <c r="AC2021" s="1" t="s">
        <v>40132</v>
      </c>
      <c r="AD2021" s="6" t="s">
        <v>40133</v>
      </c>
      <c r="AE2021" s="1" t="s">
        <v>40134</v>
      </c>
      <c r="AF2021" s="1" t="s">
        <v>40135</v>
      </c>
      <c r="AG2021" s="6" t="s">
        <v>4581</v>
      </c>
      <c r="AH2021" s="1" t="s">
        <v>40136</v>
      </c>
      <c r="AI2021" s="6" t="s">
        <v>132</v>
      </c>
      <c r="AJ2021" s="6" t="s">
        <v>4583</v>
      </c>
      <c r="AK2021" s="1" t="s">
        <v>4584</v>
      </c>
      <c r="AL2021" s="6" t="s">
        <v>4585</v>
      </c>
    </row>
    <row r="2022" ht="15.75" customHeight="1">
      <c r="A2022" s="1" t="s">
        <v>127</v>
      </c>
      <c r="B2022" s="1" t="s">
        <v>40137</v>
      </c>
      <c r="C2022" s="1" t="s">
        <v>40138</v>
      </c>
      <c r="D2022" s="8" t="s">
        <v>40139</v>
      </c>
      <c r="E2022" s="1" t="s">
        <v>40140</v>
      </c>
      <c r="F2022" s="6" t="s">
        <v>132</v>
      </c>
      <c r="G2022" s="1" t="s">
        <v>40141</v>
      </c>
      <c r="H2022" s="1" t="s">
        <v>40142</v>
      </c>
      <c r="I2022" s="1" t="s">
        <v>40143</v>
      </c>
      <c r="J2022" s="6" t="s">
        <v>40144</v>
      </c>
      <c r="K2022" s="1" t="s">
        <v>40145</v>
      </c>
      <c r="L2022" s="1" t="s">
        <v>40146</v>
      </c>
      <c r="M2022" s="1" t="s">
        <v>40147</v>
      </c>
      <c r="N2022" s="6" t="s">
        <v>132</v>
      </c>
      <c r="O2022" s="6" t="s">
        <v>40148</v>
      </c>
      <c r="P2022" s="1" t="s">
        <v>40149</v>
      </c>
      <c r="Q2022" s="1" t="s">
        <v>40150</v>
      </c>
      <c r="R2022" s="1" t="s">
        <v>40151</v>
      </c>
      <c r="S2022" s="10" t="s">
        <v>40152</v>
      </c>
      <c r="T2022" s="1" t="s">
        <v>40153</v>
      </c>
      <c r="U2022" s="1" t="s">
        <v>40154</v>
      </c>
      <c r="V2022" s="1" t="s">
        <v>40155</v>
      </c>
      <c r="W2022" s="1" t="s">
        <v>40156</v>
      </c>
      <c r="X2022" s="1" t="s">
        <v>40142</v>
      </c>
      <c r="Y2022" s="1" t="s">
        <v>40157</v>
      </c>
      <c r="Z2022" s="1" t="s">
        <v>40158</v>
      </c>
      <c r="AA2022" s="7" t="str">
        <f>IFERROR(__xludf.DUMMYFUNCTION("GOOGLETRANSLATE(C2022, ""en"", ""ro"")"),"Recomandări valabile")</f>
        <v>Recomandări valabile</v>
      </c>
      <c r="AB2022" s="1" t="s">
        <v>40159</v>
      </c>
      <c r="AC2022" s="1" t="s">
        <v>40160</v>
      </c>
      <c r="AD2022" s="6" t="s">
        <v>40161</v>
      </c>
      <c r="AE2022" s="1" t="s">
        <v>40162</v>
      </c>
      <c r="AF2022" s="1" t="s">
        <v>40163</v>
      </c>
      <c r="AG2022" s="6" t="s">
        <v>40164</v>
      </c>
      <c r="AH2022" s="1" t="s">
        <v>40165</v>
      </c>
      <c r="AI2022" s="6" t="s">
        <v>132</v>
      </c>
      <c r="AJ2022" s="6" t="s">
        <v>40166</v>
      </c>
      <c r="AK2022" s="1" t="s">
        <v>40167</v>
      </c>
      <c r="AL2022" s="6" t="s">
        <v>40168</v>
      </c>
    </row>
    <row r="2023" ht="15.75" customHeight="1">
      <c r="A2023" s="1" t="s">
        <v>127</v>
      </c>
      <c r="B2023" s="1" t="s">
        <v>40169</v>
      </c>
      <c r="C2023" s="1" t="s">
        <v>40170</v>
      </c>
      <c r="D2023" s="8" t="s">
        <v>40171</v>
      </c>
      <c r="E2023" s="1" t="s">
        <v>40172</v>
      </c>
      <c r="F2023" s="6" t="s">
        <v>132</v>
      </c>
      <c r="G2023" s="1" t="s">
        <v>40173</v>
      </c>
      <c r="H2023" s="1" t="s">
        <v>40174</v>
      </c>
      <c r="I2023" s="1" t="s">
        <v>40175</v>
      </c>
      <c r="J2023" s="6" t="s">
        <v>40170</v>
      </c>
      <c r="K2023" s="1" t="s">
        <v>40176</v>
      </c>
      <c r="L2023" s="1" t="s">
        <v>40170</v>
      </c>
      <c r="M2023" s="1" t="s">
        <v>40177</v>
      </c>
      <c r="N2023" s="6" t="s">
        <v>132</v>
      </c>
      <c r="O2023" s="6" t="s">
        <v>40178</v>
      </c>
      <c r="P2023" s="1" t="s">
        <v>40179</v>
      </c>
      <c r="Q2023" s="1" t="s">
        <v>40180</v>
      </c>
      <c r="R2023" s="1" t="s">
        <v>40181</v>
      </c>
      <c r="S2023" s="6" t="s">
        <v>40170</v>
      </c>
      <c r="T2023" s="1" t="s">
        <v>40182</v>
      </c>
      <c r="U2023" s="1" t="s">
        <v>40170</v>
      </c>
      <c r="V2023" s="1" t="s">
        <v>40183</v>
      </c>
      <c r="W2023" s="1" t="s">
        <v>40184</v>
      </c>
      <c r="X2023" s="1" t="s">
        <v>40185</v>
      </c>
      <c r="Y2023" s="1" t="s">
        <v>40186</v>
      </c>
      <c r="Z2023" s="1" t="s">
        <v>40187</v>
      </c>
      <c r="AA2023" s="7" t="str">
        <f>IFERROR(__xludf.DUMMYFUNCTION("GOOGLETRANSLATE(C2023, ""en"", ""ro"")"),"Apăsați DIGEST.")</f>
        <v>Apăsați DIGEST.</v>
      </c>
      <c r="AB2023" s="1" t="s">
        <v>40188</v>
      </c>
      <c r="AC2023" s="1" t="s">
        <v>40189</v>
      </c>
      <c r="AD2023" s="6" t="s">
        <v>40190</v>
      </c>
      <c r="AE2023" s="1" t="s">
        <v>40170</v>
      </c>
      <c r="AF2023" s="1" t="s">
        <v>40191</v>
      </c>
      <c r="AG2023" s="6" t="s">
        <v>40192</v>
      </c>
      <c r="AH2023" s="1" t="s">
        <v>40193</v>
      </c>
      <c r="AI2023" s="6" t="s">
        <v>132</v>
      </c>
      <c r="AJ2023" s="6" t="s">
        <v>40194</v>
      </c>
      <c r="AK2023" s="1" t="s">
        <v>40195</v>
      </c>
      <c r="AL2023" s="6" t="s">
        <v>40196</v>
      </c>
    </row>
    <row r="2024" ht="15.75" customHeight="1">
      <c r="A2024" s="1" t="s">
        <v>127</v>
      </c>
      <c r="B2024" s="1" t="s">
        <v>40197</v>
      </c>
      <c r="C2024" s="1" t="s">
        <v>40198</v>
      </c>
      <c r="D2024" s="8" t="s">
        <v>40199</v>
      </c>
      <c r="E2024" s="1" t="s">
        <v>40200</v>
      </c>
      <c r="F2024" s="6" t="s">
        <v>132</v>
      </c>
      <c r="G2024" s="1" t="s">
        <v>40201</v>
      </c>
      <c r="H2024" s="1" t="s">
        <v>40202</v>
      </c>
      <c r="I2024" s="1" t="s">
        <v>40203</v>
      </c>
      <c r="J2024" s="6" t="s">
        <v>40204</v>
      </c>
      <c r="K2024" s="1" t="s">
        <v>40205</v>
      </c>
      <c r="L2024" s="1" t="s">
        <v>40206</v>
      </c>
      <c r="M2024" s="1" t="s">
        <v>40207</v>
      </c>
      <c r="N2024" s="6" t="s">
        <v>132</v>
      </c>
      <c r="O2024" s="6" t="s">
        <v>40208</v>
      </c>
      <c r="P2024" s="1" t="s">
        <v>40209</v>
      </c>
      <c r="Q2024" s="1" t="s">
        <v>40210</v>
      </c>
      <c r="R2024" s="1" t="s">
        <v>40211</v>
      </c>
      <c r="S2024" s="10" t="s">
        <v>40212</v>
      </c>
      <c r="T2024" s="1" t="s">
        <v>40213</v>
      </c>
      <c r="U2024" s="1" t="s">
        <v>40214</v>
      </c>
      <c r="V2024" s="1" t="s">
        <v>40215</v>
      </c>
      <c r="W2024" s="1" t="s">
        <v>40216</v>
      </c>
      <c r="X2024" s="1" t="s">
        <v>40217</v>
      </c>
      <c r="Y2024" s="1" t="s">
        <v>40218</v>
      </c>
      <c r="Z2024" s="1" t="s">
        <v>40219</v>
      </c>
      <c r="AA2024" s="7" t="str">
        <f>IFERROR(__xludf.DUMMYFUNCTION("GOOGLETRANSLATE(C2024, ""en"", ""ro"")"),"Glisați pentru a filtra evenimentele.")</f>
        <v>Glisați pentru a filtra evenimentele.</v>
      </c>
      <c r="AB2024" s="1" t="s">
        <v>40220</v>
      </c>
      <c r="AC2024" s="1" t="s">
        <v>40221</v>
      </c>
      <c r="AD2024" s="6" t="s">
        <v>40222</v>
      </c>
      <c r="AE2024" s="1" t="s">
        <v>40223</v>
      </c>
      <c r="AF2024" s="1" t="s">
        <v>40224</v>
      </c>
      <c r="AG2024" s="6" t="s">
        <v>40225</v>
      </c>
      <c r="AH2024" s="1" t="s">
        <v>40226</v>
      </c>
      <c r="AI2024" s="6" t="s">
        <v>132</v>
      </c>
      <c r="AJ2024" s="6" t="s">
        <v>40227</v>
      </c>
      <c r="AK2024" s="1" t="s">
        <v>40228</v>
      </c>
      <c r="AL2024" s="6" t="s">
        <v>132</v>
      </c>
    </row>
    <row r="2025" ht="15.75" customHeight="1">
      <c r="A2025" s="1" t="s">
        <v>127</v>
      </c>
      <c r="B2025" s="1" t="s">
        <v>40229</v>
      </c>
      <c r="C2025" s="1" t="s">
        <v>40230</v>
      </c>
      <c r="D2025" s="8" t="s">
        <v>40231</v>
      </c>
      <c r="E2025" s="1" t="s">
        <v>40232</v>
      </c>
      <c r="F2025" s="6" t="s">
        <v>132</v>
      </c>
      <c r="G2025" s="1" t="s">
        <v>40233</v>
      </c>
      <c r="H2025" s="1" t="s">
        <v>40234</v>
      </c>
      <c r="I2025" s="1" t="s">
        <v>40235</v>
      </c>
      <c r="J2025" s="6" t="s">
        <v>40236</v>
      </c>
      <c r="K2025" s="1" t="s">
        <v>40237</v>
      </c>
      <c r="L2025" s="1" t="s">
        <v>40238</v>
      </c>
      <c r="M2025" s="1" t="s">
        <v>40239</v>
      </c>
      <c r="N2025" s="6" t="s">
        <v>132</v>
      </c>
      <c r="O2025" s="6" t="s">
        <v>40240</v>
      </c>
      <c r="P2025" s="1" t="s">
        <v>40230</v>
      </c>
      <c r="Q2025" s="1" t="s">
        <v>40241</v>
      </c>
      <c r="R2025" s="1" t="s">
        <v>40242</v>
      </c>
      <c r="S2025" s="10" t="s">
        <v>40243</v>
      </c>
      <c r="T2025" s="1" t="s">
        <v>40244</v>
      </c>
      <c r="U2025" s="1" t="s">
        <v>40245</v>
      </c>
      <c r="V2025" s="1" t="s">
        <v>40246</v>
      </c>
      <c r="W2025" s="1" t="s">
        <v>40247</v>
      </c>
      <c r="X2025" s="1" t="s">
        <v>40248</v>
      </c>
      <c r="Y2025" s="1" t="s">
        <v>40249</v>
      </c>
      <c r="Z2025" s="1" t="s">
        <v>40250</v>
      </c>
      <c r="AA2025" s="7" t="str">
        <f>IFERROR(__xludf.DUMMYFUNCTION("GOOGLETRANSLATE(C2025, ""en"", ""ro"")"),"Total acționarii acționari")</f>
        <v>Total acționarii acționari</v>
      </c>
      <c r="AB2025" s="1" t="s">
        <v>40251</v>
      </c>
      <c r="AC2025" s="1" t="s">
        <v>40252</v>
      </c>
      <c r="AD2025" s="6" t="s">
        <v>40253</v>
      </c>
      <c r="AE2025" s="1" t="s">
        <v>40254</v>
      </c>
      <c r="AF2025" s="1" t="s">
        <v>40255</v>
      </c>
      <c r="AG2025" s="6" t="s">
        <v>40256</v>
      </c>
      <c r="AH2025" s="1" t="s">
        <v>40257</v>
      </c>
      <c r="AI2025" s="6" t="s">
        <v>132</v>
      </c>
      <c r="AJ2025" s="6" t="s">
        <v>40258</v>
      </c>
      <c r="AK2025" s="1" t="s">
        <v>40259</v>
      </c>
      <c r="AL2025" s="6" t="s">
        <v>132</v>
      </c>
    </row>
    <row r="2026" ht="15.75" customHeight="1">
      <c r="A2026" s="1" t="s">
        <v>127</v>
      </c>
      <c r="B2026" s="1" t="s">
        <v>40260</v>
      </c>
      <c r="C2026" s="1" t="s">
        <v>40261</v>
      </c>
      <c r="D2026" s="8" t="s">
        <v>40262</v>
      </c>
      <c r="E2026" s="1" t="s">
        <v>40263</v>
      </c>
      <c r="F2026" s="6" t="s">
        <v>132</v>
      </c>
      <c r="G2026" s="1" t="s">
        <v>40264</v>
      </c>
      <c r="H2026" s="1" t="s">
        <v>40265</v>
      </c>
      <c r="I2026" s="1" t="s">
        <v>40265</v>
      </c>
      <c r="J2026" s="6" t="s">
        <v>40266</v>
      </c>
      <c r="K2026" s="1" t="s">
        <v>40267</v>
      </c>
      <c r="L2026" s="1" t="s">
        <v>40268</v>
      </c>
      <c r="M2026" s="1" t="s">
        <v>40269</v>
      </c>
      <c r="N2026" s="6" t="s">
        <v>132</v>
      </c>
      <c r="O2026" s="6" t="s">
        <v>40270</v>
      </c>
      <c r="P2026" s="1" t="s">
        <v>40264</v>
      </c>
      <c r="Q2026" s="1" t="s">
        <v>40265</v>
      </c>
      <c r="R2026" s="1" t="s">
        <v>40271</v>
      </c>
      <c r="S2026" s="10" t="s">
        <v>40272</v>
      </c>
      <c r="T2026" s="1" t="s">
        <v>40273</v>
      </c>
      <c r="U2026" s="1" t="s">
        <v>40274</v>
      </c>
      <c r="V2026" s="1" t="s">
        <v>40265</v>
      </c>
      <c r="W2026" s="1" t="s">
        <v>40275</v>
      </c>
      <c r="X2026" s="1" t="s">
        <v>40276</v>
      </c>
      <c r="Y2026" s="1" t="s">
        <v>40277</v>
      </c>
      <c r="Z2026" s="1" t="s">
        <v>40267</v>
      </c>
      <c r="AA2026" s="7" t="str">
        <f>IFERROR(__xludf.DUMMYFUNCTION("GOOGLETRANSLATE(C2026, ""en"", ""ro"")"),"Politică")</f>
        <v>Politică</v>
      </c>
      <c r="AB2026" s="1" t="s">
        <v>40263</v>
      </c>
      <c r="AC2026" s="1" t="s">
        <v>40264</v>
      </c>
      <c r="AD2026" s="6" t="s">
        <v>40264</v>
      </c>
      <c r="AE2026" s="1" t="s">
        <v>40264</v>
      </c>
      <c r="AF2026" s="1" t="s">
        <v>40265</v>
      </c>
      <c r="AG2026" s="6" t="s">
        <v>40278</v>
      </c>
      <c r="AH2026" s="1" t="s">
        <v>40264</v>
      </c>
      <c r="AI2026" s="6" t="s">
        <v>132</v>
      </c>
      <c r="AJ2026" s="6" t="s">
        <v>40279</v>
      </c>
      <c r="AK2026" s="1" t="s">
        <v>40273</v>
      </c>
      <c r="AL2026" s="6" t="s">
        <v>40280</v>
      </c>
    </row>
    <row r="2027" ht="15.75" hidden="1" customHeight="1">
      <c r="A2027" s="1" t="s">
        <v>38</v>
      </c>
      <c r="B2027" s="1" t="s">
        <v>40281</v>
      </c>
      <c r="C2027" s="1" t="s">
        <v>40282</v>
      </c>
      <c r="D2027" s="7" t="str">
        <f>IFERROR(__xludf.DUMMYFUNCTION("GOOGLETRANSLATE(C2027, ""en"", ""ar"")"),"فقط المالك يمكنه تغيير الصورة الرمزية Chat Group")</f>
        <v>فقط المالك يمكنه تغيير الصورة الرمزية Chat Group</v>
      </c>
      <c r="E2027" s="1" t="s">
        <v>40283</v>
      </c>
      <c r="F2027" s="6" t="s">
        <v>40284</v>
      </c>
      <c r="G2027" s="7" t="str">
        <f>IFERROR(__xludf.DUMMYFUNCTION("GOOGLETRANSLATE(C2027, ""en"", ""cs"")"),"Pouze majitel může změnit skupinový chat avatar")</f>
        <v>Pouze majitel může změnit skupinový chat avatar</v>
      </c>
      <c r="H2027" s="7" t="str">
        <f>IFERROR(__xludf.DUMMYFUNCTION("GOOGLETRANSLATE(C2027, ""en"", ""da"")"),"Kun ejeren kan ændre gruppe chat avatar")</f>
        <v>Kun ejeren kan ændre gruppe chat avatar</v>
      </c>
      <c r="I2027" s="1" t="s">
        <v>40285</v>
      </c>
      <c r="J2027" s="6" t="s">
        <v>132</v>
      </c>
      <c r="K2027" s="1" t="s">
        <v>40286</v>
      </c>
      <c r="L2027" s="7" t="str">
        <f>IFERROR(__xludf.DUMMYFUNCTION("GOOGLETRANSLATE(C2027, ""en"", ""fi"")"),"Vain omistaja voi muuttaa ryhmäkeskustelua Avatar")</f>
        <v>Vain omistaja voi muuttaa ryhmäkeskustelua Avatar</v>
      </c>
      <c r="M2027" s="1" t="s">
        <v>40287</v>
      </c>
      <c r="N2027" s="6" t="s">
        <v>40288</v>
      </c>
      <c r="O2027" s="6" t="s">
        <v>132</v>
      </c>
      <c r="P2027" s="1" t="s">
        <v>40289</v>
      </c>
      <c r="Q2027" s="7" t="str">
        <f>IFERROR(__xludf.DUMMYFUNCTION("GOOGLETRANSLATE(C2027, ""en"", ""in"")"),"Hanya pemilik yang dapat mengubah avatar obrolan grup")</f>
        <v>Hanya pemilik yang dapat mengubah avatar obrolan grup</v>
      </c>
      <c r="R2027" s="1" t="s">
        <v>40290</v>
      </c>
      <c r="S2027" s="6" t="s">
        <v>132</v>
      </c>
      <c r="T2027" s="7" t="str">
        <f>IFERROR(__xludf.DUMMYFUNCTION("GOOGLETRANSLATE(C2027, ""en"", ""ja"")"),"オーナーだけがグループチャットアバターを変更することができます")</f>
        <v>オーナーだけがグループチャットアバターを変更することができます</v>
      </c>
      <c r="U2027" s="7" t="str">
        <f>IFERROR(__xludf.DUMMYFUNCTION("GOOGLETRANSLATE(C2027, ""en"", ""ko"")"),"소유자 만 그룹 채팅 아바타를 변경할 수 있습니다")</f>
        <v>소유자 만 그룹 채팅 아바타를 변경할 수 있습니다</v>
      </c>
      <c r="V2027" s="7" t="str">
        <f>IFERROR(__xludf.DUMMYFUNCTION("GOOGLETRANSLATE(C2027, ""en"", ""ms"")"),"Hanya pemilik boleh menukar avatar sembang kumpulan")</f>
        <v>Hanya pemilik boleh menukar avatar sembang kumpulan</v>
      </c>
      <c r="W2027" s="1" t="s">
        <v>40291</v>
      </c>
      <c r="X2027" s="7" t="str">
        <f>IFERROR(__xludf.DUMMYFUNCTION("GOOGLETRANSLATE(C2027, ""en"", ""no"")"),"Bare eieren kan endre gruppe chat avatar")</f>
        <v>Bare eieren kan endre gruppe chat avatar</v>
      </c>
      <c r="Y2027" s="1" t="s">
        <v>40292</v>
      </c>
      <c r="Z2027" s="7" t="str">
        <f>IFERROR(__xludf.DUMMYFUNCTION("GOOGLETRANSLATE(C2027, ""en"", ""pt"")"),"Apenas o proprietário pode mudar o avatar do bate-papo do grupo")</f>
        <v>Apenas o proprietário pode mudar o avatar do bate-papo do grupo</v>
      </c>
      <c r="AA2027" s="7" t="str">
        <f>IFERROR(__xludf.DUMMYFUNCTION("GOOGLETRANSLATE(C2027, ""en"", ""ro"")"),"Numai proprietarul poate schimba grupul de chat Avatar")</f>
        <v>Numai proprietarul poate schimba grupul de chat Avatar</v>
      </c>
      <c r="AB2027" s="7" t="str">
        <f>IFERROR(__xludf.DUMMYFUNCTION("GOOGLETRANSLATE(C2027, ""en"", ""ru"")"),"Только владелец может изменить групповую чат аватар")</f>
        <v>Только владелец может изменить групповую чат аватар</v>
      </c>
      <c r="AC2027" s="7" t="str">
        <f>IFERROR(__xludf.DUMMYFUNCTION("GOOGLETRANSLATE(C2027, ""en"", ""sk"")"),"Len majiteľ môže zmeniť skupinový chat avatar")</f>
        <v>Len majiteľ môže zmeniť skupinový chat avatar</v>
      </c>
      <c r="AD2027" s="6" t="s">
        <v>132</v>
      </c>
      <c r="AE2027" s="1" t="s">
        <v>40293</v>
      </c>
      <c r="AF2027" s="7" t="str">
        <f>IFERROR(__xludf.DUMMYFUNCTION("GOOGLETRANSLATE(C2027, ""en"", ""sv"")"),"Endast ägaren kan ändra gruppchatt avatar")</f>
        <v>Endast ägaren kan ändra gruppchatt avatar</v>
      </c>
      <c r="AG2027" s="6" t="s">
        <v>132</v>
      </c>
      <c r="AH2027" s="7" t="str">
        <f>IFERROR(__xludf.DUMMYFUNCTION("GOOGLETRANSLATE(C2027, ""en"", ""tr"")"),"Sadece sahibi grup sohbeti avatarını değiştirebilir")</f>
        <v>Sadece sahibi grup sohbeti avatarını değiştirebilir</v>
      </c>
      <c r="AI2027" s="6" t="s">
        <v>132</v>
      </c>
      <c r="AJ2027" s="6" t="s">
        <v>132</v>
      </c>
      <c r="AK2027" s="7" t="str">
        <f>IFERROR(__xludf.DUMMYFUNCTION("GOOGLETRANSLATE(C2027, ""en"", ""zh"")"),"只有所有者可以更改群聊头像")</f>
        <v>只有所有者可以更改群聊头像</v>
      </c>
      <c r="AL2027" s="6" t="s">
        <v>132</v>
      </c>
    </row>
    <row r="2028" ht="15.75" customHeight="1">
      <c r="A2028" s="1" t="s">
        <v>127</v>
      </c>
      <c r="B2028" s="1" t="s">
        <v>40294</v>
      </c>
      <c r="C2028" s="1" t="s">
        <v>40295</v>
      </c>
      <c r="D2028" s="8" t="s">
        <v>40296</v>
      </c>
      <c r="E2028" s="1" t="s">
        <v>40297</v>
      </c>
      <c r="F2028" s="6" t="s">
        <v>132</v>
      </c>
      <c r="G2028" s="1" t="s">
        <v>40298</v>
      </c>
      <c r="H2028" s="1" t="s">
        <v>40299</v>
      </c>
      <c r="I2028" s="1" t="s">
        <v>40300</v>
      </c>
      <c r="J2028" s="6" t="s">
        <v>40301</v>
      </c>
      <c r="K2028" s="1" t="s">
        <v>40302</v>
      </c>
      <c r="L2028" s="1" t="s">
        <v>40303</v>
      </c>
      <c r="M2028" s="1" t="s">
        <v>40304</v>
      </c>
      <c r="N2028" s="6" t="s">
        <v>132</v>
      </c>
      <c r="O2028" s="6" t="s">
        <v>40305</v>
      </c>
      <c r="P2028" s="1" t="s">
        <v>40306</v>
      </c>
      <c r="Q2028" s="1" t="s">
        <v>40307</v>
      </c>
      <c r="R2028" s="1" t="s">
        <v>40308</v>
      </c>
      <c r="S2028" s="10" t="s">
        <v>40309</v>
      </c>
      <c r="T2028" s="1" t="s">
        <v>40310</v>
      </c>
      <c r="U2028" s="1" t="s">
        <v>40311</v>
      </c>
      <c r="V2028" s="1" t="s">
        <v>40307</v>
      </c>
      <c r="W2028" s="1" t="s">
        <v>40312</v>
      </c>
      <c r="X2028" s="1" t="s">
        <v>40313</v>
      </c>
      <c r="Y2028" s="1" t="s">
        <v>40314</v>
      </c>
      <c r="Z2028" s="1" t="s">
        <v>40315</v>
      </c>
      <c r="AA2028" s="7" t="str">
        <f>IFERROR(__xludf.DUMMYFUNCTION("GOOGLETRANSLATE(C2028, ""en"", ""ro"")"),"Alegeți simboluri în a treia linie")</f>
        <v>Alegeți simboluri în a treia linie</v>
      </c>
      <c r="AB2028" s="1" t="s">
        <v>40316</v>
      </c>
      <c r="AC2028" s="1" t="s">
        <v>40317</v>
      </c>
      <c r="AD2028" s="6" t="s">
        <v>40318</v>
      </c>
      <c r="AE2028" s="1" t="s">
        <v>40319</v>
      </c>
      <c r="AF2028" s="1" t="s">
        <v>40320</v>
      </c>
      <c r="AG2028" s="6" t="s">
        <v>40321</v>
      </c>
      <c r="AH2028" s="1" t="s">
        <v>40322</v>
      </c>
      <c r="AI2028" s="6" t="s">
        <v>132</v>
      </c>
      <c r="AJ2028" s="6" t="s">
        <v>40323</v>
      </c>
      <c r="AK2028" s="1" t="s">
        <v>40324</v>
      </c>
      <c r="AL2028" s="6" t="s">
        <v>132</v>
      </c>
    </row>
    <row r="2029" ht="15.75" customHeight="1">
      <c r="A2029" s="1" t="s">
        <v>127</v>
      </c>
      <c r="B2029" s="1" t="s">
        <v>40325</v>
      </c>
      <c r="C2029" s="1" t="s">
        <v>40326</v>
      </c>
      <c r="D2029" s="8" t="s">
        <v>40327</v>
      </c>
      <c r="E2029" s="1" t="s">
        <v>40328</v>
      </c>
      <c r="F2029" s="6" t="s">
        <v>132</v>
      </c>
      <c r="G2029" s="1" t="s">
        <v>40329</v>
      </c>
      <c r="H2029" s="1" t="s">
        <v>40330</v>
      </c>
      <c r="I2029" s="1" t="s">
        <v>40331</v>
      </c>
      <c r="J2029" s="6" t="s">
        <v>40332</v>
      </c>
      <c r="K2029" s="1" t="s">
        <v>40333</v>
      </c>
      <c r="L2029" s="1" t="s">
        <v>40334</v>
      </c>
      <c r="M2029" s="1" t="s">
        <v>40335</v>
      </c>
      <c r="N2029" s="6" t="s">
        <v>132</v>
      </c>
      <c r="O2029" s="6" t="s">
        <v>40336</v>
      </c>
      <c r="P2029" s="1" t="s">
        <v>40337</v>
      </c>
      <c r="Q2029" s="1" t="s">
        <v>40338</v>
      </c>
      <c r="R2029" s="1" t="s">
        <v>40339</v>
      </c>
      <c r="S2029" s="10" t="s">
        <v>40340</v>
      </c>
      <c r="T2029" s="1" t="s">
        <v>40341</v>
      </c>
      <c r="U2029" s="1" t="s">
        <v>40342</v>
      </c>
      <c r="V2029" s="1" t="s">
        <v>40338</v>
      </c>
      <c r="W2029" s="1" t="s">
        <v>40343</v>
      </c>
      <c r="X2029" s="1" t="s">
        <v>40330</v>
      </c>
      <c r="Y2029" s="1" t="s">
        <v>40344</v>
      </c>
      <c r="Z2029" s="1" t="s">
        <v>40339</v>
      </c>
      <c r="AA2029" s="7" t="str">
        <f>IFERROR(__xludf.DUMMYFUNCTION("GOOGLETRANSLATE(C2029, ""en"", ""ro"")"),"Economie")</f>
        <v>Economie</v>
      </c>
      <c r="AB2029" s="1" t="s">
        <v>40345</v>
      </c>
      <c r="AC2029" s="1" t="s">
        <v>40346</v>
      </c>
      <c r="AD2029" s="6" t="s">
        <v>40347</v>
      </c>
      <c r="AE2029" s="1" t="s">
        <v>40348</v>
      </c>
      <c r="AF2029" s="1" t="s">
        <v>40338</v>
      </c>
      <c r="AG2029" s="6" t="s">
        <v>40349</v>
      </c>
      <c r="AH2029" s="1" t="s">
        <v>40338</v>
      </c>
      <c r="AI2029" s="6" t="s">
        <v>132</v>
      </c>
      <c r="AJ2029" s="6" t="s">
        <v>40350</v>
      </c>
      <c r="AK2029" s="1" t="s">
        <v>40351</v>
      </c>
      <c r="AL2029" s="6" t="s">
        <v>40352</v>
      </c>
    </row>
    <row r="2030" ht="15.75" customHeight="1">
      <c r="A2030" s="1" t="s">
        <v>127</v>
      </c>
      <c r="B2030" s="1" t="s">
        <v>40353</v>
      </c>
      <c r="C2030" s="1" t="s">
        <v>25048</v>
      </c>
      <c r="D2030" s="8" t="s">
        <v>25049</v>
      </c>
      <c r="E2030" s="1" t="s">
        <v>25050</v>
      </c>
      <c r="F2030" s="6" t="s">
        <v>132</v>
      </c>
      <c r="G2030" s="1" t="s">
        <v>25051</v>
      </c>
      <c r="H2030" s="1" t="s">
        <v>25052</v>
      </c>
      <c r="I2030" s="1" t="s">
        <v>25053</v>
      </c>
      <c r="J2030" s="6" t="s">
        <v>25054</v>
      </c>
      <c r="K2030" s="1" t="s">
        <v>25055</v>
      </c>
      <c r="L2030" s="1" t="s">
        <v>25056</v>
      </c>
      <c r="M2030" s="1" t="s">
        <v>25057</v>
      </c>
      <c r="N2030" s="6" t="s">
        <v>132</v>
      </c>
      <c r="O2030" s="6" t="s">
        <v>25058</v>
      </c>
      <c r="P2030" s="1" t="s">
        <v>25059</v>
      </c>
      <c r="Q2030" s="1" t="s">
        <v>25060</v>
      </c>
      <c r="R2030" s="1" t="s">
        <v>25061</v>
      </c>
      <c r="S2030" s="10" t="s">
        <v>25062</v>
      </c>
      <c r="T2030" s="1" t="s">
        <v>40354</v>
      </c>
      <c r="U2030" s="1" t="s">
        <v>25064</v>
      </c>
      <c r="V2030" s="1" t="s">
        <v>25065</v>
      </c>
      <c r="W2030" s="1" t="s">
        <v>25048</v>
      </c>
      <c r="X2030" s="1" t="s">
        <v>25052</v>
      </c>
      <c r="Y2030" s="1" t="s">
        <v>25067</v>
      </c>
      <c r="Z2030" s="1" t="s">
        <v>25055</v>
      </c>
      <c r="AA2030" s="7" t="str">
        <f>IFERROR(__xludf.DUMMYFUNCTION("GOOGLETRANSLATE(C2030, ""en"", ""ro"")"),"Piețele")</f>
        <v>Piețele</v>
      </c>
      <c r="AB2030" s="1" t="s">
        <v>25070</v>
      </c>
      <c r="AC2030" s="1" t="s">
        <v>25051</v>
      </c>
      <c r="AD2030" s="6" t="s">
        <v>25071</v>
      </c>
      <c r="AE2030" s="1" t="s">
        <v>25072</v>
      </c>
      <c r="AF2030" s="1" t="s">
        <v>25073</v>
      </c>
      <c r="AG2030" s="6" t="s">
        <v>17691</v>
      </c>
      <c r="AH2030" s="1" t="s">
        <v>25074</v>
      </c>
      <c r="AI2030" s="6" t="s">
        <v>132</v>
      </c>
      <c r="AJ2030" s="6" t="s">
        <v>25075</v>
      </c>
      <c r="AK2030" s="1" t="s">
        <v>25076</v>
      </c>
      <c r="AL2030" s="6" t="s">
        <v>132</v>
      </c>
    </row>
    <row r="2031" ht="15.75" customHeight="1">
      <c r="A2031" s="1" t="s">
        <v>127</v>
      </c>
      <c r="B2031" s="1" t="s">
        <v>40355</v>
      </c>
      <c r="C2031" s="1" t="s">
        <v>40356</v>
      </c>
      <c r="D2031" s="8" t="s">
        <v>40357</v>
      </c>
      <c r="E2031" s="1" t="s">
        <v>40358</v>
      </c>
      <c r="F2031" s="6" t="s">
        <v>132</v>
      </c>
      <c r="G2031" s="1" t="s">
        <v>40359</v>
      </c>
      <c r="H2031" s="1" t="s">
        <v>40360</v>
      </c>
      <c r="I2031" s="1" t="s">
        <v>40361</v>
      </c>
      <c r="J2031" s="6" t="s">
        <v>40362</v>
      </c>
      <c r="K2031" s="1" t="s">
        <v>40363</v>
      </c>
      <c r="L2031" s="1" t="s">
        <v>40364</v>
      </c>
      <c r="M2031" s="1" t="s">
        <v>40365</v>
      </c>
      <c r="N2031" s="6" t="s">
        <v>132</v>
      </c>
      <c r="O2031" s="6" t="s">
        <v>40366</v>
      </c>
      <c r="P2031" s="1" t="s">
        <v>40367</v>
      </c>
      <c r="Q2031" s="1" t="s">
        <v>40368</v>
      </c>
      <c r="R2031" s="1" t="s">
        <v>40369</v>
      </c>
      <c r="S2031" s="10" t="s">
        <v>40370</v>
      </c>
      <c r="T2031" s="1" t="s">
        <v>40371</v>
      </c>
      <c r="U2031" s="1" t="s">
        <v>40372</v>
      </c>
      <c r="V2031" s="1" t="s">
        <v>40373</v>
      </c>
      <c r="W2031" s="1" t="s">
        <v>40374</v>
      </c>
      <c r="X2031" s="1" t="s">
        <v>40375</v>
      </c>
      <c r="Y2031" s="1" t="s">
        <v>40376</v>
      </c>
      <c r="Z2031" s="1" t="s">
        <v>40377</v>
      </c>
      <c r="AA2031" s="7" t="str">
        <f>IFERROR(__xludf.DUMMYFUNCTION("GOOGLETRANSLATE(C2031, ""en"", ""ro"")"),"Afaceri")</f>
        <v>Afaceri</v>
      </c>
      <c r="AB2031" s="1" t="s">
        <v>40358</v>
      </c>
      <c r="AC2031" s="1" t="s">
        <v>40378</v>
      </c>
      <c r="AD2031" s="6" t="s">
        <v>40379</v>
      </c>
      <c r="AE2031" s="1" t="s">
        <v>40380</v>
      </c>
      <c r="AF2031" s="1" t="s">
        <v>40381</v>
      </c>
      <c r="AG2031" s="6" t="s">
        <v>40382</v>
      </c>
      <c r="AH2031" s="1" t="s">
        <v>40383</v>
      </c>
      <c r="AI2031" s="6" t="s">
        <v>132</v>
      </c>
      <c r="AJ2031" s="6" t="s">
        <v>40384</v>
      </c>
      <c r="AK2031" s="1" t="s">
        <v>40385</v>
      </c>
      <c r="AL2031" s="6" t="s">
        <v>132</v>
      </c>
    </row>
    <row r="2032" ht="15.75" hidden="1" customHeight="1">
      <c r="A2032" s="1" t="s">
        <v>38</v>
      </c>
      <c r="B2032" s="1" t="s">
        <v>40386</v>
      </c>
      <c r="C2032" s="1" t="s">
        <v>40387</v>
      </c>
      <c r="D2032" s="7" t="str">
        <f>IFERROR(__xludf.DUMMYFUNCTION("GOOGLETRANSLATE(C2032, ""en"", ""ar"")"),"الكويت")</f>
        <v>الكويت</v>
      </c>
      <c r="E2032" s="7" t="str">
        <f>IFERROR(__xludf.DUMMYFUNCTION("GOOGLETRANSLATE(C2032, ""en"", ""bg"")"),"Кувейт")</f>
        <v>Кувейт</v>
      </c>
      <c r="F2032" s="6" t="s">
        <v>132</v>
      </c>
      <c r="G2032" s="7" t="str">
        <f>IFERROR(__xludf.DUMMYFUNCTION("GOOGLETRANSLATE(C2032, ""en"", ""cs"")"),"Kuvajt")</f>
        <v>Kuvajt</v>
      </c>
      <c r="H2032" s="7" t="str">
        <f>IFERROR(__xludf.DUMMYFUNCTION("GOOGLETRANSLATE(C2032, ""en"", ""da"")"),"Kuwait.")</f>
        <v>Kuwait.</v>
      </c>
      <c r="I2032" s="1" t="s">
        <v>40387</v>
      </c>
      <c r="J2032" s="6" t="s">
        <v>132</v>
      </c>
      <c r="K2032" s="1" t="s">
        <v>40387</v>
      </c>
      <c r="L2032" s="7" t="str">
        <f>IFERROR(__xludf.DUMMYFUNCTION("GOOGLETRANSLATE(C2032, ""en"", ""fi"")"),"Kuwait")</f>
        <v>Kuwait</v>
      </c>
      <c r="M2032" s="1" t="s">
        <v>40388</v>
      </c>
      <c r="N2032" s="6" t="s">
        <v>132</v>
      </c>
      <c r="O2032" s="6" t="s">
        <v>132</v>
      </c>
      <c r="P2032" s="1" t="s">
        <v>40387</v>
      </c>
      <c r="Q2032" s="7" t="str">
        <f>IFERROR(__xludf.DUMMYFUNCTION("GOOGLETRANSLATE(C2032, ""en"", ""in"")"),"Kuwait")</f>
        <v>Kuwait</v>
      </c>
      <c r="R2032" s="7" t="str">
        <f>IFERROR(__xludf.DUMMYFUNCTION("GOOGLETRANSLATE(C2032, ""en"", ""it"")"),"Kuwait")</f>
        <v>Kuwait</v>
      </c>
      <c r="S2032" s="6" t="s">
        <v>132</v>
      </c>
      <c r="T2032" s="7" t="str">
        <f>IFERROR(__xludf.DUMMYFUNCTION("GOOGLETRANSLATE(C2032, ""en"", ""ja"")"),"クウェート")</f>
        <v>クウェート</v>
      </c>
      <c r="U2032" s="7" t="str">
        <f>IFERROR(__xludf.DUMMYFUNCTION("GOOGLETRANSLATE(C2032, ""en"", ""ko"")"),"쿠웨이트")</f>
        <v>쿠웨이트</v>
      </c>
      <c r="V2032" s="7" t="str">
        <f>IFERROR(__xludf.DUMMYFUNCTION("GOOGLETRANSLATE(C2032, ""en"", ""ms"")"),"Kuwait.")</f>
        <v>Kuwait.</v>
      </c>
      <c r="W2032" s="7" t="str">
        <f>IFERROR(__xludf.DUMMYFUNCTION("GOOGLETRANSLATE(C2032, ""en"", ""nl"")"),"Koeweit")</f>
        <v>Koeweit</v>
      </c>
      <c r="X2032" s="7" t="str">
        <f>IFERROR(__xludf.DUMMYFUNCTION("GOOGLETRANSLATE(C2032, ""en"", ""no"")"),"Kuwait.")</f>
        <v>Kuwait.</v>
      </c>
      <c r="Y2032" s="7" t="str">
        <f>IFERROR(__xludf.DUMMYFUNCTION("GOOGLETRANSLATE(C2032, ""en"", ""pl"")"),"Kuwejt")</f>
        <v>Kuwejt</v>
      </c>
      <c r="Z2032" s="7" t="str">
        <f>IFERROR(__xludf.DUMMYFUNCTION("GOOGLETRANSLATE(C2032, ""en"", ""pt"")"),"Kuwait")</f>
        <v>Kuwait</v>
      </c>
      <c r="AA2032" s="7" t="str">
        <f>IFERROR(__xludf.DUMMYFUNCTION("GOOGLETRANSLATE(C2032, ""en"", ""ro"")"),"Kuweit")</f>
        <v>Kuweit</v>
      </c>
      <c r="AB2032" s="1" t="s">
        <v>40389</v>
      </c>
      <c r="AC2032" s="7" t="str">
        <f>IFERROR(__xludf.DUMMYFUNCTION("GOOGLETRANSLATE(C2032, ""en"", ""sk"")"),"Kuvajt")</f>
        <v>Kuvajt</v>
      </c>
      <c r="AD2032" s="6" t="s">
        <v>132</v>
      </c>
      <c r="AE2032" s="1" t="s">
        <v>40390</v>
      </c>
      <c r="AF2032" s="7" t="str">
        <f>IFERROR(__xludf.DUMMYFUNCTION("GOOGLETRANSLATE(C2032, ""en"", ""sv"")"),"Kuwait")</f>
        <v>Kuwait</v>
      </c>
      <c r="AG2032" s="6" t="s">
        <v>132</v>
      </c>
      <c r="AH2032" s="7" t="str">
        <f>IFERROR(__xludf.DUMMYFUNCTION("GOOGLETRANSLATE(C2032, ""en"", ""tr"")"),"Kuveyt")</f>
        <v>Kuveyt</v>
      </c>
      <c r="AI2032" s="6" t="s">
        <v>132</v>
      </c>
      <c r="AJ2032" s="6" t="s">
        <v>132</v>
      </c>
      <c r="AK2032" s="7" t="str">
        <f>IFERROR(__xludf.DUMMYFUNCTION("GOOGLETRANSLATE(C2032, ""en"", ""zh"")"),"科威特")</f>
        <v>科威特</v>
      </c>
      <c r="AL2032" s="6" t="s">
        <v>132</v>
      </c>
    </row>
    <row r="2033" ht="15.75" customHeight="1">
      <c r="A2033" s="1" t="s">
        <v>127</v>
      </c>
      <c r="B2033" s="1" t="s">
        <v>40391</v>
      </c>
      <c r="C2033" s="1" t="s">
        <v>35326</v>
      </c>
      <c r="D2033" s="8" t="s">
        <v>40392</v>
      </c>
      <c r="E2033" s="1" t="s">
        <v>35327</v>
      </c>
      <c r="F2033" s="6" t="s">
        <v>132</v>
      </c>
      <c r="G2033" s="1" t="s">
        <v>35328</v>
      </c>
      <c r="H2033" s="1" t="s">
        <v>35329</v>
      </c>
      <c r="I2033" s="1" t="s">
        <v>35326</v>
      </c>
      <c r="J2033" s="6" t="s">
        <v>35330</v>
      </c>
      <c r="K2033" s="1" t="s">
        <v>15925</v>
      </c>
      <c r="L2033" s="1" t="s">
        <v>35332</v>
      </c>
      <c r="M2033" s="1" t="s">
        <v>35333</v>
      </c>
      <c r="N2033" s="6" t="s">
        <v>132</v>
      </c>
      <c r="O2033" s="6" t="s">
        <v>35334</v>
      </c>
      <c r="P2033" s="1" t="s">
        <v>35335</v>
      </c>
      <c r="Q2033" s="1" t="s">
        <v>40393</v>
      </c>
      <c r="R2033" s="1" t="s">
        <v>35337</v>
      </c>
      <c r="S2033" s="10" t="s">
        <v>40394</v>
      </c>
      <c r="T2033" s="1" t="s">
        <v>35339</v>
      </c>
      <c r="U2033" s="1" t="s">
        <v>17685</v>
      </c>
      <c r="V2033" s="1" t="s">
        <v>17686</v>
      </c>
      <c r="W2033" s="1" t="s">
        <v>40395</v>
      </c>
      <c r="X2033" s="1" t="s">
        <v>35341</v>
      </c>
      <c r="Y2033" s="1" t="s">
        <v>15925</v>
      </c>
      <c r="Z2033" s="1" t="s">
        <v>40396</v>
      </c>
      <c r="AA2033" s="7" t="str">
        <f>IFERROR(__xludf.DUMMYFUNCTION("GOOGLETRANSLATE(C2033, ""en"", ""ro"")"),"Stock ticker.")</f>
        <v>Stock ticker.</v>
      </c>
      <c r="AB2033" s="1" t="s">
        <v>35344</v>
      </c>
      <c r="AC2033" s="1" t="s">
        <v>35345</v>
      </c>
      <c r="AD2033" s="6" t="s">
        <v>35326</v>
      </c>
      <c r="AE2033" s="1" t="s">
        <v>35326</v>
      </c>
      <c r="AF2033" s="1" t="s">
        <v>35346</v>
      </c>
      <c r="AG2033" s="6" t="s">
        <v>35347</v>
      </c>
      <c r="AH2033" s="1" t="s">
        <v>35348</v>
      </c>
      <c r="AI2033" s="6" t="s">
        <v>132</v>
      </c>
      <c r="AJ2033" s="6" t="s">
        <v>35349</v>
      </c>
      <c r="AK2033" s="1" t="s">
        <v>35350</v>
      </c>
      <c r="AL2033" s="6" t="s">
        <v>132</v>
      </c>
    </row>
    <row r="2034" ht="15.75" customHeight="1">
      <c r="A2034" s="1" t="s">
        <v>127</v>
      </c>
      <c r="B2034" s="1" t="s">
        <v>40397</v>
      </c>
      <c r="C2034" s="1" t="s">
        <v>40398</v>
      </c>
      <c r="D2034" s="8" t="s">
        <v>40399</v>
      </c>
      <c r="E2034" s="1" t="s">
        <v>40400</v>
      </c>
      <c r="F2034" s="6" t="s">
        <v>132</v>
      </c>
      <c r="G2034" s="1" t="s">
        <v>40401</v>
      </c>
      <c r="H2034" s="1" t="s">
        <v>40402</v>
      </c>
      <c r="I2034" s="1" t="s">
        <v>40403</v>
      </c>
      <c r="J2034" s="6" t="s">
        <v>40404</v>
      </c>
      <c r="K2034" s="1" t="s">
        <v>40405</v>
      </c>
      <c r="L2034" s="1" t="s">
        <v>40406</v>
      </c>
      <c r="M2034" s="1" t="s">
        <v>40407</v>
      </c>
      <c r="N2034" s="6" t="s">
        <v>132</v>
      </c>
      <c r="O2034" s="6" t="s">
        <v>40408</v>
      </c>
      <c r="P2034" s="1" t="s">
        <v>27954</v>
      </c>
      <c r="Q2034" s="1" t="s">
        <v>40409</v>
      </c>
      <c r="R2034" s="1" t="s">
        <v>40410</v>
      </c>
      <c r="S2034" s="10" t="s">
        <v>40411</v>
      </c>
      <c r="T2034" s="1" t="s">
        <v>40412</v>
      </c>
      <c r="U2034" s="1" t="s">
        <v>40413</v>
      </c>
      <c r="V2034" s="1" t="s">
        <v>40414</v>
      </c>
      <c r="W2034" s="1" t="s">
        <v>40415</v>
      </c>
      <c r="X2034" s="1" t="s">
        <v>40416</v>
      </c>
      <c r="Y2034" s="1" t="s">
        <v>27963</v>
      </c>
      <c r="Z2034" s="1" t="s">
        <v>40417</v>
      </c>
      <c r="AA2034" s="7" t="str">
        <f>IFERROR(__xludf.DUMMYFUNCTION("GOOGLETRANSLATE(C2034, ""en"", ""ro"")"),"Adăugați simbol la lista de urmărire")</f>
        <v>Adăugați simbol la lista de urmărire</v>
      </c>
      <c r="AB2034" s="1" t="s">
        <v>27966</v>
      </c>
      <c r="AC2034" s="1" t="s">
        <v>40418</v>
      </c>
      <c r="AD2034" s="6" t="s">
        <v>40419</v>
      </c>
      <c r="AE2034" s="1" t="s">
        <v>40420</v>
      </c>
      <c r="AF2034" s="1" t="s">
        <v>40421</v>
      </c>
      <c r="AG2034" s="6" t="s">
        <v>40422</v>
      </c>
      <c r="AH2034" s="1" t="s">
        <v>40423</v>
      </c>
      <c r="AI2034" s="6" t="s">
        <v>132</v>
      </c>
      <c r="AJ2034" s="6" t="s">
        <v>40424</v>
      </c>
      <c r="AK2034" s="1" t="s">
        <v>40425</v>
      </c>
      <c r="AL2034" s="6" t="s">
        <v>40426</v>
      </c>
    </row>
    <row r="2035" ht="15.75" hidden="1" customHeight="1">
      <c r="A2035" s="1" t="s">
        <v>38</v>
      </c>
      <c r="B2035" s="1" t="s">
        <v>40427</v>
      </c>
      <c r="C2035" s="1" t="s">
        <v>40428</v>
      </c>
      <c r="D2035" s="7" t="str">
        <f>IFERROR(__xludf.DUMMYFUNCTION("GOOGLETRANSLATE(C2035, ""en"", ""ar"")"),"حجم الخط النسبي المستخدم داخل التطبيق.")</f>
        <v>حجم الخط النسبي المستخدم داخل التطبيق.</v>
      </c>
      <c r="E2035" s="1" t="s">
        <v>40429</v>
      </c>
      <c r="F2035" s="6" t="s">
        <v>40430</v>
      </c>
      <c r="G2035" s="7" t="str">
        <f>IFERROR(__xludf.DUMMYFUNCTION("GOOGLETRANSLATE(C2035, ""en"", ""cs"")"),"Relativní velikost písma použitá v aplikaci.")</f>
        <v>Relativní velikost písma použitá v aplikaci.</v>
      </c>
      <c r="H2035" s="7" t="str">
        <f>IFERROR(__xludf.DUMMYFUNCTION("GOOGLETRANSLATE(C2035, ""en"", ""da"")"),"Den relative skriftstørrelse, der anvendes i appen.")</f>
        <v>Den relative skriftstørrelse, der anvendes i appen.</v>
      </c>
      <c r="I2035" s="1" t="s">
        <v>40431</v>
      </c>
      <c r="J2035" s="6" t="s">
        <v>132</v>
      </c>
      <c r="K2035" s="1" t="s">
        <v>40432</v>
      </c>
      <c r="L2035" s="7" t="str">
        <f>IFERROR(__xludf.DUMMYFUNCTION("GOOGLETRANSLATE(C2035, ""en"", ""fi"")"),"Sovelluksessa käytetty suhteellinen kirjasinkoko.")</f>
        <v>Sovelluksessa käytetty suhteellinen kirjasinkoko.</v>
      </c>
      <c r="M2035" s="1" t="s">
        <v>40433</v>
      </c>
      <c r="N2035" s="6" t="s">
        <v>40434</v>
      </c>
      <c r="O2035" s="6" t="s">
        <v>132</v>
      </c>
      <c r="P2035" s="1" t="s">
        <v>40435</v>
      </c>
      <c r="Q2035" s="7" t="str">
        <f>IFERROR(__xludf.DUMMYFUNCTION("GOOGLETRANSLATE(C2035, ""en"", ""in"")"),"Ukuran font relatif yang digunakan dalam aplikasi.")</f>
        <v>Ukuran font relatif yang digunakan dalam aplikasi.</v>
      </c>
      <c r="R2035" s="1" t="s">
        <v>40436</v>
      </c>
      <c r="S2035" s="6" t="s">
        <v>132</v>
      </c>
      <c r="T2035" s="1" t="s">
        <v>40437</v>
      </c>
      <c r="U2035" s="7" t="str">
        <f>IFERROR(__xludf.DUMMYFUNCTION("GOOGLETRANSLATE(C2035, ""en"", ""ko"")"),"앱 내에서 사용되는 상대 글꼴 크기.")</f>
        <v>앱 내에서 사용되는 상대 글꼴 크기.</v>
      </c>
      <c r="V2035" s="7" t="str">
        <f>IFERROR(__xludf.DUMMYFUNCTION("GOOGLETRANSLATE(C2035, ""en"", ""ms"")"),"Saiz fon relatif yang digunakan dalam aplikasinya.")</f>
        <v>Saiz fon relatif yang digunakan dalam aplikasinya.</v>
      </c>
      <c r="W2035" s="1" t="s">
        <v>40438</v>
      </c>
      <c r="X2035" s="7" t="str">
        <f>IFERROR(__xludf.DUMMYFUNCTION("GOOGLETRANSLATE(C2035, ""en"", ""no"")"),"Den relative skriftstørrelsen som brukes i appen.")</f>
        <v>Den relative skriftstørrelsen som brukes i appen.</v>
      </c>
      <c r="Y2035" s="1" t="s">
        <v>40439</v>
      </c>
      <c r="Z2035" s="7" t="str">
        <f>IFERROR(__xludf.DUMMYFUNCTION("GOOGLETRANSLATE(C2035, ""en"", ""pt"")"),"O tamanho da fonte relativo usado dentro do aplicativo.")</f>
        <v>O tamanho da fonte relativo usado dentro do aplicativo.</v>
      </c>
      <c r="AA2035" s="7" t="str">
        <f>IFERROR(__xludf.DUMMYFUNCTION("GOOGLETRANSLATE(C2035, ""en"", ""ro"")"),"Dimensiunea relativă a fontului utilizat în cadrul aplicației.")</f>
        <v>Dimensiunea relativă a fontului utilizat în cadrul aplicației.</v>
      </c>
      <c r="AB2035" s="7" t="str">
        <f>IFERROR(__xludf.DUMMYFUNCTION("GOOGLETRANSLATE(C2035, ""en"", ""ru"")"),"Относительный размер шрифта, используемый в приложении.")</f>
        <v>Относительный размер шрифта, используемый в приложении.</v>
      </c>
      <c r="AC2035" s="7" t="str">
        <f>IFERROR(__xludf.DUMMYFUNCTION("GOOGLETRANSLATE(C2035, ""en"", ""sk"")"),"Relatívna veľkosť písma používaná v aplikácii.")</f>
        <v>Relatívna veľkosť písma používaná v aplikácii.</v>
      </c>
      <c r="AD2035" s="6" t="s">
        <v>132</v>
      </c>
      <c r="AE2035" s="7" t="str">
        <f>IFERROR(__xludf.DUMMYFUNCTION("GOOGLETRANSLATE(C2035, ""en"", ""sr"")"),"Релативна величина фонта која се користи у оквиру апликације.")</f>
        <v>Релативна величина фонта која се користи у оквиру апликације.</v>
      </c>
      <c r="AF2035" s="7" t="str">
        <f>IFERROR(__xludf.DUMMYFUNCTION("GOOGLETRANSLATE(C2035, ""en"", ""sv"")"),"Den relativa teckensnittstorleken som används inom appen.")</f>
        <v>Den relativa teckensnittstorleken som används inom appen.</v>
      </c>
      <c r="AG2035" s="6" t="s">
        <v>132</v>
      </c>
      <c r="AH2035" s="7" t="str">
        <f>IFERROR(__xludf.DUMMYFUNCTION("GOOGLETRANSLATE(C2035, ""en"", ""tr"")"),"Uygulamada kullanılan göreceli yazı tipi boyutu.")</f>
        <v>Uygulamada kullanılan göreceli yazı tipi boyutu.</v>
      </c>
      <c r="AI2035" s="6" t="s">
        <v>132</v>
      </c>
      <c r="AJ2035" s="6" t="s">
        <v>132</v>
      </c>
      <c r="AK2035" s="7" t="str">
        <f>IFERROR(__xludf.DUMMYFUNCTION("GOOGLETRANSLATE(C2035, ""en"", ""zh"")"),"应用程序中使用的相对字体大小。")</f>
        <v>应用程序中使用的相对字体大小。</v>
      </c>
      <c r="AL2035" s="6" t="s">
        <v>40440</v>
      </c>
    </row>
    <row r="2036" ht="15.75" hidden="1" customHeight="1">
      <c r="A2036" s="1" t="s">
        <v>38</v>
      </c>
      <c r="B2036" s="1" t="s">
        <v>40441</v>
      </c>
      <c r="C2036" s="1" t="s">
        <v>40442</v>
      </c>
      <c r="D2036" s="7" t="str">
        <f>IFERROR(__xludf.DUMMYFUNCTION("GOOGLETRANSLATE(C2036, ""en"", ""ar"")"),"إزالة")</f>
        <v>إزالة</v>
      </c>
      <c r="E2036" s="7" t="str">
        <f>IFERROR(__xludf.DUMMYFUNCTION("GOOGLETRANSLATE(C2036, ""en"", ""bg"")"),"ПРЕМАХВАНЕ")</f>
        <v>ПРЕМАХВАНЕ</v>
      </c>
      <c r="F2036" s="6" t="s">
        <v>132</v>
      </c>
      <c r="G2036" s="7" t="str">
        <f>IFERROR(__xludf.DUMMYFUNCTION("GOOGLETRANSLATE(C2036, ""en"", ""cs"")"),"ODSTRANIT")</f>
        <v>ODSTRANIT</v>
      </c>
      <c r="H2036" s="7" t="str">
        <f>IFERROR(__xludf.DUMMYFUNCTION("GOOGLETRANSLATE(C2036, ""en"", ""da"")"),"FJERNE")</f>
        <v>FJERNE</v>
      </c>
      <c r="I2036" s="1" t="s">
        <v>40443</v>
      </c>
      <c r="J2036" s="6" t="s">
        <v>132</v>
      </c>
      <c r="K2036" s="1" t="s">
        <v>40444</v>
      </c>
      <c r="L2036" s="7" t="str">
        <f>IFERROR(__xludf.DUMMYFUNCTION("GOOGLETRANSLATE(C2036, ""en"", ""fi"")"),"POISTA")</f>
        <v>POISTA</v>
      </c>
      <c r="M2036" s="1" t="s">
        <v>40445</v>
      </c>
      <c r="N2036" s="6" t="s">
        <v>132</v>
      </c>
      <c r="O2036" s="6" t="s">
        <v>132</v>
      </c>
      <c r="P2036" s="1" t="s">
        <v>2804</v>
      </c>
      <c r="Q2036" s="7" t="str">
        <f>IFERROR(__xludf.DUMMYFUNCTION("GOOGLETRANSLATE(C2036, ""en"", ""in"")"),"MENGHAPUS")</f>
        <v>MENGHAPUS</v>
      </c>
      <c r="R2036" s="7" t="str">
        <f>IFERROR(__xludf.DUMMYFUNCTION("GOOGLETRANSLATE(C2036, ""en"", ""it"")"),"RIMUOVERE")</f>
        <v>RIMUOVERE</v>
      </c>
      <c r="S2036" s="6" t="s">
        <v>132</v>
      </c>
      <c r="T2036" s="7" t="str">
        <f>IFERROR(__xludf.DUMMYFUNCTION("GOOGLETRANSLATE(C2036, ""en"", ""ja"")"),"削除する")</f>
        <v>削除する</v>
      </c>
      <c r="U2036" s="7" t="str">
        <f>IFERROR(__xludf.DUMMYFUNCTION("GOOGLETRANSLATE(C2036, ""en"", ""ko"")"),"없애다")</f>
        <v>없애다</v>
      </c>
      <c r="V2036" s="7" t="str">
        <f>IFERROR(__xludf.DUMMYFUNCTION("GOOGLETRANSLATE(C2036, ""en"", ""ms"")"),"Keluarkan")</f>
        <v>Keluarkan</v>
      </c>
      <c r="W2036" s="7" t="str">
        <f>IFERROR(__xludf.DUMMYFUNCTION("GOOGLETRANSLATE(C2036, ""en"", ""nl"")"),"VERWIJDEREN")</f>
        <v>VERWIJDEREN</v>
      </c>
      <c r="X2036" s="7" t="str">
        <f>IFERROR(__xludf.DUMMYFUNCTION("GOOGLETRANSLATE(C2036, ""en"", ""no"")"),"FJERNE")</f>
        <v>FJERNE</v>
      </c>
      <c r="Y2036" s="7" t="str">
        <f>IFERROR(__xludf.DUMMYFUNCTION("GOOGLETRANSLATE(C2036, ""en"", ""pl"")"),"USUNĄĆ")</f>
        <v>USUNĄĆ</v>
      </c>
      <c r="Z2036" s="7" t="str">
        <f>IFERROR(__xludf.DUMMYFUNCTION("GOOGLETRANSLATE(C2036, ""en"", ""pt"")"),"REMOVER")</f>
        <v>REMOVER</v>
      </c>
      <c r="AA2036" s="7" t="str">
        <f>IFERROR(__xludf.DUMMYFUNCTION("GOOGLETRANSLATE(C2036, ""en"", ""ro"")"),"ELIMINA")</f>
        <v>ELIMINA</v>
      </c>
      <c r="AB2036" s="1" t="s">
        <v>40446</v>
      </c>
      <c r="AC2036" s="7" t="str">
        <f>IFERROR(__xludf.DUMMYFUNCTION("GOOGLETRANSLATE(C2036, ""en"", ""sk"")"),"Odstrániť")</f>
        <v>Odstrániť</v>
      </c>
      <c r="AD2036" s="6" t="s">
        <v>132</v>
      </c>
      <c r="AE2036" s="1" t="s">
        <v>21083</v>
      </c>
      <c r="AF2036" s="7" t="str">
        <f>IFERROR(__xludf.DUMMYFUNCTION("GOOGLETRANSLATE(C2036, ""en"", ""sv"")"),"AVLÄGSNA")</f>
        <v>AVLÄGSNA</v>
      </c>
      <c r="AG2036" s="6" t="s">
        <v>132</v>
      </c>
      <c r="AH2036" s="7" t="str">
        <f>IFERROR(__xludf.DUMMYFUNCTION("GOOGLETRANSLATE(C2036, ""en"", ""tr"")"),"KALDIR")</f>
        <v>KALDIR</v>
      </c>
      <c r="AI2036" s="6" t="s">
        <v>132</v>
      </c>
      <c r="AJ2036" s="6" t="s">
        <v>132</v>
      </c>
      <c r="AK2036" s="7" t="str">
        <f>IFERROR(__xludf.DUMMYFUNCTION("GOOGLETRANSLATE(C2036, ""en"", ""zh"")"),"去掉")</f>
        <v>去掉</v>
      </c>
      <c r="AL2036" s="6" t="s">
        <v>132</v>
      </c>
    </row>
    <row r="2037" ht="15.75" customHeight="1">
      <c r="A2037" s="1" t="s">
        <v>127</v>
      </c>
      <c r="B2037" s="1" t="s">
        <v>40447</v>
      </c>
      <c r="C2037" s="1" t="s">
        <v>40448</v>
      </c>
      <c r="D2037" s="8" t="s">
        <v>40449</v>
      </c>
      <c r="E2037" s="1" t="s">
        <v>40450</v>
      </c>
      <c r="F2037" s="6" t="s">
        <v>132</v>
      </c>
      <c r="G2037" s="1" t="s">
        <v>40451</v>
      </c>
      <c r="H2037" s="1" t="s">
        <v>40452</v>
      </c>
      <c r="I2037" s="1" t="s">
        <v>40452</v>
      </c>
      <c r="J2037" s="6" t="s">
        <v>4015</v>
      </c>
      <c r="K2037" s="1" t="s">
        <v>40453</v>
      </c>
      <c r="L2037" s="1" t="s">
        <v>40454</v>
      </c>
      <c r="M2037" s="1" t="s">
        <v>40455</v>
      </c>
      <c r="N2037" s="6" t="s">
        <v>132</v>
      </c>
      <c r="O2037" s="6" t="s">
        <v>23081</v>
      </c>
      <c r="P2037" s="1" t="s">
        <v>40451</v>
      </c>
      <c r="Q2037" s="1" t="s">
        <v>23083</v>
      </c>
      <c r="R2037" s="1" t="s">
        <v>40456</v>
      </c>
      <c r="S2037" s="10" t="s">
        <v>40457</v>
      </c>
      <c r="T2037" s="1" t="s">
        <v>23086</v>
      </c>
      <c r="U2037" s="1" t="s">
        <v>4022</v>
      </c>
      <c r="V2037" s="1" t="s">
        <v>23083</v>
      </c>
      <c r="W2037" s="1" t="s">
        <v>40448</v>
      </c>
      <c r="X2037" s="1" t="s">
        <v>40452</v>
      </c>
      <c r="Y2037" s="1" t="s">
        <v>29917</v>
      </c>
      <c r="Z2037" s="1" t="s">
        <v>40453</v>
      </c>
      <c r="AA2037" s="7" t="str">
        <f>IFERROR(__xludf.DUMMYFUNCTION("GOOGLETRANSLATE(C2037, ""en"", ""ro"")"),"Indicator")</f>
        <v>Indicator</v>
      </c>
      <c r="AB2037" s="1" t="s">
        <v>40450</v>
      </c>
      <c r="AC2037" s="1" t="s">
        <v>40458</v>
      </c>
      <c r="AD2037" s="6" t="s">
        <v>40459</v>
      </c>
      <c r="AE2037" s="1" t="s">
        <v>40460</v>
      </c>
      <c r="AF2037" s="1" t="s">
        <v>40452</v>
      </c>
      <c r="AG2037" s="6" t="s">
        <v>23093</v>
      </c>
      <c r="AH2037" s="1" t="s">
        <v>40461</v>
      </c>
      <c r="AI2037" s="6" t="s">
        <v>132</v>
      </c>
      <c r="AJ2037" s="6" t="s">
        <v>40462</v>
      </c>
      <c r="AK2037" s="1" t="s">
        <v>23095</v>
      </c>
      <c r="AL2037" s="6" t="s">
        <v>23096</v>
      </c>
    </row>
    <row r="2038" ht="15.75" hidden="1" customHeight="1">
      <c r="A2038" s="1" t="s">
        <v>38</v>
      </c>
      <c r="B2038" s="1" t="s">
        <v>40463</v>
      </c>
      <c r="C2038" s="1" t="s">
        <v>40464</v>
      </c>
      <c r="D2038" s="7" t="str">
        <f>IFERROR(__xludf.DUMMYFUNCTION("GOOGLETRANSLATE(C2038, ""en"", ""ar"")"),"سنقوم بإرشادك من خلال عملية إنشاء حساب على المحادثات. * ¹ \ Nwhen اختيار المحادثات. كمزود ستكون قادرا على التواصل مع مستخدمي مزودي آخرين من خلال منحهم معرف Jabber الكامل الخاص بك.")</f>
        <v>سنقوم بإرشادك من خلال عملية إنشاء حساب على المحادثات. * ¹ \ Nwhen اختيار المحادثات. كمزود ستكون قادرا على التواصل مع مستخدمي مزودي آخرين من خلال منحهم معرف Jabber الكامل الخاص بك.</v>
      </c>
      <c r="E2038" s="1" t="s">
        <v>40465</v>
      </c>
      <c r="F2038" s="6" t="s">
        <v>40466</v>
      </c>
      <c r="G2038" s="7" t="str">
        <f>IFERROR(__xludf.DUMMYFUNCTION("GOOGLETRANSLATE(C2038, ""en"", ""cs"")"),"Uvádíme vás prostřednictvím procesu vytváření účtu na konverzaci.im.¹ nwhen sběr konverzací")</f>
        <v>Uvádíme vás prostřednictvím procesu vytváření účtu na konverzaci.im.¹ nwhen sběr konverzací</v>
      </c>
      <c r="H2038" s="7" t="str">
        <f>IFERROR(__xludf.DUMMYFUNCTION("GOOGLETRANSLATE(C2038, ""en"", ""da"")"),"Vi vil lede dig igennem processen med at oprette en konto på samtaler. 1 \ nWhen plukning samtaler. Im som leverandør vil du kunne kommunikere med brugere af andre udbydere ved at give dem dit fulde Jabber ID.")</f>
        <v>Vi vil lede dig igennem processen med at oprette en konto på samtaler. 1 \ nWhen plukning samtaler. Im som leverandør vil du kunne kommunikere med brugere af andre udbydere ved at give dem dit fulde Jabber ID.</v>
      </c>
      <c r="I2038" s="1" t="s">
        <v>40467</v>
      </c>
      <c r="J2038" s="6" t="s">
        <v>132</v>
      </c>
      <c r="K2038" s="1" t="s">
        <v>40468</v>
      </c>
      <c r="L2038" s="7" t="str">
        <f>IFERROR(__xludf.DUMMYFUNCTION("GOOGLETRANSLATE(C2038, ""en"", ""fi"")"),"Aiomme ohjata sinut prosessin luomisessa keskusteluissa.")</f>
        <v>Aiomme ohjata sinut prosessin luomisessa keskusteluissa.</v>
      </c>
      <c r="M2038" s="1" t="s">
        <v>40469</v>
      </c>
      <c r="N2038" s="6" t="s">
        <v>40470</v>
      </c>
      <c r="O2038" s="6" t="s">
        <v>132</v>
      </c>
      <c r="P2038" s="1" t="s">
        <v>40471</v>
      </c>
      <c r="Q2038" s="7" t="str">
        <f>IFERROR(__xludf.DUMMYFUNCTION("GOOGLETRANSLATE(C2038, ""en"", ""in"")"),"Kami akan memandu Anda melalui proses pembuatan akun tentang percakapan.im.¹ \ nwhen memilih percakapan")</f>
        <v>Kami akan memandu Anda melalui proses pembuatan akun tentang percakapan.im.¹ \ nwhen memilih percakapan</v>
      </c>
      <c r="R2038" s="1" t="s">
        <v>40472</v>
      </c>
      <c r="S2038" s="6" t="s">
        <v>132</v>
      </c>
      <c r="T2038" s="1" t="s">
        <v>40473</v>
      </c>
      <c r="U2038" s="1" t="s">
        <v>40474</v>
      </c>
      <c r="V2038" s="7" t="str">
        <f>IFERROR(__xludf.DUMMYFUNCTION("GOOGLETRANSLATE(C2038, ""en"", ""ms"")"),"Kami akan membimbing anda melalui proses membuat akaun pada perbualan.")</f>
        <v>Kami akan membimbing anda melalui proses membuat akaun pada perbualan.</v>
      </c>
      <c r="W2038" s="1" t="s">
        <v>40475</v>
      </c>
      <c r="X2038" s="7" t="str">
        <f>IFERROR(__xludf.DUMMYFUNCTION("GOOGLETRANSLATE(C2038, ""en"", ""no"")"),"Vi vil veilede deg gjennom prosessen med å skape en konto på samtaler.im.¹ \ n Når plukker samtaler")</f>
        <v>Vi vil veilede deg gjennom prosessen med å skape en konto på samtaler.im.¹ \ n Når plukker samtaler</v>
      </c>
      <c r="Y2038" s="1" t="s">
        <v>40476</v>
      </c>
      <c r="Z2038" s="7" t="str">
        <f>IFERROR(__xludf.DUMMYFUNCTION("GOOGLETRANSLATE(C2038, ""en"", ""pt"")"),"Vamos guiá-lo através do processo de criação de uma conta nas conversas.IM.¹ \ NQuando conversas.Im como provedor, você poderá se comunicar com os usuários de outros provedores, dando-lhes o seu Jabber ID completo.")</f>
        <v>Vamos guiá-lo através do processo de criação de uma conta nas conversas.IM.¹ \ NQuando conversas.Im como provedor, você poderá se comunicar com os usuários de outros provedores, dando-lhes o seu Jabber ID completo.</v>
      </c>
      <c r="AA2038" s="7" t="str">
        <f>IFERROR(__xludf.DUMMYFUNCTION("GOOGLETRANSLATE(C2038, ""en"", ""ro"")"),"Vom ghida prin procesul de creare a unui cont asupra conversațiilor.im.")</f>
        <v>Vom ghida prin procesul de creare a unui cont asupra conversațiilor.im.</v>
      </c>
      <c r="AB2038" s="1" t="s">
        <v>40477</v>
      </c>
      <c r="AC2038" s="7" t="str">
        <f>IFERROR(__xludf.DUMMYFUNCTION("GOOGLETRANSLATE(C2038, ""en"", ""sk"")"),"Budeme vás sprevádzať proces vytvárania účtu na konverzácii.IM.¹ nwhen vyzdvihnutie konverzácií.IM ako poskytovateľ budete môcť komunikovať s užívateľmi iných poskytovateľov tým, že im dávate svoj plný Jabber ID.")</f>
        <v>Budeme vás sprevádzať proces vytvárania účtu na konverzácii.IM.¹ nwhen vyzdvihnutie konverzácií.IM ako poskytovateľ budete môcť komunikovať s užívateľmi iných poskytovateľov tým, že im dávate svoj plný Jabber ID.</v>
      </c>
      <c r="AD2038" s="6" t="s">
        <v>132</v>
      </c>
      <c r="AE2038" s="1" t="s">
        <v>40478</v>
      </c>
      <c r="AF2038" s="1" t="s">
        <v>40479</v>
      </c>
      <c r="AG2038" s="6" t="s">
        <v>132</v>
      </c>
      <c r="AH2038" s="7" t="str">
        <f>IFERROR(__xludf.DUMMYFUNCTION("GOOGLETRANSLATE(C2038, ""en"", ""tr"")"),"Sohbette bir hesap oluşturma sürecinde size rehberlik edeceğiz. Sohbetleri toplama.")</f>
        <v>Sohbette bir hesap oluşturma sürecinde size rehberlik edeceğiz. Sohbetleri toplama.</v>
      </c>
      <c r="AI2038" s="6" t="s">
        <v>40480</v>
      </c>
      <c r="AJ2038" s="6" t="s">
        <v>132</v>
      </c>
      <c r="AK2038" s="7" t="str">
        <f>IFERROR(__xludf.DUMMYFUNCTION("GOOGLETRANSLATE(C2038, ""en"", ""zh"")"),"我们将指导您通过在对话时创建帐户的过程.. \ n \ n选用对话时作为提供者，您将能够通过给出您的完整jabber ID与其他提供商的用户通信。")</f>
        <v>我们将指导您通过在对话时创建帐户的过程.. \ n \ n选用对话时作为提供者，您将能够通过给出您的完整jabber ID与其他提供商的用户通信。</v>
      </c>
      <c r="AL2038" s="6" t="s">
        <v>40481</v>
      </c>
    </row>
    <row r="2039" ht="15.75" hidden="1" customHeight="1">
      <c r="A2039" s="1" t="s">
        <v>38</v>
      </c>
      <c r="B2039" s="1" t="s">
        <v>40482</v>
      </c>
      <c r="C2039" s="1" t="s">
        <v>40483</v>
      </c>
      <c r="D2039" s="8" t="s">
        <v>40484</v>
      </c>
      <c r="E2039" s="1" t="s">
        <v>40485</v>
      </c>
      <c r="F2039" s="6" t="s">
        <v>40486</v>
      </c>
      <c r="G2039" s="7" t="str">
        <f>IFERROR(__xludf.DUMMYFUNCTION("GOOGLETRANSLATE(C2039, ""en"", ""cs"")"),"Blok domény")</f>
        <v>Blok domény</v>
      </c>
      <c r="H2039" s="7" t="str">
        <f>IFERROR(__xludf.DUMMYFUNCTION("GOOGLETRANSLATE(C2039, ""en"", ""da"")"),"Blok domæne.")</f>
        <v>Blok domæne.</v>
      </c>
      <c r="I2039" s="1" t="s">
        <v>40487</v>
      </c>
      <c r="J2039" s="6" t="s">
        <v>132</v>
      </c>
      <c r="K2039" s="1" t="s">
        <v>40488</v>
      </c>
      <c r="L2039" s="7" t="str">
        <f>IFERROR(__xludf.DUMMYFUNCTION("GOOGLETRANSLATE(C2039, ""en"", ""fi"")"),"Block Domain")</f>
        <v>Block Domain</v>
      </c>
      <c r="M2039" s="1" t="s">
        <v>40489</v>
      </c>
      <c r="N2039" s="6" t="s">
        <v>40488</v>
      </c>
      <c r="O2039" s="6" t="s">
        <v>132</v>
      </c>
      <c r="P2039" s="1" t="s">
        <v>40490</v>
      </c>
      <c r="Q2039" s="9" t="s">
        <v>40491</v>
      </c>
      <c r="R2039" s="1" t="s">
        <v>40492</v>
      </c>
      <c r="S2039" s="6" t="s">
        <v>132</v>
      </c>
      <c r="T2039" s="1" t="s">
        <v>40493</v>
      </c>
      <c r="U2039" s="1" t="s">
        <v>40494</v>
      </c>
      <c r="V2039" s="7" t="str">
        <f>IFERROR(__xludf.DUMMYFUNCTION("GOOGLETRANSLATE(C2039, ""en"", ""ms"")"),"Blok domain.")</f>
        <v>Blok domain.</v>
      </c>
      <c r="W2039" s="1" t="s">
        <v>40495</v>
      </c>
      <c r="X2039" s="7" t="str">
        <f>IFERROR(__xludf.DUMMYFUNCTION("GOOGLETRANSLATE(C2039, ""en"", ""no"")"),"Blokk domenet")</f>
        <v>Blokk domenet</v>
      </c>
      <c r="Y2039" s="1" t="s">
        <v>40496</v>
      </c>
      <c r="Z2039" s="1" t="s">
        <v>40497</v>
      </c>
      <c r="AA2039" s="7" t="str">
        <f>IFERROR(__xludf.DUMMYFUNCTION("GOOGLETRANSLATE(C2039, ""en"", ""ro"")"),"Blocați domeniul")</f>
        <v>Blocați domeniul</v>
      </c>
      <c r="AB2039" s="1" t="s">
        <v>40498</v>
      </c>
      <c r="AC2039" s="1" t="s">
        <v>40499</v>
      </c>
      <c r="AD2039" s="6" t="s">
        <v>132</v>
      </c>
      <c r="AE2039" s="1" t="s">
        <v>40500</v>
      </c>
      <c r="AF2039" s="1" t="s">
        <v>40501</v>
      </c>
      <c r="AG2039" s="6" t="s">
        <v>132</v>
      </c>
      <c r="AH2039" s="7" t="str">
        <f>IFERROR(__xludf.DUMMYFUNCTION("GOOGLETRANSLATE(C2039, ""en"", ""tr"")"),"Blok Etki Alanı")</f>
        <v>Blok Etki Alanı</v>
      </c>
      <c r="AI2039" s="6" t="s">
        <v>40502</v>
      </c>
      <c r="AJ2039" s="6" t="s">
        <v>40503</v>
      </c>
      <c r="AK2039" s="7" t="str">
        <f>IFERROR(__xludf.DUMMYFUNCTION("GOOGLETRANSLATE(C2039, ""en"", ""zh"")"),"块域名")</f>
        <v>块域名</v>
      </c>
      <c r="AL2039" s="6" t="s">
        <v>132</v>
      </c>
    </row>
    <row r="2040" ht="15.75" customHeight="1">
      <c r="A2040" s="1" t="s">
        <v>127</v>
      </c>
      <c r="B2040" s="1" t="s">
        <v>40504</v>
      </c>
      <c r="C2040" s="1" t="s">
        <v>40505</v>
      </c>
      <c r="D2040" s="8" t="s">
        <v>40506</v>
      </c>
      <c r="E2040" s="1" t="s">
        <v>40507</v>
      </c>
      <c r="F2040" s="6" t="s">
        <v>132</v>
      </c>
      <c r="G2040" s="1" t="s">
        <v>40508</v>
      </c>
      <c r="H2040" s="1" t="s">
        <v>40509</v>
      </c>
      <c r="I2040" s="1" t="s">
        <v>40510</v>
      </c>
      <c r="J2040" s="6" t="s">
        <v>40511</v>
      </c>
      <c r="K2040" s="1" t="s">
        <v>40512</v>
      </c>
      <c r="L2040" s="1" t="s">
        <v>40513</v>
      </c>
      <c r="M2040" s="1" t="s">
        <v>40514</v>
      </c>
      <c r="N2040" s="6" t="s">
        <v>132</v>
      </c>
      <c r="O2040" s="6" t="s">
        <v>40515</v>
      </c>
      <c r="P2040" s="1" t="s">
        <v>40516</v>
      </c>
      <c r="Q2040" s="1" t="s">
        <v>40517</v>
      </c>
      <c r="R2040" s="1" t="s">
        <v>40518</v>
      </c>
      <c r="S2040" s="10" t="s">
        <v>40519</v>
      </c>
      <c r="T2040" s="1" t="s">
        <v>40520</v>
      </c>
      <c r="U2040" s="1" t="s">
        <v>40521</v>
      </c>
      <c r="V2040" s="1" t="s">
        <v>40517</v>
      </c>
      <c r="W2040" s="1" t="s">
        <v>40522</v>
      </c>
      <c r="X2040" s="1" t="s">
        <v>40523</v>
      </c>
      <c r="Y2040" s="1" t="s">
        <v>40524</v>
      </c>
      <c r="Z2040" s="1" t="s">
        <v>40525</v>
      </c>
      <c r="AA2040" s="7" t="str">
        <f>IFERROR(__xludf.DUMMYFUNCTION("GOOGLETRANSLATE(C2040, ""en"", ""ro"")"),"Valoare în USD.")</f>
        <v>Valoare în USD.</v>
      </c>
      <c r="AB2040" s="1" t="s">
        <v>40526</v>
      </c>
      <c r="AC2040" s="1" t="s">
        <v>40508</v>
      </c>
      <c r="AD2040" s="6" t="s">
        <v>40527</v>
      </c>
      <c r="AE2040" s="1" t="s">
        <v>40528</v>
      </c>
      <c r="AF2040" s="1" t="s">
        <v>40529</v>
      </c>
      <c r="AG2040" s="6" t="s">
        <v>40530</v>
      </c>
      <c r="AH2040" s="1" t="s">
        <v>40531</v>
      </c>
      <c r="AI2040" s="6" t="s">
        <v>132</v>
      </c>
      <c r="AJ2040" s="6" t="s">
        <v>40532</v>
      </c>
      <c r="AK2040" s="1" t="s">
        <v>40533</v>
      </c>
      <c r="AL2040" s="6" t="s">
        <v>132</v>
      </c>
    </row>
    <row r="2041" ht="15.75" hidden="1" customHeight="1">
      <c r="A2041" s="1" t="s">
        <v>38</v>
      </c>
      <c r="B2041" s="1" t="s">
        <v>40534</v>
      </c>
      <c r="C2041" s="1" t="s">
        <v>40535</v>
      </c>
      <c r="D2041" s="8" t="s">
        <v>40536</v>
      </c>
      <c r="E2041" s="1" t="s">
        <v>40537</v>
      </c>
      <c r="F2041" s="6" t="s">
        <v>40538</v>
      </c>
      <c r="G2041" s="7" t="str">
        <f>IFERROR(__xludf.DUMMYFUNCTION("GOOGLETRANSLATE(C2041, ""en"", ""cs"")"),"Toto není platné uživatelské jméno")</f>
        <v>Toto není platné uživatelské jméno</v>
      </c>
      <c r="H2041" s="7" t="str">
        <f>IFERROR(__xludf.DUMMYFUNCTION("GOOGLETRANSLATE(C2041, ""en"", ""da"")"),"Dette er ikke et gyldigt brugernavn")</f>
        <v>Dette er ikke et gyldigt brugernavn</v>
      </c>
      <c r="I2041" s="1" t="s">
        <v>40539</v>
      </c>
      <c r="J2041" s="6" t="s">
        <v>132</v>
      </c>
      <c r="K2041" s="1" t="s">
        <v>40540</v>
      </c>
      <c r="L2041" s="7" t="str">
        <f>IFERROR(__xludf.DUMMYFUNCTION("GOOGLETRANSLATE(C2041, ""en"", ""fi"")"),"Tämä ei ole kelvollinen käyttäjätunnus")</f>
        <v>Tämä ei ole kelvollinen käyttäjätunnus</v>
      </c>
      <c r="M2041" s="1" t="s">
        <v>40541</v>
      </c>
      <c r="N2041" s="6" t="s">
        <v>40542</v>
      </c>
      <c r="O2041" s="6" t="s">
        <v>132</v>
      </c>
      <c r="P2041" s="1" t="s">
        <v>40543</v>
      </c>
      <c r="Q2041" s="9" t="s">
        <v>40544</v>
      </c>
      <c r="R2041" s="1" t="s">
        <v>40545</v>
      </c>
      <c r="S2041" s="6" t="s">
        <v>132</v>
      </c>
      <c r="T2041" s="1" t="s">
        <v>40546</v>
      </c>
      <c r="U2041" s="1" t="s">
        <v>40547</v>
      </c>
      <c r="V2041" s="7" t="str">
        <f>IFERROR(__xludf.DUMMYFUNCTION("GOOGLETRANSLATE(C2041, ""en"", ""ms"")"),"Ini bukan nama pengguna yang sah")</f>
        <v>Ini bukan nama pengguna yang sah</v>
      </c>
      <c r="W2041" s="1" t="s">
        <v>40548</v>
      </c>
      <c r="X2041" s="7" t="str">
        <f>IFERROR(__xludf.DUMMYFUNCTION("GOOGLETRANSLATE(C2041, ""en"", ""no"")"),"Dette er ikke et gyldig brukernavn")</f>
        <v>Dette er ikke et gyldig brukernavn</v>
      </c>
      <c r="Y2041" s="1" t="s">
        <v>40549</v>
      </c>
      <c r="Z2041" s="1" t="s">
        <v>40550</v>
      </c>
      <c r="AA2041" s="7" t="str">
        <f>IFERROR(__xludf.DUMMYFUNCTION("GOOGLETRANSLATE(C2041, ""en"", ""ro"")"),"Acesta nu este un nume de utilizator valid")</f>
        <v>Acesta nu este un nume de utilizator valid</v>
      </c>
      <c r="AB2041" s="1" t="s">
        <v>40551</v>
      </c>
      <c r="AC2041" s="1" t="s">
        <v>40552</v>
      </c>
      <c r="AD2041" s="6" t="s">
        <v>132</v>
      </c>
      <c r="AE2041" s="1" t="s">
        <v>40553</v>
      </c>
      <c r="AF2041" s="1" t="s">
        <v>40554</v>
      </c>
      <c r="AG2041" s="6" t="s">
        <v>132</v>
      </c>
      <c r="AH2041" s="7" t="str">
        <f>IFERROR(__xludf.DUMMYFUNCTION("GOOGLETRANSLATE(C2041, ""en"", ""tr"")"),"Bu geçerli bir kullanıcı adı değil")</f>
        <v>Bu geçerli bir kullanıcı adı değil</v>
      </c>
      <c r="AI2041" s="6" t="s">
        <v>40555</v>
      </c>
      <c r="AJ2041" s="6" t="s">
        <v>40556</v>
      </c>
      <c r="AK2041" s="7" t="str">
        <f>IFERROR(__xludf.DUMMYFUNCTION("GOOGLETRANSLATE(C2041, ""en"", ""zh"")"),"这不是一个有效的用户名")</f>
        <v>这不是一个有效的用户名</v>
      </c>
      <c r="AL2041" s="6" t="s">
        <v>40557</v>
      </c>
    </row>
    <row r="2042" ht="15.75" hidden="1" customHeight="1">
      <c r="A2042" s="1" t="s">
        <v>38</v>
      </c>
      <c r="B2042" s="1" t="s">
        <v>40558</v>
      </c>
      <c r="C2042" s="1" t="s">
        <v>40559</v>
      </c>
      <c r="D2042" s="8" t="s">
        <v>40560</v>
      </c>
      <c r="E2042" s="1" t="s">
        <v>40561</v>
      </c>
      <c r="F2042" s="6" t="s">
        <v>40562</v>
      </c>
      <c r="G2042" s="7" t="str">
        <f>IFERROR(__xludf.DUMMYFUNCTION("GOOGLETRANSLATE(C2042, ""en"", ""cs"")"),"Čistá mezipaměť")</f>
        <v>Čistá mezipaměť</v>
      </c>
      <c r="H2042" s="7" t="str">
        <f>IFERROR(__xludf.DUMMYFUNCTION("GOOGLETRANSLATE(C2042, ""en"", ""da"")"),"Ren cache.")</f>
        <v>Ren cache.</v>
      </c>
      <c r="I2042" s="1" t="s">
        <v>40563</v>
      </c>
      <c r="J2042" s="6" t="s">
        <v>132</v>
      </c>
      <c r="K2042" s="1" t="s">
        <v>40564</v>
      </c>
      <c r="L2042" s="7" t="str">
        <f>IFERROR(__xludf.DUMMYFUNCTION("GOOGLETRANSLATE(C2042, ""en"", ""fi"")"),"Puhdas välimuisti")</f>
        <v>Puhdas välimuisti</v>
      </c>
      <c r="M2042" s="1" t="s">
        <v>40565</v>
      </c>
      <c r="N2042" s="6" t="s">
        <v>40566</v>
      </c>
      <c r="O2042" s="6" t="s">
        <v>132</v>
      </c>
      <c r="P2042" s="1" t="s">
        <v>40567</v>
      </c>
      <c r="Q2042" s="7" t="str">
        <f>IFERROR(__xludf.DUMMYFUNCTION("GOOGLETRANSLATE(C2042, ""en"", ""in"")"),"Membersihkan cache")</f>
        <v>Membersihkan cache</v>
      </c>
      <c r="R2042" s="1" t="s">
        <v>40568</v>
      </c>
      <c r="S2042" s="6" t="s">
        <v>132</v>
      </c>
      <c r="T2042" s="1" t="s">
        <v>40569</v>
      </c>
      <c r="U2042" s="7" t="str">
        <f>IFERROR(__xludf.DUMMYFUNCTION("GOOGLETRANSLATE(C2042, ""en"", ""ko"")"),"깨끗한 캐시")</f>
        <v>깨끗한 캐시</v>
      </c>
      <c r="V2042" s="7" t="str">
        <f>IFERROR(__xludf.DUMMYFUNCTION("GOOGLETRANSLATE(C2042, ""en"", ""ms"")"),"Cache yang bersih")</f>
        <v>Cache yang bersih</v>
      </c>
      <c r="W2042" s="1" t="s">
        <v>40570</v>
      </c>
      <c r="X2042" s="7" t="str">
        <f>IFERROR(__xludf.DUMMYFUNCTION("GOOGLETRANSLATE(C2042, ""en"", ""no"")"),"Rengjør cachen")</f>
        <v>Rengjør cachen</v>
      </c>
      <c r="Y2042" s="1" t="s">
        <v>40571</v>
      </c>
      <c r="Z2042" s="7" t="str">
        <f>IFERROR(__xludf.DUMMYFUNCTION("GOOGLETRANSLATE(C2042, ""en"", ""pt"")"),"Cache limpo")</f>
        <v>Cache limpo</v>
      </c>
      <c r="AA2042" s="7" t="str">
        <f>IFERROR(__xludf.DUMMYFUNCTION("GOOGLETRANSLATE(C2042, ""en"", ""ro"")"),"Clean cache")</f>
        <v>Clean cache</v>
      </c>
      <c r="AB2042" s="1" t="s">
        <v>40572</v>
      </c>
      <c r="AC2042" s="7" t="str">
        <f>IFERROR(__xludf.DUMMYFUNCTION("GOOGLETRANSLATE(C2042, ""en"", ""sk"")"),"Čistá cache")</f>
        <v>Čistá cache</v>
      </c>
      <c r="AD2042" s="6" t="s">
        <v>132</v>
      </c>
      <c r="AE2042" s="1" t="s">
        <v>40573</v>
      </c>
      <c r="AF2042" s="1" t="s">
        <v>40574</v>
      </c>
      <c r="AG2042" s="6" t="s">
        <v>132</v>
      </c>
      <c r="AH2042" s="7" t="str">
        <f>IFERROR(__xludf.DUMMYFUNCTION("GOOGLETRANSLATE(C2042, ""en"", ""tr"")"),"Temiz önbellek")</f>
        <v>Temiz önbellek</v>
      </c>
      <c r="AI2042" s="6" t="s">
        <v>40575</v>
      </c>
      <c r="AJ2042" s="6" t="s">
        <v>132</v>
      </c>
      <c r="AK2042" s="7" t="str">
        <f>IFERROR(__xludf.DUMMYFUNCTION("GOOGLETRANSLATE(C2042, ""en"", ""zh"")"),"清洁缓存")</f>
        <v>清洁缓存</v>
      </c>
      <c r="AL2042" s="6" t="s">
        <v>40576</v>
      </c>
    </row>
    <row r="2043" ht="15.75" customHeight="1">
      <c r="A2043" s="1" t="s">
        <v>127</v>
      </c>
      <c r="B2043" s="1" t="s">
        <v>40577</v>
      </c>
      <c r="C2043" s="1" t="s">
        <v>40578</v>
      </c>
      <c r="D2043" s="8" t="s">
        <v>40579</v>
      </c>
      <c r="E2043" s="1" t="s">
        <v>40580</v>
      </c>
      <c r="F2043" s="6" t="s">
        <v>132</v>
      </c>
      <c r="G2043" s="1" t="s">
        <v>40581</v>
      </c>
      <c r="H2043" s="1" t="s">
        <v>40582</v>
      </c>
      <c r="I2043" s="1" t="s">
        <v>40583</v>
      </c>
      <c r="J2043" s="6" t="s">
        <v>40584</v>
      </c>
      <c r="K2043" s="1" t="s">
        <v>40585</v>
      </c>
      <c r="L2043" s="1" t="s">
        <v>40586</v>
      </c>
      <c r="M2043" s="1" t="s">
        <v>40587</v>
      </c>
      <c r="N2043" s="6" t="s">
        <v>132</v>
      </c>
      <c r="O2043" s="6" t="s">
        <v>40588</v>
      </c>
      <c r="P2043" s="1" t="s">
        <v>40589</v>
      </c>
      <c r="Q2043" s="1" t="s">
        <v>40590</v>
      </c>
      <c r="R2043" s="1" t="s">
        <v>40591</v>
      </c>
      <c r="S2043" s="10" t="s">
        <v>40592</v>
      </c>
      <c r="T2043" s="1" t="s">
        <v>40593</v>
      </c>
      <c r="U2043" s="1" t="s">
        <v>40594</v>
      </c>
      <c r="V2043" s="1" t="s">
        <v>40595</v>
      </c>
      <c r="W2043" s="1" t="s">
        <v>40596</v>
      </c>
      <c r="X2043" s="1" t="s">
        <v>40582</v>
      </c>
      <c r="Y2043" s="1" t="s">
        <v>40597</v>
      </c>
      <c r="Z2043" s="1" t="s">
        <v>40585</v>
      </c>
      <c r="AA2043" s="7" t="str">
        <f>IFERROR(__xludf.DUMMYFUNCTION("GOOGLETRANSLATE(C2043, ""en"", ""ro"")"),"Tipul diagramei")</f>
        <v>Tipul diagramei</v>
      </c>
      <c r="AB2043" s="1" t="s">
        <v>40580</v>
      </c>
      <c r="AC2043" s="1" t="s">
        <v>40581</v>
      </c>
      <c r="AD2043" s="6" t="s">
        <v>40598</v>
      </c>
      <c r="AE2043" s="1" t="s">
        <v>40598</v>
      </c>
      <c r="AF2043" s="1" t="s">
        <v>40599</v>
      </c>
      <c r="AG2043" s="6" t="s">
        <v>40600</v>
      </c>
      <c r="AH2043" s="1" t="s">
        <v>40601</v>
      </c>
      <c r="AI2043" s="6" t="s">
        <v>132</v>
      </c>
      <c r="AJ2043" s="6" t="s">
        <v>40602</v>
      </c>
      <c r="AK2043" s="1" t="s">
        <v>40603</v>
      </c>
      <c r="AL2043" s="6" t="s">
        <v>40604</v>
      </c>
    </row>
    <row r="2044" ht="15.75" hidden="1" customHeight="1">
      <c r="A2044" s="1" t="s">
        <v>38</v>
      </c>
      <c r="B2044" s="1" t="s">
        <v>40605</v>
      </c>
      <c r="C2044" s="1" t="s">
        <v>40606</v>
      </c>
      <c r="D2044" s="8" t="s">
        <v>40607</v>
      </c>
      <c r="E2044" s="1" t="s">
        <v>40608</v>
      </c>
      <c r="F2044" s="6" t="s">
        <v>40609</v>
      </c>
      <c r="G2044" s="7" t="str">
        <f>IFERROR(__xludf.DUMMYFUNCTION("GOOGLETRANSLATE(C2044, ""en"", ""cs"")"),"Blok Stranger.")</f>
        <v>Blok Stranger.</v>
      </c>
      <c r="H2044" s="7" t="str">
        <f>IFERROR(__xludf.DUMMYFUNCTION("GOOGLETRANSLATE(C2044, ""en"", ""da"")"),"Block Stranger.")</f>
        <v>Block Stranger.</v>
      </c>
      <c r="I2044" s="1" t="s">
        <v>40610</v>
      </c>
      <c r="J2044" s="6" t="s">
        <v>132</v>
      </c>
      <c r="K2044" s="1" t="s">
        <v>40611</v>
      </c>
      <c r="L2044" s="7" t="str">
        <f>IFERROR(__xludf.DUMMYFUNCTION("GOOGLETRANSLATE(C2044, ""en"", ""fi"")"),"Lohkota muukalainen")</f>
        <v>Lohkota muukalainen</v>
      </c>
      <c r="M2044" s="1" t="s">
        <v>40612</v>
      </c>
      <c r="N2044" s="6" t="s">
        <v>40613</v>
      </c>
      <c r="O2044" s="6" t="s">
        <v>132</v>
      </c>
      <c r="P2044" s="1" t="s">
        <v>40614</v>
      </c>
      <c r="Q2044" s="7" t="str">
        <f>IFERROR(__xludf.DUMMYFUNCTION("GOOGLETRANSLATE(C2044, ""en"", ""in"")"),"Blokir orang asing")</f>
        <v>Blokir orang asing</v>
      </c>
      <c r="R2044" s="1" t="s">
        <v>40615</v>
      </c>
      <c r="S2044" s="6" t="s">
        <v>132</v>
      </c>
      <c r="T2044" s="1" t="s">
        <v>40616</v>
      </c>
      <c r="U2044" s="7" t="str">
        <f>IFERROR(__xludf.DUMMYFUNCTION("GOOGLETRANSLATE(C2044, ""en"", ""ko"")"),"낯선 사람을 차단합니다")</f>
        <v>낯선 사람을 차단합니다</v>
      </c>
      <c r="V2044" s="7" t="str">
        <f>IFERROR(__xludf.DUMMYFUNCTION("GOOGLETRANSLATE(C2044, ""en"", ""ms"")"),"Blok orang asing")</f>
        <v>Blok orang asing</v>
      </c>
      <c r="W2044" s="1" t="s">
        <v>40617</v>
      </c>
      <c r="X2044" s="7" t="str">
        <f>IFERROR(__xludf.DUMMYFUNCTION("GOOGLETRANSLATE(C2044, ""en"", ""no"")"),"Block Stranger")</f>
        <v>Block Stranger</v>
      </c>
      <c r="Y2044" s="1" t="s">
        <v>40618</v>
      </c>
      <c r="Z2044" s="7" t="str">
        <f>IFERROR(__xludf.DUMMYFUNCTION("GOOGLETRANSLATE(C2044, ""en"", ""pt"")"),"Bloco Estranho")</f>
        <v>Bloco Estranho</v>
      </c>
      <c r="AA2044" s="7" t="str">
        <f>IFERROR(__xludf.DUMMYFUNCTION("GOOGLETRANSLATE(C2044, ""en"", ""ro"")"),"Blocul străinului")</f>
        <v>Blocul străinului</v>
      </c>
      <c r="AB2044" s="1" t="s">
        <v>40619</v>
      </c>
      <c r="AC2044" s="7" t="str">
        <f>IFERROR(__xludf.DUMMYFUNCTION("GOOGLETRANSLATE(C2044, ""en"", ""sk"")"),"Blokovať cudzinec")</f>
        <v>Blokovať cudzinec</v>
      </c>
      <c r="AD2044" s="6" t="s">
        <v>132</v>
      </c>
      <c r="AE2044" s="1" t="s">
        <v>40620</v>
      </c>
      <c r="AF2044" s="1" t="s">
        <v>40621</v>
      </c>
      <c r="AG2044" s="6" t="s">
        <v>132</v>
      </c>
      <c r="AH2044" s="7" t="str">
        <f>IFERROR(__xludf.DUMMYFUNCTION("GOOGLETRANSLATE(C2044, ""en"", ""tr"")"),"Blok Yabancı")</f>
        <v>Blok Yabancı</v>
      </c>
      <c r="AI2044" s="6" t="s">
        <v>40622</v>
      </c>
      <c r="AJ2044" s="6" t="s">
        <v>132</v>
      </c>
      <c r="AK2044" s="7" t="str">
        <f>IFERROR(__xludf.DUMMYFUNCTION("GOOGLETRANSLATE(C2044, ""en"", ""zh"")"),"阻止陌生人")</f>
        <v>阻止陌生人</v>
      </c>
      <c r="AL2044" s="6" t="s">
        <v>40623</v>
      </c>
    </row>
    <row r="2045" ht="15.75" customHeight="1">
      <c r="A2045" s="1" t="s">
        <v>127</v>
      </c>
      <c r="B2045" s="1" t="s">
        <v>40624</v>
      </c>
      <c r="C2045" s="1" t="s">
        <v>40625</v>
      </c>
      <c r="D2045" s="8" t="s">
        <v>40626</v>
      </c>
      <c r="E2045" s="1" t="s">
        <v>40625</v>
      </c>
      <c r="F2045" s="6" t="s">
        <v>132</v>
      </c>
      <c r="G2045" s="1" t="s">
        <v>40627</v>
      </c>
      <c r="H2045" s="1" t="s">
        <v>40628</v>
      </c>
      <c r="I2045" s="1" t="s">
        <v>40629</v>
      </c>
      <c r="J2045" s="6" t="s">
        <v>40625</v>
      </c>
      <c r="K2045" s="1" t="s">
        <v>40625</v>
      </c>
      <c r="L2045" s="1" t="s">
        <v>40630</v>
      </c>
      <c r="M2045" s="1" t="s">
        <v>40625</v>
      </c>
      <c r="N2045" s="6" t="s">
        <v>132</v>
      </c>
      <c r="O2045" s="6" t="s">
        <v>40631</v>
      </c>
      <c r="P2045" s="1" t="s">
        <v>40625</v>
      </c>
      <c r="Q2045" s="1" t="s">
        <v>40632</v>
      </c>
      <c r="R2045" s="1" t="s">
        <v>40633</v>
      </c>
      <c r="S2045" s="10" t="s">
        <v>40634</v>
      </c>
      <c r="T2045" s="1" t="s">
        <v>40635</v>
      </c>
      <c r="U2045" s="1" t="s">
        <v>40636</v>
      </c>
      <c r="V2045" s="1" t="s">
        <v>40637</v>
      </c>
      <c r="W2045" s="1" t="s">
        <v>40638</v>
      </c>
      <c r="X2045" s="1" t="s">
        <v>40628</v>
      </c>
      <c r="Y2045" s="1" t="s">
        <v>40639</v>
      </c>
      <c r="Z2045" s="1" t="s">
        <v>40625</v>
      </c>
      <c r="AA2045" s="7" t="str">
        <f>IFERROR(__xludf.DUMMYFUNCTION("GOOGLETRANSLATE(C2045, ""en"", ""ro"")"),"MarketPhase.")</f>
        <v>MarketPhase.</v>
      </c>
      <c r="AB2045" s="1" t="s">
        <v>40640</v>
      </c>
      <c r="AC2045" s="1" t="s">
        <v>40641</v>
      </c>
      <c r="AD2045" s="6" t="s">
        <v>40642</v>
      </c>
      <c r="AE2045" s="1" t="s">
        <v>40643</v>
      </c>
      <c r="AF2045" s="1" t="s">
        <v>40644</v>
      </c>
      <c r="AG2045" s="6" t="s">
        <v>40645</v>
      </c>
      <c r="AH2045" s="1" t="s">
        <v>40646</v>
      </c>
      <c r="AI2045" s="6" t="s">
        <v>132</v>
      </c>
      <c r="AJ2045" s="6" t="s">
        <v>40647</v>
      </c>
      <c r="AK2045" s="1" t="s">
        <v>40648</v>
      </c>
      <c r="AL2045" s="6" t="s">
        <v>40649</v>
      </c>
    </row>
    <row r="2046" ht="15.75" hidden="1" customHeight="1">
      <c r="A2046" s="1" t="s">
        <v>38</v>
      </c>
      <c r="B2046" s="1" t="s">
        <v>40650</v>
      </c>
      <c r="C2046" s="1" t="s">
        <v>40651</v>
      </c>
      <c r="D2046" s="8" t="s">
        <v>40652</v>
      </c>
      <c r="E2046" s="1" t="s">
        <v>40653</v>
      </c>
      <c r="F2046" s="6" t="s">
        <v>23337</v>
      </c>
      <c r="G2046" s="7" t="str">
        <f>IFERROR(__xludf.DUMMYFUNCTION("GOOGLETRANSLATE(C2046, ""en"", ""cs"")"),"Nebyl nalezen klávesu OpenPGP")</f>
        <v>Nebyl nalezen klávesu OpenPGP</v>
      </c>
      <c r="H2046" s="7" t="str">
        <f>IFERROR(__xludf.DUMMYFUNCTION("GOOGLETRANSLATE(C2046, ""en"", ""da"")"),"Ingen OpenPGP-nøgle fundet")</f>
        <v>Ingen OpenPGP-nøgle fundet</v>
      </c>
      <c r="I2046" s="1" t="s">
        <v>40654</v>
      </c>
      <c r="J2046" s="6" t="s">
        <v>132</v>
      </c>
      <c r="K2046" s="1" t="s">
        <v>40655</v>
      </c>
      <c r="L2046" s="7" t="str">
        <f>IFERROR(__xludf.DUMMYFUNCTION("GOOGLETRANSLATE(C2046, ""en"", ""fi"")"),"Ei OpenPGP-näppäintä löytynyt")</f>
        <v>Ei OpenPGP-näppäintä löytynyt</v>
      </c>
      <c r="M2046" s="1" t="s">
        <v>40656</v>
      </c>
      <c r="N2046" s="6" t="s">
        <v>40657</v>
      </c>
      <c r="O2046" s="6" t="s">
        <v>132</v>
      </c>
      <c r="P2046" s="1" t="s">
        <v>40658</v>
      </c>
      <c r="Q2046" s="9" t="s">
        <v>23343</v>
      </c>
      <c r="R2046" s="1" t="s">
        <v>23344</v>
      </c>
      <c r="S2046" s="6" t="s">
        <v>132</v>
      </c>
      <c r="T2046" s="1" t="s">
        <v>23345</v>
      </c>
      <c r="U2046" s="1" t="s">
        <v>23346</v>
      </c>
      <c r="V2046" s="7" t="str">
        <f>IFERROR(__xludf.DUMMYFUNCTION("GOOGLETRANSLATE(C2046, ""en"", ""ms"")"),"Tiada kunci OpenPGP dijumpai")</f>
        <v>Tiada kunci OpenPGP dijumpai</v>
      </c>
      <c r="W2046" s="1" t="s">
        <v>40659</v>
      </c>
      <c r="X2046" s="7" t="str">
        <f>IFERROR(__xludf.DUMMYFUNCTION("GOOGLETRANSLATE(C2046, ""en"", ""no"")"),"Ingen OpenPGP-nøkkel funnet")</f>
        <v>Ingen OpenPGP-nøkkel funnet</v>
      </c>
      <c r="Y2046" s="1" t="s">
        <v>40660</v>
      </c>
      <c r="Z2046" s="1" t="s">
        <v>40661</v>
      </c>
      <c r="AA2046" s="7" t="str">
        <f>IFERROR(__xludf.DUMMYFUNCTION("GOOGLETRANSLATE(C2046, ""en"", ""ro"")"),"Nu a fost găsită cheia OpenPGP")</f>
        <v>Nu a fost găsită cheia OpenPGP</v>
      </c>
      <c r="AB2046" s="1" t="s">
        <v>40662</v>
      </c>
      <c r="AC2046" s="1" t="s">
        <v>40663</v>
      </c>
      <c r="AD2046" s="6" t="s">
        <v>132</v>
      </c>
      <c r="AE2046" s="1" t="s">
        <v>40664</v>
      </c>
      <c r="AF2046" s="1" t="s">
        <v>40665</v>
      </c>
      <c r="AG2046" s="6" t="s">
        <v>132</v>
      </c>
      <c r="AH2046" s="7" t="str">
        <f>IFERROR(__xludf.DUMMYFUNCTION("GOOGLETRANSLATE(C2046, ""en"", ""tr"")"),"OpenPGP anahtarı bulunamadı")</f>
        <v>OpenPGP anahtarı bulunamadı</v>
      </c>
      <c r="AI2046" s="6" t="s">
        <v>23354</v>
      </c>
      <c r="AJ2046" s="6" t="s">
        <v>40666</v>
      </c>
      <c r="AK2046" s="7" t="str">
        <f>IFERROR(__xludf.DUMMYFUNCTION("GOOGLETRANSLATE(C2046, ""en"", ""zh"")"),"没有找到OpenPGP键")</f>
        <v>没有找到OpenPGP键</v>
      </c>
      <c r="AL2046" s="6" t="s">
        <v>40667</v>
      </c>
    </row>
    <row r="2047" ht="15.75" hidden="1" customHeight="1">
      <c r="A2047" s="1" t="s">
        <v>38</v>
      </c>
      <c r="B2047" s="1" t="s">
        <v>40668</v>
      </c>
      <c r="C2047" s="1" t="s">
        <v>40669</v>
      </c>
      <c r="D2047" s="7" t="str">
        <f>IFERROR(__xludf.DUMMYFUNCTION("GOOGLETRANSLATE(C2047, ""en"", ""ar"")"),"أذربيجان")</f>
        <v>أذربيجان</v>
      </c>
      <c r="E2047" s="7" t="str">
        <f>IFERROR(__xludf.DUMMYFUNCTION("GOOGLETRANSLATE(C2047, ""en"", ""bg"")"),"Азербайджан")</f>
        <v>Азербайджан</v>
      </c>
      <c r="F2047" s="6" t="s">
        <v>132</v>
      </c>
      <c r="G2047" s="7" t="str">
        <f>IFERROR(__xludf.DUMMYFUNCTION("GOOGLETRANSLATE(C2047, ""en"", ""cs"")"),"Ázerbajdžán")</f>
        <v>Ázerbajdžán</v>
      </c>
      <c r="H2047" s="7" t="str">
        <f>IFERROR(__xludf.DUMMYFUNCTION("GOOGLETRANSLATE(C2047, ""en"", ""da"")"),"Aserbajdsjan.")</f>
        <v>Aserbajdsjan.</v>
      </c>
      <c r="I2047" s="1" t="s">
        <v>40670</v>
      </c>
      <c r="J2047" s="6" t="s">
        <v>132</v>
      </c>
      <c r="K2047" s="1" t="s">
        <v>40671</v>
      </c>
      <c r="L2047" s="7" t="str">
        <f>IFERROR(__xludf.DUMMYFUNCTION("GOOGLETRANSLATE(C2047, ""en"", ""fi"")"),"Azerbaidžan")</f>
        <v>Azerbaidžan</v>
      </c>
      <c r="M2047" s="1" t="s">
        <v>40672</v>
      </c>
      <c r="N2047" s="6" t="s">
        <v>132</v>
      </c>
      <c r="O2047" s="6" t="s">
        <v>132</v>
      </c>
      <c r="P2047" s="1" t="s">
        <v>40669</v>
      </c>
      <c r="Q2047" s="7" t="str">
        <f>IFERROR(__xludf.DUMMYFUNCTION("GOOGLETRANSLATE(C2047, ""en"", ""in"")"),"Azerbaijan.")</f>
        <v>Azerbaijan.</v>
      </c>
      <c r="R2047" s="7" t="str">
        <f>IFERROR(__xludf.DUMMYFUNCTION("GOOGLETRANSLATE(C2047, ""en"", ""it"")"),"Azerbaijan.")</f>
        <v>Azerbaijan.</v>
      </c>
      <c r="S2047" s="6" t="s">
        <v>132</v>
      </c>
      <c r="T2047" s="7" t="str">
        <f>IFERROR(__xludf.DUMMYFUNCTION("GOOGLETRANSLATE(C2047, ""en"", ""ja"")"),"アゼルバイジャン")</f>
        <v>アゼルバイジャン</v>
      </c>
      <c r="U2047" s="7" t="str">
        <f>IFERROR(__xludf.DUMMYFUNCTION("GOOGLETRANSLATE(C2047, ""en"", ""ko"")"),"아제르바이잔")</f>
        <v>아제르바이잔</v>
      </c>
      <c r="V2047" s="7" t="str">
        <f>IFERROR(__xludf.DUMMYFUNCTION("GOOGLETRANSLATE(C2047, ""en"", ""ms"")"),"Azerbaijan.")</f>
        <v>Azerbaijan.</v>
      </c>
      <c r="W2047" s="7" t="str">
        <f>IFERROR(__xludf.DUMMYFUNCTION("GOOGLETRANSLATE(C2047, ""en"", ""nl"")"),"Azerbeidzjan")</f>
        <v>Azerbeidzjan</v>
      </c>
      <c r="X2047" s="7" t="str">
        <f>IFERROR(__xludf.DUMMYFUNCTION("GOOGLETRANSLATE(C2047, ""en"", ""no"")"),"Aserbajdsjan")</f>
        <v>Aserbajdsjan</v>
      </c>
      <c r="Y2047" s="7" t="str">
        <f>IFERROR(__xludf.DUMMYFUNCTION("GOOGLETRANSLATE(C2047, ""en"", ""pl"")"),"Azerbejdżan")</f>
        <v>Azerbejdżan</v>
      </c>
      <c r="Z2047" s="7" t="str">
        <f>IFERROR(__xludf.DUMMYFUNCTION("GOOGLETRANSLATE(C2047, ""en"", ""pt"")"),"Azerbaijão")</f>
        <v>Azerbaijão</v>
      </c>
      <c r="AA2047" s="7" t="str">
        <f>IFERROR(__xludf.DUMMYFUNCTION("GOOGLETRANSLATE(C2047, ""en"", ""ro"")"),"Azerbaidjan.")</f>
        <v>Azerbaidjan.</v>
      </c>
      <c r="AB2047" s="1" t="s">
        <v>40673</v>
      </c>
      <c r="AC2047" s="7" t="str">
        <f>IFERROR(__xludf.DUMMYFUNCTION("GOOGLETRANSLATE(C2047, ""en"", ""sk"")"),"Azerbajdžan")</f>
        <v>Azerbajdžan</v>
      </c>
      <c r="AD2047" s="6" t="s">
        <v>132</v>
      </c>
      <c r="AE2047" s="1" t="s">
        <v>40674</v>
      </c>
      <c r="AF2047" s="7" t="str">
        <f>IFERROR(__xludf.DUMMYFUNCTION("GOOGLETRANSLATE(C2047, ""en"", ""sv"")"),"Azerbajdsa")</f>
        <v>Azerbajdsa</v>
      </c>
      <c r="AG2047" s="6" t="s">
        <v>132</v>
      </c>
      <c r="AH2047" s="7" t="str">
        <f>IFERROR(__xludf.DUMMYFUNCTION("GOOGLETRANSLATE(C2047, ""en"", ""tr"")"),"Azerbaycan")</f>
        <v>Azerbaycan</v>
      </c>
      <c r="AI2047" s="6" t="s">
        <v>132</v>
      </c>
      <c r="AJ2047" s="6" t="s">
        <v>132</v>
      </c>
      <c r="AK2047" s="7" t="str">
        <f>IFERROR(__xludf.DUMMYFUNCTION("GOOGLETRANSLATE(C2047, ""en"", ""zh"")"),"阿塞拜疆")</f>
        <v>阿塞拜疆</v>
      </c>
      <c r="AL2047" s="6" t="s">
        <v>132</v>
      </c>
    </row>
    <row r="2048" ht="15.75" customHeight="1">
      <c r="A2048" s="1" t="s">
        <v>127</v>
      </c>
      <c r="B2048" s="1" t="s">
        <v>40675</v>
      </c>
      <c r="C2048" s="1" t="s">
        <v>40676</v>
      </c>
      <c r="D2048" s="8" t="s">
        <v>40677</v>
      </c>
      <c r="E2048" s="1" t="s">
        <v>40678</v>
      </c>
      <c r="F2048" s="6" t="s">
        <v>132</v>
      </c>
      <c r="G2048" s="1" t="s">
        <v>40679</v>
      </c>
      <c r="H2048" s="1" t="s">
        <v>40680</v>
      </c>
      <c r="I2048" s="1" t="s">
        <v>40681</v>
      </c>
      <c r="J2048" s="6" t="s">
        <v>40682</v>
      </c>
      <c r="K2048" s="1" t="s">
        <v>40683</v>
      </c>
      <c r="L2048" s="1" t="s">
        <v>40684</v>
      </c>
      <c r="M2048" s="1" t="s">
        <v>40685</v>
      </c>
      <c r="N2048" s="6" t="s">
        <v>132</v>
      </c>
      <c r="O2048" s="6" t="s">
        <v>40686</v>
      </c>
      <c r="P2048" s="1" t="s">
        <v>40687</v>
      </c>
      <c r="Q2048" s="1" t="s">
        <v>40688</v>
      </c>
      <c r="R2048" s="1" t="s">
        <v>40689</v>
      </c>
      <c r="S2048" s="10" t="s">
        <v>40690</v>
      </c>
      <c r="T2048" s="1" t="s">
        <v>40691</v>
      </c>
      <c r="U2048" s="1" t="s">
        <v>40692</v>
      </c>
      <c r="V2048" s="1" t="s">
        <v>40688</v>
      </c>
      <c r="W2048" s="1" t="s">
        <v>40693</v>
      </c>
      <c r="X2048" s="1" t="s">
        <v>40680</v>
      </c>
      <c r="Y2048" s="1" t="s">
        <v>40694</v>
      </c>
      <c r="Z2048" s="1" t="s">
        <v>40695</v>
      </c>
      <c r="AA2048" s="7" t="str">
        <f>IFERROR(__xludf.DUMMYFUNCTION("GOOGLETRANSLATE(C2048, ""en"", ""ro"")"),"Eliminați compararea")</f>
        <v>Eliminați compararea</v>
      </c>
      <c r="AB2048" s="1" t="s">
        <v>40696</v>
      </c>
      <c r="AC2048" s="1" t="s">
        <v>40697</v>
      </c>
      <c r="AD2048" s="6" t="s">
        <v>40698</v>
      </c>
      <c r="AE2048" s="1" t="s">
        <v>40699</v>
      </c>
      <c r="AF2048" s="1" t="s">
        <v>40700</v>
      </c>
      <c r="AG2048" s="6" t="s">
        <v>40701</v>
      </c>
      <c r="AH2048" s="1" t="s">
        <v>40702</v>
      </c>
      <c r="AI2048" s="6" t="s">
        <v>132</v>
      </c>
      <c r="AJ2048" s="6" t="s">
        <v>40703</v>
      </c>
      <c r="AK2048" s="1" t="s">
        <v>40704</v>
      </c>
      <c r="AL2048" s="6" t="s">
        <v>40705</v>
      </c>
    </row>
    <row r="2049" ht="15.75" hidden="1" customHeight="1">
      <c r="A2049" s="1" t="s">
        <v>38</v>
      </c>
      <c r="B2049" s="1" t="s">
        <v>40706</v>
      </c>
      <c r="C2049" s="1" t="s">
        <v>40707</v>
      </c>
      <c r="D2049" s="7" t="str">
        <f>IFERROR(__xludf.DUMMYFUNCTION("GOOGLETRANSLATE(C2049, ""en"", ""ar"")"),"إدخال")</f>
        <v>إدخال</v>
      </c>
      <c r="E2049" s="1" t="s">
        <v>40708</v>
      </c>
      <c r="F2049" s="6" t="s">
        <v>40709</v>
      </c>
      <c r="G2049" s="7" t="str">
        <f>IFERROR(__xludf.DUMMYFUNCTION("GOOGLETRANSLATE(C2049, ""en"", ""cs"")"),"Vstup")</f>
        <v>Vstup</v>
      </c>
      <c r="H2049" s="7" t="str">
        <f>IFERROR(__xludf.DUMMYFUNCTION("GOOGLETRANSLATE(C2049, ""en"", ""da"")"),"Input.")</f>
        <v>Input.</v>
      </c>
      <c r="I2049" s="1" t="s">
        <v>40710</v>
      </c>
      <c r="J2049" s="6" t="s">
        <v>132</v>
      </c>
      <c r="K2049" s="1" t="s">
        <v>40709</v>
      </c>
      <c r="L2049" s="7" t="str">
        <f>IFERROR(__xludf.DUMMYFUNCTION("GOOGLETRANSLATE(C2049, ""en"", ""fi"")"),"Syöttää")</f>
        <v>Syöttää</v>
      </c>
      <c r="M2049" s="1" t="s">
        <v>40711</v>
      </c>
      <c r="N2049" s="6" t="s">
        <v>40709</v>
      </c>
      <c r="O2049" s="6" t="s">
        <v>132</v>
      </c>
      <c r="P2049" s="1" t="s">
        <v>40712</v>
      </c>
      <c r="Q2049" s="9" t="s">
        <v>40713</v>
      </c>
      <c r="R2049" s="1" t="s">
        <v>40707</v>
      </c>
      <c r="S2049" s="6" t="s">
        <v>132</v>
      </c>
      <c r="T2049" s="1" t="s">
        <v>40714</v>
      </c>
      <c r="U2049" s="1" t="s">
        <v>40715</v>
      </c>
      <c r="V2049" s="7" t="str">
        <f>IFERROR(__xludf.DUMMYFUNCTION("GOOGLETRANSLATE(C2049, ""en"", ""ms"")"),"Input.")</f>
        <v>Input.</v>
      </c>
      <c r="W2049" s="1" t="s">
        <v>40716</v>
      </c>
      <c r="X2049" s="7" t="str">
        <f>IFERROR(__xludf.DUMMYFUNCTION("GOOGLETRANSLATE(C2049, ""en"", ""no"")"),"Input.")</f>
        <v>Input.</v>
      </c>
      <c r="Y2049" s="1" t="s">
        <v>40717</v>
      </c>
      <c r="Z2049" s="1" t="s">
        <v>40718</v>
      </c>
      <c r="AA2049" s="7" t="str">
        <f>IFERROR(__xludf.DUMMYFUNCTION("GOOGLETRANSLATE(C2049, ""en"", ""ro"")"),"Intrare")</f>
        <v>Intrare</v>
      </c>
      <c r="AB2049" s="1" t="s">
        <v>40719</v>
      </c>
      <c r="AC2049" s="7" t="str">
        <f>IFERROR(__xludf.DUMMYFUNCTION("GOOGLETRANSLATE(C2049, ""en"", ""sk"")"),"Zaviesť")</f>
        <v>Zaviesť</v>
      </c>
      <c r="AD2049" s="6" t="s">
        <v>132</v>
      </c>
      <c r="AE2049" s="1" t="s">
        <v>40720</v>
      </c>
      <c r="AF2049" s="1" t="s">
        <v>40707</v>
      </c>
      <c r="AG2049" s="6" t="s">
        <v>132</v>
      </c>
      <c r="AH2049" s="7" t="str">
        <f>IFERROR(__xludf.DUMMYFUNCTION("GOOGLETRANSLATE(C2049, ""en"", ""tr"")"),"Giriş")</f>
        <v>Giriş</v>
      </c>
      <c r="AI2049" s="6" t="s">
        <v>40721</v>
      </c>
      <c r="AJ2049" s="6" t="s">
        <v>132</v>
      </c>
      <c r="AK2049" s="7" t="str">
        <f>IFERROR(__xludf.DUMMYFUNCTION("GOOGLETRANSLATE(C2049, ""en"", ""zh"")"),"输入")</f>
        <v>输入</v>
      </c>
      <c r="AL2049" s="6" t="s">
        <v>40722</v>
      </c>
    </row>
    <row r="2050" ht="15.75" customHeight="1">
      <c r="A2050" s="1" t="s">
        <v>127</v>
      </c>
      <c r="B2050" s="1" t="s">
        <v>40723</v>
      </c>
      <c r="C2050" s="1" t="s">
        <v>40724</v>
      </c>
      <c r="D2050" s="8" t="s">
        <v>37142</v>
      </c>
      <c r="E2050" s="1" t="s">
        <v>40725</v>
      </c>
      <c r="F2050" s="6" t="s">
        <v>132</v>
      </c>
      <c r="G2050" s="1" t="s">
        <v>40726</v>
      </c>
      <c r="H2050" s="1" t="s">
        <v>40727</v>
      </c>
      <c r="I2050" s="1" t="s">
        <v>40728</v>
      </c>
      <c r="J2050" s="6" t="s">
        <v>40729</v>
      </c>
      <c r="K2050" s="1" t="s">
        <v>40730</v>
      </c>
      <c r="L2050" s="1" t="s">
        <v>40731</v>
      </c>
      <c r="M2050" s="1" t="s">
        <v>40732</v>
      </c>
      <c r="N2050" s="6" t="s">
        <v>132</v>
      </c>
      <c r="O2050" s="6" t="s">
        <v>40733</v>
      </c>
      <c r="P2050" s="1" t="s">
        <v>40734</v>
      </c>
      <c r="Q2050" s="1" t="s">
        <v>28562</v>
      </c>
      <c r="R2050" s="1" t="s">
        <v>40735</v>
      </c>
      <c r="S2050" s="10" t="s">
        <v>37146</v>
      </c>
      <c r="T2050" s="1" t="s">
        <v>21421</v>
      </c>
      <c r="U2050" s="1" t="s">
        <v>28565</v>
      </c>
      <c r="V2050" s="1" t="s">
        <v>28562</v>
      </c>
      <c r="W2050" s="1" t="s">
        <v>40736</v>
      </c>
      <c r="X2050" s="1" t="s">
        <v>40727</v>
      </c>
      <c r="Y2050" s="1" t="s">
        <v>40737</v>
      </c>
      <c r="Z2050" s="1" t="s">
        <v>28557</v>
      </c>
      <c r="AA2050" s="7" t="str">
        <f>IFERROR(__xludf.DUMMYFUNCTION("GOOGLETRANSLATE(C2050, ""en"", ""ro"")"),"ora")</f>
        <v>ora</v>
      </c>
      <c r="AB2050" s="1" t="s">
        <v>40725</v>
      </c>
      <c r="AC2050" s="1" t="s">
        <v>40726</v>
      </c>
      <c r="AD2050" s="6" t="s">
        <v>40738</v>
      </c>
      <c r="AE2050" s="1" t="s">
        <v>40739</v>
      </c>
      <c r="AF2050" s="1" t="s">
        <v>40740</v>
      </c>
      <c r="AG2050" s="6" t="s">
        <v>28572</v>
      </c>
      <c r="AH2050" s="1" t="s">
        <v>21429</v>
      </c>
      <c r="AI2050" s="6" t="s">
        <v>132</v>
      </c>
      <c r="AJ2050" s="6" t="s">
        <v>28574</v>
      </c>
      <c r="AK2050" s="1" t="s">
        <v>28575</v>
      </c>
      <c r="AL2050" s="6" t="s">
        <v>28576</v>
      </c>
    </row>
    <row r="2051" ht="15.75" customHeight="1">
      <c r="A2051" s="1" t="s">
        <v>127</v>
      </c>
      <c r="B2051" s="1" t="s">
        <v>40741</v>
      </c>
      <c r="C2051" s="1" t="s">
        <v>40742</v>
      </c>
      <c r="D2051" s="8" t="s">
        <v>40743</v>
      </c>
      <c r="E2051" s="1" t="s">
        <v>40744</v>
      </c>
      <c r="F2051" s="6" t="s">
        <v>132</v>
      </c>
      <c r="G2051" s="1" t="s">
        <v>40745</v>
      </c>
      <c r="H2051" s="1" t="s">
        <v>40746</v>
      </c>
      <c r="I2051" s="1" t="s">
        <v>40747</v>
      </c>
      <c r="J2051" s="6" t="s">
        <v>40748</v>
      </c>
      <c r="K2051" s="1" t="s">
        <v>40749</v>
      </c>
      <c r="L2051" s="1" t="s">
        <v>40750</v>
      </c>
      <c r="M2051" s="1" t="s">
        <v>40751</v>
      </c>
      <c r="N2051" s="6" t="s">
        <v>132</v>
      </c>
      <c r="O2051" s="6" t="s">
        <v>40752</v>
      </c>
      <c r="P2051" s="1" t="s">
        <v>40753</v>
      </c>
      <c r="Q2051" s="1" t="s">
        <v>40754</v>
      </c>
      <c r="R2051" s="1" t="s">
        <v>40755</v>
      </c>
      <c r="S2051" s="10" t="s">
        <v>40756</v>
      </c>
      <c r="T2051" s="1" t="s">
        <v>40757</v>
      </c>
      <c r="U2051" s="1" t="s">
        <v>40758</v>
      </c>
      <c r="V2051" s="1" t="s">
        <v>40754</v>
      </c>
      <c r="W2051" s="1" t="s">
        <v>40759</v>
      </c>
      <c r="X2051" s="1" t="s">
        <v>40760</v>
      </c>
      <c r="Y2051" s="1" t="s">
        <v>40761</v>
      </c>
      <c r="Z2051" s="1" t="s">
        <v>40762</v>
      </c>
      <c r="AA2051" s="7" t="str">
        <f>IFERROR(__xludf.DUMMYFUNCTION("GOOGLETRANSLATE(C2051, ""en"", ""ro"")"),"Selectați portofoliul Yahoo pentru a importa")</f>
        <v>Selectați portofoliul Yahoo pentru a importa</v>
      </c>
      <c r="AB2051" s="1" t="s">
        <v>40763</v>
      </c>
      <c r="AC2051" s="1" t="s">
        <v>40764</v>
      </c>
      <c r="AD2051" s="6" t="s">
        <v>40765</v>
      </c>
      <c r="AE2051" s="1" t="s">
        <v>40766</v>
      </c>
      <c r="AF2051" s="1" t="s">
        <v>40767</v>
      </c>
      <c r="AG2051" s="6" t="s">
        <v>40768</v>
      </c>
      <c r="AH2051" s="1" t="s">
        <v>40769</v>
      </c>
      <c r="AI2051" s="6" t="s">
        <v>132</v>
      </c>
      <c r="AJ2051" s="6" t="s">
        <v>40770</v>
      </c>
      <c r="AK2051" s="1" t="s">
        <v>40771</v>
      </c>
      <c r="AL2051" s="6" t="s">
        <v>40772</v>
      </c>
    </row>
    <row r="2052" ht="15.75" customHeight="1">
      <c r="A2052" s="1" t="s">
        <v>40773</v>
      </c>
      <c r="B2052" s="1" t="s">
        <v>40774</v>
      </c>
      <c r="C2052" s="1" t="s">
        <v>40775</v>
      </c>
      <c r="D2052" s="1" t="s">
        <v>40775</v>
      </c>
      <c r="E2052" s="1" t="s">
        <v>40776</v>
      </c>
      <c r="F2052" s="6" t="s">
        <v>40777</v>
      </c>
      <c r="G2052" s="1" t="s">
        <v>40778</v>
      </c>
      <c r="H2052" s="1" t="s">
        <v>40779</v>
      </c>
      <c r="I2052" s="1" t="s">
        <v>40780</v>
      </c>
      <c r="J2052" s="6" t="s">
        <v>40781</v>
      </c>
      <c r="K2052" s="1" t="s">
        <v>40777</v>
      </c>
      <c r="L2052" s="1" t="s">
        <v>40782</v>
      </c>
      <c r="M2052" s="1" t="s">
        <v>40783</v>
      </c>
      <c r="N2052" s="10" t="s">
        <v>40784</v>
      </c>
      <c r="O2052" s="6" t="s">
        <v>132</v>
      </c>
      <c r="P2052" s="1" t="s">
        <v>40785</v>
      </c>
      <c r="Q2052" s="1" t="s">
        <v>40786</v>
      </c>
      <c r="R2052" s="1" t="s">
        <v>40787</v>
      </c>
      <c r="S2052" s="6" t="s">
        <v>132</v>
      </c>
      <c r="T2052" s="1" t="s">
        <v>40788</v>
      </c>
      <c r="U2052" s="1" t="s">
        <v>40789</v>
      </c>
      <c r="V2052" s="1" t="s">
        <v>40790</v>
      </c>
      <c r="W2052" s="1" t="s">
        <v>40791</v>
      </c>
      <c r="X2052" s="1" t="s">
        <v>40779</v>
      </c>
      <c r="Y2052" s="1" t="s">
        <v>40792</v>
      </c>
      <c r="Z2052" s="1" t="s">
        <v>40793</v>
      </c>
      <c r="AA2052" s="7" t="str">
        <f>IFERROR(__xludf.DUMMYFUNCTION("GOOGLETRANSLATE(C2052, ""en"", ""ro"")"),"Toate sursele")</f>
        <v>Toate sursele</v>
      </c>
      <c r="AB2052" s="1" t="s">
        <v>40794</v>
      </c>
      <c r="AC2052" s="1" t="s">
        <v>40795</v>
      </c>
      <c r="AD2052" s="6" t="s">
        <v>40796</v>
      </c>
      <c r="AE2052" s="1" t="s">
        <v>40797</v>
      </c>
      <c r="AF2052" s="11" t="s">
        <v>40787</v>
      </c>
      <c r="AG2052" s="6" t="s">
        <v>132</v>
      </c>
      <c r="AH2052" s="1" t="s">
        <v>40797</v>
      </c>
      <c r="AI2052" s="6" t="s">
        <v>132</v>
      </c>
      <c r="AJ2052" s="6" t="s">
        <v>132</v>
      </c>
      <c r="AK2052" s="14" t="s">
        <v>40798</v>
      </c>
      <c r="AL2052" s="6" t="s">
        <v>132</v>
      </c>
    </row>
    <row r="2053" ht="15.75" hidden="1" customHeight="1">
      <c r="A2053" s="1" t="s">
        <v>38</v>
      </c>
      <c r="B2053" s="1" t="s">
        <v>40799</v>
      </c>
      <c r="C2053" s="1" t="s">
        <v>40800</v>
      </c>
      <c r="D2053" s="8" t="s">
        <v>40801</v>
      </c>
      <c r="E2053" s="1" t="s">
        <v>40802</v>
      </c>
      <c r="F2053" s="6" t="s">
        <v>40803</v>
      </c>
      <c r="G2053" s="7" t="str">
        <f>IFERROR(__xludf.DUMMYFUNCTION("GOOGLETRANSLATE(C2053, ""en"", ""cs"")"),"Žádná další historie na serveru")</f>
        <v>Žádná další historie na serveru</v>
      </c>
      <c r="H2053" s="7" t="str">
        <f>IFERROR(__xludf.DUMMYFUNCTION("GOOGLETRANSLATE(C2053, ""en"", ""da"")"),"Ikke mere historie på serveren")</f>
        <v>Ikke mere historie på serveren</v>
      </c>
      <c r="I2053" s="1" t="s">
        <v>40804</v>
      </c>
      <c r="J2053" s="6" t="s">
        <v>132</v>
      </c>
      <c r="K2053" s="1" t="s">
        <v>40805</v>
      </c>
      <c r="L2053" s="7" t="str">
        <f>IFERROR(__xludf.DUMMYFUNCTION("GOOGLETRANSLATE(C2053, ""en"", ""fi"")"),"Ei enää historia palvelimessa")</f>
        <v>Ei enää historia palvelimessa</v>
      </c>
      <c r="M2053" s="1" t="s">
        <v>40806</v>
      </c>
      <c r="N2053" s="6" t="s">
        <v>40807</v>
      </c>
      <c r="O2053" s="6" t="s">
        <v>132</v>
      </c>
      <c r="P2053" s="1" t="s">
        <v>40808</v>
      </c>
      <c r="Q2053" s="9" t="s">
        <v>40809</v>
      </c>
      <c r="R2053" s="1" t="s">
        <v>40810</v>
      </c>
      <c r="S2053" s="6" t="s">
        <v>132</v>
      </c>
      <c r="T2053" s="1" t="s">
        <v>40811</v>
      </c>
      <c r="U2053" s="1" t="s">
        <v>40812</v>
      </c>
      <c r="V2053" s="7" t="str">
        <f>IFERROR(__xludf.DUMMYFUNCTION("GOOGLETRANSLATE(C2053, ""en"", ""ms"")"),"Tiada lagi sejarah pada pelayan")</f>
        <v>Tiada lagi sejarah pada pelayan</v>
      </c>
      <c r="W2053" s="1" t="s">
        <v>40813</v>
      </c>
      <c r="X2053" s="7" t="str">
        <f>IFERROR(__xludf.DUMMYFUNCTION("GOOGLETRANSLATE(C2053, ""en"", ""no"")"),"Ikke mer historie på serveren")</f>
        <v>Ikke mer historie på serveren</v>
      </c>
      <c r="Y2053" s="1" t="s">
        <v>40814</v>
      </c>
      <c r="Z2053" s="1" t="s">
        <v>40815</v>
      </c>
      <c r="AA2053" s="7" t="str">
        <f>IFERROR(__xludf.DUMMYFUNCTION("GOOGLETRANSLATE(C2053, ""en"", ""ro"")"),"Nu mai este o istorie pe server")</f>
        <v>Nu mai este o istorie pe server</v>
      </c>
      <c r="AB2053" s="1" t="s">
        <v>40816</v>
      </c>
      <c r="AC2053" s="1" t="s">
        <v>40817</v>
      </c>
      <c r="AD2053" s="6" t="s">
        <v>132</v>
      </c>
      <c r="AE2053" s="1" t="s">
        <v>40818</v>
      </c>
      <c r="AF2053" s="1" t="s">
        <v>40819</v>
      </c>
      <c r="AG2053" s="6" t="s">
        <v>132</v>
      </c>
      <c r="AH2053" s="7" t="str">
        <f>IFERROR(__xludf.DUMMYFUNCTION("GOOGLETRANSLATE(C2053, ""en"", ""tr"")"),"Sunucuda artık tarih yok")</f>
        <v>Sunucuda artık tarih yok</v>
      </c>
      <c r="AI2053" s="6" t="s">
        <v>40820</v>
      </c>
      <c r="AJ2053" s="6" t="s">
        <v>40821</v>
      </c>
      <c r="AK2053" s="7" t="str">
        <f>IFERROR(__xludf.DUMMYFUNCTION("GOOGLETRANSLATE(C2053, ""en"", ""zh"")"),"服务器上没有更多的历史")</f>
        <v>服务器上没有更多的历史</v>
      </c>
      <c r="AL2053" s="6" t="s">
        <v>40822</v>
      </c>
    </row>
    <row r="2054" ht="15.75" customHeight="1">
      <c r="A2054" s="1" t="s">
        <v>127</v>
      </c>
      <c r="B2054" s="1" t="s">
        <v>40823</v>
      </c>
      <c r="C2054" s="1" t="s">
        <v>40824</v>
      </c>
      <c r="D2054" s="8" t="s">
        <v>40825</v>
      </c>
      <c r="E2054" s="1" t="s">
        <v>40826</v>
      </c>
      <c r="F2054" s="6" t="s">
        <v>132</v>
      </c>
      <c r="G2054" s="1" t="s">
        <v>40827</v>
      </c>
      <c r="H2054" s="1" t="s">
        <v>40824</v>
      </c>
      <c r="I2054" s="1" t="s">
        <v>40828</v>
      </c>
      <c r="J2054" s="6" t="s">
        <v>40829</v>
      </c>
      <c r="K2054" s="1" t="s">
        <v>40830</v>
      </c>
      <c r="L2054" s="1" t="s">
        <v>40831</v>
      </c>
      <c r="M2054" s="1" t="s">
        <v>40832</v>
      </c>
      <c r="N2054" s="6" t="s">
        <v>132</v>
      </c>
      <c r="O2054" s="6" t="s">
        <v>40833</v>
      </c>
      <c r="P2054" s="1" t="s">
        <v>40834</v>
      </c>
      <c r="Q2054" s="1" t="s">
        <v>40835</v>
      </c>
      <c r="R2054" s="1" t="s">
        <v>40824</v>
      </c>
      <c r="S2054" s="10" t="s">
        <v>40836</v>
      </c>
      <c r="T2054" s="1" t="s">
        <v>40837</v>
      </c>
      <c r="U2054" s="1" t="s">
        <v>40838</v>
      </c>
      <c r="V2054" s="1" t="s">
        <v>40839</v>
      </c>
      <c r="W2054" s="1" t="s">
        <v>40824</v>
      </c>
      <c r="X2054" s="1" t="s">
        <v>40840</v>
      </c>
      <c r="Y2054" s="1" t="s">
        <v>40841</v>
      </c>
      <c r="Z2054" s="1" t="s">
        <v>40842</v>
      </c>
      <c r="AA2054" s="7" t="str">
        <f>IFERROR(__xludf.DUMMYFUNCTION("GOOGLETRANSLATE(C2054, ""en"", ""ro"")"),"Porniți aplicația")</f>
        <v>Porniți aplicația</v>
      </c>
      <c r="AB2054" s="1" t="s">
        <v>40843</v>
      </c>
      <c r="AC2054" s="1" t="s">
        <v>40844</v>
      </c>
      <c r="AD2054" s="6" t="s">
        <v>40845</v>
      </c>
      <c r="AE2054" s="1" t="s">
        <v>40846</v>
      </c>
      <c r="AF2054" s="1" t="s">
        <v>40847</v>
      </c>
      <c r="AG2054" s="6" t="s">
        <v>40848</v>
      </c>
      <c r="AH2054" s="1" t="s">
        <v>40849</v>
      </c>
      <c r="AI2054" s="6" t="s">
        <v>132</v>
      </c>
      <c r="AJ2054" s="6" t="s">
        <v>40850</v>
      </c>
      <c r="AK2054" s="1" t="s">
        <v>40851</v>
      </c>
      <c r="AL2054" s="6" t="s">
        <v>132</v>
      </c>
    </row>
    <row r="2055" ht="15.75" customHeight="1">
      <c r="A2055" s="1" t="s">
        <v>127</v>
      </c>
      <c r="B2055" s="1" t="s">
        <v>40852</v>
      </c>
      <c r="C2055" s="1" t="s">
        <v>4396</v>
      </c>
      <c r="D2055" s="8" t="s">
        <v>24202</v>
      </c>
      <c r="E2055" s="1" t="s">
        <v>36860</v>
      </c>
      <c r="F2055" s="6" t="s">
        <v>132</v>
      </c>
      <c r="G2055" s="1" t="s">
        <v>4396</v>
      </c>
      <c r="H2055" s="1" t="s">
        <v>40853</v>
      </c>
      <c r="I2055" s="1" t="s">
        <v>4396</v>
      </c>
      <c r="J2055" s="6" t="s">
        <v>40854</v>
      </c>
      <c r="K2055" s="1" t="s">
        <v>4396</v>
      </c>
      <c r="L2055" s="1" t="s">
        <v>4396</v>
      </c>
      <c r="M2055" s="1" t="s">
        <v>4396</v>
      </c>
      <c r="N2055" s="6" t="s">
        <v>132</v>
      </c>
      <c r="O2055" s="6" t="s">
        <v>40855</v>
      </c>
      <c r="P2055" s="1" t="s">
        <v>4396</v>
      </c>
      <c r="Q2055" s="1" t="s">
        <v>4396</v>
      </c>
      <c r="R2055" s="1" t="s">
        <v>4396</v>
      </c>
      <c r="S2055" s="10" t="s">
        <v>40856</v>
      </c>
      <c r="T2055" s="1" t="s">
        <v>4396</v>
      </c>
      <c r="U2055" s="1" t="s">
        <v>24889</v>
      </c>
      <c r="V2055" s="1" t="s">
        <v>4396</v>
      </c>
      <c r="W2055" s="1" t="s">
        <v>40857</v>
      </c>
      <c r="X2055" s="1" t="s">
        <v>4396</v>
      </c>
      <c r="Y2055" s="1" t="s">
        <v>4396</v>
      </c>
      <c r="Z2055" s="1" t="s">
        <v>4396</v>
      </c>
      <c r="AA2055" s="7" t="str">
        <f>IFERROR(__xludf.DUMMYFUNCTION("GOOGLETRANSLATE(C2055, ""en"", ""ro"")"),"O.K")</f>
        <v>O.K</v>
      </c>
      <c r="AB2055" s="1" t="s">
        <v>36866</v>
      </c>
      <c r="AC2055" s="1" t="s">
        <v>4396</v>
      </c>
      <c r="AD2055" s="6" t="s">
        <v>40858</v>
      </c>
      <c r="AE2055" s="1" t="s">
        <v>4396</v>
      </c>
      <c r="AF2055" s="1" t="s">
        <v>4396</v>
      </c>
      <c r="AG2055" s="6" t="s">
        <v>40859</v>
      </c>
      <c r="AH2055" s="1" t="s">
        <v>25958</v>
      </c>
      <c r="AI2055" s="6" t="s">
        <v>132</v>
      </c>
      <c r="AJ2055" s="6" t="s">
        <v>4396</v>
      </c>
      <c r="AK2055" s="1" t="s">
        <v>40860</v>
      </c>
      <c r="AL2055" s="6" t="s">
        <v>40861</v>
      </c>
    </row>
    <row r="2056" ht="15.75" hidden="1" customHeight="1">
      <c r="A2056" s="1" t="s">
        <v>38</v>
      </c>
      <c r="B2056" s="1" t="s">
        <v>40862</v>
      </c>
      <c r="C2056" s="1" t="s">
        <v>40863</v>
      </c>
      <c r="D2056" s="7" t="str">
        <f>IFERROR(__xludf.DUMMYFUNCTION("GOOGLETRANSLATE(C2056, ""en"", ""ar"")"),"جبل طارق")</f>
        <v>جبل طارق</v>
      </c>
      <c r="E2056" s="7" t="str">
        <f>IFERROR(__xludf.DUMMYFUNCTION("GOOGLETRANSLATE(C2056, ""en"", ""bg"")"),"Гибралтар")</f>
        <v>Гибралтар</v>
      </c>
      <c r="F2056" s="6" t="s">
        <v>132</v>
      </c>
      <c r="G2056" s="7" t="str">
        <f>IFERROR(__xludf.DUMMYFUNCTION("GOOGLETRANSLATE(C2056, ""en"", ""cs"")"),"Gibraltar")</f>
        <v>Gibraltar</v>
      </c>
      <c r="H2056" s="7" t="str">
        <f>IFERROR(__xludf.DUMMYFUNCTION("GOOGLETRANSLATE(C2056, ""en"", ""da"")"),"Gibraltar.")</f>
        <v>Gibraltar.</v>
      </c>
      <c r="I2056" s="1" t="s">
        <v>40863</v>
      </c>
      <c r="J2056" s="6" t="s">
        <v>132</v>
      </c>
      <c r="K2056" s="1" t="s">
        <v>40863</v>
      </c>
      <c r="L2056" s="7" t="str">
        <f>IFERROR(__xludf.DUMMYFUNCTION("GOOGLETRANSLATE(C2056, ""en"", ""fi"")"),"Gibraltar")</f>
        <v>Gibraltar</v>
      </c>
      <c r="M2056" s="1" t="s">
        <v>40863</v>
      </c>
      <c r="N2056" s="6" t="s">
        <v>132</v>
      </c>
      <c r="O2056" s="6" t="s">
        <v>132</v>
      </c>
      <c r="P2056" s="1" t="s">
        <v>40863</v>
      </c>
      <c r="Q2056" s="7" t="str">
        <f>IFERROR(__xludf.DUMMYFUNCTION("GOOGLETRANSLATE(C2056, ""en"", ""in"")"),"Gibraltar.")</f>
        <v>Gibraltar.</v>
      </c>
      <c r="R2056" s="7" t="str">
        <f>IFERROR(__xludf.DUMMYFUNCTION("GOOGLETRANSLATE(C2056, ""en"", ""it"")"),"Gibilterra")</f>
        <v>Gibilterra</v>
      </c>
      <c r="S2056" s="6" t="s">
        <v>132</v>
      </c>
      <c r="T2056" s="7" t="str">
        <f>IFERROR(__xludf.DUMMYFUNCTION("GOOGLETRANSLATE(C2056, ""en"", ""ja"")"),"ジブラルタール")</f>
        <v>ジブラルタール</v>
      </c>
      <c r="U2056" s="7" t="str">
        <f>IFERROR(__xludf.DUMMYFUNCTION("GOOGLETRANSLATE(C2056, ""en"", ""ko"")"),"지브롤터")</f>
        <v>지브롤터</v>
      </c>
      <c r="V2056" s="7" t="str">
        <f>IFERROR(__xludf.DUMMYFUNCTION("GOOGLETRANSLATE(C2056, ""en"", ""ms"")"),"Gibraltar.")</f>
        <v>Gibraltar.</v>
      </c>
      <c r="W2056" s="7" t="str">
        <f>IFERROR(__xludf.DUMMYFUNCTION("GOOGLETRANSLATE(C2056, ""en"", ""nl"")"),"Gibraltar")</f>
        <v>Gibraltar</v>
      </c>
      <c r="X2056" s="7" t="str">
        <f>IFERROR(__xludf.DUMMYFUNCTION("GOOGLETRANSLATE(C2056, ""en"", ""no"")"),"Gibraltar.")</f>
        <v>Gibraltar.</v>
      </c>
      <c r="Y2056" s="7" t="str">
        <f>IFERROR(__xludf.DUMMYFUNCTION("GOOGLETRANSLATE(C2056, ""en"", ""pl"")"),"Gibraltar.")</f>
        <v>Gibraltar.</v>
      </c>
      <c r="Z2056" s="7" t="str">
        <f>IFERROR(__xludf.DUMMYFUNCTION("GOOGLETRANSLATE(C2056, ""en"", ""pt"")"),"Gibraltar")</f>
        <v>Gibraltar</v>
      </c>
      <c r="AA2056" s="7" t="str">
        <f>IFERROR(__xludf.DUMMYFUNCTION("GOOGLETRANSLATE(C2056, ""en"", ""ro"")"),"Gibraltar.")</f>
        <v>Gibraltar.</v>
      </c>
      <c r="AB2056" s="1" t="s">
        <v>40864</v>
      </c>
      <c r="AC2056" s="7" t="str">
        <f>IFERROR(__xludf.DUMMYFUNCTION("GOOGLETRANSLATE(C2056, ""en"", ""sk"")"),"Gibraltár")</f>
        <v>Gibraltár</v>
      </c>
      <c r="AD2056" s="6" t="s">
        <v>132</v>
      </c>
      <c r="AE2056" s="1" t="s">
        <v>40863</v>
      </c>
      <c r="AF2056" s="7" t="str">
        <f>IFERROR(__xludf.DUMMYFUNCTION("GOOGLETRANSLATE(C2056, ""en"", ""sv"")"),"Gibraltar")</f>
        <v>Gibraltar</v>
      </c>
      <c r="AG2056" s="6" t="s">
        <v>132</v>
      </c>
      <c r="AH2056" s="7" t="str">
        <f>IFERROR(__xludf.DUMMYFUNCTION("GOOGLETRANSLATE(C2056, ""en"", ""tr"")"),"Cebelitarık")</f>
        <v>Cebelitarık</v>
      </c>
      <c r="AI2056" s="6" t="s">
        <v>132</v>
      </c>
      <c r="AJ2056" s="6" t="s">
        <v>132</v>
      </c>
      <c r="AK2056" s="7" t="str">
        <f>IFERROR(__xludf.DUMMYFUNCTION("GOOGLETRANSLATE(C2056, ""en"", ""zh"")"),"直布罗陀")</f>
        <v>直布罗陀</v>
      </c>
      <c r="AL2056" s="6" t="s">
        <v>132</v>
      </c>
    </row>
    <row r="2057" ht="15.75" hidden="1" customHeight="1">
      <c r="A2057" s="1" t="s">
        <v>38</v>
      </c>
      <c r="B2057" s="1" t="s">
        <v>40865</v>
      </c>
      <c r="C2057" s="1" t="s">
        <v>40866</v>
      </c>
      <c r="D2057" s="7" t="str">
        <f>IFERROR(__xludf.DUMMYFUNCTION("GOOGLETRANSLATE(C2057, ""en"", ""ar"")"),"قبول اسم خادم عدم تطابق؟")</f>
        <v>قبول اسم خادم عدم تطابق؟</v>
      </c>
      <c r="E2057" s="1" t="s">
        <v>40867</v>
      </c>
      <c r="F2057" s="6" t="s">
        <v>40868</v>
      </c>
      <c r="G2057" s="7" t="str">
        <f>IFERROR(__xludf.DUMMYFUNCTION("GOOGLETRANSLATE(C2057, ""en"", ""cs"")"),"Přijměte název neshody?")</f>
        <v>Přijměte název neshody?</v>
      </c>
      <c r="H2057" s="7" t="str">
        <f>IFERROR(__xludf.DUMMYFUNCTION("GOOGLETRANSLATE(C2057, ""en"", ""da"")"),"Accepter mismatching servernavn?")</f>
        <v>Accepter mismatching servernavn?</v>
      </c>
      <c r="I2057" s="1" t="s">
        <v>40869</v>
      </c>
      <c r="J2057" s="6" t="s">
        <v>132</v>
      </c>
      <c r="K2057" s="1" t="s">
        <v>40870</v>
      </c>
      <c r="L2057" s="7" t="str">
        <f>IFERROR(__xludf.DUMMYFUNCTION("GOOGLETRANSLATE(C2057, ""en"", ""fi"")"),"Hyväksy yhteensopimattomuus palvelimen nimi?")</f>
        <v>Hyväksy yhteensopimattomuus palvelimen nimi?</v>
      </c>
      <c r="M2057" s="1" t="s">
        <v>40871</v>
      </c>
      <c r="N2057" s="6" t="s">
        <v>40872</v>
      </c>
      <c r="O2057" s="6" t="s">
        <v>132</v>
      </c>
      <c r="P2057" s="1" t="s">
        <v>40873</v>
      </c>
      <c r="Q2057" s="7" t="str">
        <f>IFERROR(__xludf.DUMMYFUNCTION("GOOGLETRANSLATE(C2057, ""en"", ""in"")"),"Terima nama server ketidakcocokan?")</f>
        <v>Terima nama server ketidakcocokan?</v>
      </c>
      <c r="R2057" s="1" t="s">
        <v>40874</v>
      </c>
      <c r="S2057" s="6" t="s">
        <v>132</v>
      </c>
      <c r="T2057" s="7" t="str">
        <f>IFERROR(__xludf.DUMMYFUNCTION("GOOGLETRANSLATE(C2057, ""en"", ""ja"")"),"サーバー名の不一致を受け入れますか？")</f>
        <v>サーバー名の不一致を受け入れますか？</v>
      </c>
      <c r="U2057" s="7" t="str">
        <f>IFERROR(__xludf.DUMMYFUNCTION("GOOGLETRANSLATE(C2057, ""en"", ""ko"")"),"잘못된 서버 이름을 수락합니까?")</f>
        <v>잘못된 서버 이름을 수락합니까?</v>
      </c>
      <c r="V2057" s="7" t="str">
        <f>IFERROR(__xludf.DUMMYFUNCTION("GOOGLETRANSLATE(C2057, ""en"", ""ms"")"),"Terima Nama Server Mismatching?")</f>
        <v>Terima Nama Server Mismatching?</v>
      </c>
      <c r="W2057" s="1" t="s">
        <v>40875</v>
      </c>
      <c r="X2057" s="7" t="str">
        <f>IFERROR(__xludf.DUMMYFUNCTION("GOOGLETRANSLATE(C2057, ""en"", ""no"")"),"Godta mismatching servernavn?")</f>
        <v>Godta mismatching servernavn?</v>
      </c>
      <c r="Y2057" s="1" t="s">
        <v>40876</v>
      </c>
      <c r="Z2057" s="7" t="str">
        <f>IFERROR(__xludf.DUMMYFUNCTION("GOOGLETRANSLATE(C2057, ""en"", ""pt"")"),"Aceite o nome do servidor de incompatibilidade?")</f>
        <v>Aceite o nome do servidor de incompatibilidade?</v>
      </c>
      <c r="AA2057" s="7" t="str">
        <f>IFERROR(__xludf.DUMMYFUNCTION("GOOGLETRANSLATE(C2057, ""en"", ""ro"")"),"Acceptați numele serverului de nepotrivire?")</f>
        <v>Acceptați numele serverului de nepotrivire?</v>
      </c>
      <c r="AB2057" s="7" t="str">
        <f>IFERROR(__xludf.DUMMYFUNCTION("GOOGLETRANSLATE(C2057, ""en"", ""ru"")"),"Примите несоответствие имени сервера?")</f>
        <v>Примите несоответствие имени сервера?</v>
      </c>
      <c r="AC2057" s="7" t="str">
        <f>IFERROR(__xludf.DUMMYFUNCTION("GOOGLETRANSLATE(C2057, ""en"", ""sk"")"),"Prijímať nesúhlasný názov servera?")</f>
        <v>Prijímať nesúhlasný názov servera?</v>
      </c>
      <c r="AD2057" s="6" t="s">
        <v>132</v>
      </c>
      <c r="AE2057" s="7" t="str">
        <f>IFERROR(__xludf.DUMMYFUNCTION("GOOGLETRANSLATE(C2057, ""en"", ""sr"")"),"Прихватите имена сервера неусклађености?")</f>
        <v>Прихватите имена сервера неусклађености?</v>
      </c>
      <c r="AF2057" s="7" t="str">
        <f>IFERROR(__xludf.DUMMYFUNCTION("GOOGLETRANSLATE(C2057, ""en"", ""sv"")"),"Acceptera mismatching servernamn?")</f>
        <v>Acceptera mismatching servernamn?</v>
      </c>
      <c r="AG2057" s="6" t="s">
        <v>132</v>
      </c>
      <c r="AH2057" s="7" t="str">
        <f>IFERROR(__xludf.DUMMYFUNCTION("GOOGLETRANSLATE(C2057, ""en"", ""tr"")"),"Uyumsuz Sunucu Adı Kabul Et?")</f>
        <v>Uyumsuz Sunucu Adı Kabul Et?</v>
      </c>
      <c r="AI2057" s="6" t="s">
        <v>132</v>
      </c>
      <c r="AJ2057" s="6" t="s">
        <v>132</v>
      </c>
      <c r="AK2057" s="7" t="str">
        <f>IFERROR(__xludf.DUMMYFUNCTION("GOOGLETRANSLATE(C2057, ""en"", ""zh"")"),"接受不匹配的服务器名称？")</f>
        <v>接受不匹配的服务器名称？</v>
      </c>
      <c r="AL2057" s="6" t="s">
        <v>132</v>
      </c>
    </row>
    <row r="2058" ht="15.75" customHeight="1">
      <c r="A2058" s="1" t="s">
        <v>127</v>
      </c>
      <c r="B2058" s="1" t="s">
        <v>40877</v>
      </c>
      <c r="C2058" s="1" t="s">
        <v>40878</v>
      </c>
      <c r="D2058" s="8" t="s">
        <v>40879</v>
      </c>
      <c r="E2058" s="1" t="s">
        <v>40880</v>
      </c>
      <c r="F2058" s="6" t="s">
        <v>132</v>
      </c>
      <c r="G2058" s="1" t="s">
        <v>40881</v>
      </c>
      <c r="H2058" s="1" t="s">
        <v>40882</v>
      </c>
      <c r="I2058" s="1" t="s">
        <v>40878</v>
      </c>
      <c r="J2058" s="6" t="s">
        <v>40883</v>
      </c>
      <c r="K2058" s="1" t="s">
        <v>40878</v>
      </c>
      <c r="L2058" s="1" t="s">
        <v>40884</v>
      </c>
      <c r="M2058" s="1" t="s">
        <v>40885</v>
      </c>
      <c r="N2058" s="6" t="s">
        <v>132</v>
      </c>
      <c r="O2058" s="6" t="s">
        <v>40886</v>
      </c>
      <c r="P2058" s="1" t="s">
        <v>40878</v>
      </c>
      <c r="Q2058" s="1" t="s">
        <v>40878</v>
      </c>
      <c r="R2058" s="1" t="s">
        <v>40878</v>
      </c>
      <c r="S2058" s="10" t="s">
        <v>40887</v>
      </c>
      <c r="T2058" s="1" t="s">
        <v>40888</v>
      </c>
      <c r="U2058" s="1" t="s">
        <v>40889</v>
      </c>
      <c r="V2058" s="1" t="s">
        <v>40878</v>
      </c>
      <c r="W2058" s="1" t="s">
        <v>40878</v>
      </c>
      <c r="X2058" s="1" t="s">
        <v>40882</v>
      </c>
      <c r="Y2058" s="1" t="s">
        <v>40890</v>
      </c>
      <c r="Z2058" s="1" t="s">
        <v>40878</v>
      </c>
      <c r="AA2058" s="7" t="str">
        <f>IFERROR(__xludf.DUMMYFUNCTION("GOOGLETRANSLATE(C2058, ""en"", ""ro"")"),"Liniar")</f>
        <v>Liniar</v>
      </c>
      <c r="AB2058" s="1" t="s">
        <v>40891</v>
      </c>
      <c r="AC2058" s="1" t="s">
        <v>40892</v>
      </c>
      <c r="AD2058" s="6" t="s">
        <v>40893</v>
      </c>
      <c r="AE2058" s="1" t="s">
        <v>40894</v>
      </c>
      <c r="AF2058" s="1" t="s">
        <v>40895</v>
      </c>
      <c r="AG2058" s="6" t="s">
        <v>40896</v>
      </c>
      <c r="AH2058" s="1" t="s">
        <v>40897</v>
      </c>
      <c r="AI2058" s="6" t="s">
        <v>132</v>
      </c>
      <c r="AJ2058" s="6" t="s">
        <v>40898</v>
      </c>
      <c r="AK2058" s="1" t="s">
        <v>40899</v>
      </c>
      <c r="AL2058" s="6" t="s">
        <v>40900</v>
      </c>
    </row>
    <row r="2059" ht="15.75" hidden="1" customHeight="1">
      <c r="A2059" s="1" t="s">
        <v>38</v>
      </c>
      <c r="B2059" s="1" t="s">
        <v>40901</v>
      </c>
      <c r="C2059" s="1" t="s">
        <v>40901</v>
      </c>
      <c r="D2059" s="7" t="str">
        <f>IFERROR(__xludf.DUMMYFUNCTION("GOOGLETRANSLATE(C2059, ""en"", ""ar"")"),"عودة")</f>
        <v>عودة</v>
      </c>
      <c r="E2059" s="1" t="s">
        <v>31463</v>
      </c>
      <c r="F2059" s="6" t="s">
        <v>132</v>
      </c>
      <c r="G2059" s="7" t="str">
        <f>IFERROR(__xludf.DUMMYFUNCTION("GOOGLETRANSLATE(C2059, ""en"", ""cs"")"),"zadní")</f>
        <v>zadní</v>
      </c>
      <c r="H2059" s="7" t="str">
        <f>IFERROR(__xludf.DUMMYFUNCTION("GOOGLETRANSLATE(C2059, ""en"", ""da"")"),"tilbage")</f>
        <v>tilbage</v>
      </c>
      <c r="I2059" s="1" t="s">
        <v>40902</v>
      </c>
      <c r="J2059" s="6" t="s">
        <v>132</v>
      </c>
      <c r="K2059" s="1" t="s">
        <v>31461</v>
      </c>
      <c r="L2059" s="7" t="str">
        <f>IFERROR(__xludf.DUMMYFUNCTION("GOOGLETRANSLATE(C2059, ""en"", ""fi"")"),"takaisin")</f>
        <v>takaisin</v>
      </c>
      <c r="M2059" s="7" t="str">
        <f>IFERROR(__xludf.DUMMYFUNCTION("GOOGLETRANSLATE(C2059, ""en"", ""fr"")"),"dos")</f>
        <v>dos</v>
      </c>
      <c r="N2059" s="6" t="s">
        <v>31461</v>
      </c>
      <c r="O2059" s="6" t="s">
        <v>132</v>
      </c>
      <c r="P2059" s="1" t="s">
        <v>40903</v>
      </c>
      <c r="Q2059" s="7" t="str">
        <f>IFERROR(__xludf.DUMMYFUNCTION("GOOGLETRANSLATE(C2059, ""en"", ""in"")"),"kembali")</f>
        <v>kembali</v>
      </c>
      <c r="R2059" s="1" t="s">
        <v>40904</v>
      </c>
      <c r="S2059" s="6" t="s">
        <v>132</v>
      </c>
      <c r="T2059" s="7" t="str">
        <f>IFERROR(__xludf.DUMMYFUNCTION("GOOGLETRANSLATE(C2059, ""en"", ""ja"")"),"バック")</f>
        <v>バック</v>
      </c>
      <c r="U2059" s="7" t="str">
        <f>IFERROR(__xludf.DUMMYFUNCTION("GOOGLETRANSLATE(C2059, ""en"", ""ko"")"),"뒤")</f>
        <v>뒤</v>
      </c>
      <c r="V2059" s="7" t="str">
        <f>IFERROR(__xludf.DUMMYFUNCTION("GOOGLETRANSLATE(C2059, ""en"", ""ms"")"),"BACK")</f>
        <v>BACK</v>
      </c>
      <c r="W2059" s="1" t="s">
        <v>40905</v>
      </c>
      <c r="X2059" s="7" t="str">
        <f>IFERROR(__xludf.DUMMYFUNCTION("GOOGLETRANSLATE(C2059, ""en"", ""no"")"),"tilbake")</f>
        <v>tilbake</v>
      </c>
      <c r="Y2059" s="1" t="s">
        <v>40906</v>
      </c>
      <c r="Z2059" s="7" t="str">
        <f>IFERROR(__xludf.DUMMYFUNCTION("GOOGLETRANSLATE(C2059, ""en"", ""pt"")"),"voltar")</f>
        <v>voltar</v>
      </c>
      <c r="AA2059" s="7" t="str">
        <f>IFERROR(__xludf.DUMMYFUNCTION("GOOGLETRANSLATE(C2059, ""en"", ""ro"")"),"înapoi")</f>
        <v>înapoi</v>
      </c>
      <c r="AB2059" s="7" t="str">
        <f>IFERROR(__xludf.DUMMYFUNCTION("GOOGLETRANSLATE(C2059, ""en"", ""ru"")"),"назад")</f>
        <v>назад</v>
      </c>
      <c r="AC2059" s="7" t="str">
        <f>IFERROR(__xludf.DUMMYFUNCTION("GOOGLETRANSLATE(C2059, ""en"", ""sk"")"),"späť")</f>
        <v>späť</v>
      </c>
      <c r="AD2059" s="6" t="s">
        <v>132</v>
      </c>
      <c r="AE2059" s="7" t="str">
        <f>IFERROR(__xludf.DUMMYFUNCTION("GOOGLETRANSLATE(C2059, ""en"", ""sr"")"),"назад")</f>
        <v>назад</v>
      </c>
      <c r="AF2059" s="7" t="str">
        <f>IFERROR(__xludf.DUMMYFUNCTION("GOOGLETRANSLATE(C2059, ""en"", ""sv"")"),"tillbaka")</f>
        <v>tillbaka</v>
      </c>
      <c r="AG2059" s="6" t="s">
        <v>132</v>
      </c>
      <c r="AH2059" s="7" t="str">
        <f>IFERROR(__xludf.DUMMYFUNCTION("GOOGLETRANSLATE(C2059, ""en"", ""tr"")"),"geri")</f>
        <v>geri</v>
      </c>
      <c r="AI2059" s="6" t="s">
        <v>132</v>
      </c>
      <c r="AJ2059" s="6" t="s">
        <v>132</v>
      </c>
      <c r="AK2059" s="7" t="str">
        <f>IFERROR(__xludf.DUMMYFUNCTION("GOOGLETRANSLATE(C2059, ""en"", ""zh"")"),"背部")</f>
        <v>背部</v>
      </c>
      <c r="AL2059" s="6" t="s">
        <v>132</v>
      </c>
    </row>
    <row r="2060" ht="15.75" customHeight="1">
      <c r="A2060" s="1" t="s">
        <v>127</v>
      </c>
      <c r="B2060" s="1" t="s">
        <v>40907</v>
      </c>
      <c r="C2060" s="1" t="s">
        <v>30046</v>
      </c>
      <c r="D2060" s="8" t="s">
        <v>40908</v>
      </c>
      <c r="E2060" s="1" t="s">
        <v>24730</v>
      </c>
      <c r="F2060" s="6" t="s">
        <v>132</v>
      </c>
      <c r="G2060" s="1" t="s">
        <v>24750</v>
      </c>
      <c r="H2060" s="1" t="s">
        <v>30048</v>
      </c>
      <c r="I2060" s="1" t="s">
        <v>30048</v>
      </c>
      <c r="J2060" s="6" t="s">
        <v>30049</v>
      </c>
      <c r="K2060" s="1" t="s">
        <v>30050</v>
      </c>
      <c r="L2060" s="1" t="s">
        <v>30051</v>
      </c>
      <c r="M2060" s="1" t="s">
        <v>30052</v>
      </c>
      <c r="N2060" s="6" t="s">
        <v>132</v>
      </c>
      <c r="O2060" s="6" t="s">
        <v>30053</v>
      </c>
      <c r="P2060" s="1" t="s">
        <v>30054</v>
      </c>
      <c r="Q2060" s="1" t="s">
        <v>24740</v>
      </c>
      <c r="R2060" s="1" t="s">
        <v>40909</v>
      </c>
      <c r="S2060" s="10" t="s">
        <v>30056</v>
      </c>
      <c r="T2060" s="1" t="s">
        <v>24743</v>
      </c>
      <c r="U2060" s="1" t="s">
        <v>24744</v>
      </c>
      <c r="V2060" s="1" t="s">
        <v>24740</v>
      </c>
      <c r="W2060" s="1" t="s">
        <v>30057</v>
      </c>
      <c r="X2060" s="1" t="s">
        <v>30058</v>
      </c>
      <c r="Y2060" s="1" t="s">
        <v>24747</v>
      </c>
      <c r="Z2060" s="1" t="s">
        <v>30059</v>
      </c>
      <c r="AA2060" s="7" t="str">
        <f>IFERROR(__xludf.DUMMYFUNCTION("GOOGLETRANSLATE(C2060, ""en"", ""ro"")"),"Stoc")</f>
        <v>Stoc</v>
      </c>
      <c r="AB2060" s="1" t="s">
        <v>30061</v>
      </c>
      <c r="AC2060" s="1" t="s">
        <v>30062</v>
      </c>
      <c r="AD2060" s="6" t="s">
        <v>30063</v>
      </c>
      <c r="AE2060" s="1" t="s">
        <v>30064</v>
      </c>
      <c r="AF2060" s="1" t="s">
        <v>30048</v>
      </c>
      <c r="AG2060" s="6" t="s">
        <v>24753</v>
      </c>
      <c r="AH2060" s="1" t="s">
        <v>40910</v>
      </c>
      <c r="AI2060" s="6" t="s">
        <v>132</v>
      </c>
      <c r="AJ2060" s="6" t="s">
        <v>24755</v>
      </c>
      <c r="AK2060" s="1" t="s">
        <v>26449</v>
      </c>
      <c r="AL2060" s="6" t="s">
        <v>26450</v>
      </c>
    </row>
    <row r="2061" ht="15.75" customHeight="1">
      <c r="A2061" s="1" t="s">
        <v>127</v>
      </c>
      <c r="B2061" s="1" t="s">
        <v>40911</v>
      </c>
      <c r="C2061" s="1" t="s">
        <v>40912</v>
      </c>
      <c r="D2061" s="8" t="s">
        <v>40913</v>
      </c>
      <c r="E2061" s="1" t="s">
        <v>40914</v>
      </c>
      <c r="F2061" s="6" t="s">
        <v>132</v>
      </c>
      <c r="G2061" s="1" t="s">
        <v>40915</v>
      </c>
      <c r="H2061" s="1" t="s">
        <v>40916</v>
      </c>
      <c r="I2061" s="1" t="s">
        <v>40917</v>
      </c>
      <c r="J2061" s="6" t="s">
        <v>40918</v>
      </c>
      <c r="K2061" s="1" t="s">
        <v>40919</v>
      </c>
      <c r="L2061" s="1" t="s">
        <v>40920</v>
      </c>
      <c r="M2061" s="1" t="s">
        <v>40921</v>
      </c>
      <c r="N2061" s="6" t="s">
        <v>132</v>
      </c>
      <c r="O2061" s="6" t="s">
        <v>40922</v>
      </c>
      <c r="P2061" s="1" t="s">
        <v>40923</v>
      </c>
      <c r="Q2061" s="1" t="s">
        <v>40924</v>
      </c>
      <c r="R2061" s="1" t="s">
        <v>40925</v>
      </c>
      <c r="S2061" s="10" t="s">
        <v>40926</v>
      </c>
      <c r="T2061" s="1" t="s">
        <v>40927</v>
      </c>
      <c r="U2061" s="1" t="s">
        <v>40928</v>
      </c>
      <c r="V2061" s="1" t="s">
        <v>40929</v>
      </c>
      <c r="W2061" s="1" t="s">
        <v>40930</v>
      </c>
      <c r="X2061" s="1" t="s">
        <v>40931</v>
      </c>
      <c r="Y2061" s="1" t="s">
        <v>40932</v>
      </c>
      <c r="Z2061" s="1" t="s">
        <v>40933</v>
      </c>
      <c r="AA2061" s="7" t="str">
        <f>IFERROR(__xludf.DUMMYFUNCTION("GOOGLETRANSLATE(C2061, ""en"", ""ro"")"),"Împărtășiți-vă experiența prin ratingul SUA pe magazinul de jocuri")</f>
        <v>Împărtășiți-vă experiența prin ratingul SUA pe magazinul de jocuri</v>
      </c>
      <c r="AB2061" s="1" t="s">
        <v>40934</v>
      </c>
      <c r="AC2061" s="1" t="s">
        <v>40935</v>
      </c>
      <c r="AD2061" s="6" t="s">
        <v>40936</v>
      </c>
      <c r="AE2061" s="1" t="s">
        <v>40937</v>
      </c>
      <c r="AF2061" s="1" t="s">
        <v>40938</v>
      </c>
      <c r="AG2061" s="6" t="s">
        <v>40939</v>
      </c>
      <c r="AH2061" s="1" t="s">
        <v>40940</v>
      </c>
      <c r="AI2061" s="6" t="s">
        <v>132</v>
      </c>
      <c r="AJ2061" s="6" t="s">
        <v>40941</v>
      </c>
      <c r="AK2061" s="1" t="s">
        <v>40942</v>
      </c>
      <c r="AL2061" s="6" t="s">
        <v>132</v>
      </c>
    </row>
    <row r="2062" ht="15.75" hidden="1" customHeight="1">
      <c r="A2062" s="1" t="s">
        <v>38</v>
      </c>
      <c r="B2062" s="1" t="s">
        <v>40943</v>
      </c>
      <c r="C2062" s="1" t="s">
        <v>40944</v>
      </c>
      <c r="D2062" s="8" t="s">
        <v>40945</v>
      </c>
      <c r="E2062" s="1" t="s">
        <v>40946</v>
      </c>
      <c r="F2062" s="6" t="s">
        <v>40947</v>
      </c>
      <c r="G2062" s="7" t="str">
        <f>IFERROR(__xludf.DUMMYFUNCTION("GOOGLETRANSLATE(C2062, ""en"", ""cs"")"),"Neoprávněný")</f>
        <v>Neoprávněný</v>
      </c>
      <c r="H2062" s="7" t="str">
        <f>IFERROR(__xludf.DUMMYFUNCTION("GOOGLETRANSLATE(C2062, ""en"", ""da"")"),"Uberettiget")</f>
        <v>Uberettiget</v>
      </c>
      <c r="I2062" s="1" t="s">
        <v>40948</v>
      </c>
      <c r="J2062" s="6" t="s">
        <v>132</v>
      </c>
      <c r="K2062" s="1" t="s">
        <v>40949</v>
      </c>
      <c r="L2062" s="7" t="str">
        <f>IFERROR(__xludf.DUMMYFUNCTION("GOOGLETRANSLATE(C2062, ""en"", ""fi"")"),"Luvaton")</f>
        <v>Luvaton</v>
      </c>
      <c r="M2062" s="1" t="s">
        <v>40950</v>
      </c>
      <c r="N2062" s="6" t="s">
        <v>40951</v>
      </c>
      <c r="O2062" s="6" t="s">
        <v>132</v>
      </c>
      <c r="P2062" s="1" t="s">
        <v>40952</v>
      </c>
      <c r="Q2062" s="9" t="s">
        <v>40953</v>
      </c>
      <c r="R2062" s="1" t="s">
        <v>40954</v>
      </c>
      <c r="S2062" s="6" t="s">
        <v>132</v>
      </c>
      <c r="T2062" s="1" t="s">
        <v>40955</v>
      </c>
      <c r="U2062" s="1" t="s">
        <v>40956</v>
      </c>
      <c r="V2062" s="7" t="str">
        <f>IFERROR(__xludf.DUMMYFUNCTION("GOOGLETRANSLATE(C2062, ""en"", ""ms"")"),"Tidak dibenarkan")</f>
        <v>Tidak dibenarkan</v>
      </c>
      <c r="W2062" s="1" t="s">
        <v>40957</v>
      </c>
      <c r="X2062" s="7" t="str">
        <f>IFERROR(__xludf.DUMMYFUNCTION("GOOGLETRANSLATE(C2062, ""en"", ""no"")"),"Uautorisert")</f>
        <v>Uautorisert</v>
      </c>
      <c r="Y2062" s="1" t="s">
        <v>40958</v>
      </c>
      <c r="Z2062" s="1" t="s">
        <v>40959</v>
      </c>
      <c r="AA2062" s="7" t="str">
        <f>IFERROR(__xludf.DUMMYFUNCTION("GOOGLETRANSLATE(C2062, ""en"", ""ro"")"),"Neautorizat")</f>
        <v>Neautorizat</v>
      </c>
      <c r="AB2062" s="1" t="s">
        <v>40960</v>
      </c>
      <c r="AC2062" s="1" t="s">
        <v>40961</v>
      </c>
      <c r="AD2062" s="6" t="s">
        <v>132</v>
      </c>
      <c r="AE2062" s="1" t="s">
        <v>40962</v>
      </c>
      <c r="AF2062" s="1" t="s">
        <v>40963</v>
      </c>
      <c r="AG2062" s="6" t="s">
        <v>132</v>
      </c>
      <c r="AH2062" s="7" t="str">
        <f>IFERROR(__xludf.DUMMYFUNCTION("GOOGLETRANSLATE(C2062, ""en"", ""tr"")"),"Yetkisiz")</f>
        <v>Yetkisiz</v>
      </c>
      <c r="AI2062" s="6" t="s">
        <v>40964</v>
      </c>
      <c r="AJ2062" s="6" t="s">
        <v>40965</v>
      </c>
      <c r="AK2062" s="7" t="str">
        <f>IFERROR(__xludf.DUMMYFUNCTION("GOOGLETRANSLATE(C2062, ""en"", ""zh"")"),"未经授权")</f>
        <v>未经授权</v>
      </c>
      <c r="AL2062" s="6" t="s">
        <v>40966</v>
      </c>
    </row>
    <row r="2063" ht="15.75" hidden="1" customHeight="1">
      <c r="A2063" s="1" t="s">
        <v>38</v>
      </c>
      <c r="B2063" s="1" t="s">
        <v>40967</v>
      </c>
      <c r="C2063" s="1" t="s">
        <v>40968</v>
      </c>
      <c r="D2063" s="8" t="s">
        <v>40969</v>
      </c>
      <c r="E2063" s="1" t="s">
        <v>40970</v>
      </c>
      <c r="F2063" s="6" t="s">
        <v>40971</v>
      </c>
      <c r="G2063" s="7" t="str">
        <f>IFERROR(__xludf.DUMMYFUNCTION("GOOGLETRANSLATE(C2063, ""en"", ""cs"")"),"Instalujte OpenKeychain.")</f>
        <v>Instalujte OpenKeychain.</v>
      </c>
      <c r="H2063" s="7" t="str">
        <f>IFERROR(__xludf.DUMMYFUNCTION("GOOGLETRANSLATE(C2063, ""en"", ""da"")"),"Vær venlig at installere OpenKeyChain.")</f>
        <v>Vær venlig at installere OpenKeyChain.</v>
      </c>
      <c r="I2063" s="1" t="s">
        <v>40972</v>
      </c>
      <c r="J2063" s="6" t="s">
        <v>132</v>
      </c>
      <c r="K2063" s="1" t="s">
        <v>40973</v>
      </c>
      <c r="L2063" s="7" t="str">
        <f>IFERROR(__xludf.DUMMYFUNCTION("GOOGLETRANSLATE(C2063, ""en"", ""fi"")"),"Asenna OpenYCHAIN")</f>
        <v>Asenna OpenYCHAIN</v>
      </c>
      <c r="M2063" s="1" t="s">
        <v>40974</v>
      </c>
      <c r="N2063" s="6" t="s">
        <v>40975</v>
      </c>
      <c r="O2063" s="6" t="s">
        <v>132</v>
      </c>
      <c r="P2063" s="1" t="s">
        <v>40976</v>
      </c>
      <c r="Q2063" s="9" t="s">
        <v>40977</v>
      </c>
      <c r="R2063" s="1" t="s">
        <v>40978</v>
      </c>
      <c r="S2063" s="6" t="s">
        <v>132</v>
      </c>
      <c r="T2063" s="1" t="s">
        <v>40979</v>
      </c>
      <c r="U2063" s="1" t="s">
        <v>40980</v>
      </c>
      <c r="V2063" s="7" t="str">
        <f>IFERROR(__xludf.DUMMYFUNCTION("GOOGLETRANSLATE(C2063, ""en"", ""ms"")"),"Sila pasang OpenKeychain.")</f>
        <v>Sila pasang OpenKeychain.</v>
      </c>
      <c r="W2063" s="1" t="s">
        <v>40981</v>
      </c>
      <c r="X2063" s="7" t="str">
        <f>IFERROR(__xludf.DUMMYFUNCTION("GOOGLETRANSLATE(C2063, ""en"", ""no"")"),"Vennligst installer OpenKeyChain.")</f>
        <v>Vennligst installer OpenKeyChain.</v>
      </c>
      <c r="Y2063" s="1" t="s">
        <v>40982</v>
      </c>
      <c r="Z2063" s="1" t="s">
        <v>40983</v>
      </c>
      <c r="AA2063" s="7" t="str">
        <f>IFERROR(__xludf.DUMMYFUNCTION("GOOGLETRANSLATE(C2063, ""en"", ""ro"")"),"Instalați Openkeychain.")</f>
        <v>Instalați Openkeychain.</v>
      </c>
      <c r="AB2063" s="1" t="s">
        <v>40984</v>
      </c>
      <c r="AC2063" s="7" t="str">
        <f>IFERROR(__xludf.DUMMYFUNCTION("GOOGLETRANSLATE(C2063, ""en"", ""sk"")"),"Nainštalujte OpenKychain")</f>
        <v>Nainštalujte OpenKychain</v>
      </c>
      <c r="AD2063" s="6" t="s">
        <v>132</v>
      </c>
      <c r="AE2063" s="1" t="s">
        <v>40985</v>
      </c>
      <c r="AF2063" s="1" t="s">
        <v>40986</v>
      </c>
      <c r="AG2063" s="6" t="s">
        <v>132</v>
      </c>
      <c r="AH2063" s="13" t="s">
        <v>40987</v>
      </c>
      <c r="AI2063" s="6" t="s">
        <v>40988</v>
      </c>
      <c r="AJ2063" s="6" t="s">
        <v>40989</v>
      </c>
      <c r="AK2063" s="7" t="str">
        <f>IFERROR(__xludf.DUMMYFUNCTION("GOOGLETRANSLATE(C2063, ""en"", ""zh"")"),"请安装OpenKeychain.")</f>
        <v>请安装OpenKeychain.</v>
      </c>
      <c r="AL2063" s="6" t="s">
        <v>40990</v>
      </c>
    </row>
    <row r="2064" ht="15.75" hidden="1" customHeight="1">
      <c r="A2064" s="1" t="s">
        <v>38</v>
      </c>
      <c r="B2064" s="1" t="s">
        <v>40991</v>
      </c>
      <c r="C2064" s="1" t="s">
        <v>40992</v>
      </c>
      <c r="D2064" s="7" t="str">
        <f>IFERROR(__xludf.DUMMYFUNCTION("GOOGLETRANSLATE(C2064, ""en"", ""ar"")"),"لا دردشات")</f>
        <v>لا دردشات</v>
      </c>
      <c r="E2064" s="7" t="str">
        <f>IFERROR(__xludf.DUMMYFUNCTION("GOOGLETRANSLATE(C2064, ""en"", ""bg"")"),"Без разговори")</f>
        <v>Без разговори</v>
      </c>
      <c r="F2064" s="6" t="s">
        <v>132</v>
      </c>
      <c r="G2064" s="7" t="str">
        <f>IFERROR(__xludf.DUMMYFUNCTION("GOOGLETRANSLATE(C2064, ""en"", ""cs"")"),"Žádné chaty")</f>
        <v>Žádné chaty</v>
      </c>
      <c r="H2064" s="7" t="str">
        <f>IFERROR(__xludf.DUMMYFUNCTION("GOOGLETRANSLATE(C2064, ""en"", ""da"")"),"Ingen chats.")</f>
        <v>Ingen chats.</v>
      </c>
      <c r="I2064" s="1" t="s">
        <v>40993</v>
      </c>
      <c r="J2064" s="6" t="s">
        <v>132</v>
      </c>
      <c r="K2064" s="1" t="s">
        <v>40994</v>
      </c>
      <c r="L2064" s="7" t="str">
        <f>IFERROR(__xludf.DUMMYFUNCTION("GOOGLETRANSLATE(C2064, ""en"", ""fi"")"),"Ei ole keskusteluja")</f>
        <v>Ei ole keskusteluja</v>
      </c>
      <c r="M2064" s="1" t="s">
        <v>40995</v>
      </c>
      <c r="N2064" s="6" t="s">
        <v>132</v>
      </c>
      <c r="O2064" s="6" t="s">
        <v>132</v>
      </c>
      <c r="P2064" s="1" t="s">
        <v>40996</v>
      </c>
      <c r="Q2064" s="7" t="str">
        <f>IFERROR(__xludf.DUMMYFUNCTION("GOOGLETRANSLATE(C2064, ""en"", ""in"")"),"Tidak ada obrolan")</f>
        <v>Tidak ada obrolan</v>
      </c>
      <c r="R2064" s="7" t="str">
        <f>IFERROR(__xludf.DUMMYFUNCTION("GOOGLETRANSLATE(C2064, ""en"", ""it"")"),"Nessuna chiacchierata")</f>
        <v>Nessuna chiacchierata</v>
      </c>
      <c r="S2064" s="6" t="s">
        <v>132</v>
      </c>
      <c r="T2064" s="7" t="str">
        <f>IFERROR(__xludf.DUMMYFUNCTION("GOOGLETRANSLATE(C2064, ""en"", ""ja"")"),"チャットなし")</f>
        <v>チャットなし</v>
      </c>
      <c r="U2064" s="7" t="str">
        <f>IFERROR(__xludf.DUMMYFUNCTION("GOOGLETRANSLATE(C2064, ""en"", ""ko"")"),"채팅이 없습니다")</f>
        <v>채팅이 없습니다</v>
      </c>
      <c r="V2064" s="7" t="str">
        <f>IFERROR(__xludf.DUMMYFUNCTION("GOOGLETRANSLATE(C2064, ""en"", ""ms"")"),"Tiada sembang")</f>
        <v>Tiada sembang</v>
      </c>
      <c r="W2064" s="7" t="str">
        <f>IFERROR(__xludf.DUMMYFUNCTION("GOOGLETRANSLATE(C2064, ""en"", ""nl"")"),"Geen chats")</f>
        <v>Geen chats</v>
      </c>
      <c r="X2064" s="7" t="str">
        <f>IFERROR(__xludf.DUMMYFUNCTION("GOOGLETRANSLATE(C2064, ""en"", ""no"")"),"Ingen samtaler")</f>
        <v>Ingen samtaler</v>
      </c>
      <c r="Y2064" s="7" t="str">
        <f>IFERROR(__xludf.DUMMYFUNCTION("GOOGLETRANSLATE(C2064, ""en"", ""pl"")"),"Brak czatów")</f>
        <v>Brak czatów</v>
      </c>
      <c r="Z2064" s="7" t="str">
        <f>IFERROR(__xludf.DUMMYFUNCTION("GOOGLETRANSLATE(C2064, ""en"", ""pt"")"),"Sem chats.")</f>
        <v>Sem chats.</v>
      </c>
      <c r="AA2064" s="7" t="str">
        <f>IFERROR(__xludf.DUMMYFUNCTION("GOOGLETRANSLATE(C2064, ""en"", ""ro"")"),"Fără charduri")</f>
        <v>Fără charduri</v>
      </c>
      <c r="AB2064" s="1" t="s">
        <v>40997</v>
      </c>
      <c r="AC2064" s="7" t="str">
        <f>IFERROR(__xludf.DUMMYFUNCTION("GOOGLETRANSLATE(C2064, ""en"", ""sk"")"),"Žiadne chaty")</f>
        <v>Žiadne chaty</v>
      </c>
      <c r="AD2064" s="6" t="s">
        <v>132</v>
      </c>
      <c r="AE2064" s="1" t="s">
        <v>40998</v>
      </c>
      <c r="AF2064" s="7" t="str">
        <f>IFERROR(__xludf.DUMMYFUNCTION("GOOGLETRANSLATE(C2064, ""en"", ""sv"")"),"Inga chattar")</f>
        <v>Inga chattar</v>
      </c>
      <c r="AG2064" s="6" t="s">
        <v>132</v>
      </c>
      <c r="AH2064" s="7" t="str">
        <f>IFERROR(__xludf.DUMMYFUNCTION("GOOGLETRANSLATE(C2064, ""en"", ""tr"")"),"Sohbet yok")</f>
        <v>Sohbet yok</v>
      </c>
      <c r="AI2064" s="6" t="s">
        <v>132</v>
      </c>
      <c r="AJ2064" s="6" t="s">
        <v>132</v>
      </c>
      <c r="AK2064" s="7" t="str">
        <f>IFERROR(__xludf.DUMMYFUNCTION("GOOGLETRANSLATE(C2064, ""en"", ""zh"")"),"没有聊天")</f>
        <v>没有聊天</v>
      </c>
      <c r="AL2064" s="6" t="s">
        <v>132</v>
      </c>
    </row>
    <row r="2065" ht="15.75" customHeight="1">
      <c r="A2065" s="1" t="s">
        <v>127</v>
      </c>
      <c r="B2065" s="1" t="s">
        <v>40999</v>
      </c>
      <c r="C2065" s="1" t="s">
        <v>26728</v>
      </c>
      <c r="D2065" s="8" t="s">
        <v>26729</v>
      </c>
      <c r="E2065" s="1" t="s">
        <v>26730</v>
      </c>
      <c r="F2065" s="6" t="s">
        <v>132</v>
      </c>
      <c r="G2065" s="1" t="s">
        <v>26731</v>
      </c>
      <c r="H2065" s="1" t="s">
        <v>26732</v>
      </c>
      <c r="I2065" s="1" t="s">
        <v>26733</v>
      </c>
      <c r="J2065" s="6" t="s">
        <v>26734</v>
      </c>
      <c r="K2065" s="1" t="s">
        <v>41000</v>
      </c>
      <c r="L2065" s="1" t="s">
        <v>26736</v>
      </c>
      <c r="M2065" s="1" t="s">
        <v>26737</v>
      </c>
      <c r="N2065" s="6" t="s">
        <v>132</v>
      </c>
      <c r="O2065" s="6" t="s">
        <v>26738</v>
      </c>
      <c r="P2065" s="1" t="s">
        <v>26739</v>
      </c>
      <c r="Q2065" s="1" t="s">
        <v>41001</v>
      </c>
      <c r="R2065" s="1" t="s">
        <v>41002</v>
      </c>
      <c r="S2065" s="10" t="s">
        <v>26742</v>
      </c>
      <c r="T2065" s="1" t="s">
        <v>41003</v>
      </c>
      <c r="U2065" s="1" t="s">
        <v>26744</v>
      </c>
      <c r="V2065" s="1" t="s">
        <v>41001</v>
      </c>
      <c r="W2065" s="1" t="s">
        <v>41004</v>
      </c>
      <c r="X2065" s="1" t="s">
        <v>26747</v>
      </c>
      <c r="Y2065" s="1" t="s">
        <v>26748</v>
      </c>
      <c r="Z2065" s="1" t="s">
        <v>41005</v>
      </c>
      <c r="AA2065" s="7" t="str">
        <f>IFERROR(__xludf.DUMMYFUNCTION("GOOGLETRANSLATE(C2065, ""en"", ""ro"")"),"Adăugați alertă")</f>
        <v>Adăugați alertă</v>
      </c>
      <c r="AB2065" s="1" t="s">
        <v>26751</v>
      </c>
      <c r="AC2065" s="1" t="s">
        <v>26752</v>
      </c>
      <c r="AD2065" s="6" t="s">
        <v>26753</v>
      </c>
      <c r="AE2065" s="1" t="s">
        <v>26754</v>
      </c>
      <c r="AF2065" s="1" t="s">
        <v>26755</v>
      </c>
      <c r="AG2065" s="6" t="s">
        <v>26756</v>
      </c>
      <c r="AH2065" s="1" t="s">
        <v>41006</v>
      </c>
      <c r="AI2065" s="6" t="s">
        <v>132</v>
      </c>
      <c r="AJ2065" s="6" t="s">
        <v>26758</v>
      </c>
      <c r="AK2065" s="1" t="s">
        <v>26759</v>
      </c>
      <c r="AL2065" s="6" t="s">
        <v>26760</v>
      </c>
    </row>
    <row r="2066" ht="15.75" customHeight="1">
      <c r="A2066" s="1" t="s">
        <v>127</v>
      </c>
      <c r="B2066" s="1" t="s">
        <v>41007</v>
      </c>
      <c r="C2066" s="1" t="s">
        <v>41008</v>
      </c>
      <c r="D2066" s="8" t="s">
        <v>41009</v>
      </c>
      <c r="E2066" s="1" t="s">
        <v>41010</v>
      </c>
      <c r="F2066" s="6" t="s">
        <v>132</v>
      </c>
      <c r="G2066" s="1" t="s">
        <v>41011</v>
      </c>
      <c r="H2066" s="1" t="s">
        <v>41012</v>
      </c>
      <c r="I2066" s="1" t="s">
        <v>41013</v>
      </c>
      <c r="J2066" s="6" t="s">
        <v>41014</v>
      </c>
      <c r="K2066" s="1" t="s">
        <v>41015</v>
      </c>
      <c r="L2066" s="1" t="s">
        <v>41016</v>
      </c>
      <c r="M2066" s="1" t="s">
        <v>41017</v>
      </c>
      <c r="N2066" s="6" t="s">
        <v>132</v>
      </c>
      <c r="O2066" s="6" t="s">
        <v>41018</v>
      </c>
      <c r="P2066" s="1" t="s">
        <v>41019</v>
      </c>
      <c r="Q2066" s="1" t="s">
        <v>41020</v>
      </c>
      <c r="R2066" s="1" t="s">
        <v>41021</v>
      </c>
      <c r="S2066" s="10" t="s">
        <v>41022</v>
      </c>
      <c r="T2066" s="1" t="s">
        <v>41023</v>
      </c>
      <c r="U2066" s="1" t="s">
        <v>41024</v>
      </c>
      <c r="V2066" s="1" t="s">
        <v>41025</v>
      </c>
      <c r="W2066" s="1" t="s">
        <v>41026</v>
      </c>
      <c r="X2066" s="1" t="s">
        <v>41027</v>
      </c>
      <c r="Y2066" s="1" t="s">
        <v>41028</v>
      </c>
      <c r="Z2066" s="1" t="s">
        <v>41029</v>
      </c>
      <c r="AA2066" s="7" t="str">
        <f>IFERROR(__xludf.DUMMYFUNCTION("GOOGLETRANSLATE(C2066, ""en"", ""ro"")"),"Descărcați aplicația chiar acum!")</f>
        <v>Descărcați aplicația chiar acum!</v>
      </c>
      <c r="AB2066" s="1" t="s">
        <v>41030</v>
      </c>
      <c r="AC2066" s="1" t="s">
        <v>41031</v>
      </c>
      <c r="AD2066" s="6" t="s">
        <v>41032</v>
      </c>
      <c r="AE2066" s="1" t="s">
        <v>41033</v>
      </c>
      <c r="AF2066" s="1" t="s">
        <v>41034</v>
      </c>
      <c r="AG2066" s="6" t="s">
        <v>41035</v>
      </c>
      <c r="AH2066" s="1" t="s">
        <v>41036</v>
      </c>
      <c r="AI2066" s="6" t="s">
        <v>132</v>
      </c>
      <c r="AJ2066" s="6" t="s">
        <v>41037</v>
      </c>
      <c r="AK2066" s="1" t="s">
        <v>41038</v>
      </c>
      <c r="AL2066" s="6" t="s">
        <v>132</v>
      </c>
    </row>
    <row r="2067" ht="15.75" customHeight="1">
      <c r="A2067" s="1" t="s">
        <v>127</v>
      </c>
      <c r="B2067" s="1" t="s">
        <v>41039</v>
      </c>
      <c r="C2067" s="1" t="s">
        <v>41040</v>
      </c>
      <c r="D2067" s="8" t="s">
        <v>41041</v>
      </c>
      <c r="E2067" s="1" t="s">
        <v>10763</v>
      </c>
      <c r="F2067" s="6" t="s">
        <v>132</v>
      </c>
      <c r="G2067" s="1" t="s">
        <v>41042</v>
      </c>
      <c r="H2067" s="1" t="s">
        <v>41043</v>
      </c>
      <c r="I2067" s="1" t="s">
        <v>41040</v>
      </c>
      <c r="J2067" s="6" t="s">
        <v>41044</v>
      </c>
      <c r="K2067" s="1" t="s">
        <v>41045</v>
      </c>
      <c r="L2067" s="1" t="s">
        <v>41046</v>
      </c>
      <c r="M2067" s="1" t="s">
        <v>41047</v>
      </c>
      <c r="N2067" s="6" t="s">
        <v>132</v>
      </c>
      <c r="O2067" s="6" t="s">
        <v>41048</v>
      </c>
      <c r="P2067" s="1" t="s">
        <v>41049</v>
      </c>
      <c r="Q2067" s="1" t="s">
        <v>41050</v>
      </c>
      <c r="R2067" s="1" t="s">
        <v>41051</v>
      </c>
      <c r="S2067" s="10" t="s">
        <v>41052</v>
      </c>
      <c r="T2067" s="1" t="s">
        <v>41053</v>
      </c>
      <c r="U2067" s="1" t="s">
        <v>41054</v>
      </c>
      <c r="V2067" s="1" t="s">
        <v>41050</v>
      </c>
      <c r="W2067" s="1" t="s">
        <v>41055</v>
      </c>
      <c r="X2067" s="1" t="s">
        <v>41043</v>
      </c>
      <c r="Y2067" s="1" t="s">
        <v>41056</v>
      </c>
      <c r="Z2067" s="1" t="s">
        <v>41057</v>
      </c>
      <c r="AA2067" s="7" t="str">
        <f>IFERROR(__xludf.DUMMYFUNCTION("GOOGLETRANSLATE(C2067, ""en"", ""ro"")"),"Crypto Markets.")</f>
        <v>Crypto Markets.</v>
      </c>
      <c r="AB2067" s="1" t="s">
        <v>41058</v>
      </c>
      <c r="AC2067" s="1" t="s">
        <v>41059</v>
      </c>
      <c r="AD2067" s="6" t="s">
        <v>41060</v>
      </c>
      <c r="AE2067" s="1" t="s">
        <v>41061</v>
      </c>
      <c r="AF2067" s="1" t="s">
        <v>41062</v>
      </c>
      <c r="AG2067" s="6" t="s">
        <v>41063</v>
      </c>
      <c r="AH2067" s="1" t="s">
        <v>41064</v>
      </c>
      <c r="AI2067" s="6" t="s">
        <v>132</v>
      </c>
      <c r="AJ2067" s="6" t="s">
        <v>41065</v>
      </c>
      <c r="AK2067" s="1" t="s">
        <v>41066</v>
      </c>
      <c r="AL2067" s="6" t="s">
        <v>132</v>
      </c>
    </row>
    <row r="2068" ht="15.75" customHeight="1">
      <c r="A2068" s="1" t="s">
        <v>127</v>
      </c>
      <c r="B2068" s="1" t="s">
        <v>41067</v>
      </c>
      <c r="C2068" s="1" t="s">
        <v>41068</v>
      </c>
      <c r="D2068" s="8" t="s">
        <v>41069</v>
      </c>
      <c r="E2068" s="1" t="s">
        <v>41070</v>
      </c>
      <c r="F2068" s="6" t="s">
        <v>132</v>
      </c>
      <c r="G2068" s="1" t="s">
        <v>41071</v>
      </c>
      <c r="H2068" s="1" t="s">
        <v>41072</v>
      </c>
      <c r="I2068" s="1" t="s">
        <v>41073</v>
      </c>
      <c r="J2068" s="6" t="s">
        <v>41074</v>
      </c>
      <c r="K2068" s="1" t="s">
        <v>41075</v>
      </c>
      <c r="L2068" s="1" t="s">
        <v>41076</v>
      </c>
      <c r="M2068" s="1" t="s">
        <v>41077</v>
      </c>
      <c r="N2068" s="6" t="s">
        <v>132</v>
      </c>
      <c r="O2068" s="6" t="s">
        <v>41078</v>
      </c>
      <c r="P2068" s="1" t="s">
        <v>41079</v>
      </c>
      <c r="Q2068" s="1" t="s">
        <v>41080</v>
      </c>
      <c r="R2068" s="1" t="s">
        <v>41081</v>
      </c>
      <c r="S2068" s="10" t="s">
        <v>41082</v>
      </c>
      <c r="T2068" s="1" t="s">
        <v>41083</v>
      </c>
      <c r="U2068" s="1" t="s">
        <v>41084</v>
      </c>
      <c r="V2068" s="1" t="s">
        <v>41085</v>
      </c>
      <c r="W2068" s="1" t="s">
        <v>41086</v>
      </c>
      <c r="X2068" s="1" t="s">
        <v>41087</v>
      </c>
      <c r="Y2068" s="1" t="s">
        <v>41088</v>
      </c>
      <c r="Z2068" s="1" t="s">
        <v>41089</v>
      </c>
      <c r="AA2068" s="7" t="str">
        <f>IFERROR(__xludf.DUMMYFUNCTION("GOOGLETRANSLATE(C2068, ""en"", ""ro"")"),"Stocurile pe care le urmați sunt listate aici. Apăsați pe orice stoc pentru a afla mai multe.")</f>
        <v>Stocurile pe care le urmați sunt listate aici. Apăsați pe orice stoc pentru a afla mai multe.</v>
      </c>
      <c r="AB2068" s="1" t="s">
        <v>41090</v>
      </c>
      <c r="AC2068" s="1" t="s">
        <v>41091</v>
      </c>
      <c r="AD2068" s="6" t="s">
        <v>41092</v>
      </c>
      <c r="AE2068" s="1" t="s">
        <v>41093</v>
      </c>
      <c r="AF2068" s="1" t="s">
        <v>41094</v>
      </c>
      <c r="AG2068" s="6" t="s">
        <v>41095</v>
      </c>
      <c r="AH2068" s="1" t="s">
        <v>41096</v>
      </c>
      <c r="AI2068" s="6" t="s">
        <v>132</v>
      </c>
      <c r="AJ2068" s="6" t="s">
        <v>41097</v>
      </c>
      <c r="AK2068" s="1" t="s">
        <v>41098</v>
      </c>
      <c r="AL2068" s="6" t="s">
        <v>132</v>
      </c>
    </row>
    <row r="2069" ht="15.75" customHeight="1">
      <c r="A2069" s="1" t="s">
        <v>127</v>
      </c>
      <c r="B2069" s="1" t="s">
        <v>41099</v>
      </c>
      <c r="C2069" s="1" t="s">
        <v>17676</v>
      </c>
      <c r="D2069" s="8" t="s">
        <v>41100</v>
      </c>
      <c r="E2069" s="1" t="s">
        <v>17678</v>
      </c>
      <c r="F2069" s="6" t="s">
        <v>132</v>
      </c>
      <c r="G2069" s="1" t="s">
        <v>17679</v>
      </c>
      <c r="H2069" s="1" t="s">
        <v>17680</v>
      </c>
      <c r="I2069" s="1" t="s">
        <v>17676</v>
      </c>
      <c r="J2069" s="6" t="s">
        <v>17681</v>
      </c>
      <c r="K2069" s="1" t="s">
        <v>41101</v>
      </c>
      <c r="L2069" s="1" t="s">
        <v>17682</v>
      </c>
      <c r="M2069" s="1" t="s">
        <v>41102</v>
      </c>
      <c r="N2069" s="6" t="s">
        <v>132</v>
      </c>
      <c r="O2069" s="6" t="s">
        <v>17683</v>
      </c>
      <c r="P2069" s="1" t="s">
        <v>41101</v>
      </c>
      <c r="Q2069" s="1" t="s">
        <v>41103</v>
      </c>
      <c r="R2069" s="1" t="s">
        <v>41104</v>
      </c>
      <c r="S2069" s="10" t="s">
        <v>17684</v>
      </c>
      <c r="T2069" s="1" t="s">
        <v>41101</v>
      </c>
      <c r="U2069" s="1" t="s">
        <v>41105</v>
      </c>
      <c r="V2069" s="1" t="s">
        <v>41106</v>
      </c>
      <c r="W2069" s="1" t="s">
        <v>41107</v>
      </c>
      <c r="X2069" s="1" t="s">
        <v>17687</v>
      </c>
      <c r="Y2069" s="1" t="s">
        <v>41101</v>
      </c>
      <c r="Z2069" s="1" t="s">
        <v>41101</v>
      </c>
      <c r="AA2069" s="7" t="str">
        <f>IFERROR(__xludf.DUMMYFUNCTION("GOOGLETRANSLATE(C2069, ""en"", ""ro"")"),"Piețele bursiere")</f>
        <v>Piețele bursiere</v>
      </c>
      <c r="AB2069" s="1" t="s">
        <v>41101</v>
      </c>
      <c r="AC2069" s="1" t="s">
        <v>17679</v>
      </c>
      <c r="AD2069" s="6" t="s">
        <v>17689</v>
      </c>
      <c r="AE2069" s="1" t="s">
        <v>41101</v>
      </c>
      <c r="AF2069" s="1" t="s">
        <v>17690</v>
      </c>
      <c r="AG2069" s="6" t="s">
        <v>17691</v>
      </c>
      <c r="AH2069" s="1" t="s">
        <v>41108</v>
      </c>
      <c r="AI2069" s="6" t="s">
        <v>132</v>
      </c>
      <c r="AJ2069" s="6" t="s">
        <v>17692</v>
      </c>
      <c r="AK2069" s="1" t="s">
        <v>41109</v>
      </c>
      <c r="AL2069" s="6" t="s">
        <v>41110</v>
      </c>
    </row>
    <row r="2070" ht="15.75" hidden="1" customHeight="1">
      <c r="A2070" s="1" t="s">
        <v>38</v>
      </c>
      <c r="B2070" s="1" t="s">
        <v>41111</v>
      </c>
      <c r="C2070" s="1" t="s">
        <v>41112</v>
      </c>
      <c r="D2070" s="8" t="s">
        <v>41113</v>
      </c>
      <c r="E2070" s="1" t="s">
        <v>41114</v>
      </c>
      <c r="F2070" s="6" t="s">
        <v>41115</v>
      </c>
      <c r="G2070" s="7" t="str">
        <f>IFERROR(__xludf.DUMMYFUNCTION("GOOGLETRANSLATE(C2070, ""en"", ""cs"")"),"Ověřte název hostitele s DNSSEC")</f>
        <v>Ověřte název hostitele s DNSSEC</v>
      </c>
      <c r="H2070" s="7" t="str">
        <f>IFERROR(__xludf.DUMMYFUNCTION("GOOGLETRANSLATE(C2070, ""en"", ""da"")"),"Valider værtsnavn med DNSSEC")</f>
        <v>Valider værtsnavn med DNSSEC</v>
      </c>
      <c r="I2070" s="1" t="s">
        <v>41116</v>
      </c>
      <c r="J2070" s="6" t="s">
        <v>132</v>
      </c>
      <c r="K2070" s="1" t="s">
        <v>41117</v>
      </c>
      <c r="L2070" s="7" t="str">
        <f>IFERROR(__xludf.DUMMYFUNCTION("GOOGLETRANSLATE(C2070, ""en"", ""fi"")"),"Vahvista isäntänimi dnssecilla")</f>
        <v>Vahvista isäntänimi dnssecilla</v>
      </c>
      <c r="M2070" s="1" t="s">
        <v>41118</v>
      </c>
      <c r="N2070" s="6" t="s">
        <v>41119</v>
      </c>
      <c r="O2070" s="6" t="s">
        <v>132</v>
      </c>
      <c r="P2070" s="1" t="s">
        <v>41120</v>
      </c>
      <c r="Q2070" s="7" t="str">
        <f>IFERROR(__xludf.DUMMYFUNCTION("GOOGLETRANSLATE(C2070, ""en"", ""in"")"),"Validasi nama host dengan DNSSEC")</f>
        <v>Validasi nama host dengan DNSSEC</v>
      </c>
      <c r="R2070" s="1" t="s">
        <v>41121</v>
      </c>
      <c r="S2070" s="6" t="s">
        <v>132</v>
      </c>
      <c r="T2070" s="1" t="s">
        <v>41122</v>
      </c>
      <c r="U2070" s="7" t="str">
        <f>IFERROR(__xludf.DUMMYFUNCTION("GOOGLETRANSLATE(C2070, ""en"", ""ko"")"),"DNSSEC로 호스트 이름을 확인하십시오")</f>
        <v>DNSSEC로 호스트 이름을 확인하십시오</v>
      </c>
      <c r="V2070" s="7" t="str">
        <f>IFERROR(__xludf.DUMMYFUNCTION("GOOGLETRANSLATE(C2070, ""en"", ""ms"")"),"Sahkan nama hos dengan DNSSEC")</f>
        <v>Sahkan nama hos dengan DNSSEC</v>
      </c>
      <c r="W2070" s="1" t="s">
        <v>41123</v>
      </c>
      <c r="X2070" s="7" t="str">
        <f>IFERROR(__xludf.DUMMYFUNCTION("GOOGLETRANSLATE(C2070, ""en"", ""no"")"),"Bekreft vertsnavn med DNSSEC")</f>
        <v>Bekreft vertsnavn med DNSSEC</v>
      </c>
      <c r="Y2070" s="1" t="s">
        <v>41124</v>
      </c>
      <c r="Z2070" s="7" t="str">
        <f>IFERROR(__xludf.DUMMYFUNCTION("GOOGLETRANSLATE(C2070, ""en"", ""pt"")"),"Validar o nome do host com o DNSSEC")</f>
        <v>Validar o nome do host com o DNSSEC</v>
      </c>
      <c r="AA2070" s="7" t="str">
        <f>IFERROR(__xludf.DUMMYFUNCTION("GOOGLETRANSLATE(C2070, ""en"", ""ro"")"),"Validați numele gazdei cu DNSSEC")</f>
        <v>Validați numele gazdei cu DNSSEC</v>
      </c>
      <c r="AB2070" s="1" t="s">
        <v>41125</v>
      </c>
      <c r="AC2070" s="7" t="str">
        <f>IFERROR(__xludf.DUMMYFUNCTION("GOOGLETRANSLATE(C2070, ""en"", ""sk"")"),"Overenie hostiteľa s dnssec")</f>
        <v>Overenie hostiteľa s dnssec</v>
      </c>
      <c r="AD2070" s="6" t="s">
        <v>132</v>
      </c>
      <c r="AE2070" s="7" t="str">
        <f>IFERROR(__xludf.DUMMYFUNCTION("GOOGLETRANSLATE(C2070, ""en"", ""sr"")"),"Потврдите име хоста са ДНССЕЦ")</f>
        <v>Потврдите име хоста са ДНССЕЦ</v>
      </c>
      <c r="AF2070" s="7" t="str">
        <f>IFERROR(__xludf.DUMMYFUNCTION("GOOGLETRANSLATE(C2070, ""en"", ""sv"")"),"Validera värdnamn med DNSSEC")</f>
        <v>Validera värdnamn med DNSSEC</v>
      </c>
      <c r="AG2070" s="6" t="s">
        <v>132</v>
      </c>
      <c r="AH2070" s="7" t="str">
        <f>IFERROR(__xludf.DUMMYFUNCTION("GOOGLETRANSLATE(C2070, ""en"", ""tr"")"),"DNSSEC ile ana bilgisayar adını doğrula")</f>
        <v>DNSSEC ile ana bilgisayar adını doğrula</v>
      </c>
      <c r="AI2070" s="6" t="s">
        <v>41126</v>
      </c>
      <c r="AJ2070" s="6" t="s">
        <v>132</v>
      </c>
      <c r="AK2070" s="7" t="str">
        <f>IFERROR(__xludf.DUMMYFUNCTION("GOOGLETRANSLATE(C2070, ""en"", ""zh"")"),"使用DNSSEC验证主机名")</f>
        <v>使用DNSSEC验证主机名</v>
      </c>
      <c r="AL2070" s="6" t="s">
        <v>132</v>
      </c>
    </row>
    <row r="2071" ht="15.75" customHeight="1">
      <c r="A2071" s="1" t="s">
        <v>127</v>
      </c>
      <c r="B2071" s="1" t="s">
        <v>41127</v>
      </c>
      <c r="C2071" s="1" t="s">
        <v>41128</v>
      </c>
      <c r="D2071" s="8" t="s">
        <v>41129</v>
      </c>
      <c r="E2071" s="1" t="s">
        <v>41130</v>
      </c>
      <c r="F2071" s="6" t="s">
        <v>132</v>
      </c>
      <c r="G2071" s="1" t="s">
        <v>41131</v>
      </c>
      <c r="H2071" s="1" t="s">
        <v>41132</v>
      </c>
      <c r="I2071" s="1" t="s">
        <v>41133</v>
      </c>
      <c r="J2071" s="6" t="s">
        <v>41134</v>
      </c>
      <c r="K2071" s="1" t="s">
        <v>41135</v>
      </c>
      <c r="L2071" s="1" t="s">
        <v>41136</v>
      </c>
      <c r="M2071" s="1" t="s">
        <v>41137</v>
      </c>
      <c r="N2071" s="6" t="s">
        <v>132</v>
      </c>
      <c r="O2071" s="6" t="s">
        <v>41138</v>
      </c>
      <c r="P2071" s="1" t="s">
        <v>41139</v>
      </c>
      <c r="Q2071" s="1" t="s">
        <v>41140</v>
      </c>
      <c r="R2071" s="1" t="s">
        <v>41141</v>
      </c>
      <c r="S2071" s="10" t="s">
        <v>41142</v>
      </c>
      <c r="T2071" s="1" t="s">
        <v>41143</v>
      </c>
      <c r="U2071" s="1" t="s">
        <v>41144</v>
      </c>
      <c r="V2071" s="1" t="s">
        <v>41145</v>
      </c>
      <c r="W2071" s="1" t="s">
        <v>41146</v>
      </c>
      <c r="X2071" s="1" t="s">
        <v>41147</v>
      </c>
      <c r="Y2071" s="1" t="s">
        <v>41148</v>
      </c>
      <c r="Z2071" s="1" t="s">
        <v>41149</v>
      </c>
      <c r="AA2071" s="7" t="str">
        <f>IFERROR(__xludf.DUMMYFUNCTION("GOOGLETRANSLATE(C2071, ""en"", ""ro"")"),"Defilați pentru a vedea mai multe evenimente.")</f>
        <v>Defilați pentru a vedea mai multe evenimente.</v>
      </c>
      <c r="AB2071" s="1" t="s">
        <v>41150</v>
      </c>
      <c r="AC2071" s="1" t="s">
        <v>41151</v>
      </c>
      <c r="AD2071" s="6" t="s">
        <v>41152</v>
      </c>
      <c r="AE2071" s="1" t="s">
        <v>41153</v>
      </c>
      <c r="AF2071" s="1" t="s">
        <v>41154</v>
      </c>
      <c r="AG2071" s="6" t="s">
        <v>41155</v>
      </c>
      <c r="AH2071" s="1" t="s">
        <v>41156</v>
      </c>
      <c r="AI2071" s="6" t="s">
        <v>132</v>
      </c>
      <c r="AJ2071" s="6" t="s">
        <v>41157</v>
      </c>
      <c r="AK2071" s="1" t="s">
        <v>41158</v>
      </c>
      <c r="AL2071" s="6" t="s">
        <v>132</v>
      </c>
    </row>
    <row r="2072" ht="15.75" customHeight="1">
      <c r="A2072" s="1" t="s">
        <v>127</v>
      </c>
      <c r="B2072" s="1" t="s">
        <v>41159</v>
      </c>
      <c r="C2072" s="1" t="s">
        <v>3338</v>
      </c>
      <c r="D2072" s="8" t="s">
        <v>41160</v>
      </c>
      <c r="E2072" s="1" t="s">
        <v>37155</v>
      </c>
      <c r="F2072" s="6" t="s">
        <v>132</v>
      </c>
      <c r="G2072" s="1" t="s">
        <v>41161</v>
      </c>
      <c r="H2072" s="1" t="s">
        <v>41162</v>
      </c>
      <c r="I2072" s="1" t="s">
        <v>37156</v>
      </c>
      <c r="J2072" s="6" t="s">
        <v>41163</v>
      </c>
      <c r="K2072" s="1" t="s">
        <v>3338</v>
      </c>
      <c r="L2072" s="1" t="s">
        <v>41164</v>
      </c>
      <c r="M2072" s="1" t="s">
        <v>37157</v>
      </c>
      <c r="N2072" s="6" t="s">
        <v>132</v>
      </c>
      <c r="O2072" s="6" t="s">
        <v>41165</v>
      </c>
      <c r="P2072" s="1" t="s">
        <v>37158</v>
      </c>
      <c r="Q2072" s="1" t="s">
        <v>41166</v>
      </c>
      <c r="R2072" s="1" t="s">
        <v>3338</v>
      </c>
      <c r="S2072" s="10" t="s">
        <v>41167</v>
      </c>
      <c r="T2072" s="1" t="s">
        <v>3613</v>
      </c>
      <c r="U2072" s="1" t="s">
        <v>41168</v>
      </c>
      <c r="V2072" s="1" t="s">
        <v>41166</v>
      </c>
      <c r="W2072" s="1" t="s">
        <v>37159</v>
      </c>
      <c r="X2072" s="1" t="s">
        <v>41169</v>
      </c>
      <c r="Y2072" s="1" t="s">
        <v>37160</v>
      </c>
      <c r="Z2072" s="1" t="s">
        <v>41170</v>
      </c>
      <c r="AA2072" s="7" t="str">
        <f>IFERROR(__xludf.DUMMYFUNCTION("GOOGLETRANSLATE(C2072, ""en"", ""ro"")"),"Nu")</f>
        <v>Nu</v>
      </c>
      <c r="AB2072" s="1" t="s">
        <v>3338</v>
      </c>
      <c r="AC2072" s="1" t="s">
        <v>1942</v>
      </c>
      <c r="AD2072" s="6" t="s">
        <v>41161</v>
      </c>
      <c r="AE2072" s="1" t="s">
        <v>3338</v>
      </c>
      <c r="AF2072" s="1" t="s">
        <v>41171</v>
      </c>
      <c r="AG2072" s="6" t="s">
        <v>41172</v>
      </c>
      <c r="AH2072" s="1" t="s">
        <v>41173</v>
      </c>
      <c r="AI2072" s="6" t="s">
        <v>132</v>
      </c>
      <c r="AJ2072" s="6" t="s">
        <v>41174</v>
      </c>
      <c r="AK2072" s="1" t="s">
        <v>41175</v>
      </c>
      <c r="AL2072" s="6" t="s">
        <v>132</v>
      </c>
    </row>
    <row r="2073" ht="15.75" customHeight="1">
      <c r="A2073" s="1" t="s">
        <v>127</v>
      </c>
      <c r="B2073" s="1" t="s">
        <v>41176</v>
      </c>
      <c r="C2073" s="1" t="s">
        <v>41177</v>
      </c>
      <c r="D2073" s="8" t="s">
        <v>41178</v>
      </c>
      <c r="E2073" s="1" t="s">
        <v>41179</v>
      </c>
      <c r="F2073" s="6" t="s">
        <v>132</v>
      </c>
      <c r="G2073" s="1" t="s">
        <v>41180</v>
      </c>
      <c r="H2073" s="1" t="s">
        <v>41181</v>
      </c>
      <c r="I2073" s="1" t="s">
        <v>41182</v>
      </c>
      <c r="J2073" s="6" t="s">
        <v>41183</v>
      </c>
      <c r="K2073" s="1" t="s">
        <v>41184</v>
      </c>
      <c r="L2073" s="1" t="s">
        <v>41185</v>
      </c>
      <c r="M2073" s="1" t="s">
        <v>41186</v>
      </c>
      <c r="N2073" s="6" t="s">
        <v>132</v>
      </c>
      <c r="O2073" s="6" t="s">
        <v>41187</v>
      </c>
      <c r="P2073" s="1" t="s">
        <v>41177</v>
      </c>
      <c r="Q2073" s="1" t="s">
        <v>41188</v>
      </c>
      <c r="R2073" s="1" t="s">
        <v>41189</v>
      </c>
      <c r="S2073" s="10" t="s">
        <v>41190</v>
      </c>
      <c r="T2073" s="1" t="s">
        <v>41191</v>
      </c>
      <c r="U2073" s="1" t="s">
        <v>41192</v>
      </c>
      <c r="V2073" s="1" t="s">
        <v>41193</v>
      </c>
      <c r="W2073" s="1" t="s">
        <v>41194</v>
      </c>
      <c r="X2073" s="1" t="s">
        <v>41181</v>
      </c>
      <c r="Y2073" s="1" t="s">
        <v>41195</v>
      </c>
      <c r="Z2073" s="1" t="s">
        <v>41196</v>
      </c>
      <c r="AA2073" s="7" t="str">
        <f>IFERROR(__xludf.DUMMYFUNCTION("GOOGLETRANSLATE(C2073, ""en"", ""ro"")"),"CF din actul de funcționare.")</f>
        <v>CF din actul de funcționare.</v>
      </c>
      <c r="AB2073" s="1" t="s">
        <v>41197</v>
      </c>
      <c r="AC2073" s="1" t="s">
        <v>41198</v>
      </c>
      <c r="AD2073" s="6" t="s">
        <v>41199</v>
      </c>
      <c r="AE2073" s="1" t="s">
        <v>41200</v>
      </c>
      <c r="AF2073" s="1" t="s">
        <v>41201</v>
      </c>
      <c r="AG2073" s="6" t="s">
        <v>41202</v>
      </c>
      <c r="AH2073" s="1" t="s">
        <v>41203</v>
      </c>
      <c r="AI2073" s="6" t="s">
        <v>132</v>
      </c>
      <c r="AJ2073" s="6" t="s">
        <v>41204</v>
      </c>
      <c r="AK2073" s="1" t="s">
        <v>41205</v>
      </c>
      <c r="AL2073" s="6" t="s">
        <v>132</v>
      </c>
    </row>
    <row r="2074" ht="15.75" customHeight="1">
      <c r="A2074" s="1" t="s">
        <v>127</v>
      </c>
      <c r="B2074" s="1" t="s">
        <v>41206</v>
      </c>
      <c r="C2074" s="1" t="s">
        <v>637</v>
      </c>
      <c r="D2074" s="8" t="s">
        <v>41207</v>
      </c>
      <c r="E2074" s="1" t="s">
        <v>41208</v>
      </c>
      <c r="F2074" s="6" t="s">
        <v>132</v>
      </c>
      <c r="G2074" s="1" t="s">
        <v>637</v>
      </c>
      <c r="H2074" s="1" t="s">
        <v>41209</v>
      </c>
      <c r="I2074" s="1" t="s">
        <v>41210</v>
      </c>
      <c r="J2074" s="6" t="s">
        <v>41211</v>
      </c>
      <c r="K2074" s="1" t="s">
        <v>41212</v>
      </c>
      <c r="L2074" s="1" t="s">
        <v>41213</v>
      </c>
      <c r="M2074" s="1" t="s">
        <v>33889</v>
      </c>
      <c r="N2074" s="6" t="s">
        <v>132</v>
      </c>
      <c r="O2074" s="6" t="s">
        <v>635</v>
      </c>
      <c r="P2074" s="1" t="s">
        <v>41214</v>
      </c>
      <c r="Q2074" s="1" t="s">
        <v>637</v>
      </c>
      <c r="R2074" s="1" t="s">
        <v>41215</v>
      </c>
      <c r="S2074" s="10" t="s">
        <v>41216</v>
      </c>
      <c r="T2074" s="1" t="s">
        <v>640</v>
      </c>
      <c r="U2074" s="1" t="s">
        <v>641</v>
      </c>
      <c r="V2074" s="1" t="s">
        <v>637</v>
      </c>
      <c r="W2074" s="1" t="s">
        <v>33889</v>
      </c>
      <c r="X2074" s="1" t="s">
        <v>41209</v>
      </c>
      <c r="Y2074" s="1" t="s">
        <v>41217</v>
      </c>
      <c r="Z2074" s="1" t="s">
        <v>33890</v>
      </c>
      <c r="AA2074" s="7" t="str">
        <f>IFERROR(__xludf.DUMMYFUNCTION("GOOGLETRANSLATE(C2074, ""en"", ""ro"")"),"Portofoliu.")</f>
        <v>Portofoliu.</v>
      </c>
      <c r="AB2074" s="1" t="s">
        <v>41218</v>
      </c>
      <c r="AC2074" s="1" t="s">
        <v>41219</v>
      </c>
      <c r="AD2074" s="6" t="s">
        <v>41220</v>
      </c>
      <c r="AE2074" s="1" t="s">
        <v>41221</v>
      </c>
      <c r="AF2074" s="1" t="s">
        <v>41222</v>
      </c>
      <c r="AG2074" s="6" t="s">
        <v>650</v>
      </c>
      <c r="AH2074" s="1" t="s">
        <v>41223</v>
      </c>
      <c r="AI2074" s="6" t="s">
        <v>132</v>
      </c>
      <c r="AJ2074" s="6" t="s">
        <v>41224</v>
      </c>
      <c r="AK2074" s="1" t="s">
        <v>653</v>
      </c>
      <c r="AL2074" s="6" t="s">
        <v>41225</v>
      </c>
    </row>
    <row r="2075" ht="15.75" hidden="1" customHeight="1">
      <c r="A2075" s="1" t="s">
        <v>38</v>
      </c>
      <c r="B2075" s="1" t="s">
        <v>41226</v>
      </c>
      <c r="C2075" s="1" t="s">
        <v>41227</v>
      </c>
      <c r="D2075" s="7" t="str">
        <f>IFERROR(__xludf.DUMMYFUNCTION("GOOGLETRANSLATE(C2075, ""en"", ""ar"")"),"صورة مشتركة مع٪ s")</f>
        <v>صورة مشتركة مع٪ s</v>
      </c>
      <c r="E2075" s="1" t="s">
        <v>41228</v>
      </c>
      <c r="F2075" s="6" t="s">
        <v>41229</v>
      </c>
      <c r="G2075" s="7" t="str">
        <f>IFERROR(__xludf.DUMMYFUNCTION("GOOGLETRANSLATE(C2075, ""en"", ""cs"")"),"Sdílený obraz s% s")</f>
        <v>Sdílený obraz s% s</v>
      </c>
      <c r="H2075" s="7" t="str">
        <f>IFERROR(__xludf.DUMMYFUNCTION("GOOGLETRANSLATE(C2075, ""en"", ""da"")"),"Fælles billede med% s")</f>
        <v>Fælles billede med% s</v>
      </c>
      <c r="I2075" s="1" t="s">
        <v>41230</v>
      </c>
      <c r="J2075" s="6" t="s">
        <v>132</v>
      </c>
      <c r="K2075" s="1" t="s">
        <v>41231</v>
      </c>
      <c r="L2075" s="7" t="str">
        <f>IFERROR(__xludf.DUMMYFUNCTION("GOOGLETRANSLATE(C2075, ""en"", ""fi"")"),"Jaettu kuva% s: llä")</f>
        <v>Jaettu kuva% s: llä</v>
      </c>
      <c r="M2075" s="1" t="s">
        <v>321</v>
      </c>
      <c r="N2075" s="6" t="s">
        <v>41232</v>
      </c>
      <c r="O2075" s="6" t="s">
        <v>132</v>
      </c>
      <c r="P2075" s="1" t="s">
        <v>41233</v>
      </c>
      <c r="Q2075" s="7" t="str">
        <f>IFERROR(__xludf.DUMMYFUNCTION("GOOGLETRANSLATE(C2075, ""en"", ""in"")"),"Gambar bersama dengan% s")</f>
        <v>Gambar bersama dengan% s</v>
      </c>
      <c r="R2075" s="1" t="s">
        <v>41234</v>
      </c>
      <c r="S2075" s="6" t="s">
        <v>132</v>
      </c>
      <c r="T2075" s="1" t="s">
        <v>325</v>
      </c>
      <c r="U2075" s="1" t="s">
        <v>41235</v>
      </c>
      <c r="V2075" s="7" t="str">
        <f>IFERROR(__xludf.DUMMYFUNCTION("GOOGLETRANSLATE(C2075, ""en"", ""ms"")"),"Imej yang dikongsi dengan% s")</f>
        <v>Imej yang dikongsi dengan% s</v>
      </c>
      <c r="W2075" s="1" t="s">
        <v>41236</v>
      </c>
      <c r="X2075" s="7" t="str">
        <f>IFERROR(__xludf.DUMMYFUNCTION("GOOGLETRANSLATE(C2075, ""en"", ""no"")"),"Delt bilde med% s")</f>
        <v>Delt bilde med% s</v>
      </c>
      <c r="Y2075" s="1" t="s">
        <v>41237</v>
      </c>
      <c r="Z2075" s="1" t="s">
        <v>41238</v>
      </c>
      <c r="AA2075" s="7" t="str">
        <f>IFERROR(__xludf.DUMMYFUNCTION("GOOGLETRANSLATE(C2075, ""en"", ""ro"")"),"Imagine partajată cu% s")</f>
        <v>Imagine partajată cu% s</v>
      </c>
      <c r="AB2075" s="1" t="s">
        <v>41239</v>
      </c>
      <c r="AC2075" s="7" t="str">
        <f>IFERROR(__xludf.DUMMYFUNCTION("GOOGLETRANSLATE(C2075, ""en"", ""sk"")"),"Zdieľaný obrázok s% s")</f>
        <v>Zdieľaný obrázok s% s</v>
      </c>
      <c r="AD2075" s="6" t="s">
        <v>132</v>
      </c>
      <c r="AE2075" s="1" t="s">
        <v>41240</v>
      </c>
      <c r="AF2075" s="1" t="s">
        <v>41241</v>
      </c>
      <c r="AG2075" s="6" t="s">
        <v>132</v>
      </c>
      <c r="AH2075" s="7" t="str">
        <f>IFERROR(__xludf.DUMMYFUNCTION("GOOGLETRANSLATE(C2075, ""en"", ""tr"")"),"% S ile paylaşılan görüntü")</f>
        <v>% S ile paylaşılan görüntü</v>
      </c>
      <c r="AI2075" s="6" t="s">
        <v>41242</v>
      </c>
      <c r="AJ2075" s="6" t="s">
        <v>41243</v>
      </c>
      <c r="AK2075" s="7" t="str">
        <f>IFERROR(__xludf.DUMMYFUNCTION("GOOGLETRANSLATE(C2075, ""en"", ""zh"")"),"具有％s的共享图像")</f>
        <v>具有％s的共享图像</v>
      </c>
      <c r="AL2075" s="6" t="s">
        <v>41244</v>
      </c>
    </row>
    <row r="2076" ht="15.75" customHeight="1">
      <c r="A2076" s="1" t="s">
        <v>127</v>
      </c>
      <c r="B2076" s="1" t="s">
        <v>41245</v>
      </c>
      <c r="C2076" s="1" t="s">
        <v>14769</v>
      </c>
      <c r="D2076" s="8" t="s">
        <v>14770</v>
      </c>
      <c r="E2076" s="1" t="s">
        <v>14771</v>
      </c>
      <c r="F2076" s="6" t="s">
        <v>132</v>
      </c>
      <c r="G2076" s="1" t="s">
        <v>14772</v>
      </c>
      <c r="H2076" s="1" t="s">
        <v>14773</v>
      </c>
      <c r="I2076" s="1" t="s">
        <v>374</v>
      </c>
      <c r="J2076" s="6" t="s">
        <v>14774</v>
      </c>
      <c r="K2076" s="1" t="s">
        <v>14775</v>
      </c>
      <c r="L2076" s="1" t="s">
        <v>14776</v>
      </c>
      <c r="M2076" s="1" t="s">
        <v>14777</v>
      </c>
      <c r="N2076" s="6" t="s">
        <v>132</v>
      </c>
      <c r="O2076" s="6" t="s">
        <v>14778</v>
      </c>
      <c r="P2076" s="1" t="s">
        <v>14779</v>
      </c>
      <c r="Q2076" s="1" t="s">
        <v>14780</v>
      </c>
      <c r="R2076" s="1" t="s">
        <v>14781</v>
      </c>
      <c r="S2076" s="10" t="s">
        <v>14782</v>
      </c>
      <c r="T2076" s="1" t="s">
        <v>384</v>
      </c>
      <c r="U2076" s="1" t="s">
        <v>14783</v>
      </c>
      <c r="V2076" s="1" t="s">
        <v>14780</v>
      </c>
      <c r="W2076" s="1" t="s">
        <v>14784</v>
      </c>
      <c r="X2076" s="1" t="s">
        <v>14773</v>
      </c>
      <c r="Y2076" s="1" t="s">
        <v>389</v>
      </c>
      <c r="Z2076" s="1" t="s">
        <v>390</v>
      </c>
      <c r="AA2076" s="7" t="str">
        <f>IFERROR(__xludf.DUMMYFUNCTION("GOOGLETRANSLATE(C2076, ""en"", ""ro"")"),"Metale")</f>
        <v>Metale</v>
      </c>
      <c r="AB2076" s="1" t="s">
        <v>14785</v>
      </c>
      <c r="AC2076" s="1" t="s">
        <v>14772</v>
      </c>
      <c r="AD2076" s="6" t="s">
        <v>14786</v>
      </c>
      <c r="AE2076" s="1" t="s">
        <v>395</v>
      </c>
      <c r="AF2076" s="1" t="s">
        <v>14773</v>
      </c>
      <c r="AG2076" s="6" t="s">
        <v>14787</v>
      </c>
      <c r="AH2076" s="1" t="s">
        <v>41246</v>
      </c>
      <c r="AI2076" s="6" t="s">
        <v>132</v>
      </c>
      <c r="AJ2076" s="6" t="s">
        <v>14788</v>
      </c>
      <c r="AK2076" s="1" t="s">
        <v>384</v>
      </c>
      <c r="AL2076" s="6" t="s">
        <v>400</v>
      </c>
    </row>
    <row r="2077" ht="15.75" customHeight="1">
      <c r="A2077" s="1" t="s">
        <v>127</v>
      </c>
      <c r="B2077" s="1" t="s">
        <v>41247</v>
      </c>
      <c r="C2077" s="1" t="s">
        <v>41248</v>
      </c>
      <c r="D2077" s="8" t="s">
        <v>41249</v>
      </c>
      <c r="E2077" s="1" t="s">
        <v>41250</v>
      </c>
      <c r="F2077" s="6" t="s">
        <v>132</v>
      </c>
      <c r="G2077" s="1" t="s">
        <v>41251</v>
      </c>
      <c r="H2077" s="1" t="s">
        <v>41252</v>
      </c>
      <c r="I2077" s="1" t="s">
        <v>41253</v>
      </c>
      <c r="J2077" s="6" t="s">
        <v>41254</v>
      </c>
      <c r="K2077" s="1" t="s">
        <v>41255</v>
      </c>
      <c r="L2077" s="1" t="s">
        <v>41256</v>
      </c>
      <c r="M2077" s="1" t="s">
        <v>41257</v>
      </c>
      <c r="N2077" s="6" t="s">
        <v>132</v>
      </c>
      <c r="O2077" s="6" t="s">
        <v>41258</v>
      </c>
      <c r="P2077" s="1" t="s">
        <v>41259</v>
      </c>
      <c r="Q2077" s="1" t="s">
        <v>41260</v>
      </c>
      <c r="R2077" s="1" t="s">
        <v>41261</v>
      </c>
      <c r="S2077" s="10" t="s">
        <v>41262</v>
      </c>
      <c r="T2077" s="1" t="s">
        <v>41263</v>
      </c>
      <c r="U2077" s="1" t="s">
        <v>41264</v>
      </c>
      <c r="V2077" s="1" t="s">
        <v>41265</v>
      </c>
      <c r="W2077" s="1" t="s">
        <v>41266</v>
      </c>
      <c r="X2077" s="1" t="s">
        <v>41252</v>
      </c>
      <c r="Y2077" s="1" t="s">
        <v>41267</v>
      </c>
      <c r="Z2077" s="1" t="s">
        <v>41268</v>
      </c>
      <c r="AA2077" s="7" t="str">
        <f>IFERROR(__xludf.DUMMYFUNCTION("GOOGLETRANSLATE(C2077, ""en"", ""ro"")"),"Ascunde detaliile")</f>
        <v>Ascunde detaliile</v>
      </c>
      <c r="AB2077" s="1" t="s">
        <v>41269</v>
      </c>
      <c r="AC2077" s="1" t="s">
        <v>41270</v>
      </c>
      <c r="AD2077" s="6" t="s">
        <v>41271</v>
      </c>
      <c r="AE2077" s="1" t="s">
        <v>41272</v>
      </c>
      <c r="AF2077" s="1" t="s">
        <v>41273</v>
      </c>
      <c r="AG2077" s="6" t="s">
        <v>41274</v>
      </c>
      <c r="AH2077" s="1" t="s">
        <v>41275</v>
      </c>
      <c r="AI2077" s="6" t="s">
        <v>132</v>
      </c>
      <c r="AJ2077" s="6" t="s">
        <v>41276</v>
      </c>
      <c r="AK2077" s="1" t="s">
        <v>41277</v>
      </c>
      <c r="AL2077" s="6" t="s">
        <v>41278</v>
      </c>
    </row>
    <row r="2078" ht="15.75" hidden="1" customHeight="1">
      <c r="A2078" s="1" t="s">
        <v>38</v>
      </c>
      <c r="B2078" s="1" t="s">
        <v>41279</v>
      </c>
      <c r="C2078" s="1" t="s">
        <v>41280</v>
      </c>
      <c r="D2078" s="7" t="str">
        <f>IFERROR(__xludf.DUMMYFUNCTION("GOOGLETRANSLATE(C2078, ""en"", ""ar"")"),"نسخة الموقع")</f>
        <v>نسخة الموقع</v>
      </c>
      <c r="E2078" s="1" t="s">
        <v>41281</v>
      </c>
      <c r="F2078" s="6" t="s">
        <v>41282</v>
      </c>
      <c r="G2078" s="7" t="str">
        <f>IFERROR(__xludf.DUMMYFUNCTION("GOOGLETRANSLATE(C2078, ""en"", ""cs"")"),"Umístění kopie")</f>
        <v>Umístění kopie</v>
      </c>
      <c r="H2078" s="7" t="str">
        <f>IFERROR(__xludf.DUMMYFUNCTION("GOOGLETRANSLATE(C2078, ""en"", ""da"")"),"Kopier placering")</f>
        <v>Kopier placering</v>
      </c>
      <c r="I2078" s="1" t="s">
        <v>41283</v>
      </c>
      <c r="J2078" s="6" t="s">
        <v>132</v>
      </c>
      <c r="K2078" s="1" t="s">
        <v>41284</v>
      </c>
      <c r="L2078" s="7" t="str">
        <f>IFERROR(__xludf.DUMMYFUNCTION("GOOGLETRANSLATE(C2078, ""en"", ""fi"")"),"Kopioi sijainti")</f>
        <v>Kopioi sijainti</v>
      </c>
      <c r="M2078" s="1" t="s">
        <v>41285</v>
      </c>
      <c r="N2078" s="6" t="s">
        <v>41286</v>
      </c>
      <c r="O2078" s="6" t="s">
        <v>132</v>
      </c>
      <c r="P2078" s="1" t="s">
        <v>41287</v>
      </c>
      <c r="Q2078" s="7" t="str">
        <f>IFERROR(__xludf.DUMMYFUNCTION("GOOGLETRANSLATE(C2078, ""en"", ""in"")"),"Salin lokasi")</f>
        <v>Salin lokasi</v>
      </c>
      <c r="R2078" s="1" t="s">
        <v>41288</v>
      </c>
      <c r="S2078" s="6" t="s">
        <v>132</v>
      </c>
      <c r="T2078" s="1" t="s">
        <v>41289</v>
      </c>
      <c r="U2078" s="7" t="str">
        <f>IFERROR(__xludf.DUMMYFUNCTION("GOOGLETRANSLATE(C2078, ""en"", ""ko"")"),"위치 복사")</f>
        <v>위치 복사</v>
      </c>
      <c r="V2078" s="7" t="str">
        <f>IFERROR(__xludf.DUMMYFUNCTION("GOOGLETRANSLATE(C2078, ""en"", ""ms"")"),"Salin lokasi")</f>
        <v>Salin lokasi</v>
      </c>
      <c r="W2078" s="1" t="s">
        <v>41290</v>
      </c>
      <c r="X2078" s="7" t="str">
        <f>IFERROR(__xludf.DUMMYFUNCTION("GOOGLETRANSLATE(C2078, ""en"", ""no"")"),"Kopier plassering")</f>
        <v>Kopier plassering</v>
      </c>
      <c r="Y2078" s="1" t="s">
        <v>41291</v>
      </c>
      <c r="Z2078" s="7" t="str">
        <f>IFERROR(__xludf.DUMMYFUNCTION("GOOGLETRANSLATE(C2078, ""en"", ""pt"")"),"Copiar Localização")</f>
        <v>Copiar Localização</v>
      </c>
      <c r="AA2078" s="7" t="str">
        <f>IFERROR(__xludf.DUMMYFUNCTION("GOOGLETRANSLATE(C2078, ""en"", ""ro"")"),"Copiați locația")</f>
        <v>Copiați locația</v>
      </c>
      <c r="AB2078" s="1" t="s">
        <v>41292</v>
      </c>
      <c r="AC2078" s="7" t="str">
        <f>IFERROR(__xludf.DUMMYFUNCTION("GOOGLETRANSLATE(C2078, ""en"", ""sk"")"),"Umiestnenie kopírovania")</f>
        <v>Umiestnenie kopírovania</v>
      </c>
      <c r="AD2078" s="6" t="s">
        <v>132</v>
      </c>
      <c r="AE2078" s="1" t="s">
        <v>41293</v>
      </c>
      <c r="AF2078" s="7" t="str">
        <f>IFERROR(__xludf.DUMMYFUNCTION("GOOGLETRANSLATE(C2078, ""en"", ""sv"")"),"Kopiera plats")</f>
        <v>Kopiera plats</v>
      </c>
      <c r="AG2078" s="6" t="s">
        <v>132</v>
      </c>
      <c r="AH2078" s="7" t="str">
        <f>IFERROR(__xludf.DUMMYFUNCTION("GOOGLETRANSLATE(C2078, ""en"", ""tr"")"),"Kopyalama yeri")</f>
        <v>Kopyalama yeri</v>
      </c>
      <c r="AI2078" s="6" t="s">
        <v>132</v>
      </c>
      <c r="AJ2078" s="6" t="s">
        <v>132</v>
      </c>
      <c r="AK2078" s="7" t="str">
        <f>IFERROR(__xludf.DUMMYFUNCTION("GOOGLETRANSLATE(C2078, ""en"", ""zh"")"),"复制位置")</f>
        <v>复制位置</v>
      </c>
      <c r="AL2078" s="6" t="s">
        <v>132</v>
      </c>
    </row>
    <row r="2079" ht="15.75" hidden="1" customHeight="1">
      <c r="A2079" s="1" t="s">
        <v>38</v>
      </c>
      <c r="B2079" s="1" t="s">
        <v>41294</v>
      </c>
      <c r="C2079" s="1" t="s">
        <v>41295</v>
      </c>
      <c r="D2079" s="7" t="str">
        <f>IFERROR(__xludf.DUMMYFUNCTION("GOOGLETRANSLATE(C2079, ""en"", ""ar"")"),"رواندا")</f>
        <v>رواندا</v>
      </c>
      <c r="E2079" s="7" t="str">
        <f>IFERROR(__xludf.DUMMYFUNCTION("GOOGLETRANSLATE(C2079, ""en"", ""bg"")"),"Руанда")</f>
        <v>Руанда</v>
      </c>
      <c r="F2079" s="6" t="s">
        <v>132</v>
      </c>
      <c r="G2079" s="7" t="str">
        <f>IFERROR(__xludf.DUMMYFUNCTION("GOOGLETRANSLATE(C2079, ""en"", ""cs"")"),"Rwanda.")</f>
        <v>Rwanda.</v>
      </c>
      <c r="H2079" s="7" t="str">
        <f>IFERROR(__xludf.DUMMYFUNCTION("GOOGLETRANSLATE(C2079, ""en"", ""da"")"),"Rwanda.")</f>
        <v>Rwanda.</v>
      </c>
      <c r="I2079" s="1" t="s">
        <v>41296</v>
      </c>
      <c r="J2079" s="6" t="s">
        <v>132</v>
      </c>
      <c r="K2079" s="1" t="s">
        <v>41296</v>
      </c>
      <c r="L2079" s="7" t="str">
        <f>IFERROR(__xludf.DUMMYFUNCTION("GOOGLETRANSLATE(C2079, ""en"", ""fi"")"),"Ruanda")</f>
        <v>Ruanda</v>
      </c>
      <c r="M2079" s="1" t="s">
        <v>41295</v>
      </c>
      <c r="N2079" s="6" t="s">
        <v>132</v>
      </c>
      <c r="O2079" s="6" t="s">
        <v>132</v>
      </c>
      <c r="P2079" s="1" t="s">
        <v>41295</v>
      </c>
      <c r="Q2079" s="7" t="str">
        <f>IFERROR(__xludf.DUMMYFUNCTION("GOOGLETRANSLATE(C2079, ""en"", ""in"")"),"Rwanda")</f>
        <v>Rwanda</v>
      </c>
      <c r="R2079" s="7" t="str">
        <f>IFERROR(__xludf.DUMMYFUNCTION("GOOGLETRANSLATE(C2079, ""en"", ""it"")"),"Ruanda")</f>
        <v>Ruanda</v>
      </c>
      <c r="S2079" s="6" t="s">
        <v>132</v>
      </c>
      <c r="T2079" s="7" t="str">
        <f>IFERROR(__xludf.DUMMYFUNCTION("GOOGLETRANSLATE(C2079, ""en"", ""ja"")"),"ルワンダ")</f>
        <v>ルワンダ</v>
      </c>
      <c r="U2079" s="7" t="str">
        <f>IFERROR(__xludf.DUMMYFUNCTION("GOOGLETRANSLATE(C2079, ""en"", ""ko"")"),"르완다")</f>
        <v>르완다</v>
      </c>
      <c r="V2079" s="7" t="str">
        <f>IFERROR(__xludf.DUMMYFUNCTION("GOOGLETRANSLATE(C2079, ""en"", ""ms"")"),"Rwanda.")</f>
        <v>Rwanda.</v>
      </c>
      <c r="W2079" s="7" t="str">
        <f>IFERROR(__xludf.DUMMYFUNCTION("GOOGLETRANSLATE(C2079, ""en"", ""nl"")"),"Rwanda")</f>
        <v>Rwanda</v>
      </c>
      <c r="X2079" s="7" t="str">
        <f>IFERROR(__xludf.DUMMYFUNCTION("GOOGLETRANSLATE(C2079, ""en"", ""no"")"),"Rwanda.")</f>
        <v>Rwanda.</v>
      </c>
      <c r="Y2079" s="7" t="str">
        <f>IFERROR(__xludf.DUMMYFUNCTION("GOOGLETRANSLATE(C2079, ""en"", ""pl"")"),"Rwanda.")</f>
        <v>Rwanda.</v>
      </c>
      <c r="Z2079" s="7" t="str">
        <f>IFERROR(__xludf.DUMMYFUNCTION("GOOGLETRANSLATE(C2079, ""en"", ""pt"")"),"Ruanda")</f>
        <v>Ruanda</v>
      </c>
      <c r="AA2079" s="7" t="str">
        <f>IFERROR(__xludf.DUMMYFUNCTION("GOOGLETRANSLATE(C2079, ""en"", ""ro"")"),"Rwanda.")</f>
        <v>Rwanda.</v>
      </c>
      <c r="AB2079" s="1" t="s">
        <v>41297</v>
      </c>
      <c r="AC2079" s="7" t="str">
        <f>IFERROR(__xludf.DUMMYFUNCTION("GOOGLETRANSLATE(C2079, ""en"", ""sk"")"),"Rwanda")</f>
        <v>Rwanda</v>
      </c>
      <c r="AD2079" s="6" t="s">
        <v>132</v>
      </c>
      <c r="AE2079" s="1" t="s">
        <v>41296</v>
      </c>
      <c r="AF2079" s="7" t="str">
        <f>IFERROR(__xludf.DUMMYFUNCTION("GOOGLETRANSLATE(C2079, ""en"", ""sv"")"),"Rwanda")</f>
        <v>Rwanda</v>
      </c>
      <c r="AG2079" s="6" t="s">
        <v>132</v>
      </c>
      <c r="AH2079" s="7" t="str">
        <f>IFERROR(__xludf.DUMMYFUNCTION("GOOGLETRANSLATE(C2079, ""en"", ""tr"")"),"Ruanda")</f>
        <v>Ruanda</v>
      </c>
      <c r="AI2079" s="6" t="s">
        <v>132</v>
      </c>
      <c r="AJ2079" s="6" t="s">
        <v>132</v>
      </c>
      <c r="AK2079" s="7" t="str">
        <f>IFERROR(__xludf.DUMMYFUNCTION("GOOGLETRANSLATE(C2079, ""en"", ""zh"")"),"卢旺达")</f>
        <v>卢旺达</v>
      </c>
      <c r="AL2079" s="6" t="s">
        <v>132</v>
      </c>
    </row>
    <row r="2080" ht="15.75" hidden="1" customHeight="1">
      <c r="A2080" s="1" t="s">
        <v>38</v>
      </c>
      <c r="B2080" s="1" t="s">
        <v>41298</v>
      </c>
      <c r="C2080" s="1" t="s">
        <v>41299</v>
      </c>
      <c r="D2080" s="7" t="str">
        <f>IFERROR(__xludf.DUMMYFUNCTION("GOOGLETRANSLATE(C2080, ""en"", ""ar"")"),"سيرا ليون")</f>
        <v>سيرا ليون</v>
      </c>
      <c r="E2080" s="7" t="str">
        <f>IFERROR(__xludf.DUMMYFUNCTION("GOOGLETRANSLATE(C2080, ""en"", ""bg"")"),"Сиера Леоне")</f>
        <v>Сиера Леоне</v>
      </c>
      <c r="F2080" s="6" t="s">
        <v>132</v>
      </c>
      <c r="G2080" s="7" t="str">
        <f>IFERROR(__xludf.DUMMYFUNCTION("GOOGLETRANSLATE(C2080, ""en"", ""cs"")"),"Sierra Leone")</f>
        <v>Sierra Leone</v>
      </c>
      <c r="H2080" s="7" t="str">
        <f>IFERROR(__xludf.DUMMYFUNCTION("GOOGLETRANSLATE(C2080, ""en"", ""da"")"),"Sierra Leone")</f>
        <v>Sierra Leone</v>
      </c>
      <c r="I2080" s="1" t="s">
        <v>41299</v>
      </c>
      <c r="J2080" s="6" t="s">
        <v>132</v>
      </c>
      <c r="K2080" s="1" t="s">
        <v>41300</v>
      </c>
      <c r="L2080" s="7" t="str">
        <f>IFERROR(__xludf.DUMMYFUNCTION("GOOGLETRANSLATE(C2080, ""en"", ""fi"")"),"Sierra Leone")</f>
        <v>Sierra Leone</v>
      </c>
      <c r="M2080" s="1" t="s">
        <v>41299</v>
      </c>
      <c r="N2080" s="6" t="s">
        <v>132</v>
      </c>
      <c r="O2080" s="6" t="s">
        <v>132</v>
      </c>
      <c r="P2080" s="1" t="s">
        <v>41299</v>
      </c>
      <c r="Q2080" s="7" t="str">
        <f>IFERROR(__xludf.DUMMYFUNCTION("GOOGLETRANSLATE(C2080, ""en"", ""in"")"),"Sierra Leone.")</f>
        <v>Sierra Leone.</v>
      </c>
      <c r="R2080" s="7" t="str">
        <f>IFERROR(__xludf.DUMMYFUNCTION("GOOGLETRANSLATE(C2080, ""en"", ""it"")"),"Sierra Leone")</f>
        <v>Sierra Leone</v>
      </c>
      <c r="S2080" s="6" t="s">
        <v>132</v>
      </c>
      <c r="T2080" s="7" t="str">
        <f>IFERROR(__xludf.DUMMYFUNCTION("GOOGLETRANSLATE(C2080, ""en"", ""ja"")"),"シエラレオネ")</f>
        <v>シエラレオネ</v>
      </c>
      <c r="U2080" s="7" t="str">
        <f>IFERROR(__xludf.DUMMYFUNCTION("GOOGLETRANSLATE(C2080, ""en"", ""ko"")"),"시에라 리온")</f>
        <v>시에라 리온</v>
      </c>
      <c r="V2080" s="7" t="str">
        <f>IFERROR(__xludf.DUMMYFUNCTION("GOOGLETRANSLATE(C2080, ""en"", ""ms"")"),"Sierra Leone")</f>
        <v>Sierra Leone</v>
      </c>
      <c r="W2080" s="7" t="str">
        <f>IFERROR(__xludf.DUMMYFUNCTION("GOOGLETRANSLATE(C2080, ""en"", ""nl"")"),"Sierra Leone")</f>
        <v>Sierra Leone</v>
      </c>
      <c r="X2080" s="7" t="str">
        <f>IFERROR(__xludf.DUMMYFUNCTION("GOOGLETRANSLATE(C2080, ""en"", ""no"")"),"Sierra Leone.")</f>
        <v>Sierra Leone.</v>
      </c>
      <c r="Y2080" s="7" t="str">
        <f>IFERROR(__xludf.DUMMYFUNCTION("GOOGLETRANSLATE(C2080, ""en"", ""pl"")"),"Sierra leone.")</f>
        <v>Sierra leone.</v>
      </c>
      <c r="Z2080" s="7" t="str">
        <f>IFERROR(__xludf.DUMMYFUNCTION("GOOGLETRANSLATE(C2080, ""en"", ""pt"")"),"Serra Leoa")</f>
        <v>Serra Leoa</v>
      </c>
      <c r="AA2080" s="7" t="str">
        <f>IFERROR(__xludf.DUMMYFUNCTION("GOOGLETRANSLATE(C2080, ""en"", ""ro"")"),"Sierra Leone")</f>
        <v>Sierra Leone</v>
      </c>
      <c r="AB2080" s="1" t="s">
        <v>41301</v>
      </c>
      <c r="AC2080" s="7" t="str">
        <f>IFERROR(__xludf.DUMMYFUNCTION("GOOGLETRANSLATE(C2080, ""en"", ""sk"")"),"Sierra Leone")</f>
        <v>Sierra Leone</v>
      </c>
      <c r="AD2080" s="6" t="s">
        <v>132</v>
      </c>
      <c r="AE2080" s="1" t="s">
        <v>41302</v>
      </c>
      <c r="AF2080" s="7" t="str">
        <f>IFERROR(__xludf.DUMMYFUNCTION("GOOGLETRANSLATE(C2080, ""en"", ""sv"")"),"Sierra Leone")</f>
        <v>Sierra Leone</v>
      </c>
      <c r="AG2080" s="6" t="s">
        <v>132</v>
      </c>
      <c r="AH2080" s="7" t="str">
        <f>IFERROR(__xludf.DUMMYFUNCTION("GOOGLETRANSLATE(C2080, ""en"", ""tr"")"),"Sierra Leone")</f>
        <v>Sierra Leone</v>
      </c>
      <c r="AI2080" s="6" t="s">
        <v>132</v>
      </c>
      <c r="AJ2080" s="6" t="s">
        <v>132</v>
      </c>
      <c r="AK2080" s="7" t="str">
        <f>IFERROR(__xludf.DUMMYFUNCTION("GOOGLETRANSLATE(C2080, ""en"", ""zh"")"),"塞拉利昂")</f>
        <v>塞拉利昂</v>
      </c>
      <c r="AL2080" s="6" t="s">
        <v>132</v>
      </c>
    </row>
    <row r="2081" ht="15.75" customHeight="1">
      <c r="A2081" s="1" t="s">
        <v>127</v>
      </c>
      <c r="B2081" s="1" t="s">
        <v>41303</v>
      </c>
      <c r="C2081" s="1" t="s">
        <v>41304</v>
      </c>
      <c r="D2081" s="8" t="s">
        <v>41305</v>
      </c>
      <c r="E2081" s="1" t="s">
        <v>41306</v>
      </c>
      <c r="F2081" s="6" t="s">
        <v>132</v>
      </c>
      <c r="G2081" s="1" t="s">
        <v>41307</v>
      </c>
      <c r="H2081" s="1" t="s">
        <v>41308</v>
      </c>
      <c r="I2081" s="1" t="s">
        <v>41309</v>
      </c>
      <c r="J2081" s="6" t="s">
        <v>41310</v>
      </c>
      <c r="K2081" s="1" t="s">
        <v>41311</v>
      </c>
      <c r="L2081" s="1" t="s">
        <v>41312</v>
      </c>
      <c r="M2081" s="1" t="s">
        <v>41313</v>
      </c>
      <c r="N2081" s="6" t="s">
        <v>132</v>
      </c>
      <c r="O2081" s="6" t="s">
        <v>41314</v>
      </c>
      <c r="P2081" s="1" t="s">
        <v>41315</v>
      </c>
      <c r="Q2081" s="1" t="s">
        <v>41316</v>
      </c>
      <c r="R2081" s="1" t="s">
        <v>41317</v>
      </c>
      <c r="S2081" s="10" t="s">
        <v>41318</v>
      </c>
      <c r="T2081" s="1" t="s">
        <v>41319</v>
      </c>
      <c r="U2081" s="1" t="s">
        <v>41320</v>
      </c>
      <c r="V2081" s="1" t="s">
        <v>41316</v>
      </c>
      <c r="W2081" s="1" t="s">
        <v>41321</v>
      </c>
      <c r="X2081" s="1" t="s">
        <v>41322</v>
      </c>
      <c r="Y2081" s="1" t="s">
        <v>41323</v>
      </c>
      <c r="Z2081" s="1" t="s">
        <v>41311</v>
      </c>
      <c r="AA2081" s="7" t="str">
        <f>IFERROR(__xludf.DUMMYFUNCTION("GOOGLETRANSLATE(C2081, ""en"", ""ro"")"),"Valoare nominala")</f>
        <v>Valoare nominala</v>
      </c>
      <c r="AB2081" s="1" t="s">
        <v>41324</v>
      </c>
      <c r="AC2081" s="1" t="s">
        <v>41325</v>
      </c>
      <c r="AD2081" s="6" t="s">
        <v>41326</v>
      </c>
      <c r="AE2081" s="1" t="s">
        <v>41326</v>
      </c>
      <c r="AF2081" s="1" t="s">
        <v>41327</v>
      </c>
      <c r="AG2081" s="6" t="s">
        <v>41328</v>
      </c>
      <c r="AH2081" s="1" t="s">
        <v>41329</v>
      </c>
      <c r="AI2081" s="6" t="s">
        <v>132</v>
      </c>
      <c r="AJ2081" s="6" t="s">
        <v>41330</v>
      </c>
      <c r="AK2081" s="1" t="s">
        <v>41331</v>
      </c>
      <c r="AL2081" s="6" t="s">
        <v>132</v>
      </c>
    </row>
    <row r="2082" ht="15.75" customHeight="1">
      <c r="A2082" s="1" t="s">
        <v>127</v>
      </c>
      <c r="B2082" s="1" t="s">
        <v>41332</v>
      </c>
      <c r="C2082" s="1" t="s">
        <v>10058</v>
      </c>
      <c r="D2082" s="8" t="s">
        <v>10059</v>
      </c>
      <c r="E2082" s="1" t="s">
        <v>10060</v>
      </c>
      <c r="F2082" s="6" t="s">
        <v>132</v>
      </c>
      <c r="G2082" s="1" t="s">
        <v>10061</v>
      </c>
      <c r="H2082" s="1" t="s">
        <v>10062</v>
      </c>
      <c r="I2082" s="1" t="s">
        <v>32344</v>
      </c>
      <c r="J2082" s="6" t="s">
        <v>10064</v>
      </c>
      <c r="K2082" s="1" t="s">
        <v>10065</v>
      </c>
      <c r="L2082" s="1" t="s">
        <v>10066</v>
      </c>
      <c r="M2082" s="1" t="s">
        <v>10067</v>
      </c>
      <c r="N2082" s="6" t="s">
        <v>132</v>
      </c>
      <c r="O2082" s="6" t="s">
        <v>10068</v>
      </c>
      <c r="P2082" s="1" t="s">
        <v>10069</v>
      </c>
      <c r="Q2082" s="1" t="s">
        <v>10070</v>
      </c>
      <c r="R2082" s="1" t="s">
        <v>41333</v>
      </c>
      <c r="S2082" s="10" t="s">
        <v>10072</v>
      </c>
      <c r="T2082" s="1" t="s">
        <v>10073</v>
      </c>
      <c r="U2082" s="1" t="s">
        <v>10074</v>
      </c>
      <c r="V2082" s="1" t="s">
        <v>10070</v>
      </c>
      <c r="W2082" s="1" t="s">
        <v>10075</v>
      </c>
      <c r="X2082" s="1" t="s">
        <v>10076</v>
      </c>
      <c r="Y2082" s="1" t="s">
        <v>32345</v>
      </c>
      <c r="Z2082" s="1" t="s">
        <v>10065</v>
      </c>
      <c r="AA2082" s="7" t="str">
        <f>IFERROR(__xludf.DUMMYFUNCTION("GOOGLETRANSLATE(C2082, ""en"", ""ro"")"),"Vinde")</f>
        <v>Vinde</v>
      </c>
      <c r="AB2082" s="1" t="s">
        <v>10079</v>
      </c>
      <c r="AC2082" s="1" t="s">
        <v>10080</v>
      </c>
      <c r="AD2082" s="6" t="s">
        <v>10081</v>
      </c>
      <c r="AE2082" s="1" t="s">
        <v>10082</v>
      </c>
      <c r="AF2082" s="1" t="s">
        <v>10083</v>
      </c>
      <c r="AG2082" s="6" t="s">
        <v>10084</v>
      </c>
      <c r="AH2082" s="1" t="s">
        <v>10085</v>
      </c>
      <c r="AI2082" s="6" t="s">
        <v>132</v>
      </c>
      <c r="AJ2082" s="6" t="s">
        <v>10086</v>
      </c>
      <c r="AK2082" s="1" t="s">
        <v>10087</v>
      </c>
      <c r="AL2082" s="6" t="s">
        <v>10088</v>
      </c>
    </row>
    <row r="2083" ht="15.75" customHeight="1">
      <c r="A2083" s="1" t="s">
        <v>127</v>
      </c>
      <c r="B2083" s="1" t="s">
        <v>41334</v>
      </c>
      <c r="C2083" s="1" t="s">
        <v>41335</v>
      </c>
      <c r="D2083" s="8" t="s">
        <v>41336</v>
      </c>
      <c r="E2083" s="1" t="s">
        <v>41337</v>
      </c>
      <c r="F2083" s="6" t="s">
        <v>132</v>
      </c>
      <c r="G2083" s="1" t="s">
        <v>41338</v>
      </c>
      <c r="H2083" s="1" t="s">
        <v>41339</v>
      </c>
      <c r="I2083" s="1" t="s">
        <v>41340</v>
      </c>
      <c r="J2083" s="6" t="s">
        <v>41341</v>
      </c>
      <c r="K2083" s="1" t="s">
        <v>41342</v>
      </c>
      <c r="L2083" s="1" t="s">
        <v>41343</v>
      </c>
      <c r="M2083" s="1" t="s">
        <v>41344</v>
      </c>
      <c r="N2083" s="6" t="s">
        <v>132</v>
      </c>
      <c r="O2083" s="6" t="s">
        <v>41345</v>
      </c>
      <c r="P2083" s="1" t="s">
        <v>41346</v>
      </c>
      <c r="Q2083" s="1" t="s">
        <v>41347</v>
      </c>
      <c r="R2083" s="1" t="s">
        <v>41348</v>
      </c>
      <c r="S2083" s="10" t="s">
        <v>41349</v>
      </c>
      <c r="T2083" s="1" t="s">
        <v>41350</v>
      </c>
      <c r="U2083" s="1" t="s">
        <v>41351</v>
      </c>
      <c r="V2083" s="1" t="s">
        <v>41352</v>
      </c>
      <c r="W2083" s="1" t="s">
        <v>41353</v>
      </c>
      <c r="X2083" s="1" t="s">
        <v>41339</v>
      </c>
      <c r="Y2083" s="1" t="s">
        <v>41354</v>
      </c>
      <c r="Z2083" s="1" t="s">
        <v>41355</v>
      </c>
      <c r="AA2083" s="7" t="str">
        <f>IFERROR(__xludf.DUMMYFUNCTION("GOOGLETRANSLATE(C2083, ""en"", ""ro"")"),"ARATA TOT")</f>
        <v>ARATA TOT</v>
      </c>
      <c r="AB2083" s="1" t="s">
        <v>41356</v>
      </c>
      <c r="AC2083" s="1" t="s">
        <v>41357</v>
      </c>
      <c r="AD2083" s="6" t="s">
        <v>41358</v>
      </c>
      <c r="AE2083" s="1" t="s">
        <v>41359</v>
      </c>
      <c r="AF2083" s="1" t="s">
        <v>41360</v>
      </c>
      <c r="AG2083" s="6" t="s">
        <v>41361</v>
      </c>
      <c r="AH2083" s="1" t="s">
        <v>41362</v>
      </c>
      <c r="AI2083" s="6" t="s">
        <v>132</v>
      </c>
      <c r="AJ2083" s="6" t="s">
        <v>41363</v>
      </c>
      <c r="AK2083" s="1" t="s">
        <v>41364</v>
      </c>
      <c r="AL2083" s="6" t="s">
        <v>132</v>
      </c>
    </row>
    <row r="2084" ht="15.75" customHeight="1">
      <c r="A2084" s="1" t="s">
        <v>127</v>
      </c>
      <c r="B2084" s="1" t="s">
        <v>41365</v>
      </c>
      <c r="C2084" s="1" t="s">
        <v>41366</v>
      </c>
      <c r="D2084" s="8" t="s">
        <v>41367</v>
      </c>
      <c r="E2084" s="1" t="s">
        <v>41368</v>
      </c>
      <c r="F2084" s="6" t="s">
        <v>132</v>
      </c>
      <c r="G2084" s="1" t="s">
        <v>41369</v>
      </c>
      <c r="H2084" s="1" t="s">
        <v>41370</v>
      </c>
      <c r="I2084" s="1" t="s">
        <v>41371</v>
      </c>
      <c r="J2084" s="6" t="s">
        <v>41372</v>
      </c>
      <c r="K2084" s="1" t="s">
        <v>41373</v>
      </c>
      <c r="L2084" s="1" t="s">
        <v>41374</v>
      </c>
      <c r="M2084" s="1" t="s">
        <v>41375</v>
      </c>
      <c r="N2084" s="6" t="s">
        <v>132</v>
      </c>
      <c r="O2084" s="6" t="s">
        <v>41376</v>
      </c>
      <c r="P2084" s="1" t="s">
        <v>41377</v>
      </c>
      <c r="Q2084" s="1" t="s">
        <v>41378</v>
      </c>
      <c r="R2084" s="1" t="s">
        <v>41379</v>
      </c>
      <c r="S2084" s="10" t="s">
        <v>41380</v>
      </c>
      <c r="T2084" s="1" t="s">
        <v>41381</v>
      </c>
      <c r="U2084" s="1" t="s">
        <v>41382</v>
      </c>
      <c r="V2084" s="1" t="s">
        <v>41378</v>
      </c>
      <c r="W2084" s="1" t="s">
        <v>41383</v>
      </c>
      <c r="X2084" s="1" t="s">
        <v>41370</v>
      </c>
      <c r="Y2084" s="1" t="s">
        <v>41384</v>
      </c>
      <c r="Z2084" s="1" t="s">
        <v>41385</v>
      </c>
      <c r="AA2084" s="7" t="str">
        <f>IFERROR(__xludf.DUMMYFUNCTION("GOOGLETRANSLATE(C2084, ""en"", ""ro"")"),"Subiecte")</f>
        <v>Subiecte</v>
      </c>
      <c r="AB2084" s="1" t="s">
        <v>41386</v>
      </c>
      <c r="AC2084" s="1" t="s">
        <v>41387</v>
      </c>
      <c r="AD2084" s="6" t="s">
        <v>41388</v>
      </c>
      <c r="AE2084" s="1" t="s">
        <v>41388</v>
      </c>
      <c r="AF2084" s="1" t="s">
        <v>41389</v>
      </c>
      <c r="AG2084" s="6" t="s">
        <v>41390</v>
      </c>
      <c r="AH2084" s="1" t="s">
        <v>41391</v>
      </c>
      <c r="AI2084" s="6" t="s">
        <v>132</v>
      </c>
      <c r="AJ2084" s="6" t="s">
        <v>41392</v>
      </c>
      <c r="AK2084" s="1" t="s">
        <v>41393</v>
      </c>
      <c r="AL2084" s="6" t="s">
        <v>132</v>
      </c>
    </row>
    <row r="2085" ht="15.75" hidden="1" customHeight="1">
      <c r="A2085" s="1" t="s">
        <v>38</v>
      </c>
      <c r="B2085" s="1" t="s">
        <v>41394</v>
      </c>
      <c r="C2085" s="1" t="s">
        <v>41395</v>
      </c>
      <c r="D2085" s="8" t="s">
        <v>20391</v>
      </c>
      <c r="E2085" s="1" t="s">
        <v>41395</v>
      </c>
      <c r="F2085" s="6" t="s">
        <v>41395</v>
      </c>
      <c r="G2085" s="7" t="str">
        <f>IFERROR(__xludf.DUMMYFUNCTION("GOOGLETRANSLATE(C2085, ""en"", ""cs"")"),"OpenPGP.")</f>
        <v>OpenPGP.</v>
      </c>
      <c r="H2085" s="7" t="str">
        <f>IFERROR(__xludf.DUMMYFUNCTION("GOOGLETRANSLATE(C2085, ""en"", ""da"")"),"OpenPGP.")</f>
        <v>OpenPGP.</v>
      </c>
      <c r="I2085" s="1" t="s">
        <v>41395</v>
      </c>
      <c r="J2085" s="6" t="s">
        <v>132</v>
      </c>
      <c r="K2085" s="1" t="s">
        <v>41395</v>
      </c>
      <c r="L2085" s="7" t="str">
        <f>IFERROR(__xludf.DUMMYFUNCTION("GOOGLETRANSLATE(C2085, ""en"", ""fi"")"),"OpenPGP")</f>
        <v>OpenPGP</v>
      </c>
      <c r="M2085" s="1" t="s">
        <v>41395</v>
      </c>
      <c r="N2085" s="6" t="s">
        <v>41395</v>
      </c>
      <c r="O2085" s="6" t="s">
        <v>132</v>
      </c>
      <c r="P2085" s="1" t="s">
        <v>41395</v>
      </c>
      <c r="Q2085" s="9" t="s">
        <v>41395</v>
      </c>
      <c r="R2085" s="1" t="s">
        <v>41395</v>
      </c>
      <c r="S2085" s="6" t="s">
        <v>132</v>
      </c>
      <c r="T2085" s="1" t="s">
        <v>41395</v>
      </c>
      <c r="U2085" s="1" t="s">
        <v>41395</v>
      </c>
      <c r="V2085" s="7" t="str">
        <f>IFERROR(__xludf.DUMMYFUNCTION("GOOGLETRANSLATE(C2085, ""en"", ""ms"")"),"OpenPGP.")</f>
        <v>OpenPGP.</v>
      </c>
      <c r="W2085" s="1" t="s">
        <v>41395</v>
      </c>
      <c r="X2085" s="7" t="str">
        <f>IFERROR(__xludf.DUMMYFUNCTION("GOOGLETRANSLATE(C2085, ""en"", ""no"")"),"OpenPGP.")</f>
        <v>OpenPGP.</v>
      </c>
      <c r="Y2085" s="1" t="s">
        <v>41395</v>
      </c>
      <c r="Z2085" s="1" t="s">
        <v>41395</v>
      </c>
      <c r="AA2085" s="7" t="str">
        <f>IFERROR(__xludf.DUMMYFUNCTION("GOOGLETRANSLATE(C2085, ""en"", ""ro"")"),"OpenPGP.")</f>
        <v>OpenPGP.</v>
      </c>
      <c r="AB2085" s="1" t="s">
        <v>41395</v>
      </c>
      <c r="AC2085" s="1" t="s">
        <v>41395</v>
      </c>
      <c r="AD2085" s="6" t="s">
        <v>132</v>
      </c>
      <c r="AE2085" s="1" t="s">
        <v>41396</v>
      </c>
      <c r="AF2085" s="1" t="s">
        <v>41395</v>
      </c>
      <c r="AG2085" s="6" t="s">
        <v>132</v>
      </c>
      <c r="AH2085" s="7" t="str">
        <f>IFERROR(__xludf.DUMMYFUNCTION("GOOGLETRANSLATE(C2085, ""en"", ""tr"")"),"OpenPGP")</f>
        <v>OpenPGP</v>
      </c>
      <c r="AI2085" s="6" t="s">
        <v>41395</v>
      </c>
      <c r="AJ2085" s="6" t="s">
        <v>41395</v>
      </c>
      <c r="AK2085" s="7" t="str">
        <f>IFERROR(__xludf.DUMMYFUNCTION("GOOGLETRANSLATE(C2085, ""en"", ""zh"")"),"OpenPGP.")</f>
        <v>OpenPGP.</v>
      </c>
      <c r="AL2085" s="6" t="s">
        <v>41395</v>
      </c>
    </row>
    <row r="2086" ht="15.75" hidden="1" customHeight="1">
      <c r="A2086" s="1" t="s">
        <v>38</v>
      </c>
      <c r="B2086" s="1" t="s">
        <v>41397</v>
      </c>
      <c r="C2086" s="1" t="s">
        <v>41398</v>
      </c>
      <c r="D2086" s="8" t="s">
        <v>41399</v>
      </c>
      <c r="E2086" s="1" t="s">
        <v>41400</v>
      </c>
      <c r="F2086" s="6" t="s">
        <v>41401</v>
      </c>
      <c r="G2086" s="7" t="str">
        <f>IFERROR(__xludf.DUMMYFUNCTION("GOOGLETRANSLATE(C2086, ""en"", ""cs"")"),"Skupinová tvorba chatu selhalo!")</f>
        <v>Skupinová tvorba chatu selhalo!</v>
      </c>
      <c r="H2086" s="7" t="str">
        <f>IFERROR(__xludf.DUMMYFUNCTION("GOOGLETRANSLATE(C2086, ""en"", ""da"")"),"Gruppe chatoprettelse mislykkedes!")</f>
        <v>Gruppe chatoprettelse mislykkedes!</v>
      </c>
      <c r="I2086" s="1" t="s">
        <v>41402</v>
      </c>
      <c r="J2086" s="6" t="s">
        <v>132</v>
      </c>
      <c r="K2086" s="1" t="s">
        <v>41403</v>
      </c>
      <c r="L2086" s="7" t="str">
        <f>IFERROR(__xludf.DUMMYFUNCTION("GOOGLETRANSLATE(C2086, ""en"", ""fi"")"),"Ryhmäkeskustelujen luominen epäonnistui!")</f>
        <v>Ryhmäkeskustelujen luominen epäonnistui!</v>
      </c>
      <c r="M2086" s="1" t="s">
        <v>41404</v>
      </c>
      <c r="N2086" s="6" t="s">
        <v>41405</v>
      </c>
      <c r="O2086" s="6" t="s">
        <v>132</v>
      </c>
      <c r="P2086" s="1" t="s">
        <v>41406</v>
      </c>
      <c r="Q2086" s="7" t="str">
        <f>IFERROR(__xludf.DUMMYFUNCTION("GOOGLETRANSLATE(C2086, ""en"", ""in"")"),"Penciptaan obrolan grup gagal!")</f>
        <v>Penciptaan obrolan grup gagal!</v>
      </c>
      <c r="R2086" s="1" t="s">
        <v>41407</v>
      </c>
      <c r="S2086" s="6" t="s">
        <v>132</v>
      </c>
      <c r="T2086" s="1" t="s">
        <v>41408</v>
      </c>
      <c r="U2086" s="7" t="str">
        <f>IFERROR(__xludf.DUMMYFUNCTION("GOOGLETRANSLATE(C2086, ""en"", ""ko"")"),"그룹 채팅 작성 실패!")</f>
        <v>그룹 채팅 작성 실패!</v>
      </c>
      <c r="V2086" s="7" t="str">
        <f>IFERROR(__xludf.DUMMYFUNCTION("GOOGLETRANSLATE(C2086, ""en"", ""ms"")"),"Penciptaan sembang kumpulan gagal!")</f>
        <v>Penciptaan sembang kumpulan gagal!</v>
      </c>
      <c r="W2086" s="1" t="s">
        <v>41409</v>
      </c>
      <c r="X2086" s="7" t="str">
        <f>IFERROR(__xludf.DUMMYFUNCTION("GOOGLETRANSLATE(C2086, ""en"", ""no"")"),"Gruppe Chat-opprettelsen mislyktes!")</f>
        <v>Gruppe Chat-opprettelsen mislyktes!</v>
      </c>
      <c r="Y2086" s="1" t="s">
        <v>41410</v>
      </c>
      <c r="Z2086" s="1" t="s">
        <v>41411</v>
      </c>
      <c r="AA2086" s="7" t="str">
        <f>IFERROR(__xludf.DUMMYFUNCTION("GOOGLETRANSLATE(C2086, ""en"", ""ro"")"),"Crearea de chat a grupului a eșuat!")</f>
        <v>Crearea de chat a grupului a eșuat!</v>
      </c>
      <c r="AB2086" s="1" t="s">
        <v>41412</v>
      </c>
      <c r="AC2086" s="7" t="str">
        <f>IFERROR(__xludf.DUMMYFUNCTION("GOOGLETRANSLATE(C2086, ""en"", ""sk"")"),"Skupina Chat Creation zlyhal!")</f>
        <v>Skupina Chat Creation zlyhal!</v>
      </c>
      <c r="AD2086" s="6" t="s">
        <v>132</v>
      </c>
      <c r="AE2086" s="1" t="s">
        <v>41413</v>
      </c>
      <c r="AF2086" s="7" t="str">
        <f>IFERROR(__xludf.DUMMYFUNCTION("GOOGLETRANSLATE(C2086, ""en"", ""sv"")"),"Gruppchatt skapades misslyckades!")</f>
        <v>Gruppchatt skapades misslyckades!</v>
      </c>
      <c r="AG2086" s="6" t="s">
        <v>132</v>
      </c>
      <c r="AH2086" s="7" t="str">
        <f>IFERROR(__xludf.DUMMYFUNCTION("GOOGLETRANSLATE(C2086, ""en"", ""tr"")"),"Grup Sohbeti oluşturma başarısız oldu!")</f>
        <v>Grup Sohbeti oluşturma başarısız oldu!</v>
      </c>
      <c r="AI2086" s="6" t="s">
        <v>132</v>
      </c>
      <c r="AJ2086" s="6" t="s">
        <v>132</v>
      </c>
      <c r="AK2086" s="7" t="str">
        <f>IFERROR(__xludf.DUMMYFUNCTION("GOOGLETRANSLATE(C2086, ""en"", ""zh"")"),"小组聊天创建失败！")</f>
        <v>小组聊天创建失败！</v>
      </c>
      <c r="AL2086" s="6" t="s">
        <v>132</v>
      </c>
    </row>
    <row r="2087" ht="15.75" hidden="1" customHeight="1">
      <c r="A2087" s="1" t="s">
        <v>38</v>
      </c>
      <c r="B2087" s="1" t="s">
        <v>41414</v>
      </c>
      <c r="C2087" s="1" t="s">
        <v>41415</v>
      </c>
      <c r="D2087" s="8" t="s">
        <v>41416</v>
      </c>
      <c r="E2087" s="1" t="s">
        <v>41417</v>
      </c>
      <c r="F2087" s="6" t="s">
        <v>41418</v>
      </c>
      <c r="G2087" s="7" t="str">
        <f>IFERROR(__xludf.DUMMYFUNCTION("GOOGLETRANSLATE(C2087, ""en"", ""cs"")"),"Oznámení pozastavena")</f>
        <v>Oznámení pozastavena</v>
      </c>
      <c r="H2087" s="7" t="str">
        <f>IFERROR(__xludf.DUMMYFUNCTION("GOOGLETRANSLATE(C2087, ""en"", ""da"")"),"Meddelelser pauset")</f>
        <v>Meddelelser pauset</v>
      </c>
      <c r="I2087" s="1" t="s">
        <v>41419</v>
      </c>
      <c r="J2087" s="6" t="s">
        <v>132</v>
      </c>
      <c r="K2087" s="1" t="s">
        <v>41420</v>
      </c>
      <c r="L2087" s="7" t="str">
        <f>IFERROR(__xludf.DUMMYFUNCTION("GOOGLETRANSLATE(C2087, ""en"", ""fi"")"),"Ilmoitukset keskeytettiin")</f>
        <v>Ilmoitukset keskeytettiin</v>
      </c>
      <c r="M2087" s="1" t="s">
        <v>41421</v>
      </c>
      <c r="N2087" s="6" t="s">
        <v>41422</v>
      </c>
      <c r="O2087" s="6" t="s">
        <v>132</v>
      </c>
      <c r="P2087" s="1" t="s">
        <v>41423</v>
      </c>
      <c r="Q2087" s="7" t="str">
        <f>IFERROR(__xludf.DUMMYFUNCTION("GOOGLETRANSLATE(C2087, ""en"", ""in"")"),"Pemberitahuan dijeda")</f>
        <v>Pemberitahuan dijeda</v>
      </c>
      <c r="R2087" s="1" t="s">
        <v>41424</v>
      </c>
      <c r="S2087" s="6" t="s">
        <v>132</v>
      </c>
      <c r="T2087" s="1" t="s">
        <v>41425</v>
      </c>
      <c r="U2087" s="1" t="s">
        <v>41426</v>
      </c>
      <c r="V2087" s="7" t="str">
        <f>IFERROR(__xludf.DUMMYFUNCTION("GOOGLETRANSLATE(C2087, ""en"", ""ms"")"),"Pemberitahuan dijeda")</f>
        <v>Pemberitahuan dijeda</v>
      </c>
      <c r="W2087" s="1" t="s">
        <v>41427</v>
      </c>
      <c r="X2087" s="7" t="str">
        <f>IFERROR(__xludf.DUMMYFUNCTION("GOOGLETRANSLATE(C2087, ""en"", ""no"")"),"Varsler pauset")</f>
        <v>Varsler pauset</v>
      </c>
      <c r="Y2087" s="1" t="s">
        <v>41428</v>
      </c>
      <c r="Z2087" s="1" t="s">
        <v>41429</v>
      </c>
      <c r="AA2087" s="7" t="str">
        <f>IFERROR(__xludf.DUMMYFUNCTION("GOOGLETRANSLATE(C2087, ""en"", ""ro"")"),"Notificările se întrerupe")</f>
        <v>Notificările se întrerupe</v>
      </c>
      <c r="AB2087" s="1" t="s">
        <v>41430</v>
      </c>
      <c r="AC2087" s="7" t="str">
        <f>IFERROR(__xludf.DUMMYFUNCTION("GOOGLETRANSLATE(C2087, ""en"", ""sk"")"),"Upozornenia Pozastavené")</f>
        <v>Upozornenia Pozastavené</v>
      </c>
      <c r="AD2087" s="6" t="s">
        <v>132</v>
      </c>
      <c r="AE2087" s="1" t="s">
        <v>41431</v>
      </c>
      <c r="AF2087" s="1" t="s">
        <v>41432</v>
      </c>
      <c r="AG2087" s="6" t="s">
        <v>132</v>
      </c>
      <c r="AH2087" s="7" t="str">
        <f>IFERROR(__xludf.DUMMYFUNCTION("GOOGLETRANSLATE(C2087, ""en"", ""tr"")"),"Bildirimler Duraklatıldı")</f>
        <v>Bildirimler Duraklatıldı</v>
      </c>
      <c r="AI2087" s="6" t="s">
        <v>41433</v>
      </c>
      <c r="AJ2087" s="6" t="s">
        <v>41434</v>
      </c>
      <c r="AK2087" s="7" t="str">
        <f>IFERROR(__xludf.DUMMYFUNCTION("GOOGLETRANSLATE(C2087, ""en"", ""zh"")"),"通知暂停")</f>
        <v>通知暂停</v>
      </c>
      <c r="AL2087" s="6" t="s">
        <v>41435</v>
      </c>
    </row>
    <row r="2088" ht="15.75" hidden="1" customHeight="1">
      <c r="A2088" s="1" t="s">
        <v>38</v>
      </c>
      <c r="B2088" s="1" t="s">
        <v>41436</v>
      </c>
      <c r="C2088" s="1" t="s">
        <v>41437</v>
      </c>
      <c r="D2088" s="8" t="s">
        <v>41438</v>
      </c>
      <c r="E2088" s="1" t="s">
        <v>41439</v>
      </c>
      <c r="F2088" s="6" t="s">
        <v>41440</v>
      </c>
      <c r="G2088" s="7" t="str">
        <f>IFERROR(__xludf.DUMMYFUNCTION("GOOGLETRANSLATE(C2088, ""en"", ""cs"")"),"Sdílení souborů. Prosím, čekejte…")</f>
        <v>Sdílení souborů. Prosím, čekejte…</v>
      </c>
      <c r="H2088" s="7" t="str">
        <f>IFERROR(__xludf.DUMMYFUNCTION("GOOGLETRANSLATE(C2088, ""en"", ""da"")"),"Deling af filer. Vent venligst…")</f>
        <v>Deling af filer. Vent venligst…</v>
      </c>
      <c r="I2088" s="1" t="s">
        <v>41441</v>
      </c>
      <c r="J2088" s="6" t="s">
        <v>132</v>
      </c>
      <c r="K2088" s="1" t="s">
        <v>41442</v>
      </c>
      <c r="L2088" s="7" t="str">
        <f>IFERROR(__xludf.DUMMYFUNCTION("GOOGLETRANSLATE(C2088, ""en"", ""fi"")"),"Tiedostojen jakaminen. Odota…")</f>
        <v>Tiedostojen jakaminen. Odota…</v>
      </c>
      <c r="M2088" s="1" t="s">
        <v>41443</v>
      </c>
      <c r="N2088" s="6" t="s">
        <v>41444</v>
      </c>
      <c r="O2088" s="6" t="s">
        <v>132</v>
      </c>
      <c r="P2088" s="1" t="s">
        <v>41445</v>
      </c>
      <c r="Q2088" s="9" t="s">
        <v>41446</v>
      </c>
      <c r="R2088" s="1" t="s">
        <v>41447</v>
      </c>
      <c r="S2088" s="6" t="s">
        <v>132</v>
      </c>
      <c r="T2088" s="1" t="s">
        <v>41448</v>
      </c>
      <c r="U2088" s="1" t="s">
        <v>41449</v>
      </c>
      <c r="V2088" s="7" t="str">
        <f>IFERROR(__xludf.DUMMYFUNCTION("GOOGLETRANSLATE(C2088, ""en"", ""ms"")"),"Perkongsian fail. Sila tunggu…")</f>
        <v>Perkongsian fail. Sila tunggu…</v>
      </c>
      <c r="W2088" s="1" t="s">
        <v>41450</v>
      </c>
      <c r="X2088" s="7" t="str">
        <f>IFERROR(__xludf.DUMMYFUNCTION("GOOGLETRANSLATE(C2088, ""en"", ""no"")"),"Deling av filer. Vennligst vent…")</f>
        <v>Deling av filer. Vennligst vent…</v>
      </c>
      <c r="Y2088" s="1" t="s">
        <v>41451</v>
      </c>
      <c r="Z2088" s="1" t="s">
        <v>41452</v>
      </c>
      <c r="AA2088" s="7" t="str">
        <f>IFERROR(__xludf.DUMMYFUNCTION("GOOGLETRANSLATE(C2088, ""en"", ""ro"")"),"Partajarea fișierelor. Te rog asteapta…")</f>
        <v>Partajarea fișierelor. Te rog asteapta…</v>
      </c>
      <c r="AB2088" s="1" t="s">
        <v>41453</v>
      </c>
      <c r="AC2088" s="7" t="str">
        <f>IFERROR(__xludf.DUMMYFUNCTION("GOOGLETRANSLATE(C2088, ""en"", ""sk"")"),"Zdieľanie súborov. Prosím čakajte…")</f>
        <v>Zdieľanie súborov. Prosím čakajte…</v>
      </c>
      <c r="AD2088" s="6" t="s">
        <v>132</v>
      </c>
      <c r="AE2088" s="1" t="s">
        <v>41454</v>
      </c>
      <c r="AF2088" s="1" t="s">
        <v>41455</v>
      </c>
      <c r="AG2088" s="6" t="s">
        <v>132</v>
      </c>
      <c r="AH2088" s="7" t="str">
        <f>IFERROR(__xludf.DUMMYFUNCTION("GOOGLETRANSLATE(C2088, ""en"", ""tr"")"),"Dosyaları paylaşma. Lütfen bekle…")</f>
        <v>Dosyaları paylaşma. Lütfen bekle…</v>
      </c>
      <c r="AI2088" s="6" t="s">
        <v>41456</v>
      </c>
      <c r="AJ2088" s="6" t="s">
        <v>41457</v>
      </c>
      <c r="AK2088" s="7" t="str">
        <f>IFERROR(__xludf.DUMMYFUNCTION("GOOGLETRANSLATE(C2088, ""en"", ""zh"")"),"共享文件。请稍等…")</f>
        <v>共享文件。请稍等…</v>
      </c>
      <c r="AL2088" s="6" t="s">
        <v>41458</v>
      </c>
    </row>
    <row r="2089" ht="15.75" hidden="1" customHeight="1">
      <c r="A2089" s="1" t="s">
        <v>38</v>
      </c>
      <c r="B2089" s="1" t="s">
        <v>41459</v>
      </c>
      <c r="C2089" s="1" t="s">
        <v>41460</v>
      </c>
      <c r="D2089" s="7" t="str">
        <f>IFERROR(__xludf.DUMMYFUNCTION("GOOGLETRANSLATE(C2089, ""en"", ""ar"")"),"لاستخدام هذه الميزة، يرجى إعادة تشغيل أذونات التخزين يدويا!")</f>
        <v>لاستخدام هذه الميزة، يرجى إعادة تشغيل أذونات التخزين يدويا!</v>
      </c>
      <c r="E2089" s="7" t="str">
        <f>IFERROR(__xludf.DUMMYFUNCTION("GOOGLETRANSLATE(C2089, ""en"", ""bg"")"),"За да използвате тази функция, моля, рестартирайте ръчно разрешенията за съхранение!")</f>
        <v>За да използвате тази функция, моля, рестартирайте ръчно разрешенията за съхранение!</v>
      </c>
      <c r="F2089" s="6" t="s">
        <v>132</v>
      </c>
      <c r="G2089" s="7" t="str">
        <f>IFERROR(__xludf.DUMMYFUNCTION("GOOGLETRANSLATE(C2089, ""en"", ""cs"")"),"Chcete-li použít tuto funkci, restartujte oprávnění úložiště ručně!")</f>
        <v>Chcete-li použít tuto funkci, restartujte oprávnění úložiště ručně!</v>
      </c>
      <c r="H2089" s="7" t="str">
        <f>IFERROR(__xludf.DUMMYFUNCTION("GOOGLETRANSLATE(C2089, ""en"", ""da"")"),"For at bruge denne funktion skal du genstarte lagerrettigheder manuelt!")</f>
        <v>For at bruge denne funktion skal du genstarte lagerrettigheder manuelt!</v>
      </c>
      <c r="I2089" s="1" t="s">
        <v>41461</v>
      </c>
      <c r="J2089" s="6" t="s">
        <v>132</v>
      </c>
      <c r="K2089" s="1" t="s">
        <v>41462</v>
      </c>
      <c r="L2089" s="7" t="str">
        <f>IFERROR(__xludf.DUMMYFUNCTION("GOOGLETRANSLATE(C2089, ""en"", ""fi"")"),"Tämän ominaisuuden käyttäminen Käynnistä uudelleen tallennusoikeudet manuaalisesti!")</f>
        <v>Tämän ominaisuuden käyttäminen Käynnistä uudelleen tallennusoikeudet manuaalisesti!</v>
      </c>
      <c r="M2089" s="1" t="s">
        <v>41463</v>
      </c>
      <c r="N2089" s="6" t="s">
        <v>132</v>
      </c>
      <c r="O2089" s="6" t="s">
        <v>132</v>
      </c>
      <c r="P2089" s="1" t="s">
        <v>41464</v>
      </c>
      <c r="Q2089" s="7" t="str">
        <f>IFERROR(__xludf.DUMMYFUNCTION("GOOGLETRANSLATE(C2089, ""en"", ""in"")"),"Untuk menggunakan fitur ini, harap restart izin penyimpanan secara manual!")</f>
        <v>Untuk menggunakan fitur ini, harap restart izin penyimpanan secara manual!</v>
      </c>
      <c r="R2089" s="7" t="str">
        <f>IFERROR(__xludf.DUMMYFUNCTION("GOOGLETRANSLATE(C2089, ""en"", ""it"")"),"Per utilizzare questa funzione si prega di riavviare manualmente le autorizzazioni di archiviazione!")</f>
        <v>Per utilizzare questa funzione si prega di riavviare manualmente le autorizzazioni di archiviazione!</v>
      </c>
      <c r="S2089" s="6" t="s">
        <v>132</v>
      </c>
      <c r="T2089" s="7" t="str">
        <f>IFERROR(__xludf.DUMMYFUNCTION("GOOGLETRANSLATE(C2089, ""en"", ""ja"")"),"この機能を使用するには、手動でストレージ権限を再起動してください。")</f>
        <v>この機能を使用するには、手動でストレージ権限を再起動してください。</v>
      </c>
      <c r="U2089" s="7" t="str">
        <f>IFERROR(__xludf.DUMMYFUNCTION("GOOGLETRANSLATE(C2089, ""en"", ""ko"")"),"이 기능을 사용하려면 스토리지 사용 권한을 수동으로 다시 시작하십시오!")</f>
        <v>이 기능을 사용하려면 스토리지 사용 권한을 수동으로 다시 시작하십시오!</v>
      </c>
      <c r="V2089" s="7" t="str">
        <f>IFERROR(__xludf.DUMMYFUNCTION("GOOGLETRANSLATE(C2089, ""en"", ""ms"")"),"Untuk menggunakan ciri ini sila mulakan semula keizinan storan secara manual!")</f>
        <v>Untuk menggunakan ciri ini sila mulakan semula keizinan storan secara manual!</v>
      </c>
      <c r="W2089" s="7" t="str">
        <f>IFERROR(__xludf.DUMMYFUNCTION("GOOGLETRANSLATE(C2089, ""en"", ""nl"")"),"Om deze functie te gebruiken, start u opslagmachtigingen handmatig opnieuw op!")</f>
        <v>Om deze functie te gebruiken, start u opslagmachtigingen handmatig opnieuw op!</v>
      </c>
      <c r="X2089" s="7" t="str">
        <f>IFERROR(__xludf.DUMMYFUNCTION("GOOGLETRANSLATE(C2089, ""en"", ""no"")"),"For å bruke denne funksjonen, vennligst start lagringsrettigheter manuelt!")</f>
        <v>For å bruke denne funksjonen, vennligst start lagringsrettigheter manuelt!</v>
      </c>
      <c r="Y2089" s="7" t="str">
        <f>IFERROR(__xludf.DUMMYFUNCTION("GOOGLETRANSLATE(C2089, ""en"", ""pl"")"),"Aby korzystać z tej funkcji, ponownie uruchom ponownie Uprawnienia do przechowywania!")</f>
        <v>Aby korzystać z tej funkcji, ponownie uruchom ponownie Uprawnienia do przechowywania!</v>
      </c>
      <c r="Z2089" s="7" t="str">
        <f>IFERROR(__xludf.DUMMYFUNCTION("GOOGLETRANSLATE(C2089, ""en"", ""pt"")"),"Para usar esse recurso, reinicie as permissões de armazenamento manualmente!")</f>
        <v>Para usar esse recurso, reinicie as permissões de armazenamento manualmente!</v>
      </c>
      <c r="AA2089" s="7" t="str">
        <f>IFERROR(__xludf.DUMMYFUNCTION("GOOGLETRANSLATE(C2089, ""en"", ""ro"")"),"Pentru a utiliza această caracteristică, reporniți permisiunile de stocare manual!")</f>
        <v>Pentru a utiliza această caracteristică, reporniți permisiunile de stocare manual!</v>
      </c>
      <c r="AB2089" s="1" t="s">
        <v>41465</v>
      </c>
      <c r="AC2089" s="7" t="str">
        <f>IFERROR(__xludf.DUMMYFUNCTION("GOOGLETRANSLATE(C2089, ""en"", ""sk"")"),"Ak chcete použiť túto funkciu, reštartujte povolenia na ukladanie manuálne!")</f>
        <v>Ak chcete použiť túto funkciu, reštartujte povolenia na ukladanie manuálne!</v>
      </c>
      <c r="AD2089" s="6" t="s">
        <v>132</v>
      </c>
      <c r="AE2089" s="1" t="s">
        <v>41466</v>
      </c>
      <c r="AF2089" s="7" t="str">
        <f>IFERROR(__xludf.DUMMYFUNCTION("GOOGLETRANSLATE(C2089, ""en"", ""sv"")"),"För att använda den här funktionen, starta om lagringsbehörighet manuellt!")</f>
        <v>För att använda den här funktionen, starta om lagringsbehörighet manuellt!</v>
      </c>
      <c r="AG2089" s="6" t="s">
        <v>132</v>
      </c>
      <c r="AH2089" s="7" t="str">
        <f>IFERROR(__xludf.DUMMYFUNCTION("GOOGLETRANSLATE(C2089, ""en"", ""tr"")"),"Bu özelliği kullanmak için lütfen saklama izinlerini manuel olarak yeniden başlatın!")</f>
        <v>Bu özelliği kullanmak için lütfen saklama izinlerini manuel olarak yeniden başlatın!</v>
      </c>
      <c r="AI2089" s="6" t="s">
        <v>132</v>
      </c>
      <c r="AJ2089" s="6" t="s">
        <v>132</v>
      </c>
      <c r="AK2089" s="7" t="str">
        <f>IFERROR(__xludf.DUMMYFUNCTION("GOOGLETRANSLATE(C2089, ""en"", ""zh"")"),"要使用此功能，请手动重新启动存储权限！")</f>
        <v>要使用此功能，请手动重新启动存储权限！</v>
      </c>
      <c r="AL2089" s="6" t="s">
        <v>132</v>
      </c>
    </row>
    <row r="2090" ht="15.75" hidden="1" customHeight="1">
      <c r="A2090" s="1" t="s">
        <v>38</v>
      </c>
      <c r="B2090" s="1" t="s">
        <v>41467</v>
      </c>
      <c r="C2090" s="1" t="s">
        <v>41468</v>
      </c>
      <c r="D2090" s="8" t="s">
        <v>41469</v>
      </c>
      <c r="E2090" s="1" t="s">
        <v>41470</v>
      </c>
      <c r="F2090" s="6" t="s">
        <v>41471</v>
      </c>
      <c r="G2090" s="7" t="str">
        <f>IFERROR(__xludf.DUMMYFUNCTION("GOOGLETRANSLATE(C2090, ""en"", ""cs"")"),"Odeslat opravenou zprávu")</f>
        <v>Odeslat opravenou zprávu</v>
      </c>
      <c r="H2090" s="7" t="str">
        <f>IFERROR(__xludf.DUMMYFUNCTION("GOOGLETRANSLATE(C2090, ""en"", ""da"")"),"Send korrigeret besked")</f>
        <v>Send korrigeret besked</v>
      </c>
      <c r="I2090" s="1" t="s">
        <v>41472</v>
      </c>
      <c r="J2090" s="6" t="s">
        <v>132</v>
      </c>
      <c r="K2090" s="1" t="s">
        <v>41473</v>
      </c>
      <c r="L2090" s="7" t="str">
        <f>IFERROR(__xludf.DUMMYFUNCTION("GOOGLETRANSLATE(C2090, ""en"", ""fi"")"),"Lähetä korjattu viesti")</f>
        <v>Lähetä korjattu viesti</v>
      </c>
      <c r="M2090" s="1" t="s">
        <v>41474</v>
      </c>
      <c r="N2090" s="6" t="s">
        <v>41475</v>
      </c>
      <c r="O2090" s="6" t="s">
        <v>132</v>
      </c>
      <c r="P2090" s="1" t="s">
        <v>41476</v>
      </c>
      <c r="Q2090" s="9" t="s">
        <v>41477</v>
      </c>
      <c r="R2090" s="1" t="s">
        <v>41478</v>
      </c>
      <c r="S2090" s="6" t="s">
        <v>132</v>
      </c>
      <c r="T2090" s="1" t="s">
        <v>41479</v>
      </c>
      <c r="U2090" s="1" t="s">
        <v>41480</v>
      </c>
      <c r="V2090" s="7" t="str">
        <f>IFERROR(__xludf.DUMMYFUNCTION("GOOGLETRANSLATE(C2090, ""en"", ""ms"")"),"Hantar mesej yang diperbetulkan")</f>
        <v>Hantar mesej yang diperbetulkan</v>
      </c>
      <c r="W2090" s="1" t="s">
        <v>41481</v>
      </c>
      <c r="X2090" s="7" t="str">
        <f>IFERROR(__xludf.DUMMYFUNCTION("GOOGLETRANSLATE(C2090, ""en"", ""no"")"),"Send korrigert melding")</f>
        <v>Send korrigert melding</v>
      </c>
      <c r="Y2090" s="1" t="s">
        <v>41482</v>
      </c>
      <c r="Z2090" s="1" t="s">
        <v>41483</v>
      </c>
      <c r="AA2090" s="7" t="str">
        <f>IFERROR(__xludf.DUMMYFUNCTION("GOOGLETRANSLATE(C2090, ""en"", ""ro"")"),"Trimiteți mesajul corectat")</f>
        <v>Trimiteți mesajul corectat</v>
      </c>
      <c r="AB2090" s="1" t="s">
        <v>41484</v>
      </c>
      <c r="AC2090" s="7" t="str">
        <f>IFERROR(__xludf.DUMMYFUNCTION("GOOGLETRANSLATE(C2090, ""en"", ""sk"")"),"Odoslať opravu")</f>
        <v>Odoslať opravu</v>
      </c>
      <c r="AD2090" s="6" t="s">
        <v>132</v>
      </c>
      <c r="AE2090" s="1" t="s">
        <v>41485</v>
      </c>
      <c r="AF2090" s="1" t="s">
        <v>41486</v>
      </c>
      <c r="AG2090" s="6" t="s">
        <v>132</v>
      </c>
      <c r="AH2090" s="7" t="str">
        <f>IFERROR(__xludf.DUMMYFUNCTION("GOOGLETRANSLATE(C2090, ""en"", ""tr"")"),"Düzeltilmiş Mesaj Gönder")</f>
        <v>Düzeltilmiş Mesaj Gönder</v>
      </c>
      <c r="AI2090" s="6" t="s">
        <v>41487</v>
      </c>
      <c r="AJ2090" s="6" t="s">
        <v>132</v>
      </c>
      <c r="AK2090" s="7" t="str">
        <f>IFERROR(__xludf.DUMMYFUNCTION("GOOGLETRANSLATE(C2090, ""en"", ""zh"")"),"发送更正的消息")</f>
        <v>发送更正的消息</v>
      </c>
      <c r="AL2090" s="6" t="s">
        <v>41488</v>
      </c>
    </row>
    <row r="2091" ht="15.75" hidden="1" customHeight="1">
      <c r="A2091" s="1" t="s">
        <v>38</v>
      </c>
      <c r="B2091" s="1" t="s">
        <v>41489</v>
      </c>
      <c r="C2091" s="1" t="s">
        <v>41490</v>
      </c>
      <c r="D2091" s="8" t="s">
        <v>41491</v>
      </c>
      <c r="E2091" s="1" t="s">
        <v>41492</v>
      </c>
      <c r="F2091" s="6" t="s">
        <v>41493</v>
      </c>
      <c r="G2091" s="7" t="str">
        <f>IFERROR(__xludf.DUMMYFUNCTION("GOOGLETRANSLATE(C2091, ""en"", ""cs"")"),"webový prohlížeč")</f>
        <v>webový prohlížeč</v>
      </c>
      <c r="H2091" s="7" t="str">
        <f>IFERROR(__xludf.DUMMYFUNCTION("GOOGLETRANSLATE(C2091, ""en"", ""da"")"),"webbrowser")</f>
        <v>webbrowser</v>
      </c>
      <c r="I2091" s="1" t="s">
        <v>41494</v>
      </c>
      <c r="J2091" s="6" t="s">
        <v>132</v>
      </c>
      <c r="K2091" s="1" t="s">
        <v>41495</v>
      </c>
      <c r="L2091" s="7" t="str">
        <f>IFERROR(__xludf.DUMMYFUNCTION("GOOGLETRANSLATE(C2091, ""en"", ""fi"")"),"nettiselain")</f>
        <v>nettiselain</v>
      </c>
      <c r="M2091" s="1" t="s">
        <v>41496</v>
      </c>
      <c r="N2091" s="6" t="s">
        <v>41493</v>
      </c>
      <c r="O2091" s="6" t="s">
        <v>132</v>
      </c>
      <c r="P2091" s="1" t="s">
        <v>41497</v>
      </c>
      <c r="Q2091" s="7" t="str">
        <f>IFERROR(__xludf.DUMMYFUNCTION("GOOGLETRANSLATE(C2091, ""en"", ""in"")"),"Browser web.")</f>
        <v>Browser web.</v>
      </c>
      <c r="R2091" s="1" t="s">
        <v>41498</v>
      </c>
      <c r="S2091" s="6" t="s">
        <v>132</v>
      </c>
      <c r="T2091" s="1" t="s">
        <v>41499</v>
      </c>
      <c r="U2091" s="1" t="s">
        <v>41500</v>
      </c>
      <c r="V2091" s="7" t="str">
        <f>IFERROR(__xludf.DUMMYFUNCTION("GOOGLETRANSLATE(C2091, ""en"", ""ms"")"),"pelayar web")</f>
        <v>pelayar web</v>
      </c>
      <c r="W2091" s="1" t="s">
        <v>41494</v>
      </c>
      <c r="X2091" s="7" t="str">
        <f>IFERROR(__xludf.DUMMYFUNCTION("GOOGLETRANSLATE(C2091, ""en"", ""no"")"),"nettleser")</f>
        <v>nettleser</v>
      </c>
      <c r="Y2091" s="1" t="s">
        <v>41501</v>
      </c>
      <c r="Z2091" s="1" t="s">
        <v>41498</v>
      </c>
      <c r="AA2091" s="7" t="str">
        <f>IFERROR(__xludf.DUMMYFUNCTION("GOOGLETRANSLATE(C2091, ""en"", ""ro"")"),"browser web")</f>
        <v>browser web</v>
      </c>
      <c r="AB2091" s="1" t="s">
        <v>41502</v>
      </c>
      <c r="AC2091" s="7" t="str">
        <f>IFERROR(__xludf.DUMMYFUNCTION("GOOGLETRANSLATE(C2091, ""en"", ""sk"")"),"webový prehliadač")</f>
        <v>webový prehliadač</v>
      </c>
      <c r="AD2091" s="6" t="s">
        <v>132</v>
      </c>
      <c r="AE2091" s="1" t="s">
        <v>41503</v>
      </c>
      <c r="AF2091" s="1" t="s">
        <v>41504</v>
      </c>
      <c r="AG2091" s="6" t="s">
        <v>132</v>
      </c>
      <c r="AH2091" s="7" t="str">
        <f>IFERROR(__xludf.DUMMYFUNCTION("GOOGLETRANSLATE(C2091, ""en"", ""tr"")"),"internet tarayıcısı")</f>
        <v>internet tarayıcısı</v>
      </c>
      <c r="AI2091" s="6" t="s">
        <v>41505</v>
      </c>
      <c r="AJ2091" s="6" t="s">
        <v>132</v>
      </c>
      <c r="AK2091" s="7" t="str">
        <f>IFERROR(__xludf.DUMMYFUNCTION("GOOGLETRANSLATE(C2091, ""en"", ""zh"")"),"网页浏览器")</f>
        <v>网页浏览器</v>
      </c>
      <c r="AL2091" s="6" t="s">
        <v>41506</v>
      </c>
    </row>
    <row r="2092" ht="15.75" hidden="1" customHeight="1">
      <c r="A2092" s="1" t="s">
        <v>38</v>
      </c>
      <c r="B2092" s="1" t="s">
        <v>41507</v>
      </c>
      <c r="C2092" s="1" t="s">
        <v>4391</v>
      </c>
      <c r="D2092" s="8" t="s">
        <v>4392</v>
      </c>
      <c r="E2092" s="1" t="s">
        <v>41508</v>
      </c>
      <c r="F2092" s="6" t="s">
        <v>41509</v>
      </c>
      <c r="G2092" s="7" t="str">
        <f>IFERROR(__xludf.DUMMYFUNCTION("GOOGLETRANSLATE(C2092, ""en"", ""cs"")"),"Soubor")</f>
        <v>Soubor</v>
      </c>
      <c r="H2092" s="7" t="str">
        <f>IFERROR(__xludf.DUMMYFUNCTION("GOOGLETRANSLATE(C2092, ""en"", ""da"")"),"Sæt")</f>
        <v>Sæt</v>
      </c>
      <c r="I2092" s="1" t="s">
        <v>41510</v>
      </c>
      <c r="J2092" s="6" t="s">
        <v>132</v>
      </c>
      <c r="K2092" s="1" t="s">
        <v>41511</v>
      </c>
      <c r="L2092" s="7" t="str">
        <f>IFERROR(__xludf.DUMMYFUNCTION("GOOGLETRANSLATE(C2092, ""en"", ""fi"")"),"Aseta")</f>
        <v>Aseta</v>
      </c>
      <c r="M2092" s="1" t="s">
        <v>41512</v>
      </c>
      <c r="N2092" s="6" t="s">
        <v>41511</v>
      </c>
      <c r="O2092" s="6" t="s">
        <v>132</v>
      </c>
      <c r="P2092" s="1" t="s">
        <v>41513</v>
      </c>
      <c r="Q2092" s="9" t="s">
        <v>41514</v>
      </c>
      <c r="R2092" s="1" t="s">
        <v>4402</v>
      </c>
      <c r="S2092" s="6" t="s">
        <v>132</v>
      </c>
      <c r="T2092" s="1" t="s">
        <v>3019</v>
      </c>
      <c r="U2092" s="1" t="s">
        <v>3020</v>
      </c>
      <c r="V2092" s="7" t="str">
        <f>IFERROR(__xludf.DUMMYFUNCTION("GOOGLETRANSLATE(C2092, ""en"", ""ms"")"),"Ditetapkan")</f>
        <v>Ditetapkan</v>
      </c>
      <c r="W2092" s="1" t="s">
        <v>41515</v>
      </c>
      <c r="X2092" s="7" t="str">
        <f>IFERROR(__xludf.DUMMYFUNCTION("GOOGLETRANSLATE(C2092, ""en"", ""no"")"),"Sett")</f>
        <v>Sett</v>
      </c>
      <c r="Y2092" s="1" t="s">
        <v>4407</v>
      </c>
      <c r="Z2092" s="1" t="s">
        <v>4408</v>
      </c>
      <c r="AA2092" s="7" t="str">
        <f>IFERROR(__xludf.DUMMYFUNCTION("GOOGLETRANSLATE(C2092, ""en"", ""ro"")"),"A stabilit")</f>
        <v>A stabilit</v>
      </c>
      <c r="AB2092" s="1" t="s">
        <v>41516</v>
      </c>
      <c r="AC2092" s="1" t="s">
        <v>4411</v>
      </c>
      <c r="AD2092" s="6" t="s">
        <v>132</v>
      </c>
      <c r="AE2092" s="1" t="s">
        <v>41517</v>
      </c>
      <c r="AF2092" s="1" t="s">
        <v>41518</v>
      </c>
      <c r="AG2092" s="6" t="s">
        <v>132</v>
      </c>
      <c r="AH2092" s="7" t="str">
        <f>IFERROR(__xludf.DUMMYFUNCTION("GOOGLETRANSLATE(C2092, ""en"", ""tr"")"),"Ayarlamak")</f>
        <v>Ayarlamak</v>
      </c>
      <c r="AI2092" s="6" t="s">
        <v>30837</v>
      </c>
      <c r="AJ2092" s="6" t="s">
        <v>41519</v>
      </c>
      <c r="AK2092" s="7" t="str">
        <f>IFERROR(__xludf.DUMMYFUNCTION("GOOGLETRANSLATE(C2092, ""en"", ""zh"")"),"放")</f>
        <v>放</v>
      </c>
      <c r="AL2092" s="6" t="s">
        <v>8811</v>
      </c>
    </row>
    <row r="2093" ht="15.75" customHeight="1">
      <c r="A2093" s="1" t="s">
        <v>127</v>
      </c>
      <c r="B2093" s="1" t="s">
        <v>41520</v>
      </c>
      <c r="C2093" s="1" t="s">
        <v>41521</v>
      </c>
      <c r="D2093" s="8" t="s">
        <v>41522</v>
      </c>
      <c r="E2093" s="1" t="s">
        <v>41523</v>
      </c>
      <c r="F2093" s="6" t="s">
        <v>132</v>
      </c>
      <c r="G2093" s="1" t="s">
        <v>41524</v>
      </c>
      <c r="H2093" s="1" t="s">
        <v>41525</v>
      </c>
      <c r="I2093" s="1" t="s">
        <v>41521</v>
      </c>
      <c r="J2093" s="6" t="s">
        <v>41526</v>
      </c>
      <c r="K2093" s="1" t="s">
        <v>41521</v>
      </c>
      <c r="L2093" s="1" t="s">
        <v>41527</v>
      </c>
      <c r="M2093" s="1" t="s">
        <v>41528</v>
      </c>
      <c r="N2093" s="6" t="s">
        <v>132</v>
      </c>
      <c r="O2093" s="6" t="s">
        <v>41529</v>
      </c>
      <c r="P2093" s="1" t="s">
        <v>41521</v>
      </c>
      <c r="Q2093" s="1" t="s">
        <v>41530</v>
      </c>
      <c r="R2093" s="1" t="s">
        <v>41531</v>
      </c>
      <c r="S2093" s="10" t="s">
        <v>41532</v>
      </c>
      <c r="T2093" s="1" t="s">
        <v>29593</v>
      </c>
      <c r="U2093" s="1" t="s">
        <v>41533</v>
      </c>
      <c r="V2093" s="1" t="s">
        <v>41530</v>
      </c>
      <c r="W2093" s="1" t="s">
        <v>41534</v>
      </c>
      <c r="X2093" s="1" t="s">
        <v>41535</v>
      </c>
      <c r="Y2093" s="1" t="s">
        <v>24747</v>
      </c>
      <c r="Z2093" s="1" t="s">
        <v>41521</v>
      </c>
      <c r="AA2093" s="1" t="s">
        <v>41521</v>
      </c>
      <c r="AB2093" s="13" t="s">
        <v>41536</v>
      </c>
      <c r="AC2093" s="1" t="s">
        <v>41537</v>
      </c>
      <c r="AD2093" s="6" t="s">
        <v>41538</v>
      </c>
      <c r="AE2093" s="1" t="s">
        <v>41539</v>
      </c>
      <c r="AF2093" s="1" t="s">
        <v>41540</v>
      </c>
      <c r="AG2093" s="6" t="s">
        <v>17268</v>
      </c>
      <c r="AH2093" s="1" t="s">
        <v>41541</v>
      </c>
      <c r="AI2093" s="6" t="s">
        <v>132</v>
      </c>
      <c r="AJ2093" s="6" t="s">
        <v>41542</v>
      </c>
      <c r="AK2093" s="1" t="s">
        <v>41543</v>
      </c>
      <c r="AL2093" s="6" t="s">
        <v>41544</v>
      </c>
    </row>
    <row r="2094" ht="15.75" customHeight="1">
      <c r="A2094" s="1" t="s">
        <v>127</v>
      </c>
      <c r="B2094" s="1" t="s">
        <v>41545</v>
      </c>
      <c r="C2094" s="1" t="s">
        <v>41546</v>
      </c>
      <c r="D2094" s="8" t="s">
        <v>25080</v>
      </c>
      <c r="E2094" s="1" t="s">
        <v>41547</v>
      </c>
      <c r="F2094" s="6" t="s">
        <v>132</v>
      </c>
      <c r="G2094" s="1" t="s">
        <v>41548</v>
      </c>
      <c r="H2094" s="1" t="s">
        <v>41549</v>
      </c>
      <c r="I2094" s="1" t="s">
        <v>41550</v>
      </c>
      <c r="J2094" s="6" t="s">
        <v>41551</v>
      </c>
      <c r="K2094" s="1" t="s">
        <v>41552</v>
      </c>
      <c r="L2094" s="1" t="s">
        <v>41553</v>
      </c>
      <c r="M2094" s="1" t="s">
        <v>41554</v>
      </c>
      <c r="N2094" s="6" t="s">
        <v>132</v>
      </c>
      <c r="O2094" s="6" t="s">
        <v>41555</v>
      </c>
      <c r="P2094" s="13" t="s">
        <v>21637</v>
      </c>
      <c r="Q2094" s="1" t="s">
        <v>41556</v>
      </c>
      <c r="R2094" s="1" t="s">
        <v>41552</v>
      </c>
      <c r="S2094" s="10" t="s">
        <v>41557</v>
      </c>
      <c r="T2094" s="1" t="s">
        <v>41558</v>
      </c>
      <c r="U2094" s="1" t="s">
        <v>41559</v>
      </c>
      <c r="V2094" s="1" t="s">
        <v>41556</v>
      </c>
      <c r="W2094" s="1" t="s">
        <v>41560</v>
      </c>
      <c r="X2094" s="1" t="s">
        <v>41561</v>
      </c>
      <c r="Y2094" s="1" t="s">
        <v>21637</v>
      </c>
      <c r="Z2094" s="13" t="s">
        <v>41562</v>
      </c>
      <c r="AA2094" s="7" t="str">
        <f>IFERROR(__xludf.DUMMYFUNCTION("GOOGLETRANSLATE(C2094, ""en"", ""ro"")"),"Înalt")</f>
        <v>Înalt</v>
      </c>
      <c r="AB2094" s="1" t="s">
        <v>25084</v>
      </c>
      <c r="AC2094" s="1" t="s">
        <v>41548</v>
      </c>
      <c r="AD2094" s="6" t="s">
        <v>41563</v>
      </c>
      <c r="AE2094" s="13" t="s">
        <v>21637</v>
      </c>
      <c r="AF2094" s="1" t="s">
        <v>41564</v>
      </c>
      <c r="AG2094" s="6" t="s">
        <v>25086</v>
      </c>
      <c r="AH2094" s="1" t="s">
        <v>41565</v>
      </c>
      <c r="AI2094" s="6" t="s">
        <v>132</v>
      </c>
      <c r="AJ2094" s="6" t="s">
        <v>25087</v>
      </c>
      <c r="AK2094" s="1" t="s">
        <v>41566</v>
      </c>
      <c r="AL2094" s="6" t="s">
        <v>41567</v>
      </c>
    </row>
    <row r="2095" ht="15.75" customHeight="1">
      <c r="A2095" s="1" t="s">
        <v>4051</v>
      </c>
      <c r="B2095" s="1" t="s">
        <v>41568</v>
      </c>
      <c r="C2095" s="1" t="s">
        <v>41569</v>
      </c>
      <c r="D2095" s="8" t="s">
        <v>41570</v>
      </c>
      <c r="E2095" s="1" t="s">
        <v>41571</v>
      </c>
      <c r="F2095" s="6" t="s">
        <v>132</v>
      </c>
      <c r="G2095" s="1" t="s">
        <v>41572</v>
      </c>
      <c r="H2095" s="1" t="s">
        <v>41573</v>
      </c>
      <c r="I2095" s="7" t="str">
        <f>IFERROR(__xludf.DUMMYFUNCTION("GOOGLETRANSLATE(C2095, ""en"", ""de"")"),"Telefon änderte sich.")</f>
        <v>Telefon änderte sich.</v>
      </c>
      <c r="J2095" s="6" t="s">
        <v>41574</v>
      </c>
      <c r="K2095" s="1" t="s">
        <v>41575</v>
      </c>
      <c r="L2095" s="1" t="s">
        <v>41576</v>
      </c>
      <c r="M2095" s="1" t="s">
        <v>41577</v>
      </c>
      <c r="N2095" s="6" t="s">
        <v>132</v>
      </c>
      <c r="O2095" s="6" t="s">
        <v>41578</v>
      </c>
      <c r="P2095" s="1" t="s">
        <v>41579</v>
      </c>
      <c r="Q2095" s="1" t="s">
        <v>41580</v>
      </c>
      <c r="R2095" s="1" t="s">
        <v>41581</v>
      </c>
      <c r="S2095" s="10" t="s">
        <v>41582</v>
      </c>
      <c r="T2095" s="1" t="s">
        <v>41583</v>
      </c>
      <c r="U2095" s="1" t="s">
        <v>41584</v>
      </c>
      <c r="V2095" s="1" t="s">
        <v>41585</v>
      </c>
      <c r="W2095" s="1" t="s">
        <v>41586</v>
      </c>
      <c r="X2095" s="1" t="s">
        <v>41587</v>
      </c>
      <c r="Y2095" s="11" t="s">
        <v>41588</v>
      </c>
      <c r="Z2095" s="1" t="s">
        <v>41589</v>
      </c>
      <c r="AA2095" s="7" t="str">
        <f>IFERROR(__xludf.DUMMYFUNCTION("GOOGLETRANSLATE(C2095, ""en"", ""ro"")"),"Telefonul sa schimbat.")</f>
        <v>Telefonul sa schimbat.</v>
      </c>
      <c r="AB2095" s="1" t="s">
        <v>41590</v>
      </c>
      <c r="AC2095" s="1" t="s">
        <v>41591</v>
      </c>
      <c r="AD2095" s="6" t="s">
        <v>41592</v>
      </c>
      <c r="AE2095" s="7" t="str">
        <f>IFERROR(__xludf.DUMMYFUNCTION("GOOGLETRANSLATE(C2095, ""en"", ""sr"")"),"Телефон се променио.")</f>
        <v>Телефон се променио.</v>
      </c>
      <c r="AF2095" s="1" t="s">
        <v>41593</v>
      </c>
      <c r="AG2095" s="6" t="s">
        <v>41594</v>
      </c>
      <c r="AH2095" s="1" t="s">
        <v>41595</v>
      </c>
      <c r="AI2095" s="6" t="s">
        <v>132</v>
      </c>
      <c r="AJ2095" s="6" t="s">
        <v>41596</v>
      </c>
      <c r="AK2095" s="14" t="s">
        <v>41597</v>
      </c>
      <c r="AL2095" s="6" t="s">
        <v>132</v>
      </c>
    </row>
    <row r="2096" ht="15.75" customHeight="1">
      <c r="A2096" s="1" t="s">
        <v>127</v>
      </c>
      <c r="B2096" s="1" t="s">
        <v>41598</v>
      </c>
      <c r="C2096" s="1" t="s">
        <v>41599</v>
      </c>
      <c r="D2096" s="8" t="s">
        <v>41600</v>
      </c>
      <c r="E2096" s="1" t="s">
        <v>41601</v>
      </c>
      <c r="F2096" s="6" t="s">
        <v>132</v>
      </c>
      <c r="G2096" s="1" t="s">
        <v>41602</v>
      </c>
      <c r="H2096" s="1" t="s">
        <v>41603</v>
      </c>
      <c r="I2096" s="1" t="s">
        <v>41604</v>
      </c>
      <c r="J2096" s="6" t="s">
        <v>41605</v>
      </c>
      <c r="K2096" s="1" t="s">
        <v>41606</v>
      </c>
      <c r="L2096" s="1" t="s">
        <v>41607</v>
      </c>
      <c r="M2096" s="1" t="s">
        <v>41608</v>
      </c>
      <c r="N2096" s="6" t="s">
        <v>132</v>
      </c>
      <c r="O2096" s="6" t="s">
        <v>41609</v>
      </c>
      <c r="P2096" s="1" t="s">
        <v>41610</v>
      </c>
      <c r="Q2096" s="1" t="s">
        <v>41611</v>
      </c>
      <c r="R2096" s="1" t="s">
        <v>41612</v>
      </c>
      <c r="S2096" s="10" t="s">
        <v>41613</v>
      </c>
      <c r="T2096" s="1" t="s">
        <v>41614</v>
      </c>
      <c r="U2096" s="1" t="s">
        <v>41615</v>
      </c>
      <c r="V2096" s="1" t="s">
        <v>41616</v>
      </c>
      <c r="W2096" s="1" t="s">
        <v>41617</v>
      </c>
      <c r="X2096" s="1" t="s">
        <v>41618</v>
      </c>
      <c r="Y2096" s="1" t="s">
        <v>41619</v>
      </c>
      <c r="Z2096" s="1" t="s">
        <v>41620</v>
      </c>
      <c r="AA2096" s="7" t="str">
        <f>IFERROR(__xludf.DUMMYFUNCTION("GOOGLETRANSLATE(C2096, ""en"", ""ro"")"),"A apărut o eroare necunoscută. Vă rugăm să încercați din nou")</f>
        <v>A apărut o eroare necunoscută. Vă rugăm să încercați din nou</v>
      </c>
      <c r="AB2096" s="1" t="s">
        <v>41621</v>
      </c>
      <c r="AC2096" s="1" t="s">
        <v>41622</v>
      </c>
      <c r="AD2096" s="6" t="s">
        <v>41623</v>
      </c>
      <c r="AE2096" s="1" t="s">
        <v>41624</v>
      </c>
      <c r="AF2096" s="1" t="s">
        <v>41625</v>
      </c>
      <c r="AG2096" s="6" t="s">
        <v>41626</v>
      </c>
      <c r="AH2096" s="1" t="s">
        <v>41627</v>
      </c>
      <c r="AI2096" s="6" t="s">
        <v>132</v>
      </c>
      <c r="AJ2096" s="6" t="s">
        <v>41628</v>
      </c>
      <c r="AK2096" s="1" t="s">
        <v>41629</v>
      </c>
      <c r="AL2096" s="6" t="s">
        <v>41630</v>
      </c>
    </row>
    <row r="2097" ht="15.75" customHeight="1">
      <c r="A2097" s="1" t="s">
        <v>127</v>
      </c>
      <c r="B2097" s="1" t="s">
        <v>41631</v>
      </c>
      <c r="C2097" s="1" t="s">
        <v>41632</v>
      </c>
      <c r="D2097" s="8" t="s">
        <v>41633</v>
      </c>
      <c r="E2097" s="1" t="s">
        <v>41634</v>
      </c>
      <c r="F2097" s="6" t="s">
        <v>132</v>
      </c>
      <c r="G2097" s="1" t="s">
        <v>41635</v>
      </c>
      <c r="H2097" s="1" t="s">
        <v>41636</v>
      </c>
      <c r="I2097" s="1" t="s">
        <v>41637</v>
      </c>
      <c r="J2097" s="6" t="s">
        <v>41638</v>
      </c>
      <c r="K2097" s="1" t="s">
        <v>41639</v>
      </c>
      <c r="L2097" s="1" t="s">
        <v>41640</v>
      </c>
      <c r="M2097" s="1" t="s">
        <v>41641</v>
      </c>
      <c r="N2097" s="6" t="s">
        <v>132</v>
      </c>
      <c r="O2097" s="6" t="s">
        <v>41642</v>
      </c>
      <c r="P2097" s="1" t="s">
        <v>41632</v>
      </c>
      <c r="Q2097" s="1" t="s">
        <v>41643</v>
      </c>
      <c r="R2097" s="1" t="s">
        <v>41644</v>
      </c>
      <c r="S2097" s="10" t="s">
        <v>41645</v>
      </c>
      <c r="T2097" s="1" t="s">
        <v>41646</v>
      </c>
      <c r="U2097" s="1" t="s">
        <v>41647</v>
      </c>
      <c r="V2097" s="1" t="s">
        <v>41643</v>
      </c>
      <c r="W2097" s="1" t="s">
        <v>41648</v>
      </c>
      <c r="X2097" s="1" t="s">
        <v>41636</v>
      </c>
      <c r="Y2097" s="1" t="s">
        <v>41649</v>
      </c>
      <c r="Z2097" s="1" t="s">
        <v>41650</v>
      </c>
      <c r="AA2097" s="7" t="str">
        <f>IFERROR(__xludf.DUMMYFUNCTION("GOOGLETRANSLATE(C2097, ""en"", ""ro"")"),"CF din actul de finanțare.")</f>
        <v>CF din actul de finanțare.</v>
      </c>
      <c r="AB2097" s="1" t="s">
        <v>41651</v>
      </c>
      <c r="AC2097" s="1" t="s">
        <v>41652</v>
      </c>
      <c r="AD2097" s="6" t="s">
        <v>41653</v>
      </c>
      <c r="AE2097" s="1" t="s">
        <v>41654</v>
      </c>
      <c r="AF2097" s="1" t="s">
        <v>41655</v>
      </c>
      <c r="AG2097" s="6" t="s">
        <v>41656</v>
      </c>
      <c r="AH2097" s="1" t="s">
        <v>41657</v>
      </c>
      <c r="AI2097" s="6" t="s">
        <v>132</v>
      </c>
      <c r="AJ2097" s="6" t="s">
        <v>41658</v>
      </c>
      <c r="AK2097" s="1" t="s">
        <v>41659</v>
      </c>
      <c r="AL2097" s="6" t="s">
        <v>132</v>
      </c>
    </row>
    <row r="2098" ht="15.75" customHeight="1">
      <c r="A2098" s="1" t="s">
        <v>127</v>
      </c>
      <c r="B2098" s="1" t="s">
        <v>41660</v>
      </c>
      <c r="C2098" s="1" t="s">
        <v>41661</v>
      </c>
      <c r="D2098" s="8" t="s">
        <v>41662</v>
      </c>
      <c r="E2098" s="1" t="s">
        <v>41663</v>
      </c>
      <c r="F2098" s="6" t="s">
        <v>132</v>
      </c>
      <c r="G2098" s="1" t="s">
        <v>41661</v>
      </c>
      <c r="H2098" s="1" t="s">
        <v>41661</v>
      </c>
      <c r="I2098" s="1" t="s">
        <v>41664</v>
      </c>
      <c r="J2098" s="6" t="s">
        <v>41661</v>
      </c>
      <c r="K2098" s="1" t="s">
        <v>41665</v>
      </c>
      <c r="L2098" s="1" t="s">
        <v>41661</v>
      </c>
      <c r="M2098" s="1" t="s">
        <v>41666</v>
      </c>
      <c r="N2098" s="6" t="s">
        <v>132</v>
      </c>
      <c r="O2098" s="6" t="s">
        <v>41667</v>
      </c>
      <c r="P2098" s="1" t="s">
        <v>41668</v>
      </c>
      <c r="Q2098" s="1" t="s">
        <v>41669</v>
      </c>
      <c r="R2098" s="1" t="s">
        <v>41661</v>
      </c>
      <c r="S2098" s="10" t="s">
        <v>41670</v>
      </c>
      <c r="T2098" s="1" t="s">
        <v>21969</v>
      </c>
      <c r="U2098" s="1" t="s">
        <v>41661</v>
      </c>
      <c r="V2098" s="1" t="s">
        <v>41669</v>
      </c>
      <c r="W2098" s="1" t="s">
        <v>41671</v>
      </c>
      <c r="X2098" s="1" t="s">
        <v>41661</v>
      </c>
      <c r="Y2098" s="1" t="s">
        <v>41672</v>
      </c>
      <c r="Z2098" s="1" t="s">
        <v>41673</v>
      </c>
      <c r="AA2098" s="7" t="str">
        <f>IFERROR(__xludf.DUMMYFUNCTION("GOOGLETRANSLATE(C2098, ""en"", ""ro"")"),"% 0.1f mil.")</f>
        <v>% 0.1f mil.</v>
      </c>
      <c r="AB2098" s="1" t="s">
        <v>41674</v>
      </c>
      <c r="AC2098" s="1" t="s">
        <v>41675</v>
      </c>
      <c r="AD2098" s="6" t="s">
        <v>41661</v>
      </c>
      <c r="AE2098" s="1" t="s">
        <v>41671</v>
      </c>
      <c r="AF2098" s="1" t="s">
        <v>41661</v>
      </c>
      <c r="AG2098" s="6" t="s">
        <v>41676</v>
      </c>
      <c r="AH2098" s="1" t="s">
        <v>41677</v>
      </c>
      <c r="AI2098" s="6" t="s">
        <v>132</v>
      </c>
      <c r="AJ2098" s="6" t="s">
        <v>41678</v>
      </c>
      <c r="AK2098" s="1" t="s">
        <v>41679</v>
      </c>
      <c r="AL2098" s="6" t="s">
        <v>41680</v>
      </c>
    </row>
    <row r="2099" ht="15.75" hidden="1" customHeight="1">
      <c r="A2099" s="1" t="s">
        <v>38</v>
      </c>
      <c r="B2099" s="1" t="s">
        <v>41681</v>
      </c>
      <c r="C2099" s="1" t="s">
        <v>41682</v>
      </c>
      <c r="D2099" s="7" t="str">
        <f>IFERROR(__xludf.DUMMYFUNCTION("GOOGLETRANSLATE(C2099, ""en"", ""ar"")"),"مدغشقر")</f>
        <v>مدغشقر</v>
      </c>
      <c r="E2099" s="7" t="str">
        <f>IFERROR(__xludf.DUMMYFUNCTION("GOOGLETRANSLATE(C2099, ""en"", ""bg"")"),"Мадагаскар")</f>
        <v>Мадагаскар</v>
      </c>
      <c r="F2099" s="6" t="s">
        <v>132</v>
      </c>
      <c r="G2099" s="7" t="str">
        <f>IFERROR(__xludf.DUMMYFUNCTION("GOOGLETRANSLATE(C2099, ""en"", ""cs"")"),"Madagaskar")</f>
        <v>Madagaskar</v>
      </c>
      <c r="H2099" s="7" t="str">
        <f>IFERROR(__xludf.DUMMYFUNCTION("GOOGLETRANSLATE(C2099, ""en"", ""da"")"),"Madagaskar.")</f>
        <v>Madagaskar.</v>
      </c>
      <c r="I2099" s="1" t="s">
        <v>41683</v>
      </c>
      <c r="J2099" s="6" t="s">
        <v>132</v>
      </c>
      <c r="K2099" s="1" t="s">
        <v>41682</v>
      </c>
      <c r="L2099" s="7" t="str">
        <f>IFERROR(__xludf.DUMMYFUNCTION("GOOGLETRANSLATE(C2099, ""en"", ""fi"")"),"Madagaskar")</f>
        <v>Madagaskar</v>
      </c>
      <c r="M2099" s="1" t="s">
        <v>41682</v>
      </c>
      <c r="N2099" s="6" t="s">
        <v>132</v>
      </c>
      <c r="O2099" s="6" t="s">
        <v>132</v>
      </c>
      <c r="P2099" s="1" t="s">
        <v>41682</v>
      </c>
      <c r="Q2099" s="7" t="str">
        <f>IFERROR(__xludf.DUMMYFUNCTION("GOOGLETRANSLATE(C2099, ""en"", ""in"")"),"Madagaskar")</f>
        <v>Madagaskar</v>
      </c>
      <c r="R2099" s="7" t="str">
        <f>IFERROR(__xludf.DUMMYFUNCTION("GOOGLETRANSLATE(C2099, ""en"", ""it"")"),"Madagascar")</f>
        <v>Madagascar</v>
      </c>
      <c r="S2099" s="6" t="s">
        <v>132</v>
      </c>
      <c r="T2099" s="7" t="str">
        <f>IFERROR(__xludf.DUMMYFUNCTION("GOOGLETRANSLATE(C2099, ""en"", ""ja"")"),"マダガスカル")</f>
        <v>マダガスカル</v>
      </c>
      <c r="U2099" s="7" t="str">
        <f>IFERROR(__xludf.DUMMYFUNCTION("GOOGLETRANSLATE(C2099, ""en"", ""ko"")"),"마다가스카르")</f>
        <v>마다가스카르</v>
      </c>
      <c r="V2099" s="7" t="str">
        <f>IFERROR(__xludf.DUMMYFUNCTION("GOOGLETRANSLATE(C2099, ""en"", ""ms"")"),"Madagascar")</f>
        <v>Madagascar</v>
      </c>
      <c r="W2099" s="7" t="str">
        <f>IFERROR(__xludf.DUMMYFUNCTION("GOOGLETRANSLATE(C2099, ""en"", ""nl"")"),"Madagascar")</f>
        <v>Madagascar</v>
      </c>
      <c r="X2099" s="7" t="str">
        <f>IFERROR(__xludf.DUMMYFUNCTION("GOOGLETRANSLATE(C2099, ""en"", ""no"")"),"Madagaskar.")</f>
        <v>Madagaskar.</v>
      </c>
      <c r="Y2099" s="7" t="str">
        <f>IFERROR(__xludf.DUMMYFUNCTION("GOOGLETRANSLATE(C2099, ""en"", ""pl"")"),"Madagaskar")</f>
        <v>Madagaskar</v>
      </c>
      <c r="Z2099" s="7" t="str">
        <f>IFERROR(__xludf.DUMMYFUNCTION("GOOGLETRANSLATE(C2099, ""en"", ""pt"")"),"Madagáscar")</f>
        <v>Madagáscar</v>
      </c>
      <c r="AA2099" s="7" t="str">
        <f>IFERROR(__xludf.DUMMYFUNCTION("GOOGLETRANSLATE(C2099, ""en"", ""ro"")"),"Madagascar")</f>
        <v>Madagascar</v>
      </c>
      <c r="AB2099" s="1" t="s">
        <v>41684</v>
      </c>
      <c r="AC2099" s="7" t="str">
        <f>IFERROR(__xludf.DUMMYFUNCTION("GOOGLETRANSLATE(C2099, ""en"", ""sk"")"),"Madagaskar")</f>
        <v>Madagaskar</v>
      </c>
      <c r="AD2099" s="6" t="s">
        <v>132</v>
      </c>
      <c r="AE2099" s="1" t="s">
        <v>41683</v>
      </c>
      <c r="AF2099" s="7" t="str">
        <f>IFERROR(__xludf.DUMMYFUNCTION("GOOGLETRANSLATE(C2099, ""en"", ""sv"")"),"Madagaskar")</f>
        <v>Madagaskar</v>
      </c>
      <c r="AG2099" s="6" t="s">
        <v>132</v>
      </c>
      <c r="AH2099" s="7" t="str">
        <f>IFERROR(__xludf.DUMMYFUNCTION("GOOGLETRANSLATE(C2099, ""en"", ""tr"")"),"Madagaskar")</f>
        <v>Madagaskar</v>
      </c>
      <c r="AI2099" s="6" t="s">
        <v>132</v>
      </c>
      <c r="AJ2099" s="6" t="s">
        <v>132</v>
      </c>
      <c r="AK2099" s="7" t="str">
        <f>IFERROR(__xludf.DUMMYFUNCTION("GOOGLETRANSLATE(C2099, ""en"", ""zh"")"),"马达加斯加")</f>
        <v>马达加斯加</v>
      </c>
      <c r="AL2099" s="6" t="s">
        <v>132</v>
      </c>
    </row>
    <row r="2100" ht="15.75" customHeight="1">
      <c r="A2100" s="1" t="s">
        <v>127</v>
      </c>
      <c r="B2100" s="1" t="s">
        <v>41685</v>
      </c>
      <c r="C2100" s="1" t="s">
        <v>8467</v>
      </c>
      <c r="D2100" s="8" t="s">
        <v>8468</v>
      </c>
      <c r="E2100" s="1" t="s">
        <v>8469</v>
      </c>
      <c r="F2100" s="6" t="s">
        <v>132</v>
      </c>
      <c r="G2100" s="1" t="s">
        <v>8470</v>
      </c>
      <c r="H2100" s="1" t="s">
        <v>8471</v>
      </c>
      <c r="I2100" s="1" t="s">
        <v>41686</v>
      </c>
      <c r="J2100" s="6" t="s">
        <v>8473</v>
      </c>
      <c r="K2100" s="1" t="s">
        <v>8474</v>
      </c>
      <c r="L2100" s="1" t="s">
        <v>8475</v>
      </c>
      <c r="M2100" s="1" t="s">
        <v>8476</v>
      </c>
      <c r="N2100" s="6" t="s">
        <v>132</v>
      </c>
      <c r="O2100" s="6" t="s">
        <v>8477</v>
      </c>
      <c r="P2100" s="1" t="s">
        <v>23025</v>
      </c>
      <c r="Q2100" s="1" t="s">
        <v>23026</v>
      </c>
      <c r="R2100" s="1" t="s">
        <v>8480</v>
      </c>
      <c r="S2100" s="10" t="s">
        <v>41687</v>
      </c>
      <c r="T2100" s="1" t="s">
        <v>8482</v>
      </c>
      <c r="U2100" s="1" t="s">
        <v>8483</v>
      </c>
      <c r="V2100" s="1" t="s">
        <v>8484</v>
      </c>
      <c r="W2100" s="1" t="s">
        <v>8485</v>
      </c>
      <c r="X2100" s="1" t="s">
        <v>8471</v>
      </c>
      <c r="Y2100" s="1" t="s">
        <v>8467</v>
      </c>
      <c r="Z2100" s="1" t="s">
        <v>23033</v>
      </c>
      <c r="AA2100" s="7" t="str">
        <f>IFERROR(__xludf.DUMMYFUNCTION("GOOGLETRANSLATE(C2100, ""en"", ""ro"")"),"Rata dobânzii")</f>
        <v>Rata dobânzii</v>
      </c>
      <c r="AB2100" s="1" t="s">
        <v>8489</v>
      </c>
      <c r="AC2100" s="1" t="s">
        <v>8490</v>
      </c>
      <c r="AD2100" s="6" t="s">
        <v>41688</v>
      </c>
      <c r="AE2100" s="1" t="s">
        <v>8491</v>
      </c>
      <c r="AF2100" s="1" t="s">
        <v>8492</v>
      </c>
      <c r="AG2100" s="6" t="s">
        <v>8493</v>
      </c>
      <c r="AH2100" s="1" t="s">
        <v>8494</v>
      </c>
      <c r="AI2100" s="6" t="s">
        <v>132</v>
      </c>
      <c r="AJ2100" s="6" t="s">
        <v>8495</v>
      </c>
      <c r="AK2100" s="1" t="s">
        <v>8496</v>
      </c>
      <c r="AL2100" s="6" t="s">
        <v>23041</v>
      </c>
    </row>
    <row r="2101" ht="15.75" hidden="1" customHeight="1">
      <c r="A2101" s="1" t="s">
        <v>38</v>
      </c>
      <c r="B2101" s="1" t="s">
        <v>41689</v>
      </c>
      <c r="C2101" s="1" t="s">
        <v>41690</v>
      </c>
      <c r="D2101" s="8" t="s">
        <v>41691</v>
      </c>
      <c r="E2101" s="1" t="s">
        <v>41692</v>
      </c>
      <c r="F2101" s="6" t="s">
        <v>41693</v>
      </c>
      <c r="G2101" s="7" t="str">
        <f>IFERROR(__xludf.DUMMYFUNCTION("GOOGLETRANSLATE(C2101, ""en"", ""cs"")"),"Vytvořit")</f>
        <v>Vytvořit</v>
      </c>
      <c r="H2101" s="7" t="str">
        <f>IFERROR(__xludf.DUMMYFUNCTION("GOOGLETRANSLATE(C2101, ""en"", ""da"")"),"skab")</f>
        <v>skab</v>
      </c>
      <c r="I2101" s="1" t="s">
        <v>41694</v>
      </c>
      <c r="J2101" s="6" t="s">
        <v>132</v>
      </c>
      <c r="K2101" s="1" t="s">
        <v>41695</v>
      </c>
      <c r="L2101" s="7" t="str">
        <f>IFERROR(__xludf.DUMMYFUNCTION("GOOGLETRANSLATE(C2101, ""en"", ""fi"")"),"Luoda")</f>
        <v>Luoda</v>
      </c>
      <c r="M2101" s="1" t="s">
        <v>26040</v>
      </c>
      <c r="N2101" s="6" t="s">
        <v>41695</v>
      </c>
      <c r="O2101" s="6" t="s">
        <v>132</v>
      </c>
      <c r="P2101" s="1" t="s">
        <v>41696</v>
      </c>
      <c r="Q2101" s="9" t="s">
        <v>41697</v>
      </c>
      <c r="R2101" s="1" t="s">
        <v>41693</v>
      </c>
      <c r="S2101" s="6" t="s">
        <v>132</v>
      </c>
      <c r="T2101" s="1" t="s">
        <v>41698</v>
      </c>
      <c r="U2101" s="1" t="s">
        <v>41699</v>
      </c>
      <c r="V2101" s="7" t="str">
        <f>IFERROR(__xludf.DUMMYFUNCTION("GOOGLETRANSLATE(C2101, ""en"", ""ms"")"),"Buat")</f>
        <v>Buat</v>
      </c>
      <c r="W2101" s="1" t="s">
        <v>41700</v>
      </c>
      <c r="X2101" s="7" t="str">
        <f>IFERROR(__xludf.DUMMYFUNCTION("GOOGLETRANSLATE(C2101, ""en"", ""no"")"),"Skape")</f>
        <v>Skape</v>
      </c>
      <c r="Y2101" s="1" t="s">
        <v>41701</v>
      </c>
      <c r="Z2101" s="1" t="s">
        <v>41702</v>
      </c>
      <c r="AA2101" s="7" t="str">
        <f>IFERROR(__xludf.DUMMYFUNCTION("GOOGLETRANSLATE(C2101, ""en"", ""ro"")"),"Crea")</f>
        <v>Crea</v>
      </c>
      <c r="AB2101" s="1" t="s">
        <v>41703</v>
      </c>
      <c r="AC2101" s="1" t="s">
        <v>41704</v>
      </c>
      <c r="AD2101" s="6" t="s">
        <v>132</v>
      </c>
      <c r="AE2101" s="1" t="s">
        <v>41705</v>
      </c>
      <c r="AF2101" s="1" t="s">
        <v>41706</v>
      </c>
      <c r="AG2101" s="6" t="s">
        <v>132</v>
      </c>
      <c r="AH2101" s="7" t="str">
        <f>IFERROR(__xludf.DUMMYFUNCTION("GOOGLETRANSLATE(C2101, ""en"", ""tr"")"),"Oluşturmak")</f>
        <v>Oluşturmak</v>
      </c>
      <c r="AI2101" s="6" t="s">
        <v>41707</v>
      </c>
      <c r="AJ2101" s="6" t="s">
        <v>41708</v>
      </c>
      <c r="AK2101" s="7" t="str">
        <f>IFERROR(__xludf.DUMMYFUNCTION("GOOGLETRANSLATE(C2101, ""en"", ""zh"")"),"创造")</f>
        <v>创造</v>
      </c>
      <c r="AL2101" s="6" t="s">
        <v>41709</v>
      </c>
    </row>
    <row r="2102" ht="15.75" hidden="1" customHeight="1">
      <c r="A2102" s="1" t="s">
        <v>38</v>
      </c>
      <c r="B2102" s="1" t="s">
        <v>41710</v>
      </c>
      <c r="C2102" s="1" t="s">
        <v>41711</v>
      </c>
      <c r="D2102" s="8" t="s">
        <v>41712</v>
      </c>
      <c r="E2102" s="1" t="s">
        <v>41713</v>
      </c>
      <c r="F2102" s="6" t="s">
        <v>41714</v>
      </c>
      <c r="G2102" s="7" t="str">
        <f>IFERROR(__xludf.DUMMYFUNCTION("GOOGLETRANSLATE(C2102, ""en"", ""cs"")"),"Toto není platný název hostitele")</f>
        <v>Toto není platný název hostitele</v>
      </c>
      <c r="H2102" s="7" t="str">
        <f>IFERROR(__xludf.DUMMYFUNCTION("GOOGLETRANSLATE(C2102, ""en"", ""da"")"),"Dette er ikke et gyldigt værtsnavn")</f>
        <v>Dette er ikke et gyldigt værtsnavn</v>
      </c>
      <c r="I2102" s="1" t="s">
        <v>41715</v>
      </c>
      <c r="J2102" s="6" t="s">
        <v>132</v>
      </c>
      <c r="K2102" s="1" t="s">
        <v>41716</v>
      </c>
      <c r="L2102" s="7" t="str">
        <f>IFERROR(__xludf.DUMMYFUNCTION("GOOGLETRANSLATE(C2102, ""en"", ""fi"")"),"Tämä ei ole kelvollinen isäntänimi")</f>
        <v>Tämä ei ole kelvollinen isäntänimi</v>
      </c>
      <c r="M2102" s="1" t="s">
        <v>41717</v>
      </c>
      <c r="N2102" s="6" t="s">
        <v>41718</v>
      </c>
      <c r="O2102" s="6" t="s">
        <v>132</v>
      </c>
      <c r="P2102" s="1" t="s">
        <v>41719</v>
      </c>
      <c r="Q2102" s="7" t="str">
        <f>IFERROR(__xludf.DUMMYFUNCTION("GOOGLETRANSLATE(C2102, ""en"", ""in"")"),"Ini bukan nama host yang valid")</f>
        <v>Ini bukan nama host yang valid</v>
      </c>
      <c r="R2102" s="1" t="s">
        <v>41720</v>
      </c>
      <c r="S2102" s="6" t="s">
        <v>132</v>
      </c>
      <c r="T2102" s="1" t="s">
        <v>41721</v>
      </c>
      <c r="U2102" s="1" t="s">
        <v>41722</v>
      </c>
      <c r="V2102" s="7" t="str">
        <f>IFERROR(__xludf.DUMMYFUNCTION("GOOGLETRANSLATE(C2102, ""en"", ""ms"")"),"Ini bukan nama hos yang sah")</f>
        <v>Ini bukan nama hos yang sah</v>
      </c>
      <c r="W2102" s="1" t="s">
        <v>41723</v>
      </c>
      <c r="X2102" s="7" t="str">
        <f>IFERROR(__xludf.DUMMYFUNCTION("GOOGLETRANSLATE(C2102, ""en"", ""no"")"),"Dette er ikke et gyldig vertsnavn")</f>
        <v>Dette er ikke et gyldig vertsnavn</v>
      </c>
      <c r="Y2102" s="1" t="s">
        <v>41724</v>
      </c>
      <c r="Z2102" s="1" t="s">
        <v>41725</v>
      </c>
      <c r="AA2102" s="7" t="str">
        <f>IFERROR(__xludf.DUMMYFUNCTION("GOOGLETRANSLATE(C2102, ""en"", ""ro"")"),"Acesta nu este un nume de gazdă valabil")</f>
        <v>Acesta nu este un nume de gazdă valabil</v>
      </c>
      <c r="AB2102" s="1" t="s">
        <v>41726</v>
      </c>
      <c r="AC2102" s="7" t="str">
        <f>IFERROR(__xludf.DUMMYFUNCTION("GOOGLETRANSLATE(C2102, ""en"", ""sk"")"),"Toto nie je platný názov hostiteľa")</f>
        <v>Toto nie je platný názov hostiteľa</v>
      </c>
      <c r="AD2102" s="6" t="s">
        <v>132</v>
      </c>
      <c r="AE2102" s="1" t="s">
        <v>41727</v>
      </c>
      <c r="AF2102" s="1" t="s">
        <v>41728</v>
      </c>
      <c r="AG2102" s="6" t="s">
        <v>132</v>
      </c>
      <c r="AH2102" s="7" t="str">
        <f>IFERROR(__xludf.DUMMYFUNCTION("GOOGLETRANSLATE(C2102, ""en"", ""tr"")"),"Bu geçerli bir ana bilgisayar adı değil")</f>
        <v>Bu geçerli bir ana bilgisayar adı değil</v>
      </c>
      <c r="AI2102" s="6" t="s">
        <v>41729</v>
      </c>
      <c r="AJ2102" s="6" t="s">
        <v>41730</v>
      </c>
      <c r="AK2102" s="7" t="str">
        <f>IFERROR(__xludf.DUMMYFUNCTION("GOOGLETRANSLATE(C2102, ""en"", ""zh"")"),"这不是一个有效的主机名")</f>
        <v>这不是一个有效的主机名</v>
      </c>
      <c r="AL2102" s="6" t="s">
        <v>41731</v>
      </c>
    </row>
    <row r="2103" ht="15.75" hidden="1" customHeight="1">
      <c r="A2103" s="1" t="s">
        <v>38</v>
      </c>
      <c r="B2103" s="1" t="s">
        <v>41732</v>
      </c>
      <c r="C2103" s="1" t="s">
        <v>41733</v>
      </c>
      <c r="D2103" s="8" t="s">
        <v>41734</v>
      </c>
      <c r="E2103" s="1" t="s">
        <v>41735</v>
      </c>
      <c r="F2103" s="6" t="s">
        <v>41736</v>
      </c>
      <c r="G2103" s="7" t="str">
        <f>IFERROR(__xludf.DUMMYFUNCTION("GOOGLETRANSLATE(C2103, ""en"", ""cs"")"),"Přijměte neznámý certifikát?")</f>
        <v>Přijměte neznámý certifikát?</v>
      </c>
      <c r="H2103" s="7" t="str">
        <f>IFERROR(__xludf.DUMMYFUNCTION("GOOGLETRANSLATE(C2103, ""en"", ""da"")"),"Acceptere ukendt certifikat?")</f>
        <v>Acceptere ukendt certifikat?</v>
      </c>
      <c r="I2103" s="1" t="s">
        <v>41737</v>
      </c>
      <c r="J2103" s="6" t="s">
        <v>132</v>
      </c>
      <c r="K2103" s="1" t="s">
        <v>41738</v>
      </c>
      <c r="L2103" s="7" t="str">
        <f>IFERROR(__xludf.DUMMYFUNCTION("GOOGLETRANSLATE(C2103, ""en"", ""fi"")"),"Hyväksy tuntematon todistus?")</f>
        <v>Hyväksy tuntematon todistus?</v>
      </c>
      <c r="M2103" s="1" t="s">
        <v>41739</v>
      </c>
      <c r="N2103" s="6" t="s">
        <v>41740</v>
      </c>
      <c r="O2103" s="6" t="s">
        <v>132</v>
      </c>
      <c r="P2103" s="1" t="s">
        <v>41741</v>
      </c>
      <c r="Q2103" s="7" t="str">
        <f>IFERROR(__xludf.DUMMYFUNCTION("GOOGLETRANSLATE(C2103, ""en"", ""in"")"),"Terima Sertifikat Tidak Dikenal?")</f>
        <v>Terima Sertifikat Tidak Dikenal?</v>
      </c>
      <c r="R2103" s="1" t="s">
        <v>41742</v>
      </c>
      <c r="S2103" s="6" t="s">
        <v>132</v>
      </c>
      <c r="T2103" s="7" t="str">
        <f>IFERROR(__xludf.DUMMYFUNCTION("GOOGLETRANSLATE(C2103, ""en"", ""ja"")"),"未知の証明書を受け入れる？")</f>
        <v>未知の証明書を受け入れる？</v>
      </c>
      <c r="U2103" s="7" t="str">
        <f>IFERROR(__xludf.DUMMYFUNCTION("GOOGLETRANSLATE(C2103, ""en"", ""ko"")"),"알 수없는 인증서를 수락 하시겠습니까?")</f>
        <v>알 수없는 인증서를 수락 하시겠습니까?</v>
      </c>
      <c r="V2103" s="7" t="str">
        <f>IFERROR(__xludf.DUMMYFUNCTION("GOOGLETRANSLATE(C2103, ""en"", ""ms"")"),"Terima sijil yang tidak diketahui?")</f>
        <v>Terima sijil yang tidak diketahui?</v>
      </c>
      <c r="W2103" s="1" t="s">
        <v>41743</v>
      </c>
      <c r="X2103" s="7" t="str">
        <f>IFERROR(__xludf.DUMMYFUNCTION("GOOGLETRANSLATE(C2103, ""en"", ""no"")"),"Godta ukjent sertifikat?")</f>
        <v>Godta ukjent sertifikat?</v>
      </c>
      <c r="Y2103" s="1" t="s">
        <v>41744</v>
      </c>
      <c r="Z2103" s="7" t="str">
        <f>IFERROR(__xludf.DUMMYFUNCTION("GOOGLETRANSLATE(C2103, ""en"", ""pt"")"),"Aceitar certificado desconhecido?")</f>
        <v>Aceitar certificado desconhecido?</v>
      </c>
      <c r="AA2103" s="7" t="str">
        <f>IFERROR(__xludf.DUMMYFUNCTION("GOOGLETRANSLATE(C2103, ""en"", ""ro"")"),"Acceptați certificat necunoscut?")</f>
        <v>Acceptați certificat necunoscut?</v>
      </c>
      <c r="AB2103" s="1" t="s">
        <v>41745</v>
      </c>
      <c r="AC2103" s="7" t="str">
        <f>IFERROR(__xludf.DUMMYFUNCTION("GOOGLETRANSLATE(C2103, ""en"", ""sk"")"),"Prijímať neznámy certifikát?")</f>
        <v>Prijímať neznámy certifikát?</v>
      </c>
      <c r="AD2103" s="6" t="s">
        <v>132</v>
      </c>
      <c r="AE2103" s="7" t="str">
        <f>IFERROR(__xludf.DUMMYFUNCTION("GOOGLETRANSLATE(C2103, ""en"", ""sr"")"),"Прихватите непознати сертификат?")</f>
        <v>Прихватите непознати сертификат?</v>
      </c>
      <c r="AF2103" s="7" t="str">
        <f>IFERROR(__xludf.DUMMYFUNCTION("GOOGLETRANSLATE(C2103, ""en"", ""sv"")"),"Acceptera okänt certifikat?")</f>
        <v>Acceptera okänt certifikat?</v>
      </c>
      <c r="AG2103" s="6" t="s">
        <v>132</v>
      </c>
      <c r="AH2103" s="7" t="str">
        <f>IFERROR(__xludf.DUMMYFUNCTION("GOOGLETRANSLATE(C2103, ""en"", ""tr"")"),"Bilinmeyen sertifikayı kabul ediyor musun?")</f>
        <v>Bilinmeyen sertifikayı kabul ediyor musun?</v>
      </c>
      <c r="AI2103" s="6" t="s">
        <v>132</v>
      </c>
      <c r="AJ2103" s="6" t="s">
        <v>132</v>
      </c>
      <c r="AK2103" s="7" t="str">
        <f>IFERROR(__xludf.DUMMYFUNCTION("GOOGLETRANSLATE(C2103, ""en"", ""zh"")"),"接受未知证书？")</f>
        <v>接受未知证书？</v>
      </c>
      <c r="AL2103" s="6" t="s">
        <v>132</v>
      </c>
    </row>
    <row r="2104" ht="15.75" hidden="1" customHeight="1">
      <c r="A2104" s="1" t="s">
        <v>38</v>
      </c>
      <c r="B2104" s="1" t="s">
        <v>41746</v>
      </c>
      <c r="C2104" s="1" t="s">
        <v>41747</v>
      </c>
      <c r="D2104" s="7" t="str">
        <f>IFERROR(__xludf.DUMMYFUNCTION("GOOGLETRANSLATE(C2104, ""en"", ""ar"")"),"سيشيل")</f>
        <v>سيشيل</v>
      </c>
      <c r="E2104" s="7" t="str">
        <f>IFERROR(__xludf.DUMMYFUNCTION("GOOGLETRANSLATE(C2104, ""en"", ""bg"")"),"Сейшелс")</f>
        <v>Сейшелс</v>
      </c>
      <c r="F2104" s="6" t="s">
        <v>132</v>
      </c>
      <c r="G2104" s="7" t="str">
        <f>IFERROR(__xludf.DUMMYFUNCTION("GOOGLETRANSLATE(C2104, ""en"", ""cs"")"),"Seychelles")</f>
        <v>Seychelles</v>
      </c>
      <c r="H2104" s="7" t="str">
        <f>IFERROR(__xludf.DUMMYFUNCTION("GOOGLETRANSLATE(C2104, ""en"", ""da"")"),"Seychellerne.")</f>
        <v>Seychellerne.</v>
      </c>
      <c r="I2104" s="1" t="s">
        <v>41748</v>
      </c>
      <c r="J2104" s="6" t="s">
        <v>132</v>
      </c>
      <c r="K2104" s="1" t="s">
        <v>41747</v>
      </c>
      <c r="L2104" s="7" t="str">
        <f>IFERROR(__xludf.DUMMYFUNCTION("GOOGLETRANSLATE(C2104, ""en"", ""fi"")"),"Seychellit")</f>
        <v>Seychellit</v>
      </c>
      <c r="M2104" s="1" t="s">
        <v>41749</v>
      </c>
      <c r="N2104" s="6" t="s">
        <v>132</v>
      </c>
      <c r="O2104" s="6" t="s">
        <v>132</v>
      </c>
      <c r="P2104" s="1" t="s">
        <v>41747</v>
      </c>
      <c r="Q2104" s="7" t="str">
        <f>IFERROR(__xludf.DUMMYFUNCTION("GOOGLETRANSLATE(C2104, ""en"", ""in"")"),"Seychelles.")</f>
        <v>Seychelles.</v>
      </c>
      <c r="R2104" s="7" t="str">
        <f>IFERROR(__xludf.DUMMYFUNCTION("GOOGLETRANSLATE(C2104, ""en"", ""it"")"),"Seychelles.")</f>
        <v>Seychelles.</v>
      </c>
      <c r="S2104" s="6" t="s">
        <v>132</v>
      </c>
      <c r="T2104" s="7" t="str">
        <f>IFERROR(__xludf.DUMMYFUNCTION("GOOGLETRANSLATE(C2104, ""en"", ""ja"")"),"セイシェル")</f>
        <v>セイシェル</v>
      </c>
      <c r="U2104" s="7" t="str">
        <f>IFERROR(__xludf.DUMMYFUNCTION("GOOGLETRANSLATE(C2104, ""en"", ""ko"")"),"세이셸")</f>
        <v>세이셸</v>
      </c>
      <c r="V2104" s="7" t="str">
        <f>IFERROR(__xludf.DUMMYFUNCTION("GOOGLETRANSLATE(C2104, ""en"", ""ms"")"),"Seychelles.")</f>
        <v>Seychelles.</v>
      </c>
      <c r="W2104" s="7" t="str">
        <f>IFERROR(__xludf.DUMMYFUNCTION("GOOGLETRANSLATE(C2104, ""en"", ""nl"")"),"Seychellen")</f>
        <v>Seychellen</v>
      </c>
      <c r="X2104" s="7" t="str">
        <f>IFERROR(__xludf.DUMMYFUNCTION("GOOGLETRANSLATE(C2104, ""en"", ""no"")"),"Seychellene")</f>
        <v>Seychellene</v>
      </c>
      <c r="Y2104" s="7" t="str">
        <f>IFERROR(__xludf.DUMMYFUNCTION("GOOGLETRANSLATE(C2104, ""en"", ""pl"")"),"Seszele")</f>
        <v>Seszele</v>
      </c>
      <c r="Z2104" s="7" t="str">
        <f>IFERROR(__xludf.DUMMYFUNCTION("GOOGLETRANSLATE(C2104, ""en"", ""pt"")"),"Seychelles.")</f>
        <v>Seychelles.</v>
      </c>
      <c r="AA2104" s="7" t="str">
        <f>IFERROR(__xludf.DUMMYFUNCTION("GOOGLETRANSLATE(C2104, ""en"", ""ro"")"),"Seychelles.")</f>
        <v>Seychelles.</v>
      </c>
      <c r="AB2104" s="1" t="s">
        <v>41750</v>
      </c>
      <c r="AC2104" s="7" t="str">
        <f>IFERROR(__xludf.DUMMYFUNCTION("GOOGLETRANSLATE(C2104, ""en"", ""sk"")"),"Seychely")</f>
        <v>Seychely</v>
      </c>
      <c r="AD2104" s="6" t="s">
        <v>132</v>
      </c>
      <c r="AE2104" s="1" t="s">
        <v>41751</v>
      </c>
      <c r="AF2104" s="7" t="str">
        <f>IFERROR(__xludf.DUMMYFUNCTION("GOOGLETRANSLATE(C2104, ""en"", ""sv"")"),"Seychellerna")</f>
        <v>Seychellerna</v>
      </c>
      <c r="AG2104" s="6" t="s">
        <v>132</v>
      </c>
      <c r="AH2104" s="7" t="str">
        <f>IFERROR(__xludf.DUMMYFUNCTION("GOOGLETRANSLATE(C2104, ""en"", ""tr"")"),"Seyşeller")</f>
        <v>Seyşeller</v>
      </c>
      <c r="AI2104" s="6" t="s">
        <v>132</v>
      </c>
      <c r="AJ2104" s="6" t="s">
        <v>132</v>
      </c>
      <c r="AK2104" s="7" t="str">
        <f>IFERROR(__xludf.DUMMYFUNCTION("GOOGLETRANSLATE(C2104, ""en"", ""zh"")"),"塞舌尔")</f>
        <v>塞舌尔</v>
      </c>
      <c r="AL2104" s="6" t="s">
        <v>132</v>
      </c>
    </row>
    <row r="2105" ht="15.75" customHeight="1">
      <c r="A2105" s="1" t="s">
        <v>127</v>
      </c>
      <c r="B2105" s="1" t="s">
        <v>41752</v>
      </c>
      <c r="C2105" s="1" t="s">
        <v>41753</v>
      </c>
      <c r="D2105" s="8" t="s">
        <v>13552</v>
      </c>
      <c r="E2105" s="1" t="s">
        <v>13567</v>
      </c>
      <c r="F2105" s="6" t="s">
        <v>132</v>
      </c>
      <c r="G2105" s="1" t="s">
        <v>21239</v>
      </c>
      <c r="H2105" s="1" t="s">
        <v>21240</v>
      </c>
      <c r="I2105" s="1" t="s">
        <v>41754</v>
      </c>
      <c r="J2105" s="6" t="s">
        <v>21979</v>
      </c>
      <c r="K2105" s="7" t="str">
        <f>IFERROR(__xludf.DUMMYFUNCTION("GOOGLETRANSLATE(C2105, ""en"", ""es"")"),"Derecha")</f>
        <v>Derecha</v>
      </c>
      <c r="L2105" s="1" t="s">
        <v>21242</v>
      </c>
      <c r="M2105" s="1" t="s">
        <v>41755</v>
      </c>
      <c r="N2105" s="6" t="s">
        <v>132</v>
      </c>
      <c r="O2105" s="6" t="s">
        <v>132</v>
      </c>
      <c r="P2105" s="1" t="s">
        <v>41756</v>
      </c>
      <c r="Q2105" s="1" t="s">
        <v>41757</v>
      </c>
      <c r="R2105" s="1" t="s">
        <v>41758</v>
      </c>
      <c r="S2105" s="6" t="s">
        <v>132</v>
      </c>
      <c r="T2105" s="1" t="s">
        <v>41759</v>
      </c>
      <c r="U2105" s="7" t="str">
        <f>IFERROR(__xludf.DUMMYFUNCTION("GOOGLETRANSLATE(C2105, ""en"", ""ko"")"),"권리")</f>
        <v>권리</v>
      </c>
      <c r="V2105" s="1" t="s">
        <v>41760</v>
      </c>
      <c r="W2105" s="1" t="s">
        <v>41753</v>
      </c>
      <c r="X2105" s="1" t="s">
        <v>21247</v>
      </c>
      <c r="Y2105" s="11" t="s">
        <v>41761</v>
      </c>
      <c r="Z2105" s="1" t="s">
        <v>41762</v>
      </c>
      <c r="AA2105" s="7" t="str">
        <f>IFERROR(__xludf.DUMMYFUNCTION("GOOGLETRANSLATE(C2105, ""en"", ""ro"")"),"Dreapta")</f>
        <v>Dreapta</v>
      </c>
      <c r="AB2105" s="1" t="s">
        <v>41763</v>
      </c>
      <c r="AC2105" s="1" t="s">
        <v>13568</v>
      </c>
      <c r="AD2105" s="6" t="s">
        <v>21250</v>
      </c>
      <c r="AE2105" s="7" t="str">
        <f>IFERROR(__xludf.DUMMYFUNCTION("GOOGLETRANSLATE(C2105, ""en"", ""sr"")"),"Јел тако")</f>
        <v>Јел тако</v>
      </c>
      <c r="AF2105" s="11" t="s">
        <v>41764</v>
      </c>
      <c r="AG2105" s="6" t="s">
        <v>132</v>
      </c>
      <c r="AH2105" s="1" t="s">
        <v>41765</v>
      </c>
      <c r="AI2105" s="6" t="s">
        <v>132</v>
      </c>
      <c r="AJ2105" s="6" t="s">
        <v>21254</v>
      </c>
      <c r="AK2105" s="14" t="s">
        <v>41766</v>
      </c>
      <c r="AL2105" s="6" t="s">
        <v>21255</v>
      </c>
    </row>
    <row r="2106" ht="15.75" customHeight="1">
      <c r="A2106" s="1" t="s">
        <v>127</v>
      </c>
      <c r="B2106" s="1" t="s">
        <v>41767</v>
      </c>
      <c r="C2106" s="1" t="s">
        <v>41768</v>
      </c>
      <c r="D2106" s="8" t="s">
        <v>41769</v>
      </c>
      <c r="E2106" s="1" t="s">
        <v>41770</v>
      </c>
      <c r="F2106" s="6" t="s">
        <v>132</v>
      </c>
      <c r="G2106" s="1" t="s">
        <v>41771</v>
      </c>
      <c r="H2106" s="1" t="s">
        <v>41772</v>
      </c>
      <c r="I2106" s="1" t="s">
        <v>41773</v>
      </c>
      <c r="J2106" s="6" t="s">
        <v>41774</v>
      </c>
      <c r="K2106" s="1" t="s">
        <v>41768</v>
      </c>
      <c r="L2106" s="1" t="s">
        <v>41775</v>
      </c>
      <c r="M2106" s="1" t="s">
        <v>41776</v>
      </c>
      <c r="N2106" s="6" t="s">
        <v>132</v>
      </c>
      <c r="O2106" s="6" t="s">
        <v>41777</v>
      </c>
      <c r="P2106" s="1" t="s">
        <v>41778</v>
      </c>
      <c r="Q2106" s="1" t="s">
        <v>41779</v>
      </c>
      <c r="R2106" s="1" t="s">
        <v>41780</v>
      </c>
      <c r="S2106" s="10" t="s">
        <v>41781</v>
      </c>
      <c r="T2106" s="1" t="s">
        <v>41768</v>
      </c>
      <c r="U2106" s="1" t="s">
        <v>41782</v>
      </c>
      <c r="V2106" s="1" t="s">
        <v>41783</v>
      </c>
      <c r="W2106" s="1" t="s">
        <v>41784</v>
      </c>
      <c r="X2106" s="1" t="s">
        <v>41785</v>
      </c>
      <c r="Y2106" s="1" t="s">
        <v>41786</v>
      </c>
      <c r="Z2106" s="1" t="s">
        <v>41787</v>
      </c>
      <c r="AA2106" s="7" t="str">
        <f>IFERROR(__xludf.DUMMYFUNCTION("GOOGLETRANSLATE(C2106, ""en"", ""ro"")"),"Opțiune sau futures care stau la baza")</f>
        <v>Opțiune sau futures care stau la baza</v>
      </c>
      <c r="AB2106" s="1" t="s">
        <v>41788</v>
      </c>
      <c r="AC2106" s="1" t="s">
        <v>41789</v>
      </c>
      <c r="AD2106" s="6" t="s">
        <v>41790</v>
      </c>
      <c r="AE2106" s="1" t="s">
        <v>41791</v>
      </c>
      <c r="AF2106" s="1" t="s">
        <v>41792</v>
      </c>
      <c r="AG2106" s="6" t="s">
        <v>41793</v>
      </c>
      <c r="AH2106" s="1" t="s">
        <v>41794</v>
      </c>
      <c r="AI2106" s="6" t="s">
        <v>132</v>
      </c>
      <c r="AJ2106" s="6" t="s">
        <v>41795</v>
      </c>
      <c r="AK2106" s="1" t="s">
        <v>41796</v>
      </c>
      <c r="AL2106" s="6" t="s">
        <v>41797</v>
      </c>
    </row>
    <row r="2107" ht="15.75" hidden="1" customHeight="1">
      <c r="A2107" s="1" t="s">
        <v>38</v>
      </c>
      <c r="B2107" s="1" t="s">
        <v>41798</v>
      </c>
      <c r="C2107" s="1" t="s">
        <v>41799</v>
      </c>
      <c r="D2107" s="7" t="str">
        <f>IFERROR(__xludf.DUMMYFUNCTION("GOOGLETRANSLATE(C2107, ""en"", ""ar"")"),"الإكوادور")</f>
        <v>الإكوادور</v>
      </c>
      <c r="E2107" s="7" t="str">
        <f>IFERROR(__xludf.DUMMYFUNCTION("GOOGLETRANSLATE(C2107, ""en"", ""bg"")"),"Еквадор")</f>
        <v>Еквадор</v>
      </c>
      <c r="F2107" s="6" t="s">
        <v>132</v>
      </c>
      <c r="G2107" s="7" t="str">
        <f>IFERROR(__xludf.DUMMYFUNCTION("GOOGLETRANSLATE(C2107, ""en"", ""cs"")"),"Ekvádor")</f>
        <v>Ekvádor</v>
      </c>
      <c r="H2107" s="7" t="str">
        <f>IFERROR(__xludf.DUMMYFUNCTION("GOOGLETRANSLATE(C2107, ""en"", ""da"")"),"Ecuador.")</f>
        <v>Ecuador.</v>
      </c>
      <c r="I2107" s="1" t="s">
        <v>41800</v>
      </c>
      <c r="J2107" s="6" t="s">
        <v>132</v>
      </c>
      <c r="K2107" s="1" t="s">
        <v>41799</v>
      </c>
      <c r="L2107" s="7" t="str">
        <f>IFERROR(__xludf.DUMMYFUNCTION("GOOGLETRANSLATE(C2107, ""en"", ""fi"")"),"Ecuador")</f>
        <v>Ecuador</v>
      </c>
      <c r="M2107" s="1" t="s">
        <v>41801</v>
      </c>
      <c r="N2107" s="6" t="s">
        <v>132</v>
      </c>
      <c r="O2107" s="6" t="s">
        <v>132</v>
      </c>
      <c r="P2107" s="1" t="s">
        <v>41799</v>
      </c>
      <c r="Q2107" s="7" t="str">
        <f>IFERROR(__xludf.DUMMYFUNCTION("GOOGLETRANSLATE(C2107, ""en"", ""in"")"),"Ekuador")</f>
        <v>Ekuador</v>
      </c>
      <c r="R2107" s="7" t="str">
        <f>IFERROR(__xludf.DUMMYFUNCTION("GOOGLETRANSLATE(C2107, ""en"", ""it"")"),"Ecuador.")</f>
        <v>Ecuador.</v>
      </c>
      <c r="S2107" s="6" t="s">
        <v>132</v>
      </c>
      <c r="T2107" s="7" t="str">
        <f>IFERROR(__xludf.DUMMYFUNCTION("GOOGLETRANSLATE(C2107, ""en"", ""ja"")"),"エクアドル")</f>
        <v>エクアドル</v>
      </c>
      <c r="U2107" s="7" t="str">
        <f>IFERROR(__xludf.DUMMYFUNCTION("GOOGLETRANSLATE(C2107, ""en"", ""ko"")"),"에콰도르")</f>
        <v>에콰도르</v>
      </c>
      <c r="V2107" s="7" t="str">
        <f>IFERROR(__xludf.DUMMYFUNCTION("GOOGLETRANSLATE(C2107, ""en"", ""ms"")"),"Ecuador.")</f>
        <v>Ecuador.</v>
      </c>
      <c r="W2107" s="7" t="str">
        <f>IFERROR(__xludf.DUMMYFUNCTION("GOOGLETRANSLATE(C2107, ""en"", ""nl"")"),"Ecuador")</f>
        <v>Ecuador</v>
      </c>
      <c r="X2107" s="7" t="str">
        <f>IFERROR(__xludf.DUMMYFUNCTION("GOOGLETRANSLATE(C2107, ""en"", ""no"")"),"Ecuador.")</f>
        <v>Ecuador.</v>
      </c>
      <c r="Y2107" s="7" t="str">
        <f>IFERROR(__xludf.DUMMYFUNCTION("GOOGLETRANSLATE(C2107, ""en"", ""pl"")"),"Ekwador")</f>
        <v>Ekwador</v>
      </c>
      <c r="Z2107" s="7" t="str">
        <f>IFERROR(__xludf.DUMMYFUNCTION("GOOGLETRANSLATE(C2107, ""en"", ""pt"")"),"Equador")</f>
        <v>Equador</v>
      </c>
      <c r="AA2107" s="7" t="str">
        <f>IFERROR(__xludf.DUMMYFUNCTION("GOOGLETRANSLATE(C2107, ""en"", ""ro"")"),"Ecuador")</f>
        <v>Ecuador</v>
      </c>
      <c r="AB2107" s="1" t="s">
        <v>41802</v>
      </c>
      <c r="AC2107" s="7" t="str">
        <f>IFERROR(__xludf.DUMMYFUNCTION("GOOGLETRANSLATE(C2107, ""en"", ""sk"")"),"Ekvádor")</f>
        <v>Ekvádor</v>
      </c>
      <c r="AD2107" s="6" t="s">
        <v>132</v>
      </c>
      <c r="AE2107" s="1" t="s">
        <v>41803</v>
      </c>
      <c r="AF2107" s="7" t="str">
        <f>IFERROR(__xludf.DUMMYFUNCTION("GOOGLETRANSLATE(C2107, ""en"", ""sv"")"),"Ecuador")</f>
        <v>Ecuador</v>
      </c>
      <c r="AG2107" s="6" t="s">
        <v>132</v>
      </c>
      <c r="AH2107" s="7" t="str">
        <f>IFERROR(__xludf.DUMMYFUNCTION("GOOGLETRANSLATE(C2107, ""en"", ""tr"")"),"Ekvador")</f>
        <v>Ekvador</v>
      </c>
      <c r="AI2107" s="6" t="s">
        <v>132</v>
      </c>
      <c r="AJ2107" s="6" t="s">
        <v>132</v>
      </c>
      <c r="AK2107" s="7" t="str">
        <f>IFERROR(__xludf.DUMMYFUNCTION("GOOGLETRANSLATE(C2107, ""en"", ""zh"")"),"厄瓜多尔")</f>
        <v>厄瓜多尔</v>
      </c>
      <c r="AL2107" s="6" t="s">
        <v>132</v>
      </c>
    </row>
    <row r="2108" ht="15.75" customHeight="1">
      <c r="A2108" s="1" t="s">
        <v>127</v>
      </c>
      <c r="B2108" s="1" t="s">
        <v>41804</v>
      </c>
      <c r="C2108" s="1" t="s">
        <v>22800</v>
      </c>
      <c r="D2108" s="8" t="s">
        <v>22801</v>
      </c>
      <c r="E2108" s="1" t="s">
        <v>22802</v>
      </c>
      <c r="F2108" s="6" t="s">
        <v>132</v>
      </c>
      <c r="G2108" s="1" t="s">
        <v>22803</v>
      </c>
      <c r="H2108" s="1" t="s">
        <v>22804</v>
      </c>
      <c r="I2108" s="1" t="s">
        <v>41805</v>
      </c>
      <c r="J2108" s="6" t="s">
        <v>22806</v>
      </c>
      <c r="K2108" s="1" t="s">
        <v>41806</v>
      </c>
      <c r="L2108" s="1" t="s">
        <v>22808</v>
      </c>
      <c r="M2108" s="1" t="s">
        <v>22809</v>
      </c>
      <c r="N2108" s="6" t="s">
        <v>132</v>
      </c>
      <c r="O2108" s="6" t="s">
        <v>22810</v>
      </c>
      <c r="P2108" s="1" t="s">
        <v>6686</v>
      </c>
      <c r="Q2108" s="1" t="s">
        <v>22812</v>
      </c>
      <c r="R2108" s="1" t="s">
        <v>22813</v>
      </c>
      <c r="S2108" s="10" t="s">
        <v>22814</v>
      </c>
      <c r="T2108" s="1" t="s">
        <v>6690</v>
      </c>
      <c r="U2108" s="1" t="s">
        <v>22815</v>
      </c>
      <c r="V2108" s="1" t="s">
        <v>22816</v>
      </c>
      <c r="W2108" s="1" t="s">
        <v>41807</v>
      </c>
      <c r="X2108" s="1" t="s">
        <v>22818</v>
      </c>
      <c r="Y2108" s="1" t="s">
        <v>22819</v>
      </c>
      <c r="Z2108" s="1" t="s">
        <v>22807</v>
      </c>
      <c r="AA2108" s="7" t="str">
        <f>IFERROR(__xludf.DUMMYFUNCTION("GOOGLETRANSLATE(C2108, ""en"", ""ro"")"),"Limita superioară")</f>
        <v>Limita superioară</v>
      </c>
      <c r="AB2108" s="1" t="s">
        <v>41808</v>
      </c>
      <c r="AC2108" s="1" t="s">
        <v>22822</v>
      </c>
      <c r="AD2108" s="6" t="s">
        <v>22823</v>
      </c>
      <c r="AE2108" s="1" t="s">
        <v>22824</v>
      </c>
      <c r="AF2108" s="1" t="s">
        <v>22825</v>
      </c>
      <c r="AG2108" s="6" t="s">
        <v>22826</v>
      </c>
      <c r="AH2108" s="1" t="s">
        <v>22827</v>
      </c>
      <c r="AI2108" s="6" t="s">
        <v>132</v>
      </c>
      <c r="AJ2108" s="6" t="s">
        <v>22828</v>
      </c>
      <c r="AK2108" s="1" t="s">
        <v>6690</v>
      </c>
      <c r="AL2108" s="6" t="s">
        <v>41809</v>
      </c>
    </row>
    <row r="2109" ht="15.75" hidden="1" customHeight="1">
      <c r="A2109" s="1" t="s">
        <v>38</v>
      </c>
      <c r="B2109" s="1" t="s">
        <v>41810</v>
      </c>
      <c r="C2109" s="1" t="s">
        <v>41811</v>
      </c>
      <c r="D2109" s="8" t="s">
        <v>41812</v>
      </c>
      <c r="E2109" s="1" t="s">
        <v>41813</v>
      </c>
      <c r="F2109" s="6" t="s">
        <v>41814</v>
      </c>
      <c r="G2109" s="7" t="str">
        <f>IFERROR(__xludf.DUMMYFUNCTION("GOOGLETRANSLATE(C2109, ""en"", ""cs"")"),"Počkejte prosím, až budou klávesy načteny")</f>
        <v>Počkejte prosím, až budou klávesy načteny</v>
      </c>
      <c r="H2109" s="7" t="str">
        <f>IFERROR(__xludf.DUMMYFUNCTION("GOOGLETRANSLATE(C2109, ""en"", ""da"")"),"Vent venligst på, at nøglerne skal hentes")</f>
        <v>Vent venligst på, at nøglerne skal hentes</v>
      </c>
      <c r="I2109" s="1" t="s">
        <v>41815</v>
      </c>
      <c r="J2109" s="6" t="s">
        <v>132</v>
      </c>
      <c r="K2109" s="1" t="s">
        <v>41816</v>
      </c>
      <c r="L2109" s="7" t="str">
        <f>IFERROR(__xludf.DUMMYFUNCTION("GOOGLETRANSLATE(C2109, ""en"", ""fi"")"),"Odota, että avaimet haetaan")</f>
        <v>Odota, että avaimet haetaan</v>
      </c>
      <c r="M2109" s="1" t="s">
        <v>41817</v>
      </c>
      <c r="N2109" s="6" t="s">
        <v>41818</v>
      </c>
      <c r="O2109" s="6" t="s">
        <v>132</v>
      </c>
      <c r="P2109" s="1" t="s">
        <v>41819</v>
      </c>
      <c r="Q2109" s="7" t="str">
        <f>IFERROR(__xludf.DUMMYFUNCTION("GOOGLETRANSLATE(C2109, ""en"", ""in"")"),"Harap tunggu kunci untuk diambil")</f>
        <v>Harap tunggu kunci untuk diambil</v>
      </c>
      <c r="R2109" s="1" t="s">
        <v>41820</v>
      </c>
      <c r="S2109" s="6" t="s">
        <v>132</v>
      </c>
      <c r="T2109" s="1" t="s">
        <v>41821</v>
      </c>
      <c r="U2109" s="7" t="str">
        <f>IFERROR(__xludf.DUMMYFUNCTION("GOOGLETRANSLATE(C2109, ""en"", ""ko"")"),"키를 가져올 때까지 기다려주십시오")</f>
        <v>키를 가져올 때까지 기다려주십시오</v>
      </c>
      <c r="V2109" s="7" t="str">
        <f>IFERROR(__xludf.DUMMYFUNCTION("GOOGLETRANSLATE(C2109, ""en"", ""ms"")"),"Sila tunggu kunci untuk diambil")</f>
        <v>Sila tunggu kunci untuk diambil</v>
      </c>
      <c r="W2109" s="1" t="s">
        <v>41822</v>
      </c>
      <c r="X2109" s="7" t="str">
        <f>IFERROR(__xludf.DUMMYFUNCTION("GOOGLETRANSLATE(C2109, ""en"", ""no"")"),"Vennligst vent på at nøklene skal hentes")</f>
        <v>Vennligst vent på at nøklene skal hentes</v>
      </c>
      <c r="Y2109" s="1" t="s">
        <v>41823</v>
      </c>
      <c r="Z2109" s="7" t="str">
        <f>IFERROR(__xludf.DUMMYFUNCTION("GOOGLETRANSLATE(C2109, ""en"", ""pt"")"),"Por favor, aguarde as chaves para ser buscado")</f>
        <v>Por favor, aguarde as chaves para ser buscado</v>
      </c>
      <c r="AA2109" s="7" t="str">
        <f>IFERROR(__xludf.DUMMYFUNCTION("GOOGLETRANSLATE(C2109, ""en"", ""ro"")"),"Așteptați ca cheile să fie preluate")</f>
        <v>Așteptați ca cheile să fie preluate</v>
      </c>
      <c r="AB2109" s="1" t="s">
        <v>41824</v>
      </c>
      <c r="AC2109" s="7" t="str">
        <f>IFERROR(__xludf.DUMMYFUNCTION("GOOGLETRANSLATE(C2109, ""en"", ""sk"")"),"Počkajte, kým sa kľúče načítajú")</f>
        <v>Počkajte, kým sa kľúče načítajú</v>
      </c>
      <c r="AD2109" s="6" t="s">
        <v>132</v>
      </c>
      <c r="AE2109" s="1" t="s">
        <v>41825</v>
      </c>
      <c r="AF2109" s="1" t="s">
        <v>41826</v>
      </c>
      <c r="AG2109" s="6" t="s">
        <v>132</v>
      </c>
      <c r="AH2109" s="7" t="str">
        <f>IFERROR(__xludf.DUMMYFUNCTION("GOOGLETRANSLATE(C2109, ""en"", ""tr"")"),"Lütfen anahtarların alınmasını bekleyin")</f>
        <v>Lütfen anahtarların alınmasını bekleyin</v>
      </c>
      <c r="AI2109" s="6" t="s">
        <v>41827</v>
      </c>
      <c r="AJ2109" s="6" t="s">
        <v>132</v>
      </c>
      <c r="AK2109" s="7" t="str">
        <f>IFERROR(__xludf.DUMMYFUNCTION("GOOGLETRANSLATE(C2109, ""en"", ""zh"")"),"请等待要获取的钥匙")</f>
        <v>请等待要获取的钥匙</v>
      </c>
      <c r="AL2109" s="6" t="s">
        <v>41828</v>
      </c>
    </row>
    <row r="2110" ht="15.75" customHeight="1">
      <c r="A2110" s="1" t="s">
        <v>127</v>
      </c>
      <c r="B2110" s="1" t="s">
        <v>41829</v>
      </c>
      <c r="C2110" s="1" t="s">
        <v>41830</v>
      </c>
      <c r="D2110" s="8" t="s">
        <v>41831</v>
      </c>
      <c r="E2110" s="1" t="s">
        <v>41832</v>
      </c>
      <c r="F2110" s="6" t="s">
        <v>132</v>
      </c>
      <c r="G2110" s="1" t="s">
        <v>41833</v>
      </c>
      <c r="H2110" s="1" t="s">
        <v>41834</v>
      </c>
      <c r="I2110" s="1" t="s">
        <v>41835</v>
      </c>
      <c r="J2110" s="6" t="s">
        <v>41836</v>
      </c>
      <c r="K2110" s="1" t="s">
        <v>41837</v>
      </c>
      <c r="L2110" s="1" t="s">
        <v>41838</v>
      </c>
      <c r="M2110" s="1" t="s">
        <v>41839</v>
      </c>
      <c r="N2110" s="6" t="s">
        <v>132</v>
      </c>
      <c r="O2110" s="6" t="s">
        <v>41840</v>
      </c>
      <c r="P2110" s="1" t="s">
        <v>41841</v>
      </c>
      <c r="Q2110" s="1" t="s">
        <v>41842</v>
      </c>
      <c r="R2110" s="1" t="s">
        <v>41843</v>
      </c>
      <c r="S2110" s="10" t="s">
        <v>41844</v>
      </c>
      <c r="T2110" s="1" t="s">
        <v>41845</v>
      </c>
      <c r="U2110" s="1" t="s">
        <v>41846</v>
      </c>
      <c r="V2110" s="1" t="s">
        <v>41847</v>
      </c>
      <c r="W2110" s="1" t="s">
        <v>41848</v>
      </c>
      <c r="X2110" s="1" t="s">
        <v>41849</v>
      </c>
      <c r="Y2110" s="1" t="s">
        <v>41850</v>
      </c>
      <c r="Z2110" s="1" t="s">
        <v>41851</v>
      </c>
      <c r="AA2110" s="7" t="str">
        <f>IFERROR(__xludf.DUMMYFUNCTION("GOOGLETRANSLATE(C2110, ""en"", ""ro"")"),"detaliile evenimentului")</f>
        <v>detaliile evenimentului</v>
      </c>
      <c r="AB2110" s="1" t="s">
        <v>41852</v>
      </c>
      <c r="AC2110" s="1" t="s">
        <v>22339</v>
      </c>
      <c r="AD2110" s="6" t="s">
        <v>41853</v>
      </c>
      <c r="AE2110" s="1" t="s">
        <v>41854</v>
      </c>
      <c r="AF2110" s="1" t="s">
        <v>41855</v>
      </c>
      <c r="AG2110" s="6" t="s">
        <v>41856</v>
      </c>
      <c r="AH2110" s="1" t="s">
        <v>41857</v>
      </c>
      <c r="AI2110" s="6" t="s">
        <v>132</v>
      </c>
      <c r="AJ2110" s="6" t="s">
        <v>41858</v>
      </c>
      <c r="AK2110" s="1" t="s">
        <v>41859</v>
      </c>
      <c r="AL2110" s="6" t="s">
        <v>132</v>
      </c>
    </row>
    <row r="2111" ht="15.75" customHeight="1">
      <c r="A2111" s="1" t="s">
        <v>127</v>
      </c>
      <c r="B2111" s="1" t="s">
        <v>41860</v>
      </c>
      <c r="C2111" s="1" t="s">
        <v>41861</v>
      </c>
      <c r="D2111" s="8" t="s">
        <v>41862</v>
      </c>
      <c r="E2111" s="1" t="s">
        <v>41863</v>
      </c>
      <c r="F2111" s="6" t="s">
        <v>132</v>
      </c>
      <c r="G2111" s="1" t="s">
        <v>41864</v>
      </c>
      <c r="H2111" s="1" t="s">
        <v>41865</v>
      </c>
      <c r="I2111" s="1" t="s">
        <v>41866</v>
      </c>
      <c r="J2111" s="6" t="s">
        <v>41867</v>
      </c>
      <c r="K2111" s="1" t="s">
        <v>41868</v>
      </c>
      <c r="L2111" s="1" t="s">
        <v>41869</v>
      </c>
      <c r="M2111" s="1" t="s">
        <v>41870</v>
      </c>
      <c r="N2111" s="6" t="s">
        <v>132</v>
      </c>
      <c r="O2111" s="6" t="s">
        <v>41871</v>
      </c>
      <c r="P2111" s="1" t="s">
        <v>41872</v>
      </c>
      <c r="Q2111" s="1" t="s">
        <v>41873</v>
      </c>
      <c r="R2111" s="1" t="s">
        <v>41874</v>
      </c>
      <c r="S2111" s="10" t="s">
        <v>41875</v>
      </c>
      <c r="T2111" s="1" t="s">
        <v>41876</v>
      </c>
      <c r="U2111" s="1" t="s">
        <v>41877</v>
      </c>
      <c r="V2111" s="1" t="s">
        <v>41878</v>
      </c>
      <c r="W2111" s="1" t="s">
        <v>41879</v>
      </c>
      <c r="X2111" s="1" t="s">
        <v>41880</v>
      </c>
      <c r="Y2111" s="1" t="s">
        <v>41881</v>
      </c>
      <c r="Z2111" s="1" t="s">
        <v>41882</v>
      </c>
      <c r="AA2111" s="7" t="str">
        <f>IFERROR(__xludf.DUMMYFUNCTION("GOOGLETRANSLATE(C2111, ""en"", ""ro"")"),"Nu-mi place")</f>
        <v>Nu-mi place</v>
      </c>
      <c r="AB2111" s="1" t="s">
        <v>41883</v>
      </c>
      <c r="AC2111" s="1" t="s">
        <v>41884</v>
      </c>
      <c r="AD2111" s="6" t="s">
        <v>41885</v>
      </c>
      <c r="AE2111" s="1" t="s">
        <v>41886</v>
      </c>
      <c r="AF2111" s="1" t="s">
        <v>41887</v>
      </c>
      <c r="AG2111" s="6" t="s">
        <v>41888</v>
      </c>
      <c r="AH2111" s="1" t="s">
        <v>41889</v>
      </c>
      <c r="AI2111" s="6" t="s">
        <v>132</v>
      </c>
      <c r="AJ2111" s="6" t="s">
        <v>41890</v>
      </c>
      <c r="AK2111" s="1" t="s">
        <v>41891</v>
      </c>
      <c r="AL2111" s="6" t="s">
        <v>132</v>
      </c>
    </row>
    <row r="2112" ht="15.75" customHeight="1">
      <c r="A2112" s="1" t="s">
        <v>127</v>
      </c>
      <c r="B2112" s="1" t="s">
        <v>41892</v>
      </c>
      <c r="C2112" s="1" t="s">
        <v>3004</v>
      </c>
      <c r="D2112" s="8" t="s">
        <v>3005</v>
      </c>
      <c r="E2112" s="1" t="s">
        <v>3006</v>
      </c>
      <c r="F2112" s="6" t="s">
        <v>132</v>
      </c>
      <c r="G2112" s="1" t="s">
        <v>3007</v>
      </c>
      <c r="H2112" s="1" t="s">
        <v>3008</v>
      </c>
      <c r="I2112" s="1" t="s">
        <v>3009</v>
      </c>
      <c r="J2112" s="6" t="s">
        <v>3010</v>
      </c>
      <c r="K2112" s="1" t="s">
        <v>3011</v>
      </c>
      <c r="L2112" s="1" t="s">
        <v>3012</v>
      </c>
      <c r="M2112" s="1" t="s">
        <v>3013</v>
      </c>
      <c r="N2112" s="6" t="s">
        <v>132</v>
      </c>
      <c r="O2112" s="6" t="s">
        <v>3014</v>
      </c>
      <c r="P2112" s="1" t="s">
        <v>3015</v>
      </c>
      <c r="Q2112" s="1" t="s">
        <v>3016</v>
      </c>
      <c r="R2112" s="1" t="s">
        <v>3017</v>
      </c>
      <c r="S2112" s="10" t="s">
        <v>3018</v>
      </c>
      <c r="T2112" s="1" t="s">
        <v>3019</v>
      </c>
      <c r="U2112" s="1" t="s">
        <v>3020</v>
      </c>
      <c r="V2112" s="1" t="s">
        <v>3021</v>
      </c>
      <c r="W2112" s="1" t="s">
        <v>3022</v>
      </c>
      <c r="X2112" s="1" t="s">
        <v>3023</v>
      </c>
      <c r="Y2112" s="1" t="s">
        <v>3024</v>
      </c>
      <c r="Z2112" s="1" t="s">
        <v>3025</v>
      </c>
      <c r="AA2112" s="13" t="s">
        <v>3026</v>
      </c>
      <c r="AB2112" s="1" t="s">
        <v>3006</v>
      </c>
      <c r="AC2112" s="1" t="s">
        <v>3027</v>
      </c>
      <c r="AD2112" s="6" t="s">
        <v>3028</v>
      </c>
      <c r="AE2112" s="1" t="s">
        <v>41893</v>
      </c>
      <c r="AF2112" s="1" t="s">
        <v>3030</v>
      </c>
      <c r="AG2112" s="6" t="s">
        <v>3031</v>
      </c>
      <c r="AH2112" s="1" t="s">
        <v>3032</v>
      </c>
      <c r="AI2112" s="6" t="s">
        <v>132</v>
      </c>
      <c r="AJ2112" s="6" t="s">
        <v>3033</v>
      </c>
      <c r="AK2112" s="1" t="s">
        <v>3034</v>
      </c>
      <c r="AL2112" s="6" t="s">
        <v>3035</v>
      </c>
    </row>
    <row r="2113" ht="15.75" customHeight="1">
      <c r="A2113" s="1" t="s">
        <v>127</v>
      </c>
      <c r="B2113" s="1" t="s">
        <v>41894</v>
      </c>
      <c r="C2113" s="1" t="s">
        <v>13067</v>
      </c>
      <c r="D2113" s="8" t="s">
        <v>13068</v>
      </c>
      <c r="E2113" s="1" t="s">
        <v>13069</v>
      </c>
      <c r="F2113" s="6" t="s">
        <v>132</v>
      </c>
      <c r="G2113" s="1" t="s">
        <v>39711</v>
      </c>
      <c r="H2113" s="1" t="s">
        <v>39712</v>
      </c>
      <c r="I2113" s="1" t="s">
        <v>39713</v>
      </c>
      <c r="J2113" s="6" t="s">
        <v>39714</v>
      </c>
      <c r="K2113" s="1" t="s">
        <v>13072</v>
      </c>
      <c r="L2113" s="1" t="s">
        <v>39715</v>
      </c>
      <c r="M2113" s="1" t="s">
        <v>39716</v>
      </c>
      <c r="N2113" s="6" t="s">
        <v>132</v>
      </c>
      <c r="O2113" s="6" t="s">
        <v>39717</v>
      </c>
      <c r="P2113" s="1" t="s">
        <v>13074</v>
      </c>
      <c r="Q2113" s="1" t="s">
        <v>13075</v>
      </c>
      <c r="R2113" s="1" t="s">
        <v>13070</v>
      </c>
      <c r="S2113" s="10" t="s">
        <v>39718</v>
      </c>
      <c r="T2113" s="1" t="s">
        <v>13076</v>
      </c>
      <c r="U2113" s="1" t="s">
        <v>13077</v>
      </c>
      <c r="V2113" s="1" t="s">
        <v>13075</v>
      </c>
      <c r="W2113" s="1" t="s">
        <v>39719</v>
      </c>
      <c r="X2113" s="1" t="s">
        <v>39720</v>
      </c>
      <c r="Y2113" s="1" t="s">
        <v>13079</v>
      </c>
      <c r="Z2113" s="1" t="s">
        <v>13072</v>
      </c>
      <c r="AA2113" s="7" t="str">
        <f>IFERROR(__xludf.DUMMYFUNCTION("GOOGLETRANSLATE(C2113, ""en"", ""ro"")"),"Căutare")</f>
        <v>Căutare</v>
      </c>
      <c r="AB2113" s="1" t="s">
        <v>13081</v>
      </c>
      <c r="AC2113" s="1" t="s">
        <v>39721</v>
      </c>
      <c r="AD2113" s="6" t="s">
        <v>39722</v>
      </c>
      <c r="AE2113" s="1" t="s">
        <v>39723</v>
      </c>
      <c r="AF2113" s="1" t="s">
        <v>13084</v>
      </c>
      <c r="AG2113" s="6" t="s">
        <v>39724</v>
      </c>
      <c r="AH2113" s="1" t="s">
        <v>39725</v>
      </c>
      <c r="AI2113" s="6" t="s">
        <v>132</v>
      </c>
      <c r="AJ2113" s="6" t="s">
        <v>13086</v>
      </c>
      <c r="AK2113" s="1" t="s">
        <v>39726</v>
      </c>
      <c r="AL2113" s="6" t="s">
        <v>39727</v>
      </c>
    </row>
    <row r="2114" ht="15.75" hidden="1" customHeight="1">
      <c r="A2114" s="1" t="s">
        <v>38</v>
      </c>
      <c r="B2114" s="1" t="s">
        <v>41895</v>
      </c>
      <c r="C2114" s="1" t="s">
        <v>18922</v>
      </c>
      <c r="D2114" s="7" t="str">
        <f>IFERROR(__xludf.DUMMYFUNCTION("GOOGLETRANSLATE(C2114, ""en"", ""ar"")"),"صغير")</f>
        <v>صغير</v>
      </c>
      <c r="E2114" s="1" t="s">
        <v>18924</v>
      </c>
      <c r="F2114" s="6" t="s">
        <v>41896</v>
      </c>
      <c r="G2114" s="7" t="str">
        <f>IFERROR(__xludf.DUMMYFUNCTION("GOOGLETRANSLATE(C2114, ""en"", ""cs"")"),"Malý")</f>
        <v>Malý</v>
      </c>
      <c r="H2114" s="7" t="str">
        <f>IFERROR(__xludf.DUMMYFUNCTION("GOOGLETRANSLATE(C2114, ""en"", ""da"")"),"Lille")</f>
        <v>Lille</v>
      </c>
      <c r="I2114" s="1" t="s">
        <v>18927</v>
      </c>
      <c r="J2114" s="6" t="s">
        <v>132</v>
      </c>
      <c r="K2114" s="1" t="s">
        <v>18929</v>
      </c>
      <c r="L2114" s="7" t="str">
        <f>IFERROR(__xludf.DUMMYFUNCTION("GOOGLETRANSLATE(C2114, ""en"", ""fi"")"),"Pieni")</f>
        <v>Pieni</v>
      </c>
      <c r="M2114" s="1" t="s">
        <v>41897</v>
      </c>
      <c r="N2114" s="6" t="s">
        <v>41898</v>
      </c>
      <c r="O2114" s="6" t="s">
        <v>132</v>
      </c>
      <c r="P2114" s="1" t="s">
        <v>16536</v>
      </c>
      <c r="Q2114" s="7" t="str">
        <f>IFERROR(__xludf.DUMMYFUNCTION("GOOGLETRANSLATE(C2114, ""en"", ""in"")"),"Kecil")</f>
        <v>Kecil</v>
      </c>
      <c r="R2114" s="1" t="s">
        <v>18934</v>
      </c>
      <c r="S2114" s="6" t="s">
        <v>132</v>
      </c>
      <c r="T2114" s="1" t="s">
        <v>18936</v>
      </c>
      <c r="U2114" s="7" t="str">
        <f>IFERROR(__xludf.DUMMYFUNCTION("GOOGLETRANSLATE(C2114, ""en"", ""ko"")"),"작은")</f>
        <v>작은</v>
      </c>
      <c r="V2114" s="7" t="str">
        <f>IFERROR(__xludf.DUMMYFUNCTION("GOOGLETRANSLATE(C2114, ""en"", ""ms"")"),"Kecil")</f>
        <v>Kecil</v>
      </c>
      <c r="W2114" s="1" t="s">
        <v>18927</v>
      </c>
      <c r="X2114" s="7" t="str">
        <f>IFERROR(__xludf.DUMMYFUNCTION("GOOGLETRANSLATE(C2114, ""en"", ""no"")"),"Liten")</f>
        <v>Liten</v>
      </c>
      <c r="Y2114" s="1" t="s">
        <v>41899</v>
      </c>
      <c r="Z2114" s="7" t="str">
        <f>IFERROR(__xludf.DUMMYFUNCTION("GOOGLETRANSLATE(C2114, ""en"", ""pt"")"),"Pequeno")</f>
        <v>Pequeno</v>
      </c>
      <c r="AA2114" s="7" t="str">
        <f>IFERROR(__xludf.DUMMYFUNCTION("GOOGLETRANSLATE(C2114, ""en"", ""ro"")"),"Mic")</f>
        <v>Mic</v>
      </c>
      <c r="AB2114" s="1" t="s">
        <v>18942</v>
      </c>
      <c r="AC2114" s="7" t="str">
        <f>IFERROR(__xludf.DUMMYFUNCTION("GOOGLETRANSLATE(C2114, ""en"", ""sk"")"),"Malý")</f>
        <v>Malý</v>
      </c>
      <c r="AD2114" s="6" t="s">
        <v>132</v>
      </c>
      <c r="AE2114" s="7" t="str">
        <f>IFERROR(__xludf.DUMMYFUNCTION("GOOGLETRANSLATE(C2114, ""en"", ""sr"")"),"Мали")</f>
        <v>Мали</v>
      </c>
      <c r="AF2114" s="7" t="str">
        <f>IFERROR(__xludf.DUMMYFUNCTION("GOOGLETRANSLATE(C2114, ""en"", ""sv"")"),"Små")</f>
        <v>Små</v>
      </c>
      <c r="AG2114" s="6" t="s">
        <v>132</v>
      </c>
      <c r="AH2114" s="7" t="str">
        <f>IFERROR(__xludf.DUMMYFUNCTION("GOOGLETRANSLATE(C2114, ""en"", ""tr"")"),"Küçük")</f>
        <v>Küçük</v>
      </c>
      <c r="AI2114" s="6" t="s">
        <v>132</v>
      </c>
      <c r="AJ2114" s="6" t="s">
        <v>132</v>
      </c>
      <c r="AK2114" s="7" t="str">
        <f>IFERROR(__xludf.DUMMYFUNCTION("GOOGLETRANSLATE(C2114, ""en"", ""zh"")"),"小的")</f>
        <v>小的</v>
      </c>
      <c r="AL2114" s="6" t="s">
        <v>18936</v>
      </c>
    </row>
    <row r="2115" ht="15.75" customHeight="1">
      <c r="A2115" s="1" t="s">
        <v>127</v>
      </c>
      <c r="B2115" s="1" t="s">
        <v>41900</v>
      </c>
      <c r="C2115" s="1" t="s">
        <v>41901</v>
      </c>
      <c r="D2115" s="8" t="s">
        <v>41902</v>
      </c>
      <c r="E2115" s="1" t="s">
        <v>41903</v>
      </c>
      <c r="F2115" s="6" t="s">
        <v>132</v>
      </c>
      <c r="G2115" s="1" t="s">
        <v>41904</v>
      </c>
      <c r="H2115" s="1" t="s">
        <v>41905</v>
      </c>
      <c r="I2115" s="1" t="s">
        <v>41906</v>
      </c>
      <c r="J2115" s="6" t="s">
        <v>41907</v>
      </c>
      <c r="K2115" s="1" t="s">
        <v>41908</v>
      </c>
      <c r="L2115" s="1" t="s">
        <v>41909</v>
      </c>
      <c r="M2115" s="1" t="s">
        <v>41910</v>
      </c>
      <c r="N2115" s="6" t="s">
        <v>132</v>
      </c>
      <c r="O2115" s="6" t="s">
        <v>41911</v>
      </c>
      <c r="P2115" s="1" t="s">
        <v>41912</v>
      </c>
      <c r="Q2115" s="1" t="s">
        <v>41913</v>
      </c>
      <c r="R2115" s="1" t="s">
        <v>41914</v>
      </c>
      <c r="S2115" s="10" t="s">
        <v>41915</v>
      </c>
      <c r="T2115" s="1" t="s">
        <v>41916</v>
      </c>
      <c r="U2115" s="1" t="s">
        <v>41917</v>
      </c>
      <c r="V2115" s="1" t="s">
        <v>41918</v>
      </c>
      <c r="W2115" s="1" t="s">
        <v>41919</v>
      </c>
      <c r="X2115" s="1" t="s">
        <v>41905</v>
      </c>
      <c r="Y2115" s="1" t="s">
        <v>41920</v>
      </c>
      <c r="Z2115" s="1" t="s">
        <v>41921</v>
      </c>
      <c r="AA2115" s="7" t="str">
        <f>IFERROR(__xludf.DUMMYFUNCTION("GOOGLETRANSLATE(C2115, ""en"", ""ro"")"),"Editați lista de simboluri")</f>
        <v>Editați lista de simboluri</v>
      </c>
      <c r="AB2115" s="1" t="s">
        <v>41922</v>
      </c>
      <c r="AC2115" s="1" t="s">
        <v>41923</v>
      </c>
      <c r="AD2115" s="6" t="s">
        <v>41924</v>
      </c>
      <c r="AE2115" s="1" t="s">
        <v>41925</v>
      </c>
      <c r="AF2115" s="1" t="s">
        <v>41926</v>
      </c>
      <c r="AG2115" s="6" t="s">
        <v>41927</v>
      </c>
      <c r="AH2115" s="1" t="s">
        <v>41928</v>
      </c>
      <c r="AI2115" s="6" t="s">
        <v>132</v>
      </c>
      <c r="AJ2115" s="6" t="s">
        <v>41929</v>
      </c>
      <c r="AK2115" s="1" t="s">
        <v>41930</v>
      </c>
      <c r="AL2115" s="6" t="s">
        <v>41931</v>
      </c>
    </row>
    <row r="2116" ht="15.75" customHeight="1">
      <c r="A2116" s="1" t="s">
        <v>127</v>
      </c>
      <c r="B2116" s="1" t="s">
        <v>41932</v>
      </c>
      <c r="C2116" s="1" t="s">
        <v>41933</v>
      </c>
      <c r="D2116" s="8" t="s">
        <v>41934</v>
      </c>
      <c r="E2116" s="1" t="s">
        <v>41935</v>
      </c>
      <c r="F2116" s="6" t="s">
        <v>132</v>
      </c>
      <c r="G2116" s="1" t="s">
        <v>41936</v>
      </c>
      <c r="H2116" s="1" t="s">
        <v>41937</v>
      </c>
      <c r="I2116" s="1" t="s">
        <v>41938</v>
      </c>
      <c r="J2116" s="6" t="s">
        <v>41939</v>
      </c>
      <c r="K2116" s="1" t="s">
        <v>41940</v>
      </c>
      <c r="L2116" s="1" t="s">
        <v>41941</v>
      </c>
      <c r="M2116" s="1" t="s">
        <v>41942</v>
      </c>
      <c r="N2116" s="6" t="s">
        <v>132</v>
      </c>
      <c r="O2116" s="6" t="s">
        <v>41943</v>
      </c>
      <c r="P2116" s="1" t="s">
        <v>41944</v>
      </c>
      <c r="Q2116" s="1" t="s">
        <v>29344</v>
      </c>
      <c r="R2116" s="1" t="s">
        <v>41945</v>
      </c>
      <c r="S2116" s="10" t="s">
        <v>41946</v>
      </c>
      <c r="T2116" s="1" t="s">
        <v>41947</v>
      </c>
      <c r="U2116" s="1" t="s">
        <v>41948</v>
      </c>
      <c r="V2116" s="1" t="s">
        <v>29344</v>
      </c>
      <c r="W2116" s="1" t="s">
        <v>41949</v>
      </c>
      <c r="X2116" s="1" t="s">
        <v>41950</v>
      </c>
      <c r="Y2116" s="1" t="s">
        <v>41951</v>
      </c>
      <c r="Z2116" s="1" t="s">
        <v>41952</v>
      </c>
      <c r="AA2116" s="7" t="str">
        <f>IFERROR(__xludf.DUMMYFUNCTION("GOOGLETRANSLATE(C2116, ""en"", ""ro"")"),"Cantitate")</f>
        <v>Cantitate</v>
      </c>
      <c r="AB2116" s="1" t="s">
        <v>41953</v>
      </c>
      <c r="AC2116" s="1" t="s">
        <v>41954</v>
      </c>
      <c r="AD2116" s="6" t="s">
        <v>41955</v>
      </c>
      <c r="AE2116" s="1" t="s">
        <v>41956</v>
      </c>
      <c r="AF2116" s="1" t="s">
        <v>41957</v>
      </c>
      <c r="AG2116" s="6" t="s">
        <v>41958</v>
      </c>
      <c r="AH2116" s="1" t="s">
        <v>41959</v>
      </c>
      <c r="AI2116" s="6" t="s">
        <v>132</v>
      </c>
      <c r="AJ2116" s="6" t="s">
        <v>41960</v>
      </c>
      <c r="AK2116" s="1" t="s">
        <v>41961</v>
      </c>
      <c r="AL2116" s="6" t="s">
        <v>41962</v>
      </c>
    </row>
    <row r="2117" ht="15.75" hidden="1" customHeight="1">
      <c r="A2117" s="1" t="s">
        <v>38</v>
      </c>
      <c r="B2117" s="1" t="s">
        <v>41963</v>
      </c>
      <c r="C2117" s="1" t="s">
        <v>15312</v>
      </c>
      <c r="D2117" s="8" t="s">
        <v>41964</v>
      </c>
      <c r="E2117" s="1" t="s">
        <v>41965</v>
      </c>
      <c r="F2117" s="6" t="s">
        <v>41966</v>
      </c>
      <c r="G2117" s="7" t="str">
        <f>IFERROR(__xludf.DUMMYFUNCTION("GOOGLETRANSLATE(C2117, ""en"", ""cs"")"),"Online")</f>
        <v>Online</v>
      </c>
      <c r="H2117" s="7" t="str">
        <f>IFERROR(__xludf.DUMMYFUNCTION("GOOGLETRANSLATE(C2117, ""en"", ""da"")"),"Online.")</f>
        <v>Online.</v>
      </c>
      <c r="I2117" s="1" t="s">
        <v>15312</v>
      </c>
      <c r="J2117" s="6" t="s">
        <v>132</v>
      </c>
      <c r="K2117" s="1" t="s">
        <v>41967</v>
      </c>
      <c r="L2117" s="7" t="str">
        <f>IFERROR(__xludf.DUMMYFUNCTION("GOOGLETRANSLATE(C2117, ""en"", ""fi"")"),"Verkossa")</f>
        <v>Verkossa</v>
      </c>
      <c r="M2117" s="1" t="s">
        <v>15313</v>
      </c>
      <c r="N2117" s="6" t="s">
        <v>41967</v>
      </c>
      <c r="O2117" s="6" t="s">
        <v>132</v>
      </c>
      <c r="P2117" s="1" t="s">
        <v>41968</v>
      </c>
      <c r="Q2117" s="9" t="s">
        <v>15312</v>
      </c>
      <c r="R2117" s="1" t="s">
        <v>15312</v>
      </c>
      <c r="S2117" s="6" t="s">
        <v>132</v>
      </c>
      <c r="T2117" s="1" t="s">
        <v>41969</v>
      </c>
      <c r="U2117" s="1" t="s">
        <v>41970</v>
      </c>
      <c r="V2117" s="7" t="str">
        <f>IFERROR(__xludf.DUMMYFUNCTION("GOOGLETRANSLATE(C2117, ""en"", ""ms"")"),"Dalam talian")</f>
        <v>Dalam talian</v>
      </c>
      <c r="W2117" s="1" t="s">
        <v>15312</v>
      </c>
      <c r="X2117" s="7" t="str">
        <f>IFERROR(__xludf.DUMMYFUNCTION("GOOGLETRANSLATE(C2117, ""en"", ""no"")"),"på nett")</f>
        <v>på nett</v>
      </c>
      <c r="Y2117" s="1" t="s">
        <v>41971</v>
      </c>
      <c r="Z2117" s="1" t="s">
        <v>15312</v>
      </c>
      <c r="AA2117" s="7" t="str">
        <f>IFERROR(__xludf.DUMMYFUNCTION("GOOGLETRANSLATE(C2117, ""en"", ""ro"")"),"Pe net")</f>
        <v>Pe net</v>
      </c>
      <c r="AB2117" s="1" t="s">
        <v>41972</v>
      </c>
      <c r="AC2117" s="1" t="s">
        <v>15312</v>
      </c>
      <c r="AD2117" s="6" t="s">
        <v>132</v>
      </c>
      <c r="AE2117" s="1" t="s">
        <v>41973</v>
      </c>
      <c r="AF2117" s="1" t="s">
        <v>15312</v>
      </c>
      <c r="AG2117" s="6" t="s">
        <v>132</v>
      </c>
      <c r="AH2117" s="7" t="str">
        <f>IFERROR(__xludf.DUMMYFUNCTION("GOOGLETRANSLATE(C2117, ""en"", ""tr"")"),"İnternet üzerinden")</f>
        <v>İnternet üzerinden</v>
      </c>
      <c r="AI2117" s="6" t="s">
        <v>41974</v>
      </c>
      <c r="AJ2117" s="6" t="s">
        <v>41975</v>
      </c>
      <c r="AK2117" s="7" t="str">
        <f>IFERROR(__xludf.DUMMYFUNCTION("GOOGLETRANSLATE(C2117, ""en"", ""zh"")"),"在线的")</f>
        <v>在线的</v>
      </c>
      <c r="AL2117" s="6" t="s">
        <v>41976</v>
      </c>
    </row>
    <row r="2118" ht="15.75" customHeight="1">
      <c r="A2118" s="1" t="s">
        <v>127</v>
      </c>
      <c r="B2118" s="1" t="s">
        <v>41977</v>
      </c>
      <c r="C2118" s="1" t="s">
        <v>41978</v>
      </c>
      <c r="D2118" s="8" t="s">
        <v>41979</v>
      </c>
      <c r="E2118" s="1" t="s">
        <v>41980</v>
      </c>
      <c r="F2118" s="6" t="s">
        <v>132</v>
      </c>
      <c r="G2118" s="1" t="s">
        <v>41981</v>
      </c>
      <c r="H2118" s="1" t="s">
        <v>41982</v>
      </c>
      <c r="I2118" s="1" t="s">
        <v>41983</v>
      </c>
      <c r="J2118" s="6" t="s">
        <v>41984</v>
      </c>
      <c r="K2118" s="1" t="s">
        <v>41985</v>
      </c>
      <c r="L2118" s="1" t="s">
        <v>41986</v>
      </c>
      <c r="M2118" s="1" t="s">
        <v>41987</v>
      </c>
      <c r="N2118" s="6" t="s">
        <v>132</v>
      </c>
      <c r="O2118" s="6" t="s">
        <v>41988</v>
      </c>
      <c r="P2118" s="1" t="s">
        <v>41989</v>
      </c>
      <c r="Q2118" s="1" t="s">
        <v>41990</v>
      </c>
      <c r="R2118" s="1" t="s">
        <v>41978</v>
      </c>
      <c r="S2118" s="10" t="s">
        <v>41991</v>
      </c>
      <c r="T2118" s="1" t="s">
        <v>41992</v>
      </c>
      <c r="U2118" s="1" t="s">
        <v>41993</v>
      </c>
      <c r="V2118" s="1" t="s">
        <v>41994</v>
      </c>
      <c r="W2118" s="1" t="s">
        <v>41995</v>
      </c>
      <c r="X2118" s="1" t="s">
        <v>41996</v>
      </c>
      <c r="Y2118" s="1" t="s">
        <v>41997</v>
      </c>
      <c r="Z2118" s="1" t="s">
        <v>41998</v>
      </c>
      <c r="AA2118" s="7" t="str">
        <f>IFERROR(__xludf.DUMMYFUNCTION("GOOGLETRANSLATE(C2118, ""en"", ""ro"")"),"Emite costuri suplimentare")</f>
        <v>Emite costuri suplimentare</v>
      </c>
      <c r="AB2118" s="1" t="s">
        <v>41999</v>
      </c>
      <c r="AC2118" s="1" t="s">
        <v>42000</v>
      </c>
      <c r="AD2118" s="6" t="s">
        <v>42001</v>
      </c>
      <c r="AE2118" s="1" t="s">
        <v>42002</v>
      </c>
      <c r="AF2118" s="1" t="s">
        <v>42003</v>
      </c>
      <c r="AG2118" s="6" t="s">
        <v>42004</v>
      </c>
      <c r="AH2118" s="1" t="s">
        <v>42005</v>
      </c>
      <c r="AI2118" s="6" t="s">
        <v>132</v>
      </c>
      <c r="AJ2118" s="6" t="s">
        <v>42006</v>
      </c>
      <c r="AK2118" s="1" t="s">
        <v>42007</v>
      </c>
      <c r="AL2118" s="6" t="s">
        <v>42008</v>
      </c>
    </row>
    <row r="2119" ht="15.75" customHeight="1">
      <c r="A2119" s="1" t="s">
        <v>127</v>
      </c>
      <c r="B2119" s="1" t="s">
        <v>42009</v>
      </c>
      <c r="C2119" s="1" t="s">
        <v>42010</v>
      </c>
      <c r="D2119" s="1" t="s">
        <v>42010</v>
      </c>
      <c r="E2119" s="1" t="s">
        <v>42010</v>
      </c>
      <c r="F2119" s="6" t="s">
        <v>132</v>
      </c>
      <c r="G2119" s="1" t="s">
        <v>42010</v>
      </c>
      <c r="H2119" s="1" t="s">
        <v>42010</v>
      </c>
      <c r="I2119" s="1" t="s">
        <v>42010</v>
      </c>
      <c r="J2119" s="6" t="s">
        <v>42010</v>
      </c>
      <c r="K2119" s="1" t="s">
        <v>42010</v>
      </c>
      <c r="L2119" s="1" t="s">
        <v>42010</v>
      </c>
      <c r="M2119" s="1" t="s">
        <v>42010</v>
      </c>
      <c r="N2119" s="6" t="s">
        <v>132</v>
      </c>
      <c r="O2119" s="6" t="s">
        <v>42010</v>
      </c>
      <c r="P2119" s="1" t="s">
        <v>42010</v>
      </c>
      <c r="Q2119" s="1" t="s">
        <v>42010</v>
      </c>
      <c r="R2119" s="1" t="s">
        <v>42010</v>
      </c>
      <c r="S2119" s="6" t="s">
        <v>42010</v>
      </c>
      <c r="T2119" s="1" t="s">
        <v>42010</v>
      </c>
      <c r="U2119" s="1" t="s">
        <v>42010</v>
      </c>
      <c r="V2119" s="1" t="s">
        <v>42010</v>
      </c>
      <c r="W2119" s="1" t="s">
        <v>42010</v>
      </c>
      <c r="X2119" s="1" t="s">
        <v>42010</v>
      </c>
      <c r="Y2119" s="1" t="s">
        <v>42010</v>
      </c>
      <c r="Z2119" s="1" t="s">
        <v>42010</v>
      </c>
      <c r="AA2119" s="7" t="str">
        <f>IFERROR(__xludf.DUMMYFUNCTION("GOOGLETRANSLATE(C2119, ""en"", ""ro"")"),"Baha News.")</f>
        <v>Baha News.</v>
      </c>
      <c r="AB2119" s="1" t="s">
        <v>42010</v>
      </c>
      <c r="AC2119" s="1" t="s">
        <v>42010</v>
      </c>
      <c r="AD2119" s="6" t="s">
        <v>42010</v>
      </c>
      <c r="AE2119" s="1" t="s">
        <v>42010</v>
      </c>
      <c r="AF2119" s="1" t="s">
        <v>42010</v>
      </c>
      <c r="AG2119" s="6" t="s">
        <v>42010</v>
      </c>
      <c r="AH2119" s="1" t="s">
        <v>42010</v>
      </c>
      <c r="AI2119" s="6" t="s">
        <v>132</v>
      </c>
      <c r="AJ2119" s="6" t="s">
        <v>42010</v>
      </c>
      <c r="AK2119" s="1" t="s">
        <v>42010</v>
      </c>
      <c r="AL2119" s="6" t="s">
        <v>132</v>
      </c>
    </row>
    <row r="2120" ht="15.75" hidden="1" customHeight="1">
      <c r="A2120" s="1" t="s">
        <v>38</v>
      </c>
      <c r="B2120" s="1" t="s">
        <v>42011</v>
      </c>
      <c r="C2120" s="1" t="s">
        <v>42012</v>
      </c>
      <c r="D2120" s="7" t="str">
        <f>IFERROR(__xludf.DUMMYFUNCTION("GOOGLETRANSLATE(C2120, ""en"", ""ar"")"),"جزر البهاما")</f>
        <v>جزر البهاما</v>
      </c>
      <c r="E2120" s="7" t="str">
        <f>IFERROR(__xludf.DUMMYFUNCTION("GOOGLETRANSLATE(C2120, ""en"", ""bg"")"),"Бахами")</f>
        <v>Бахами</v>
      </c>
      <c r="F2120" s="6" t="s">
        <v>132</v>
      </c>
      <c r="G2120" s="7" t="str">
        <f>IFERROR(__xludf.DUMMYFUNCTION("GOOGLETRANSLATE(C2120, ""en"", ""cs"")"),"Bahamas.")</f>
        <v>Bahamas.</v>
      </c>
      <c r="H2120" s="7" t="str">
        <f>IFERROR(__xludf.DUMMYFUNCTION("GOOGLETRANSLATE(C2120, ""en"", ""da"")"),"Bahamas.")</f>
        <v>Bahamas.</v>
      </c>
      <c r="I2120" s="1" t="s">
        <v>42012</v>
      </c>
      <c r="J2120" s="6" t="s">
        <v>132</v>
      </c>
      <c r="K2120" s="1" t="s">
        <v>42012</v>
      </c>
      <c r="L2120" s="7" t="str">
        <f>IFERROR(__xludf.DUMMYFUNCTION("GOOGLETRANSLATE(C2120, ""en"", ""fi"")"),"Bahama")</f>
        <v>Bahama</v>
      </c>
      <c r="M2120" s="1" t="s">
        <v>42012</v>
      </c>
      <c r="N2120" s="6" t="s">
        <v>132</v>
      </c>
      <c r="O2120" s="6" t="s">
        <v>132</v>
      </c>
      <c r="P2120" s="1" t="s">
        <v>42012</v>
      </c>
      <c r="Q2120" s="7" t="str">
        <f>IFERROR(__xludf.DUMMYFUNCTION("GOOGLETRANSLATE(C2120, ""en"", ""in"")"),"Bahama.")</f>
        <v>Bahama.</v>
      </c>
      <c r="R2120" s="7" t="str">
        <f>IFERROR(__xludf.DUMMYFUNCTION("GOOGLETRANSLATE(C2120, ""en"", ""it"")"),"Bahamas.")</f>
        <v>Bahamas.</v>
      </c>
      <c r="S2120" s="6" t="s">
        <v>132</v>
      </c>
      <c r="T2120" s="7" t="str">
        <f>IFERROR(__xludf.DUMMYFUNCTION("GOOGLETRANSLATE(C2120, ""en"", ""ja"")"),"バハマ")</f>
        <v>バハマ</v>
      </c>
      <c r="U2120" s="7" t="str">
        <f>IFERROR(__xludf.DUMMYFUNCTION("GOOGLETRANSLATE(C2120, ""en"", ""ko"")"),"바하마")</f>
        <v>바하마</v>
      </c>
      <c r="V2120" s="7" t="str">
        <f>IFERROR(__xludf.DUMMYFUNCTION("GOOGLETRANSLATE(C2120, ""en"", ""ms"")"),"Bahamas.")</f>
        <v>Bahamas.</v>
      </c>
      <c r="W2120" s="7" t="str">
        <f>IFERROR(__xludf.DUMMYFUNCTION("GOOGLETRANSLATE(C2120, ""en"", ""nl"")"),"Bahamas")</f>
        <v>Bahamas</v>
      </c>
      <c r="X2120" s="7" t="str">
        <f>IFERROR(__xludf.DUMMYFUNCTION("GOOGLETRANSLATE(C2120, ""en"", ""no"")"),"Bahamas.")</f>
        <v>Bahamas.</v>
      </c>
      <c r="Y2120" s="7" t="str">
        <f>IFERROR(__xludf.DUMMYFUNCTION("GOOGLETRANSLATE(C2120, ""en"", ""pl"")"),"Bahamy.")</f>
        <v>Bahamy.</v>
      </c>
      <c r="Z2120" s="7" t="str">
        <f>IFERROR(__xludf.DUMMYFUNCTION("GOOGLETRANSLATE(C2120, ""en"", ""pt"")"),"Bahamas.")</f>
        <v>Bahamas.</v>
      </c>
      <c r="AA2120" s="7" t="str">
        <f>IFERROR(__xludf.DUMMYFUNCTION("GOOGLETRANSLATE(C2120, ""en"", ""ro"")"),"Bahamas.")</f>
        <v>Bahamas.</v>
      </c>
      <c r="AB2120" s="1" t="s">
        <v>42013</v>
      </c>
      <c r="AC2120" s="7" t="str">
        <f>IFERROR(__xludf.DUMMYFUNCTION("GOOGLETRANSLATE(C2120, ""en"", ""sk"")"),"Bahamy")</f>
        <v>Bahamy</v>
      </c>
      <c r="AD2120" s="6" t="s">
        <v>132</v>
      </c>
      <c r="AE2120" s="1" t="s">
        <v>42014</v>
      </c>
      <c r="AF2120" s="7" t="str">
        <f>IFERROR(__xludf.DUMMYFUNCTION("GOOGLETRANSLATE(C2120, ""en"", ""sv"")"),"Bahamas")</f>
        <v>Bahamas</v>
      </c>
      <c r="AG2120" s="6" t="s">
        <v>132</v>
      </c>
      <c r="AH2120" s="7" t="str">
        <f>IFERROR(__xludf.DUMMYFUNCTION("GOOGLETRANSLATE(C2120, ""en"", ""tr"")"),"Bahamalar")</f>
        <v>Bahamalar</v>
      </c>
      <c r="AI2120" s="6" t="s">
        <v>132</v>
      </c>
      <c r="AJ2120" s="6" t="s">
        <v>132</v>
      </c>
      <c r="AK2120" s="7" t="str">
        <f>IFERROR(__xludf.DUMMYFUNCTION("GOOGLETRANSLATE(C2120, ""en"", ""zh"")"),"巴哈马")</f>
        <v>巴哈马</v>
      </c>
      <c r="AL2120" s="6" t="s">
        <v>132</v>
      </c>
    </row>
    <row r="2121" ht="15.75" hidden="1" customHeight="1">
      <c r="A2121" s="1" t="s">
        <v>38</v>
      </c>
      <c r="B2121" s="1" t="s">
        <v>42015</v>
      </c>
      <c r="C2121" s="1" t="s">
        <v>42016</v>
      </c>
      <c r="D2121" s="8" t="s">
        <v>42017</v>
      </c>
      <c r="E2121" s="1" t="s">
        <v>42018</v>
      </c>
      <c r="F2121" s="6" t="s">
        <v>42019</v>
      </c>
      <c r="G2121" s="7" t="str">
        <f>IFERROR(__xludf.DUMMYFUNCTION("GOOGLETRANSLATE(C2121, ""en"", ""cs"")"),"Toto není platné Jabber ID")</f>
        <v>Toto není platné Jabber ID</v>
      </c>
      <c r="H2121" s="7" t="str">
        <f>IFERROR(__xludf.DUMMYFUNCTION("GOOGLETRANSLATE(C2121, ""en"", ""da"")"),"Dette er ikke et gyldigt Jabber ID")</f>
        <v>Dette er ikke et gyldigt Jabber ID</v>
      </c>
      <c r="I2121" s="1" t="s">
        <v>42020</v>
      </c>
      <c r="J2121" s="6" t="s">
        <v>132</v>
      </c>
      <c r="K2121" s="1" t="s">
        <v>42021</v>
      </c>
      <c r="L2121" s="7" t="str">
        <f>IFERROR(__xludf.DUMMYFUNCTION("GOOGLETRANSLATE(C2121, ""en"", ""fi"")"),"Tämä ei ole kelvollinen Jabber-tunnus")</f>
        <v>Tämä ei ole kelvollinen Jabber-tunnus</v>
      </c>
      <c r="M2121" s="1" t="s">
        <v>40541</v>
      </c>
      <c r="N2121" s="6" t="s">
        <v>42022</v>
      </c>
      <c r="O2121" s="6" t="s">
        <v>132</v>
      </c>
      <c r="P2121" s="1" t="s">
        <v>42023</v>
      </c>
      <c r="Q2121" s="9" t="s">
        <v>42024</v>
      </c>
      <c r="R2121" s="1" t="s">
        <v>42025</v>
      </c>
      <c r="S2121" s="6" t="s">
        <v>132</v>
      </c>
      <c r="T2121" s="1" t="s">
        <v>42026</v>
      </c>
      <c r="U2121" s="1" t="s">
        <v>42027</v>
      </c>
      <c r="V2121" s="7" t="str">
        <f>IFERROR(__xludf.DUMMYFUNCTION("GOOGLETRANSLATE(C2121, ""en"", ""ms"")"),"Ini bukan ID Jabber yang sah")</f>
        <v>Ini bukan ID Jabber yang sah</v>
      </c>
      <c r="W2121" s="1" t="s">
        <v>42028</v>
      </c>
      <c r="X2121" s="7" t="str">
        <f>IFERROR(__xludf.DUMMYFUNCTION("GOOGLETRANSLATE(C2121, ""en"", ""no"")"),"Dette er ikke en gyldig Jabber ID")</f>
        <v>Dette er ikke en gyldig Jabber ID</v>
      </c>
      <c r="Y2121" s="1" t="s">
        <v>42029</v>
      </c>
      <c r="Z2121" s="1" t="s">
        <v>42030</v>
      </c>
      <c r="AA2121" s="7" t="str">
        <f>IFERROR(__xludf.DUMMYFUNCTION("GOOGLETRANSLATE(C2121, ""en"", ""ro"")"),"Acesta nu este un ID valid Jabber")</f>
        <v>Acesta nu este un ID valid Jabber</v>
      </c>
      <c r="AB2121" s="1" t="s">
        <v>42031</v>
      </c>
      <c r="AC2121" s="1" t="s">
        <v>42032</v>
      </c>
      <c r="AD2121" s="6" t="s">
        <v>132</v>
      </c>
      <c r="AE2121" s="1" t="s">
        <v>42033</v>
      </c>
      <c r="AF2121" s="1" t="s">
        <v>42034</v>
      </c>
      <c r="AG2121" s="6" t="s">
        <v>132</v>
      </c>
      <c r="AH2121" s="7" t="str">
        <f>IFERROR(__xludf.DUMMYFUNCTION("GOOGLETRANSLATE(C2121, ""en"", ""tr"")"),"Bu geçerli bir jabber kimliği değil")</f>
        <v>Bu geçerli bir jabber kimliği değil</v>
      </c>
      <c r="AI2121" s="6" t="s">
        <v>42035</v>
      </c>
      <c r="AJ2121" s="6" t="s">
        <v>42036</v>
      </c>
      <c r="AK2121" s="7" t="str">
        <f>IFERROR(__xludf.DUMMYFUNCTION("GOOGLETRANSLATE(C2121, ""en"", ""zh"")"),"这不是有效的jabber ID")</f>
        <v>这不是有效的jabber ID</v>
      </c>
      <c r="AL2121" s="6" t="s">
        <v>42037</v>
      </c>
    </row>
    <row r="2122" ht="15.75" hidden="1" customHeight="1">
      <c r="A2122" s="1" t="s">
        <v>38</v>
      </c>
      <c r="B2122" s="1" t="s">
        <v>42038</v>
      </c>
      <c r="C2122" s="1" t="s">
        <v>15312</v>
      </c>
      <c r="D2122" s="8" t="s">
        <v>41964</v>
      </c>
      <c r="E2122" s="1" t="s">
        <v>41965</v>
      </c>
      <c r="F2122" s="6" t="s">
        <v>41966</v>
      </c>
      <c r="G2122" s="7" t="str">
        <f>IFERROR(__xludf.DUMMYFUNCTION("GOOGLETRANSLATE(C2122, ""en"", ""cs"")"),"Online")</f>
        <v>Online</v>
      </c>
      <c r="H2122" s="7" t="str">
        <f>IFERROR(__xludf.DUMMYFUNCTION("GOOGLETRANSLATE(C2122, ""en"", ""da"")"),"Online.")</f>
        <v>Online.</v>
      </c>
      <c r="I2122" s="1" t="s">
        <v>15312</v>
      </c>
      <c r="J2122" s="6" t="s">
        <v>132</v>
      </c>
      <c r="K2122" s="1" t="s">
        <v>8212</v>
      </c>
      <c r="L2122" s="7" t="str">
        <f>IFERROR(__xludf.DUMMYFUNCTION("GOOGLETRANSLATE(C2122, ""en"", ""fi"")"),"Verkossa")</f>
        <v>Verkossa</v>
      </c>
      <c r="M2122" s="1" t="s">
        <v>15313</v>
      </c>
      <c r="N2122" s="6" t="s">
        <v>42039</v>
      </c>
      <c r="O2122" s="6" t="s">
        <v>132</v>
      </c>
      <c r="P2122" s="1" t="s">
        <v>42040</v>
      </c>
      <c r="Q2122" s="9" t="s">
        <v>15312</v>
      </c>
      <c r="R2122" s="1" t="s">
        <v>15312</v>
      </c>
      <c r="S2122" s="6" t="s">
        <v>132</v>
      </c>
      <c r="T2122" s="1" t="s">
        <v>41969</v>
      </c>
      <c r="U2122" s="1" t="s">
        <v>41970</v>
      </c>
      <c r="V2122" s="7" t="str">
        <f>IFERROR(__xludf.DUMMYFUNCTION("GOOGLETRANSLATE(C2122, ""en"", ""ms"")"),"Dalam talian")</f>
        <v>Dalam talian</v>
      </c>
      <c r="W2122" s="1" t="s">
        <v>15312</v>
      </c>
      <c r="X2122" s="7" t="str">
        <f>IFERROR(__xludf.DUMMYFUNCTION("GOOGLETRANSLATE(C2122, ""en"", ""no"")"),"på nett")</f>
        <v>på nett</v>
      </c>
      <c r="Y2122" s="1" t="s">
        <v>42041</v>
      </c>
      <c r="Z2122" s="1" t="s">
        <v>15312</v>
      </c>
      <c r="AA2122" s="7" t="str">
        <f>IFERROR(__xludf.DUMMYFUNCTION("GOOGLETRANSLATE(C2122, ""en"", ""ro"")"),"Pe net")</f>
        <v>Pe net</v>
      </c>
      <c r="AB2122" s="1" t="s">
        <v>41972</v>
      </c>
      <c r="AC2122" s="7" t="str">
        <f>IFERROR(__xludf.DUMMYFUNCTION("GOOGLETRANSLATE(C2122, ""en"", ""sk"")"),"On-line")</f>
        <v>On-line</v>
      </c>
      <c r="AD2122" s="6" t="s">
        <v>132</v>
      </c>
      <c r="AE2122" s="1" t="s">
        <v>41973</v>
      </c>
      <c r="AF2122" s="1" t="s">
        <v>15312</v>
      </c>
      <c r="AG2122" s="6" t="s">
        <v>132</v>
      </c>
      <c r="AH2122" s="7" t="str">
        <f>IFERROR(__xludf.DUMMYFUNCTION("GOOGLETRANSLATE(C2122, ""en"", ""tr"")"),"İnternet üzerinden")</f>
        <v>İnternet üzerinden</v>
      </c>
      <c r="AI2122" s="6" t="s">
        <v>41974</v>
      </c>
      <c r="AJ2122" s="6" t="s">
        <v>132</v>
      </c>
      <c r="AK2122" s="7" t="str">
        <f>IFERROR(__xludf.DUMMYFUNCTION("GOOGLETRANSLATE(C2122, ""en"", ""zh"")"),"在线的")</f>
        <v>在线的</v>
      </c>
      <c r="AL2122" s="6" t="s">
        <v>41976</v>
      </c>
    </row>
    <row r="2123" ht="15.75" hidden="1" customHeight="1">
      <c r="A2123" s="1" t="s">
        <v>38</v>
      </c>
      <c r="B2123" s="1" t="s">
        <v>42042</v>
      </c>
      <c r="C2123" s="1" t="s">
        <v>42043</v>
      </c>
      <c r="D2123" s="7" t="str">
        <f>IFERROR(__xludf.DUMMYFUNCTION("GOOGLETRANSLATE(C2123, ""en"", ""ar"")"),"المحادثات غير قادرة على إرسال رسائل مشفرة إلى٪ 1 دولار. قد يكون هذا بسبب جهة الاتصال الخاصة بك باستخدام خادم أو عميل قديم لا يمكن التعامل مع OMEMO.")</f>
        <v>المحادثات غير قادرة على إرسال رسائل مشفرة إلى٪ 1 دولار. قد يكون هذا بسبب جهة الاتصال الخاصة بك باستخدام خادم أو عميل قديم لا يمكن التعامل مع OMEMO.</v>
      </c>
      <c r="E2123" s="1" t="s">
        <v>42044</v>
      </c>
      <c r="F2123" s="6" t="s">
        <v>42045</v>
      </c>
      <c r="G2123" s="7" t="str">
        <f>IFERROR(__xludf.DUMMYFUNCTION("GOOGLETRANSLATE(C2123, ""en"", ""cs"")"),"Konverzace není schopna odesílat šifrované zprávy na% 1 $ s. To může být způsobeno kontaktem pomocí zastaralého serveru nebo klienta, který nemůže zpracovávat Omemo.")</f>
        <v>Konverzace není schopna odesílat šifrované zprávy na% 1 $ s. To může být způsobeno kontaktem pomocí zastaralého serveru nebo klienta, který nemůže zpracovávat Omemo.</v>
      </c>
      <c r="H2123" s="7" t="str">
        <f>IFERROR(__xludf.DUMMYFUNCTION("GOOGLETRANSLATE(C2123, ""en"", ""da"")"),"Samtaler kan ikke sende krypterede meddelelser til% 1 $ s. Dette kan skyldes din kontakt ved hjælp af en forældet server eller klient, der ikke kan håndtere omemo.")</f>
        <v>Samtaler kan ikke sende krypterede meddelelser til% 1 $ s. Dette kan skyldes din kontakt ved hjælp af en forældet server eller klient, der ikke kan håndtere omemo.</v>
      </c>
      <c r="I2123" s="1" t="s">
        <v>42046</v>
      </c>
      <c r="J2123" s="6" t="s">
        <v>132</v>
      </c>
      <c r="K2123" s="1" t="s">
        <v>42047</v>
      </c>
      <c r="L2123" s="7" t="str">
        <f>IFERROR(__xludf.DUMMYFUNCTION("GOOGLETRANSLATE(C2123, ""en"", ""fi"")"),"Keskustelut eivät voi lähettää salattuja viestejä% 1 $ s. Tämä voi johtua yhteyshenkilöstäsi käyttämällä vanhentunutta palvelinta tai asiakasta, joka ei voi käsitellä omemoa.")</f>
        <v>Keskustelut eivät voi lähettää salattuja viestejä% 1 $ s. Tämä voi johtua yhteyshenkilöstäsi käyttämällä vanhentunutta palvelinta tai asiakasta, joka ei voi käsitellä omemoa.</v>
      </c>
      <c r="M2123" s="1" t="s">
        <v>42048</v>
      </c>
      <c r="N2123" s="6" t="s">
        <v>42049</v>
      </c>
      <c r="O2123" s="6" t="s">
        <v>132</v>
      </c>
      <c r="P2123" s="1" t="s">
        <v>42050</v>
      </c>
      <c r="Q2123" s="7" t="str">
        <f>IFERROR(__xludf.DUMMYFUNCTION("GOOGLETRANSLATE(C2123, ""en"", ""in"")"),"Percakapan tidak dapat mengirim pesan terenkripsi ke% 1 $ s. Ini mungkin karena kontak Anda menggunakan server atau klien yang sudah ketinggalan zaman yang tidak dapat menangani Omemo.")</f>
        <v>Percakapan tidak dapat mengirim pesan terenkripsi ke% 1 $ s. Ini mungkin karena kontak Anda menggunakan server atau klien yang sudah ketinggalan zaman yang tidak dapat menangani Omemo.</v>
      </c>
      <c r="R2123" s="1" t="s">
        <v>42051</v>
      </c>
      <c r="S2123" s="6" t="s">
        <v>132</v>
      </c>
      <c r="T2123" s="1" t="s">
        <v>42052</v>
      </c>
      <c r="U2123" s="7" t="str">
        <f>IFERROR(__xludf.DUMMYFUNCTION("GOOGLETRANSLATE(C2123, ""en"", ""ko"")"),"대화가 % 1 $ s로 암호화 된 메시지를 보낼 수 없습니다. OMEMO를 처리 할 수없는 오래된 서버 또는 클라이언트를 사용하여 연락처로 인한 것일 수 있습니다.")</f>
        <v>대화가 % 1 $ s로 암호화 된 메시지를 보낼 수 없습니다. OMEMO를 처리 할 수없는 오래된 서버 또는 클라이언트를 사용하여 연락처로 인한 것일 수 있습니다.</v>
      </c>
      <c r="V2123" s="7" t="str">
        <f>IFERROR(__xludf.DUMMYFUNCTION("GOOGLETRANSLATE(C2123, ""en"", ""ms"")"),"Perbualan tidak dapat menghantar mesej yang disulitkan kepada% 1 $ s. Ini mungkin disebabkan oleh kenalan anda menggunakan pelayan atau pelanggan yang lapuk yang tidak dapat mengendalikan Omemo.")</f>
        <v>Perbualan tidak dapat menghantar mesej yang disulitkan kepada% 1 $ s. Ini mungkin disebabkan oleh kenalan anda menggunakan pelayan atau pelanggan yang lapuk yang tidak dapat mengendalikan Omemo.</v>
      </c>
      <c r="W2123" s="1" t="s">
        <v>42053</v>
      </c>
      <c r="X2123" s="7" t="str">
        <f>IFERROR(__xludf.DUMMYFUNCTION("GOOGLETRANSLATE(C2123, ""en"", ""no"")"),"Samtaler kan ikke sende krypterte meldinger til% 1 $ s. Dette kan skyldes kontakten din med en utdatert server eller klient som ikke kan håndtere Omemo.")</f>
        <v>Samtaler kan ikke sende krypterte meldinger til% 1 $ s. Dette kan skyldes kontakten din med en utdatert server eller klient som ikke kan håndtere Omemo.</v>
      </c>
      <c r="Y2123" s="1" t="s">
        <v>42054</v>
      </c>
      <c r="Z2123" s="7" t="str">
        <f>IFERROR(__xludf.DUMMYFUNCTION("GOOGLETRANSLATE(C2123, ""en"", ""pt"")"),"As conversas não podem enviar mensagens criptografadas para% 1 $ s. Isso pode ser devido ao seu contato usando um servidor ou cliente desatualizado que não possa lidar com OMEMO.")</f>
        <v>As conversas não podem enviar mensagens criptografadas para% 1 $ s. Isso pode ser devido ao seu contato usando um servidor ou cliente desatualizado que não possa lidar com OMEMO.</v>
      </c>
      <c r="AA2123" s="7" t="str">
        <f>IFERROR(__xludf.DUMMYFUNCTION("GOOGLETRANSLATE(C2123, ""en"", ""ro"")"),"Conversațiile nu pot trimite mesaje criptate la% 1 $ s. Acest lucru se poate datora contactului dvs. utilizând un server sau un client depășit care nu se poate gestiona omemo.")</f>
        <v>Conversațiile nu pot trimite mesaje criptate la% 1 $ s. Acest lucru se poate datora contactului dvs. utilizând un server sau un client depășit care nu se poate gestiona omemo.</v>
      </c>
      <c r="AB2123" s="7" t="str">
        <f>IFERROR(__xludf.DUMMYFUNCTION("GOOGLETRANSLATE(C2123, ""en"", ""ru"")"),"Разговоры не могут отправлять зашифрованные сообщения на% 1 $. Это может быть связано с вашим контактом, используя устаревший сервер или клиент, который не может обрабатывать oMemo.")</f>
        <v>Разговоры не могут отправлять зашифрованные сообщения на% 1 $. Это может быть связано с вашим контактом, используя устаревший сервер или клиент, который не может обрабатывать oMemo.</v>
      </c>
      <c r="AC2123" s="7" t="str">
        <f>IFERROR(__xludf.DUMMYFUNCTION("GOOGLETRANSLATE(C2123, ""en"", ""sk"")"),"Konverzácie nie sú schopné odosielať šifrované správy na% 1 $ s. To môže byť spôsobené kontaktom pomocou zastaraného servera alebo klienta, ktorý nemôže zvládnuť OMEMO.")</f>
        <v>Konverzácie nie sú schopné odosielať šifrované správy na% 1 $ s. To môže byť spôsobené kontaktom pomocou zastaraného servera alebo klienta, ktorý nemôže zvládnuť OMEMO.</v>
      </c>
      <c r="AD2123" s="6" t="s">
        <v>132</v>
      </c>
      <c r="AE2123" s="7" t="str">
        <f>IFERROR(__xludf.DUMMYFUNCTION("GOOGLETRANSLATE(C2123, ""en"", ""sr"")"),"Разговори нису у могућности да шаљу шифроване поруке на% 1 $ с. То може бити последица вашег контакта помоћу застарелог сервера или клијента који не може да поднесе ОМЕМО.")</f>
        <v>Разговори нису у могућности да шаљу шифроване поруке на% 1 $ с. То може бити последица вашег контакта помоћу застарелог сервера или клијента који не може да поднесе ОМЕМО.</v>
      </c>
      <c r="AF2123" s="7" t="str">
        <f>IFERROR(__xludf.DUMMYFUNCTION("GOOGLETRANSLATE(C2123, ""en"", ""sv"")"),"Samtal kan inte skicka krypterade meddelanden till% 1 $ s. Detta kan bero på din kontakt med en föråldrad server eller klient som inte kan hantera OMEMO.")</f>
        <v>Samtal kan inte skicka krypterade meddelanden till% 1 $ s. Detta kan bero på din kontakt med en föråldrad server eller klient som inte kan hantera OMEMO.</v>
      </c>
      <c r="AG2123" s="6" t="s">
        <v>132</v>
      </c>
      <c r="AH2123" s="13" t="s">
        <v>42055</v>
      </c>
      <c r="AI2123" s="6" t="s">
        <v>132</v>
      </c>
      <c r="AJ2123" s="6" t="s">
        <v>132</v>
      </c>
      <c r="AK2123" s="7" t="str">
        <f>IFERROR(__xludf.DUMMYFUNCTION("GOOGLETRANSLATE(C2123, ""en"", ""zh"")"),"对话无法将加密消息发送到％1 $ s。这可能是由于您的联系人使用无法处理Omemo的过时的服务器或客户端。")</f>
        <v>对话无法将加密消息发送到％1 $ s。这可能是由于您的联系人使用无法处理Omemo的过时的服务器或客户端。</v>
      </c>
      <c r="AL2123" s="6" t="s">
        <v>132</v>
      </c>
    </row>
    <row r="2124" ht="15.75" customHeight="1">
      <c r="A2124" s="1" t="s">
        <v>127</v>
      </c>
      <c r="B2124" s="1" t="s">
        <v>42056</v>
      </c>
      <c r="C2124" s="1" t="s">
        <v>42057</v>
      </c>
      <c r="D2124" s="1" t="s">
        <v>42057</v>
      </c>
      <c r="E2124" s="1" t="s">
        <v>42058</v>
      </c>
      <c r="F2124" s="6" t="s">
        <v>132</v>
      </c>
      <c r="G2124" s="1" t="s">
        <v>42059</v>
      </c>
      <c r="H2124" s="1" t="s">
        <v>42057</v>
      </c>
      <c r="I2124" s="1" t="s">
        <v>42057</v>
      </c>
      <c r="J2124" s="6" t="s">
        <v>42060</v>
      </c>
      <c r="K2124" s="1" t="s">
        <v>42057</v>
      </c>
      <c r="L2124" s="1" t="s">
        <v>42061</v>
      </c>
      <c r="M2124" s="1" t="s">
        <v>42057</v>
      </c>
      <c r="N2124" s="6" t="s">
        <v>132</v>
      </c>
      <c r="O2124" s="6" t="s">
        <v>42062</v>
      </c>
      <c r="P2124" s="1" t="s">
        <v>42057</v>
      </c>
      <c r="Q2124" s="1" t="s">
        <v>42057</v>
      </c>
      <c r="R2124" s="1" t="s">
        <v>42057</v>
      </c>
      <c r="S2124" s="10" t="s">
        <v>36557</v>
      </c>
      <c r="T2124" s="1" t="s">
        <v>42057</v>
      </c>
      <c r="U2124" s="1" t="s">
        <v>42057</v>
      </c>
      <c r="V2124" s="1" t="s">
        <v>42057</v>
      </c>
      <c r="W2124" s="1" t="s">
        <v>42057</v>
      </c>
      <c r="X2124" s="1" t="s">
        <v>42063</v>
      </c>
      <c r="Y2124" s="1" t="s">
        <v>42057</v>
      </c>
      <c r="Z2124" s="1" t="s">
        <v>42057</v>
      </c>
      <c r="AA2124" s="7" t="str">
        <f>IFERROR(__xludf.DUMMYFUNCTION("GOOGLETRANSLATE(C2124, ""en"", ""ro"")"),"Baha Breaking News.")</f>
        <v>Baha Breaking News.</v>
      </c>
      <c r="AB2124" s="1" t="s">
        <v>42010</v>
      </c>
      <c r="AC2124" s="1" t="s">
        <v>42064</v>
      </c>
      <c r="AD2124" s="6" t="s">
        <v>42065</v>
      </c>
      <c r="AE2124" s="1" t="s">
        <v>42057</v>
      </c>
      <c r="AF2124" s="1" t="s">
        <v>42066</v>
      </c>
      <c r="AG2124" s="6" t="s">
        <v>42057</v>
      </c>
      <c r="AH2124" s="1" t="s">
        <v>42057</v>
      </c>
      <c r="AI2124" s="6" t="s">
        <v>132</v>
      </c>
      <c r="AJ2124" s="6" t="s">
        <v>42067</v>
      </c>
      <c r="AK2124" s="1" t="s">
        <v>42068</v>
      </c>
      <c r="AL2124" s="6" t="s">
        <v>132</v>
      </c>
    </row>
    <row r="2125" ht="15.75" hidden="1" customHeight="1">
      <c r="A2125" s="1" t="s">
        <v>38</v>
      </c>
      <c r="B2125" s="1" t="s">
        <v>42069</v>
      </c>
      <c r="C2125" s="1" t="s">
        <v>42070</v>
      </c>
      <c r="D2125" s="7" t="str">
        <f>IFERROR(__xludf.DUMMYFUNCTION("GOOGLETRANSLATE(C2125, ""en"", ""ar"")"),"كمبوديا")</f>
        <v>كمبوديا</v>
      </c>
      <c r="E2125" s="7" t="str">
        <f>IFERROR(__xludf.DUMMYFUNCTION("GOOGLETRANSLATE(C2125, ""en"", ""bg"")"),"Камбоджа")</f>
        <v>Камбоджа</v>
      </c>
      <c r="F2125" s="6" t="s">
        <v>132</v>
      </c>
      <c r="G2125" s="7" t="str">
        <f>IFERROR(__xludf.DUMMYFUNCTION("GOOGLETRANSLATE(C2125, ""en"", ""cs"")"),"Kambodža")</f>
        <v>Kambodža</v>
      </c>
      <c r="H2125" s="7" t="str">
        <f>IFERROR(__xludf.DUMMYFUNCTION("GOOGLETRANSLATE(C2125, ""en"", ""da"")"),"Cambodja.")</f>
        <v>Cambodja.</v>
      </c>
      <c r="I2125" s="1" t="s">
        <v>42071</v>
      </c>
      <c r="J2125" s="6" t="s">
        <v>132</v>
      </c>
      <c r="K2125" s="1" t="s">
        <v>42072</v>
      </c>
      <c r="L2125" s="7" t="str">
        <f>IFERROR(__xludf.DUMMYFUNCTION("GOOGLETRANSLATE(C2125, ""en"", ""fi"")"),"Kambodža")</f>
        <v>Kambodža</v>
      </c>
      <c r="M2125" s="1" t="s">
        <v>42073</v>
      </c>
      <c r="N2125" s="6" t="s">
        <v>132</v>
      </c>
      <c r="O2125" s="6" t="s">
        <v>132</v>
      </c>
      <c r="P2125" s="1" t="s">
        <v>42070</v>
      </c>
      <c r="Q2125" s="7" t="str">
        <f>IFERROR(__xludf.DUMMYFUNCTION("GOOGLETRANSLATE(C2125, ""en"", ""in"")"),"Kamboja")</f>
        <v>Kamboja</v>
      </c>
      <c r="R2125" s="7" t="str">
        <f>IFERROR(__xludf.DUMMYFUNCTION("GOOGLETRANSLATE(C2125, ""en"", ""it"")"),"Cambogia")</f>
        <v>Cambogia</v>
      </c>
      <c r="S2125" s="6" t="s">
        <v>132</v>
      </c>
      <c r="T2125" s="7" t="str">
        <f>IFERROR(__xludf.DUMMYFUNCTION("GOOGLETRANSLATE(C2125, ""en"", ""ja"")"),"カンボジア")</f>
        <v>カンボジア</v>
      </c>
      <c r="U2125" s="7" t="str">
        <f>IFERROR(__xludf.DUMMYFUNCTION("GOOGLETRANSLATE(C2125, ""en"", ""ko"")"),"캄보디아")</f>
        <v>캄보디아</v>
      </c>
      <c r="V2125" s="7" t="str">
        <f>IFERROR(__xludf.DUMMYFUNCTION("GOOGLETRANSLATE(C2125, ""en"", ""ms"")"),"Kemboja.")</f>
        <v>Kemboja.</v>
      </c>
      <c r="W2125" s="7" t="str">
        <f>IFERROR(__xludf.DUMMYFUNCTION("GOOGLETRANSLATE(C2125, ""en"", ""nl"")"),"Cambodja")</f>
        <v>Cambodja</v>
      </c>
      <c r="X2125" s="7" t="str">
        <f>IFERROR(__xludf.DUMMYFUNCTION("GOOGLETRANSLATE(C2125, ""en"", ""no"")"),"Kambodsja.")</f>
        <v>Kambodsja.</v>
      </c>
      <c r="Y2125" s="7" t="str">
        <f>IFERROR(__xludf.DUMMYFUNCTION("GOOGLETRANSLATE(C2125, ""en"", ""pl"")"),"Kambodża")</f>
        <v>Kambodża</v>
      </c>
      <c r="Z2125" s="7" t="str">
        <f>IFERROR(__xludf.DUMMYFUNCTION("GOOGLETRANSLATE(C2125, ""en"", ""pt"")"),"Camboja")</f>
        <v>Camboja</v>
      </c>
      <c r="AA2125" s="7" t="str">
        <f>IFERROR(__xludf.DUMMYFUNCTION("GOOGLETRANSLATE(C2125, ""en"", ""ro"")"),"Cambodgia")</f>
        <v>Cambodgia</v>
      </c>
      <c r="AB2125" s="1" t="s">
        <v>42074</v>
      </c>
      <c r="AC2125" s="7" t="str">
        <f>IFERROR(__xludf.DUMMYFUNCTION("GOOGLETRANSLATE(C2125, ""en"", ""sk"")"),"Kambodža")</f>
        <v>Kambodža</v>
      </c>
      <c r="AD2125" s="6" t="s">
        <v>132</v>
      </c>
      <c r="AE2125" s="1" t="s">
        <v>42075</v>
      </c>
      <c r="AF2125" s="7" t="str">
        <f>IFERROR(__xludf.DUMMYFUNCTION("GOOGLETRANSLATE(C2125, ""en"", ""sv"")"),"Kambodja")</f>
        <v>Kambodja</v>
      </c>
      <c r="AG2125" s="6" t="s">
        <v>132</v>
      </c>
      <c r="AH2125" s="7" t="str">
        <f>IFERROR(__xludf.DUMMYFUNCTION("GOOGLETRANSLATE(C2125, ""en"", ""tr"")"),"Kamboçya")</f>
        <v>Kamboçya</v>
      </c>
      <c r="AI2125" s="6" t="s">
        <v>132</v>
      </c>
      <c r="AJ2125" s="6" t="s">
        <v>132</v>
      </c>
      <c r="AK2125" s="7" t="str">
        <f>IFERROR(__xludf.DUMMYFUNCTION("GOOGLETRANSLATE(C2125, ""en"", ""zh"")"),"柬埔寨")</f>
        <v>柬埔寨</v>
      </c>
      <c r="AL2125" s="6" t="s">
        <v>132</v>
      </c>
    </row>
    <row r="2126" ht="15.75" hidden="1" customHeight="1">
      <c r="A2126" s="1" t="s">
        <v>38</v>
      </c>
      <c r="B2126" s="1" t="s">
        <v>42076</v>
      </c>
      <c r="C2126" s="1" t="s">
        <v>42077</v>
      </c>
      <c r="D2126" s="8" t="s">
        <v>42078</v>
      </c>
      <c r="E2126" s="1" t="s">
        <v>42079</v>
      </c>
      <c r="F2126" s="6" t="s">
        <v>42080</v>
      </c>
      <c r="G2126" s="7" t="str">
        <f>IFERROR(__xludf.DUMMYFUNCTION("GOOGLETRANSLATE(C2126, ""en"", ""cs"")"),"Zvolit kontakt")</f>
        <v>Zvolit kontakt</v>
      </c>
      <c r="H2126" s="7" t="str">
        <f>IFERROR(__xludf.DUMMYFUNCTION("GOOGLETRANSLATE(C2126, ""en"", ""da"")"),"Vælg kontakt")</f>
        <v>Vælg kontakt</v>
      </c>
      <c r="I2126" s="1" t="s">
        <v>42081</v>
      </c>
      <c r="J2126" s="6" t="s">
        <v>132</v>
      </c>
      <c r="K2126" s="1" t="s">
        <v>42082</v>
      </c>
      <c r="L2126" s="7" t="str">
        <f>IFERROR(__xludf.DUMMYFUNCTION("GOOGLETRANSLATE(C2126, ""en"", ""fi"")"),"Valitse yhteystieto")</f>
        <v>Valitse yhteystieto</v>
      </c>
      <c r="M2126" s="1" t="s">
        <v>42083</v>
      </c>
      <c r="N2126" s="6" t="s">
        <v>42084</v>
      </c>
      <c r="O2126" s="6" t="s">
        <v>132</v>
      </c>
      <c r="P2126" s="1" t="s">
        <v>42085</v>
      </c>
      <c r="Q2126" s="7" t="str">
        <f>IFERROR(__xludf.DUMMYFUNCTION("GOOGLETRANSLATE(C2126, ""en"", ""in"")"),"Pilih Kontak")</f>
        <v>Pilih Kontak</v>
      </c>
      <c r="R2126" s="1" t="s">
        <v>42086</v>
      </c>
      <c r="S2126" s="6" t="s">
        <v>132</v>
      </c>
      <c r="T2126" s="1" t="s">
        <v>42087</v>
      </c>
      <c r="U2126" s="7" t="str">
        <f>IFERROR(__xludf.DUMMYFUNCTION("GOOGLETRANSLATE(C2126, ""en"", ""ko"")"),"접촉을 선택하십시오")</f>
        <v>접촉을 선택하십시오</v>
      </c>
      <c r="V2126" s="7" t="str">
        <f>IFERROR(__xludf.DUMMYFUNCTION("GOOGLETRANSLATE(C2126, ""en"", ""ms"")"),"Pilih Hubungi")</f>
        <v>Pilih Hubungi</v>
      </c>
      <c r="W2126" s="1" t="s">
        <v>42088</v>
      </c>
      <c r="X2126" s="7" t="str">
        <f>IFERROR(__xludf.DUMMYFUNCTION("GOOGLETRANSLATE(C2126, ""en"", ""no"")"),"Velg kontakt")</f>
        <v>Velg kontakt</v>
      </c>
      <c r="Y2126" s="1" t="s">
        <v>42089</v>
      </c>
      <c r="Z2126" s="1" t="s">
        <v>42090</v>
      </c>
      <c r="AA2126" s="7" t="str">
        <f>IFERROR(__xludf.DUMMYFUNCTION("GOOGLETRANSLATE(C2126, ""en"", ""ro"")"),"Alegeți contact")</f>
        <v>Alegeți contact</v>
      </c>
      <c r="AB2126" s="1" t="s">
        <v>42091</v>
      </c>
      <c r="AC2126" s="7" t="str">
        <f>IFERROR(__xludf.DUMMYFUNCTION("GOOGLETRANSLATE(C2126, ""en"", ""sk"")"),"Vyberte si kontakt")</f>
        <v>Vyberte si kontakt</v>
      </c>
      <c r="AD2126" s="6" t="s">
        <v>132</v>
      </c>
      <c r="AE2126" s="1" t="s">
        <v>42092</v>
      </c>
      <c r="AF2126" s="7" t="str">
        <f>IFERROR(__xludf.DUMMYFUNCTION("GOOGLETRANSLATE(C2126, ""en"", ""sv"")"),"Välj kontakt")</f>
        <v>Välj kontakt</v>
      </c>
      <c r="AG2126" s="6" t="s">
        <v>132</v>
      </c>
      <c r="AH2126" s="7" t="str">
        <f>IFERROR(__xludf.DUMMYFUNCTION("GOOGLETRANSLATE(C2126, ""en"", ""tr"")"),"İletişim seç")</f>
        <v>İletişim seç</v>
      </c>
      <c r="AI2126" s="6" t="s">
        <v>132</v>
      </c>
      <c r="AJ2126" s="6" t="s">
        <v>132</v>
      </c>
      <c r="AK2126" s="7" t="str">
        <f>IFERROR(__xludf.DUMMYFUNCTION("GOOGLETRANSLATE(C2126, ""en"", ""zh"")"),"选择联系人")</f>
        <v>选择联系人</v>
      </c>
      <c r="AL2126" s="6" t="s">
        <v>132</v>
      </c>
    </row>
    <row r="2127" ht="15.75" customHeight="1">
      <c r="A2127" s="1" t="s">
        <v>127</v>
      </c>
      <c r="B2127" s="1" t="s">
        <v>42093</v>
      </c>
      <c r="C2127" s="1" t="s">
        <v>42094</v>
      </c>
      <c r="D2127" s="8" t="s">
        <v>42095</v>
      </c>
      <c r="E2127" s="1" t="s">
        <v>42096</v>
      </c>
      <c r="F2127" s="6" t="s">
        <v>132</v>
      </c>
      <c r="G2127" s="1" t="s">
        <v>42097</v>
      </c>
      <c r="H2127" s="1" t="s">
        <v>42098</v>
      </c>
      <c r="I2127" s="1" t="s">
        <v>42099</v>
      </c>
      <c r="J2127" s="6" t="s">
        <v>42100</v>
      </c>
      <c r="K2127" s="1" t="s">
        <v>42101</v>
      </c>
      <c r="L2127" s="1" t="s">
        <v>42094</v>
      </c>
      <c r="M2127" s="1" t="s">
        <v>42102</v>
      </c>
      <c r="N2127" s="6" t="s">
        <v>132</v>
      </c>
      <c r="O2127" s="6" t="s">
        <v>42103</v>
      </c>
      <c r="P2127" s="1" t="s">
        <v>42104</v>
      </c>
      <c r="Q2127" s="1" t="s">
        <v>42105</v>
      </c>
      <c r="R2127" s="1" t="s">
        <v>42106</v>
      </c>
      <c r="S2127" s="10" t="s">
        <v>42107</v>
      </c>
      <c r="T2127" s="1" t="s">
        <v>42108</v>
      </c>
      <c r="U2127" s="1" t="s">
        <v>42109</v>
      </c>
      <c r="V2127" s="1" t="s">
        <v>42110</v>
      </c>
      <c r="W2127" s="1" t="s">
        <v>42098</v>
      </c>
      <c r="X2127" s="1" t="s">
        <v>42111</v>
      </c>
      <c r="Y2127" s="1" t="s">
        <v>42112</v>
      </c>
      <c r="Z2127" s="1" t="s">
        <v>42113</v>
      </c>
      <c r="AA2127" s="7" t="str">
        <f>IFERROR(__xludf.DUMMYFUNCTION("GOOGLETRANSLATE(C2127, ""en"", ""ro"")"),"Distanțată")</f>
        <v>Distanțată</v>
      </c>
      <c r="AB2127" s="1" t="s">
        <v>42114</v>
      </c>
      <c r="AC2127" s="1" t="s">
        <v>42115</v>
      </c>
      <c r="AD2127" s="6" t="s">
        <v>42116</v>
      </c>
      <c r="AE2127" s="1" t="s">
        <v>42117</v>
      </c>
      <c r="AF2127" s="1" t="s">
        <v>42118</v>
      </c>
      <c r="AG2127" s="6" t="s">
        <v>42119</v>
      </c>
      <c r="AH2127" s="1" t="s">
        <v>42120</v>
      </c>
      <c r="AI2127" s="6" t="s">
        <v>132</v>
      </c>
      <c r="AJ2127" s="6" t="s">
        <v>42121</v>
      </c>
      <c r="AK2127" s="1" t="s">
        <v>42122</v>
      </c>
      <c r="AL2127" s="6" t="s">
        <v>132</v>
      </c>
    </row>
    <row r="2128" ht="15.75" customHeight="1">
      <c r="A2128" s="1" t="s">
        <v>127</v>
      </c>
      <c r="B2128" s="1" t="s">
        <v>42123</v>
      </c>
      <c r="C2128" s="1" t="s">
        <v>42124</v>
      </c>
      <c r="D2128" s="8" t="s">
        <v>42125</v>
      </c>
      <c r="E2128" s="1" t="s">
        <v>42126</v>
      </c>
      <c r="F2128" s="6" t="s">
        <v>132</v>
      </c>
      <c r="G2128" s="1" t="s">
        <v>42127</v>
      </c>
      <c r="H2128" s="1" t="s">
        <v>42128</v>
      </c>
      <c r="I2128" s="1" t="s">
        <v>42129</v>
      </c>
      <c r="J2128" s="6" t="s">
        <v>42130</v>
      </c>
      <c r="K2128" s="1" t="s">
        <v>42131</v>
      </c>
      <c r="L2128" s="1" t="s">
        <v>42132</v>
      </c>
      <c r="M2128" s="1" t="s">
        <v>42124</v>
      </c>
      <c r="N2128" s="6" t="s">
        <v>132</v>
      </c>
      <c r="O2128" s="6" t="s">
        <v>42133</v>
      </c>
      <c r="P2128" s="1" t="s">
        <v>42134</v>
      </c>
      <c r="Q2128" s="1" t="s">
        <v>42135</v>
      </c>
      <c r="R2128" s="1" t="s">
        <v>42136</v>
      </c>
      <c r="S2128" s="10" t="s">
        <v>42137</v>
      </c>
      <c r="T2128" s="1" t="s">
        <v>42138</v>
      </c>
      <c r="U2128" s="1" t="s">
        <v>42139</v>
      </c>
      <c r="V2128" s="1" t="s">
        <v>42135</v>
      </c>
      <c r="W2128" s="1" t="s">
        <v>42140</v>
      </c>
      <c r="X2128" s="1" t="s">
        <v>42141</v>
      </c>
      <c r="Y2128" s="1" t="s">
        <v>42142</v>
      </c>
      <c r="Z2128" s="1" t="s">
        <v>42143</v>
      </c>
      <c r="AA2128" s="7" t="str">
        <f>IFERROR(__xludf.DUMMYFUNCTION("GOOGLETRANSLATE(C2128, ""en"", ""ro"")"),"Vindem citat")</f>
        <v>Vindem citat</v>
      </c>
      <c r="AB2128" s="1" t="s">
        <v>42144</v>
      </c>
      <c r="AC2128" s="1" t="s">
        <v>42145</v>
      </c>
      <c r="AD2128" s="6" t="s">
        <v>42146</v>
      </c>
      <c r="AE2128" s="1" t="s">
        <v>42124</v>
      </c>
      <c r="AF2128" s="1" t="s">
        <v>42147</v>
      </c>
      <c r="AG2128" s="6" t="s">
        <v>25508</v>
      </c>
      <c r="AH2128" s="1" t="s">
        <v>42148</v>
      </c>
      <c r="AI2128" s="6" t="s">
        <v>132</v>
      </c>
      <c r="AJ2128" s="6" t="s">
        <v>42149</v>
      </c>
      <c r="AK2128" s="1" t="s">
        <v>42150</v>
      </c>
      <c r="AL2128" s="6" t="s">
        <v>42151</v>
      </c>
    </row>
    <row r="2129" ht="15.75" hidden="1" customHeight="1">
      <c r="A2129" s="1" t="s">
        <v>38</v>
      </c>
      <c r="B2129" s="1" t="s">
        <v>42152</v>
      </c>
      <c r="C2129" s="1" t="s">
        <v>42153</v>
      </c>
      <c r="D2129" s="7" t="str">
        <f>IFERROR(__xludf.DUMMYFUNCTION("GOOGLETRANSLATE(C2129, ""en"", ""ar"")"),"رومانيا")</f>
        <v>رومانيا</v>
      </c>
      <c r="E2129" s="7" t="str">
        <f>IFERROR(__xludf.DUMMYFUNCTION("GOOGLETRANSLATE(C2129, ""en"", ""bg"")"),"Румъния")</f>
        <v>Румъния</v>
      </c>
      <c r="F2129" s="6" t="s">
        <v>132</v>
      </c>
      <c r="G2129" s="7" t="str">
        <f>IFERROR(__xludf.DUMMYFUNCTION("GOOGLETRANSLATE(C2129, ""en"", ""cs"")"),"Rumunsko")</f>
        <v>Rumunsko</v>
      </c>
      <c r="H2129" s="7" t="str">
        <f>IFERROR(__xludf.DUMMYFUNCTION("GOOGLETRANSLATE(C2129, ""en"", ""da"")"),"RUMÆNIEN")</f>
        <v>RUMÆNIEN</v>
      </c>
      <c r="I2129" s="1" t="s">
        <v>42154</v>
      </c>
      <c r="J2129" s="6" t="s">
        <v>132</v>
      </c>
      <c r="K2129" s="1" t="s">
        <v>42155</v>
      </c>
      <c r="L2129" s="7" t="str">
        <f>IFERROR(__xludf.DUMMYFUNCTION("GOOGLETRANSLATE(C2129, ""en"", ""fi"")"),"Romania")</f>
        <v>Romania</v>
      </c>
      <c r="M2129" s="1" t="s">
        <v>42156</v>
      </c>
      <c r="N2129" s="6" t="s">
        <v>132</v>
      </c>
      <c r="O2129" s="6" t="s">
        <v>132</v>
      </c>
      <c r="P2129" s="1" t="s">
        <v>42153</v>
      </c>
      <c r="Q2129" s="7" t="str">
        <f>IFERROR(__xludf.DUMMYFUNCTION("GOOGLETRANSLATE(C2129, ""en"", ""in"")"),"Rumania")</f>
        <v>Rumania</v>
      </c>
      <c r="R2129" s="7" t="str">
        <f>IFERROR(__xludf.DUMMYFUNCTION("GOOGLETRANSLATE(C2129, ""en"", ""it"")"),"Romania")</f>
        <v>Romania</v>
      </c>
      <c r="S2129" s="6" t="s">
        <v>132</v>
      </c>
      <c r="T2129" s="7" t="str">
        <f>IFERROR(__xludf.DUMMYFUNCTION("GOOGLETRANSLATE(C2129, ""en"", ""ja"")"),"ルーマニア")</f>
        <v>ルーマニア</v>
      </c>
      <c r="U2129" s="7" t="str">
        <f>IFERROR(__xludf.DUMMYFUNCTION("GOOGLETRANSLATE(C2129, ""en"", ""ko"")"),"루마니아")</f>
        <v>루마니아</v>
      </c>
      <c r="V2129" s="7" t="str">
        <f>IFERROR(__xludf.DUMMYFUNCTION("GOOGLETRANSLATE(C2129, ""en"", ""ms"")"),"Romania")</f>
        <v>Romania</v>
      </c>
      <c r="W2129" s="7" t="str">
        <f>IFERROR(__xludf.DUMMYFUNCTION("GOOGLETRANSLATE(C2129, ""en"", ""nl"")"),"Roemenië")</f>
        <v>Roemenië</v>
      </c>
      <c r="X2129" s="7" t="str">
        <f>IFERROR(__xludf.DUMMYFUNCTION("GOOGLETRANSLATE(C2129, ""en"", ""no"")"),"Romania")</f>
        <v>Romania</v>
      </c>
      <c r="Y2129" s="7" t="str">
        <f>IFERROR(__xludf.DUMMYFUNCTION("GOOGLETRANSLATE(C2129, ""en"", ""pl"")"),"Rumunia")</f>
        <v>Rumunia</v>
      </c>
      <c r="Z2129" s="7" t="str">
        <f>IFERROR(__xludf.DUMMYFUNCTION("GOOGLETRANSLATE(C2129, ""en"", ""pt"")"),"Romênia")</f>
        <v>Romênia</v>
      </c>
      <c r="AA2129" s="7" t="str">
        <f>IFERROR(__xludf.DUMMYFUNCTION("GOOGLETRANSLATE(C2129, ""en"", ""ro"")"),"România")</f>
        <v>România</v>
      </c>
      <c r="AB2129" s="1" t="s">
        <v>42157</v>
      </c>
      <c r="AC2129" s="7" t="str">
        <f>IFERROR(__xludf.DUMMYFUNCTION("GOOGLETRANSLATE(C2129, ""en"", ""sk"")"),"Rumunsko")</f>
        <v>Rumunsko</v>
      </c>
      <c r="AD2129" s="6" t="s">
        <v>132</v>
      </c>
      <c r="AE2129" s="1" t="s">
        <v>42158</v>
      </c>
      <c r="AF2129" s="7" t="str">
        <f>IFERROR(__xludf.DUMMYFUNCTION("GOOGLETRANSLATE(C2129, ""en"", ""sv"")"),"Rumänien")</f>
        <v>Rumänien</v>
      </c>
      <c r="AG2129" s="6" t="s">
        <v>132</v>
      </c>
      <c r="AH2129" s="7" t="str">
        <f>IFERROR(__xludf.DUMMYFUNCTION("GOOGLETRANSLATE(C2129, ""en"", ""tr"")"),"Romanya")</f>
        <v>Romanya</v>
      </c>
      <c r="AI2129" s="6" t="s">
        <v>132</v>
      </c>
      <c r="AJ2129" s="6" t="s">
        <v>132</v>
      </c>
      <c r="AK2129" s="7" t="str">
        <f>IFERROR(__xludf.DUMMYFUNCTION("GOOGLETRANSLATE(C2129, ""en"", ""zh"")"),"罗马尼亚")</f>
        <v>罗马尼亚</v>
      </c>
      <c r="AL2129" s="6" t="s">
        <v>132</v>
      </c>
    </row>
    <row r="2130" ht="15.75" hidden="1" customHeight="1">
      <c r="A2130" s="1" t="s">
        <v>38</v>
      </c>
      <c r="B2130" s="1" t="s">
        <v>42159</v>
      </c>
      <c r="C2130" s="1" t="s">
        <v>42160</v>
      </c>
      <c r="D2130" s="8" t="s">
        <v>42161</v>
      </c>
      <c r="E2130" s="1" t="s">
        <v>42162</v>
      </c>
      <c r="F2130" s="6" t="s">
        <v>42163</v>
      </c>
      <c r="G2130" s="7" t="str">
        <f>IFERROR(__xludf.DUMMYFUNCTION("GOOGLETRANSLATE(C2130, ""en"", ""cs"")"),"Kontakt požádá o předplatné přítomnosti")</f>
        <v>Kontakt požádá o předplatné přítomnosti</v>
      </c>
      <c r="H2130" s="7" t="str">
        <f>IFERROR(__xludf.DUMMYFUNCTION("GOOGLETRANSLATE(C2130, ""en"", ""da"")"),"Kontakt beder om tilstedeværelsesabonnement")</f>
        <v>Kontakt beder om tilstedeværelsesabonnement</v>
      </c>
      <c r="I2130" s="1" t="s">
        <v>42164</v>
      </c>
      <c r="J2130" s="6" t="s">
        <v>132</v>
      </c>
      <c r="K2130" s="1" t="s">
        <v>42165</v>
      </c>
      <c r="L2130" s="7" t="str">
        <f>IFERROR(__xludf.DUMMYFUNCTION("GOOGLETRANSLATE(C2130, ""en"", ""fi"")"),"Yhteystiedot pyytää läsnäolotilausta")</f>
        <v>Yhteystiedot pyytää läsnäolotilausta</v>
      </c>
      <c r="M2130" s="1" t="s">
        <v>42166</v>
      </c>
      <c r="N2130" s="6" t="s">
        <v>42167</v>
      </c>
      <c r="O2130" s="6" t="s">
        <v>132</v>
      </c>
      <c r="P2130" s="1" t="s">
        <v>42168</v>
      </c>
      <c r="Q2130" s="7" t="str">
        <f>IFERROR(__xludf.DUMMYFUNCTION("GOOGLETRANSLATE(C2130, ""en"", ""in"")"),"Kontak meminta langganan kehadiran")</f>
        <v>Kontak meminta langganan kehadiran</v>
      </c>
      <c r="R2130" s="1" t="s">
        <v>42169</v>
      </c>
      <c r="S2130" s="6" t="s">
        <v>132</v>
      </c>
      <c r="T2130" s="1" t="s">
        <v>42170</v>
      </c>
      <c r="U2130" s="1" t="s">
        <v>42171</v>
      </c>
      <c r="V2130" s="7" t="str">
        <f>IFERROR(__xludf.DUMMYFUNCTION("GOOGLETRANSLATE(C2130, ""en"", ""ms"")"),"Hubungi meminta langganan kehadiran")</f>
        <v>Hubungi meminta langganan kehadiran</v>
      </c>
      <c r="W2130" s="1" t="s">
        <v>42172</v>
      </c>
      <c r="X2130" s="7" t="str">
        <f>IFERROR(__xludf.DUMMYFUNCTION("GOOGLETRANSLATE(C2130, ""en"", ""no"")"),"Kontakt ber om tilstedeværelsesabonnement")</f>
        <v>Kontakt ber om tilstedeværelsesabonnement</v>
      </c>
      <c r="Y2130" s="1" t="s">
        <v>42173</v>
      </c>
      <c r="Z2130" s="7" t="str">
        <f>IFERROR(__xludf.DUMMYFUNCTION("GOOGLETRANSLATE(C2130, ""en"", ""pt"")"),"Contato pede assinatura de presença")</f>
        <v>Contato pede assinatura de presença</v>
      </c>
      <c r="AA2130" s="7" t="str">
        <f>IFERROR(__xludf.DUMMYFUNCTION("GOOGLETRANSLATE(C2130, ""en"", ""ro"")"),"Contactați-vă să solicitați prezența abonamentului")</f>
        <v>Contactați-vă să solicitați prezența abonamentului</v>
      </c>
      <c r="AB2130" s="1" t="s">
        <v>42174</v>
      </c>
      <c r="AC2130" s="7" t="str">
        <f>IFERROR(__xludf.DUMMYFUNCTION("GOOGLETRANSLATE(C2130, ""en"", ""sk"")"),"Kontakt žiada o predplatné")</f>
        <v>Kontakt žiada o predplatné</v>
      </c>
      <c r="AD2130" s="6" t="s">
        <v>132</v>
      </c>
      <c r="AE2130" s="1" t="s">
        <v>42175</v>
      </c>
      <c r="AF2130" s="1" t="s">
        <v>42176</v>
      </c>
      <c r="AG2130" s="6" t="s">
        <v>132</v>
      </c>
      <c r="AH2130" s="7" t="str">
        <f>IFERROR(__xludf.DUMMYFUNCTION("GOOGLETRANSLATE(C2130, ""en"", ""tr"")"),"İletişim, Durum Aboneliği için soruyor")</f>
        <v>İletişim, Durum Aboneliği için soruyor</v>
      </c>
      <c r="AI2130" s="6" t="s">
        <v>42177</v>
      </c>
      <c r="AJ2130" s="6" t="s">
        <v>132</v>
      </c>
      <c r="AK2130" s="7" t="str">
        <f>IFERROR(__xludf.DUMMYFUNCTION("GOOGLETRANSLATE(C2130, ""en"", ""zh"")"),"联系人要求订阅")</f>
        <v>联系人要求订阅</v>
      </c>
      <c r="AL2130" s="6" t="s">
        <v>42178</v>
      </c>
    </row>
    <row r="2131" ht="15.75" hidden="1" customHeight="1">
      <c r="A2131" s="1" t="s">
        <v>38</v>
      </c>
      <c r="B2131" s="1" t="s">
        <v>42179</v>
      </c>
      <c r="C2131" s="1" t="s">
        <v>42180</v>
      </c>
      <c r="D2131" s="7" t="str">
        <f>IFERROR(__xludf.DUMMYFUNCTION("GOOGLETRANSLATE(C2131, ""en"", ""ar"")"),"أدخل رمز التنشيط الذي تلقيته من خلال رسالة SMS.")</f>
        <v>أدخل رمز التنشيط الذي تلقيته من خلال رسالة SMS.</v>
      </c>
      <c r="E2131" s="7" t="str">
        <f>IFERROR(__xludf.DUMMYFUNCTION("GOOGLETRANSLATE(C2131, ""en"", ""bg"")"),"Въведете кода за активиране, който сте получили чрез SMS съобщение.")</f>
        <v>Въведете кода за активиране, който сте получили чрез SMS съобщение.</v>
      </c>
      <c r="F2131" s="6" t="s">
        <v>132</v>
      </c>
      <c r="G2131" s="7" t="str">
        <f>IFERROR(__xludf.DUMMYFUNCTION("GOOGLETRANSLATE(C2131, ""en"", ""cs"")"),"Zadejte aktivační kód, který jste obdrželi prostřednictvím SMS zprávy.")</f>
        <v>Zadejte aktivační kód, který jste obdrželi prostřednictvím SMS zprávy.</v>
      </c>
      <c r="H2131" s="7" t="str">
        <f>IFERROR(__xludf.DUMMYFUNCTION("GOOGLETRANSLATE(C2131, ""en"", ""da"")"),"Indtast den aktiveringskode, du har modtaget via SMS-besked.")</f>
        <v>Indtast den aktiveringskode, du har modtaget via SMS-besked.</v>
      </c>
      <c r="I2131" s="1" t="s">
        <v>42181</v>
      </c>
      <c r="J2131" s="6" t="s">
        <v>132</v>
      </c>
      <c r="K2131" s="1" t="s">
        <v>42182</v>
      </c>
      <c r="L2131" s="7" t="str">
        <f>IFERROR(__xludf.DUMMYFUNCTION("GOOGLETRANSLATE(C2131, ""en"", ""fi"")"),"Syötä SMS-viestin kautta vastaanotettu aktivointikoodi.")</f>
        <v>Syötä SMS-viestin kautta vastaanotettu aktivointikoodi.</v>
      </c>
      <c r="M2131" s="1" t="s">
        <v>42183</v>
      </c>
      <c r="N2131" s="6" t="s">
        <v>132</v>
      </c>
      <c r="O2131" s="6" t="s">
        <v>132</v>
      </c>
      <c r="P2131" s="1" t="s">
        <v>42184</v>
      </c>
      <c r="Q2131" s="7" t="str">
        <f>IFERROR(__xludf.DUMMYFUNCTION("GOOGLETRANSLATE(C2131, ""en"", ""in"")"),"Masukkan kode aktivasi yang Anda terima melalui pesan SMS.")</f>
        <v>Masukkan kode aktivasi yang Anda terima melalui pesan SMS.</v>
      </c>
      <c r="R2131" s="7" t="str">
        <f>IFERROR(__xludf.DUMMYFUNCTION("GOOGLETRANSLATE(C2131, ""en"", ""it"")"),"Immettere il codice di attivazione ricevuto tramite messaggio SMS.")</f>
        <v>Immettere il codice di attivazione ricevuto tramite messaggio SMS.</v>
      </c>
      <c r="S2131" s="6" t="s">
        <v>132</v>
      </c>
      <c r="T2131" s="7" t="str">
        <f>IFERROR(__xludf.DUMMYFUNCTION("GOOGLETRANSLATE(C2131, ""en"", ""ja"")"),"SMSメッセージを通して受信したアクティベーションコードを入力してください。")</f>
        <v>SMSメッセージを通して受信したアクティベーションコードを入力してください。</v>
      </c>
      <c r="U2131" s="7" t="str">
        <f>IFERROR(__xludf.DUMMYFUNCTION("GOOGLETRANSLATE(C2131, ""en"", ""ko"")"),"SMS 메시지를 통해받은 정품 인증 코드를 입력하십시오.")</f>
        <v>SMS 메시지를 통해받은 정품 인증 코드를 입력하십시오.</v>
      </c>
      <c r="V2131" s="7" t="str">
        <f>IFERROR(__xludf.DUMMYFUNCTION("GOOGLETRANSLATE(C2131, ""en"", ""ms"")"),"Masukkan kod pengaktifan yang anda terima melalui mesej SMS.")</f>
        <v>Masukkan kod pengaktifan yang anda terima melalui mesej SMS.</v>
      </c>
      <c r="W2131" s="7" t="str">
        <f>IFERROR(__xludf.DUMMYFUNCTION("GOOGLETRANSLATE(C2131, ""en"", ""nl"")"),"Voer de activeringscode in die u via SMS-bericht hebt ontvangen.")</f>
        <v>Voer de activeringscode in die u via SMS-bericht hebt ontvangen.</v>
      </c>
      <c r="X2131" s="7" t="str">
        <f>IFERROR(__xludf.DUMMYFUNCTION("GOOGLETRANSLATE(C2131, ""en"", ""no"")"),"Skriv inn aktiveringskoden du mottok via SMS-melding.")</f>
        <v>Skriv inn aktiveringskoden du mottok via SMS-melding.</v>
      </c>
      <c r="Y2131" s="7" t="str">
        <f>IFERROR(__xludf.DUMMYFUNCTION("GOOGLETRANSLATE(C2131, ""en"", ""pl"")"),"Wprowadź kod aktywacyjny, który otrzymałeś za pośrednictwem wiadomości SMS.")</f>
        <v>Wprowadź kod aktywacyjny, który otrzymałeś za pośrednictwem wiadomości SMS.</v>
      </c>
      <c r="Z2131" s="7" t="str">
        <f>IFERROR(__xludf.DUMMYFUNCTION("GOOGLETRANSLATE(C2131, ""en"", ""pt"")"),"Digite o código de ativação que você recebeu através da mensagem SMS.")</f>
        <v>Digite o código de ativação que você recebeu através da mensagem SMS.</v>
      </c>
      <c r="AA2131" s="7" t="str">
        <f>IFERROR(__xludf.DUMMYFUNCTION("GOOGLETRANSLATE(C2131, ""en"", ""ro"")"),"Introduceți codul de activare pe care l-ați primit prin mesajul SMS.")</f>
        <v>Introduceți codul de activare pe care l-ați primit prin mesajul SMS.</v>
      </c>
      <c r="AB2131" s="1" t="s">
        <v>42185</v>
      </c>
      <c r="AC2131" s="7" t="str">
        <f>IFERROR(__xludf.DUMMYFUNCTION("GOOGLETRANSLATE(C2131, ""en"", ""sk"")"),"Zadajte aktivačný kód, ktorý ste dostali prostredníctvom SMS správy.")</f>
        <v>Zadajte aktivačný kód, ktorý ste dostali prostredníctvom SMS správy.</v>
      </c>
      <c r="AD2131" s="6" t="s">
        <v>132</v>
      </c>
      <c r="AE2131" s="1" t="s">
        <v>42186</v>
      </c>
      <c r="AF2131" s="7" t="str">
        <f>IFERROR(__xludf.DUMMYFUNCTION("GOOGLETRANSLATE(C2131, ""en"", ""sv"")"),"Ange aktiveringskoden som du fått via SMS-meddelande.")</f>
        <v>Ange aktiveringskoden som du fått via SMS-meddelande.</v>
      </c>
      <c r="AG2131" s="6" t="s">
        <v>132</v>
      </c>
      <c r="AH2131" s="7" t="str">
        <f>IFERROR(__xludf.DUMMYFUNCTION("GOOGLETRANSLATE(C2131, ""en"", ""tr"")"),"SMS mesajı üzerinden aldığınız aktivasyon kodunu girin.")</f>
        <v>SMS mesajı üzerinden aldığınız aktivasyon kodunu girin.</v>
      </c>
      <c r="AI2131" s="6" t="s">
        <v>132</v>
      </c>
      <c r="AJ2131" s="6" t="s">
        <v>132</v>
      </c>
      <c r="AK2131" s="7" t="str">
        <f>IFERROR(__xludf.DUMMYFUNCTION("GOOGLETRANSLATE(C2131, ""en"", ""zh"")"),"输入通过SMS消息收到的激活码。")</f>
        <v>输入通过SMS消息收到的激活码。</v>
      </c>
      <c r="AL2131" s="6" t="s">
        <v>132</v>
      </c>
    </row>
    <row r="2132" ht="15.75" hidden="1" customHeight="1">
      <c r="A2132" s="1" t="s">
        <v>38</v>
      </c>
      <c r="B2132" s="1" t="s">
        <v>42187</v>
      </c>
      <c r="C2132" s="1" t="s">
        <v>42188</v>
      </c>
      <c r="D2132" s="8" t="s">
        <v>42189</v>
      </c>
      <c r="E2132" s="1" t="s">
        <v>42190</v>
      </c>
      <c r="F2132" s="6" t="s">
        <v>42191</v>
      </c>
      <c r="G2132" s="7" t="str">
        <f>IFERROR(__xludf.DUMMYFUNCTION("GOOGLETRANSLATE(C2132, ""en"", ""cs"")"),"Přidat účet s certifikátem")</f>
        <v>Přidat účet s certifikátem</v>
      </c>
      <c r="H2132" s="7" t="str">
        <f>IFERROR(__xludf.DUMMYFUNCTION("GOOGLETRANSLATE(C2132, ""en"", ""da"")"),"Tilføj konto med certifikat")</f>
        <v>Tilføj konto med certifikat</v>
      </c>
      <c r="I2132" s="1" t="s">
        <v>42192</v>
      </c>
      <c r="J2132" s="6" t="s">
        <v>132</v>
      </c>
      <c r="K2132" s="1" t="s">
        <v>42193</v>
      </c>
      <c r="L2132" s="7" t="str">
        <f>IFERROR(__xludf.DUMMYFUNCTION("GOOGLETRANSLATE(C2132, ""en"", ""fi"")"),"Lisää tili sertifikaatilla")</f>
        <v>Lisää tili sertifikaatilla</v>
      </c>
      <c r="M2132" s="1" t="s">
        <v>42194</v>
      </c>
      <c r="N2132" s="6" t="s">
        <v>42195</v>
      </c>
      <c r="O2132" s="6" t="s">
        <v>132</v>
      </c>
      <c r="P2132" s="1" t="s">
        <v>42196</v>
      </c>
      <c r="Q2132" s="7" t="str">
        <f>IFERROR(__xludf.DUMMYFUNCTION("GOOGLETRANSLATE(C2132, ""en"", ""in"")"),"Tambahkan Akun dengan Sertifikat")</f>
        <v>Tambahkan Akun dengan Sertifikat</v>
      </c>
      <c r="R2132" s="1" t="s">
        <v>42197</v>
      </c>
      <c r="S2132" s="6" t="s">
        <v>132</v>
      </c>
      <c r="T2132" s="1" t="s">
        <v>42198</v>
      </c>
      <c r="U2132" s="1" t="s">
        <v>42199</v>
      </c>
      <c r="V2132" s="7" t="str">
        <f>IFERROR(__xludf.DUMMYFUNCTION("GOOGLETRANSLATE(C2132, ""en"", ""ms"")"),"Tambah akaun dengan sijil")</f>
        <v>Tambah akaun dengan sijil</v>
      </c>
      <c r="W2132" s="1" t="s">
        <v>42200</v>
      </c>
      <c r="X2132" s="7" t="str">
        <f>IFERROR(__xludf.DUMMYFUNCTION("GOOGLETRANSLATE(C2132, ""en"", ""no"")"),"Legg til konto med sertifikat")</f>
        <v>Legg til konto med sertifikat</v>
      </c>
      <c r="Y2132" s="1" t="s">
        <v>42201</v>
      </c>
      <c r="Z2132" s="1" t="s">
        <v>42202</v>
      </c>
      <c r="AA2132" s="7" t="str">
        <f>IFERROR(__xludf.DUMMYFUNCTION("GOOGLETRANSLATE(C2132, ""en"", ""ro"")"),"Adăugați un cont cu certificat")</f>
        <v>Adăugați un cont cu certificat</v>
      </c>
      <c r="AB2132" s="1" t="s">
        <v>42203</v>
      </c>
      <c r="AC2132" s="1" t="s">
        <v>42204</v>
      </c>
      <c r="AD2132" s="6" t="s">
        <v>132</v>
      </c>
      <c r="AE2132" s="1" t="s">
        <v>42205</v>
      </c>
      <c r="AF2132" s="1" t="s">
        <v>42206</v>
      </c>
      <c r="AG2132" s="6" t="s">
        <v>132</v>
      </c>
      <c r="AH2132" s="7" t="str">
        <f>IFERROR(__xludf.DUMMYFUNCTION("GOOGLETRANSLATE(C2132, ""en"", ""tr"")"),"Sertifika ile hesap ekle")</f>
        <v>Sertifika ile hesap ekle</v>
      </c>
      <c r="AI2132" s="6" t="s">
        <v>42207</v>
      </c>
      <c r="AJ2132" s="6" t="s">
        <v>42208</v>
      </c>
      <c r="AK2132" s="7" t="str">
        <f>IFERROR(__xludf.DUMMYFUNCTION("GOOGLETRANSLATE(C2132, ""en"", ""zh"")"),"使用证书添加帐户")</f>
        <v>使用证书添加帐户</v>
      </c>
      <c r="AL2132" s="6" t="s">
        <v>42209</v>
      </c>
    </row>
    <row r="2133" ht="15.75" hidden="1" customHeight="1">
      <c r="A2133" s="1" t="s">
        <v>38</v>
      </c>
      <c r="B2133" s="1" t="s">
        <v>42210</v>
      </c>
      <c r="C2133" s="1" t="s">
        <v>42211</v>
      </c>
      <c r="D2133" s="7" t="str">
        <f>IFERROR(__xludf.DUMMYFUNCTION("GOOGLETRANSLATE(C2133, ""en"", ""ar"")"),"جلب تفضيلات الأرشفة. أرجو الإنتظار…")</f>
        <v>جلب تفضيلات الأرشفة. أرجو الإنتظار…</v>
      </c>
      <c r="E2133" s="1" t="s">
        <v>42212</v>
      </c>
      <c r="F2133" s="6" t="s">
        <v>42213</v>
      </c>
      <c r="G2133" s="7" t="str">
        <f>IFERROR(__xludf.DUMMYFUNCTION("GOOGLETRANSLATE(C2133, ""en"", ""cs"")"),"Načítání preferencí archivace. Prosím, čekejte…")</f>
        <v>Načítání preferencí archivace. Prosím, čekejte…</v>
      </c>
      <c r="H2133" s="7" t="str">
        <f>IFERROR(__xludf.DUMMYFUNCTION("GOOGLETRANSLATE(C2133, ""en"", ""da"")"),"Hentning arkiveringspræferencer. Vent venligst…")</f>
        <v>Hentning arkiveringspræferencer. Vent venligst…</v>
      </c>
      <c r="I2133" s="1" t="s">
        <v>42214</v>
      </c>
      <c r="J2133" s="6" t="s">
        <v>132</v>
      </c>
      <c r="K2133" s="1" t="s">
        <v>42215</v>
      </c>
      <c r="L2133" s="7" t="str">
        <f>IFERROR(__xludf.DUMMYFUNCTION("GOOGLETRANSLATE(C2133, ""en"", ""fi"")"),"Arkistointiasetusten hakeminen. Odota…")</f>
        <v>Arkistointiasetusten hakeminen. Odota…</v>
      </c>
      <c r="M2133" s="1" t="s">
        <v>42216</v>
      </c>
      <c r="N2133" s="6" t="s">
        <v>42217</v>
      </c>
      <c r="O2133" s="6" t="s">
        <v>132</v>
      </c>
      <c r="P2133" s="1" t="s">
        <v>42218</v>
      </c>
      <c r="Q2133" s="7" t="str">
        <f>IFERROR(__xludf.DUMMYFUNCTION("GOOGLETRANSLATE(C2133, ""en"", ""in"")"),"Mengambil preferensi pengarsipan. Mohon tunggu…")</f>
        <v>Mengambil preferensi pengarsipan. Mohon tunggu…</v>
      </c>
      <c r="R2133" s="1" t="s">
        <v>42219</v>
      </c>
      <c r="S2133" s="6" t="s">
        <v>132</v>
      </c>
      <c r="T2133" s="1" t="s">
        <v>42220</v>
      </c>
      <c r="U2133" s="1" t="s">
        <v>42221</v>
      </c>
      <c r="V2133" s="7" t="str">
        <f>IFERROR(__xludf.DUMMYFUNCTION("GOOGLETRANSLATE(C2133, ""en"", ""ms"")"),"Mengambil pilihan pengarkiban. Sila tunggu…")</f>
        <v>Mengambil pilihan pengarkiban. Sila tunggu…</v>
      </c>
      <c r="W2133" s="1" t="s">
        <v>42222</v>
      </c>
      <c r="X2133" s="7" t="str">
        <f>IFERROR(__xludf.DUMMYFUNCTION("GOOGLETRANSLATE(C2133, ""en"", ""no"")"),"Henter arkiveringsinnstillinger. Vennligst vent…")</f>
        <v>Henter arkiveringsinnstillinger. Vennligst vent…</v>
      </c>
      <c r="Y2133" s="1" t="s">
        <v>42223</v>
      </c>
      <c r="Z2133" s="1" t="s">
        <v>42224</v>
      </c>
      <c r="AA2133" s="7" t="str">
        <f>IFERROR(__xludf.DUMMYFUNCTION("GOOGLETRANSLATE(C2133, ""en"", ""ro"")"),"Preferințele de arhivare. Te rog asteapta…")</f>
        <v>Preferințele de arhivare. Te rog asteapta…</v>
      </c>
      <c r="AB2133" s="1" t="s">
        <v>42225</v>
      </c>
      <c r="AC2133" s="7" t="str">
        <f>IFERROR(__xludf.DUMMYFUNCTION("GOOGLETRANSLATE(C2133, ""en"", ""sk"")"),"Archivovanie preferencií. Prosím čakajte…")</f>
        <v>Archivovanie preferencií. Prosím čakajte…</v>
      </c>
      <c r="AD2133" s="6" t="s">
        <v>132</v>
      </c>
      <c r="AE2133" s="1" t="s">
        <v>42226</v>
      </c>
      <c r="AF2133" s="1" t="s">
        <v>42227</v>
      </c>
      <c r="AG2133" s="6" t="s">
        <v>132</v>
      </c>
      <c r="AH2133" s="7" t="str">
        <f>IFERROR(__xludf.DUMMYFUNCTION("GOOGLETRANSLATE(C2133, ""en"", ""tr"")"),"Arşivleme tercihlerini almak. Lütfen bekle…")</f>
        <v>Arşivleme tercihlerini almak. Lütfen bekle…</v>
      </c>
      <c r="AI2133" s="6" t="s">
        <v>42228</v>
      </c>
      <c r="AJ2133" s="6" t="s">
        <v>132</v>
      </c>
      <c r="AK2133" s="7" t="str">
        <f>IFERROR(__xludf.DUMMYFUNCTION("GOOGLETRANSLATE(C2133, ""en"", ""zh"")"),"获取归档偏好。请稍等…")</f>
        <v>获取归档偏好。请稍等…</v>
      </c>
      <c r="AL2133" s="6" t="s">
        <v>42229</v>
      </c>
    </row>
    <row r="2134" ht="15.75" hidden="1" customHeight="1">
      <c r="A2134" s="1" t="s">
        <v>38</v>
      </c>
      <c r="B2134" s="1" t="s">
        <v>42230</v>
      </c>
      <c r="C2134" s="1" t="s">
        <v>42231</v>
      </c>
      <c r="D2134" s="7" t="str">
        <f>IFERROR(__xludf.DUMMYFUNCTION("GOOGLETRANSLATE(C2134, ""en"", ""ar"")"),"جمهورية افريقيا الوسطى")</f>
        <v>جمهورية افريقيا الوسطى</v>
      </c>
      <c r="E2134" s="7" t="str">
        <f>IFERROR(__xludf.DUMMYFUNCTION("GOOGLETRANSLATE(C2134, ""en"", ""bg"")"),"Централноафриканска република")</f>
        <v>Централноафриканска република</v>
      </c>
      <c r="F2134" s="6" t="s">
        <v>132</v>
      </c>
      <c r="G2134" s="7" t="str">
        <f>IFERROR(__xludf.DUMMYFUNCTION("GOOGLETRANSLATE(C2134, ""en"", ""cs"")"),"Středoafrická republika")</f>
        <v>Středoafrická republika</v>
      </c>
      <c r="H2134" s="7" t="str">
        <f>IFERROR(__xludf.DUMMYFUNCTION("GOOGLETRANSLATE(C2134, ""en"", ""da"")"),"Den Centralafrikanske Republik")</f>
        <v>Den Centralafrikanske Republik</v>
      </c>
      <c r="I2134" s="1" t="s">
        <v>42232</v>
      </c>
      <c r="J2134" s="6" t="s">
        <v>132</v>
      </c>
      <c r="K2134" s="1" t="s">
        <v>42233</v>
      </c>
      <c r="L2134" s="7" t="str">
        <f>IFERROR(__xludf.DUMMYFUNCTION("GOOGLETRANSLATE(C2134, ""en"", ""fi"")"),"Keski-Afrikan tasavalta")</f>
        <v>Keski-Afrikan tasavalta</v>
      </c>
      <c r="M2134" s="1" t="s">
        <v>42234</v>
      </c>
      <c r="N2134" s="6" t="s">
        <v>132</v>
      </c>
      <c r="O2134" s="6" t="s">
        <v>132</v>
      </c>
      <c r="P2134" s="1" t="s">
        <v>42231</v>
      </c>
      <c r="Q2134" s="7" t="str">
        <f>IFERROR(__xludf.DUMMYFUNCTION("GOOGLETRANSLATE(C2134, ""en"", ""in"")"),"Republik Afrika Tengah")</f>
        <v>Republik Afrika Tengah</v>
      </c>
      <c r="R2134" s="7" t="str">
        <f>IFERROR(__xludf.DUMMYFUNCTION("GOOGLETRANSLATE(C2134, ""en"", ""it"")"),"Repubblica Centrafricana")</f>
        <v>Repubblica Centrafricana</v>
      </c>
      <c r="S2134" s="6" t="s">
        <v>132</v>
      </c>
      <c r="T2134" s="7" t="str">
        <f>IFERROR(__xludf.DUMMYFUNCTION("GOOGLETRANSLATE(C2134, ""en"", ""ja"")"),"中央アフリカ共和国")</f>
        <v>中央アフリカ共和国</v>
      </c>
      <c r="U2134" s="7" t="str">
        <f>IFERROR(__xludf.DUMMYFUNCTION("GOOGLETRANSLATE(C2134, ""en"", ""ko"")"),"중앙 아프리카 공화국")</f>
        <v>중앙 아프리카 공화국</v>
      </c>
      <c r="V2134" s="7" t="str">
        <f>IFERROR(__xludf.DUMMYFUNCTION("GOOGLETRANSLATE(C2134, ""en"", ""ms"")"),"Republik Afrika Tengah.")</f>
        <v>Republik Afrika Tengah.</v>
      </c>
      <c r="W2134" s="7" t="str">
        <f>IFERROR(__xludf.DUMMYFUNCTION("GOOGLETRANSLATE(C2134, ""en"", ""nl"")"),"Centraal Afrikaanse Republiek")</f>
        <v>Centraal Afrikaanse Republiek</v>
      </c>
      <c r="X2134" s="7" t="str">
        <f>IFERROR(__xludf.DUMMYFUNCTION("GOOGLETRANSLATE(C2134, ""en"", ""no"")"),"Den sentralafrikanske republikk")</f>
        <v>Den sentralafrikanske republikk</v>
      </c>
      <c r="Y2134" s="7" t="str">
        <f>IFERROR(__xludf.DUMMYFUNCTION("GOOGLETRANSLATE(C2134, ""en"", ""pl"")"),"Republika Środkowoafrykańska")</f>
        <v>Republika Środkowoafrykańska</v>
      </c>
      <c r="Z2134" s="7" t="str">
        <f>IFERROR(__xludf.DUMMYFUNCTION("GOOGLETRANSLATE(C2134, ""en"", ""pt"")"),"República Centro-Africana")</f>
        <v>República Centro-Africana</v>
      </c>
      <c r="AA2134" s="7" t="str">
        <f>IFERROR(__xludf.DUMMYFUNCTION("GOOGLETRANSLATE(C2134, ""en"", ""ro"")"),"Republica Africană Centrală")</f>
        <v>Republica Africană Centrală</v>
      </c>
      <c r="AB2134" s="1" t="s">
        <v>42235</v>
      </c>
      <c r="AC2134" s="7" t="str">
        <f>IFERROR(__xludf.DUMMYFUNCTION("GOOGLETRANSLATE(C2134, ""en"", ""sk"")"),"Stredoafrická republika")</f>
        <v>Stredoafrická republika</v>
      </c>
      <c r="AD2134" s="6" t="s">
        <v>132</v>
      </c>
      <c r="AE2134" s="1" t="s">
        <v>42236</v>
      </c>
      <c r="AF2134" s="7" t="str">
        <f>IFERROR(__xludf.DUMMYFUNCTION("GOOGLETRANSLATE(C2134, ""en"", ""sv"")"),"Centralafrikanska republiken")</f>
        <v>Centralafrikanska republiken</v>
      </c>
      <c r="AG2134" s="6" t="s">
        <v>132</v>
      </c>
      <c r="AH2134" s="7" t="str">
        <f>IFERROR(__xludf.DUMMYFUNCTION("GOOGLETRANSLATE(C2134, ""en"", ""tr"")"),"Orta Afrika Cumhuriyeti")</f>
        <v>Orta Afrika Cumhuriyeti</v>
      </c>
      <c r="AI2134" s="6" t="s">
        <v>132</v>
      </c>
      <c r="AJ2134" s="6" t="s">
        <v>132</v>
      </c>
      <c r="AK2134" s="7" t="str">
        <f>IFERROR(__xludf.DUMMYFUNCTION("GOOGLETRANSLATE(C2134, ""en"", ""zh"")"),"中非共和国")</f>
        <v>中非共和国</v>
      </c>
      <c r="AL2134" s="6" t="s">
        <v>132</v>
      </c>
    </row>
    <row r="2135" ht="15.75" customHeight="1">
      <c r="A2135" s="1" t="s">
        <v>127</v>
      </c>
      <c r="B2135" s="1" t="s">
        <v>42237</v>
      </c>
      <c r="C2135" s="1" t="s">
        <v>42238</v>
      </c>
      <c r="D2135" s="8" t="s">
        <v>42239</v>
      </c>
      <c r="E2135" s="1" t="s">
        <v>42240</v>
      </c>
      <c r="F2135" s="6" t="s">
        <v>132</v>
      </c>
      <c r="G2135" s="1" t="s">
        <v>42241</v>
      </c>
      <c r="H2135" s="1" t="s">
        <v>42242</v>
      </c>
      <c r="I2135" s="1" t="s">
        <v>42243</v>
      </c>
      <c r="J2135" s="6" t="s">
        <v>42244</v>
      </c>
      <c r="K2135" s="1" t="s">
        <v>42245</v>
      </c>
      <c r="L2135" s="1" t="s">
        <v>42246</v>
      </c>
      <c r="M2135" s="1" t="s">
        <v>42247</v>
      </c>
      <c r="N2135" s="6" t="s">
        <v>132</v>
      </c>
      <c r="O2135" s="6" t="s">
        <v>42248</v>
      </c>
      <c r="P2135" s="1" t="s">
        <v>42238</v>
      </c>
      <c r="Q2135" s="1" t="s">
        <v>42249</v>
      </c>
      <c r="R2135" s="1" t="s">
        <v>42250</v>
      </c>
      <c r="S2135" s="10" t="s">
        <v>42251</v>
      </c>
      <c r="T2135" s="1" t="s">
        <v>42252</v>
      </c>
      <c r="U2135" s="1" t="s">
        <v>42253</v>
      </c>
      <c r="V2135" s="1" t="s">
        <v>42249</v>
      </c>
      <c r="W2135" s="1" t="s">
        <v>42254</v>
      </c>
      <c r="X2135" s="1" t="s">
        <v>42255</v>
      </c>
      <c r="Y2135" s="1" t="s">
        <v>42256</v>
      </c>
      <c r="Z2135" s="1" t="s">
        <v>42257</v>
      </c>
      <c r="AA2135" s="7" t="str">
        <f>IFERROR(__xludf.DUMMYFUNCTION("GOOGLETRANSLATE(C2135, ""en"", ""ro"")"),"Eps (diluat)")</f>
        <v>Eps (diluat)</v>
      </c>
      <c r="AB2135" s="1" t="s">
        <v>42258</v>
      </c>
      <c r="AC2135" s="1" t="s">
        <v>42259</v>
      </c>
      <c r="AD2135" s="6" t="s">
        <v>42260</v>
      </c>
      <c r="AE2135" s="1" t="s">
        <v>42261</v>
      </c>
      <c r="AF2135" s="1" t="s">
        <v>42262</v>
      </c>
      <c r="AG2135" s="6" t="s">
        <v>42263</v>
      </c>
      <c r="AH2135" s="1" t="s">
        <v>42264</v>
      </c>
      <c r="AI2135" s="6" t="s">
        <v>132</v>
      </c>
      <c r="AJ2135" s="6" t="s">
        <v>42265</v>
      </c>
      <c r="AK2135" s="1" t="s">
        <v>42266</v>
      </c>
      <c r="AL2135" s="6" t="s">
        <v>132</v>
      </c>
    </row>
    <row r="2136" ht="15.75" hidden="1" customHeight="1">
      <c r="A2136" s="1" t="s">
        <v>38</v>
      </c>
      <c r="B2136" s="1" t="s">
        <v>42267</v>
      </c>
      <c r="C2136" s="1" t="s">
        <v>42268</v>
      </c>
      <c r="D2136" s="7" t="str">
        <f>IFERROR(__xludf.DUMMYFUNCTION("GOOGLETRANSLATE(C2136, ""en"", ""ar"")"),"يرجى المحاولة مرة أخرى في٪ s")</f>
        <v>يرجى المحاولة مرة أخرى في٪ s</v>
      </c>
      <c r="E2136" s="1" t="s">
        <v>42269</v>
      </c>
      <c r="F2136" s="6" t="s">
        <v>132</v>
      </c>
      <c r="G2136" s="7" t="str">
        <f>IFERROR(__xludf.DUMMYFUNCTION("GOOGLETRANSLATE(C2136, ""en"", ""cs"")"),"Zkuste to prosím znovu v% s")</f>
        <v>Zkuste to prosím znovu v% s</v>
      </c>
      <c r="H2136" s="7" t="str">
        <f>IFERROR(__xludf.DUMMYFUNCTION("GOOGLETRANSLATE(C2136, ""en"", ""da"")"),"Prøv igen i% s")</f>
        <v>Prøv igen i% s</v>
      </c>
      <c r="I2136" s="1" t="s">
        <v>42270</v>
      </c>
      <c r="J2136" s="6" t="s">
        <v>132</v>
      </c>
      <c r="K2136" s="1" t="s">
        <v>42271</v>
      </c>
      <c r="L2136" s="7" t="str">
        <f>IFERROR(__xludf.DUMMYFUNCTION("GOOGLETRANSLATE(C2136, ""en"", ""fi"")"),"Yritä uudelleen% s")</f>
        <v>Yritä uudelleen% s</v>
      </c>
      <c r="M2136" s="7" t="str">
        <f>IFERROR(__xludf.DUMMYFUNCTION("GOOGLETRANSLATE(C2136, ""en"", ""fr"")"),"Veuillez réessayer dans% s")</f>
        <v>Veuillez réessayer dans% s</v>
      </c>
      <c r="N2136" s="6" t="s">
        <v>42272</v>
      </c>
      <c r="O2136" s="6" t="s">
        <v>132</v>
      </c>
      <c r="P2136" s="1" t="s">
        <v>42273</v>
      </c>
      <c r="Q2136" s="7" t="str">
        <f>IFERROR(__xludf.DUMMYFUNCTION("GOOGLETRANSLATE(C2136, ""en"", ""in"")"),"Silakan coba lagi di% s")</f>
        <v>Silakan coba lagi di% s</v>
      </c>
      <c r="R2136" s="1" t="s">
        <v>42274</v>
      </c>
      <c r="S2136" s="6" t="s">
        <v>132</v>
      </c>
      <c r="T2136" s="7" t="str">
        <f>IFERROR(__xludf.DUMMYFUNCTION("GOOGLETRANSLATE(C2136, ""en"", ""ja"")"),"％Sでもう一度やり直してください")</f>
        <v>％Sでもう一度やり直してください</v>
      </c>
      <c r="U2136" s="7" t="str">
        <f>IFERROR(__xludf.DUMMYFUNCTION("GOOGLETRANSLATE(C2136, ""en"", ""ko"")"),"% S에서 다시 시도하십시오")</f>
        <v>% S에서 다시 시도하십시오</v>
      </c>
      <c r="V2136" s="7" t="str">
        <f>IFERROR(__xludf.DUMMYFUNCTION("GOOGLETRANSLATE(C2136, ""en"", ""ms"")"),"Sila cuba lagi dalam% s")</f>
        <v>Sila cuba lagi dalam% s</v>
      </c>
      <c r="W2136" s="1" t="s">
        <v>42275</v>
      </c>
      <c r="X2136" s="7" t="str">
        <f>IFERROR(__xludf.DUMMYFUNCTION("GOOGLETRANSLATE(C2136, ""en"", ""no"")"),"Vennligst prøv igjen i% s")</f>
        <v>Vennligst prøv igjen i% s</v>
      </c>
      <c r="Y2136" s="1" t="s">
        <v>42276</v>
      </c>
      <c r="Z2136" s="7" t="str">
        <f>IFERROR(__xludf.DUMMYFUNCTION("GOOGLETRANSLATE(C2136, ""en"", ""pt"")"),"Por favor, tente novamente em% s")</f>
        <v>Por favor, tente novamente em% s</v>
      </c>
      <c r="AA2136" s="7" t="str">
        <f>IFERROR(__xludf.DUMMYFUNCTION("GOOGLETRANSLATE(C2136, ""en"", ""ro"")"),"Încercați din nou în% s")</f>
        <v>Încercați din nou în% s</v>
      </c>
      <c r="AB2136" s="7" t="str">
        <f>IFERROR(__xludf.DUMMYFUNCTION("GOOGLETRANSLATE(C2136, ""en"", ""ru"")"),"Пожалуйста, попробуйте еще раз в% к")</f>
        <v>Пожалуйста, попробуйте еще раз в% к</v>
      </c>
      <c r="AC2136" s="7" t="str">
        <f>IFERROR(__xludf.DUMMYFUNCTION("GOOGLETRANSLATE(C2136, ""en"", ""sk"")"),"Skúste to znova v% s")</f>
        <v>Skúste to znova v% s</v>
      </c>
      <c r="AD2136" s="6" t="s">
        <v>132</v>
      </c>
      <c r="AE2136" s="7" t="str">
        <f>IFERROR(__xludf.DUMMYFUNCTION("GOOGLETRANSLATE(C2136, ""en"", ""sr"")"),"Покушајте поново у% с")</f>
        <v>Покушајте поново у% с</v>
      </c>
      <c r="AF2136" s="7" t="str">
        <f>IFERROR(__xludf.DUMMYFUNCTION("GOOGLETRANSLATE(C2136, ""en"", ""sv"")"),"Vänligen försök igen i% s")</f>
        <v>Vänligen försök igen i% s</v>
      </c>
      <c r="AG2136" s="6" t="s">
        <v>132</v>
      </c>
      <c r="AH2136" s="7" t="str">
        <f>IFERROR(__xludf.DUMMYFUNCTION("GOOGLETRANSLATE(C2136, ""en"", ""tr"")"),"Lütfen% s tekrar deneyin")</f>
        <v>Lütfen% s tekrar deneyin</v>
      </c>
      <c r="AI2136" s="6" t="s">
        <v>132</v>
      </c>
      <c r="AJ2136" s="6" t="s">
        <v>132</v>
      </c>
      <c r="AK2136" s="7" t="str">
        <f>IFERROR(__xludf.DUMMYFUNCTION("GOOGLETRANSLATE(C2136, ""en"", ""zh"")"),"请再试一次％s")</f>
        <v>请再试一次％s</v>
      </c>
      <c r="AL2136" s="6" t="s">
        <v>132</v>
      </c>
    </row>
    <row r="2137" ht="15.75" customHeight="1">
      <c r="A2137" s="1" t="s">
        <v>127</v>
      </c>
      <c r="B2137" s="1" t="s">
        <v>42277</v>
      </c>
      <c r="C2137" s="1" t="s">
        <v>42278</v>
      </c>
      <c r="D2137" s="8" t="s">
        <v>42279</v>
      </c>
      <c r="E2137" s="1" t="s">
        <v>42280</v>
      </c>
      <c r="F2137" s="6" t="s">
        <v>132</v>
      </c>
      <c r="G2137" s="1" t="s">
        <v>42281</v>
      </c>
      <c r="H2137" s="1" t="s">
        <v>42282</v>
      </c>
      <c r="I2137" s="1" t="s">
        <v>42283</v>
      </c>
      <c r="J2137" s="6" t="s">
        <v>42284</v>
      </c>
      <c r="K2137" s="1" t="s">
        <v>42285</v>
      </c>
      <c r="L2137" s="1" t="s">
        <v>42286</v>
      </c>
      <c r="M2137" s="1" t="s">
        <v>42287</v>
      </c>
      <c r="N2137" s="6" t="s">
        <v>132</v>
      </c>
      <c r="O2137" s="6" t="s">
        <v>42288</v>
      </c>
      <c r="P2137" s="1" t="s">
        <v>42289</v>
      </c>
      <c r="Q2137" s="1" t="s">
        <v>42290</v>
      </c>
      <c r="R2137" s="1" t="s">
        <v>42291</v>
      </c>
      <c r="S2137" s="10" t="s">
        <v>42292</v>
      </c>
      <c r="T2137" s="1" t="s">
        <v>42293</v>
      </c>
      <c r="U2137" s="1" t="s">
        <v>42294</v>
      </c>
      <c r="V2137" s="1" t="s">
        <v>42295</v>
      </c>
      <c r="W2137" s="1" t="s">
        <v>42296</v>
      </c>
      <c r="X2137" s="1" t="s">
        <v>42297</v>
      </c>
      <c r="Y2137" s="1" t="s">
        <v>42298</v>
      </c>
      <c r="Z2137" s="1" t="s">
        <v>42299</v>
      </c>
      <c r="AA2137" s="7" t="str">
        <f>IFERROR(__xludf.DUMMYFUNCTION("GOOGLETRANSLATE(C2137, ""en"", ""ro"")"),"Adăugați un nou șablon")</f>
        <v>Adăugați un nou șablon</v>
      </c>
      <c r="AB2137" s="1" t="s">
        <v>42300</v>
      </c>
      <c r="AC2137" s="1" t="s">
        <v>42301</v>
      </c>
      <c r="AD2137" s="6" t="s">
        <v>42302</v>
      </c>
      <c r="AE2137" s="1" t="s">
        <v>42303</v>
      </c>
      <c r="AF2137" s="1" t="s">
        <v>42304</v>
      </c>
      <c r="AG2137" s="6" t="s">
        <v>42305</v>
      </c>
      <c r="AH2137" s="1" t="s">
        <v>42306</v>
      </c>
      <c r="AI2137" s="6" t="s">
        <v>132</v>
      </c>
      <c r="AJ2137" s="6" t="s">
        <v>42307</v>
      </c>
      <c r="AK2137" s="1" t="s">
        <v>42308</v>
      </c>
      <c r="AL2137" s="6" t="s">
        <v>42309</v>
      </c>
    </row>
    <row r="2138" ht="15.75" hidden="1" customHeight="1">
      <c r="A2138" s="1" t="s">
        <v>38</v>
      </c>
      <c r="B2138" s="1" t="s">
        <v>42310</v>
      </c>
      <c r="C2138" s="1" t="s">
        <v>42311</v>
      </c>
      <c r="D2138" s="8" t="s">
        <v>42312</v>
      </c>
      <c r="E2138" s="1" t="s">
        <v>42313</v>
      </c>
      <c r="F2138" s="6" t="s">
        <v>42314</v>
      </c>
      <c r="G2138" s="7" t="str">
        <f>IFERROR(__xludf.DUMMYFUNCTION("GOOGLETRANSLATE(C2138, ""en"", ""cs"")"),"Otevřít% S.")</f>
        <v>Otevřít% S.</v>
      </c>
      <c r="H2138" s="7" t="str">
        <f>IFERROR(__xludf.DUMMYFUNCTION("GOOGLETRANSLATE(C2138, ""en"", ""da"")"),"Åbent% S.")</f>
        <v>Åbent% S.</v>
      </c>
      <c r="I2138" s="1" t="s">
        <v>42315</v>
      </c>
      <c r="J2138" s="6" t="s">
        <v>132</v>
      </c>
      <c r="K2138" s="1" t="s">
        <v>42316</v>
      </c>
      <c r="L2138" s="7" t="str">
        <f>IFERROR(__xludf.DUMMYFUNCTION("GOOGLETRANSLATE(C2138, ""en"", ""fi"")"),"Avaa% s")</f>
        <v>Avaa% s</v>
      </c>
      <c r="M2138" s="1" t="s">
        <v>42317</v>
      </c>
      <c r="N2138" s="6" t="s">
        <v>42316</v>
      </c>
      <c r="O2138" s="6" t="s">
        <v>132</v>
      </c>
      <c r="P2138" s="1" t="s">
        <v>42318</v>
      </c>
      <c r="Q2138" s="9" t="s">
        <v>42319</v>
      </c>
      <c r="R2138" s="1" t="s">
        <v>42320</v>
      </c>
      <c r="S2138" s="6" t="s">
        <v>132</v>
      </c>
      <c r="T2138" s="1" t="s">
        <v>42321</v>
      </c>
      <c r="U2138" s="1" t="s">
        <v>42322</v>
      </c>
      <c r="V2138" s="7" t="str">
        <f>IFERROR(__xludf.DUMMYFUNCTION("GOOGLETRANSLATE(C2138, ""en"", ""ms"")"),"Buka% S.")</f>
        <v>Buka% S.</v>
      </c>
      <c r="W2138" s="1" t="s">
        <v>42323</v>
      </c>
      <c r="X2138" s="7" t="str">
        <f>IFERROR(__xludf.DUMMYFUNCTION("GOOGLETRANSLATE(C2138, ""en"", ""no"")"),"Åpne% S.")</f>
        <v>Åpne% S.</v>
      </c>
      <c r="Y2138" s="1" t="s">
        <v>42324</v>
      </c>
      <c r="Z2138" s="1" t="s">
        <v>42316</v>
      </c>
      <c r="AA2138" s="7" t="str">
        <f>IFERROR(__xludf.DUMMYFUNCTION("GOOGLETRANSLATE(C2138, ""en"", ""ro"")"),"Deschideți% S.")</f>
        <v>Deschideți% S.</v>
      </c>
      <c r="AB2138" s="1" t="s">
        <v>42325</v>
      </c>
      <c r="AC2138" s="1" t="s">
        <v>42326</v>
      </c>
      <c r="AD2138" s="6" t="s">
        <v>132</v>
      </c>
      <c r="AE2138" s="1" t="s">
        <v>42327</v>
      </c>
      <c r="AF2138" s="1" t="s">
        <v>42328</v>
      </c>
      <c r="AG2138" s="6" t="s">
        <v>132</v>
      </c>
      <c r="AH2138" s="7" t="str">
        <f>IFERROR(__xludf.DUMMYFUNCTION("GOOGLETRANSLATE(C2138, ""en"", ""tr"")"),"% S")</f>
        <v>% S</v>
      </c>
      <c r="AI2138" s="6" t="s">
        <v>42329</v>
      </c>
      <c r="AJ2138" s="6" t="s">
        <v>42330</v>
      </c>
      <c r="AK2138" s="7" t="str">
        <f>IFERROR(__xludf.DUMMYFUNCTION("GOOGLETRANSLATE(C2138, ""en"", ""zh"")"),"打开％s")</f>
        <v>打开％s</v>
      </c>
      <c r="AL2138" s="6" t="s">
        <v>42331</v>
      </c>
    </row>
    <row r="2139" ht="15.75" hidden="1" customHeight="1">
      <c r="A2139" s="1" t="s">
        <v>38</v>
      </c>
      <c r="B2139" s="1" t="s">
        <v>42332</v>
      </c>
      <c r="C2139" s="1" t="s">
        <v>42333</v>
      </c>
      <c r="D2139" s="8" t="s">
        <v>42334</v>
      </c>
      <c r="E2139" s="1" t="s">
        <v>42335</v>
      </c>
      <c r="F2139" s="6" t="s">
        <v>42336</v>
      </c>
      <c r="G2139" s="7" t="str">
        <f>IFERROR(__xludf.DUMMYFUNCTION("GOOGLETRANSLATE(C2139, ""en"", ""cs"")"),"Změnit heslo na serveru")</f>
        <v>Změnit heslo na serveru</v>
      </c>
      <c r="H2139" s="7" t="str">
        <f>IFERROR(__xludf.DUMMYFUNCTION("GOOGLETRANSLATE(C2139, ""en"", ""da"")"),"Skift adgangskode på serveren")</f>
        <v>Skift adgangskode på serveren</v>
      </c>
      <c r="I2139" s="1" t="s">
        <v>28598</v>
      </c>
      <c r="J2139" s="6" t="s">
        <v>132</v>
      </c>
      <c r="K2139" s="1" t="s">
        <v>42337</v>
      </c>
      <c r="L2139" s="7" t="str">
        <f>IFERROR(__xludf.DUMMYFUNCTION("GOOGLETRANSLATE(C2139, ""en"", ""fi"")"),"Vaihda salasana palvelimella")</f>
        <v>Vaihda salasana palvelimella</v>
      </c>
      <c r="M2139" s="1" t="s">
        <v>42338</v>
      </c>
      <c r="N2139" s="6" t="s">
        <v>42339</v>
      </c>
      <c r="O2139" s="6" t="s">
        <v>132</v>
      </c>
      <c r="P2139" s="1" t="s">
        <v>42340</v>
      </c>
      <c r="Q2139" s="9" t="s">
        <v>42341</v>
      </c>
      <c r="R2139" s="1" t="s">
        <v>42342</v>
      </c>
      <c r="S2139" s="6" t="s">
        <v>132</v>
      </c>
      <c r="T2139" s="1" t="s">
        <v>42343</v>
      </c>
      <c r="U2139" s="1" t="s">
        <v>42344</v>
      </c>
      <c r="V2139" s="7" t="str">
        <f>IFERROR(__xludf.DUMMYFUNCTION("GOOGLETRANSLATE(C2139, ""en"", ""ms"")"),"Tukar kata laluan pada pelayan")</f>
        <v>Tukar kata laluan pada pelayan</v>
      </c>
      <c r="W2139" s="1" t="s">
        <v>42345</v>
      </c>
      <c r="X2139" s="7" t="str">
        <f>IFERROR(__xludf.DUMMYFUNCTION("GOOGLETRANSLATE(C2139, ""en"", ""no"")"),"Endre passord på serveren")</f>
        <v>Endre passord på serveren</v>
      </c>
      <c r="Y2139" s="1" t="s">
        <v>42346</v>
      </c>
      <c r="Z2139" s="1" t="s">
        <v>42347</v>
      </c>
      <c r="AA2139" s="7" t="str">
        <f>IFERROR(__xludf.DUMMYFUNCTION("GOOGLETRANSLATE(C2139, ""en"", ""ro"")"),"Schimbați parola pe server")</f>
        <v>Schimbați parola pe server</v>
      </c>
      <c r="AB2139" s="1" t="s">
        <v>42348</v>
      </c>
      <c r="AC2139" s="1" t="s">
        <v>42349</v>
      </c>
      <c r="AD2139" s="6" t="s">
        <v>132</v>
      </c>
      <c r="AE2139" s="1" t="s">
        <v>42350</v>
      </c>
      <c r="AF2139" s="1" t="s">
        <v>42351</v>
      </c>
      <c r="AG2139" s="6" t="s">
        <v>132</v>
      </c>
      <c r="AH2139" s="7" t="str">
        <f>IFERROR(__xludf.DUMMYFUNCTION("GOOGLETRANSLATE(C2139, ""en"", ""tr"")"),"Sunucudaki şifreyi değiştirin")</f>
        <v>Sunucudaki şifreyi değiştirin</v>
      </c>
      <c r="AI2139" s="6" t="s">
        <v>42352</v>
      </c>
      <c r="AJ2139" s="6" t="s">
        <v>42353</v>
      </c>
      <c r="AK2139" s="7" t="str">
        <f>IFERROR(__xludf.DUMMYFUNCTION("GOOGLETRANSLATE(C2139, ""en"", ""zh"")"),"更改服务器上的密码")</f>
        <v>更改服务器上的密码</v>
      </c>
      <c r="AL2139" s="6" t="s">
        <v>42354</v>
      </c>
    </row>
    <row r="2140" ht="15.75" customHeight="1">
      <c r="A2140" s="1" t="s">
        <v>127</v>
      </c>
      <c r="B2140" s="1" t="s">
        <v>42355</v>
      </c>
      <c r="C2140" s="1" t="s">
        <v>6808</v>
      </c>
      <c r="D2140" s="8" t="s">
        <v>6809</v>
      </c>
      <c r="E2140" s="1" t="s">
        <v>6810</v>
      </c>
      <c r="F2140" s="6" t="s">
        <v>132</v>
      </c>
      <c r="G2140" s="1" t="s">
        <v>6808</v>
      </c>
      <c r="H2140" s="1" t="s">
        <v>6808</v>
      </c>
      <c r="I2140" s="1" t="s">
        <v>6808</v>
      </c>
      <c r="J2140" s="6" t="s">
        <v>6811</v>
      </c>
      <c r="K2140" s="1" t="s">
        <v>6812</v>
      </c>
      <c r="L2140" s="1" t="s">
        <v>6808</v>
      </c>
      <c r="M2140" s="1" t="s">
        <v>6808</v>
      </c>
      <c r="N2140" s="6" t="s">
        <v>132</v>
      </c>
      <c r="O2140" s="6" t="s">
        <v>6813</v>
      </c>
      <c r="P2140" s="1" t="s">
        <v>6814</v>
      </c>
      <c r="Q2140" s="1" t="s">
        <v>6808</v>
      </c>
      <c r="R2140" s="1" t="s">
        <v>6815</v>
      </c>
      <c r="S2140" s="10" t="s">
        <v>6816</v>
      </c>
      <c r="T2140" s="1" t="s">
        <v>6817</v>
      </c>
      <c r="U2140" s="1" t="s">
        <v>6818</v>
      </c>
      <c r="V2140" s="1" t="s">
        <v>6808</v>
      </c>
      <c r="W2140" s="1" t="s">
        <v>6808</v>
      </c>
      <c r="X2140" s="1" t="s">
        <v>6808</v>
      </c>
      <c r="Y2140" s="1" t="s">
        <v>6819</v>
      </c>
      <c r="Z2140" s="1" t="s">
        <v>6820</v>
      </c>
      <c r="AA2140" s="7" t="str">
        <f>IFERROR(__xludf.DUMMYFUNCTION("GOOGLETRANSLATE(C2140, ""en"", ""ro"")"),"Paladiu")</f>
        <v>Paladiu</v>
      </c>
      <c r="AB2140" s="1" t="s">
        <v>6822</v>
      </c>
      <c r="AC2140" s="1" t="s">
        <v>6823</v>
      </c>
      <c r="AD2140" s="6" t="s">
        <v>6824</v>
      </c>
      <c r="AE2140" s="1" t="s">
        <v>6825</v>
      </c>
      <c r="AF2140" s="1" t="s">
        <v>6808</v>
      </c>
      <c r="AG2140" s="6" t="s">
        <v>6826</v>
      </c>
      <c r="AH2140" s="1" t="s">
        <v>6827</v>
      </c>
      <c r="AI2140" s="6" t="s">
        <v>132</v>
      </c>
      <c r="AJ2140" s="6" t="s">
        <v>6828</v>
      </c>
      <c r="AK2140" s="1" t="s">
        <v>6829</v>
      </c>
      <c r="AL2140" s="6" t="s">
        <v>6830</v>
      </c>
    </row>
    <row r="2141" ht="15.75" customHeight="1">
      <c r="A2141" s="1" t="s">
        <v>127</v>
      </c>
      <c r="B2141" s="1" t="s">
        <v>42356</v>
      </c>
      <c r="C2141" s="1" t="s">
        <v>42357</v>
      </c>
      <c r="D2141" s="8" t="s">
        <v>42358</v>
      </c>
      <c r="E2141" s="1" t="s">
        <v>42359</v>
      </c>
      <c r="F2141" s="6" t="s">
        <v>132</v>
      </c>
      <c r="G2141" s="1" t="s">
        <v>42360</v>
      </c>
      <c r="H2141" s="1" t="s">
        <v>42361</v>
      </c>
      <c r="I2141" s="1" t="s">
        <v>42362</v>
      </c>
      <c r="J2141" s="6" t="s">
        <v>42363</v>
      </c>
      <c r="K2141" s="1" t="s">
        <v>42364</v>
      </c>
      <c r="L2141" s="1" t="s">
        <v>42365</v>
      </c>
      <c r="M2141" s="1" t="s">
        <v>42366</v>
      </c>
      <c r="N2141" s="6" t="s">
        <v>132</v>
      </c>
      <c r="O2141" s="6" t="s">
        <v>42367</v>
      </c>
      <c r="P2141" s="1" t="s">
        <v>42368</v>
      </c>
      <c r="Q2141" s="1" t="s">
        <v>42369</v>
      </c>
      <c r="R2141" s="1" t="s">
        <v>42370</v>
      </c>
      <c r="S2141" s="10" t="s">
        <v>42371</v>
      </c>
      <c r="T2141" s="1" t="s">
        <v>42372</v>
      </c>
      <c r="U2141" s="1" t="s">
        <v>42373</v>
      </c>
      <c r="V2141" s="1" t="s">
        <v>42374</v>
      </c>
      <c r="W2141" s="1" t="s">
        <v>42375</v>
      </c>
      <c r="X2141" s="1" t="s">
        <v>42376</v>
      </c>
      <c r="Y2141" s="1" t="s">
        <v>42377</v>
      </c>
      <c r="Z2141" s="1" t="s">
        <v>42378</v>
      </c>
      <c r="AA2141" s="7" t="str">
        <f>IFERROR(__xludf.DUMMYFUNCTION("GOOGLETRANSLATE(C2141, ""en"", ""ro"")"),"Sesiunea dumneavoastră a expirat. Te rog Logheaza te din nou.")</f>
        <v>Sesiunea dumneavoastră a expirat. Te rog Logheaza te din nou.</v>
      </c>
      <c r="AB2141" s="1" t="s">
        <v>42379</v>
      </c>
      <c r="AC2141" s="1" t="s">
        <v>42380</v>
      </c>
      <c r="AD2141" s="6" t="s">
        <v>42381</v>
      </c>
      <c r="AE2141" s="1" t="s">
        <v>42382</v>
      </c>
      <c r="AF2141" s="1" t="s">
        <v>42383</v>
      </c>
      <c r="AG2141" s="6" t="s">
        <v>42384</v>
      </c>
      <c r="AH2141" s="1" t="s">
        <v>42385</v>
      </c>
      <c r="AI2141" s="6" t="s">
        <v>132</v>
      </c>
      <c r="AJ2141" s="6" t="s">
        <v>42386</v>
      </c>
      <c r="AK2141" s="1" t="s">
        <v>42387</v>
      </c>
      <c r="AL2141" s="6" t="s">
        <v>132</v>
      </c>
    </row>
    <row r="2142" ht="15.75" hidden="1" customHeight="1">
      <c r="A2142" s="1" t="s">
        <v>38</v>
      </c>
      <c r="B2142" s="1" t="s">
        <v>42388</v>
      </c>
      <c r="C2142" s="1" t="s">
        <v>42389</v>
      </c>
      <c r="D2142" s="8" t="s">
        <v>42390</v>
      </c>
      <c r="E2142" s="1" t="s">
        <v>42391</v>
      </c>
      <c r="F2142" s="6" t="s">
        <v>42392</v>
      </c>
      <c r="G2142" s="7" t="str">
        <f>IFERROR(__xludf.DUMMYFUNCTION("GOOGLETRANSLATE(C2142, ""en"", ""cs"")"),"Blokovat celou doménu")</f>
        <v>Blokovat celou doménu</v>
      </c>
      <c r="H2142" s="7" t="str">
        <f>IFERROR(__xludf.DUMMYFUNCTION("GOOGLETRANSLATE(C2142, ""en"", ""da"")"),"Bloker hele Domain.")</f>
        <v>Bloker hele Domain.</v>
      </c>
      <c r="I2142" s="1" t="s">
        <v>42393</v>
      </c>
      <c r="J2142" s="6" t="s">
        <v>132</v>
      </c>
      <c r="K2142" s="1" t="s">
        <v>42394</v>
      </c>
      <c r="L2142" s="7" t="str">
        <f>IFERROR(__xludf.DUMMYFUNCTION("GOOGLETRANSLATE(C2142, ""en"", ""fi"")"),"Estä koko verkkotunnus")</f>
        <v>Estä koko verkkotunnus</v>
      </c>
      <c r="M2142" s="1" t="s">
        <v>42395</v>
      </c>
      <c r="N2142" s="6" t="s">
        <v>42396</v>
      </c>
      <c r="O2142" s="6" t="s">
        <v>132</v>
      </c>
      <c r="P2142" s="1" t="s">
        <v>42397</v>
      </c>
      <c r="Q2142" s="7" t="str">
        <f>IFERROR(__xludf.DUMMYFUNCTION("GOOGLETRANSLATE(C2142, ""en"", ""in"")"),"Memblokir seluruh domain")</f>
        <v>Memblokir seluruh domain</v>
      </c>
      <c r="R2142" s="1" t="s">
        <v>42398</v>
      </c>
      <c r="S2142" s="6" t="s">
        <v>132</v>
      </c>
      <c r="T2142" s="1" t="s">
        <v>42399</v>
      </c>
      <c r="U2142" s="7" t="str">
        <f>IFERROR(__xludf.DUMMYFUNCTION("GOOGLETRANSLATE(C2142, ""en"", ""ko"")"),"전체 도메인을 차단합니다")</f>
        <v>전체 도메인을 차단합니다</v>
      </c>
      <c r="V2142" s="7" t="str">
        <f>IFERROR(__xludf.DUMMYFUNCTION("GOOGLETRANSLATE(C2142, ""en"", ""ms"")"),"Blok seluruh domain.")</f>
        <v>Blok seluruh domain.</v>
      </c>
      <c r="W2142" s="1" t="s">
        <v>42400</v>
      </c>
      <c r="X2142" s="7" t="str">
        <f>IFERROR(__xludf.DUMMYFUNCTION("GOOGLETRANSLATE(C2142, ""en"", ""no"")"),"Blokkere hele domenet")</f>
        <v>Blokkere hele domenet</v>
      </c>
      <c r="Y2142" s="1" t="s">
        <v>42401</v>
      </c>
      <c r="Z2142" s="7" t="str">
        <f>IFERROR(__xludf.DUMMYFUNCTION("GOOGLETRANSLATE(C2142, ""en"", ""pt"")"),"Bloqueie o domínio inteiro")</f>
        <v>Bloqueie o domínio inteiro</v>
      </c>
      <c r="AA2142" s="7" t="str">
        <f>IFERROR(__xludf.DUMMYFUNCTION("GOOGLETRANSLATE(C2142, ""en"", ""ro"")"),"Blocați întregul domeniu")</f>
        <v>Blocați întregul domeniu</v>
      </c>
      <c r="AB2142" s="1" t="s">
        <v>42402</v>
      </c>
      <c r="AC2142" s="7" t="str">
        <f>IFERROR(__xludf.DUMMYFUNCTION("GOOGLETRANSLATE(C2142, ""en"", ""sk"")"),"Blokovať celú doménu")</f>
        <v>Blokovať celú doménu</v>
      </c>
      <c r="AD2142" s="6" t="s">
        <v>132</v>
      </c>
      <c r="AE2142" s="1" t="s">
        <v>42403</v>
      </c>
      <c r="AF2142" s="1" t="s">
        <v>42404</v>
      </c>
      <c r="AG2142" s="6" t="s">
        <v>132</v>
      </c>
      <c r="AH2142" s="7" t="str">
        <f>IFERROR(__xludf.DUMMYFUNCTION("GOOGLETRANSLATE(C2142, ""en"", ""tr"")"),"Tüm etki alanının tamamını engelle")</f>
        <v>Tüm etki alanının tamamını engelle</v>
      </c>
      <c r="AI2142" s="6" t="s">
        <v>42405</v>
      </c>
      <c r="AJ2142" s="6" t="s">
        <v>132</v>
      </c>
      <c r="AK2142" s="7" t="str">
        <f>IFERROR(__xludf.DUMMYFUNCTION("GOOGLETRANSLATE(C2142, ""en"", ""zh"")"),"阻止整个域名")</f>
        <v>阻止整个域名</v>
      </c>
      <c r="AL2142" s="6" t="s">
        <v>42406</v>
      </c>
    </row>
    <row r="2143" ht="15.75" customHeight="1">
      <c r="A2143" s="1" t="s">
        <v>127</v>
      </c>
      <c r="B2143" s="1" t="s">
        <v>42407</v>
      </c>
      <c r="C2143" s="1" t="s">
        <v>42408</v>
      </c>
      <c r="D2143" s="8" t="s">
        <v>42409</v>
      </c>
      <c r="E2143" s="1" t="s">
        <v>42410</v>
      </c>
      <c r="F2143" s="6" t="s">
        <v>132</v>
      </c>
      <c r="G2143" s="1" t="s">
        <v>42411</v>
      </c>
      <c r="H2143" s="1" t="s">
        <v>42412</v>
      </c>
      <c r="I2143" s="1" t="s">
        <v>42413</v>
      </c>
      <c r="J2143" s="6" t="s">
        <v>42414</v>
      </c>
      <c r="K2143" s="1" t="s">
        <v>42415</v>
      </c>
      <c r="L2143" s="1" t="s">
        <v>42416</v>
      </c>
      <c r="M2143" s="1" t="s">
        <v>42417</v>
      </c>
      <c r="N2143" s="6" t="s">
        <v>132</v>
      </c>
      <c r="O2143" s="6" t="s">
        <v>42418</v>
      </c>
      <c r="P2143" s="1" t="s">
        <v>42419</v>
      </c>
      <c r="Q2143" s="1" t="s">
        <v>42420</v>
      </c>
      <c r="R2143" s="1" t="s">
        <v>42408</v>
      </c>
      <c r="S2143" s="10" t="s">
        <v>42421</v>
      </c>
      <c r="T2143" s="1" t="s">
        <v>42422</v>
      </c>
      <c r="U2143" s="1" t="s">
        <v>42423</v>
      </c>
      <c r="V2143" s="1" t="s">
        <v>42424</v>
      </c>
      <c r="W2143" s="1" t="s">
        <v>42425</v>
      </c>
      <c r="X2143" s="1" t="s">
        <v>42426</v>
      </c>
      <c r="Y2143" s="1" t="s">
        <v>42427</v>
      </c>
      <c r="Z2143" s="1" t="s">
        <v>42428</v>
      </c>
      <c r="AA2143" s="7" t="str">
        <f>IFERROR(__xludf.DUMMYFUNCTION("GOOGLETRANSLATE(C2143, ""en"", ""ro"")"),"Min. Volumul de tranzacționare")</f>
        <v>Min. Volumul de tranzacționare</v>
      </c>
      <c r="AB2143" s="1" t="s">
        <v>42429</v>
      </c>
      <c r="AC2143" s="1" t="s">
        <v>42430</v>
      </c>
      <c r="AD2143" s="6" t="s">
        <v>42431</v>
      </c>
      <c r="AE2143" s="1" t="s">
        <v>42408</v>
      </c>
      <c r="AF2143" s="1" t="s">
        <v>42432</v>
      </c>
      <c r="AG2143" s="6" t="s">
        <v>42433</v>
      </c>
      <c r="AH2143" s="1" t="s">
        <v>42434</v>
      </c>
      <c r="AI2143" s="6" t="s">
        <v>132</v>
      </c>
      <c r="AJ2143" s="6" t="s">
        <v>42435</v>
      </c>
      <c r="AK2143" s="1" t="s">
        <v>42436</v>
      </c>
      <c r="AL2143" s="6" t="s">
        <v>132</v>
      </c>
    </row>
    <row r="2144" ht="15.75" customHeight="1">
      <c r="A2144" s="1" t="s">
        <v>127</v>
      </c>
      <c r="B2144" s="1" t="s">
        <v>42437</v>
      </c>
      <c r="C2144" s="1" t="s">
        <v>42438</v>
      </c>
      <c r="D2144" s="8" t="s">
        <v>42439</v>
      </c>
      <c r="E2144" s="1" t="s">
        <v>42440</v>
      </c>
      <c r="F2144" s="6" t="s">
        <v>132</v>
      </c>
      <c r="G2144" s="1" t="s">
        <v>42441</v>
      </c>
      <c r="H2144" s="1" t="s">
        <v>42442</v>
      </c>
      <c r="I2144" s="1" t="s">
        <v>42443</v>
      </c>
      <c r="J2144" s="6" t="s">
        <v>42444</v>
      </c>
      <c r="K2144" s="1" t="s">
        <v>42445</v>
      </c>
      <c r="L2144" s="1" t="s">
        <v>42446</v>
      </c>
      <c r="M2144" s="1" t="s">
        <v>42447</v>
      </c>
      <c r="N2144" s="6" t="s">
        <v>132</v>
      </c>
      <c r="O2144" s="6" t="s">
        <v>42448</v>
      </c>
      <c r="P2144" s="1" t="s">
        <v>42438</v>
      </c>
      <c r="Q2144" s="1" t="s">
        <v>42449</v>
      </c>
      <c r="R2144" s="1" t="s">
        <v>42450</v>
      </c>
      <c r="S2144" s="10" t="s">
        <v>42451</v>
      </c>
      <c r="T2144" s="1" t="s">
        <v>42452</v>
      </c>
      <c r="U2144" s="1" t="s">
        <v>42453</v>
      </c>
      <c r="V2144" s="1" t="s">
        <v>42449</v>
      </c>
      <c r="W2144" s="1" t="s">
        <v>42454</v>
      </c>
      <c r="X2144" s="1" t="s">
        <v>42455</v>
      </c>
      <c r="Y2144" s="1" t="s">
        <v>42456</v>
      </c>
      <c r="Z2144" s="1" t="s">
        <v>42457</v>
      </c>
      <c r="AA2144" s="7" t="str">
        <f>IFERROR(__xludf.DUMMYFUNCTION("GOOGLETRANSLATE(C2144, ""en"", ""ro"")"),"Prețul de decontare")</f>
        <v>Prețul de decontare</v>
      </c>
      <c r="AB2144" s="1" t="s">
        <v>42458</v>
      </c>
      <c r="AC2144" s="1" t="s">
        <v>42459</v>
      </c>
      <c r="AD2144" s="6" t="s">
        <v>42460</v>
      </c>
      <c r="AE2144" s="1" t="s">
        <v>42461</v>
      </c>
      <c r="AF2144" s="1" t="s">
        <v>42462</v>
      </c>
      <c r="AG2144" s="6" t="s">
        <v>42463</v>
      </c>
      <c r="AH2144" s="1" t="s">
        <v>42464</v>
      </c>
      <c r="AI2144" s="6" t="s">
        <v>132</v>
      </c>
      <c r="AJ2144" s="6" t="s">
        <v>42465</v>
      </c>
      <c r="AK2144" s="1" t="s">
        <v>42466</v>
      </c>
      <c r="AL2144" s="6" t="s">
        <v>132</v>
      </c>
    </row>
    <row r="2145" ht="15.75" hidden="1" customHeight="1">
      <c r="A2145" s="1" t="s">
        <v>38</v>
      </c>
      <c r="B2145" s="1" t="s">
        <v>42467</v>
      </c>
      <c r="C2145" s="1" t="s">
        <v>42468</v>
      </c>
      <c r="D2145" s="7" t="str">
        <f>IFERROR(__xludf.DUMMYFUNCTION("GOOGLETRANSLATE(C2145, ""en"", ""ar"")"),"دولة قطر")</f>
        <v>دولة قطر</v>
      </c>
      <c r="E2145" s="7" t="str">
        <f>IFERROR(__xludf.DUMMYFUNCTION("GOOGLETRANSLATE(C2145, ""en"", ""bg"")"),"Катар")</f>
        <v>Катар</v>
      </c>
      <c r="F2145" s="6" t="s">
        <v>132</v>
      </c>
      <c r="G2145" s="7" t="str">
        <f>IFERROR(__xludf.DUMMYFUNCTION("GOOGLETRANSLATE(C2145, ""en"", ""cs"")"),"Qatar.")</f>
        <v>Qatar.</v>
      </c>
      <c r="H2145" s="7" t="str">
        <f>IFERROR(__xludf.DUMMYFUNCTION("GOOGLETRANSLATE(C2145, ""en"", ""da"")"),"Qatar.")</f>
        <v>Qatar.</v>
      </c>
      <c r="I2145" s="1" t="s">
        <v>42469</v>
      </c>
      <c r="J2145" s="6" t="s">
        <v>132</v>
      </c>
      <c r="K2145" s="1" t="s">
        <v>42470</v>
      </c>
      <c r="L2145" s="7" t="str">
        <f>IFERROR(__xludf.DUMMYFUNCTION("GOOGLETRANSLATE(C2145, ""en"", ""fi"")"),"Qatar")</f>
        <v>Qatar</v>
      </c>
      <c r="M2145" s="1" t="s">
        <v>42468</v>
      </c>
      <c r="N2145" s="6" t="s">
        <v>132</v>
      </c>
      <c r="O2145" s="6" t="s">
        <v>132</v>
      </c>
      <c r="P2145" s="1" t="s">
        <v>42468</v>
      </c>
      <c r="Q2145" s="7" t="str">
        <f>IFERROR(__xludf.DUMMYFUNCTION("GOOGLETRANSLATE(C2145, ""en"", ""in"")"),"Qatar.")</f>
        <v>Qatar.</v>
      </c>
      <c r="R2145" s="7" t="str">
        <f>IFERROR(__xludf.DUMMYFUNCTION("GOOGLETRANSLATE(C2145, ""en"", ""it"")"),"Qatar")</f>
        <v>Qatar</v>
      </c>
      <c r="S2145" s="6" t="s">
        <v>132</v>
      </c>
      <c r="T2145" s="7" t="str">
        <f>IFERROR(__xludf.DUMMYFUNCTION("GOOGLETRANSLATE(C2145, ""en"", ""ja"")"),"カタール")</f>
        <v>カタール</v>
      </c>
      <c r="U2145" s="7" t="str">
        <f>IFERROR(__xludf.DUMMYFUNCTION("GOOGLETRANSLATE(C2145, ""en"", ""ko"")"),"카타르")</f>
        <v>카타르</v>
      </c>
      <c r="V2145" s="7" t="str">
        <f>IFERROR(__xludf.DUMMYFUNCTION("GOOGLETRANSLATE(C2145, ""en"", ""ms"")"),"Qatar")</f>
        <v>Qatar</v>
      </c>
      <c r="W2145" s="7" t="str">
        <f>IFERROR(__xludf.DUMMYFUNCTION("GOOGLETRANSLATE(C2145, ""en"", ""nl"")"),"Qatar")</f>
        <v>Qatar</v>
      </c>
      <c r="X2145" s="7" t="str">
        <f>IFERROR(__xludf.DUMMYFUNCTION("GOOGLETRANSLATE(C2145, ""en"", ""no"")"),"Qatar.")</f>
        <v>Qatar.</v>
      </c>
      <c r="Y2145" s="7" t="str">
        <f>IFERROR(__xludf.DUMMYFUNCTION("GOOGLETRANSLATE(C2145, ""en"", ""pl"")"),"Katar")</f>
        <v>Katar</v>
      </c>
      <c r="Z2145" s="7" t="str">
        <f>IFERROR(__xludf.DUMMYFUNCTION("GOOGLETRANSLATE(C2145, ""en"", ""pt"")"),"Catar")</f>
        <v>Catar</v>
      </c>
      <c r="AA2145" s="7" t="str">
        <f>IFERROR(__xludf.DUMMYFUNCTION("GOOGLETRANSLATE(C2145, ""en"", ""ro"")"),"Qatar.")</f>
        <v>Qatar.</v>
      </c>
      <c r="AB2145" s="1" t="s">
        <v>42471</v>
      </c>
      <c r="AC2145" s="7" t="str">
        <f>IFERROR(__xludf.DUMMYFUNCTION("GOOGLETRANSLATE(C2145, ""en"", ""sk"")"),"Katar")</f>
        <v>Katar</v>
      </c>
      <c r="AD2145" s="6" t="s">
        <v>132</v>
      </c>
      <c r="AE2145" s="1" t="s">
        <v>42469</v>
      </c>
      <c r="AF2145" s="7" t="str">
        <f>IFERROR(__xludf.DUMMYFUNCTION("GOOGLETRANSLATE(C2145, ""en"", ""sv"")"),"Qatar")</f>
        <v>Qatar</v>
      </c>
      <c r="AG2145" s="6" t="s">
        <v>132</v>
      </c>
      <c r="AH2145" s="7" t="str">
        <f>IFERROR(__xludf.DUMMYFUNCTION("GOOGLETRANSLATE(C2145, ""en"", ""tr"")"),"Qatar")</f>
        <v>Qatar</v>
      </c>
      <c r="AI2145" s="6" t="s">
        <v>132</v>
      </c>
      <c r="AJ2145" s="6" t="s">
        <v>132</v>
      </c>
      <c r="AK2145" s="7" t="str">
        <f>IFERROR(__xludf.DUMMYFUNCTION("GOOGLETRANSLATE(C2145, ""en"", ""zh"")"),"卡塔尔")</f>
        <v>卡塔尔</v>
      </c>
      <c r="AL2145" s="6" t="s">
        <v>132</v>
      </c>
    </row>
    <row r="2146" ht="15.75" customHeight="1">
      <c r="A2146" s="1" t="s">
        <v>127</v>
      </c>
      <c r="B2146" s="1" t="s">
        <v>42472</v>
      </c>
      <c r="C2146" s="1" t="s">
        <v>42473</v>
      </c>
      <c r="D2146" s="8" t="s">
        <v>42474</v>
      </c>
      <c r="E2146" s="1" t="s">
        <v>42475</v>
      </c>
      <c r="F2146" s="6" t="s">
        <v>132</v>
      </c>
      <c r="G2146" s="1" t="s">
        <v>42476</v>
      </c>
      <c r="H2146" s="1" t="s">
        <v>42477</v>
      </c>
      <c r="I2146" s="1" t="s">
        <v>42478</v>
      </c>
      <c r="J2146" s="6" t="s">
        <v>42479</v>
      </c>
      <c r="K2146" s="1" t="s">
        <v>42480</v>
      </c>
      <c r="L2146" s="1" t="s">
        <v>42481</v>
      </c>
      <c r="M2146" s="1" t="s">
        <v>39934</v>
      </c>
      <c r="N2146" s="6" t="s">
        <v>132</v>
      </c>
      <c r="O2146" s="6" t="s">
        <v>42482</v>
      </c>
      <c r="P2146" s="1" t="s">
        <v>42483</v>
      </c>
      <c r="Q2146" s="1" t="s">
        <v>42484</v>
      </c>
      <c r="R2146" s="1" t="s">
        <v>42485</v>
      </c>
      <c r="S2146" s="10" t="s">
        <v>42486</v>
      </c>
      <c r="T2146" s="1" t="s">
        <v>8794</v>
      </c>
      <c r="U2146" s="1" t="s">
        <v>42487</v>
      </c>
      <c r="V2146" s="1" t="s">
        <v>42484</v>
      </c>
      <c r="W2146" s="1" t="s">
        <v>42473</v>
      </c>
      <c r="X2146" s="1" t="s">
        <v>42488</v>
      </c>
      <c r="Y2146" s="1" t="s">
        <v>42489</v>
      </c>
      <c r="Z2146" s="1" t="s">
        <v>41967</v>
      </c>
      <c r="AA2146" s="7" t="str">
        <f>IFERROR(__xludf.DUMMYFUNCTION("GOOGLETRANSLATE(C2146, ""en"", ""ro"")"),"{1} Conectat!")</f>
        <v>{1} Conectat!</v>
      </c>
      <c r="AB2146" s="1" t="s">
        <v>42490</v>
      </c>
      <c r="AC2146" s="1" t="s">
        <v>42491</v>
      </c>
      <c r="AD2146" s="6" t="s">
        <v>42492</v>
      </c>
      <c r="AE2146" s="1" t="s">
        <v>42493</v>
      </c>
      <c r="AF2146" s="1" t="s">
        <v>42494</v>
      </c>
      <c r="AG2146" s="6" t="s">
        <v>42495</v>
      </c>
      <c r="AH2146" s="1" t="s">
        <v>42496</v>
      </c>
      <c r="AI2146" s="6" t="s">
        <v>132</v>
      </c>
      <c r="AJ2146" s="6" t="s">
        <v>42497</v>
      </c>
      <c r="AK2146" s="1" t="s">
        <v>42498</v>
      </c>
      <c r="AL2146" s="6" t="s">
        <v>42499</v>
      </c>
    </row>
    <row r="2147" ht="15.75" hidden="1" customHeight="1">
      <c r="A2147" s="1" t="s">
        <v>38</v>
      </c>
      <c r="B2147" s="1" t="s">
        <v>42500</v>
      </c>
      <c r="C2147" s="1" t="s">
        <v>42501</v>
      </c>
      <c r="D2147" s="8" t="s">
        <v>42502</v>
      </c>
      <c r="E2147" s="1" t="s">
        <v>42503</v>
      </c>
      <c r="F2147" s="6" t="s">
        <v>42504</v>
      </c>
      <c r="G2147" s="7" t="str">
        <f>IFERROR(__xludf.DUMMYFUNCTION("GOOGLETRANSLATE(C2147, ""en"", ""cs"")"),"Použití účtu% s")</f>
        <v>Použití účtu% s</v>
      </c>
      <c r="H2147" s="7" t="str">
        <f>IFERROR(__xludf.DUMMYFUNCTION("GOOGLETRANSLATE(C2147, ""en"", ""da"")"),"Brug af konto% s")</f>
        <v>Brug af konto% s</v>
      </c>
      <c r="I2147" s="1" t="s">
        <v>42505</v>
      </c>
      <c r="J2147" s="6" t="s">
        <v>132</v>
      </c>
      <c r="K2147" s="1" t="s">
        <v>42506</v>
      </c>
      <c r="L2147" s="7" t="str">
        <f>IFERROR(__xludf.DUMMYFUNCTION("GOOGLETRANSLATE(C2147, ""en"", ""fi"")"),"Tilin käyttö% s")</f>
        <v>Tilin käyttö% s</v>
      </c>
      <c r="M2147" s="1" t="s">
        <v>42507</v>
      </c>
      <c r="N2147" s="6" t="s">
        <v>42508</v>
      </c>
      <c r="O2147" s="6" t="s">
        <v>132</v>
      </c>
      <c r="P2147" s="1" t="s">
        <v>42509</v>
      </c>
      <c r="Q2147" s="9" t="s">
        <v>42510</v>
      </c>
      <c r="R2147" s="1" t="s">
        <v>42511</v>
      </c>
      <c r="S2147" s="23" t="s">
        <v>36077</v>
      </c>
      <c r="T2147" s="1" t="s">
        <v>42512</v>
      </c>
      <c r="U2147" s="1" t="s">
        <v>42501</v>
      </c>
      <c r="V2147" s="7" t="str">
        <f>IFERROR(__xludf.DUMMYFUNCTION("GOOGLETRANSLATE(C2147, ""en"", ""ms"")"),"Menggunakan akaun% s")</f>
        <v>Menggunakan akaun% s</v>
      </c>
      <c r="W2147" s="1" t="s">
        <v>42513</v>
      </c>
      <c r="X2147" s="7" t="str">
        <f>IFERROR(__xludf.DUMMYFUNCTION("GOOGLETRANSLATE(C2147, ""en"", ""no"")"),"bruker konto% s")</f>
        <v>bruker konto% s</v>
      </c>
      <c r="Y2147" s="1" t="s">
        <v>42514</v>
      </c>
      <c r="Z2147" s="1" t="s">
        <v>42508</v>
      </c>
      <c r="AA2147" s="7" t="str">
        <f>IFERROR(__xludf.DUMMYFUNCTION("GOOGLETRANSLATE(C2147, ""en"", ""ro"")"),"folosind contul% s")</f>
        <v>folosind contul% s</v>
      </c>
      <c r="AB2147" s="1" t="s">
        <v>42515</v>
      </c>
      <c r="AC2147" s="1" t="s">
        <v>42516</v>
      </c>
      <c r="AD2147" s="6" t="s">
        <v>132</v>
      </c>
      <c r="AE2147" s="1" t="s">
        <v>42517</v>
      </c>
      <c r="AF2147" s="1" t="s">
        <v>42518</v>
      </c>
      <c r="AG2147" s="6" t="s">
        <v>132</v>
      </c>
      <c r="AH2147" s="7" t="str">
        <f>IFERROR(__xludf.DUMMYFUNCTION("GOOGLETRANSLATE(C2147, ""en"", ""tr"")"),"% s hesabını kullanma")</f>
        <v>% s hesabını kullanma</v>
      </c>
      <c r="AI2147" s="6" t="s">
        <v>42519</v>
      </c>
      <c r="AJ2147" s="6" t="s">
        <v>42520</v>
      </c>
      <c r="AK2147" s="7" t="str">
        <f>IFERROR(__xludf.DUMMYFUNCTION("GOOGLETRANSLATE(C2147, ""en"", ""zh"")"),"使用账户％s")</f>
        <v>使用账户％s</v>
      </c>
      <c r="AL2147" s="6" t="s">
        <v>42521</v>
      </c>
    </row>
    <row r="2148" ht="15.75" hidden="1" customHeight="1">
      <c r="A2148" s="1" t="s">
        <v>38</v>
      </c>
      <c r="B2148" s="1" t="s">
        <v>42522</v>
      </c>
      <c r="C2148" s="1" t="s">
        <v>42523</v>
      </c>
      <c r="D2148" s="8" t="s">
        <v>42524</v>
      </c>
      <c r="E2148" s="1" t="s">
        <v>42525</v>
      </c>
      <c r="F2148" s="6" t="s">
        <v>42526</v>
      </c>
      <c r="G2148" s="7" t="str">
        <f>IFERROR(__xludf.DUMMYFUNCTION("GOOGLETRANSLATE(C2148, ""en"", ""cs"")"),"Pomocí klávesy Enter poslat zprávu")</f>
        <v>Pomocí klávesy Enter poslat zprávu</v>
      </c>
      <c r="H2148" s="7" t="str">
        <f>IFERROR(__xludf.DUMMYFUNCTION("GOOGLETRANSLATE(C2148, ""en"", ""da"")"),"Brug Enter-tasten til at sende besked")</f>
        <v>Brug Enter-tasten til at sende besked</v>
      </c>
      <c r="I2148" s="1" t="s">
        <v>42527</v>
      </c>
      <c r="J2148" s="6" t="s">
        <v>132</v>
      </c>
      <c r="K2148" s="1" t="s">
        <v>42528</v>
      </c>
      <c r="L2148" s="7" t="str">
        <f>IFERROR(__xludf.DUMMYFUNCTION("GOOGLETRANSLATE(C2148, ""en"", ""fi"")"),"Käytä Enter-näppäintä lähettääksesi viestin")</f>
        <v>Käytä Enter-näppäintä lähettääksesi viestin</v>
      </c>
      <c r="M2148" s="1" t="s">
        <v>42529</v>
      </c>
      <c r="N2148" s="6" t="s">
        <v>42530</v>
      </c>
      <c r="O2148" s="6" t="s">
        <v>132</v>
      </c>
      <c r="P2148" s="1" t="s">
        <v>42531</v>
      </c>
      <c r="Q2148" s="9" t="s">
        <v>42532</v>
      </c>
      <c r="R2148" s="1" t="s">
        <v>42533</v>
      </c>
      <c r="S2148" s="6" t="s">
        <v>132</v>
      </c>
      <c r="T2148" s="1" t="s">
        <v>42534</v>
      </c>
      <c r="U2148" s="1" t="s">
        <v>42535</v>
      </c>
      <c r="V2148" s="7" t="str">
        <f>IFERROR(__xludf.DUMMYFUNCTION("GOOGLETRANSLATE(C2148, ""en"", ""ms"")"),"Gunakan Masukkan kekunci untuk menghantar mesej")</f>
        <v>Gunakan Masukkan kekunci untuk menghantar mesej</v>
      </c>
      <c r="W2148" s="1" t="s">
        <v>42536</v>
      </c>
      <c r="X2148" s="7" t="str">
        <f>IFERROR(__xludf.DUMMYFUNCTION("GOOGLETRANSLATE(C2148, ""en"", ""no"")"),"Bruk ENTER-tasten for å sende melding")</f>
        <v>Bruk ENTER-tasten for å sende melding</v>
      </c>
      <c r="Y2148" s="1" t="s">
        <v>42537</v>
      </c>
      <c r="Z2148" s="1" t="s">
        <v>42538</v>
      </c>
      <c r="AA2148" s="7" t="str">
        <f>IFERROR(__xludf.DUMMYFUNCTION("GOOGLETRANSLATE(C2148, ""en"", ""ro"")"),"Utilizați tasta Enter pentru a trimite mesajul")</f>
        <v>Utilizați tasta Enter pentru a trimite mesajul</v>
      </c>
      <c r="AB2148" s="1" t="s">
        <v>42539</v>
      </c>
      <c r="AC2148" s="1" t="s">
        <v>42540</v>
      </c>
      <c r="AD2148" s="6" t="s">
        <v>132</v>
      </c>
      <c r="AE2148" s="1" t="s">
        <v>42541</v>
      </c>
      <c r="AF2148" s="1" t="s">
        <v>42542</v>
      </c>
      <c r="AG2148" s="6" t="s">
        <v>132</v>
      </c>
      <c r="AH2148" s="7" t="str">
        <f>IFERROR(__xludf.DUMMYFUNCTION("GOOGLETRANSLATE(C2148, ""en"", ""tr"")"),"Mesaj göndermek için ENTER tuşunu kullanın.")</f>
        <v>Mesaj göndermek için ENTER tuşunu kullanın.</v>
      </c>
      <c r="AI2148" s="6" t="s">
        <v>42543</v>
      </c>
      <c r="AJ2148" s="6" t="s">
        <v>42544</v>
      </c>
      <c r="AK2148" s="7" t="str">
        <f>IFERROR(__xludf.DUMMYFUNCTION("GOOGLETRANSLATE(C2148, ""en"", ""zh"")"),"使用Enter键发送消息")</f>
        <v>使用Enter键发送消息</v>
      </c>
      <c r="AL2148" s="6" t="s">
        <v>42545</v>
      </c>
    </row>
    <row r="2149" ht="15.75" customHeight="1">
      <c r="A2149" s="1" t="s">
        <v>127</v>
      </c>
      <c r="B2149" s="1" t="s">
        <v>42546</v>
      </c>
      <c r="C2149" s="1" t="s">
        <v>42547</v>
      </c>
      <c r="D2149" s="8" t="s">
        <v>42548</v>
      </c>
      <c r="E2149" s="1" t="s">
        <v>42549</v>
      </c>
      <c r="F2149" s="6" t="s">
        <v>132</v>
      </c>
      <c r="G2149" s="1" t="s">
        <v>42550</v>
      </c>
      <c r="H2149" s="1" t="s">
        <v>42551</v>
      </c>
      <c r="I2149" s="1" t="s">
        <v>42552</v>
      </c>
      <c r="J2149" s="6" t="s">
        <v>42553</v>
      </c>
      <c r="K2149" s="1" t="s">
        <v>42554</v>
      </c>
      <c r="L2149" s="1" t="s">
        <v>42555</v>
      </c>
      <c r="M2149" s="1" t="s">
        <v>42556</v>
      </c>
      <c r="N2149" s="6" t="s">
        <v>132</v>
      </c>
      <c r="O2149" s="6" t="s">
        <v>42557</v>
      </c>
      <c r="P2149" s="1" t="s">
        <v>42558</v>
      </c>
      <c r="Q2149" s="1" t="s">
        <v>42559</v>
      </c>
      <c r="R2149" s="1" t="s">
        <v>42560</v>
      </c>
      <c r="S2149" s="10" t="s">
        <v>42561</v>
      </c>
      <c r="T2149" s="1" t="s">
        <v>42562</v>
      </c>
      <c r="U2149" s="1" t="s">
        <v>42563</v>
      </c>
      <c r="V2149" s="1" t="s">
        <v>42564</v>
      </c>
      <c r="W2149" s="1" t="s">
        <v>42565</v>
      </c>
      <c r="X2149" s="1" t="s">
        <v>42551</v>
      </c>
      <c r="Y2149" s="1" t="s">
        <v>42566</v>
      </c>
      <c r="Z2149" s="1" t="s">
        <v>42567</v>
      </c>
      <c r="AA2149" s="7" t="str">
        <f>IFERROR(__xludf.DUMMYFUNCTION("GOOGLETRANSLATE(C2149, ""en"", ""ro"")"),"Moneda portofoliului.")</f>
        <v>Moneda portofoliului.</v>
      </c>
      <c r="AB2149" s="1" t="s">
        <v>42568</v>
      </c>
      <c r="AC2149" s="1" t="s">
        <v>42569</v>
      </c>
      <c r="AD2149" s="6" t="s">
        <v>42570</v>
      </c>
      <c r="AE2149" s="1" t="s">
        <v>42571</v>
      </c>
      <c r="AF2149" s="1" t="s">
        <v>42572</v>
      </c>
      <c r="AG2149" s="6" t="s">
        <v>42573</v>
      </c>
      <c r="AH2149" s="1" t="s">
        <v>42574</v>
      </c>
      <c r="AI2149" s="6" t="s">
        <v>132</v>
      </c>
      <c r="AJ2149" s="6" t="s">
        <v>42575</v>
      </c>
      <c r="AK2149" s="1" t="s">
        <v>42576</v>
      </c>
      <c r="AL2149" s="6" t="s">
        <v>42577</v>
      </c>
    </row>
    <row r="2150" ht="15.75" hidden="1" customHeight="1">
      <c r="A2150" s="1" t="s">
        <v>38</v>
      </c>
      <c r="B2150" s="1" t="s">
        <v>42578</v>
      </c>
      <c r="C2150" s="1" t="s">
        <v>42579</v>
      </c>
      <c r="D2150" s="7" t="str">
        <f>IFERROR(__xludf.DUMMYFUNCTION("GOOGLETRANSLATE(C2150, ""en"", ""ar"")"),"بولينيزيا الفرنسية")</f>
        <v>بولينيزيا الفرنسية</v>
      </c>
      <c r="E2150" s="7" t="str">
        <f>IFERROR(__xludf.DUMMYFUNCTION("GOOGLETRANSLATE(C2150, ""en"", ""bg"")"),"Френска полинезия")</f>
        <v>Френска полинезия</v>
      </c>
      <c r="F2150" s="6" t="s">
        <v>132</v>
      </c>
      <c r="G2150" s="7" t="str">
        <f>IFERROR(__xludf.DUMMYFUNCTION("GOOGLETRANSLATE(C2150, ""en"", ""cs"")"),"Francouzská Polynésie")</f>
        <v>Francouzská Polynésie</v>
      </c>
      <c r="H2150" s="7" t="str">
        <f>IFERROR(__xludf.DUMMYFUNCTION("GOOGLETRANSLATE(C2150, ""en"", ""da"")"),"Fransk Polynesien")</f>
        <v>Fransk Polynesien</v>
      </c>
      <c r="I2150" s="1" t="s">
        <v>42580</v>
      </c>
      <c r="J2150" s="6" t="s">
        <v>132</v>
      </c>
      <c r="K2150" s="1" t="s">
        <v>42581</v>
      </c>
      <c r="L2150" s="7" t="str">
        <f>IFERROR(__xludf.DUMMYFUNCTION("GOOGLETRANSLATE(C2150, ""en"", ""fi"")"),"Ranskan Polynesia")</f>
        <v>Ranskan Polynesia</v>
      </c>
      <c r="M2150" s="1" t="s">
        <v>42582</v>
      </c>
      <c r="N2150" s="6" t="s">
        <v>132</v>
      </c>
      <c r="O2150" s="6" t="s">
        <v>132</v>
      </c>
      <c r="P2150" s="1" t="s">
        <v>42579</v>
      </c>
      <c r="Q2150" s="7" t="str">
        <f>IFERROR(__xludf.DUMMYFUNCTION("GOOGLETRANSLATE(C2150, ""en"", ""in"")"),"Polinesia Perancis")</f>
        <v>Polinesia Perancis</v>
      </c>
      <c r="R2150" s="7" t="str">
        <f>IFERROR(__xludf.DUMMYFUNCTION("GOOGLETRANSLATE(C2150, ""en"", ""it"")"),"Polinesia francese")</f>
        <v>Polinesia francese</v>
      </c>
      <c r="S2150" s="6" t="s">
        <v>132</v>
      </c>
      <c r="T2150" s="7" t="str">
        <f>IFERROR(__xludf.DUMMYFUNCTION("GOOGLETRANSLATE(C2150, ""en"", ""ja"")"),"フランス領ポリネシア")</f>
        <v>フランス領ポリネシア</v>
      </c>
      <c r="U2150" s="7" t="str">
        <f>IFERROR(__xludf.DUMMYFUNCTION("GOOGLETRANSLATE(C2150, ""en"", ""ko"")"),"프랑스 령 폴리네시아의")</f>
        <v>프랑스 령 폴리네시아의</v>
      </c>
      <c r="V2150" s="7" t="str">
        <f>IFERROR(__xludf.DUMMYFUNCTION("GOOGLETRANSLATE(C2150, ""en"", ""ms"")"),"Polynesia Perancis")</f>
        <v>Polynesia Perancis</v>
      </c>
      <c r="W2150" s="7" t="str">
        <f>IFERROR(__xludf.DUMMYFUNCTION("GOOGLETRANSLATE(C2150, ""en"", ""nl"")"),"Frans-Polynesië")</f>
        <v>Frans-Polynesië</v>
      </c>
      <c r="X2150" s="7" t="str">
        <f>IFERROR(__xludf.DUMMYFUNCTION("GOOGLETRANSLATE(C2150, ""en"", ""no"")"),"Fransk Polynesia")</f>
        <v>Fransk Polynesia</v>
      </c>
      <c r="Y2150" s="7" t="str">
        <f>IFERROR(__xludf.DUMMYFUNCTION("GOOGLETRANSLATE(C2150, ""en"", ""pl"")"),"Polinezja Francuska")</f>
        <v>Polinezja Francuska</v>
      </c>
      <c r="Z2150" s="7" t="str">
        <f>IFERROR(__xludf.DUMMYFUNCTION("GOOGLETRANSLATE(C2150, ""en"", ""pt"")"),"Polinésia Francesa")</f>
        <v>Polinésia Francesa</v>
      </c>
      <c r="AA2150" s="7" t="str">
        <f>IFERROR(__xludf.DUMMYFUNCTION("GOOGLETRANSLATE(C2150, ""en"", ""ro"")"),"Polinezia Franceză")</f>
        <v>Polinezia Franceză</v>
      </c>
      <c r="AB2150" s="1" t="s">
        <v>42583</v>
      </c>
      <c r="AC2150" s="7" t="str">
        <f>IFERROR(__xludf.DUMMYFUNCTION("GOOGLETRANSLATE(C2150, ""en"", ""sk"")"),"Francúzska Polynézia")</f>
        <v>Francúzska Polynézia</v>
      </c>
      <c r="AD2150" s="6" t="s">
        <v>132</v>
      </c>
      <c r="AE2150" s="1" t="s">
        <v>42584</v>
      </c>
      <c r="AF2150" s="7" t="str">
        <f>IFERROR(__xludf.DUMMYFUNCTION("GOOGLETRANSLATE(C2150, ""en"", ""sv"")"),"Fransk polynesi")</f>
        <v>Fransk polynesi</v>
      </c>
      <c r="AG2150" s="6" t="s">
        <v>132</v>
      </c>
      <c r="AH2150" s="7" t="str">
        <f>IFERROR(__xludf.DUMMYFUNCTION("GOOGLETRANSLATE(C2150, ""en"", ""tr"")"),"Fransız Polinezyası")</f>
        <v>Fransız Polinezyası</v>
      </c>
      <c r="AI2150" s="6" t="s">
        <v>132</v>
      </c>
      <c r="AJ2150" s="6" t="s">
        <v>132</v>
      </c>
      <c r="AK2150" s="7" t="str">
        <f>IFERROR(__xludf.DUMMYFUNCTION("GOOGLETRANSLATE(C2150, ""en"", ""zh"")"),"法国波利尼西亚")</f>
        <v>法国波利尼西亚</v>
      </c>
      <c r="AL2150" s="6" t="s">
        <v>132</v>
      </c>
    </row>
    <row r="2151" ht="15.75" hidden="1" customHeight="1">
      <c r="A2151" s="1" t="s">
        <v>38</v>
      </c>
      <c r="B2151" s="1" t="s">
        <v>42585</v>
      </c>
      <c r="C2151" s="1" t="s">
        <v>42586</v>
      </c>
      <c r="D2151" s="8" t="s">
        <v>42587</v>
      </c>
      <c r="E2151" s="1" t="s">
        <v>42588</v>
      </c>
      <c r="F2151" s="6" t="s">
        <v>42589</v>
      </c>
      <c r="G2151" s="7" t="str">
        <f>IFERROR(__xludf.DUMMYFUNCTION("GOOGLETRANSLATE(C2151, ""en"", ""cs"")"),"Posílením stohových stop pomáháte probíhajícímu vývoji konverzací n")</f>
        <v>Posílením stohových stop pomáháte probíhajícímu vývoji konverzací n</v>
      </c>
      <c r="H2151" s="7" t="str">
        <f>IFERROR(__xludf.DUMMYFUNCTION("GOOGLETRANSLATE(C2151, ""en"", ""da"")"),"Ved at sende i stakspor hjælper du den igangværende udvikling af samtaler \ n")</f>
        <v>Ved at sende i stakspor hjælper du den igangværende udvikling af samtaler \ n</v>
      </c>
      <c r="I2151" s="1" t="s">
        <v>42590</v>
      </c>
      <c r="J2151" s="6" t="s">
        <v>132</v>
      </c>
      <c r="K2151" s="1" t="s">
        <v>42591</v>
      </c>
      <c r="L2151" s="7" t="str">
        <f>IFERROR(__xludf.DUMMYFUNCTION("GOOGLETRANSLATE(C2151, ""en"", ""fi"")"),"Lähettämällä pinon jälkiä auttaessasi keskustelujen meneillään olevaa kehitystä \ n")</f>
        <v>Lähettämällä pinon jälkiä auttaessasi keskustelujen meneillään olevaa kehitystä \ n</v>
      </c>
      <c r="M2151" s="1" t="s">
        <v>42592</v>
      </c>
      <c r="N2151" s="6" t="s">
        <v>42593</v>
      </c>
      <c r="O2151" s="6" t="s">
        <v>132</v>
      </c>
      <c r="P2151" s="1" t="s">
        <v>42594</v>
      </c>
      <c r="Q2151" s="9" t="s">
        <v>42595</v>
      </c>
      <c r="R2151" s="1" t="s">
        <v>42596</v>
      </c>
      <c r="S2151" s="6" t="s">
        <v>132</v>
      </c>
      <c r="T2151" s="1" t="s">
        <v>42597</v>
      </c>
      <c r="U2151" s="1" t="s">
        <v>42598</v>
      </c>
      <c r="V2151" s="7" t="str">
        <f>IFERROR(__xludf.DUMMYFUNCTION("GOOGLETRANSLATE(C2151, ""en"", ""ms"")"),"Dengan menghantar dalam jejak timbunan anda membantu perkembangan perbualan yang berterusan \ n")</f>
        <v>Dengan menghantar dalam jejak timbunan anda membantu perkembangan perbualan yang berterusan \ n</v>
      </c>
      <c r="W2151" s="1" t="s">
        <v>42599</v>
      </c>
      <c r="X2151" s="7" t="str">
        <f>IFERROR(__xludf.DUMMYFUNCTION("GOOGLETRANSLATE(C2151, ""en"", ""no"")"),"Ved å sende inn stakk spor hjelper du den pågående utviklingen av samtaler \ n")</f>
        <v>Ved å sende inn stakk spor hjelper du den pågående utviklingen av samtaler \ n</v>
      </c>
      <c r="Y2151" s="1" t="s">
        <v>42600</v>
      </c>
      <c r="Z2151" s="1" t="s">
        <v>42601</v>
      </c>
      <c r="AA2151" s="7" t="str">
        <f>IFERROR(__xludf.DUMMYFUNCTION("GOOGLETRANSLATE(C2151, ""en"", ""ro"")"),"Prin trimiterea în TRACES STACK vă ajutați dezvoltarea continuă a conversațiilor \ n")</f>
        <v>Prin trimiterea în TRACES STACK vă ajutați dezvoltarea continuă a conversațiilor \ n</v>
      </c>
      <c r="AB2151" s="1" t="s">
        <v>42602</v>
      </c>
      <c r="AC2151" s="1" t="s">
        <v>42603</v>
      </c>
      <c r="AD2151" s="6" t="s">
        <v>132</v>
      </c>
      <c r="AE2151" s="1" t="s">
        <v>42604</v>
      </c>
      <c r="AF2151" s="1" t="s">
        <v>42605</v>
      </c>
      <c r="AG2151" s="6" t="s">
        <v>132</v>
      </c>
      <c r="AH2151" s="7" t="str">
        <f>IFERROR(__xludf.DUMMYFUNCTION("GOOGLETRANSLATE(C2151, ""en"", ""tr"")"),"Yığın izlerini göndererek, konuşmaların devam eden geliştirilmesine yardımcı olursunuz \ n")</f>
        <v>Yığın izlerini göndererek, konuşmaların devam eden geliştirilmesine yardımcı olursunuz \ n</v>
      </c>
      <c r="AI2151" s="6" t="s">
        <v>42606</v>
      </c>
      <c r="AJ2151" s="6" t="s">
        <v>42607</v>
      </c>
      <c r="AK2151" s="7" t="str">
        <f>IFERROR(__xludf.DUMMYFUNCTION("GOOGLETRANSLATE(C2151, ""en"", ""zh"")"),"通过在堆栈迹线中发送您正在帮助正在进行的对话发展\ n")</f>
        <v>通过在堆栈迹线中发送您正在帮助正在进行的对话发展\ n</v>
      </c>
      <c r="AL2151" s="6" t="s">
        <v>42608</v>
      </c>
    </row>
    <row r="2152" ht="15.75" customHeight="1">
      <c r="A2152" s="1" t="s">
        <v>127</v>
      </c>
      <c r="B2152" s="1" t="s">
        <v>42609</v>
      </c>
      <c r="C2152" s="1" t="s">
        <v>42610</v>
      </c>
      <c r="D2152" s="8" t="s">
        <v>42611</v>
      </c>
      <c r="E2152" s="1" t="s">
        <v>42612</v>
      </c>
      <c r="F2152" s="6" t="s">
        <v>132</v>
      </c>
      <c r="G2152" s="1" t="s">
        <v>42613</v>
      </c>
      <c r="H2152" s="1" t="s">
        <v>42614</v>
      </c>
      <c r="I2152" s="1" t="s">
        <v>42615</v>
      </c>
      <c r="J2152" s="6" t="s">
        <v>42616</v>
      </c>
      <c r="K2152" s="1" t="s">
        <v>42617</v>
      </c>
      <c r="L2152" s="1" t="s">
        <v>42618</v>
      </c>
      <c r="M2152" s="1" t="s">
        <v>42619</v>
      </c>
      <c r="N2152" s="6" t="s">
        <v>132</v>
      </c>
      <c r="O2152" s="6" t="s">
        <v>42620</v>
      </c>
      <c r="P2152" s="1" t="s">
        <v>42621</v>
      </c>
      <c r="Q2152" s="1" t="s">
        <v>42622</v>
      </c>
      <c r="R2152" s="1" t="s">
        <v>42623</v>
      </c>
      <c r="S2152" s="10" t="s">
        <v>42624</v>
      </c>
      <c r="T2152" s="1" t="s">
        <v>42625</v>
      </c>
      <c r="U2152" s="1" t="s">
        <v>42626</v>
      </c>
      <c r="V2152" s="1" t="s">
        <v>42622</v>
      </c>
      <c r="W2152" s="1" t="s">
        <v>42627</v>
      </c>
      <c r="X2152" s="1" t="s">
        <v>42628</v>
      </c>
      <c r="Y2152" s="1" t="s">
        <v>42629</v>
      </c>
      <c r="Z2152" s="1" t="s">
        <v>42630</v>
      </c>
      <c r="AA2152" s="7" t="str">
        <f>IFERROR(__xludf.DUMMYFUNCTION("GOOGLETRANSLATE(C2152, ""en"", ""ro"")"),"Grupați aceleași poziții")</f>
        <v>Grupați aceleași poziții</v>
      </c>
      <c r="AB2152" s="1" t="s">
        <v>42631</v>
      </c>
      <c r="AC2152" s="1" t="s">
        <v>42632</v>
      </c>
      <c r="AD2152" s="6" t="s">
        <v>42633</v>
      </c>
      <c r="AE2152" s="1" t="s">
        <v>42634</v>
      </c>
      <c r="AF2152" s="1" t="s">
        <v>42635</v>
      </c>
      <c r="AG2152" s="6" t="s">
        <v>42636</v>
      </c>
      <c r="AH2152" s="1" t="s">
        <v>42637</v>
      </c>
      <c r="AI2152" s="6" t="s">
        <v>132</v>
      </c>
      <c r="AJ2152" s="6" t="s">
        <v>42638</v>
      </c>
      <c r="AK2152" s="1" t="s">
        <v>42639</v>
      </c>
      <c r="AL2152" s="6" t="s">
        <v>132</v>
      </c>
    </row>
    <row r="2153" ht="15.75" customHeight="1">
      <c r="A2153" s="1" t="s">
        <v>127</v>
      </c>
      <c r="B2153" s="1" t="s">
        <v>42640</v>
      </c>
      <c r="C2153" s="1" t="s">
        <v>42641</v>
      </c>
      <c r="D2153" s="8" t="s">
        <v>42642</v>
      </c>
      <c r="E2153" s="1" t="s">
        <v>42643</v>
      </c>
      <c r="F2153" s="6" t="s">
        <v>132</v>
      </c>
      <c r="G2153" s="1" t="s">
        <v>42644</v>
      </c>
      <c r="H2153" s="1" t="s">
        <v>42645</v>
      </c>
      <c r="I2153" s="1" t="s">
        <v>42646</v>
      </c>
      <c r="J2153" s="6" t="s">
        <v>42647</v>
      </c>
      <c r="K2153" s="1" t="s">
        <v>42648</v>
      </c>
      <c r="L2153" s="1" t="s">
        <v>42649</v>
      </c>
      <c r="M2153" s="1" t="s">
        <v>42641</v>
      </c>
      <c r="N2153" s="6" t="s">
        <v>132</v>
      </c>
      <c r="O2153" s="6" t="s">
        <v>42650</v>
      </c>
      <c r="P2153" s="1" t="s">
        <v>42651</v>
      </c>
      <c r="Q2153" s="1" t="s">
        <v>42652</v>
      </c>
      <c r="R2153" s="1" t="s">
        <v>42653</v>
      </c>
      <c r="S2153" s="10" t="s">
        <v>42654</v>
      </c>
      <c r="T2153" s="1" t="s">
        <v>42655</v>
      </c>
      <c r="U2153" s="1" t="s">
        <v>42656</v>
      </c>
      <c r="V2153" s="1" t="s">
        <v>42652</v>
      </c>
      <c r="W2153" s="1" t="s">
        <v>42657</v>
      </c>
      <c r="X2153" s="1" t="s">
        <v>42658</v>
      </c>
      <c r="Y2153" s="1" t="s">
        <v>42659</v>
      </c>
      <c r="Z2153" s="1" t="s">
        <v>42660</v>
      </c>
      <c r="AA2153" s="7" t="str">
        <f>IFERROR(__xludf.DUMMYFUNCTION("GOOGLETRANSLATE(C2153, ""en"", ""ro"")"),"Datele Fondului.")</f>
        <v>Datele Fondului.</v>
      </c>
      <c r="AB2153" s="1" t="s">
        <v>42661</v>
      </c>
      <c r="AC2153" s="1" t="s">
        <v>42662</v>
      </c>
      <c r="AD2153" s="6" t="s">
        <v>42663</v>
      </c>
      <c r="AE2153" s="1" t="s">
        <v>42664</v>
      </c>
      <c r="AF2153" s="1" t="s">
        <v>42665</v>
      </c>
      <c r="AG2153" s="6" t="s">
        <v>42666</v>
      </c>
      <c r="AH2153" s="1" t="s">
        <v>42667</v>
      </c>
      <c r="AI2153" s="6" t="s">
        <v>132</v>
      </c>
      <c r="AJ2153" s="6" t="s">
        <v>42668</v>
      </c>
      <c r="AK2153" s="1" t="s">
        <v>42669</v>
      </c>
      <c r="AL2153" s="6" t="s">
        <v>42670</v>
      </c>
    </row>
    <row r="2154" ht="15.75" hidden="1" customHeight="1">
      <c r="A2154" s="1" t="s">
        <v>38</v>
      </c>
      <c r="B2154" s="1" t="s">
        <v>42671</v>
      </c>
      <c r="C2154" s="1" t="s">
        <v>42672</v>
      </c>
      <c r="D2154" s="7" t="str">
        <f>IFERROR(__xludf.DUMMYFUNCTION("GOOGLETRANSLATE(C2154, ""en"", ""ar"")"),"كوبا")</f>
        <v>كوبا</v>
      </c>
      <c r="E2154" s="7" t="str">
        <f>IFERROR(__xludf.DUMMYFUNCTION("GOOGLETRANSLATE(C2154, ""en"", ""bg"")"),"Куба")</f>
        <v>Куба</v>
      </c>
      <c r="F2154" s="6" t="s">
        <v>132</v>
      </c>
      <c r="G2154" s="7" t="str">
        <f>IFERROR(__xludf.DUMMYFUNCTION("GOOGLETRANSLATE(C2154, ""en"", ""cs"")"),"Kostka")</f>
        <v>Kostka</v>
      </c>
      <c r="H2154" s="7" t="str">
        <f>IFERROR(__xludf.DUMMYFUNCTION("GOOGLETRANSLATE(C2154, ""en"", ""da"")"),"Cuba.")</f>
        <v>Cuba.</v>
      </c>
      <c r="I2154" s="1" t="s">
        <v>42673</v>
      </c>
      <c r="J2154" s="6" t="s">
        <v>132</v>
      </c>
      <c r="K2154" s="1" t="s">
        <v>42672</v>
      </c>
      <c r="L2154" s="7" t="str">
        <f>IFERROR(__xludf.DUMMYFUNCTION("GOOGLETRANSLATE(C2154, ""en"", ""fi"")"),"Kuuba")</f>
        <v>Kuuba</v>
      </c>
      <c r="M2154" s="1" t="s">
        <v>42672</v>
      </c>
      <c r="N2154" s="6" t="s">
        <v>132</v>
      </c>
      <c r="O2154" s="6" t="s">
        <v>132</v>
      </c>
      <c r="P2154" s="1" t="s">
        <v>42672</v>
      </c>
      <c r="Q2154" s="7" t="str">
        <f>IFERROR(__xludf.DUMMYFUNCTION("GOOGLETRANSLATE(C2154, ""en"", ""in"")"),"Kuba")</f>
        <v>Kuba</v>
      </c>
      <c r="R2154" s="7" t="str">
        <f>IFERROR(__xludf.DUMMYFUNCTION("GOOGLETRANSLATE(C2154, ""en"", ""it"")"),"Cuba")</f>
        <v>Cuba</v>
      </c>
      <c r="S2154" s="6" t="s">
        <v>132</v>
      </c>
      <c r="T2154" s="7" t="str">
        <f>IFERROR(__xludf.DUMMYFUNCTION("GOOGLETRANSLATE(C2154, ""en"", ""ja"")"),"キューバ")</f>
        <v>キューバ</v>
      </c>
      <c r="U2154" s="7" t="str">
        <f>IFERROR(__xludf.DUMMYFUNCTION("GOOGLETRANSLATE(C2154, ""en"", ""ko"")"),"쿠바")</f>
        <v>쿠바</v>
      </c>
      <c r="V2154" s="7" t="str">
        <f>IFERROR(__xludf.DUMMYFUNCTION("GOOGLETRANSLATE(C2154, ""en"", ""ms"")"),"Cuba.")</f>
        <v>Cuba.</v>
      </c>
      <c r="W2154" s="7" t="str">
        <f>IFERROR(__xludf.DUMMYFUNCTION("GOOGLETRANSLATE(C2154, ""en"", ""nl"")"),"Cuba")</f>
        <v>Cuba</v>
      </c>
      <c r="X2154" s="7" t="str">
        <f>IFERROR(__xludf.DUMMYFUNCTION("GOOGLETRANSLATE(C2154, ""en"", ""no"")"),"Cuba.")</f>
        <v>Cuba.</v>
      </c>
      <c r="Y2154" s="7" t="str">
        <f>IFERROR(__xludf.DUMMYFUNCTION("GOOGLETRANSLATE(C2154, ""en"", ""pl"")"),"Kuba")</f>
        <v>Kuba</v>
      </c>
      <c r="Z2154" s="7" t="str">
        <f>IFERROR(__xludf.DUMMYFUNCTION("GOOGLETRANSLATE(C2154, ""en"", ""pt"")"),"Cuba")</f>
        <v>Cuba</v>
      </c>
      <c r="AA2154" s="7" t="str">
        <f>IFERROR(__xludf.DUMMYFUNCTION("GOOGLETRANSLATE(C2154, ""en"", ""ro"")"),"Cuba")</f>
        <v>Cuba</v>
      </c>
      <c r="AB2154" s="1" t="s">
        <v>42674</v>
      </c>
      <c r="AC2154" s="7" t="str">
        <f>IFERROR(__xludf.DUMMYFUNCTION("GOOGLETRANSLATE(C2154, ""en"", ""sk"")"),"Kuba")</f>
        <v>Kuba</v>
      </c>
      <c r="AD2154" s="6" t="s">
        <v>132</v>
      </c>
      <c r="AE2154" s="1" t="s">
        <v>42673</v>
      </c>
      <c r="AF2154" s="7" t="str">
        <f>IFERROR(__xludf.DUMMYFUNCTION("GOOGLETRANSLATE(C2154, ""en"", ""sv"")"),"Kuba")</f>
        <v>Kuba</v>
      </c>
      <c r="AG2154" s="6" t="s">
        <v>132</v>
      </c>
      <c r="AH2154" s="7" t="str">
        <f>IFERROR(__xludf.DUMMYFUNCTION("GOOGLETRANSLATE(C2154, ""en"", ""tr"")"),"Küba")</f>
        <v>Küba</v>
      </c>
      <c r="AI2154" s="6" t="s">
        <v>132</v>
      </c>
      <c r="AJ2154" s="6" t="s">
        <v>132</v>
      </c>
      <c r="AK2154" s="7" t="str">
        <f>IFERROR(__xludf.DUMMYFUNCTION("GOOGLETRANSLATE(C2154, ""en"", ""zh"")"),"古巴")</f>
        <v>古巴</v>
      </c>
      <c r="AL2154" s="6" t="s">
        <v>132</v>
      </c>
    </row>
    <row r="2155" ht="15.75" customHeight="1">
      <c r="A2155" s="1" t="s">
        <v>127</v>
      </c>
      <c r="B2155" s="1" t="s">
        <v>42675</v>
      </c>
      <c r="C2155" s="1" t="s">
        <v>42676</v>
      </c>
      <c r="D2155" s="8" t="s">
        <v>42677</v>
      </c>
      <c r="E2155" s="1" t="s">
        <v>42678</v>
      </c>
      <c r="F2155" s="6" t="s">
        <v>132</v>
      </c>
      <c r="G2155" s="1" t="s">
        <v>42679</v>
      </c>
      <c r="H2155" s="1" t="s">
        <v>42680</v>
      </c>
      <c r="I2155" s="1" t="s">
        <v>42676</v>
      </c>
      <c r="J2155" s="6" t="s">
        <v>42681</v>
      </c>
      <c r="K2155" s="1" t="s">
        <v>42682</v>
      </c>
      <c r="L2155" s="1" t="s">
        <v>42683</v>
      </c>
      <c r="M2155" s="1" t="s">
        <v>42684</v>
      </c>
      <c r="N2155" s="6" t="s">
        <v>132</v>
      </c>
      <c r="O2155" s="6" t="s">
        <v>42685</v>
      </c>
      <c r="P2155" s="1" t="s">
        <v>42686</v>
      </c>
      <c r="Q2155" s="1" t="s">
        <v>42687</v>
      </c>
      <c r="R2155" s="1" t="s">
        <v>42688</v>
      </c>
      <c r="S2155" s="10" t="s">
        <v>42689</v>
      </c>
      <c r="T2155" s="1" t="s">
        <v>42690</v>
      </c>
      <c r="U2155" s="1" t="s">
        <v>42691</v>
      </c>
      <c r="V2155" s="1" t="s">
        <v>42692</v>
      </c>
      <c r="W2155" s="1" t="s">
        <v>42693</v>
      </c>
      <c r="X2155" s="1" t="s">
        <v>42694</v>
      </c>
      <c r="Y2155" s="1" t="s">
        <v>42695</v>
      </c>
      <c r="Z2155" s="1" t="s">
        <v>42696</v>
      </c>
      <c r="AA2155" s="7" t="str">
        <f>IFERROR(__xludf.DUMMYFUNCTION("GOOGLETRANSLATE(C2155, ""en"", ""ro"")"),"Poziționați detalii")</f>
        <v>Poziționați detalii</v>
      </c>
      <c r="AB2155" s="1" t="s">
        <v>42697</v>
      </c>
      <c r="AC2155" s="1" t="s">
        <v>42698</v>
      </c>
      <c r="AD2155" s="6" t="s">
        <v>42699</v>
      </c>
      <c r="AE2155" s="1" t="s">
        <v>42700</v>
      </c>
      <c r="AF2155" s="1" t="s">
        <v>42701</v>
      </c>
      <c r="AG2155" s="6" t="s">
        <v>42702</v>
      </c>
      <c r="AH2155" s="1" t="s">
        <v>42703</v>
      </c>
      <c r="AI2155" s="6" t="s">
        <v>132</v>
      </c>
      <c r="AJ2155" s="6" t="s">
        <v>42704</v>
      </c>
      <c r="AK2155" s="1" t="s">
        <v>42705</v>
      </c>
      <c r="AL2155" s="6" t="s">
        <v>42706</v>
      </c>
    </row>
    <row r="2156" ht="15.75" hidden="1" customHeight="1">
      <c r="A2156" s="1" t="s">
        <v>38</v>
      </c>
      <c r="B2156" s="1" t="s">
        <v>42707</v>
      </c>
      <c r="C2156" s="1" t="s">
        <v>42708</v>
      </c>
      <c r="D2156" s="8" t="s">
        <v>42709</v>
      </c>
      <c r="E2156" s="1" t="s">
        <v>42710</v>
      </c>
      <c r="F2156" s="6" t="s">
        <v>42711</v>
      </c>
      <c r="G2156" s="7" t="str">
        <f>IFERROR(__xludf.DUMMYFUNCTION("GOOGLETRANSLATE(C2156, ""en"", ""cs"")"),"Byl vytvořen zabezpečené heslo")</f>
        <v>Byl vytvořen zabezpečené heslo</v>
      </c>
      <c r="H2156" s="7" t="str">
        <f>IFERROR(__xludf.DUMMYFUNCTION("GOOGLETRANSLATE(C2156, ""en"", ""da"")"),"En sikker adgangskode er blevet genereret")</f>
        <v>En sikker adgangskode er blevet genereret</v>
      </c>
      <c r="I2156" s="1" t="s">
        <v>42712</v>
      </c>
      <c r="J2156" s="6" t="s">
        <v>132</v>
      </c>
      <c r="K2156" s="1" t="s">
        <v>42713</v>
      </c>
      <c r="L2156" s="7" t="str">
        <f>IFERROR(__xludf.DUMMYFUNCTION("GOOGLETRANSLATE(C2156, ""en"", ""fi"")"),"Turvallinen salasana on luotu")</f>
        <v>Turvallinen salasana on luotu</v>
      </c>
      <c r="M2156" s="1" t="s">
        <v>42714</v>
      </c>
      <c r="N2156" s="6" t="s">
        <v>42715</v>
      </c>
      <c r="O2156" s="6" t="s">
        <v>132</v>
      </c>
      <c r="P2156" s="1" t="s">
        <v>42716</v>
      </c>
      <c r="Q2156" s="9" t="s">
        <v>42717</v>
      </c>
      <c r="R2156" s="1" t="s">
        <v>42718</v>
      </c>
      <c r="S2156" s="6" t="s">
        <v>132</v>
      </c>
      <c r="T2156" s="1" t="s">
        <v>42719</v>
      </c>
      <c r="U2156" s="1" t="s">
        <v>42720</v>
      </c>
      <c r="V2156" s="7" t="str">
        <f>IFERROR(__xludf.DUMMYFUNCTION("GOOGLETRANSLATE(C2156, ""en"", ""ms"")"),"Kata laluan yang selamat telah dijana")</f>
        <v>Kata laluan yang selamat telah dijana</v>
      </c>
      <c r="W2156" s="1" t="s">
        <v>42721</v>
      </c>
      <c r="X2156" s="7" t="str">
        <f>IFERROR(__xludf.DUMMYFUNCTION("GOOGLETRANSLATE(C2156, ""en"", ""no"")"),"Et sikkert passord er generert")</f>
        <v>Et sikkert passord er generert</v>
      </c>
      <c r="Y2156" s="1" t="s">
        <v>42722</v>
      </c>
      <c r="Z2156" s="1" t="s">
        <v>42723</v>
      </c>
      <c r="AA2156" s="7" t="str">
        <f>IFERROR(__xludf.DUMMYFUNCTION("GOOGLETRANSLATE(C2156, ""en"", ""ro"")"),"A fost generată o parolă securizată")</f>
        <v>A fost generată o parolă securizată</v>
      </c>
      <c r="AB2156" s="1" t="s">
        <v>42724</v>
      </c>
      <c r="AC2156" s="7" t="str">
        <f>IFERROR(__xludf.DUMMYFUNCTION("GOOGLETRANSLATE(C2156, ""en"", ""sk"")"),"Bolo vytvorené bezpečné heslo")</f>
        <v>Bolo vytvorené bezpečné heslo</v>
      </c>
      <c r="AD2156" s="6" t="s">
        <v>132</v>
      </c>
      <c r="AE2156" s="1" t="s">
        <v>42725</v>
      </c>
      <c r="AF2156" s="1" t="s">
        <v>42726</v>
      </c>
      <c r="AG2156" s="6" t="s">
        <v>132</v>
      </c>
      <c r="AH2156" s="7" t="str">
        <f>IFERROR(__xludf.DUMMYFUNCTION("GOOGLETRANSLATE(C2156, ""en"", ""tr"")"),"Güvenli bir şifre üretildi")</f>
        <v>Güvenli bir şifre üretildi</v>
      </c>
      <c r="AI2156" s="6" t="s">
        <v>42727</v>
      </c>
      <c r="AJ2156" s="6" t="s">
        <v>132</v>
      </c>
      <c r="AK2156" s="7" t="str">
        <f>IFERROR(__xludf.DUMMYFUNCTION("GOOGLETRANSLATE(C2156, ""en"", ""zh"")"),"已生成安全密码")</f>
        <v>已生成安全密码</v>
      </c>
      <c r="AL2156" s="6" t="s">
        <v>42728</v>
      </c>
    </row>
    <row r="2157" ht="15.75" hidden="1" customHeight="1">
      <c r="A2157" s="1" t="s">
        <v>38</v>
      </c>
      <c r="B2157" s="1" t="s">
        <v>42729</v>
      </c>
      <c r="C2157" s="1" t="s">
        <v>42730</v>
      </c>
      <c r="D2157" s="7" t="str">
        <f>IFERROR(__xludf.DUMMYFUNCTION("GOOGLETRANSLATE(C2157, ""en"", ""ar"")"),"أنغولا")</f>
        <v>أنغولا</v>
      </c>
      <c r="E2157" s="7" t="str">
        <f>IFERROR(__xludf.DUMMYFUNCTION("GOOGLETRANSLATE(C2157, ""en"", ""bg"")"),"Ангола")</f>
        <v>Ангола</v>
      </c>
      <c r="F2157" s="6" t="s">
        <v>132</v>
      </c>
      <c r="G2157" s="7" t="str">
        <f>IFERROR(__xludf.DUMMYFUNCTION("GOOGLETRANSLATE(C2157, ""en"", ""cs"")"),"Angola")</f>
        <v>Angola</v>
      </c>
      <c r="H2157" s="7" t="str">
        <f>IFERROR(__xludf.DUMMYFUNCTION("GOOGLETRANSLATE(C2157, ""en"", ""da"")"),"Angola.")</f>
        <v>Angola.</v>
      </c>
      <c r="I2157" s="1" t="s">
        <v>42730</v>
      </c>
      <c r="J2157" s="6" t="s">
        <v>132</v>
      </c>
      <c r="K2157" s="1" t="s">
        <v>42730</v>
      </c>
      <c r="L2157" s="7" t="str">
        <f>IFERROR(__xludf.DUMMYFUNCTION("GOOGLETRANSLATE(C2157, ""en"", ""fi"")"),"Angola")</f>
        <v>Angola</v>
      </c>
      <c r="M2157" s="1" t="s">
        <v>42730</v>
      </c>
      <c r="N2157" s="6" t="s">
        <v>132</v>
      </c>
      <c r="O2157" s="6" t="s">
        <v>132</v>
      </c>
      <c r="P2157" s="1" t="s">
        <v>42730</v>
      </c>
      <c r="Q2157" s="7" t="str">
        <f>IFERROR(__xludf.DUMMYFUNCTION("GOOGLETRANSLATE(C2157, ""en"", ""in"")"),"Angola.")</f>
        <v>Angola.</v>
      </c>
      <c r="R2157" s="7" t="str">
        <f>IFERROR(__xludf.DUMMYFUNCTION("GOOGLETRANSLATE(C2157, ""en"", ""it"")"),"Angola")</f>
        <v>Angola</v>
      </c>
      <c r="S2157" s="6" t="s">
        <v>132</v>
      </c>
      <c r="T2157" s="7" t="str">
        <f>IFERROR(__xludf.DUMMYFUNCTION("GOOGLETRANSLATE(C2157, ""en"", ""ja"")"),"アンゴラ")</f>
        <v>アンゴラ</v>
      </c>
      <c r="U2157" s="7" t="str">
        <f>IFERROR(__xludf.DUMMYFUNCTION("GOOGLETRANSLATE(C2157, ""en"", ""ko"")"),"앙골라")</f>
        <v>앙골라</v>
      </c>
      <c r="V2157" s="7" t="str">
        <f>IFERROR(__xludf.DUMMYFUNCTION("GOOGLETRANSLATE(C2157, ""en"", ""ms"")"),"Angola.")</f>
        <v>Angola.</v>
      </c>
      <c r="W2157" s="7" t="str">
        <f>IFERROR(__xludf.DUMMYFUNCTION("GOOGLETRANSLATE(C2157, ""en"", ""nl"")"),"Angola")</f>
        <v>Angola</v>
      </c>
      <c r="X2157" s="7" t="str">
        <f>IFERROR(__xludf.DUMMYFUNCTION("GOOGLETRANSLATE(C2157, ""en"", ""no"")"),"Angola.")</f>
        <v>Angola.</v>
      </c>
      <c r="Y2157" s="7" t="str">
        <f>IFERROR(__xludf.DUMMYFUNCTION("GOOGLETRANSLATE(C2157, ""en"", ""pl"")"),"Angola")</f>
        <v>Angola</v>
      </c>
      <c r="Z2157" s="7" t="str">
        <f>IFERROR(__xludf.DUMMYFUNCTION("GOOGLETRANSLATE(C2157, ""en"", ""pt"")"),"Angola")</f>
        <v>Angola</v>
      </c>
      <c r="AA2157" s="7" t="str">
        <f>IFERROR(__xludf.DUMMYFUNCTION("GOOGLETRANSLATE(C2157, ""en"", ""ro"")"),"Angola")</f>
        <v>Angola</v>
      </c>
      <c r="AB2157" s="1" t="s">
        <v>42731</v>
      </c>
      <c r="AC2157" s="7" t="str">
        <f>IFERROR(__xludf.DUMMYFUNCTION("GOOGLETRANSLATE(C2157, ""en"", ""sk"")"),"Hojdačka")</f>
        <v>Hojdačka</v>
      </c>
      <c r="AD2157" s="6" t="s">
        <v>132</v>
      </c>
      <c r="AE2157" s="1" t="s">
        <v>42730</v>
      </c>
      <c r="AF2157" s="7" t="str">
        <f>IFERROR(__xludf.DUMMYFUNCTION("GOOGLETRANSLATE(C2157, ""en"", ""sv"")"),"Angola")</f>
        <v>Angola</v>
      </c>
      <c r="AG2157" s="6" t="s">
        <v>132</v>
      </c>
      <c r="AH2157" s="7" t="str">
        <f>IFERROR(__xludf.DUMMYFUNCTION("GOOGLETRANSLATE(C2157, ""en"", ""tr"")"),"Angola")</f>
        <v>Angola</v>
      </c>
      <c r="AI2157" s="6" t="s">
        <v>132</v>
      </c>
      <c r="AJ2157" s="6" t="s">
        <v>132</v>
      </c>
      <c r="AK2157" s="7" t="str">
        <f>IFERROR(__xludf.DUMMYFUNCTION("GOOGLETRANSLATE(C2157, ""en"", ""zh"")"),"安哥拉")</f>
        <v>安哥拉</v>
      </c>
      <c r="AL2157" s="6" t="s">
        <v>132</v>
      </c>
    </row>
    <row r="2158" ht="15.75" hidden="1" customHeight="1">
      <c r="A2158" s="1" t="s">
        <v>38</v>
      </c>
      <c r="B2158" s="1" t="s">
        <v>42732</v>
      </c>
      <c r="C2158" s="1" t="s">
        <v>42733</v>
      </c>
      <c r="D2158" s="7" t="str">
        <f>IFERROR(__xludf.DUMMYFUNCTION("GOOGLETRANSLATE(C2158, ""en"", ""ar"")"),"اكتب رسالة...")</f>
        <v>اكتب رسالة...</v>
      </c>
      <c r="E2158" s="7" t="str">
        <f>IFERROR(__xludf.DUMMYFUNCTION("GOOGLETRANSLATE(C2158, ""en"", ""bg"")"),"Напишете съобщение ...")</f>
        <v>Напишете съобщение ...</v>
      </c>
      <c r="F2158" s="6" t="s">
        <v>132</v>
      </c>
      <c r="G2158" s="7" t="str">
        <f>IFERROR(__xludf.DUMMYFUNCTION("GOOGLETRANSLATE(C2158, ""en"", ""cs"")"),"Napsat zprávu...")</f>
        <v>Napsat zprávu...</v>
      </c>
      <c r="H2158" s="7" t="str">
        <f>IFERROR(__xludf.DUMMYFUNCTION("GOOGLETRANSLATE(C2158, ""en"", ""da"")"),"Skriv besked ...")</f>
        <v>Skriv besked ...</v>
      </c>
      <c r="I2158" s="1" t="s">
        <v>42734</v>
      </c>
      <c r="J2158" s="6" t="s">
        <v>132</v>
      </c>
      <c r="K2158" s="1" t="s">
        <v>42735</v>
      </c>
      <c r="L2158" s="7" t="str">
        <f>IFERROR(__xludf.DUMMYFUNCTION("GOOGLETRANSLATE(C2158, ""en"", ""fi"")"),"Kirjoita viesti...")</f>
        <v>Kirjoita viesti...</v>
      </c>
      <c r="M2158" s="1" t="s">
        <v>42736</v>
      </c>
      <c r="N2158" s="6" t="s">
        <v>132</v>
      </c>
      <c r="O2158" s="6" t="s">
        <v>132</v>
      </c>
      <c r="P2158" s="1" t="s">
        <v>42737</v>
      </c>
      <c r="Q2158" s="7" t="str">
        <f>IFERROR(__xludf.DUMMYFUNCTION("GOOGLETRANSLATE(C2158, ""en"", ""in"")"),"Menulis pesan...")</f>
        <v>Menulis pesan...</v>
      </c>
      <c r="R2158" s="7" t="str">
        <f>IFERROR(__xludf.DUMMYFUNCTION("GOOGLETRANSLATE(C2158, ""en"", ""it"")"),"Scrivi un messaggio...")</f>
        <v>Scrivi un messaggio...</v>
      </c>
      <c r="S2158" s="6" t="s">
        <v>132</v>
      </c>
      <c r="T2158" s="7" t="str">
        <f>IFERROR(__xludf.DUMMYFUNCTION("GOOGLETRANSLATE(C2158, ""en"", ""ja"")"),"メッセージを書く...")</f>
        <v>メッセージを書く...</v>
      </c>
      <c r="U2158" s="7" t="str">
        <f>IFERROR(__xludf.DUMMYFUNCTION("GOOGLETRANSLATE(C2158, ""en"", ""ko"")"),"메시지 쓰기 ...")</f>
        <v>메시지 쓰기 ...</v>
      </c>
      <c r="V2158" s="7" t="str">
        <f>IFERROR(__xludf.DUMMYFUNCTION("GOOGLETRANSLATE(C2158, ""en"", ""ms"")"),"Tulis mesej ...")</f>
        <v>Tulis mesej ...</v>
      </c>
      <c r="W2158" s="7" t="str">
        <f>IFERROR(__xludf.DUMMYFUNCTION("GOOGLETRANSLATE(C2158, ""en"", ""nl"")"),"Schrijf een bericht...")</f>
        <v>Schrijf een bericht...</v>
      </c>
      <c r="X2158" s="7" t="str">
        <f>IFERROR(__xludf.DUMMYFUNCTION("GOOGLETRANSLATE(C2158, ""en"", ""no"")"),"Skriv melding ...")</f>
        <v>Skriv melding ...</v>
      </c>
      <c r="Y2158" s="7" t="str">
        <f>IFERROR(__xludf.DUMMYFUNCTION("GOOGLETRANSLATE(C2158, ""en"", ""pl"")"),"Pisać wiadomość...")</f>
        <v>Pisać wiadomość...</v>
      </c>
      <c r="Z2158" s="7" t="str">
        <f>IFERROR(__xludf.DUMMYFUNCTION("GOOGLETRANSLATE(C2158, ""en"", ""pt"")"),"Escrever mensagem...")</f>
        <v>Escrever mensagem...</v>
      </c>
      <c r="AA2158" s="7" t="str">
        <f>IFERROR(__xludf.DUMMYFUNCTION("GOOGLETRANSLATE(C2158, ""en"", ""ro"")"),"Scrie mesaj...")</f>
        <v>Scrie mesaj...</v>
      </c>
      <c r="AB2158" s="1" t="s">
        <v>42738</v>
      </c>
      <c r="AC2158" s="7" t="str">
        <f>IFERROR(__xludf.DUMMYFUNCTION("GOOGLETRANSLATE(C2158, ""en"", ""sk"")"),"Napíšte správu ...")</f>
        <v>Napíšte správu ...</v>
      </c>
      <c r="AD2158" s="6" t="s">
        <v>132</v>
      </c>
      <c r="AE2158" s="1" t="s">
        <v>42739</v>
      </c>
      <c r="AF2158" s="7" t="str">
        <f>IFERROR(__xludf.DUMMYFUNCTION("GOOGLETRANSLATE(C2158, ""en"", ""sv"")"),"Skriv meddelande ...")</f>
        <v>Skriv meddelande ...</v>
      </c>
      <c r="AG2158" s="6" t="s">
        <v>132</v>
      </c>
      <c r="AH2158" s="7" t="str">
        <f>IFERROR(__xludf.DUMMYFUNCTION("GOOGLETRANSLATE(C2158, ""en"", ""tr"")"),"Mesaj Yaz...")</f>
        <v>Mesaj Yaz...</v>
      </c>
      <c r="AI2158" s="6" t="s">
        <v>132</v>
      </c>
      <c r="AJ2158" s="6" t="s">
        <v>132</v>
      </c>
      <c r="AK2158" s="7" t="str">
        <f>IFERROR(__xludf.DUMMYFUNCTION("GOOGLETRANSLATE(C2158, ""en"", ""zh"")"),"写信息...")</f>
        <v>写信息...</v>
      </c>
      <c r="AL2158" s="6" t="s">
        <v>132</v>
      </c>
    </row>
    <row r="2159" ht="15.75" hidden="1" customHeight="1">
      <c r="A2159" s="1" t="s">
        <v>38</v>
      </c>
      <c r="B2159" s="1" t="s">
        <v>42740</v>
      </c>
      <c r="C2159" s="1" t="s">
        <v>42741</v>
      </c>
      <c r="D2159" s="8" t="s">
        <v>42742</v>
      </c>
      <c r="E2159" s="1" t="s">
        <v>42743</v>
      </c>
      <c r="F2159" s="6" t="s">
        <v>42744</v>
      </c>
      <c r="G2159" s="7" t="str">
        <f>IFERROR(__xludf.DUMMYFUNCTION("GOOGLETRANSLATE(C2159, ""en"", ""cs"")"),"Nechte všechny vaše kontakty vědět, kdy používáte konverzace")</f>
        <v>Nechte všechny vaše kontakty vědět, kdy používáte konverzace</v>
      </c>
      <c r="H2159" s="7" t="str">
        <f>IFERROR(__xludf.DUMMYFUNCTION("GOOGLETRANSLATE(C2159, ""en"", ""da"")"),"Lad alle dine kontakter vide, når du bruger samtaler")</f>
        <v>Lad alle dine kontakter vide, når du bruger samtaler</v>
      </c>
      <c r="I2159" s="1" t="s">
        <v>42745</v>
      </c>
      <c r="J2159" s="6" t="s">
        <v>132</v>
      </c>
      <c r="K2159" s="1" t="s">
        <v>42746</v>
      </c>
      <c r="L2159" s="7" t="str">
        <f>IFERROR(__xludf.DUMMYFUNCTION("GOOGLETRANSLATE(C2159, ""en"", ""fi"")"),"Anna kaikki yhteystiedot, kun käytät keskusteluja")</f>
        <v>Anna kaikki yhteystiedot, kun käytät keskusteluja</v>
      </c>
      <c r="M2159" s="1" t="s">
        <v>42747</v>
      </c>
      <c r="N2159" s="6" t="s">
        <v>42748</v>
      </c>
      <c r="O2159" s="6" t="s">
        <v>132</v>
      </c>
      <c r="P2159" s="1" t="s">
        <v>42749</v>
      </c>
      <c r="Q2159" s="7" t="str">
        <f>IFERROR(__xludf.DUMMYFUNCTION("GOOGLETRANSLATE(C2159, ""en"", ""in"")"),"Biarkan semua kontak Anda tahu ketika Anda menggunakan percakapan")</f>
        <v>Biarkan semua kontak Anda tahu ketika Anda menggunakan percakapan</v>
      </c>
      <c r="R2159" s="1" t="s">
        <v>42750</v>
      </c>
      <c r="S2159" s="6" t="s">
        <v>132</v>
      </c>
      <c r="T2159" s="1" t="s">
        <v>42751</v>
      </c>
      <c r="U2159" s="1" t="s">
        <v>42752</v>
      </c>
      <c r="V2159" s="7" t="str">
        <f>IFERROR(__xludf.DUMMYFUNCTION("GOOGLETRANSLATE(C2159, ""en"", ""ms"")"),"Biarkan semua kenalan anda tahu apabila anda menggunakan perbualan")</f>
        <v>Biarkan semua kenalan anda tahu apabila anda menggunakan perbualan</v>
      </c>
      <c r="W2159" s="1" t="s">
        <v>42753</v>
      </c>
      <c r="X2159" s="7" t="str">
        <f>IFERROR(__xludf.DUMMYFUNCTION("GOOGLETRANSLATE(C2159, ""en"", ""no"")"),"La alle kontaktene dine vite når du bruker samtaler")</f>
        <v>La alle kontaktene dine vite når du bruker samtaler</v>
      </c>
      <c r="Y2159" s="1" t="s">
        <v>42754</v>
      </c>
      <c r="Z2159" s="7" t="str">
        <f>IFERROR(__xludf.DUMMYFUNCTION("GOOGLETRANSLATE(C2159, ""en"", ""pt"")"),"Deixe todos os seus contatos saberem quando você usa conversas")</f>
        <v>Deixe todos os seus contatos saberem quando você usa conversas</v>
      </c>
      <c r="AA2159" s="7" t="str">
        <f>IFERROR(__xludf.DUMMYFUNCTION("GOOGLETRANSLATE(C2159, ""en"", ""ro"")"),"Lăsați toate contactele dvs. să știe când utilizați conversații")</f>
        <v>Lăsați toate contactele dvs. să știe când utilizați conversații</v>
      </c>
      <c r="AB2159" s="1" t="s">
        <v>42755</v>
      </c>
      <c r="AC2159" s="7" t="str">
        <f>IFERROR(__xludf.DUMMYFUNCTION("GOOGLETRANSLATE(C2159, ""en"", ""sk"")"),"Nechajte všetky vaše kontakty vedieť, keď používate konverzácie")</f>
        <v>Nechajte všetky vaše kontakty vedieť, keď používate konverzácie</v>
      </c>
      <c r="AD2159" s="6" t="s">
        <v>132</v>
      </c>
      <c r="AE2159" s="1" t="s">
        <v>42756</v>
      </c>
      <c r="AF2159" s="1" t="s">
        <v>42757</v>
      </c>
      <c r="AG2159" s="6" t="s">
        <v>132</v>
      </c>
      <c r="AH2159" s="7" t="str">
        <f>IFERROR(__xludf.DUMMYFUNCTION("GOOGLETRANSLATE(C2159, ""en"", ""tr"")"),"Konuşmaları kullandığınızda tüm kişilerinizin bilmesini sağlayın.")</f>
        <v>Konuşmaları kullandığınızda tüm kişilerinizin bilmesini sağlayın.</v>
      </c>
      <c r="AI2159" s="6" t="s">
        <v>42758</v>
      </c>
      <c r="AJ2159" s="6" t="s">
        <v>132</v>
      </c>
      <c r="AK2159" s="7" t="str">
        <f>IFERROR(__xludf.DUMMYFUNCTION("GOOGLETRANSLATE(C2159, ""en"", ""zh"")"),"让所有联系人都知道您使用对话时")</f>
        <v>让所有联系人都知道您使用对话时</v>
      </c>
      <c r="AL2159" s="6" t="s">
        <v>42759</v>
      </c>
    </row>
    <row r="2160" ht="15.75" hidden="1" customHeight="1">
      <c r="A2160" s="1" t="s">
        <v>38</v>
      </c>
      <c r="B2160" s="1" t="s">
        <v>42760</v>
      </c>
      <c r="C2160" s="1" t="s">
        <v>42761</v>
      </c>
      <c r="D2160" s="8" t="s">
        <v>42762</v>
      </c>
      <c r="E2160" s="1" t="s">
        <v>42763</v>
      </c>
      <c r="F2160" s="6" t="s">
        <v>42764</v>
      </c>
      <c r="G2160" s="7" t="str">
        <f>IFERROR(__xludf.DUMMYFUNCTION("GOOGLETRANSLATE(C2160, ""en"", ""cs"")"),"Sdílet jako HTTP odkaz")</f>
        <v>Sdílet jako HTTP odkaz</v>
      </c>
      <c r="H2160" s="7" t="str">
        <f>IFERROR(__xludf.DUMMYFUNCTION("GOOGLETRANSLATE(C2160, ""en"", ""da"")"),"Del som HTTP link")</f>
        <v>Del som HTTP link</v>
      </c>
      <c r="I2160" s="1" t="s">
        <v>42765</v>
      </c>
      <c r="J2160" s="6" t="s">
        <v>132</v>
      </c>
      <c r="K2160" s="1" t="s">
        <v>42766</v>
      </c>
      <c r="L2160" s="7" t="str">
        <f>IFERROR(__xludf.DUMMYFUNCTION("GOOGLETRANSLATE(C2160, ""en"", ""fi"")"),"Jaa HTTP LINK")</f>
        <v>Jaa HTTP LINK</v>
      </c>
      <c r="M2160" s="1" t="s">
        <v>42767</v>
      </c>
      <c r="N2160" s="6" t="s">
        <v>42768</v>
      </c>
      <c r="O2160" s="6" t="s">
        <v>132</v>
      </c>
      <c r="P2160" s="1" t="s">
        <v>42769</v>
      </c>
      <c r="Q2160" s="7" t="str">
        <f>IFERROR(__xludf.DUMMYFUNCTION("GOOGLETRANSLATE(C2160, ""en"", ""in"")"),"Bagikan sebagai tautan HTTP")</f>
        <v>Bagikan sebagai tautan HTTP</v>
      </c>
      <c r="R2160" s="1" t="s">
        <v>42770</v>
      </c>
      <c r="S2160" s="6" t="s">
        <v>132</v>
      </c>
      <c r="T2160" s="1" t="s">
        <v>42771</v>
      </c>
      <c r="U2160" s="1" t="s">
        <v>42772</v>
      </c>
      <c r="V2160" s="7" t="str">
        <f>IFERROR(__xludf.DUMMYFUNCTION("GOOGLETRANSLATE(C2160, ""en"", ""ms"")"),"Kongsi sebagai pautan http")</f>
        <v>Kongsi sebagai pautan http</v>
      </c>
      <c r="W2160" s="1" t="s">
        <v>42773</v>
      </c>
      <c r="X2160" s="7" t="str">
        <f>IFERROR(__xludf.DUMMYFUNCTION("GOOGLETRANSLATE(C2160, ""en"", ""no"")"),"Del som http-lenke")</f>
        <v>Del som http-lenke</v>
      </c>
      <c r="Y2160" s="1" t="s">
        <v>42774</v>
      </c>
      <c r="Z2160" s="7" t="str">
        <f>IFERROR(__xludf.DUMMYFUNCTION("GOOGLETRANSLATE(C2160, ""en"", ""pt"")"),"Compartilhe como link HTTP")</f>
        <v>Compartilhe como link HTTP</v>
      </c>
      <c r="AA2160" s="7" t="str">
        <f>IFERROR(__xludf.DUMMYFUNCTION("GOOGLETRANSLATE(C2160, ""en"", ""ro"")"),"Trimiteți ca legătura HTTP")</f>
        <v>Trimiteți ca legătura HTTP</v>
      </c>
      <c r="AB2160" s="1" t="s">
        <v>42775</v>
      </c>
      <c r="AC2160" s="7" t="str">
        <f>IFERROR(__xludf.DUMMYFUNCTION("GOOGLETRANSLATE(C2160, ""en"", ""sk"")"),"Zdieľajte ako odkaz HTTP")</f>
        <v>Zdieľajte ako odkaz HTTP</v>
      </c>
      <c r="AD2160" s="6" t="s">
        <v>132</v>
      </c>
      <c r="AE2160" s="1" t="s">
        <v>42776</v>
      </c>
      <c r="AF2160" s="1" t="s">
        <v>42777</v>
      </c>
      <c r="AG2160" s="6" t="s">
        <v>132</v>
      </c>
      <c r="AH2160" s="7" t="str">
        <f>IFERROR(__xludf.DUMMYFUNCTION("GOOGLETRANSLATE(C2160, ""en"", ""tr"")"),"HTTP bağlantısı olarak paylaşın")</f>
        <v>HTTP bağlantısı olarak paylaşın</v>
      </c>
      <c r="AI2160" s="6" t="s">
        <v>42778</v>
      </c>
      <c r="AJ2160" s="6" t="s">
        <v>132</v>
      </c>
      <c r="AK2160" s="7" t="str">
        <f>IFERROR(__xludf.DUMMYFUNCTION("GOOGLETRANSLATE(C2160, ""en"", ""zh"")"),"分享作为HTTP链接")</f>
        <v>分享作为HTTP链接</v>
      </c>
      <c r="AL2160" s="6" t="s">
        <v>42779</v>
      </c>
    </row>
    <row r="2161" ht="15.75" hidden="1" customHeight="1">
      <c r="A2161" s="1" t="s">
        <v>38</v>
      </c>
      <c r="B2161" s="1" t="s">
        <v>42780</v>
      </c>
      <c r="C2161" s="1" t="s">
        <v>42781</v>
      </c>
      <c r="D2161" s="8" t="s">
        <v>42782</v>
      </c>
      <c r="E2161" s="1" t="s">
        <v>42783</v>
      </c>
      <c r="F2161" s="6" t="s">
        <v>42784</v>
      </c>
      <c r="G2161" s="7" t="str">
        <f>IFERROR(__xludf.DUMMYFUNCTION("GOOGLETRANSLATE(C2161, ""en"", ""cs"")"),"Zakázat šifrování")</f>
        <v>Zakázat šifrování</v>
      </c>
      <c r="H2161" s="7" t="str">
        <f>IFERROR(__xludf.DUMMYFUNCTION("GOOGLETRANSLATE(C2161, ""en"", ""da"")"),"Deaktiver kryptering")</f>
        <v>Deaktiver kryptering</v>
      </c>
      <c r="I2161" s="1" t="s">
        <v>42785</v>
      </c>
      <c r="J2161" s="6" t="s">
        <v>132</v>
      </c>
      <c r="K2161" s="1" t="s">
        <v>42786</v>
      </c>
      <c r="L2161" s="7" t="str">
        <f>IFERROR(__xludf.DUMMYFUNCTION("GOOGLETRANSLATE(C2161, ""en"", ""fi"")"),"Poista salaus käytöstä")</f>
        <v>Poista salaus käytöstä</v>
      </c>
      <c r="M2161" s="1" t="s">
        <v>42787</v>
      </c>
      <c r="N2161" s="6" t="s">
        <v>42788</v>
      </c>
      <c r="O2161" s="6" t="s">
        <v>132</v>
      </c>
      <c r="P2161" s="1" t="s">
        <v>42789</v>
      </c>
      <c r="Q2161" s="7" t="str">
        <f>IFERROR(__xludf.DUMMYFUNCTION("GOOGLETRANSLATE(C2161, ""en"", ""in"")"),"Nonaktifkan enkripsi")</f>
        <v>Nonaktifkan enkripsi</v>
      </c>
      <c r="R2161" s="1" t="s">
        <v>42790</v>
      </c>
      <c r="S2161" s="6" t="s">
        <v>132</v>
      </c>
      <c r="T2161" s="1" t="s">
        <v>42791</v>
      </c>
      <c r="U2161" s="7" t="str">
        <f>IFERROR(__xludf.DUMMYFUNCTION("GOOGLETRANSLATE(C2161, ""en"", ""ko"")"),"암호화를 비활성화합니다")</f>
        <v>암호화를 비활성화합니다</v>
      </c>
      <c r="V2161" s="7" t="str">
        <f>IFERROR(__xludf.DUMMYFUNCTION("GOOGLETRANSLATE(C2161, ""en"", ""ms"")"),"Lumpuhkan penyulitan")</f>
        <v>Lumpuhkan penyulitan</v>
      </c>
      <c r="W2161" s="1" t="s">
        <v>42792</v>
      </c>
      <c r="X2161" s="7" t="str">
        <f>IFERROR(__xludf.DUMMYFUNCTION("GOOGLETRANSLATE(C2161, ""en"", ""no"")"),"Deaktiver kryptering")</f>
        <v>Deaktiver kryptering</v>
      </c>
      <c r="Y2161" s="1" t="s">
        <v>42793</v>
      </c>
      <c r="Z2161" s="7" t="str">
        <f>IFERROR(__xludf.DUMMYFUNCTION("GOOGLETRANSLATE(C2161, ""en"", ""pt"")"),"Desativar criptografia")</f>
        <v>Desativar criptografia</v>
      </c>
      <c r="AA2161" s="7" t="str">
        <f>IFERROR(__xludf.DUMMYFUNCTION("GOOGLETRANSLATE(C2161, ""en"", ""ro"")"),"Dezactivați criptarea")</f>
        <v>Dezactivați criptarea</v>
      </c>
      <c r="AB2161" s="1" t="s">
        <v>42794</v>
      </c>
      <c r="AC2161" s="7" t="str">
        <f>IFERROR(__xludf.DUMMYFUNCTION("GOOGLETRANSLATE(C2161, ""en"", ""sk"")"),"Zakázať šifrovanie")</f>
        <v>Zakázať šifrovanie</v>
      </c>
      <c r="AD2161" s="6" t="s">
        <v>132</v>
      </c>
      <c r="AE2161" s="7" t="str">
        <f>IFERROR(__xludf.DUMMYFUNCTION("GOOGLETRANSLATE(C2161, ""en"", ""sr"")"),"Онемогући шифровање")</f>
        <v>Онемогући шифровање</v>
      </c>
      <c r="AF2161" s="7" t="str">
        <f>IFERROR(__xludf.DUMMYFUNCTION("GOOGLETRANSLATE(C2161, ""en"", ""sv"")"),"Inaktivera kryptering")</f>
        <v>Inaktivera kryptering</v>
      </c>
      <c r="AG2161" s="6" t="s">
        <v>132</v>
      </c>
      <c r="AH2161" s="7" t="str">
        <f>IFERROR(__xludf.DUMMYFUNCTION("GOOGLETRANSLATE(C2161, ""en"", ""tr"")"),"Şifrelemeyi devre dışı bırak")</f>
        <v>Şifrelemeyi devre dışı bırak</v>
      </c>
      <c r="AI2161" s="6" t="s">
        <v>132</v>
      </c>
      <c r="AJ2161" s="6" t="s">
        <v>132</v>
      </c>
      <c r="AK2161" s="7" t="str">
        <f>IFERROR(__xludf.DUMMYFUNCTION("GOOGLETRANSLATE(C2161, ""en"", ""zh"")"),"禁用加密")</f>
        <v>禁用加密</v>
      </c>
      <c r="AL2161" s="6" t="s">
        <v>132</v>
      </c>
    </row>
    <row r="2162" ht="15.75" hidden="1" customHeight="1">
      <c r="A2162" s="1" t="s">
        <v>38</v>
      </c>
      <c r="B2162" s="1" t="s">
        <v>42795</v>
      </c>
      <c r="C2162" s="1" t="s">
        <v>42796</v>
      </c>
      <c r="D2162" s="7" t="str">
        <f>IFERROR(__xludf.DUMMYFUNCTION("GOOGLETRANSLATE(C2162, ""en"", ""ar"")"),"إزالة رسالة الدردشة:")</f>
        <v>إزالة رسالة الدردشة:</v>
      </c>
      <c r="E2162" s="7" t="str">
        <f>IFERROR(__xludf.DUMMYFUNCTION("GOOGLETRANSLATE(C2162, ""en"", ""bg"")"),"Премахване на чат съобщение:")</f>
        <v>Премахване на чат съобщение:</v>
      </c>
      <c r="F2162" s="6" t="s">
        <v>132</v>
      </c>
      <c r="G2162" s="7" t="str">
        <f>IFERROR(__xludf.DUMMYFUNCTION("GOOGLETRANSLATE(C2162, ""en"", ""cs"")"),"Odebrat zprávu chatu:")</f>
        <v>Odebrat zprávu chatu:</v>
      </c>
      <c r="H2162" s="7" t="str">
        <f>IFERROR(__xludf.DUMMYFUNCTION("GOOGLETRANSLATE(C2162, ""en"", ""da"")"),"Fjern chatbesked:")</f>
        <v>Fjern chatbesked:</v>
      </c>
      <c r="I2162" s="1" t="s">
        <v>42797</v>
      </c>
      <c r="J2162" s="6" t="s">
        <v>132</v>
      </c>
      <c r="K2162" s="1" t="s">
        <v>42798</v>
      </c>
      <c r="L2162" s="7" t="str">
        <f>IFERROR(__xludf.DUMMYFUNCTION("GOOGLETRANSLATE(C2162, ""en"", ""fi"")"),"Poista chat-viesti:")</f>
        <v>Poista chat-viesti:</v>
      </c>
      <c r="M2162" s="1" t="s">
        <v>42799</v>
      </c>
      <c r="N2162" s="6" t="s">
        <v>132</v>
      </c>
      <c r="O2162" s="6" t="s">
        <v>132</v>
      </c>
      <c r="P2162" s="1" t="s">
        <v>42800</v>
      </c>
      <c r="Q2162" s="7" t="str">
        <f>IFERROR(__xludf.DUMMYFUNCTION("GOOGLETRANSLATE(C2162, ""en"", ""in"")"),"Hapus pesan obrolan:")</f>
        <v>Hapus pesan obrolan:</v>
      </c>
      <c r="R2162" s="7" t="str">
        <f>IFERROR(__xludf.DUMMYFUNCTION("GOOGLETRANSLATE(C2162, ""en"", ""it"")"),"Rimuovi il messaggio di chat:")</f>
        <v>Rimuovi il messaggio di chat:</v>
      </c>
      <c r="S2162" s="6" t="s">
        <v>132</v>
      </c>
      <c r="T2162" s="7" t="str">
        <f>IFERROR(__xludf.DUMMYFUNCTION("GOOGLETRANSLATE(C2162, ""en"", ""ja"")"),"チャットメッセージを削除します。")</f>
        <v>チャットメッセージを削除します。</v>
      </c>
      <c r="U2162" s="7" t="str">
        <f>IFERROR(__xludf.DUMMYFUNCTION("GOOGLETRANSLATE(C2162, ""en"", ""ko"")"),"채팅 메시지 제거 :")</f>
        <v>채팅 메시지 제거 :</v>
      </c>
      <c r="V2162" s="7" t="str">
        <f>IFERROR(__xludf.DUMMYFUNCTION("GOOGLETRANSLATE(C2162, ""en"", ""ms"")"),"Keluarkan mesej sembang:")</f>
        <v>Keluarkan mesej sembang:</v>
      </c>
      <c r="W2162" s="7" t="str">
        <f>IFERROR(__xludf.DUMMYFUNCTION("GOOGLETRANSLATE(C2162, ""en"", ""nl"")"),"Verwijder chatbericht:")</f>
        <v>Verwijder chatbericht:</v>
      </c>
      <c r="X2162" s="7" t="str">
        <f>IFERROR(__xludf.DUMMYFUNCTION("GOOGLETRANSLATE(C2162, ""en"", ""no"")"),"Fjern chatmelding:")</f>
        <v>Fjern chatmelding:</v>
      </c>
      <c r="Y2162" s="7" t="str">
        <f>IFERROR(__xludf.DUMMYFUNCTION("GOOGLETRANSLATE(C2162, ""en"", ""pl"")"),"Usuń wiadomość czatu:")</f>
        <v>Usuń wiadomość czatu:</v>
      </c>
      <c r="Z2162" s="7" t="str">
        <f>IFERROR(__xludf.DUMMYFUNCTION("GOOGLETRANSLATE(C2162, ""en"", ""pt"")"),"Remover mensagem de bate-papo:")</f>
        <v>Remover mensagem de bate-papo:</v>
      </c>
      <c r="AA2162" s="7" t="str">
        <f>IFERROR(__xludf.DUMMYFUNCTION("GOOGLETRANSLATE(C2162, ""en"", ""ro"")"),"Eliminați mesajul de chat:")</f>
        <v>Eliminați mesajul de chat:</v>
      </c>
      <c r="AB2162" s="1" t="s">
        <v>42801</v>
      </c>
      <c r="AC2162" s="7" t="str">
        <f>IFERROR(__xludf.DUMMYFUNCTION("GOOGLETRANSLATE(C2162, ""en"", ""sk"")"),"Odstrániť správu CHAT:")</f>
        <v>Odstrániť správu CHAT:</v>
      </c>
      <c r="AD2162" s="6" t="s">
        <v>132</v>
      </c>
      <c r="AE2162" s="1" t="s">
        <v>42802</v>
      </c>
      <c r="AF2162" s="7" t="str">
        <f>IFERROR(__xludf.DUMMYFUNCTION("GOOGLETRANSLATE(C2162, ""en"", ""sv"")"),"Ta bort chattmeddelande:")</f>
        <v>Ta bort chattmeddelande:</v>
      </c>
      <c r="AG2162" s="6" t="s">
        <v>132</v>
      </c>
      <c r="AH2162" s="7" t="str">
        <f>IFERROR(__xludf.DUMMYFUNCTION("GOOGLETRANSLATE(C2162, ""en"", ""tr"")"),"Sohbet mesajını kaldırın:")</f>
        <v>Sohbet mesajını kaldırın:</v>
      </c>
      <c r="AI2162" s="6" t="s">
        <v>132</v>
      </c>
      <c r="AJ2162" s="6" t="s">
        <v>132</v>
      </c>
      <c r="AK2162" s="7" t="str">
        <f>IFERROR(__xludf.DUMMYFUNCTION("GOOGLETRANSLATE(C2162, ""en"", ""zh"")"),"删除聊天消息：")</f>
        <v>删除聊天消息：</v>
      </c>
      <c r="AL2162" s="6" t="s">
        <v>132</v>
      </c>
    </row>
    <row r="2163" ht="15.75" hidden="1" customHeight="1">
      <c r="A2163" s="1" t="s">
        <v>38</v>
      </c>
      <c r="B2163" s="1" t="s">
        <v>42803</v>
      </c>
      <c r="C2163" s="1" t="s">
        <v>42804</v>
      </c>
      <c r="D2163" s="8" t="s">
        <v>42805</v>
      </c>
      <c r="E2163" s="1" t="s">
        <v>42806</v>
      </c>
      <c r="F2163" s="6" t="s">
        <v>42807</v>
      </c>
      <c r="G2163" s="7" t="str">
        <f>IFERROR(__xludf.DUMMYFUNCTION("GOOGLETRANSLATE(C2163, ""en"", ""cs"")"),"Zobrazení tagů pouze pro čtení pod kontakty")</f>
        <v>Zobrazení tagů pouze pro čtení pod kontakty</v>
      </c>
      <c r="H2163" s="7" t="str">
        <f>IFERROR(__xludf.DUMMYFUNCTION("GOOGLETRANSLATE(C2163, ""en"", ""da"")"),"Vis skrivebeskyttede tags under kontakter")</f>
        <v>Vis skrivebeskyttede tags under kontakter</v>
      </c>
      <c r="I2163" s="1" t="s">
        <v>42808</v>
      </c>
      <c r="J2163" s="6" t="s">
        <v>132</v>
      </c>
      <c r="K2163" s="1" t="s">
        <v>42809</v>
      </c>
      <c r="L2163" s="7" t="str">
        <f>IFERROR(__xludf.DUMMYFUNCTION("GOOGLETRANSLATE(C2163, ""en"", ""fi"")"),"Näytä vain lukutunnusten alla olevat tunnisteet")</f>
        <v>Näytä vain lukutunnusten alla olevat tunnisteet</v>
      </c>
      <c r="M2163" s="1" t="s">
        <v>42810</v>
      </c>
      <c r="N2163" s="6" t="s">
        <v>42811</v>
      </c>
      <c r="O2163" s="6" t="s">
        <v>132</v>
      </c>
      <c r="P2163" s="1" t="s">
        <v>42812</v>
      </c>
      <c r="Q2163" s="9" t="s">
        <v>42813</v>
      </c>
      <c r="R2163" s="1" t="s">
        <v>42814</v>
      </c>
      <c r="S2163" s="6" t="s">
        <v>132</v>
      </c>
      <c r="T2163" s="1" t="s">
        <v>42815</v>
      </c>
      <c r="U2163" s="1" t="s">
        <v>42816</v>
      </c>
      <c r="V2163" s="7" t="str">
        <f>IFERROR(__xludf.DUMMYFUNCTION("GOOGLETRANSLATE(C2163, ""en"", ""ms"")"),"Paparkan tag baca sahaja di bawah kenalan")</f>
        <v>Paparkan tag baca sahaja di bawah kenalan</v>
      </c>
      <c r="W2163" s="1" t="s">
        <v>42817</v>
      </c>
      <c r="X2163" s="7" t="str">
        <f>IFERROR(__xludf.DUMMYFUNCTION("GOOGLETRANSLATE(C2163, ""en"", ""no"")"),"Vis skrivebeskyttet koder under kontakter")</f>
        <v>Vis skrivebeskyttet koder under kontakter</v>
      </c>
      <c r="Y2163" s="1" t="s">
        <v>42818</v>
      </c>
      <c r="Z2163" s="1" t="s">
        <v>42819</v>
      </c>
      <c r="AA2163" s="7" t="str">
        <f>IFERROR(__xludf.DUMMYFUNCTION("GOOGLETRANSLATE(C2163, ""en"", ""ro"")"),"Afișați etichetele numai pentru citire sub contacte")</f>
        <v>Afișați etichetele numai pentru citire sub contacte</v>
      </c>
      <c r="AB2163" s="1" t="s">
        <v>42820</v>
      </c>
      <c r="AC2163" s="1" t="s">
        <v>42821</v>
      </c>
      <c r="AD2163" s="6" t="s">
        <v>132</v>
      </c>
      <c r="AE2163" s="1" t="s">
        <v>42822</v>
      </c>
      <c r="AF2163" s="1" t="s">
        <v>42823</v>
      </c>
      <c r="AG2163" s="6" t="s">
        <v>132</v>
      </c>
      <c r="AH2163" s="7" t="str">
        <f>IFERROR(__xludf.DUMMYFUNCTION("GOOGLETRANSLATE(C2163, ""en"", ""tr"")"),"İlanların altında salt okunur etiketleri göster")</f>
        <v>İlanların altında salt okunur etiketleri göster</v>
      </c>
      <c r="AI2163" s="6" t="s">
        <v>42824</v>
      </c>
      <c r="AJ2163" s="6" t="s">
        <v>42825</v>
      </c>
      <c r="AK2163" s="7" t="str">
        <f>IFERROR(__xludf.DUMMYFUNCTION("GOOGLETRANSLATE(C2163, ""en"", ""zh"")"),"显示触点下方的只读标签")</f>
        <v>显示触点下方的只读标签</v>
      </c>
      <c r="AL2163" s="6" t="s">
        <v>42826</v>
      </c>
    </row>
    <row r="2164" ht="15.75" hidden="1" customHeight="1">
      <c r="A2164" s="1" t="s">
        <v>38</v>
      </c>
      <c r="B2164" s="1" t="s">
        <v>42827</v>
      </c>
      <c r="C2164" s="1" t="s">
        <v>42828</v>
      </c>
      <c r="D2164" s="8" t="s">
        <v>42829</v>
      </c>
      <c r="E2164" s="1" t="s">
        <v>42830</v>
      </c>
      <c r="F2164" s="6" t="s">
        <v>42831</v>
      </c>
      <c r="G2164" s="7" t="str">
        <f>IFERROR(__xludf.DUMMYFUNCTION("GOOGLETRANSLATE(C2164, ""en"", ""cs"")"),"Publikovat avatar.")</f>
        <v>Publikovat avatar.</v>
      </c>
      <c r="H2164" s="7" t="str">
        <f>IFERROR(__xludf.DUMMYFUNCTION("GOOGLETRANSLATE(C2164, ""en"", ""da"")"),"Offentliggøre avatar.")</f>
        <v>Offentliggøre avatar.</v>
      </c>
      <c r="I2164" s="1" t="s">
        <v>42832</v>
      </c>
      <c r="J2164" s="6" t="s">
        <v>132</v>
      </c>
      <c r="K2164" s="1" t="s">
        <v>21439</v>
      </c>
      <c r="L2164" s="7" t="str">
        <f>IFERROR(__xludf.DUMMYFUNCTION("GOOGLETRANSLATE(C2164, ""en"", ""fi"")"),"Julkaista avatar")</f>
        <v>Julkaista avatar</v>
      </c>
      <c r="M2164" s="1" t="s">
        <v>42833</v>
      </c>
      <c r="N2164" s="6" t="s">
        <v>42834</v>
      </c>
      <c r="O2164" s="6" t="s">
        <v>132</v>
      </c>
      <c r="P2164" s="1" t="s">
        <v>42835</v>
      </c>
      <c r="Q2164" s="9" t="s">
        <v>42836</v>
      </c>
      <c r="R2164" s="1" t="s">
        <v>42837</v>
      </c>
      <c r="S2164" s="6" t="s">
        <v>132</v>
      </c>
      <c r="T2164" s="1" t="s">
        <v>42838</v>
      </c>
      <c r="U2164" s="1" t="s">
        <v>42839</v>
      </c>
      <c r="V2164" s="7" t="str">
        <f>IFERROR(__xludf.DUMMYFUNCTION("GOOGLETRANSLATE(C2164, ""en"", ""ms"")"),"Menerbitkan avatar")</f>
        <v>Menerbitkan avatar</v>
      </c>
      <c r="W2164" s="1" t="s">
        <v>42840</v>
      </c>
      <c r="X2164" s="7" t="str">
        <f>IFERROR(__xludf.DUMMYFUNCTION("GOOGLETRANSLATE(C2164, ""en"", ""no"")"),"Publiser avatar")</f>
        <v>Publiser avatar</v>
      </c>
      <c r="Y2164" s="1" t="s">
        <v>42841</v>
      </c>
      <c r="Z2164" s="1" t="s">
        <v>42842</v>
      </c>
      <c r="AA2164" s="7" t="str">
        <f>IFERROR(__xludf.DUMMYFUNCTION("GOOGLETRANSLATE(C2164, ""en"", ""ro"")"),"Publicați Avatar")</f>
        <v>Publicați Avatar</v>
      </c>
      <c r="AB2164" s="1" t="s">
        <v>42843</v>
      </c>
      <c r="AC2164" s="1" t="s">
        <v>42844</v>
      </c>
      <c r="AD2164" s="6" t="s">
        <v>132</v>
      </c>
      <c r="AE2164" s="1" t="s">
        <v>42845</v>
      </c>
      <c r="AF2164" s="1" t="s">
        <v>42846</v>
      </c>
      <c r="AG2164" s="6" t="s">
        <v>132</v>
      </c>
      <c r="AH2164" s="7" t="str">
        <f>IFERROR(__xludf.DUMMYFUNCTION("GOOGLETRANSLATE(C2164, ""en"", ""tr"")"),"Avatar yayınlamak")</f>
        <v>Avatar yayınlamak</v>
      </c>
      <c r="AI2164" s="6" t="s">
        <v>42847</v>
      </c>
      <c r="AJ2164" s="6" t="s">
        <v>42848</v>
      </c>
      <c r="AK2164" s="7" t="str">
        <f>IFERROR(__xludf.DUMMYFUNCTION("GOOGLETRANSLATE(C2164, ""en"", ""zh"")"),"发布头像")</f>
        <v>发布头像</v>
      </c>
      <c r="AL2164" s="6" t="s">
        <v>42849</v>
      </c>
    </row>
    <row r="2165" ht="15.75" customHeight="1">
      <c r="A2165" s="1" t="s">
        <v>127</v>
      </c>
      <c r="B2165" s="1" t="s">
        <v>42850</v>
      </c>
      <c r="C2165" s="1" t="s">
        <v>42851</v>
      </c>
      <c r="D2165" s="8" t="s">
        <v>42852</v>
      </c>
      <c r="E2165" s="1" t="s">
        <v>42853</v>
      </c>
      <c r="F2165" s="6" t="s">
        <v>132</v>
      </c>
      <c r="G2165" s="1" t="s">
        <v>42854</v>
      </c>
      <c r="H2165" s="1" t="s">
        <v>42855</v>
      </c>
      <c r="I2165" s="1" t="s">
        <v>42856</v>
      </c>
      <c r="J2165" s="6" t="s">
        <v>42857</v>
      </c>
      <c r="K2165" s="1" t="s">
        <v>42858</v>
      </c>
      <c r="L2165" s="1" t="s">
        <v>42859</v>
      </c>
      <c r="M2165" s="1" t="s">
        <v>42860</v>
      </c>
      <c r="N2165" s="6" t="s">
        <v>132</v>
      </c>
      <c r="O2165" s="6" t="s">
        <v>42861</v>
      </c>
      <c r="P2165" s="1" t="s">
        <v>42851</v>
      </c>
      <c r="Q2165" s="1" t="s">
        <v>42862</v>
      </c>
      <c r="R2165" s="1" t="s">
        <v>42863</v>
      </c>
      <c r="S2165" s="10" t="s">
        <v>42864</v>
      </c>
      <c r="T2165" s="1" t="s">
        <v>42865</v>
      </c>
      <c r="U2165" s="1" t="s">
        <v>42866</v>
      </c>
      <c r="V2165" s="1" t="s">
        <v>42867</v>
      </c>
      <c r="W2165" s="1" t="s">
        <v>42868</v>
      </c>
      <c r="X2165" s="1" t="s">
        <v>42869</v>
      </c>
      <c r="Y2165" s="1" t="s">
        <v>42870</v>
      </c>
      <c r="Z2165" s="1" t="s">
        <v>42871</v>
      </c>
      <c r="AA2165" s="7" t="str">
        <f>IFERROR(__xludf.DUMMYFUNCTION("GOOGLETRANSLATE(C2165, ""en"", ""ro"")"),"Liabilitati totale")</f>
        <v>Liabilitati totale</v>
      </c>
      <c r="AB2165" s="1" t="s">
        <v>42872</v>
      </c>
      <c r="AC2165" s="1" t="s">
        <v>42873</v>
      </c>
      <c r="AD2165" s="6" t="s">
        <v>42874</v>
      </c>
      <c r="AE2165" s="1" t="s">
        <v>42875</v>
      </c>
      <c r="AF2165" s="1" t="s">
        <v>42876</v>
      </c>
      <c r="AG2165" s="6" t="s">
        <v>42877</v>
      </c>
      <c r="AH2165" s="1" t="s">
        <v>42878</v>
      </c>
      <c r="AI2165" s="6" t="s">
        <v>132</v>
      </c>
      <c r="AJ2165" s="6" t="s">
        <v>42879</v>
      </c>
      <c r="AK2165" s="1" t="s">
        <v>42880</v>
      </c>
      <c r="AL2165" s="6" t="s">
        <v>132</v>
      </c>
    </row>
    <row r="2166" ht="15.75" customHeight="1">
      <c r="A2166" s="13" t="s">
        <v>127</v>
      </c>
      <c r="B2166" s="13" t="s">
        <v>42881</v>
      </c>
      <c r="C2166" s="24" t="s">
        <v>42882</v>
      </c>
      <c r="D2166" s="7" t="str">
        <f>IFERROR(__xludf.DUMMYFUNCTION("GOOGLETRANSLATE(C2166, ""en"", ""ar"")"),"لغة الأخبار")</f>
        <v>لغة الأخبار</v>
      </c>
      <c r="E2166" s="13" t="s">
        <v>42883</v>
      </c>
      <c r="F2166" s="6"/>
      <c r="G2166" s="13" t="s">
        <v>42884</v>
      </c>
      <c r="H2166" s="13" t="s">
        <v>42885</v>
      </c>
      <c r="I2166" s="13" t="s">
        <v>42886</v>
      </c>
      <c r="J2166" s="14" t="s">
        <v>42887</v>
      </c>
      <c r="K2166" s="25" t="s">
        <v>42888</v>
      </c>
      <c r="L2166" s="14" t="s">
        <v>42889</v>
      </c>
      <c r="M2166" s="14" t="s">
        <v>42890</v>
      </c>
      <c r="N2166" s="6"/>
      <c r="O2166" s="6"/>
      <c r="P2166" s="26" t="s">
        <v>42891</v>
      </c>
      <c r="Q2166" s="26" t="s">
        <v>42892</v>
      </c>
      <c r="R2166" s="27" t="s">
        <v>42893</v>
      </c>
      <c r="S2166" s="10"/>
      <c r="T2166" s="28" t="s">
        <v>42894</v>
      </c>
      <c r="U2166" s="29" t="s">
        <v>42895</v>
      </c>
      <c r="V2166" s="27" t="s">
        <v>42892</v>
      </c>
      <c r="W2166" s="30" t="s">
        <v>42896</v>
      </c>
      <c r="X2166" s="31" t="s">
        <v>42897</v>
      </c>
      <c r="Y2166" s="27" t="s">
        <v>42898</v>
      </c>
      <c r="Z2166" s="24" t="s">
        <v>42899</v>
      </c>
      <c r="AA2166" s="21" t="s">
        <v>42900</v>
      </c>
      <c r="AB2166" s="24" t="s">
        <v>42901</v>
      </c>
      <c r="AC2166" s="21" t="s">
        <v>42902</v>
      </c>
      <c r="AD2166" s="32" t="s">
        <v>42903</v>
      </c>
      <c r="AE2166" s="24" t="s">
        <v>42904</v>
      </c>
      <c r="AF2166" s="27" t="s">
        <v>42897</v>
      </c>
      <c r="AG2166" s="6"/>
      <c r="AH2166" s="27" t="s">
        <v>42905</v>
      </c>
      <c r="AI2166" s="6"/>
      <c r="AJ2166" s="6"/>
      <c r="AK2166" s="14" t="s">
        <v>42906</v>
      </c>
      <c r="AL2166" s="6"/>
    </row>
    <row r="2167" ht="15.75" customHeight="1">
      <c r="A2167" s="13" t="s">
        <v>127</v>
      </c>
      <c r="B2167" s="13" t="s">
        <v>42907</v>
      </c>
      <c r="C2167" s="13" t="s">
        <v>42908</v>
      </c>
      <c r="D2167" s="7" t="str">
        <f>IFERROR(__xludf.DUMMYFUNCTION("GOOGLETRANSLATE(C2167, ""en"", ""ar"")"),"إعادة ترتيب النوادرين")</f>
        <v>إعادة ترتيب النوادرين</v>
      </c>
      <c r="E2167" s="13" t="s">
        <v>42909</v>
      </c>
      <c r="F2167" s="6"/>
      <c r="G2167" s="13" t="s">
        <v>42910</v>
      </c>
      <c r="H2167" s="13" t="s">
        <v>42911</v>
      </c>
      <c r="I2167" s="7" t="str">
        <f>IFERROR(__xludf.DUMMYFUNCTION("GOOGLETRANSLATE(C2167, ""en"", ""de"")"),"Ordnungsgemeine Watze")</f>
        <v>Ordnungsgemeine Watze</v>
      </c>
      <c r="J2167" s="14" t="s">
        <v>42912</v>
      </c>
      <c r="K2167" s="25" t="s">
        <v>42913</v>
      </c>
      <c r="L2167" s="14" t="s">
        <v>42914</v>
      </c>
      <c r="M2167" s="14" t="s">
        <v>42915</v>
      </c>
      <c r="N2167" s="6"/>
      <c r="O2167" s="6"/>
      <c r="P2167" s="26" t="s">
        <v>42916</v>
      </c>
      <c r="Q2167" s="26" t="s">
        <v>42917</v>
      </c>
      <c r="R2167" s="27" t="s">
        <v>42918</v>
      </c>
      <c r="S2167" s="10"/>
      <c r="T2167" s="28" t="s">
        <v>42919</v>
      </c>
      <c r="U2167" s="7" t="str">
        <f>IFERROR(__xludf.DUMMYFUNCTION("GOOGLETRANSLATE(C2167, ""en"", ""ko"")"),"Reorder Watchlists")</f>
        <v>Reorder Watchlists</v>
      </c>
      <c r="V2167" s="27" t="s">
        <v>42920</v>
      </c>
      <c r="W2167" s="13" t="s">
        <v>42921</v>
      </c>
      <c r="X2167" s="31" t="s">
        <v>42922</v>
      </c>
      <c r="Y2167" s="27" t="s">
        <v>42923</v>
      </c>
      <c r="Z2167" s="27" t="s">
        <v>42924</v>
      </c>
      <c r="AA2167" s="27" t="s">
        <v>42925</v>
      </c>
      <c r="AB2167" s="31" t="s">
        <v>42926</v>
      </c>
      <c r="AC2167" s="27" t="s">
        <v>42927</v>
      </c>
      <c r="AD2167" s="27" t="s">
        <v>42928</v>
      </c>
      <c r="AE2167" s="7" t="str">
        <f>IFERROR(__xludf.DUMMYFUNCTION("GOOGLETRANSLATE(C2167, ""en"", ""sr"")"),"Поредате листе праћења")</f>
        <v>Поредате листе праћења</v>
      </c>
      <c r="AF2167" s="27" t="s">
        <v>42929</v>
      </c>
      <c r="AG2167" s="6"/>
      <c r="AH2167" s="27" t="s">
        <v>42930</v>
      </c>
      <c r="AI2167" s="6"/>
      <c r="AJ2167" s="6"/>
      <c r="AK2167" s="13" t="s">
        <v>42931</v>
      </c>
      <c r="AL2167" s="6"/>
    </row>
    <row r="2168" ht="15.75" customHeight="1">
      <c r="A2168" s="13" t="s">
        <v>127</v>
      </c>
      <c r="B2168" s="13" t="s">
        <v>42932</v>
      </c>
      <c r="C2168" s="13" t="s">
        <v>42933</v>
      </c>
      <c r="D2168" s="7" t="str">
        <f>IFERROR(__xludf.DUMMYFUNCTION("GOOGLETRANSLATE(C2168, ""en"", ""ar"")"),"حذف الحافظة")</f>
        <v>حذف الحافظة</v>
      </c>
      <c r="E2168" s="13" t="s">
        <v>42934</v>
      </c>
      <c r="F2168" s="6"/>
      <c r="G2168" s="13" t="s">
        <v>42935</v>
      </c>
      <c r="H2168" s="13" t="s">
        <v>42936</v>
      </c>
      <c r="I2168" s="7" t="str">
        <f>IFERROR(__xludf.DUMMYFUNCTION("GOOGLETRANSLATE(C2168, ""en"", ""de"")"),"Portfolio löschen.")</f>
        <v>Portfolio löschen.</v>
      </c>
      <c r="J2168" s="14" t="s">
        <v>42937</v>
      </c>
      <c r="K2168" s="25" t="s">
        <v>42938</v>
      </c>
      <c r="L2168" s="14" t="s">
        <v>42939</v>
      </c>
      <c r="M2168" s="14" t="s">
        <v>42940</v>
      </c>
      <c r="N2168" s="6"/>
      <c r="O2168" s="6"/>
      <c r="P2168" s="26" t="s">
        <v>42941</v>
      </c>
      <c r="Q2168" s="26" t="s">
        <v>42942</v>
      </c>
      <c r="R2168" s="27" t="s">
        <v>42943</v>
      </c>
      <c r="S2168" s="10"/>
      <c r="T2168" s="28" t="s">
        <v>42944</v>
      </c>
      <c r="U2168" s="7" t="str">
        <f>IFERROR(__xludf.DUMMYFUNCTION("GOOGLETRANSLATE(C2168, ""en"", ""ko"")"),"포트폴리오를 삭제하십시오")</f>
        <v>포트폴리오를 삭제하십시오</v>
      </c>
      <c r="V2168" s="27" t="s">
        <v>42945</v>
      </c>
      <c r="W2168" s="13" t="s">
        <v>42946</v>
      </c>
      <c r="X2168" s="31" t="s">
        <v>42947</v>
      </c>
      <c r="Y2168" s="27" t="s">
        <v>42948</v>
      </c>
      <c r="Z2168" s="27" t="s">
        <v>42949</v>
      </c>
      <c r="AA2168" s="27" t="s">
        <v>42950</v>
      </c>
      <c r="AB2168" s="31" t="s">
        <v>42951</v>
      </c>
      <c r="AC2168" s="27" t="s">
        <v>42952</v>
      </c>
      <c r="AD2168" s="27" t="s">
        <v>42953</v>
      </c>
      <c r="AE2168" s="7" t="str">
        <f>IFERROR(__xludf.DUMMYFUNCTION("GOOGLETRANSLATE(C2168, ""en"", ""sr"")"),"Избриши портфолио")</f>
        <v>Избриши портфолио</v>
      </c>
      <c r="AF2168" s="27" t="s">
        <v>42954</v>
      </c>
      <c r="AG2168" s="6"/>
      <c r="AH2168" s="27" t="s">
        <v>42955</v>
      </c>
      <c r="AI2168" s="6"/>
      <c r="AJ2168" s="6"/>
      <c r="AK2168" s="13" t="s">
        <v>42956</v>
      </c>
      <c r="AL2168" s="6"/>
    </row>
    <row r="2169" ht="15.75" customHeight="1">
      <c r="A2169" s="13" t="s">
        <v>127</v>
      </c>
      <c r="B2169" s="13" t="s">
        <v>42957</v>
      </c>
      <c r="C2169" s="13" t="s">
        <v>42958</v>
      </c>
      <c r="D2169" s="7" t="str">
        <f>IFERROR(__xludf.DUMMYFUNCTION("GOOGLETRANSLATE(C2169, ""en"", ""ar"")"),"إعادة ترتيب المحافظ")</f>
        <v>إعادة ترتيب المحافظ</v>
      </c>
      <c r="E2169" s="13" t="s">
        <v>42959</v>
      </c>
      <c r="F2169" s="6"/>
      <c r="G2169" s="13" t="s">
        <v>42960</v>
      </c>
      <c r="H2169" s="13" t="s">
        <v>42961</v>
      </c>
      <c r="I2169" s="7" t="str">
        <f>IFERROR(__xludf.DUMMYFUNCTION("GOOGLETRANSLATE(C2169, ""en"", ""de"")"),"Neuordnungsportfolios.")</f>
        <v>Neuordnungsportfolios.</v>
      </c>
      <c r="J2169" s="14" t="s">
        <v>42962</v>
      </c>
      <c r="K2169" s="25" t="s">
        <v>42963</v>
      </c>
      <c r="L2169" s="14" t="s">
        <v>42964</v>
      </c>
      <c r="M2169" s="14" t="s">
        <v>42965</v>
      </c>
      <c r="N2169" s="6"/>
      <c r="O2169" s="6"/>
      <c r="P2169" s="26" t="s">
        <v>42966</v>
      </c>
      <c r="Q2169" s="26" t="s">
        <v>42967</v>
      </c>
      <c r="R2169" s="27" t="s">
        <v>42968</v>
      </c>
      <c r="S2169" s="10"/>
      <c r="T2169" s="28" t="s">
        <v>42969</v>
      </c>
      <c r="U2169" s="7" t="str">
        <f>IFERROR(__xludf.DUMMYFUNCTION("GOOGLETRANSLATE(C2169, ""en"", ""ko"")"),"순서 정보 포트폴리오")</f>
        <v>순서 정보 포트폴리오</v>
      </c>
      <c r="V2169" s="27" t="s">
        <v>42970</v>
      </c>
      <c r="W2169" s="13" t="s">
        <v>42971</v>
      </c>
      <c r="X2169" s="31" t="s">
        <v>42972</v>
      </c>
      <c r="Y2169" s="27" t="s">
        <v>42973</v>
      </c>
      <c r="Z2169" s="27" t="s">
        <v>42974</v>
      </c>
      <c r="AA2169" s="27" t="s">
        <v>42975</v>
      </c>
      <c r="AB2169" s="31" t="s">
        <v>42976</v>
      </c>
      <c r="AC2169" s="27" t="s">
        <v>42977</v>
      </c>
      <c r="AD2169" s="27" t="s">
        <v>42978</v>
      </c>
      <c r="AE2169" s="7" t="str">
        <f>IFERROR(__xludf.DUMMYFUNCTION("GOOGLETRANSLATE(C2169, ""en"", ""sr"")"),"Портфолио за промену програма")</f>
        <v>Портфолио за промену програма</v>
      </c>
      <c r="AF2169" s="27" t="s">
        <v>42979</v>
      </c>
      <c r="AG2169" s="6"/>
      <c r="AH2169" s="27" t="s">
        <v>42980</v>
      </c>
      <c r="AI2169" s="6"/>
      <c r="AJ2169" s="6"/>
      <c r="AK2169" s="13" t="s">
        <v>42981</v>
      </c>
      <c r="AL2169" s="6"/>
    </row>
    <row r="2170" ht="15.75" customHeight="1">
      <c r="A2170" s="13" t="s">
        <v>127</v>
      </c>
      <c r="B2170" s="13" t="s">
        <v>42982</v>
      </c>
      <c r="C2170" s="13" t="s">
        <v>42983</v>
      </c>
      <c r="D2170" s="13" t="s">
        <v>42983</v>
      </c>
      <c r="E2170" s="13" t="s">
        <v>42983</v>
      </c>
      <c r="F2170" s="6"/>
      <c r="G2170" s="13" t="s">
        <v>42983</v>
      </c>
      <c r="H2170" s="13" t="s">
        <v>42983</v>
      </c>
      <c r="I2170" s="13" t="s">
        <v>42983</v>
      </c>
      <c r="J2170" s="6"/>
      <c r="K2170" s="13" t="s">
        <v>42983</v>
      </c>
      <c r="L2170" s="13" t="s">
        <v>42983</v>
      </c>
      <c r="M2170" s="13" t="s">
        <v>42983</v>
      </c>
      <c r="N2170" s="6"/>
      <c r="O2170" s="6"/>
      <c r="P2170" s="13" t="s">
        <v>42983</v>
      </c>
      <c r="Q2170" s="13" t="s">
        <v>42983</v>
      </c>
      <c r="R2170" s="13" t="s">
        <v>42983</v>
      </c>
      <c r="S2170" s="10"/>
      <c r="T2170" s="13" t="s">
        <v>42983</v>
      </c>
      <c r="U2170" s="13" t="s">
        <v>42983</v>
      </c>
      <c r="V2170" s="13" t="s">
        <v>42983</v>
      </c>
      <c r="W2170" s="13" t="s">
        <v>42983</v>
      </c>
      <c r="X2170" s="13" t="s">
        <v>42983</v>
      </c>
      <c r="Y2170" s="13" t="s">
        <v>42983</v>
      </c>
      <c r="Z2170" s="13" t="s">
        <v>42983</v>
      </c>
      <c r="AA2170" s="13" t="s">
        <v>42983</v>
      </c>
      <c r="AB2170" s="13" t="s">
        <v>42983</v>
      </c>
      <c r="AC2170" s="13" t="s">
        <v>42983</v>
      </c>
      <c r="AD2170" s="6"/>
      <c r="AE2170" s="13" t="s">
        <v>42983</v>
      </c>
      <c r="AF2170" s="13" t="s">
        <v>42983</v>
      </c>
      <c r="AG2170" s="6"/>
      <c r="AH2170" s="13" t="s">
        <v>42983</v>
      </c>
      <c r="AI2170" s="6"/>
      <c r="AJ2170" s="6"/>
      <c r="AK2170" s="13" t="s">
        <v>42983</v>
      </c>
      <c r="AL2170" s="6"/>
    </row>
    <row r="2171" ht="15.75" customHeight="1">
      <c r="A2171" s="13" t="s">
        <v>127</v>
      </c>
      <c r="B2171" s="13" t="s">
        <v>42984</v>
      </c>
      <c r="C2171" s="13" t="s">
        <v>42985</v>
      </c>
      <c r="D2171" s="13" t="s">
        <v>42985</v>
      </c>
      <c r="E2171" s="13" t="s">
        <v>42985</v>
      </c>
      <c r="F2171" s="6"/>
      <c r="G2171" s="13" t="s">
        <v>42985</v>
      </c>
      <c r="H2171" s="13" t="s">
        <v>42985</v>
      </c>
      <c r="I2171" s="13" t="s">
        <v>42986</v>
      </c>
      <c r="J2171" s="6"/>
      <c r="K2171" s="13" t="s">
        <v>42985</v>
      </c>
      <c r="L2171" s="13" t="s">
        <v>42985</v>
      </c>
      <c r="M2171" s="13" t="s">
        <v>42985</v>
      </c>
      <c r="N2171" s="6"/>
      <c r="O2171" s="6"/>
      <c r="P2171" s="13" t="s">
        <v>42985</v>
      </c>
      <c r="Q2171" s="13" t="s">
        <v>42985</v>
      </c>
      <c r="R2171" s="13" t="s">
        <v>42985</v>
      </c>
      <c r="S2171" s="10"/>
      <c r="T2171" s="13" t="s">
        <v>42985</v>
      </c>
      <c r="U2171" s="13" t="s">
        <v>42985</v>
      </c>
      <c r="V2171" s="13" t="s">
        <v>42985</v>
      </c>
      <c r="W2171" s="13" t="s">
        <v>42985</v>
      </c>
      <c r="X2171" s="13" t="s">
        <v>42985</v>
      </c>
      <c r="Y2171" s="13" t="s">
        <v>42985</v>
      </c>
      <c r="Z2171" s="13" t="s">
        <v>42985</v>
      </c>
      <c r="AA2171" s="13" t="s">
        <v>42985</v>
      </c>
      <c r="AB2171" s="13" t="s">
        <v>42985</v>
      </c>
      <c r="AC2171" s="13" t="s">
        <v>42985</v>
      </c>
      <c r="AD2171" s="6"/>
      <c r="AE2171" s="13" t="s">
        <v>42985</v>
      </c>
      <c r="AF2171" s="13" t="s">
        <v>42985</v>
      </c>
      <c r="AG2171" s="6"/>
      <c r="AH2171" s="13" t="s">
        <v>42985</v>
      </c>
      <c r="AI2171" s="6"/>
      <c r="AJ2171" s="6"/>
      <c r="AK2171" s="13" t="s">
        <v>42985</v>
      </c>
      <c r="AL2171" s="6"/>
    </row>
    <row r="2172" ht="15.75" customHeight="1">
      <c r="A2172" s="13" t="s">
        <v>127</v>
      </c>
      <c r="B2172" s="13" t="s">
        <v>42987</v>
      </c>
      <c r="C2172" s="13" t="s">
        <v>42988</v>
      </c>
      <c r="D2172" s="13" t="s">
        <v>42988</v>
      </c>
      <c r="E2172" s="13" t="s">
        <v>42988</v>
      </c>
      <c r="F2172" s="6"/>
      <c r="G2172" s="13" t="s">
        <v>42988</v>
      </c>
      <c r="H2172" s="13" t="s">
        <v>42988</v>
      </c>
      <c r="I2172" s="13" t="s">
        <v>42989</v>
      </c>
      <c r="J2172" s="6"/>
      <c r="K2172" s="13" t="s">
        <v>42988</v>
      </c>
      <c r="L2172" s="13" t="s">
        <v>42988</v>
      </c>
      <c r="M2172" s="13" t="s">
        <v>42988</v>
      </c>
      <c r="N2172" s="6"/>
      <c r="O2172" s="6"/>
      <c r="P2172" s="13" t="s">
        <v>42988</v>
      </c>
      <c r="Q2172" s="13" t="s">
        <v>42988</v>
      </c>
      <c r="R2172" s="13" t="s">
        <v>42988</v>
      </c>
      <c r="S2172" s="10"/>
      <c r="T2172" s="13" t="s">
        <v>42988</v>
      </c>
      <c r="U2172" s="13" t="s">
        <v>42988</v>
      </c>
      <c r="V2172" s="13" t="s">
        <v>42988</v>
      </c>
      <c r="W2172" s="13" t="s">
        <v>42988</v>
      </c>
      <c r="X2172" s="13" t="s">
        <v>42988</v>
      </c>
      <c r="Y2172" s="13" t="s">
        <v>42988</v>
      </c>
      <c r="Z2172" s="13" t="s">
        <v>42988</v>
      </c>
      <c r="AA2172" s="13" t="s">
        <v>42988</v>
      </c>
      <c r="AB2172" s="13" t="s">
        <v>42988</v>
      </c>
      <c r="AC2172" s="13" t="s">
        <v>42988</v>
      </c>
      <c r="AD2172" s="6"/>
      <c r="AE2172" s="13" t="s">
        <v>42988</v>
      </c>
      <c r="AF2172" s="13" t="s">
        <v>42988</v>
      </c>
      <c r="AG2172" s="6"/>
      <c r="AH2172" s="13" t="s">
        <v>42988</v>
      </c>
      <c r="AI2172" s="6"/>
      <c r="AJ2172" s="6"/>
      <c r="AK2172" s="13" t="s">
        <v>42988</v>
      </c>
      <c r="AL2172" s="6"/>
    </row>
    <row r="2173" ht="15.75" customHeight="1">
      <c r="A2173" s="13" t="s">
        <v>127</v>
      </c>
      <c r="B2173" s="13" t="s">
        <v>42990</v>
      </c>
      <c r="C2173" s="13" t="s">
        <v>42991</v>
      </c>
      <c r="D2173" s="33" t="s">
        <v>42992</v>
      </c>
      <c r="E2173" s="21" t="s">
        <v>42993</v>
      </c>
      <c r="F2173" s="6"/>
      <c r="G2173" s="13" t="s">
        <v>42994</v>
      </c>
      <c r="H2173" s="13" t="s">
        <v>42995</v>
      </c>
      <c r="I2173" s="21" t="s">
        <v>42996</v>
      </c>
      <c r="J2173" s="14" t="s">
        <v>42997</v>
      </c>
      <c r="K2173" s="25" t="s">
        <v>42998</v>
      </c>
      <c r="L2173" s="14" t="s">
        <v>42999</v>
      </c>
      <c r="M2173" s="26" t="s">
        <v>43000</v>
      </c>
      <c r="N2173" s="6"/>
      <c r="O2173" s="6"/>
      <c r="P2173" s="26" t="s">
        <v>43001</v>
      </c>
      <c r="Q2173" s="26" t="s">
        <v>43002</v>
      </c>
      <c r="R2173" s="27" t="s">
        <v>43003</v>
      </c>
      <c r="S2173" s="10"/>
      <c r="T2173" s="34" t="s">
        <v>43004</v>
      </c>
      <c r="U2173" s="21" t="s">
        <v>43005</v>
      </c>
      <c r="V2173" s="27" t="s">
        <v>43006</v>
      </c>
      <c r="W2173" s="13" t="s">
        <v>43007</v>
      </c>
      <c r="X2173" s="31" t="s">
        <v>43008</v>
      </c>
      <c r="Y2173" s="27" t="s">
        <v>43009</v>
      </c>
      <c r="Z2173" s="27" t="s">
        <v>43010</v>
      </c>
      <c r="AA2173" s="27" t="s">
        <v>43011</v>
      </c>
      <c r="AB2173" s="31" t="s">
        <v>43012</v>
      </c>
      <c r="AC2173" s="35" t="s">
        <v>43013</v>
      </c>
      <c r="AD2173" s="36" t="s">
        <v>43014</v>
      </c>
      <c r="AE2173" s="21" t="s">
        <v>43015</v>
      </c>
      <c r="AF2173" s="27" t="s">
        <v>43016</v>
      </c>
      <c r="AG2173" s="6"/>
      <c r="AH2173" s="27" t="s">
        <v>43017</v>
      </c>
      <c r="AI2173" s="6"/>
      <c r="AJ2173" s="6"/>
      <c r="AK2173" s="21" t="s">
        <v>43018</v>
      </c>
      <c r="AL2173" s="6"/>
    </row>
    <row r="2174" ht="15.75" customHeight="1">
      <c r="A2174" s="13" t="s">
        <v>127</v>
      </c>
      <c r="B2174" s="37" t="s">
        <v>43019</v>
      </c>
      <c r="C2174" s="13" t="s">
        <v>43020</v>
      </c>
      <c r="D2174" s="33" t="s">
        <v>43021</v>
      </c>
      <c r="E2174" s="21" t="s">
        <v>43022</v>
      </c>
      <c r="F2174" s="6"/>
      <c r="G2174" s="13" t="s">
        <v>43023</v>
      </c>
      <c r="H2174" s="13" t="s">
        <v>43024</v>
      </c>
      <c r="I2174" s="21" t="s">
        <v>43025</v>
      </c>
      <c r="J2174" s="14" t="s">
        <v>43026</v>
      </c>
      <c r="K2174" s="25" t="s">
        <v>43027</v>
      </c>
      <c r="L2174" s="14" t="s">
        <v>43028</v>
      </c>
      <c r="M2174" s="26" t="s">
        <v>43029</v>
      </c>
      <c r="N2174" s="6"/>
      <c r="O2174" s="6"/>
      <c r="P2174" s="26" t="s">
        <v>43030</v>
      </c>
      <c r="Q2174" s="26" t="s">
        <v>43031</v>
      </c>
      <c r="R2174" s="27" t="s">
        <v>43032</v>
      </c>
      <c r="S2174" s="10"/>
      <c r="T2174" s="34" t="s">
        <v>43033</v>
      </c>
      <c r="U2174" s="21" t="s">
        <v>43034</v>
      </c>
      <c r="V2174" s="27" t="s">
        <v>43035</v>
      </c>
      <c r="W2174" s="13" t="s">
        <v>43036</v>
      </c>
      <c r="X2174" s="31" t="s">
        <v>43037</v>
      </c>
      <c r="Y2174" s="27" t="s">
        <v>43038</v>
      </c>
      <c r="Z2174" s="27" t="s">
        <v>43039</v>
      </c>
      <c r="AA2174" s="27" t="s">
        <v>43040</v>
      </c>
      <c r="AB2174" s="31" t="s">
        <v>43041</v>
      </c>
      <c r="AC2174" s="35" t="s">
        <v>43042</v>
      </c>
      <c r="AD2174" s="38" t="s">
        <v>43043</v>
      </c>
      <c r="AE2174" s="21" t="s">
        <v>43044</v>
      </c>
      <c r="AF2174" s="27" t="s">
        <v>43045</v>
      </c>
      <c r="AG2174" s="6"/>
      <c r="AH2174" s="27" t="s">
        <v>43046</v>
      </c>
      <c r="AI2174" s="6"/>
      <c r="AJ2174" s="6"/>
      <c r="AK2174" s="21" t="s">
        <v>43047</v>
      </c>
      <c r="AL2174" s="6"/>
    </row>
    <row r="2175" ht="15.75" customHeight="1">
      <c r="A2175" s="13" t="s">
        <v>127</v>
      </c>
      <c r="B2175" s="37" t="s">
        <v>43048</v>
      </c>
      <c r="C2175" s="13" t="s">
        <v>43049</v>
      </c>
      <c r="D2175" s="7" t="str">
        <f>IFERROR(__xludf.DUMMYFUNCTION("GOOGLETRANSLATE(C2175, ""en"", ""ar"")"),"إذا كنت مستخدما محترفا ل WebStation أو محطة العمل، يرجى تسجيل الدخول الآن.")</f>
        <v>إذا كنت مستخدما محترفا ل WebStation أو محطة العمل، يرجى تسجيل الدخول الآن.</v>
      </c>
      <c r="E2175" s="13" t="s">
        <v>43050</v>
      </c>
      <c r="F2175" s="6"/>
      <c r="G2175" s="13" t="s">
        <v>43051</v>
      </c>
      <c r="H2175" s="13" t="s">
        <v>43052</v>
      </c>
      <c r="I2175" s="7" t="str">
        <f>IFERROR(__xludf.DUMMYFUNCTION("GOOGLETRANSLATE(C2175, ""en"", ""de"")"),"Wenn Sie ein professioneller Benutzer der Webstation oder der Workstation sind, melden Sie sich jetzt an.")</f>
        <v>Wenn Sie ein professioneller Benutzer der Webstation oder der Workstation sind, melden Sie sich jetzt an.</v>
      </c>
      <c r="J2175" s="14" t="s">
        <v>43053</v>
      </c>
      <c r="K2175" s="25" t="s">
        <v>43054</v>
      </c>
      <c r="L2175" s="14" t="s">
        <v>43055</v>
      </c>
      <c r="M2175" s="26" t="s">
        <v>43056</v>
      </c>
      <c r="N2175" s="6"/>
      <c r="O2175" s="6"/>
      <c r="P2175" s="26" t="s">
        <v>43057</v>
      </c>
      <c r="Q2175" s="26" t="s">
        <v>43058</v>
      </c>
      <c r="R2175" s="27" t="s">
        <v>43059</v>
      </c>
      <c r="S2175" s="10"/>
      <c r="T2175" s="34" t="s">
        <v>43060</v>
      </c>
      <c r="U2175" s="7" t="str">
        <f>IFERROR(__xludf.DUMMYFUNCTION("GOOGLETRANSLATE(C2175, ""en"", ""ko"")"),"WebStation 또는 Workstation의 전문 사용자 인 경우 지금 로그인하십시오.")</f>
        <v>WebStation 또는 Workstation의 전문 사용자 인 경우 지금 로그인하십시오.</v>
      </c>
      <c r="V2175" s="27" t="s">
        <v>43061</v>
      </c>
      <c r="W2175" s="13" t="s">
        <v>43062</v>
      </c>
      <c r="X2175" s="31" t="s">
        <v>43063</v>
      </c>
      <c r="Y2175" s="27" t="s">
        <v>43064</v>
      </c>
      <c r="Z2175" s="27" t="s">
        <v>43065</v>
      </c>
      <c r="AA2175" s="27" t="s">
        <v>43066</v>
      </c>
      <c r="AB2175" s="31" t="s">
        <v>43067</v>
      </c>
      <c r="AC2175" s="35" t="s">
        <v>43068</v>
      </c>
      <c r="AD2175" s="36" t="s">
        <v>43069</v>
      </c>
      <c r="AE2175" s="13" t="s">
        <v>43070</v>
      </c>
      <c r="AF2175" s="27" t="s">
        <v>43071</v>
      </c>
      <c r="AG2175" s="6"/>
      <c r="AH2175" s="27" t="s">
        <v>43072</v>
      </c>
      <c r="AI2175" s="6"/>
      <c r="AJ2175" s="6"/>
      <c r="AK2175" s="13" t="s">
        <v>43073</v>
      </c>
      <c r="AL2175" s="6"/>
    </row>
    <row r="2176" ht="15.75" customHeight="1">
      <c r="A2176" s="13" t="s">
        <v>127</v>
      </c>
      <c r="B2176" s="13" t="s">
        <v>43074</v>
      </c>
      <c r="C2176" s="13" t="s">
        <v>43075</v>
      </c>
      <c r="D2176" s="7" t="str">
        <f>IFERROR(__xludf.DUMMYFUNCTION("GOOGLETRANSLATE(C2176, ""en"", ""ar"")"),"إذا كنت مهتما بحلولنا للمهنيين،")</f>
        <v>إذا كنت مهتما بحلولنا للمهنيين،</v>
      </c>
      <c r="E2176" s="13" t="s">
        <v>43076</v>
      </c>
      <c r="F2176" s="6"/>
      <c r="G2176" s="13" t="s">
        <v>43077</v>
      </c>
      <c r="H2176" s="13" t="s">
        <v>43078</v>
      </c>
      <c r="I2176" s="7" t="str">
        <f>IFERROR(__xludf.DUMMYFUNCTION("GOOGLETRANSLATE(C2176, ""en"", ""de"")"),"Wenn Sie an unseren Lösungen für Fachleute interessiert sind,")</f>
        <v>Wenn Sie an unseren Lösungen für Fachleute interessiert sind,</v>
      </c>
      <c r="J2176" s="14" t="s">
        <v>43079</v>
      </c>
      <c r="K2176" s="25" t="s">
        <v>43080</v>
      </c>
      <c r="L2176" s="14" t="s">
        <v>43081</v>
      </c>
      <c r="M2176" s="26" t="s">
        <v>43082</v>
      </c>
      <c r="N2176" s="6"/>
      <c r="O2176" s="6"/>
      <c r="P2176" s="26" t="s">
        <v>43083</v>
      </c>
      <c r="Q2176" s="26" t="s">
        <v>43084</v>
      </c>
      <c r="R2176" s="27" t="s">
        <v>43085</v>
      </c>
      <c r="S2176" s="10"/>
      <c r="T2176" s="34" t="s">
        <v>43086</v>
      </c>
      <c r="U2176" s="7" t="str">
        <f>IFERROR(__xludf.DUMMYFUNCTION("GOOGLETRANSLATE(C2176, ""en"", ""ko"")"),"전문가를위한 솔루션에 관심이있는 경우,")</f>
        <v>전문가를위한 솔루션에 관심이있는 경우,</v>
      </c>
      <c r="V2176" s="27" t="s">
        <v>43087</v>
      </c>
      <c r="W2176" s="13" t="s">
        <v>43088</v>
      </c>
      <c r="X2176" s="31" t="s">
        <v>43089</v>
      </c>
      <c r="Y2176" s="27" t="s">
        <v>43090</v>
      </c>
      <c r="Z2176" s="27" t="s">
        <v>43091</v>
      </c>
      <c r="AA2176" s="27" t="s">
        <v>43092</v>
      </c>
      <c r="AB2176" s="31" t="s">
        <v>43093</v>
      </c>
      <c r="AC2176" s="35" t="s">
        <v>43094</v>
      </c>
      <c r="AD2176" s="38" t="s">
        <v>43095</v>
      </c>
      <c r="AE2176" s="13" t="s">
        <v>43096</v>
      </c>
      <c r="AF2176" s="27" t="s">
        <v>43097</v>
      </c>
      <c r="AG2176" s="6"/>
      <c r="AH2176" s="27" t="s">
        <v>43098</v>
      </c>
      <c r="AI2176" s="6"/>
      <c r="AJ2176" s="6"/>
      <c r="AK2176" s="13" t="s">
        <v>43099</v>
      </c>
      <c r="AL2176" s="6"/>
    </row>
    <row r="2177" ht="15.75" customHeight="1">
      <c r="A2177" s="13" t="s">
        <v>127</v>
      </c>
      <c r="B2177" s="37" t="s">
        <v>43100</v>
      </c>
      <c r="C2177" s="13" t="s">
        <v>43101</v>
      </c>
      <c r="D2177" s="7" t="str">
        <f>IFERROR(__xludf.DUMMYFUNCTION("GOOGLETRANSLATE(C2177, ""en"", ""ar"")"),"يرجى زيارة Baha.com أو اتصل بنا مباشرة.")</f>
        <v>يرجى زيارة Baha.com أو اتصل بنا مباشرة.</v>
      </c>
      <c r="E2177" s="13" t="s">
        <v>43102</v>
      </c>
      <c r="F2177" s="6"/>
      <c r="G2177" s="13" t="s">
        <v>43103</v>
      </c>
      <c r="H2177" s="13" t="s">
        <v>43104</v>
      </c>
      <c r="I2177" s="7" t="str">
        <f>IFERROR(__xludf.DUMMYFUNCTION("GOOGLETRANSLATE(C2177, ""en"", ""de"")"),"Bitte besuchen Sie baha.com oder kontaktieren Sie uns direkt.")</f>
        <v>Bitte besuchen Sie baha.com oder kontaktieren Sie uns direkt.</v>
      </c>
      <c r="J2177" s="14" t="s">
        <v>43105</v>
      </c>
      <c r="K2177" s="25" t="s">
        <v>43106</v>
      </c>
      <c r="L2177" s="14" t="s">
        <v>43107</v>
      </c>
      <c r="M2177" s="26" t="s">
        <v>43108</v>
      </c>
      <c r="N2177" s="6"/>
      <c r="O2177" s="6"/>
      <c r="P2177" s="26" t="s">
        <v>43109</v>
      </c>
      <c r="Q2177" s="26" t="s">
        <v>43110</v>
      </c>
      <c r="R2177" s="27" t="s">
        <v>43111</v>
      </c>
      <c r="S2177" s="10"/>
      <c r="T2177" s="39" t="s">
        <v>43112</v>
      </c>
      <c r="U2177" s="13" t="s">
        <v>43113</v>
      </c>
      <c r="V2177" s="27" t="s">
        <v>43114</v>
      </c>
      <c r="W2177" s="13" t="s">
        <v>43115</v>
      </c>
      <c r="X2177" s="31" t="s">
        <v>43116</v>
      </c>
      <c r="Y2177" s="27" t="s">
        <v>43117</v>
      </c>
      <c r="Z2177" s="27" t="s">
        <v>43118</v>
      </c>
      <c r="AA2177" s="27" t="s">
        <v>43119</v>
      </c>
      <c r="AB2177" s="31" t="s">
        <v>43120</v>
      </c>
      <c r="AC2177" s="35" t="s">
        <v>43121</v>
      </c>
      <c r="AD2177" s="38" t="s">
        <v>43122</v>
      </c>
      <c r="AF2177" s="27" t="s">
        <v>43123</v>
      </c>
      <c r="AG2177" s="6"/>
      <c r="AH2177" s="27" t="s">
        <v>43124</v>
      </c>
      <c r="AI2177" s="6"/>
      <c r="AJ2177" s="6"/>
      <c r="AK2177" s="13" t="s">
        <v>43125</v>
      </c>
      <c r="AL2177" s="6"/>
    </row>
    <row r="2178" ht="15.75" customHeight="1">
      <c r="A2178" s="13" t="s">
        <v>127</v>
      </c>
      <c r="B2178" s="37" t="s">
        <v>43126</v>
      </c>
      <c r="C2178" s="13" t="s">
        <v>43127</v>
      </c>
      <c r="D2178" s="7" t="str">
        <f>IFERROR(__xludf.DUMMYFUNCTION("GOOGLETRANSLATE(C2178, ""en"", ""ar"")"),"الشروط والأحكام لدينا")</f>
        <v>الشروط والأحكام لدينا</v>
      </c>
      <c r="E2178" s="7" t="str">
        <f>IFERROR(__xludf.DUMMYFUNCTION("GOOGLETRANSLATE(C2178, ""en"", ""bg"")"),"Нашите Общи условия")</f>
        <v>Нашите Общи условия</v>
      </c>
      <c r="F2178" s="6"/>
      <c r="G2178" s="7" t="str">
        <f>IFERROR(__xludf.DUMMYFUNCTION("GOOGLETRANSLATE(C2178, ""en"", ""cs"")"),"Naše podmínky")</f>
        <v>Naše podmínky</v>
      </c>
      <c r="H2178" s="13" t="s">
        <v>43128</v>
      </c>
      <c r="I2178" s="13" t="s">
        <v>43129</v>
      </c>
      <c r="J2178" s="6"/>
      <c r="K2178" s="13" t="s">
        <v>43130</v>
      </c>
      <c r="L2178" s="13" t="s">
        <v>43131</v>
      </c>
      <c r="M2178" s="13" t="s">
        <v>43132</v>
      </c>
      <c r="N2178" s="6"/>
      <c r="O2178" s="6"/>
      <c r="P2178" s="13" t="s">
        <v>43133</v>
      </c>
      <c r="Q2178" s="13" t="s">
        <v>43134</v>
      </c>
      <c r="R2178" s="13" t="s">
        <v>43135</v>
      </c>
      <c r="S2178" s="10"/>
      <c r="T2178" s="13" t="s">
        <v>11484</v>
      </c>
      <c r="U2178" s="13" t="s">
        <v>43136</v>
      </c>
      <c r="V2178" s="13" t="s">
        <v>43137</v>
      </c>
      <c r="W2178" s="13" t="s">
        <v>43138</v>
      </c>
      <c r="X2178" s="13" t="s">
        <v>43139</v>
      </c>
      <c r="Y2178" s="13" t="s">
        <v>43140</v>
      </c>
      <c r="Z2178" s="13" t="s">
        <v>43141</v>
      </c>
      <c r="AA2178" s="7" t="str">
        <f>IFERROR(__xludf.DUMMYFUNCTION("GOOGLETRANSLATE(C2178, ""en"", ""ro"")"),"Termenii și condițiile noastre")</f>
        <v>Termenii și condițiile noastre</v>
      </c>
      <c r="AB2178" s="13" t="s">
        <v>43142</v>
      </c>
      <c r="AC2178" s="7" t="str">
        <f>IFERROR(__xludf.DUMMYFUNCTION("GOOGLETRANSLATE(C2178, ""en"", ""sk"")"),"Naše podmienky")</f>
        <v>Naše podmienky</v>
      </c>
      <c r="AD2178" s="6"/>
      <c r="AE2178" s="13" t="s">
        <v>43143</v>
      </c>
      <c r="AF2178" s="13" t="s">
        <v>43144</v>
      </c>
      <c r="AG2178" s="6"/>
      <c r="AH2178" s="13" t="s">
        <v>43145</v>
      </c>
      <c r="AI2178" s="6"/>
      <c r="AJ2178" s="6"/>
      <c r="AK2178" s="13" t="s">
        <v>43146</v>
      </c>
      <c r="AL2178" s="6"/>
    </row>
    <row r="2179" ht="15.75" customHeight="1">
      <c r="A2179" s="13" t="s">
        <v>127</v>
      </c>
      <c r="B2179" s="37" t="s">
        <v>43147</v>
      </c>
      <c r="C2179" s="40" t="s">
        <v>43148</v>
      </c>
      <c r="D2179" s="40" t="s">
        <v>43148</v>
      </c>
      <c r="E2179" s="40" t="s">
        <v>43148</v>
      </c>
      <c r="F2179" s="6"/>
      <c r="G2179" s="40" t="s">
        <v>43148</v>
      </c>
      <c r="H2179" s="40" t="s">
        <v>43148</v>
      </c>
      <c r="I2179" s="40" t="s">
        <v>43148</v>
      </c>
      <c r="J2179" s="6"/>
      <c r="K2179" s="40" t="s">
        <v>43148</v>
      </c>
      <c r="L2179" s="40" t="s">
        <v>43148</v>
      </c>
      <c r="M2179" s="40" t="s">
        <v>43148</v>
      </c>
      <c r="N2179" s="6"/>
      <c r="O2179" s="6"/>
      <c r="P2179" s="40" t="s">
        <v>43148</v>
      </c>
      <c r="Q2179" s="40" t="s">
        <v>43148</v>
      </c>
      <c r="R2179" s="40" t="s">
        <v>43148</v>
      </c>
      <c r="S2179" s="10"/>
      <c r="T2179" s="40" t="s">
        <v>43148</v>
      </c>
      <c r="U2179" s="40" t="s">
        <v>43148</v>
      </c>
      <c r="V2179" s="40" t="s">
        <v>43148</v>
      </c>
      <c r="W2179" s="40" t="s">
        <v>43148</v>
      </c>
      <c r="X2179" s="40" t="s">
        <v>43148</v>
      </c>
      <c r="Y2179" s="40" t="s">
        <v>43148</v>
      </c>
      <c r="Z2179" s="40" t="s">
        <v>43148</v>
      </c>
      <c r="AA2179" s="40" t="s">
        <v>43148</v>
      </c>
      <c r="AB2179" s="40" t="s">
        <v>43148</v>
      </c>
      <c r="AC2179" s="40" t="s">
        <v>43148</v>
      </c>
      <c r="AD2179" s="6"/>
      <c r="AE2179" s="40" t="s">
        <v>43148</v>
      </c>
      <c r="AF2179" s="40" t="s">
        <v>43148</v>
      </c>
      <c r="AG2179" s="6"/>
      <c r="AH2179" s="40" t="s">
        <v>43148</v>
      </c>
      <c r="AI2179" s="6"/>
      <c r="AJ2179" s="6"/>
      <c r="AK2179" s="40" t="s">
        <v>43148</v>
      </c>
      <c r="AL2179" s="6"/>
    </row>
    <row r="2180" ht="15.75" customHeight="1">
      <c r="A2180" s="13" t="s">
        <v>127</v>
      </c>
      <c r="B2180" s="37" t="s">
        <v>43149</v>
      </c>
      <c r="C2180" s="13" t="s">
        <v>43150</v>
      </c>
      <c r="D2180" s="7" t="str">
        <f>IFERROR(__xludf.DUMMYFUNCTION("GOOGLETRANSLATE(C2180, ""en"", ""ar"")"),"اتصل بنا")</f>
        <v>اتصل بنا</v>
      </c>
      <c r="E2180" s="21" t="s">
        <v>43151</v>
      </c>
      <c r="F2180" s="6"/>
      <c r="G2180" s="21" t="s">
        <v>43152</v>
      </c>
      <c r="H2180" s="21" t="s">
        <v>43153</v>
      </c>
      <c r="I2180" s="21" t="s">
        <v>43154</v>
      </c>
      <c r="J2180" s="6"/>
      <c r="K2180" s="13" t="s">
        <v>43155</v>
      </c>
      <c r="L2180" s="13" t="s">
        <v>43156</v>
      </c>
      <c r="M2180" s="13" t="s">
        <v>43157</v>
      </c>
      <c r="N2180" s="6"/>
      <c r="O2180" s="6"/>
      <c r="P2180" s="13" t="s">
        <v>43158</v>
      </c>
      <c r="Q2180" s="13" t="s">
        <v>43159</v>
      </c>
      <c r="R2180" s="13" t="s">
        <v>43160</v>
      </c>
      <c r="S2180" s="10"/>
      <c r="T2180" s="13" t="s">
        <v>43161</v>
      </c>
      <c r="U2180" s="13" t="s">
        <v>43162</v>
      </c>
      <c r="V2180" s="13" t="s">
        <v>43159</v>
      </c>
      <c r="W2180" s="13" t="s">
        <v>43163</v>
      </c>
      <c r="X2180" s="13" t="s">
        <v>43164</v>
      </c>
      <c r="Y2180" s="13" t="s">
        <v>43165</v>
      </c>
      <c r="Z2180" s="13" t="s">
        <v>43166</v>
      </c>
      <c r="AA2180" s="13" t="s">
        <v>43167</v>
      </c>
      <c r="AB2180" s="13" t="s">
        <v>43168</v>
      </c>
      <c r="AC2180" s="13" t="s">
        <v>43152</v>
      </c>
      <c r="AD2180" s="6"/>
      <c r="AE2180" s="13" t="s">
        <v>43169</v>
      </c>
      <c r="AF2180" s="13" t="s">
        <v>43170</v>
      </c>
      <c r="AG2180" s="6"/>
      <c r="AH2180" s="13" t="s">
        <v>43171</v>
      </c>
      <c r="AI2180" s="6"/>
      <c r="AJ2180" s="6"/>
      <c r="AK2180" s="13" t="s">
        <v>43172</v>
      </c>
      <c r="AL2180" s="6"/>
    </row>
    <row r="2181" ht="15.75" customHeight="1">
      <c r="A2181" s="13" t="s">
        <v>127</v>
      </c>
      <c r="B2181" s="37" t="s">
        <v>43173</v>
      </c>
      <c r="C2181" s="13" t="s">
        <v>43174</v>
      </c>
      <c r="D2181" s="13" t="s">
        <v>43174</v>
      </c>
      <c r="E2181" s="13" t="s">
        <v>43174</v>
      </c>
      <c r="F2181" s="6"/>
      <c r="G2181" s="13" t="s">
        <v>43174</v>
      </c>
      <c r="H2181" s="13" t="s">
        <v>43174</v>
      </c>
      <c r="I2181" s="7" t="str">
        <f>IFERROR(__xludf.DUMMYFUNCTION("GOOGLETRANSLATE(C2181, ""en"", ""de"")"),"Raiffeisen einzeltitel Scoring.")</f>
        <v>Raiffeisen einzeltitel Scoring.</v>
      </c>
      <c r="J2181" s="6"/>
      <c r="K2181" s="13" t="s">
        <v>43174</v>
      </c>
      <c r="L2181" s="13" t="s">
        <v>43174</v>
      </c>
      <c r="M2181" s="13" t="s">
        <v>43174</v>
      </c>
      <c r="N2181" s="6"/>
      <c r="O2181" s="6"/>
      <c r="P2181" s="13" t="s">
        <v>43174</v>
      </c>
      <c r="Q2181" s="13" t="s">
        <v>43174</v>
      </c>
      <c r="R2181" s="13" t="s">
        <v>43174</v>
      </c>
      <c r="S2181" s="10"/>
      <c r="T2181" s="13" t="s">
        <v>43174</v>
      </c>
      <c r="U2181" s="13" t="s">
        <v>43174</v>
      </c>
      <c r="V2181" s="13" t="s">
        <v>43174</v>
      </c>
      <c r="W2181" s="13" t="s">
        <v>43174</v>
      </c>
      <c r="X2181" s="13" t="s">
        <v>43174</v>
      </c>
      <c r="Y2181" s="13" t="s">
        <v>43174</v>
      </c>
      <c r="Z2181" s="13" t="s">
        <v>43174</v>
      </c>
      <c r="AA2181" s="13" t="s">
        <v>43174</v>
      </c>
      <c r="AB2181" s="13" t="s">
        <v>43174</v>
      </c>
      <c r="AC2181" s="13" t="s">
        <v>43174</v>
      </c>
      <c r="AD2181" s="6"/>
      <c r="AE2181" s="13" t="s">
        <v>43174</v>
      </c>
      <c r="AF2181" s="13" t="s">
        <v>43174</v>
      </c>
      <c r="AG2181" s="6"/>
      <c r="AH2181" s="13" t="s">
        <v>43174</v>
      </c>
      <c r="AI2181" s="6"/>
      <c r="AJ2181" s="6"/>
      <c r="AK2181" s="13" t="s">
        <v>43174</v>
      </c>
      <c r="AL2181" s="6"/>
    </row>
    <row r="2182" ht="15.75" customHeight="1">
      <c r="A2182" s="13" t="s">
        <v>127</v>
      </c>
      <c r="B2182" s="37" t="s">
        <v>43175</v>
      </c>
      <c r="C2182" s="13" t="s">
        <v>43176</v>
      </c>
      <c r="D2182" s="13" t="s">
        <v>43176</v>
      </c>
      <c r="E2182" s="13" t="s">
        <v>43176</v>
      </c>
      <c r="F2182" s="6"/>
      <c r="G2182" s="13" t="s">
        <v>43176</v>
      </c>
      <c r="H2182" s="13" t="s">
        <v>43176</v>
      </c>
      <c r="I2182" s="7" t="str">
        <f>IFERROR(__xludf.DUMMYFUNCTION("GOOGLETRANSLATE(C2182, ""en"", ""de"")"),"Mehr Info")</f>
        <v>Mehr Info</v>
      </c>
      <c r="J2182" s="6"/>
      <c r="K2182" s="13" t="s">
        <v>43176</v>
      </c>
      <c r="L2182" s="13" t="s">
        <v>43176</v>
      </c>
      <c r="M2182" s="13" t="s">
        <v>43176</v>
      </c>
      <c r="N2182" s="6"/>
      <c r="O2182" s="6"/>
      <c r="P2182" s="13" t="s">
        <v>43176</v>
      </c>
      <c r="Q2182" s="13" t="s">
        <v>43176</v>
      </c>
      <c r="R2182" s="13" t="s">
        <v>43176</v>
      </c>
      <c r="S2182" s="10"/>
      <c r="T2182" s="13" t="s">
        <v>43176</v>
      </c>
      <c r="U2182" s="13" t="s">
        <v>43176</v>
      </c>
      <c r="V2182" s="13" t="s">
        <v>43176</v>
      </c>
      <c r="W2182" s="13" t="s">
        <v>43176</v>
      </c>
      <c r="X2182" s="13" t="s">
        <v>43176</v>
      </c>
      <c r="Y2182" s="13" t="s">
        <v>43176</v>
      </c>
      <c r="Z2182" s="13" t="s">
        <v>43176</v>
      </c>
      <c r="AA2182" s="13" t="s">
        <v>43176</v>
      </c>
      <c r="AB2182" s="13" t="s">
        <v>43176</v>
      </c>
      <c r="AC2182" s="13" t="s">
        <v>43176</v>
      </c>
      <c r="AD2182" s="6"/>
      <c r="AE2182" s="13" t="s">
        <v>43176</v>
      </c>
      <c r="AF2182" s="13" t="s">
        <v>43176</v>
      </c>
      <c r="AG2182" s="6"/>
      <c r="AH2182" s="13" t="s">
        <v>43176</v>
      </c>
      <c r="AI2182" s="6"/>
      <c r="AJ2182" s="6"/>
      <c r="AK2182" s="13" t="s">
        <v>43176</v>
      </c>
      <c r="AL2182" s="6"/>
    </row>
    <row r="2183" ht="15.75" customHeight="1">
      <c r="A2183" s="13" t="s">
        <v>127</v>
      </c>
      <c r="B2183" s="37" t="s">
        <v>43177</v>
      </c>
      <c r="C2183" s="13" t="s">
        <v>43178</v>
      </c>
      <c r="D2183" s="7" t="str">
        <f>IFERROR(__xludf.DUMMYFUNCTION("GOOGLETRANSLATE(C2183, ""en"", ""ar"")"),"إضافة إلى التقويم")</f>
        <v>إضافة إلى التقويم</v>
      </c>
      <c r="E2183" s="7" t="str">
        <f>IFERROR(__xludf.DUMMYFUNCTION("GOOGLETRANSLATE(C2183, ""en"", ""bg"")"),"Добави в календара")</f>
        <v>Добави в календара</v>
      </c>
      <c r="F2183" s="6"/>
      <c r="G2183" s="7" t="str">
        <f>IFERROR(__xludf.DUMMYFUNCTION("GOOGLETRANSLATE(C2183, ""en"", ""cs"")"),"Přidat do kalendáře.")</f>
        <v>Přidat do kalendáře.</v>
      </c>
      <c r="H2183" s="13"/>
      <c r="I2183" s="7" t="str">
        <f>IFERROR(__xludf.DUMMYFUNCTION("GOOGLETRANSLATE(C2183, ""en"", ""de"")"),"Zum Kalender hinzufügen")</f>
        <v>Zum Kalender hinzufügen</v>
      </c>
      <c r="J2183" s="6"/>
      <c r="K2183" s="7" t="str">
        <f>IFERROR(__xludf.DUMMYFUNCTION("GOOGLETRANSLATE(C2183, ""en"", ""es"")"),"Añadir al calendario")</f>
        <v>Añadir al calendario</v>
      </c>
      <c r="L2183" s="7" t="str">
        <f>IFERROR(__xludf.DUMMYFUNCTION("GOOGLETRANSLATE(C2183, ""en"", ""fi"")"),"Lisää kalenteri")</f>
        <v>Lisää kalenteri</v>
      </c>
      <c r="M2183" s="7" t="str">
        <f>IFERROR(__xludf.DUMMYFUNCTION("GOOGLETRANSLATE(C2183, ""en"", ""fr"")"),"Ajouter au calendrier")</f>
        <v>Ajouter au calendrier</v>
      </c>
      <c r="N2183" s="6"/>
      <c r="O2183" s="6"/>
      <c r="P2183" s="7" t="str">
        <f>IFERROR(__xludf.DUMMYFUNCTION("GOOGLETRANSLATE(C2183, ""en"", ""hu"")"),"Add hozzá a naptárhoz")</f>
        <v>Add hozzá a naptárhoz</v>
      </c>
      <c r="Q2183" s="7" t="str">
        <f>IFERROR(__xludf.DUMMYFUNCTION("GOOGLETRANSLATE(C2183, ""en"", ""in"")"),"Tambahkan ke Kalender.")</f>
        <v>Tambahkan ke Kalender.</v>
      </c>
      <c r="R2183" s="7" t="str">
        <f>IFERROR(__xludf.DUMMYFUNCTION("GOOGLETRANSLATE(C2183, ""en"", ""it"")"),"Aggiungi al calendario")</f>
        <v>Aggiungi al calendario</v>
      </c>
      <c r="S2183" s="10"/>
      <c r="T2183" s="7" t="str">
        <f>IFERROR(__xludf.DUMMYFUNCTION("GOOGLETRANSLATE(C2183, ""en"", ""ja"")"),"カレンダーに追加します")</f>
        <v>カレンダーに追加します</v>
      </c>
      <c r="U2183" s="7" t="str">
        <f>IFERROR(__xludf.DUMMYFUNCTION("GOOGLETRANSLATE(C2183, ""en"", ""ko"")"),"캘린더에 추가하십시오")</f>
        <v>캘린더에 추가하십시오</v>
      </c>
      <c r="V2183" s="7" t="str">
        <f>IFERROR(__xludf.DUMMYFUNCTION("GOOGLETRANSLATE(C2183, ""en"", ""ms"")"),"Tambah ke kalendar")</f>
        <v>Tambah ke kalendar</v>
      </c>
      <c r="W2183" s="7" t="str">
        <f>IFERROR(__xludf.DUMMYFUNCTION("GOOGLETRANSLATE(C2183, ""en"", ""nl"")"),"Toevoegen aan kalender")</f>
        <v>Toevoegen aan kalender</v>
      </c>
      <c r="X2183" s="7" t="str">
        <f>IFERROR(__xludf.DUMMYFUNCTION("GOOGLETRANSLATE(C2183, ""en"", ""no"")"),"Legg til i kalenderen")</f>
        <v>Legg til i kalenderen</v>
      </c>
      <c r="Y2183" s="7" t="str">
        <f>IFERROR(__xludf.DUMMYFUNCTION("GOOGLETRANSLATE(C2183, ""en"", ""pl"")"),"Dodaj do kalendarza")</f>
        <v>Dodaj do kalendarza</v>
      </c>
      <c r="Z2183" s="7" t="str">
        <f>IFERROR(__xludf.DUMMYFUNCTION("GOOGLETRANSLATE(C2183, ""en"", ""pt"")"),"Adicionar ao Calendário")</f>
        <v>Adicionar ao Calendário</v>
      </c>
      <c r="AA2183" s="7" t="str">
        <f>IFERROR(__xludf.DUMMYFUNCTION("GOOGLETRANSLATE(C2183, ""en"", ""ro"")"),"Adăugați în calendar")</f>
        <v>Adăugați în calendar</v>
      </c>
      <c r="AB2183" s="7" t="str">
        <f>IFERROR(__xludf.DUMMYFUNCTION("GOOGLETRANSLATE(C2183, ""en"", ""ru"")"),"Добавить в календарь")</f>
        <v>Добавить в календарь</v>
      </c>
      <c r="AC2183" s="7" t="str">
        <f>IFERROR(__xludf.DUMMYFUNCTION("GOOGLETRANSLATE(C2183, ""en"", ""sk"")"),"Pridať do kalendára")</f>
        <v>Pridať do kalendára</v>
      </c>
      <c r="AD2183" s="6"/>
      <c r="AE2183" s="7" t="str">
        <f>IFERROR(__xludf.DUMMYFUNCTION("GOOGLETRANSLATE(C2183, ""en"", ""sr"")"),"Додај у Календар")</f>
        <v>Додај у Календар</v>
      </c>
      <c r="AF2183" s="7" t="str">
        <f>IFERROR(__xludf.DUMMYFUNCTION("GOOGLETRANSLATE(C2183, ""en"", ""sv"")"),"Lägg till i kalender")</f>
        <v>Lägg till i kalender</v>
      </c>
      <c r="AG2183" s="6"/>
      <c r="AH2183" s="7" t="str">
        <f>IFERROR(__xludf.DUMMYFUNCTION("GOOGLETRANSLATE(C2183, ""en"", ""tr"")"),"Takvime ekle")</f>
        <v>Takvime ekle</v>
      </c>
      <c r="AI2183" s="6"/>
      <c r="AJ2183" s="6"/>
      <c r="AK2183" s="7" t="str">
        <f>IFERROR(__xludf.DUMMYFUNCTION("GOOGLETRANSLATE(C2183, ""en"", ""zh"")"),"添加到日历")</f>
        <v>添加到日历</v>
      </c>
      <c r="AL2183" s="6"/>
    </row>
    <row r="2184" ht="15.75" customHeight="1">
      <c r="A2184" s="41" t="s">
        <v>127</v>
      </c>
      <c r="B2184" s="37" t="s">
        <v>43179</v>
      </c>
      <c r="C2184" s="41" t="s">
        <v>43180</v>
      </c>
      <c r="D2184" s="7" t="str">
        <f>IFERROR(__xludf.DUMMYFUNCTION("GOOGLETRANSLATE(C2184, ""en"", ""ar"")"),"العقود الآجلة / الخيارات")</f>
        <v>العقود الآجلة / الخيارات</v>
      </c>
      <c r="E2184" s="7" t="str">
        <f>IFERROR(__xludf.DUMMYFUNCTION("GOOGLETRANSLATE(C2184, ""en"", ""bg"")"),"Фючърси / опции")</f>
        <v>Фючърси / опции</v>
      </c>
      <c r="F2184" s="6"/>
      <c r="G2184" s="7" t="str">
        <f>IFERROR(__xludf.DUMMYFUNCTION("GOOGLETRANSLATE(C2184, ""en"", ""cs"")"),"Futures / Options.")</f>
        <v>Futures / Options.</v>
      </c>
      <c r="H2184" s="42" t="s">
        <v>43180</v>
      </c>
      <c r="I2184" s="7" t="str">
        <f>IFERROR(__xludf.DUMMYFUNCTION("GOOGLETRANSLATE(C2184, ""en"", ""de"")"),"Futures / Optionen.")</f>
        <v>Futures / Optionen.</v>
      </c>
      <c r="J2184" s="43"/>
      <c r="K2184" s="7" t="str">
        <f>IFERROR(__xludf.DUMMYFUNCTION("GOOGLETRANSLATE(C2184, ""en"", ""es"")"),"Futuros / Opciones")</f>
        <v>Futuros / Opciones</v>
      </c>
      <c r="L2184" s="7" t="str">
        <f>IFERROR(__xludf.DUMMYFUNCTION("GOOGLETRANSLATE(C2184, ""en"", ""fi"")"),"Futuurit / vaihtoehdot")</f>
        <v>Futuurit / vaihtoehdot</v>
      </c>
      <c r="M2184" s="7" t="str">
        <f>IFERROR(__xludf.DUMMYFUNCTION("GOOGLETRANSLATE(C2184, ""en"", ""fr"")"),"Futures / options")</f>
        <v>Futures / options</v>
      </c>
      <c r="N2184" s="6"/>
      <c r="O2184" s="6"/>
      <c r="P2184" s="7" t="str">
        <f>IFERROR(__xludf.DUMMYFUNCTION("GOOGLETRANSLATE(C2184, ""en"", ""hu"")"),"Futures / opciók")</f>
        <v>Futures / opciók</v>
      </c>
      <c r="Q2184" s="7" t="str">
        <f>IFERROR(__xludf.DUMMYFUNCTION("GOOGLETRANSLATE(C2184, ""en"", ""in"")"),"Futures / Options.")</f>
        <v>Futures / Options.</v>
      </c>
      <c r="R2184" s="7" t="str">
        <f>IFERROR(__xludf.DUMMYFUNCTION("GOOGLETRANSLATE(C2184, ""en"", ""it"")"),"Futures / Opzioni")</f>
        <v>Futures / Opzioni</v>
      </c>
      <c r="S2184" s="10"/>
      <c r="T2184" s="7" t="str">
        <f>IFERROR(__xludf.DUMMYFUNCTION("GOOGLETRANSLATE(C2184, ""en"", ""ja"")"),"先物/オプション")</f>
        <v>先物/オプション</v>
      </c>
      <c r="U2184" s="7" t="str">
        <f>IFERROR(__xludf.DUMMYFUNCTION("GOOGLETRANSLATE(C2184, ""en"", ""ko"")"),"선물 / 옵션")</f>
        <v>선물 / 옵션</v>
      </c>
      <c r="V2184" s="7" t="str">
        <f>IFERROR(__xludf.DUMMYFUNCTION("GOOGLETRANSLATE(C2184, ""en"", ""ms"")"),"Hadapan / pilihan")</f>
        <v>Hadapan / pilihan</v>
      </c>
      <c r="W2184" s="7" t="str">
        <f>IFERROR(__xludf.DUMMYFUNCTION("GOOGLETRANSLATE(C2184, ""en"", ""nl"")"),"Futures / Opties")</f>
        <v>Futures / Opties</v>
      </c>
      <c r="X2184" s="7" t="str">
        <f>IFERROR(__xludf.DUMMYFUNCTION("GOOGLETRANSLATE(C2184, ""en"", ""no"")"),"Futures / alternativer")</f>
        <v>Futures / alternativer</v>
      </c>
      <c r="Y2184" s="7" t="str">
        <f>IFERROR(__xludf.DUMMYFUNCTION("GOOGLETRANSLATE(C2184, ""en"", ""pl"")"),"Futures / opcje")</f>
        <v>Futures / opcje</v>
      </c>
      <c r="Z2184" s="7" t="str">
        <f>IFERROR(__xludf.DUMMYFUNCTION("GOOGLETRANSLATE(C2184, ""en"", ""pt"")"),"Futuros / Opções")</f>
        <v>Futuros / Opções</v>
      </c>
      <c r="AA2184" s="7" t="str">
        <f>IFERROR(__xludf.DUMMYFUNCTION("GOOGLETRANSLATE(C2184, ""en"", ""ro"")"),"Futures / Opțiuni")</f>
        <v>Futures / Opțiuni</v>
      </c>
      <c r="AB2184" s="7" t="str">
        <f>IFERROR(__xludf.DUMMYFUNCTION("GOOGLETRANSLATE(C2184, ""en"", ""ru"")"),"Фьючерсы / варианты")</f>
        <v>Фьючерсы / варианты</v>
      </c>
      <c r="AC2184" s="7" t="str">
        <f>IFERROR(__xludf.DUMMYFUNCTION("GOOGLETRANSLATE(C2184, ""en"", ""sk"")"),"Futures / Možnosti")</f>
        <v>Futures / Možnosti</v>
      </c>
      <c r="AD2184" s="6"/>
      <c r="AE2184" s="7" t="str">
        <f>IFERROR(__xludf.DUMMYFUNCTION("GOOGLETRANSLATE(C2184, ""en"", ""sr"")"),"Футурес / Опције")</f>
        <v>Футурес / Опције</v>
      </c>
      <c r="AF2184" s="7" t="str">
        <f>IFERROR(__xludf.DUMMYFUNCTION("GOOGLETRANSLATE(C2184, ""en"", ""sv"")"),"Futures / Options")</f>
        <v>Futures / Options</v>
      </c>
      <c r="AG2184" s="6"/>
      <c r="AH2184" s="7" t="str">
        <f>IFERROR(__xludf.DUMMYFUNCTION("GOOGLETRANSLATE(C2184, ""en"", ""tr"")"),"Vadeli İşlemler / Seçenekler")</f>
        <v>Vadeli İşlemler / Seçenekler</v>
      </c>
      <c r="AI2184" s="6"/>
      <c r="AJ2184" s="6"/>
      <c r="AK2184" s="7" t="str">
        <f>IFERROR(__xludf.DUMMYFUNCTION("GOOGLETRANSLATE(C2184, ""en"", ""zh"")"),"期货/选择")</f>
        <v>期货/选择</v>
      </c>
      <c r="AL2184" s="6"/>
    </row>
  </sheetData>
  <autoFilter ref="$A$1:$A$2184">
    <filterColumn colId="0">
      <filters>
        <filter val="sm_iPad"/>
        <filter val="sm_iPhone"/>
        <filter val="sm"/>
        <filter val="chart"/>
        <filter val="hw"/>
      </filters>
    </filterColumn>
  </autoFilter>
  <hyperlinks>
    <hyperlink r:id="rId1" ref="C2179"/>
    <hyperlink r:id="rId2" ref="D2179"/>
    <hyperlink r:id="rId3" ref="E2179"/>
    <hyperlink r:id="rId4" ref="G2179"/>
    <hyperlink r:id="rId5" ref="H2179"/>
    <hyperlink r:id="rId6" ref="I2179"/>
    <hyperlink r:id="rId7" ref="K2179"/>
    <hyperlink r:id="rId8" ref="L2179"/>
    <hyperlink r:id="rId9" ref="M2179"/>
    <hyperlink r:id="rId10" ref="P2179"/>
    <hyperlink r:id="rId11" ref="Q2179"/>
    <hyperlink r:id="rId12" ref="R2179"/>
    <hyperlink r:id="rId13" ref="T2179"/>
    <hyperlink r:id="rId14" ref="U2179"/>
    <hyperlink r:id="rId15" ref="V2179"/>
    <hyperlink r:id="rId16" ref="W2179"/>
    <hyperlink r:id="rId17" ref="X2179"/>
    <hyperlink r:id="rId18" ref="Y2179"/>
    <hyperlink r:id="rId19" ref="Z2179"/>
    <hyperlink r:id="rId20" ref="AA2179"/>
    <hyperlink r:id="rId21" ref="AB2179"/>
    <hyperlink r:id="rId22" ref="AC2179"/>
    <hyperlink r:id="rId23" ref="AE2179"/>
    <hyperlink r:id="rId24" ref="AF2179"/>
    <hyperlink r:id="rId25" ref="AH2179"/>
    <hyperlink r:id="rId26" ref="AK2179"/>
  </hyperlinks>
  <printOptions/>
  <pageMargins bottom="0.75" footer="0.0" header="0.0" left="0.7" right="0.7" top="0.75"/>
  <pageSetup orientation="landscape"/>
  <drawing r:id="rId2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7.63"/>
    <col customWidth="1" min="2" max="2" width="30.0"/>
    <col customWidth="1" min="3" max="3" width="27.63"/>
    <col customWidth="1" min="4" max="4" width="7.63"/>
    <col customWidth="1" min="5" max="5" width="9.38"/>
    <col customWidth="1" min="6" max="8" width="7.63"/>
    <col customWidth="1" min="9" max="9" width="13.75"/>
    <col customWidth="1" min="10" max="10" width="7.63"/>
    <col customWidth="1" min="11" max="11" width="27.5"/>
    <col customWidth="1" min="12" max="15" width="7.63"/>
    <col customWidth="1" min="16" max="16" width="19.25"/>
    <col customWidth="1" min="17" max="17" width="13.88"/>
    <col customWidth="1" min="18" max="26" width="7.63"/>
    <col customWidth="1" min="27" max="27" width="28.25"/>
    <col customWidth="1" min="28" max="40" width="7.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43181</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37</v>
      </c>
    </row>
    <row r="2">
      <c r="A2" s="1" t="s">
        <v>38</v>
      </c>
      <c r="B2" s="1" t="s">
        <v>39</v>
      </c>
      <c r="C2" s="1" t="s">
        <v>40</v>
      </c>
      <c r="D2" s="1" t="s">
        <v>41</v>
      </c>
      <c r="E2" s="1" t="s">
        <v>41</v>
      </c>
      <c r="F2" s="1" t="s">
        <v>41</v>
      </c>
      <c r="G2" s="1" t="s">
        <v>41</v>
      </c>
      <c r="H2" s="1" t="s">
        <v>41</v>
      </c>
      <c r="I2" s="1" t="s">
        <v>42</v>
      </c>
      <c r="J2" s="1" t="s">
        <v>41</v>
      </c>
      <c r="K2" s="1" t="s">
        <v>43</v>
      </c>
      <c r="L2" s="1" t="s">
        <v>41</v>
      </c>
      <c r="M2" s="1" t="s">
        <v>44</v>
      </c>
      <c r="N2" s="1" t="s">
        <v>41</v>
      </c>
      <c r="O2" s="1" t="s">
        <v>41</v>
      </c>
      <c r="P2" s="1" t="s">
        <v>40</v>
      </c>
      <c r="Q2" s="1" t="s">
        <v>41</v>
      </c>
      <c r="R2" s="1" t="s">
        <v>41</v>
      </c>
      <c r="S2" s="1" t="s">
        <v>41</v>
      </c>
      <c r="T2" s="1" t="s">
        <v>41</v>
      </c>
      <c r="U2" s="1" t="s">
        <v>41</v>
      </c>
      <c r="V2" s="1" t="s">
        <v>41</v>
      </c>
      <c r="W2" s="1" t="s">
        <v>41</v>
      </c>
      <c r="X2" s="1" t="s">
        <v>41</v>
      </c>
      <c r="Y2" s="1" t="s">
        <v>41</v>
      </c>
      <c r="Z2" s="1" t="s">
        <v>41</v>
      </c>
      <c r="AA2" s="1" t="s">
        <v>41</v>
      </c>
      <c r="AB2" s="1" t="s">
        <v>41</v>
      </c>
      <c r="AC2" s="1" t="s">
        <v>45</v>
      </c>
      <c r="AD2" s="1" t="s">
        <v>41</v>
      </c>
      <c r="AE2" s="1" t="s">
        <v>41</v>
      </c>
      <c r="AF2" s="1" t="s">
        <v>46</v>
      </c>
      <c r="AG2" s="1" t="s">
        <v>41</v>
      </c>
      <c r="AH2" s="1" t="s">
        <v>41</v>
      </c>
      <c r="AI2" s="1" t="s">
        <v>41</v>
      </c>
      <c r="AJ2" s="1" t="s">
        <v>41</v>
      </c>
      <c r="AK2" s="1" t="s">
        <v>41</v>
      </c>
      <c r="AL2" s="1" t="s">
        <v>41</v>
      </c>
      <c r="AM2" s="1" t="s">
        <v>41</v>
      </c>
      <c r="AN2" s="1" t="s">
        <v>41</v>
      </c>
    </row>
    <row r="3">
      <c r="A3" s="1" t="s">
        <v>38</v>
      </c>
      <c r="B3" s="1" t="s">
        <v>47</v>
      </c>
      <c r="C3" s="1" t="s">
        <v>48</v>
      </c>
      <c r="D3" s="1" t="s">
        <v>41</v>
      </c>
      <c r="E3" s="1" t="s">
        <v>41</v>
      </c>
      <c r="F3" s="1" t="s">
        <v>41</v>
      </c>
      <c r="G3" s="1" t="s">
        <v>41</v>
      </c>
      <c r="H3" s="1" t="s">
        <v>41</v>
      </c>
      <c r="I3" s="1" t="s">
        <v>41</v>
      </c>
      <c r="J3" s="1" t="s">
        <v>41</v>
      </c>
      <c r="K3" s="1" t="s">
        <v>41</v>
      </c>
      <c r="L3" s="1" t="s">
        <v>41</v>
      </c>
      <c r="M3" s="1" t="s">
        <v>41</v>
      </c>
      <c r="N3" s="1" t="s">
        <v>41</v>
      </c>
      <c r="O3" s="1" t="s">
        <v>41</v>
      </c>
      <c r="P3" s="1" t="s">
        <v>41</v>
      </c>
      <c r="Q3" s="1" t="s">
        <v>41</v>
      </c>
      <c r="R3" s="1" t="s">
        <v>41</v>
      </c>
      <c r="S3" s="1" t="s">
        <v>41</v>
      </c>
      <c r="T3" s="1" t="s">
        <v>41</v>
      </c>
      <c r="U3" s="1" t="s">
        <v>41</v>
      </c>
      <c r="V3" s="1" t="s">
        <v>41</v>
      </c>
      <c r="W3" s="1" t="s">
        <v>41</v>
      </c>
      <c r="X3" s="1" t="s">
        <v>41</v>
      </c>
      <c r="Y3" s="1" t="s">
        <v>41</v>
      </c>
      <c r="Z3" s="1" t="s">
        <v>41</v>
      </c>
      <c r="AA3" s="1" t="s">
        <v>41</v>
      </c>
      <c r="AB3" s="1" t="s">
        <v>41</v>
      </c>
      <c r="AC3" s="1" t="s">
        <v>41</v>
      </c>
      <c r="AD3" s="1" t="s">
        <v>41</v>
      </c>
      <c r="AE3" s="1" t="s">
        <v>41</v>
      </c>
      <c r="AF3" s="1" t="s">
        <v>41</v>
      </c>
      <c r="AG3" s="1" t="s">
        <v>41</v>
      </c>
      <c r="AH3" s="1" t="s">
        <v>41</v>
      </c>
      <c r="AI3" s="1" t="s">
        <v>41</v>
      </c>
      <c r="AJ3" s="1" t="s">
        <v>41</v>
      </c>
      <c r="AK3" s="1" t="s">
        <v>41</v>
      </c>
      <c r="AL3" s="1" t="s">
        <v>41</v>
      </c>
      <c r="AM3" s="1" t="s">
        <v>41</v>
      </c>
      <c r="AN3" s="1" t="s">
        <v>41</v>
      </c>
    </row>
    <row r="4">
      <c r="A4" s="1" t="s">
        <v>43182</v>
      </c>
      <c r="B4" s="1" t="s">
        <v>43183</v>
      </c>
      <c r="C4" s="1" t="s">
        <v>17163</v>
      </c>
      <c r="D4" s="1" t="s">
        <v>41</v>
      </c>
      <c r="E4" s="1" t="s">
        <v>41</v>
      </c>
      <c r="F4" s="1" t="s">
        <v>41</v>
      </c>
      <c r="G4" s="1" t="s">
        <v>41</v>
      </c>
      <c r="H4" s="1" t="s">
        <v>41</v>
      </c>
      <c r="I4" s="1" t="s">
        <v>41</v>
      </c>
      <c r="J4" s="1" t="s">
        <v>41</v>
      </c>
      <c r="K4" s="1" t="s">
        <v>41</v>
      </c>
      <c r="L4" s="1" t="s">
        <v>41</v>
      </c>
      <c r="M4" s="1" t="s">
        <v>41</v>
      </c>
      <c r="N4" s="1" t="s">
        <v>41</v>
      </c>
      <c r="O4" s="1" t="s">
        <v>41</v>
      </c>
      <c r="P4" s="1" t="s">
        <v>41</v>
      </c>
      <c r="Q4" s="1" t="s">
        <v>41</v>
      </c>
      <c r="R4" s="1" t="s">
        <v>41</v>
      </c>
      <c r="S4" s="1" t="s">
        <v>41</v>
      </c>
      <c r="T4" s="1" t="s">
        <v>41</v>
      </c>
      <c r="U4" s="1" t="s">
        <v>41</v>
      </c>
      <c r="V4" s="1" t="s">
        <v>41</v>
      </c>
      <c r="W4" s="1" t="s">
        <v>41</v>
      </c>
      <c r="X4" s="1" t="s">
        <v>41</v>
      </c>
      <c r="Y4" s="1" t="s">
        <v>41</v>
      </c>
      <c r="Z4" s="1" t="s">
        <v>41</v>
      </c>
      <c r="AA4" s="1" t="s">
        <v>41</v>
      </c>
      <c r="AB4" s="1" t="s">
        <v>41</v>
      </c>
      <c r="AC4" s="1" t="s">
        <v>41</v>
      </c>
      <c r="AD4" s="1" t="s">
        <v>41</v>
      </c>
      <c r="AE4" s="1" t="s">
        <v>41</v>
      </c>
      <c r="AF4" s="1" t="s">
        <v>41</v>
      </c>
      <c r="AG4" s="1" t="s">
        <v>41</v>
      </c>
      <c r="AH4" s="1" t="s">
        <v>41</v>
      </c>
      <c r="AI4" s="1" t="s">
        <v>41</v>
      </c>
      <c r="AJ4" s="1" t="s">
        <v>41</v>
      </c>
      <c r="AK4" s="1" t="s">
        <v>41</v>
      </c>
      <c r="AL4" s="1" t="s">
        <v>41</v>
      </c>
      <c r="AM4" s="1" t="s">
        <v>41</v>
      </c>
      <c r="AN4" s="1" t="s">
        <v>41</v>
      </c>
    </row>
    <row r="5">
      <c r="A5" s="1" t="s">
        <v>38</v>
      </c>
      <c r="B5" s="1" t="s">
        <v>49</v>
      </c>
      <c r="C5" s="1" t="s">
        <v>50</v>
      </c>
      <c r="D5" s="8" t="s">
        <v>51</v>
      </c>
      <c r="E5" s="1" t="s">
        <v>52</v>
      </c>
      <c r="F5" s="1" t="s">
        <v>53</v>
      </c>
      <c r="G5" s="1" t="s">
        <v>41</v>
      </c>
      <c r="H5" s="1" t="s">
        <v>41</v>
      </c>
      <c r="I5" s="1" t="s">
        <v>54</v>
      </c>
      <c r="J5" s="1" t="s">
        <v>41</v>
      </c>
      <c r="K5" s="1" t="s">
        <v>55</v>
      </c>
      <c r="L5" s="1" t="s">
        <v>41</v>
      </c>
      <c r="M5" s="1" t="s">
        <v>56</v>
      </c>
      <c r="N5" s="1" t="s">
        <v>57</v>
      </c>
      <c r="O5" s="1" t="s">
        <v>41</v>
      </c>
      <c r="P5" s="1" t="s">
        <v>58</v>
      </c>
      <c r="Q5" s="1" t="s">
        <v>59</v>
      </c>
      <c r="R5" s="1" t="s">
        <v>41</v>
      </c>
      <c r="S5" s="1" t="s">
        <v>60</v>
      </c>
      <c r="T5" s="1" t="s">
        <v>41</v>
      </c>
      <c r="U5" s="1" t="s">
        <v>61</v>
      </c>
      <c r="V5" s="1" t="s">
        <v>62</v>
      </c>
      <c r="W5" s="1" t="s">
        <v>41</v>
      </c>
      <c r="X5" s="1" t="s">
        <v>63</v>
      </c>
      <c r="Y5" s="1" t="s">
        <v>41</v>
      </c>
      <c r="Z5" s="1" t="s">
        <v>64</v>
      </c>
      <c r="AA5" s="1" t="s">
        <v>65</v>
      </c>
      <c r="AB5" s="1" t="s">
        <v>41</v>
      </c>
      <c r="AC5" s="1" t="s">
        <v>66</v>
      </c>
      <c r="AD5" s="1" t="s">
        <v>67</v>
      </c>
      <c r="AE5" s="1" t="s">
        <v>41</v>
      </c>
      <c r="AF5" s="1" t="s">
        <v>68</v>
      </c>
      <c r="AG5" s="1" t="s">
        <v>69</v>
      </c>
      <c r="AH5" s="1" t="s">
        <v>41</v>
      </c>
      <c r="AI5" s="1" t="s">
        <v>41</v>
      </c>
      <c r="AJ5" s="1" t="s">
        <v>70</v>
      </c>
      <c r="AK5" s="1" t="s">
        <v>71</v>
      </c>
      <c r="AL5" s="1" t="s">
        <v>41</v>
      </c>
      <c r="AM5" s="1" t="s">
        <v>72</v>
      </c>
      <c r="AN5" s="1" t="s">
        <v>72</v>
      </c>
    </row>
    <row r="6">
      <c r="A6" s="1" t="s">
        <v>38</v>
      </c>
      <c r="B6" s="1" t="s">
        <v>73</v>
      </c>
      <c r="C6" s="1" t="s">
        <v>74</v>
      </c>
      <c r="D6" s="1" t="s">
        <v>41</v>
      </c>
      <c r="E6" s="1" t="s">
        <v>75</v>
      </c>
      <c r="F6" s="1" t="s">
        <v>76</v>
      </c>
      <c r="G6" s="1" t="s">
        <v>41</v>
      </c>
      <c r="H6" s="1" t="s">
        <v>41</v>
      </c>
      <c r="I6" s="1" t="s">
        <v>77</v>
      </c>
      <c r="J6" s="1" t="s">
        <v>41</v>
      </c>
      <c r="K6" s="1" t="s">
        <v>78</v>
      </c>
      <c r="L6" s="1" t="s">
        <v>41</v>
      </c>
      <c r="M6" s="1" t="s">
        <v>79</v>
      </c>
      <c r="N6" s="1" t="s">
        <v>80</v>
      </c>
      <c r="O6" s="1" t="s">
        <v>41</v>
      </c>
      <c r="P6" s="1" t="s">
        <v>81</v>
      </c>
      <c r="Q6" s="1" t="s">
        <v>41</v>
      </c>
      <c r="R6" s="1" t="s">
        <v>41</v>
      </c>
      <c r="S6" s="1" t="s">
        <v>82</v>
      </c>
      <c r="T6" s="1" t="s">
        <v>41</v>
      </c>
      <c r="U6" s="1" t="s">
        <v>83</v>
      </c>
      <c r="V6" s="1" t="s">
        <v>41</v>
      </c>
      <c r="W6" s="1" t="s">
        <v>41</v>
      </c>
      <c r="X6" s="1" t="s">
        <v>84</v>
      </c>
      <c r="Y6" s="1" t="s">
        <v>41</v>
      </c>
      <c r="Z6" s="1" t="s">
        <v>85</v>
      </c>
      <c r="AA6" s="1" t="s">
        <v>41</v>
      </c>
      <c r="AB6" s="1" t="s">
        <v>41</v>
      </c>
      <c r="AC6" s="1" t="s">
        <v>86</v>
      </c>
      <c r="AD6" s="1" t="s">
        <v>41</v>
      </c>
      <c r="AE6" s="1" t="s">
        <v>41</v>
      </c>
      <c r="AF6" s="1" t="s">
        <v>41</v>
      </c>
      <c r="AG6" s="1" t="s">
        <v>41</v>
      </c>
      <c r="AH6" s="1" t="s">
        <v>41</v>
      </c>
      <c r="AI6" s="1" t="s">
        <v>41</v>
      </c>
      <c r="AJ6" s="1" t="s">
        <v>41</v>
      </c>
      <c r="AK6" s="1" t="s">
        <v>41</v>
      </c>
      <c r="AL6" s="1" t="s">
        <v>41</v>
      </c>
      <c r="AM6" s="1" t="s">
        <v>87</v>
      </c>
      <c r="AN6" s="1" t="s">
        <v>87</v>
      </c>
    </row>
    <row r="7">
      <c r="A7" s="1" t="s">
        <v>38</v>
      </c>
      <c r="B7" s="1" t="s">
        <v>88</v>
      </c>
      <c r="C7" s="1" t="s">
        <v>89</v>
      </c>
      <c r="D7" s="1" t="s">
        <v>41</v>
      </c>
      <c r="E7" s="1" t="s">
        <v>90</v>
      </c>
      <c r="F7" s="1" t="s">
        <v>91</v>
      </c>
      <c r="G7" s="1" t="s">
        <v>41</v>
      </c>
      <c r="H7" s="1" t="s">
        <v>41</v>
      </c>
      <c r="I7" s="1" t="s">
        <v>92</v>
      </c>
      <c r="J7" s="1" t="s">
        <v>41</v>
      </c>
      <c r="K7" s="1" t="s">
        <v>93</v>
      </c>
      <c r="L7" s="1" t="s">
        <v>41</v>
      </c>
      <c r="M7" s="1" t="s">
        <v>94</v>
      </c>
      <c r="N7" s="1" t="s">
        <v>95</v>
      </c>
      <c r="O7" s="1" t="s">
        <v>41</v>
      </c>
      <c r="P7" s="1" t="s">
        <v>96</v>
      </c>
      <c r="Q7" s="1" t="s">
        <v>41</v>
      </c>
      <c r="R7" s="1" t="s">
        <v>41</v>
      </c>
      <c r="S7" s="1" t="s">
        <v>97</v>
      </c>
      <c r="T7" s="1" t="s">
        <v>41</v>
      </c>
      <c r="U7" s="1" t="s">
        <v>41</v>
      </c>
      <c r="V7" s="1" t="s">
        <v>41</v>
      </c>
      <c r="W7" s="1" t="s">
        <v>41</v>
      </c>
      <c r="X7" s="1" t="s">
        <v>98</v>
      </c>
      <c r="Y7" s="1" t="s">
        <v>41</v>
      </c>
      <c r="Z7" s="1" t="s">
        <v>99</v>
      </c>
      <c r="AA7" s="1" t="s">
        <v>41</v>
      </c>
      <c r="AB7" s="1" t="s">
        <v>41</v>
      </c>
      <c r="AC7" s="1" t="s">
        <v>41</v>
      </c>
      <c r="AD7" s="1" t="s">
        <v>41</v>
      </c>
      <c r="AE7" s="1" t="s">
        <v>41</v>
      </c>
      <c r="AF7" s="1" t="s">
        <v>100</v>
      </c>
      <c r="AG7" s="1" t="s">
        <v>41</v>
      </c>
      <c r="AH7" s="1" t="s">
        <v>41</v>
      </c>
      <c r="AI7" s="1" t="s">
        <v>41</v>
      </c>
      <c r="AJ7" s="1" t="s">
        <v>41</v>
      </c>
      <c r="AK7" s="1" t="s">
        <v>41</v>
      </c>
      <c r="AL7" s="1" t="s">
        <v>41</v>
      </c>
      <c r="AM7" s="1" t="s">
        <v>41</v>
      </c>
      <c r="AN7" s="1" t="s">
        <v>41</v>
      </c>
    </row>
    <row r="8">
      <c r="A8" s="1" t="s">
        <v>38</v>
      </c>
      <c r="B8" s="1" t="s">
        <v>101</v>
      </c>
      <c r="C8" s="1" t="s">
        <v>102</v>
      </c>
      <c r="D8" s="1" t="s">
        <v>41</v>
      </c>
      <c r="E8" s="1" t="s">
        <v>41</v>
      </c>
      <c r="F8" s="1" t="s">
        <v>41</v>
      </c>
      <c r="G8" s="1" t="s">
        <v>41</v>
      </c>
      <c r="H8" s="1" t="s">
        <v>41</v>
      </c>
      <c r="I8" s="1" t="s">
        <v>103</v>
      </c>
      <c r="J8" s="1" t="s">
        <v>41</v>
      </c>
      <c r="K8" s="1" t="s">
        <v>102</v>
      </c>
      <c r="L8" s="1" t="s">
        <v>41</v>
      </c>
      <c r="M8" s="1" t="s">
        <v>104</v>
      </c>
      <c r="N8" s="1" t="s">
        <v>41</v>
      </c>
      <c r="O8" s="1" t="s">
        <v>41</v>
      </c>
      <c r="P8" s="1" t="s">
        <v>102</v>
      </c>
      <c r="Q8" s="1" t="s">
        <v>41</v>
      </c>
      <c r="R8" s="1" t="s">
        <v>41</v>
      </c>
      <c r="S8" s="1" t="s">
        <v>41</v>
      </c>
      <c r="T8" s="1" t="s">
        <v>41</v>
      </c>
      <c r="U8" s="1" t="s">
        <v>41</v>
      </c>
      <c r="V8" s="1" t="s">
        <v>41</v>
      </c>
      <c r="W8" s="1" t="s">
        <v>41</v>
      </c>
      <c r="X8" s="1" t="s">
        <v>41</v>
      </c>
      <c r="Y8" s="1" t="s">
        <v>41</v>
      </c>
      <c r="Z8" s="1" t="s">
        <v>41</v>
      </c>
      <c r="AA8" s="1" t="s">
        <v>41</v>
      </c>
      <c r="AB8" s="1" t="s">
        <v>41</v>
      </c>
      <c r="AC8" s="1" t="s">
        <v>105</v>
      </c>
      <c r="AD8" s="1" t="s">
        <v>41</v>
      </c>
      <c r="AE8" s="1" t="s">
        <v>41</v>
      </c>
      <c r="AF8" s="1" t="s">
        <v>102</v>
      </c>
      <c r="AG8" s="1" t="s">
        <v>41</v>
      </c>
      <c r="AH8" s="1" t="s">
        <v>41</v>
      </c>
      <c r="AI8" s="1" t="s">
        <v>41</v>
      </c>
      <c r="AJ8" s="1" t="s">
        <v>41</v>
      </c>
      <c r="AK8" s="1" t="s">
        <v>41</v>
      </c>
      <c r="AL8" s="1" t="s">
        <v>41</v>
      </c>
      <c r="AM8" s="1" t="s">
        <v>41</v>
      </c>
      <c r="AN8" s="1" t="s">
        <v>41</v>
      </c>
    </row>
    <row r="9">
      <c r="A9" s="1" t="s">
        <v>38</v>
      </c>
      <c r="B9" s="1" t="s">
        <v>106</v>
      </c>
      <c r="C9" s="1" t="s">
        <v>107</v>
      </c>
      <c r="D9" s="8" t="s">
        <v>108</v>
      </c>
      <c r="E9" s="1" t="s">
        <v>109</v>
      </c>
      <c r="F9" s="1" t="s">
        <v>110</v>
      </c>
      <c r="G9" s="1" t="s">
        <v>41</v>
      </c>
      <c r="H9" s="1" t="s">
        <v>41</v>
      </c>
      <c r="I9" s="1" t="s">
        <v>111</v>
      </c>
      <c r="J9" s="1" t="s">
        <v>41</v>
      </c>
      <c r="K9" s="1" t="s">
        <v>112</v>
      </c>
      <c r="L9" s="1" t="s">
        <v>41</v>
      </c>
      <c r="M9" s="1" t="s">
        <v>113</v>
      </c>
      <c r="N9" s="1" t="s">
        <v>112</v>
      </c>
      <c r="O9" s="1" t="s">
        <v>41</v>
      </c>
      <c r="P9" s="1" t="s">
        <v>114</v>
      </c>
      <c r="Q9" s="1" t="s">
        <v>115</v>
      </c>
      <c r="R9" s="1" t="s">
        <v>41</v>
      </c>
      <c r="S9" s="1" t="s">
        <v>116</v>
      </c>
      <c r="T9" s="1" t="s">
        <v>41</v>
      </c>
      <c r="U9" s="1" t="s">
        <v>117</v>
      </c>
      <c r="V9" s="1" t="s">
        <v>118</v>
      </c>
      <c r="W9" s="1" t="s">
        <v>41</v>
      </c>
      <c r="X9" s="1" t="s">
        <v>119</v>
      </c>
      <c r="Y9" s="1" t="s">
        <v>41</v>
      </c>
      <c r="Z9" s="1" t="s">
        <v>120</v>
      </c>
      <c r="AA9" s="1" t="s">
        <v>121</v>
      </c>
      <c r="AB9" s="1" t="s">
        <v>41</v>
      </c>
      <c r="AC9" s="1" t="s">
        <v>122</v>
      </c>
      <c r="AD9" s="1" t="s">
        <v>41</v>
      </c>
      <c r="AE9" s="1" t="s">
        <v>41</v>
      </c>
      <c r="AF9" s="1" t="s">
        <v>123</v>
      </c>
      <c r="AG9" s="1" t="s">
        <v>124</v>
      </c>
      <c r="AH9" s="1" t="s">
        <v>41</v>
      </c>
      <c r="AI9" s="1" t="s">
        <v>41</v>
      </c>
      <c r="AJ9" s="1" t="s">
        <v>125</v>
      </c>
      <c r="AK9" s="1" t="s">
        <v>41</v>
      </c>
      <c r="AL9" s="1" t="s">
        <v>41</v>
      </c>
      <c r="AM9" s="1" t="s">
        <v>126</v>
      </c>
      <c r="AN9" s="1" t="s">
        <v>126</v>
      </c>
    </row>
    <row r="10">
      <c r="A10" s="1" t="s">
        <v>127</v>
      </c>
      <c r="B10" s="1" t="s">
        <v>128</v>
      </c>
      <c r="C10" s="1" t="s">
        <v>129</v>
      </c>
      <c r="D10" s="8" t="s">
        <v>130</v>
      </c>
      <c r="E10" s="1" t="s">
        <v>131</v>
      </c>
      <c r="F10" s="1" t="s">
        <v>132</v>
      </c>
      <c r="G10" s="1" t="s">
        <v>133</v>
      </c>
      <c r="H10" s="1" t="s">
        <v>134</v>
      </c>
      <c r="I10" s="1" t="s">
        <v>135</v>
      </c>
      <c r="J10" s="1" t="s">
        <v>136</v>
      </c>
      <c r="K10" s="1" t="s">
        <v>137</v>
      </c>
      <c r="L10" s="1" t="s">
        <v>138</v>
      </c>
      <c r="M10" s="1" t="s">
        <v>139</v>
      </c>
      <c r="N10" s="1" t="s">
        <v>132</v>
      </c>
      <c r="O10" s="1" t="s">
        <v>140</v>
      </c>
      <c r="P10" s="1" t="s">
        <v>141</v>
      </c>
      <c r="Q10" s="1" t="s">
        <v>132</v>
      </c>
      <c r="R10" s="1" t="s">
        <v>142</v>
      </c>
      <c r="S10" s="1" t="s">
        <v>143</v>
      </c>
      <c r="T10" s="8" t="s">
        <v>144</v>
      </c>
      <c r="U10" s="1" t="s">
        <v>145</v>
      </c>
      <c r="V10" s="1" t="s">
        <v>146</v>
      </c>
      <c r="W10" s="1" t="s">
        <v>147</v>
      </c>
      <c r="X10" s="1" t="s">
        <v>148</v>
      </c>
      <c r="Y10" s="1" t="s">
        <v>149</v>
      </c>
      <c r="Z10" s="1" t="s">
        <v>150</v>
      </c>
      <c r="AA10" s="1" t="s">
        <v>151</v>
      </c>
      <c r="AB10" s="1" t="s">
        <v>152</v>
      </c>
      <c r="AC10" s="1" t="s">
        <v>153</v>
      </c>
      <c r="AD10" s="1" t="s">
        <v>154</v>
      </c>
      <c r="AE10" s="1" t="s">
        <v>155</v>
      </c>
      <c r="AF10" s="1" t="s">
        <v>156</v>
      </c>
      <c r="AG10" s="1" t="s">
        <v>157</v>
      </c>
      <c r="AH10" s="1" t="s">
        <v>158</v>
      </c>
      <c r="AI10" s="1" t="s">
        <v>159</v>
      </c>
      <c r="AJ10" s="1" t="s">
        <v>132</v>
      </c>
      <c r="AK10" s="1" t="s">
        <v>160</v>
      </c>
      <c r="AL10" s="1" t="s">
        <v>161</v>
      </c>
      <c r="AM10" s="1" t="s">
        <v>132</v>
      </c>
      <c r="AN10" s="1" t="s">
        <v>132</v>
      </c>
    </row>
    <row r="11">
      <c r="A11" s="1" t="s">
        <v>38</v>
      </c>
      <c r="B11" s="1" t="s">
        <v>162</v>
      </c>
      <c r="C11" s="1" t="s">
        <v>163</v>
      </c>
      <c r="D11" s="8" t="s">
        <v>164</v>
      </c>
      <c r="E11" s="1" t="s">
        <v>165</v>
      </c>
      <c r="F11" s="1" t="s">
        <v>166</v>
      </c>
      <c r="G11" s="1" t="s">
        <v>41</v>
      </c>
      <c r="H11" s="1" t="s">
        <v>41</v>
      </c>
      <c r="I11" s="1" t="s">
        <v>167</v>
      </c>
      <c r="J11" s="1" t="s">
        <v>41</v>
      </c>
      <c r="K11" s="1" t="s">
        <v>168</v>
      </c>
      <c r="L11" s="1" t="s">
        <v>41</v>
      </c>
      <c r="M11" s="1" t="s">
        <v>169</v>
      </c>
      <c r="N11" s="1" t="s">
        <v>170</v>
      </c>
      <c r="O11" s="1" t="s">
        <v>41</v>
      </c>
      <c r="P11" s="1" t="s">
        <v>171</v>
      </c>
      <c r="Q11" s="1" t="s">
        <v>41</v>
      </c>
      <c r="R11" s="1" t="s">
        <v>41</v>
      </c>
      <c r="S11" s="1" t="s">
        <v>172</v>
      </c>
      <c r="T11" s="1" t="s">
        <v>41</v>
      </c>
      <c r="U11" s="1" t="s">
        <v>173</v>
      </c>
      <c r="V11" s="1" t="s">
        <v>174</v>
      </c>
      <c r="W11" s="1" t="s">
        <v>41</v>
      </c>
      <c r="X11" s="1" t="s">
        <v>175</v>
      </c>
      <c r="Y11" s="1" t="s">
        <v>41</v>
      </c>
      <c r="Z11" s="1" t="s">
        <v>176</v>
      </c>
      <c r="AA11" s="1" t="s">
        <v>41</v>
      </c>
      <c r="AB11" s="1" t="s">
        <v>41</v>
      </c>
      <c r="AC11" s="1" t="s">
        <v>177</v>
      </c>
      <c r="AD11" s="1" t="s">
        <v>41</v>
      </c>
      <c r="AE11" s="1" t="s">
        <v>41</v>
      </c>
      <c r="AF11" s="1" t="s">
        <v>178</v>
      </c>
      <c r="AG11" s="1" t="s">
        <v>179</v>
      </c>
      <c r="AH11" s="1" t="s">
        <v>41</v>
      </c>
      <c r="AI11" s="1" t="s">
        <v>41</v>
      </c>
      <c r="AJ11" s="1" t="s">
        <v>180</v>
      </c>
      <c r="AK11" s="1" t="s">
        <v>41</v>
      </c>
      <c r="AL11" s="1" t="s">
        <v>41</v>
      </c>
      <c r="AM11" s="1" t="s">
        <v>181</v>
      </c>
      <c r="AN11" s="1" t="s">
        <v>181</v>
      </c>
    </row>
    <row r="12">
      <c r="A12" s="1" t="s">
        <v>127</v>
      </c>
      <c r="B12" s="1" t="s">
        <v>182</v>
      </c>
      <c r="C12" s="1" t="s">
        <v>183</v>
      </c>
      <c r="D12" s="8" t="s">
        <v>184</v>
      </c>
      <c r="E12" s="1" t="s">
        <v>185</v>
      </c>
      <c r="F12" s="1" t="s">
        <v>132</v>
      </c>
      <c r="G12" s="1" t="s">
        <v>186</v>
      </c>
      <c r="H12" s="1" t="s">
        <v>187</v>
      </c>
      <c r="I12" s="1" t="s">
        <v>188</v>
      </c>
      <c r="J12" s="1" t="s">
        <v>189</v>
      </c>
      <c r="K12" s="1" t="s">
        <v>190</v>
      </c>
      <c r="L12" s="1" t="s">
        <v>191</v>
      </c>
      <c r="M12" s="1" t="s">
        <v>192</v>
      </c>
      <c r="N12" s="1" t="s">
        <v>132</v>
      </c>
      <c r="O12" s="1" t="s">
        <v>193</v>
      </c>
      <c r="P12" s="1" t="s">
        <v>194</v>
      </c>
      <c r="Q12" s="1" t="s">
        <v>132</v>
      </c>
      <c r="R12" s="1" t="s">
        <v>195</v>
      </c>
      <c r="S12" s="1" t="s">
        <v>196</v>
      </c>
      <c r="T12" s="8" t="s">
        <v>197</v>
      </c>
      <c r="U12" s="1" t="s">
        <v>198</v>
      </c>
      <c r="V12" s="1" t="s">
        <v>199</v>
      </c>
      <c r="W12" s="1" t="s">
        <v>200</v>
      </c>
      <c r="X12" s="1" t="s">
        <v>201</v>
      </c>
      <c r="Y12" s="1" t="s">
        <v>202</v>
      </c>
      <c r="Z12" s="1" t="s">
        <v>203</v>
      </c>
      <c r="AA12" s="1" t="s">
        <v>204</v>
      </c>
      <c r="AB12" s="1" t="s">
        <v>205</v>
      </c>
      <c r="AC12" s="1" t="s">
        <v>206</v>
      </c>
      <c r="AD12" s="1" t="s">
        <v>207</v>
      </c>
      <c r="AE12" s="1" t="s">
        <v>208</v>
      </c>
      <c r="AF12" s="1" t="s">
        <v>209</v>
      </c>
      <c r="AG12" s="1" t="s">
        <v>210</v>
      </c>
      <c r="AH12" s="1" t="s">
        <v>211</v>
      </c>
      <c r="AI12" s="1" t="s">
        <v>212</v>
      </c>
      <c r="AJ12" s="1" t="s">
        <v>132</v>
      </c>
      <c r="AK12" s="1" t="s">
        <v>213</v>
      </c>
      <c r="AL12" s="1" t="s">
        <v>214</v>
      </c>
      <c r="AM12" s="1" t="s">
        <v>215</v>
      </c>
      <c r="AN12" s="1" t="s">
        <v>215</v>
      </c>
    </row>
    <row r="13">
      <c r="A13" s="1" t="s">
        <v>38</v>
      </c>
      <c r="B13" s="1" t="s">
        <v>216</v>
      </c>
      <c r="C13" s="1" t="s">
        <v>217</v>
      </c>
      <c r="D13" s="8" t="s">
        <v>218</v>
      </c>
      <c r="E13" s="1" t="s">
        <v>219</v>
      </c>
      <c r="F13" s="1" t="s">
        <v>220</v>
      </c>
      <c r="G13" s="1" t="s">
        <v>132</v>
      </c>
      <c r="H13" s="1" t="s">
        <v>132</v>
      </c>
      <c r="I13" s="1" t="s">
        <v>221</v>
      </c>
      <c r="J13" s="1" t="s">
        <v>132</v>
      </c>
      <c r="K13" s="1" t="s">
        <v>222</v>
      </c>
      <c r="L13" s="1" t="s">
        <v>132</v>
      </c>
      <c r="M13" s="1" t="s">
        <v>223</v>
      </c>
      <c r="N13" s="1" t="s">
        <v>224</v>
      </c>
      <c r="O13" s="1" t="s">
        <v>132</v>
      </c>
      <c r="P13" s="1" t="s">
        <v>225</v>
      </c>
      <c r="Q13" s="1" t="s">
        <v>132</v>
      </c>
      <c r="R13" s="1" t="s">
        <v>132</v>
      </c>
      <c r="S13" s="1" t="s">
        <v>226</v>
      </c>
      <c r="T13" s="1" t="s">
        <v>132</v>
      </c>
      <c r="U13" s="1" t="s">
        <v>227</v>
      </c>
      <c r="V13" s="1" t="s">
        <v>132</v>
      </c>
      <c r="W13" s="1" t="s">
        <v>132</v>
      </c>
      <c r="X13" s="1" t="s">
        <v>228</v>
      </c>
      <c r="Y13" s="1" t="s">
        <v>132</v>
      </c>
      <c r="Z13" s="1" t="s">
        <v>229</v>
      </c>
      <c r="AA13" s="1" t="s">
        <v>132</v>
      </c>
      <c r="AB13" s="1" t="s">
        <v>132</v>
      </c>
      <c r="AC13" s="1" t="s">
        <v>230</v>
      </c>
      <c r="AD13" s="1" t="s">
        <v>132</v>
      </c>
      <c r="AE13" s="1" t="s">
        <v>132</v>
      </c>
      <c r="AF13" s="1" t="s">
        <v>231</v>
      </c>
      <c r="AG13" s="1" t="s">
        <v>132</v>
      </c>
      <c r="AH13" s="1" t="s">
        <v>132</v>
      </c>
      <c r="AI13" s="1" t="s">
        <v>132</v>
      </c>
      <c r="AJ13" s="1" t="s">
        <v>132</v>
      </c>
      <c r="AK13" s="1" t="s">
        <v>132</v>
      </c>
      <c r="AL13" s="1" t="s">
        <v>132</v>
      </c>
      <c r="AM13" s="1" t="s">
        <v>132</v>
      </c>
      <c r="AN13" s="1" t="s">
        <v>132</v>
      </c>
    </row>
    <row r="14">
      <c r="A14" s="1" t="s">
        <v>127</v>
      </c>
      <c r="B14" s="1" t="s">
        <v>232</v>
      </c>
      <c r="C14" s="1" t="s">
        <v>233</v>
      </c>
      <c r="D14" s="8" t="s">
        <v>234</v>
      </c>
      <c r="E14" s="1" t="s">
        <v>233</v>
      </c>
      <c r="F14" s="1" t="s">
        <v>132</v>
      </c>
      <c r="G14" s="1" t="s">
        <v>233</v>
      </c>
      <c r="H14" s="1" t="s">
        <v>235</v>
      </c>
      <c r="I14" s="1" t="s">
        <v>233</v>
      </c>
      <c r="J14" s="1" t="s">
        <v>233</v>
      </c>
      <c r="K14" s="1" t="s">
        <v>233</v>
      </c>
      <c r="L14" s="1" t="s">
        <v>236</v>
      </c>
      <c r="M14" s="1" t="s">
        <v>237</v>
      </c>
      <c r="N14" s="1" t="s">
        <v>132</v>
      </c>
      <c r="O14" s="1" t="s">
        <v>233</v>
      </c>
      <c r="P14" s="1" t="s">
        <v>233</v>
      </c>
      <c r="Q14" s="1" t="s">
        <v>132</v>
      </c>
      <c r="R14" s="1" t="s">
        <v>233</v>
      </c>
      <c r="S14" s="1" t="s">
        <v>233</v>
      </c>
      <c r="T14" s="8" t="s">
        <v>238</v>
      </c>
      <c r="U14" s="1" t="s">
        <v>239</v>
      </c>
      <c r="V14" s="1" t="s">
        <v>240</v>
      </c>
      <c r="W14" s="1" t="s">
        <v>233</v>
      </c>
      <c r="X14" s="1" t="s">
        <v>233</v>
      </c>
      <c r="Y14" s="1" t="s">
        <v>236</v>
      </c>
      <c r="Z14" s="1" t="s">
        <v>236</v>
      </c>
      <c r="AA14" s="1" t="s">
        <v>233</v>
      </c>
      <c r="AB14" s="1" t="s">
        <v>233</v>
      </c>
      <c r="AC14" s="1" t="s">
        <v>233</v>
      </c>
      <c r="AD14" s="1" t="s">
        <v>241</v>
      </c>
      <c r="AE14" s="1" t="s">
        <v>242</v>
      </c>
      <c r="AF14" s="1" t="s">
        <v>233</v>
      </c>
      <c r="AG14" s="1" t="s">
        <v>236</v>
      </c>
      <c r="AH14" s="1" t="s">
        <v>233</v>
      </c>
      <c r="AI14" s="1" t="s">
        <v>243</v>
      </c>
      <c r="AJ14" s="1" t="s">
        <v>132</v>
      </c>
      <c r="AK14" s="1" t="s">
        <v>244</v>
      </c>
      <c r="AL14" s="1" t="s">
        <v>245</v>
      </c>
      <c r="AM14" s="1" t="s">
        <v>246</v>
      </c>
      <c r="AN14" s="1" t="s">
        <v>246</v>
      </c>
    </row>
    <row r="15">
      <c r="A15" s="1" t="s">
        <v>38</v>
      </c>
      <c r="B15" s="1" t="s">
        <v>247</v>
      </c>
      <c r="C15" s="1" t="s">
        <v>248</v>
      </c>
      <c r="D15" s="1" t="s">
        <v>132</v>
      </c>
      <c r="E15" s="1" t="s">
        <v>249</v>
      </c>
      <c r="F15" s="1" t="s">
        <v>250</v>
      </c>
      <c r="G15" s="1" t="s">
        <v>132</v>
      </c>
      <c r="H15" s="1" t="s">
        <v>132</v>
      </c>
      <c r="I15" s="1" t="s">
        <v>251</v>
      </c>
      <c r="J15" s="1" t="s">
        <v>132</v>
      </c>
      <c r="K15" s="1" t="s">
        <v>252</v>
      </c>
      <c r="L15" s="1" t="s">
        <v>132</v>
      </c>
      <c r="M15" s="1" t="s">
        <v>253</v>
      </c>
      <c r="N15" s="1" t="s">
        <v>254</v>
      </c>
      <c r="O15" s="1" t="s">
        <v>132</v>
      </c>
      <c r="P15" s="1" t="s">
        <v>255</v>
      </c>
      <c r="Q15" s="1" t="s">
        <v>132</v>
      </c>
      <c r="R15" s="1" t="s">
        <v>132</v>
      </c>
      <c r="S15" s="1" t="s">
        <v>256</v>
      </c>
      <c r="T15" s="1" t="s">
        <v>132</v>
      </c>
      <c r="U15" s="1" t="s">
        <v>257</v>
      </c>
      <c r="V15" s="1" t="s">
        <v>132</v>
      </c>
      <c r="W15" s="1" t="s">
        <v>132</v>
      </c>
      <c r="X15" s="1" t="s">
        <v>258</v>
      </c>
      <c r="Y15" s="1" t="s">
        <v>132</v>
      </c>
      <c r="Z15" s="1" t="s">
        <v>259</v>
      </c>
      <c r="AA15" s="1" t="s">
        <v>132</v>
      </c>
      <c r="AB15" s="1" t="s">
        <v>132</v>
      </c>
      <c r="AC15" s="1" t="s">
        <v>132</v>
      </c>
      <c r="AD15" s="1" t="s">
        <v>132</v>
      </c>
      <c r="AE15" s="1" t="s">
        <v>132</v>
      </c>
      <c r="AF15" s="1" t="s">
        <v>132</v>
      </c>
      <c r="AG15" s="1" t="s">
        <v>132</v>
      </c>
      <c r="AH15" s="1" t="s">
        <v>132</v>
      </c>
      <c r="AI15" s="1" t="s">
        <v>132</v>
      </c>
      <c r="AJ15" s="1" t="s">
        <v>132</v>
      </c>
      <c r="AK15" s="1" t="s">
        <v>132</v>
      </c>
      <c r="AL15" s="1" t="s">
        <v>132</v>
      </c>
      <c r="AM15" s="1" t="s">
        <v>132</v>
      </c>
      <c r="AN15" s="1" t="s">
        <v>132</v>
      </c>
    </row>
    <row r="16">
      <c r="A16" s="1" t="s">
        <v>38</v>
      </c>
      <c r="B16" s="1" t="s">
        <v>260</v>
      </c>
      <c r="C16" s="1" t="s">
        <v>261</v>
      </c>
      <c r="D16" s="8" t="s">
        <v>262</v>
      </c>
      <c r="E16" s="1" t="s">
        <v>263</v>
      </c>
      <c r="F16" s="1" t="s">
        <v>264</v>
      </c>
      <c r="G16" s="1" t="s">
        <v>132</v>
      </c>
      <c r="H16" s="1" t="s">
        <v>132</v>
      </c>
      <c r="I16" s="1" t="s">
        <v>265</v>
      </c>
      <c r="J16" s="1" t="s">
        <v>132</v>
      </c>
      <c r="K16" s="1" t="s">
        <v>266</v>
      </c>
      <c r="L16" s="1" t="s">
        <v>132</v>
      </c>
      <c r="M16" s="1" t="s">
        <v>267</v>
      </c>
      <c r="N16" s="1" t="s">
        <v>268</v>
      </c>
      <c r="O16" s="1" t="s">
        <v>132</v>
      </c>
      <c r="P16" s="1" t="s">
        <v>269</v>
      </c>
      <c r="Q16" s="1" t="s">
        <v>270</v>
      </c>
      <c r="R16" s="1" t="s">
        <v>132</v>
      </c>
      <c r="S16" s="1" t="s">
        <v>271</v>
      </c>
      <c r="T16" s="1" t="s">
        <v>132</v>
      </c>
      <c r="U16" s="1" t="s">
        <v>272</v>
      </c>
      <c r="V16" s="1" t="s">
        <v>273</v>
      </c>
      <c r="W16" s="1" t="s">
        <v>132</v>
      </c>
      <c r="X16" s="1" t="s">
        <v>274</v>
      </c>
      <c r="Y16" s="1" t="s">
        <v>132</v>
      </c>
      <c r="Z16" s="1" t="s">
        <v>275</v>
      </c>
      <c r="AA16" s="1" t="s">
        <v>276</v>
      </c>
      <c r="AB16" s="1" t="s">
        <v>132</v>
      </c>
      <c r="AC16" s="1" t="s">
        <v>277</v>
      </c>
      <c r="AD16" s="1" t="s">
        <v>278</v>
      </c>
      <c r="AE16" s="1" t="s">
        <v>132</v>
      </c>
      <c r="AF16" s="1" t="s">
        <v>279</v>
      </c>
      <c r="AG16" s="1" t="s">
        <v>280</v>
      </c>
      <c r="AH16" s="1" t="s">
        <v>132</v>
      </c>
      <c r="AI16" s="1" t="s">
        <v>132</v>
      </c>
      <c r="AJ16" s="1" t="s">
        <v>281</v>
      </c>
      <c r="AK16" s="1" t="s">
        <v>282</v>
      </c>
      <c r="AL16" s="1" t="s">
        <v>132</v>
      </c>
      <c r="AM16" s="1" t="s">
        <v>283</v>
      </c>
      <c r="AN16" s="1" t="s">
        <v>283</v>
      </c>
    </row>
    <row r="17">
      <c r="A17" s="1" t="s">
        <v>127</v>
      </c>
      <c r="B17" s="1" t="s">
        <v>284</v>
      </c>
      <c r="C17" s="1" t="s">
        <v>285</v>
      </c>
      <c r="D17" s="8" t="s">
        <v>286</v>
      </c>
      <c r="E17" s="1" t="s">
        <v>287</v>
      </c>
      <c r="F17" s="1" t="s">
        <v>132</v>
      </c>
      <c r="G17" s="1" t="s">
        <v>288</v>
      </c>
      <c r="H17" s="1" t="s">
        <v>289</v>
      </c>
      <c r="I17" s="1" t="s">
        <v>290</v>
      </c>
      <c r="J17" s="1" t="s">
        <v>285</v>
      </c>
      <c r="K17" s="1" t="s">
        <v>291</v>
      </c>
      <c r="L17" s="1" t="s">
        <v>292</v>
      </c>
      <c r="M17" s="1" t="s">
        <v>293</v>
      </c>
      <c r="N17" s="1" t="s">
        <v>132</v>
      </c>
      <c r="O17" s="1" t="s">
        <v>294</v>
      </c>
      <c r="P17" s="1" t="s">
        <v>295</v>
      </c>
      <c r="Q17" s="1" t="s">
        <v>132</v>
      </c>
      <c r="R17" s="1" t="s">
        <v>296</v>
      </c>
      <c r="S17" s="1" t="s">
        <v>285</v>
      </c>
      <c r="T17" s="8" t="s">
        <v>297</v>
      </c>
      <c r="U17" s="1" t="s">
        <v>298</v>
      </c>
      <c r="V17" s="1" t="s">
        <v>299</v>
      </c>
      <c r="W17" s="1" t="s">
        <v>300</v>
      </c>
      <c r="X17" s="1" t="s">
        <v>301</v>
      </c>
      <c r="Y17" s="1" t="s">
        <v>302</v>
      </c>
      <c r="Z17" s="11" t="s">
        <v>303</v>
      </c>
      <c r="AA17" s="1" t="s">
        <v>304</v>
      </c>
      <c r="AB17" s="1" t="s">
        <v>305</v>
      </c>
      <c r="AC17" s="1" t="s">
        <v>306</v>
      </c>
      <c r="AD17" s="1" t="s">
        <v>307</v>
      </c>
      <c r="AE17" s="1" t="s">
        <v>308</v>
      </c>
      <c r="AF17" s="1" t="s">
        <v>309</v>
      </c>
      <c r="AG17" s="1" t="s">
        <v>310</v>
      </c>
      <c r="AH17" s="1" t="s">
        <v>311</v>
      </c>
      <c r="AI17" s="1" t="s">
        <v>312</v>
      </c>
      <c r="AJ17" s="1" t="s">
        <v>132</v>
      </c>
      <c r="AK17" s="1" t="s">
        <v>313</v>
      </c>
      <c r="AL17" s="1" t="s">
        <v>314</v>
      </c>
      <c r="AM17" s="1" t="s">
        <v>132</v>
      </c>
      <c r="AN17" s="1" t="s">
        <v>132</v>
      </c>
    </row>
    <row r="18">
      <c r="A18" s="1" t="s">
        <v>38</v>
      </c>
      <c r="B18" s="1" t="s">
        <v>315</v>
      </c>
      <c r="C18" s="1" t="s">
        <v>316</v>
      </c>
      <c r="D18" s="1" t="s">
        <v>132</v>
      </c>
      <c r="E18" s="1" t="s">
        <v>317</v>
      </c>
      <c r="F18" s="1" t="s">
        <v>318</v>
      </c>
      <c r="G18" s="1" t="s">
        <v>132</v>
      </c>
      <c r="H18" s="1" t="s">
        <v>132</v>
      </c>
      <c r="I18" s="1" t="s">
        <v>319</v>
      </c>
      <c r="J18" s="1" t="s">
        <v>132</v>
      </c>
      <c r="K18" s="1" t="s">
        <v>320</v>
      </c>
      <c r="L18" s="1" t="s">
        <v>132</v>
      </c>
      <c r="M18" s="1" t="s">
        <v>321</v>
      </c>
      <c r="N18" s="1" t="s">
        <v>322</v>
      </c>
      <c r="O18" s="1" t="s">
        <v>132</v>
      </c>
      <c r="P18" s="1" t="s">
        <v>323</v>
      </c>
      <c r="Q18" s="1" t="s">
        <v>132</v>
      </c>
      <c r="R18" s="1" t="s">
        <v>132</v>
      </c>
      <c r="S18" s="1" t="s">
        <v>324</v>
      </c>
      <c r="T18" s="1" t="s">
        <v>132</v>
      </c>
      <c r="U18" s="1" t="s">
        <v>325</v>
      </c>
      <c r="V18" s="1" t="s">
        <v>326</v>
      </c>
      <c r="W18" s="1" t="s">
        <v>132</v>
      </c>
      <c r="X18" s="1" t="s">
        <v>327</v>
      </c>
      <c r="Y18" s="1" t="s">
        <v>132</v>
      </c>
      <c r="Z18" s="1" t="s">
        <v>328</v>
      </c>
      <c r="AA18" s="1" t="s">
        <v>329</v>
      </c>
      <c r="AB18" s="1" t="s">
        <v>132</v>
      </c>
      <c r="AC18" s="1" t="s">
        <v>330</v>
      </c>
      <c r="AD18" s="1" t="s">
        <v>132</v>
      </c>
      <c r="AE18" s="1" t="s">
        <v>132</v>
      </c>
      <c r="AF18" s="1" t="s">
        <v>331</v>
      </c>
      <c r="AG18" s="1" t="s">
        <v>332</v>
      </c>
      <c r="AH18" s="1" t="s">
        <v>132</v>
      </c>
      <c r="AI18" s="1" t="s">
        <v>132</v>
      </c>
      <c r="AJ18" s="1" t="s">
        <v>333</v>
      </c>
      <c r="AK18" s="1" t="s">
        <v>132</v>
      </c>
      <c r="AL18" s="1" t="s">
        <v>132</v>
      </c>
      <c r="AM18" s="1" t="s">
        <v>334</v>
      </c>
      <c r="AN18" s="1" t="s">
        <v>334</v>
      </c>
    </row>
    <row r="19">
      <c r="A19" s="1" t="s">
        <v>127</v>
      </c>
      <c r="B19" s="1" t="s">
        <v>335</v>
      </c>
      <c r="C19" s="1" t="s">
        <v>336</v>
      </c>
      <c r="D19" s="8" t="s">
        <v>337</v>
      </c>
      <c r="E19" s="1" t="s">
        <v>338</v>
      </c>
      <c r="F19" s="1" t="s">
        <v>132</v>
      </c>
      <c r="G19" s="1" t="s">
        <v>339</v>
      </c>
      <c r="H19" s="1" t="s">
        <v>340</v>
      </c>
      <c r="I19" s="1" t="s">
        <v>341</v>
      </c>
      <c r="J19" s="1" t="s">
        <v>342</v>
      </c>
      <c r="K19" s="1" t="s">
        <v>343</v>
      </c>
      <c r="L19" s="1" t="s">
        <v>344</v>
      </c>
      <c r="M19" s="1" t="s">
        <v>345</v>
      </c>
      <c r="N19" s="1" t="s">
        <v>132</v>
      </c>
      <c r="O19" s="1" t="s">
        <v>346</v>
      </c>
      <c r="P19" s="1" t="s">
        <v>347</v>
      </c>
      <c r="Q19" s="1" t="s">
        <v>132</v>
      </c>
      <c r="R19" s="1" t="s">
        <v>348</v>
      </c>
      <c r="S19" s="1" t="s">
        <v>349</v>
      </c>
      <c r="T19" s="8" t="s">
        <v>350</v>
      </c>
      <c r="U19" s="1" t="s">
        <v>351</v>
      </c>
      <c r="V19" s="1" t="s">
        <v>352</v>
      </c>
      <c r="W19" s="1" t="s">
        <v>353</v>
      </c>
      <c r="X19" s="1" t="s">
        <v>354</v>
      </c>
      <c r="Y19" s="1" t="s">
        <v>355</v>
      </c>
      <c r="Z19" s="1" t="s">
        <v>356</v>
      </c>
      <c r="AA19" s="1" t="s">
        <v>357</v>
      </c>
      <c r="AB19" s="1" t="s">
        <v>358</v>
      </c>
      <c r="AC19" s="1" t="s">
        <v>359</v>
      </c>
      <c r="AD19" s="1" t="s">
        <v>360</v>
      </c>
      <c r="AE19" s="1" t="s">
        <v>361</v>
      </c>
      <c r="AF19" s="1" t="s">
        <v>362</v>
      </c>
      <c r="AG19" s="1" t="s">
        <v>363</v>
      </c>
      <c r="AH19" s="1" t="s">
        <v>364</v>
      </c>
      <c r="AI19" s="1" t="s">
        <v>365</v>
      </c>
      <c r="AJ19" s="1" t="s">
        <v>132</v>
      </c>
      <c r="AK19" s="1" t="s">
        <v>366</v>
      </c>
      <c r="AL19" s="1" t="s">
        <v>367</v>
      </c>
      <c r="AM19" s="1" t="s">
        <v>132</v>
      </c>
      <c r="AN19" s="1" t="s">
        <v>132</v>
      </c>
    </row>
    <row r="20">
      <c r="A20" s="1" t="s">
        <v>127</v>
      </c>
      <c r="B20" s="1" t="s">
        <v>368</v>
      </c>
      <c r="C20" s="1" t="s">
        <v>369</v>
      </c>
      <c r="D20" s="8" t="s">
        <v>370</v>
      </c>
      <c r="E20" s="1" t="s">
        <v>371</v>
      </c>
      <c r="F20" s="1" t="s">
        <v>132</v>
      </c>
      <c r="G20" s="1" t="s">
        <v>372</v>
      </c>
      <c r="H20" s="1" t="s">
        <v>373</v>
      </c>
      <c r="I20" s="1" t="s">
        <v>374</v>
      </c>
      <c r="J20" s="1" t="s">
        <v>375</v>
      </c>
      <c r="K20" s="1" t="s">
        <v>376</v>
      </c>
      <c r="L20" s="1" t="s">
        <v>377</v>
      </c>
      <c r="M20" s="1" t="s">
        <v>378</v>
      </c>
      <c r="N20" s="1" t="s">
        <v>132</v>
      </c>
      <c r="O20" s="1" t="s">
        <v>379</v>
      </c>
      <c r="P20" s="1" t="s">
        <v>380</v>
      </c>
      <c r="Q20" s="1" t="s">
        <v>132</v>
      </c>
      <c r="R20" s="1" t="s">
        <v>381</v>
      </c>
      <c r="S20" s="1" t="s">
        <v>382</v>
      </c>
      <c r="T20" s="8" t="s">
        <v>383</v>
      </c>
      <c r="U20" s="1" t="s">
        <v>384</v>
      </c>
      <c r="V20" s="1" t="s">
        <v>385</v>
      </c>
      <c r="W20" s="1" t="s">
        <v>386</v>
      </c>
      <c r="X20" s="1" t="s">
        <v>387</v>
      </c>
      <c r="Y20" s="1" t="s">
        <v>388</v>
      </c>
      <c r="Z20" s="1" t="s">
        <v>389</v>
      </c>
      <c r="AA20" s="1" t="s">
        <v>390</v>
      </c>
      <c r="AB20" s="1" t="s">
        <v>391</v>
      </c>
      <c r="AC20" s="1" t="s">
        <v>392</v>
      </c>
      <c r="AD20" s="1" t="s">
        <v>393</v>
      </c>
      <c r="AE20" s="1" t="s">
        <v>394</v>
      </c>
      <c r="AF20" s="1" t="s">
        <v>395</v>
      </c>
      <c r="AG20" s="1" t="s">
        <v>396</v>
      </c>
      <c r="AH20" s="1" t="s">
        <v>397</v>
      </c>
      <c r="AI20" s="1" t="s">
        <v>398</v>
      </c>
      <c r="AJ20" s="1" t="s">
        <v>132</v>
      </c>
      <c r="AK20" s="1" t="s">
        <v>399</v>
      </c>
      <c r="AL20" s="1" t="s">
        <v>384</v>
      </c>
      <c r="AM20" s="1" t="s">
        <v>400</v>
      </c>
      <c r="AN20" s="1" t="s">
        <v>400</v>
      </c>
    </row>
    <row r="21" ht="15.75" customHeight="1">
      <c r="A21" s="1" t="s">
        <v>127</v>
      </c>
      <c r="B21" s="1" t="s">
        <v>401</v>
      </c>
      <c r="C21" s="1" t="s">
        <v>402</v>
      </c>
      <c r="D21" s="8" t="s">
        <v>403</v>
      </c>
      <c r="E21" s="1" t="s">
        <v>404</v>
      </c>
      <c r="F21" s="1" t="s">
        <v>132</v>
      </c>
      <c r="G21" s="1" t="s">
        <v>405</v>
      </c>
      <c r="H21" s="1" t="s">
        <v>406</v>
      </c>
      <c r="I21" s="1" t="s">
        <v>407</v>
      </c>
      <c r="J21" s="1" t="s">
        <v>408</v>
      </c>
      <c r="K21" s="1" t="s">
        <v>409</v>
      </c>
      <c r="L21" s="1" t="s">
        <v>410</v>
      </c>
      <c r="M21" s="1" t="s">
        <v>411</v>
      </c>
      <c r="N21" s="1" t="s">
        <v>132</v>
      </c>
      <c r="O21" s="1" t="s">
        <v>412</v>
      </c>
      <c r="P21" s="1" t="s">
        <v>413</v>
      </c>
      <c r="Q21" s="1" t="s">
        <v>132</v>
      </c>
      <c r="R21" s="1" t="s">
        <v>414</v>
      </c>
      <c r="S21" s="1" t="s">
        <v>415</v>
      </c>
      <c r="T21" s="8" t="s">
        <v>416</v>
      </c>
      <c r="U21" s="1" t="s">
        <v>417</v>
      </c>
      <c r="V21" s="1" t="s">
        <v>418</v>
      </c>
      <c r="W21" s="1" t="s">
        <v>419</v>
      </c>
      <c r="X21" s="1" t="s">
        <v>420</v>
      </c>
      <c r="Y21" s="1" t="s">
        <v>406</v>
      </c>
      <c r="Z21" s="1" t="s">
        <v>421</v>
      </c>
      <c r="AA21" s="1" t="s">
        <v>422</v>
      </c>
      <c r="AB21" s="1" t="s">
        <v>423</v>
      </c>
      <c r="AC21" s="1" t="s">
        <v>424</v>
      </c>
      <c r="AD21" s="1" t="s">
        <v>425</v>
      </c>
      <c r="AE21" s="1" t="s">
        <v>426</v>
      </c>
      <c r="AF21" s="1" t="s">
        <v>427</v>
      </c>
      <c r="AG21" s="1" t="s">
        <v>428</v>
      </c>
      <c r="AH21" s="1" t="s">
        <v>429</v>
      </c>
      <c r="AI21" s="1" t="s">
        <v>430</v>
      </c>
      <c r="AJ21" s="1" t="s">
        <v>132</v>
      </c>
      <c r="AK21" s="1" t="s">
        <v>431</v>
      </c>
      <c r="AL21" s="1" t="s">
        <v>432</v>
      </c>
      <c r="AM21" s="1" t="s">
        <v>433</v>
      </c>
      <c r="AN21" s="1" t="s">
        <v>433</v>
      </c>
    </row>
    <row r="22" ht="15.75" customHeight="1">
      <c r="A22" s="1" t="s">
        <v>38</v>
      </c>
      <c r="B22" s="1" t="s">
        <v>434</v>
      </c>
      <c r="C22" s="1" t="s">
        <v>435</v>
      </c>
      <c r="D22" s="1" t="s">
        <v>132</v>
      </c>
      <c r="E22" s="1" t="s">
        <v>132</v>
      </c>
      <c r="F22" s="1" t="s">
        <v>132</v>
      </c>
      <c r="G22" s="1" t="s">
        <v>132</v>
      </c>
      <c r="H22" s="1" t="s">
        <v>132</v>
      </c>
      <c r="I22" s="1" t="s">
        <v>436</v>
      </c>
      <c r="J22" s="1" t="s">
        <v>132</v>
      </c>
      <c r="K22" s="1" t="s">
        <v>437</v>
      </c>
      <c r="L22" s="1" t="s">
        <v>132</v>
      </c>
      <c r="M22" s="1" t="s">
        <v>438</v>
      </c>
      <c r="N22" s="1" t="s">
        <v>132</v>
      </c>
      <c r="O22" s="1" t="s">
        <v>132</v>
      </c>
      <c r="P22" s="1" t="s">
        <v>435</v>
      </c>
      <c r="Q22" s="1" t="s">
        <v>132</v>
      </c>
      <c r="R22" s="1" t="s">
        <v>132</v>
      </c>
      <c r="S22" s="1" t="s">
        <v>132</v>
      </c>
      <c r="T22" s="1" t="s">
        <v>132</v>
      </c>
      <c r="U22" s="1" t="s">
        <v>132</v>
      </c>
      <c r="V22" s="1" t="s">
        <v>132</v>
      </c>
      <c r="W22" s="1" t="s">
        <v>132</v>
      </c>
      <c r="X22" s="1" t="s">
        <v>132</v>
      </c>
      <c r="Y22" s="1" t="s">
        <v>132</v>
      </c>
      <c r="Z22" s="1" t="s">
        <v>132</v>
      </c>
      <c r="AA22" s="1" t="s">
        <v>132</v>
      </c>
      <c r="AB22" s="1" t="s">
        <v>132</v>
      </c>
      <c r="AC22" s="1" t="s">
        <v>439</v>
      </c>
      <c r="AD22" s="1" t="s">
        <v>132</v>
      </c>
      <c r="AE22" s="1" t="s">
        <v>132</v>
      </c>
      <c r="AF22" s="1" t="s">
        <v>440</v>
      </c>
      <c r="AG22" s="1" t="s">
        <v>132</v>
      </c>
      <c r="AH22" s="1" t="s">
        <v>132</v>
      </c>
      <c r="AI22" s="1" t="s">
        <v>132</v>
      </c>
      <c r="AJ22" s="1" t="s">
        <v>132</v>
      </c>
      <c r="AK22" s="1" t="s">
        <v>132</v>
      </c>
      <c r="AL22" s="1" t="s">
        <v>132</v>
      </c>
      <c r="AM22" s="1" t="s">
        <v>132</v>
      </c>
      <c r="AN22" s="1" t="s">
        <v>132</v>
      </c>
    </row>
    <row r="23" ht="15.75" customHeight="1">
      <c r="A23" s="1" t="s">
        <v>38</v>
      </c>
      <c r="B23" s="1" t="s">
        <v>441</v>
      </c>
      <c r="C23" s="1" t="s">
        <v>442</v>
      </c>
      <c r="D23" s="1" t="s">
        <v>132</v>
      </c>
      <c r="E23" s="1" t="s">
        <v>132</v>
      </c>
      <c r="F23" s="1" t="s">
        <v>132</v>
      </c>
      <c r="G23" s="1" t="s">
        <v>132</v>
      </c>
      <c r="H23" s="1" t="s">
        <v>132</v>
      </c>
      <c r="I23" s="1" t="s">
        <v>443</v>
      </c>
      <c r="J23" s="1" t="s">
        <v>132</v>
      </c>
      <c r="K23" s="1" t="s">
        <v>444</v>
      </c>
      <c r="L23" s="1" t="s">
        <v>132</v>
      </c>
      <c r="M23" s="1" t="s">
        <v>445</v>
      </c>
      <c r="N23" s="1" t="s">
        <v>132</v>
      </c>
      <c r="O23" s="1" t="s">
        <v>132</v>
      </c>
      <c r="P23" s="1" t="s">
        <v>442</v>
      </c>
      <c r="Q23" s="1" t="s">
        <v>132</v>
      </c>
      <c r="R23" s="1" t="s">
        <v>132</v>
      </c>
      <c r="S23" s="1" t="s">
        <v>132</v>
      </c>
      <c r="T23" s="1" t="s">
        <v>132</v>
      </c>
      <c r="U23" s="1" t="s">
        <v>132</v>
      </c>
      <c r="V23" s="1" t="s">
        <v>132</v>
      </c>
      <c r="W23" s="1" t="s">
        <v>132</v>
      </c>
      <c r="X23" s="1" t="s">
        <v>132</v>
      </c>
      <c r="Y23" s="1" t="s">
        <v>132</v>
      </c>
      <c r="Z23" s="1" t="s">
        <v>132</v>
      </c>
      <c r="AA23" s="1" t="s">
        <v>132</v>
      </c>
      <c r="AB23" s="1" t="s">
        <v>132</v>
      </c>
      <c r="AC23" s="1" t="s">
        <v>446</v>
      </c>
      <c r="AD23" s="1" t="s">
        <v>132</v>
      </c>
      <c r="AE23" s="1" t="s">
        <v>132</v>
      </c>
      <c r="AF23" s="1" t="s">
        <v>447</v>
      </c>
      <c r="AG23" s="1" t="s">
        <v>132</v>
      </c>
      <c r="AH23" s="1" t="s">
        <v>132</v>
      </c>
      <c r="AI23" s="1" t="s">
        <v>132</v>
      </c>
      <c r="AJ23" s="1" t="s">
        <v>132</v>
      </c>
      <c r="AK23" s="1" t="s">
        <v>132</v>
      </c>
      <c r="AL23" s="1" t="s">
        <v>132</v>
      </c>
      <c r="AM23" s="1" t="s">
        <v>132</v>
      </c>
      <c r="AN23" s="1" t="s">
        <v>132</v>
      </c>
    </row>
    <row r="24" ht="15.75" customHeight="1">
      <c r="A24" s="1" t="s">
        <v>127</v>
      </c>
      <c r="B24" s="1" t="s">
        <v>448</v>
      </c>
      <c r="C24" s="1" t="s">
        <v>132</v>
      </c>
      <c r="D24" s="1" t="s">
        <v>132</v>
      </c>
      <c r="E24" s="1" t="s">
        <v>132</v>
      </c>
      <c r="F24" s="1" t="s">
        <v>132</v>
      </c>
      <c r="G24" s="1" t="s">
        <v>132</v>
      </c>
      <c r="H24" s="1" t="s">
        <v>132</v>
      </c>
      <c r="I24" s="1" t="s">
        <v>132</v>
      </c>
      <c r="J24" s="1" t="s">
        <v>132</v>
      </c>
      <c r="K24" s="1" t="s">
        <v>132</v>
      </c>
      <c r="L24" s="1" t="s">
        <v>132</v>
      </c>
      <c r="M24" s="1" t="s">
        <v>132</v>
      </c>
      <c r="N24" s="1" t="s">
        <v>132</v>
      </c>
      <c r="O24" s="1" t="s">
        <v>132</v>
      </c>
      <c r="P24" s="1" t="s">
        <v>132</v>
      </c>
      <c r="Q24" s="1" t="s">
        <v>132</v>
      </c>
      <c r="R24" s="1" t="s">
        <v>132</v>
      </c>
      <c r="S24" s="1" t="s">
        <v>132</v>
      </c>
      <c r="T24" s="1" t="s">
        <v>132</v>
      </c>
      <c r="U24" s="1" t="s">
        <v>132</v>
      </c>
      <c r="V24" s="1" t="s">
        <v>132</v>
      </c>
      <c r="W24" s="1" t="s">
        <v>132</v>
      </c>
      <c r="X24" s="1" t="s">
        <v>132</v>
      </c>
      <c r="Y24" s="1" t="s">
        <v>132</v>
      </c>
      <c r="Z24" s="1" t="s">
        <v>132</v>
      </c>
      <c r="AA24" s="1" t="s">
        <v>132</v>
      </c>
      <c r="AB24" s="1" t="s">
        <v>132</v>
      </c>
      <c r="AC24" s="1" t="s">
        <v>132</v>
      </c>
      <c r="AD24" s="1" t="s">
        <v>132</v>
      </c>
      <c r="AE24" s="1" t="s">
        <v>132</v>
      </c>
      <c r="AF24" s="1" t="s">
        <v>132</v>
      </c>
      <c r="AG24" s="1" t="s">
        <v>132</v>
      </c>
      <c r="AH24" s="1" t="s">
        <v>132</v>
      </c>
      <c r="AI24" s="1" t="s">
        <v>132</v>
      </c>
      <c r="AJ24" s="1" t="s">
        <v>132</v>
      </c>
      <c r="AK24" s="1" t="s">
        <v>132</v>
      </c>
      <c r="AL24" s="1" t="s">
        <v>132</v>
      </c>
      <c r="AM24" s="1" t="s">
        <v>132</v>
      </c>
      <c r="AN24" s="1" t="s">
        <v>132</v>
      </c>
    </row>
    <row r="25" ht="15.75" customHeight="1">
      <c r="A25" s="1" t="s">
        <v>38</v>
      </c>
      <c r="B25" s="1" t="s">
        <v>449</v>
      </c>
      <c r="C25" s="1" t="s">
        <v>450</v>
      </c>
      <c r="D25" s="1" t="s">
        <v>132</v>
      </c>
      <c r="E25" s="1" t="s">
        <v>451</v>
      </c>
      <c r="F25" s="1" t="s">
        <v>452</v>
      </c>
      <c r="G25" s="1" t="s">
        <v>132</v>
      </c>
      <c r="H25" s="1" t="s">
        <v>132</v>
      </c>
      <c r="I25" s="1" t="s">
        <v>453</v>
      </c>
      <c r="J25" s="1" t="s">
        <v>132</v>
      </c>
      <c r="K25" s="1" t="s">
        <v>454</v>
      </c>
      <c r="L25" s="1" t="s">
        <v>132</v>
      </c>
      <c r="M25" s="1" t="s">
        <v>455</v>
      </c>
      <c r="N25" s="1" t="s">
        <v>456</v>
      </c>
      <c r="O25" s="1" t="s">
        <v>132</v>
      </c>
      <c r="P25" s="1" t="s">
        <v>457</v>
      </c>
      <c r="Q25" s="1" t="s">
        <v>458</v>
      </c>
      <c r="R25" s="1" t="s">
        <v>132</v>
      </c>
      <c r="S25" s="1" t="s">
        <v>459</v>
      </c>
      <c r="T25" s="1" t="s">
        <v>132</v>
      </c>
      <c r="U25" s="1" t="s">
        <v>460</v>
      </c>
      <c r="V25" s="1" t="s">
        <v>461</v>
      </c>
      <c r="W25" s="1" t="s">
        <v>132</v>
      </c>
      <c r="X25" s="1" t="s">
        <v>462</v>
      </c>
      <c r="Y25" s="1" t="s">
        <v>132</v>
      </c>
      <c r="Z25" s="1" t="s">
        <v>463</v>
      </c>
      <c r="AA25" s="1" t="s">
        <v>464</v>
      </c>
      <c r="AB25" s="1" t="s">
        <v>132</v>
      </c>
      <c r="AC25" s="1" t="s">
        <v>465</v>
      </c>
      <c r="AD25" s="1" t="s">
        <v>466</v>
      </c>
      <c r="AE25" s="1" t="s">
        <v>132</v>
      </c>
      <c r="AF25" s="1" t="s">
        <v>467</v>
      </c>
      <c r="AG25" s="1" t="s">
        <v>468</v>
      </c>
      <c r="AH25" s="1" t="s">
        <v>132</v>
      </c>
      <c r="AI25" s="1" t="s">
        <v>132</v>
      </c>
      <c r="AJ25" s="1" t="s">
        <v>469</v>
      </c>
      <c r="AK25" s="1" t="s">
        <v>470</v>
      </c>
      <c r="AL25" s="1" t="s">
        <v>132</v>
      </c>
      <c r="AM25" s="1" t="s">
        <v>471</v>
      </c>
      <c r="AN25" s="1" t="s">
        <v>471</v>
      </c>
    </row>
    <row r="26" ht="15.75" customHeight="1">
      <c r="A26" s="1" t="s">
        <v>127</v>
      </c>
      <c r="B26" s="1" t="s">
        <v>472</v>
      </c>
      <c r="C26" s="1" t="s">
        <v>473</v>
      </c>
      <c r="D26" s="8" t="s">
        <v>474</v>
      </c>
      <c r="E26" s="1" t="s">
        <v>475</v>
      </c>
      <c r="F26" s="1" t="s">
        <v>132</v>
      </c>
      <c r="G26" s="1" t="s">
        <v>476</v>
      </c>
      <c r="H26" s="1" t="s">
        <v>477</v>
      </c>
      <c r="I26" s="1" t="s">
        <v>478</v>
      </c>
      <c r="J26" s="1" t="s">
        <v>479</v>
      </c>
      <c r="K26" s="1" t="s">
        <v>480</v>
      </c>
      <c r="L26" s="1" t="s">
        <v>481</v>
      </c>
      <c r="M26" s="1" t="s">
        <v>482</v>
      </c>
      <c r="N26" s="1" t="s">
        <v>132</v>
      </c>
      <c r="O26" s="1" t="s">
        <v>483</v>
      </c>
      <c r="P26" s="1" t="s">
        <v>484</v>
      </c>
      <c r="Q26" s="1" t="s">
        <v>132</v>
      </c>
      <c r="R26" s="1" t="s">
        <v>485</v>
      </c>
      <c r="S26" s="1" t="s">
        <v>486</v>
      </c>
      <c r="T26" s="8" t="s">
        <v>487</v>
      </c>
      <c r="U26" s="1" t="s">
        <v>473</v>
      </c>
      <c r="V26" s="1" t="s">
        <v>488</v>
      </c>
      <c r="W26" s="1" t="s">
        <v>489</v>
      </c>
      <c r="X26" s="1" t="s">
        <v>490</v>
      </c>
      <c r="Y26" s="1" t="s">
        <v>491</v>
      </c>
      <c r="Z26" s="1" t="s">
        <v>492</v>
      </c>
      <c r="AA26" s="1" t="s">
        <v>493</v>
      </c>
      <c r="AB26" s="1" t="s">
        <v>494</v>
      </c>
      <c r="AC26" s="1" t="s">
        <v>495</v>
      </c>
      <c r="AD26" s="1" t="s">
        <v>496</v>
      </c>
      <c r="AE26" s="1" t="s">
        <v>497</v>
      </c>
      <c r="AF26" s="1" t="s">
        <v>498</v>
      </c>
      <c r="AG26" s="1" t="s">
        <v>499</v>
      </c>
      <c r="AH26" s="1" t="s">
        <v>500</v>
      </c>
      <c r="AI26" s="1" t="s">
        <v>501</v>
      </c>
      <c r="AJ26" s="1" t="s">
        <v>132</v>
      </c>
      <c r="AK26" s="1" t="s">
        <v>502</v>
      </c>
      <c r="AL26" s="1" t="s">
        <v>503</v>
      </c>
      <c r="AM26" s="1" t="s">
        <v>132</v>
      </c>
      <c r="AN26" s="1" t="s">
        <v>132</v>
      </c>
    </row>
    <row r="27" ht="15.75" customHeight="1">
      <c r="A27" s="1" t="s">
        <v>127</v>
      </c>
      <c r="B27" s="1" t="s">
        <v>504</v>
      </c>
      <c r="C27" s="1" t="s">
        <v>505</v>
      </c>
      <c r="D27" s="8" t="s">
        <v>506</v>
      </c>
      <c r="E27" s="1" t="s">
        <v>507</v>
      </c>
      <c r="F27" s="1" t="s">
        <v>132</v>
      </c>
      <c r="G27" s="1" t="s">
        <v>508</v>
      </c>
      <c r="H27" s="1" t="s">
        <v>509</v>
      </c>
      <c r="I27" s="1" t="s">
        <v>510</v>
      </c>
      <c r="J27" s="1" t="s">
        <v>511</v>
      </c>
      <c r="K27" s="1" t="s">
        <v>512</v>
      </c>
      <c r="L27" s="1" t="s">
        <v>513</v>
      </c>
      <c r="M27" s="1" t="s">
        <v>514</v>
      </c>
      <c r="N27" s="1" t="s">
        <v>132</v>
      </c>
      <c r="O27" s="1" t="s">
        <v>515</v>
      </c>
      <c r="P27" s="1" t="s">
        <v>516</v>
      </c>
      <c r="Q27" s="1" t="s">
        <v>132</v>
      </c>
      <c r="R27" s="1" t="s">
        <v>517</v>
      </c>
      <c r="S27" s="1" t="s">
        <v>518</v>
      </c>
      <c r="T27" s="8" t="s">
        <v>519</v>
      </c>
      <c r="U27" s="1" t="s">
        <v>520</v>
      </c>
      <c r="V27" s="1" t="s">
        <v>521</v>
      </c>
      <c r="W27" s="1" t="s">
        <v>522</v>
      </c>
      <c r="X27" s="1" t="s">
        <v>523</v>
      </c>
      <c r="Y27" s="1" t="s">
        <v>524</v>
      </c>
      <c r="Z27" s="1" t="s">
        <v>525</v>
      </c>
      <c r="AA27" s="1" t="s">
        <v>526</v>
      </c>
      <c r="AB27" s="1" t="s">
        <v>527</v>
      </c>
      <c r="AC27" s="1" t="s">
        <v>528</v>
      </c>
      <c r="AD27" s="1" t="s">
        <v>529</v>
      </c>
      <c r="AE27" s="1" t="s">
        <v>530</v>
      </c>
      <c r="AF27" s="1" t="s">
        <v>531</v>
      </c>
      <c r="AG27" s="1" t="s">
        <v>532</v>
      </c>
      <c r="AH27" s="1" t="s">
        <v>533</v>
      </c>
      <c r="AI27" s="1" t="s">
        <v>534</v>
      </c>
      <c r="AJ27" s="1" t="s">
        <v>132</v>
      </c>
      <c r="AK27" s="1" t="s">
        <v>535</v>
      </c>
      <c r="AL27" s="1" t="s">
        <v>536</v>
      </c>
      <c r="AM27" s="1" t="s">
        <v>132</v>
      </c>
      <c r="AN27" s="1" t="s">
        <v>132</v>
      </c>
    </row>
    <row r="28" ht="15.75" customHeight="1">
      <c r="A28" s="1" t="s">
        <v>127</v>
      </c>
      <c r="B28" s="1" t="s">
        <v>537</v>
      </c>
      <c r="C28" s="1" t="s">
        <v>538</v>
      </c>
      <c r="D28" s="8" t="s">
        <v>539</v>
      </c>
      <c r="E28" s="1" t="s">
        <v>540</v>
      </c>
      <c r="F28" s="1" t="s">
        <v>132</v>
      </c>
      <c r="G28" s="1" t="s">
        <v>541</v>
      </c>
      <c r="H28" s="1" t="s">
        <v>538</v>
      </c>
      <c r="I28" s="1" t="s">
        <v>538</v>
      </c>
      <c r="J28" s="1" t="s">
        <v>538</v>
      </c>
      <c r="K28" s="1" t="s">
        <v>542</v>
      </c>
      <c r="L28" s="1" t="s">
        <v>538</v>
      </c>
      <c r="M28" s="1" t="s">
        <v>543</v>
      </c>
      <c r="N28" s="1" t="s">
        <v>132</v>
      </c>
      <c r="O28" s="1" t="s">
        <v>544</v>
      </c>
      <c r="P28" s="1" t="s">
        <v>538</v>
      </c>
      <c r="Q28" s="1" t="s">
        <v>132</v>
      </c>
      <c r="R28" s="1" t="s">
        <v>545</v>
      </c>
      <c r="S28" s="1" t="s">
        <v>538</v>
      </c>
      <c r="T28" s="8" t="s">
        <v>546</v>
      </c>
      <c r="U28" s="1" t="s">
        <v>547</v>
      </c>
      <c r="V28" s="1" t="s">
        <v>548</v>
      </c>
      <c r="W28" s="1" t="s">
        <v>549</v>
      </c>
      <c r="X28" s="1" t="s">
        <v>538</v>
      </c>
      <c r="Y28" s="1" t="s">
        <v>538</v>
      </c>
      <c r="Z28" s="1" t="s">
        <v>538</v>
      </c>
      <c r="AA28" s="1" t="s">
        <v>542</v>
      </c>
      <c r="AB28" s="1" t="s">
        <v>550</v>
      </c>
      <c r="AC28" s="1" t="s">
        <v>551</v>
      </c>
      <c r="AD28" s="1" t="s">
        <v>552</v>
      </c>
      <c r="AE28" s="1" t="s">
        <v>553</v>
      </c>
      <c r="AF28" s="1" t="s">
        <v>538</v>
      </c>
      <c r="AG28" s="1" t="s">
        <v>538</v>
      </c>
      <c r="AH28" s="1" t="s">
        <v>554</v>
      </c>
      <c r="AI28" s="1" t="s">
        <v>555</v>
      </c>
      <c r="AJ28" s="1" t="s">
        <v>132</v>
      </c>
      <c r="AK28" s="1" t="s">
        <v>556</v>
      </c>
      <c r="AL28" s="1" t="s">
        <v>557</v>
      </c>
      <c r="AM28" s="1" t="s">
        <v>132</v>
      </c>
      <c r="AN28" s="1" t="s">
        <v>132</v>
      </c>
    </row>
    <row r="29" ht="15.75" customHeight="1">
      <c r="A29" s="1" t="s">
        <v>127</v>
      </c>
      <c r="B29" s="1" t="s">
        <v>558</v>
      </c>
      <c r="C29" s="1" t="s">
        <v>559</v>
      </c>
      <c r="D29" s="8" t="s">
        <v>560</v>
      </c>
      <c r="E29" s="1" t="s">
        <v>561</v>
      </c>
      <c r="F29" s="1" t="s">
        <v>132</v>
      </c>
      <c r="G29" s="1" t="s">
        <v>562</v>
      </c>
      <c r="H29" s="1" t="s">
        <v>563</v>
      </c>
      <c r="I29" s="1" t="s">
        <v>564</v>
      </c>
      <c r="J29" s="1" t="s">
        <v>565</v>
      </c>
      <c r="K29" s="1" t="s">
        <v>566</v>
      </c>
      <c r="L29" s="1" t="s">
        <v>567</v>
      </c>
      <c r="M29" s="1" t="s">
        <v>568</v>
      </c>
      <c r="N29" s="1" t="s">
        <v>132</v>
      </c>
      <c r="O29" s="1" t="s">
        <v>569</v>
      </c>
      <c r="P29" s="1" t="s">
        <v>570</v>
      </c>
      <c r="Q29" s="1" t="s">
        <v>132</v>
      </c>
      <c r="R29" s="1" t="s">
        <v>571</v>
      </c>
      <c r="S29" s="1" t="s">
        <v>572</v>
      </c>
      <c r="T29" s="8" t="s">
        <v>573</v>
      </c>
      <c r="U29" s="1" t="s">
        <v>574</v>
      </c>
      <c r="V29" s="1" t="s">
        <v>575</v>
      </c>
      <c r="W29" s="1" t="s">
        <v>576</v>
      </c>
      <c r="X29" s="1" t="s">
        <v>577</v>
      </c>
      <c r="Y29" s="1" t="s">
        <v>578</v>
      </c>
      <c r="Z29" s="1" t="s">
        <v>579</v>
      </c>
      <c r="AA29" s="1" t="s">
        <v>580</v>
      </c>
      <c r="AB29" s="1" t="s">
        <v>581</v>
      </c>
      <c r="AC29" s="1" t="s">
        <v>582</v>
      </c>
      <c r="AD29" s="1" t="s">
        <v>583</v>
      </c>
      <c r="AE29" s="1" t="s">
        <v>584</v>
      </c>
      <c r="AF29" s="1" t="s">
        <v>584</v>
      </c>
      <c r="AG29" s="1" t="s">
        <v>585</v>
      </c>
      <c r="AH29" s="1" t="s">
        <v>586</v>
      </c>
      <c r="AI29" s="1" t="s">
        <v>587</v>
      </c>
      <c r="AJ29" s="1" t="s">
        <v>132</v>
      </c>
      <c r="AK29" s="1" t="s">
        <v>588</v>
      </c>
      <c r="AL29" s="1" t="s">
        <v>589</v>
      </c>
      <c r="AM29" s="1" t="s">
        <v>132</v>
      </c>
      <c r="AN29" s="1" t="s">
        <v>132</v>
      </c>
    </row>
    <row r="30" ht="15.75" customHeight="1">
      <c r="A30" s="1" t="s">
        <v>127</v>
      </c>
      <c r="B30" s="1" t="s">
        <v>590</v>
      </c>
      <c r="C30" s="1" t="s">
        <v>591</v>
      </c>
      <c r="D30" s="8" t="s">
        <v>592</v>
      </c>
      <c r="E30" s="1" t="s">
        <v>593</v>
      </c>
      <c r="F30" s="1" t="s">
        <v>132</v>
      </c>
      <c r="G30" s="1" t="s">
        <v>594</v>
      </c>
      <c r="H30" s="1" t="s">
        <v>595</v>
      </c>
      <c r="I30" s="1" t="s">
        <v>596</v>
      </c>
      <c r="J30" s="1" t="s">
        <v>597</v>
      </c>
      <c r="K30" s="1" t="s">
        <v>598</v>
      </c>
      <c r="L30" s="1" t="s">
        <v>599</v>
      </c>
      <c r="M30" s="1" t="s">
        <v>600</v>
      </c>
      <c r="N30" s="1" t="s">
        <v>132</v>
      </c>
      <c r="O30" s="1" t="s">
        <v>601</v>
      </c>
      <c r="P30" s="1" t="s">
        <v>602</v>
      </c>
      <c r="Q30" s="1" t="s">
        <v>132</v>
      </c>
      <c r="R30" s="1" t="s">
        <v>603</v>
      </c>
      <c r="S30" s="1" t="s">
        <v>604</v>
      </c>
      <c r="T30" s="8" t="s">
        <v>605</v>
      </c>
      <c r="U30" s="1" t="s">
        <v>606</v>
      </c>
      <c r="V30" s="1" t="s">
        <v>607</v>
      </c>
      <c r="W30" s="1" t="s">
        <v>608</v>
      </c>
      <c r="X30" s="1" t="s">
        <v>609</v>
      </c>
      <c r="Y30" s="1" t="s">
        <v>610</v>
      </c>
      <c r="Z30" s="1" t="s">
        <v>611</v>
      </c>
      <c r="AA30" s="1" t="s">
        <v>612</v>
      </c>
      <c r="AB30" s="1" t="s">
        <v>613</v>
      </c>
      <c r="AC30" s="1" t="s">
        <v>614</v>
      </c>
      <c r="AD30" s="1" t="s">
        <v>615</v>
      </c>
      <c r="AE30" s="1" t="s">
        <v>616</v>
      </c>
      <c r="AF30" s="1" t="s">
        <v>617</v>
      </c>
      <c r="AG30" s="1" t="s">
        <v>618</v>
      </c>
      <c r="AH30" s="1" t="s">
        <v>619</v>
      </c>
      <c r="AI30" s="1" t="s">
        <v>620</v>
      </c>
      <c r="AJ30" s="1" t="s">
        <v>132</v>
      </c>
      <c r="AK30" s="1" t="s">
        <v>621</v>
      </c>
      <c r="AL30" s="1" t="s">
        <v>622</v>
      </c>
      <c r="AM30" s="1" t="s">
        <v>623</v>
      </c>
      <c r="AN30" s="1" t="s">
        <v>623</v>
      </c>
    </row>
    <row r="31" ht="15.75" customHeight="1">
      <c r="A31" s="1" t="s">
        <v>127</v>
      </c>
      <c r="B31" s="1" t="s">
        <v>624</v>
      </c>
      <c r="C31" s="1" t="s">
        <v>625</v>
      </c>
      <c r="D31" s="8" t="s">
        <v>626</v>
      </c>
      <c r="E31" s="1" t="s">
        <v>627</v>
      </c>
      <c r="F31" s="1" t="s">
        <v>132</v>
      </c>
      <c r="G31" s="1" t="s">
        <v>628</v>
      </c>
      <c r="H31" s="1" t="s">
        <v>629</v>
      </c>
      <c r="I31" s="1" t="s">
        <v>630</v>
      </c>
      <c r="J31" s="1" t="s">
        <v>631</v>
      </c>
      <c r="K31" s="1" t="s">
        <v>632</v>
      </c>
      <c r="L31" s="1" t="s">
        <v>633</v>
      </c>
      <c r="M31" s="1" t="s">
        <v>634</v>
      </c>
      <c r="N31" s="1" t="s">
        <v>132</v>
      </c>
      <c r="O31" s="1" t="s">
        <v>635</v>
      </c>
      <c r="P31" s="1" t="s">
        <v>636</v>
      </c>
      <c r="Q31" s="1" t="s">
        <v>132</v>
      </c>
      <c r="R31" s="1" t="s">
        <v>637</v>
      </c>
      <c r="S31" s="1" t="s">
        <v>638</v>
      </c>
      <c r="T31" s="8" t="s">
        <v>639</v>
      </c>
      <c r="U31" s="1" t="s">
        <v>640</v>
      </c>
      <c r="V31" s="1" t="s">
        <v>641</v>
      </c>
      <c r="W31" s="1" t="s">
        <v>637</v>
      </c>
      <c r="X31" s="1" t="s">
        <v>642</v>
      </c>
      <c r="Y31" s="1" t="s">
        <v>629</v>
      </c>
      <c r="Z31" s="1" t="s">
        <v>643</v>
      </c>
      <c r="AA31" s="1" t="s">
        <v>644</v>
      </c>
      <c r="AB31" s="1" t="s">
        <v>645</v>
      </c>
      <c r="AC31" s="1" t="s">
        <v>646</v>
      </c>
      <c r="AD31" s="1" t="s">
        <v>647</v>
      </c>
      <c r="AE31" s="1" t="s">
        <v>648</v>
      </c>
      <c r="AF31" s="1" t="s">
        <v>628</v>
      </c>
      <c r="AG31" s="1" t="s">
        <v>649</v>
      </c>
      <c r="AH31" s="1" t="s">
        <v>650</v>
      </c>
      <c r="AI31" s="1" t="s">
        <v>651</v>
      </c>
      <c r="AJ31" s="1" t="s">
        <v>132</v>
      </c>
      <c r="AK31" s="1" t="s">
        <v>652</v>
      </c>
      <c r="AL31" s="1" t="s">
        <v>653</v>
      </c>
      <c r="AM31" s="1" t="s">
        <v>132</v>
      </c>
      <c r="AN31" s="1" t="s">
        <v>132</v>
      </c>
    </row>
    <row r="32" ht="15.75" customHeight="1">
      <c r="A32" s="1" t="s">
        <v>127</v>
      </c>
      <c r="B32" s="1" t="s">
        <v>654</v>
      </c>
      <c r="C32" s="1" t="s">
        <v>655</v>
      </c>
      <c r="D32" s="8" t="s">
        <v>656</v>
      </c>
      <c r="E32" s="1" t="s">
        <v>657</v>
      </c>
      <c r="F32" s="1" t="s">
        <v>132</v>
      </c>
      <c r="G32" s="1" t="s">
        <v>658</v>
      </c>
      <c r="H32" s="1" t="s">
        <v>659</v>
      </c>
      <c r="I32" s="1" t="s">
        <v>660</v>
      </c>
      <c r="J32" s="1" t="s">
        <v>661</v>
      </c>
      <c r="K32" s="1" t="s">
        <v>662</v>
      </c>
      <c r="L32" s="1" t="s">
        <v>663</v>
      </c>
      <c r="M32" s="1" t="s">
        <v>664</v>
      </c>
      <c r="N32" s="1" t="s">
        <v>132</v>
      </c>
      <c r="O32" s="1" t="s">
        <v>665</v>
      </c>
      <c r="P32" s="1" t="s">
        <v>666</v>
      </c>
      <c r="Q32" s="1" t="s">
        <v>132</v>
      </c>
      <c r="R32" s="1" t="s">
        <v>667</v>
      </c>
      <c r="S32" s="1" t="s">
        <v>668</v>
      </c>
      <c r="T32" s="8" t="s">
        <v>669</v>
      </c>
      <c r="U32" s="1" t="s">
        <v>670</v>
      </c>
      <c r="V32" s="1" t="s">
        <v>671</v>
      </c>
      <c r="W32" s="1" t="s">
        <v>672</v>
      </c>
      <c r="X32" s="1" t="s">
        <v>673</v>
      </c>
      <c r="Y32" s="1" t="s">
        <v>674</v>
      </c>
      <c r="Z32" s="1" t="s">
        <v>675</v>
      </c>
      <c r="AA32" s="1" t="s">
        <v>676</v>
      </c>
      <c r="AB32" s="1" t="s">
        <v>677</v>
      </c>
      <c r="AC32" s="1" t="s">
        <v>678</v>
      </c>
      <c r="AD32" s="1" t="s">
        <v>679</v>
      </c>
      <c r="AE32" s="1" t="s">
        <v>680</v>
      </c>
      <c r="AF32" s="1" t="s">
        <v>681</v>
      </c>
      <c r="AG32" s="1" t="s">
        <v>682</v>
      </c>
      <c r="AH32" s="1" t="s">
        <v>683</v>
      </c>
      <c r="AI32" s="1" t="s">
        <v>684</v>
      </c>
      <c r="AJ32" s="1" t="s">
        <v>132</v>
      </c>
      <c r="AK32" s="1" t="s">
        <v>685</v>
      </c>
      <c r="AL32" s="1" t="s">
        <v>686</v>
      </c>
      <c r="AM32" s="1" t="s">
        <v>132</v>
      </c>
      <c r="AN32" s="1" t="s">
        <v>132</v>
      </c>
    </row>
    <row r="33" ht="15.75" customHeight="1">
      <c r="A33" s="1" t="s">
        <v>38</v>
      </c>
      <c r="B33" s="1" t="s">
        <v>687</v>
      </c>
      <c r="C33" s="1" t="s">
        <v>688</v>
      </c>
      <c r="D33" s="8" t="s">
        <v>689</v>
      </c>
      <c r="E33" s="1" t="s">
        <v>690</v>
      </c>
      <c r="F33" s="1" t="s">
        <v>691</v>
      </c>
      <c r="G33" s="1" t="s">
        <v>132</v>
      </c>
      <c r="H33" s="1" t="s">
        <v>132</v>
      </c>
      <c r="I33" s="1" t="s">
        <v>692</v>
      </c>
      <c r="J33" s="1" t="s">
        <v>132</v>
      </c>
      <c r="K33" s="1" t="s">
        <v>693</v>
      </c>
      <c r="L33" s="1" t="s">
        <v>132</v>
      </c>
      <c r="M33" s="1" t="s">
        <v>694</v>
      </c>
      <c r="N33" s="1" t="s">
        <v>695</v>
      </c>
      <c r="O33" s="1" t="s">
        <v>132</v>
      </c>
      <c r="P33" s="1" t="s">
        <v>696</v>
      </c>
      <c r="Q33" s="1" t="s">
        <v>132</v>
      </c>
      <c r="R33" s="1" t="s">
        <v>132</v>
      </c>
      <c r="S33" s="1" t="s">
        <v>697</v>
      </c>
      <c r="T33" s="1" t="s">
        <v>132</v>
      </c>
      <c r="U33" s="1" t="s">
        <v>698</v>
      </c>
      <c r="V33" s="1" t="s">
        <v>132</v>
      </c>
      <c r="W33" s="1" t="s">
        <v>132</v>
      </c>
      <c r="X33" s="1" t="s">
        <v>699</v>
      </c>
      <c r="Y33" s="1" t="s">
        <v>132</v>
      </c>
      <c r="Z33" s="1" t="s">
        <v>700</v>
      </c>
      <c r="AA33" s="1" t="s">
        <v>132</v>
      </c>
      <c r="AB33" s="1" t="s">
        <v>132</v>
      </c>
      <c r="AC33" s="1" t="s">
        <v>701</v>
      </c>
      <c r="AD33" s="1" t="s">
        <v>132</v>
      </c>
      <c r="AE33" s="1" t="s">
        <v>132</v>
      </c>
      <c r="AF33" s="1" t="s">
        <v>702</v>
      </c>
      <c r="AG33" s="1" t="s">
        <v>132</v>
      </c>
      <c r="AH33" s="1" t="s">
        <v>132</v>
      </c>
      <c r="AI33" s="1" t="s">
        <v>132</v>
      </c>
      <c r="AJ33" s="1" t="s">
        <v>703</v>
      </c>
      <c r="AK33" s="1" t="s">
        <v>132</v>
      </c>
      <c r="AL33" s="1" t="s">
        <v>132</v>
      </c>
      <c r="AM33" s="1" t="s">
        <v>132</v>
      </c>
      <c r="AN33" s="1" t="s">
        <v>132</v>
      </c>
    </row>
    <row r="34" ht="15.75" customHeight="1">
      <c r="A34" s="1" t="s">
        <v>127</v>
      </c>
      <c r="B34" s="1" t="s">
        <v>704</v>
      </c>
      <c r="C34" s="1" t="s">
        <v>705</v>
      </c>
      <c r="D34" s="8" t="s">
        <v>706</v>
      </c>
      <c r="E34" s="1" t="s">
        <v>707</v>
      </c>
      <c r="F34" s="1" t="s">
        <v>132</v>
      </c>
      <c r="G34" s="1" t="s">
        <v>708</v>
      </c>
      <c r="H34" s="1" t="s">
        <v>709</v>
      </c>
      <c r="I34" s="1" t="s">
        <v>710</v>
      </c>
      <c r="J34" s="1" t="s">
        <v>711</v>
      </c>
      <c r="K34" s="1" t="s">
        <v>712</v>
      </c>
      <c r="L34" s="1" t="s">
        <v>713</v>
      </c>
      <c r="M34" s="1" t="s">
        <v>714</v>
      </c>
      <c r="N34" s="1" t="s">
        <v>132</v>
      </c>
      <c r="O34" s="1" t="s">
        <v>715</v>
      </c>
      <c r="P34" s="1" t="s">
        <v>716</v>
      </c>
      <c r="Q34" s="1" t="s">
        <v>132</v>
      </c>
      <c r="R34" s="1" t="s">
        <v>717</v>
      </c>
      <c r="S34" s="1" t="s">
        <v>718</v>
      </c>
      <c r="T34" s="8" t="s">
        <v>719</v>
      </c>
      <c r="U34" s="1" t="s">
        <v>720</v>
      </c>
      <c r="V34" s="1" t="s">
        <v>721</v>
      </c>
      <c r="W34" s="1" t="s">
        <v>722</v>
      </c>
      <c r="X34" s="1" t="s">
        <v>723</v>
      </c>
      <c r="Y34" s="1" t="s">
        <v>724</v>
      </c>
      <c r="Z34" s="1" t="s">
        <v>725</v>
      </c>
      <c r="AA34" s="1" t="s">
        <v>726</v>
      </c>
      <c r="AB34" s="1" t="s">
        <v>727</v>
      </c>
      <c r="AC34" s="1" t="s">
        <v>728</v>
      </c>
      <c r="AD34" s="1" t="s">
        <v>729</v>
      </c>
      <c r="AE34" s="1" t="s">
        <v>730</v>
      </c>
      <c r="AF34" s="1" t="s">
        <v>731</v>
      </c>
      <c r="AG34" s="1" t="s">
        <v>732</v>
      </c>
      <c r="AH34" s="1" t="s">
        <v>733</v>
      </c>
      <c r="AI34" s="1" t="s">
        <v>734</v>
      </c>
      <c r="AJ34" s="1" t="s">
        <v>132</v>
      </c>
      <c r="AK34" s="1" t="s">
        <v>735</v>
      </c>
      <c r="AL34" s="1" t="s">
        <v>736</v>
      </c>
      <c r="AM34" s="1" t="s">
        <v>132</v>
      </c>
      <c r="AN34" s="1" t="s">
        <v>132</v>
      </c>
    </row>
    <row r="35" ht="15.75" customHeight="1">
      <c r="A35" s="1" t="s">
        <v>127</v>
      </c>
      <c r="B35" s="1" t="s">
        <v>737</v>
      </c>
      <c r="C35" s="1" t="s">
        <v>738</v>
      </c>
      <c r="D35" s="8" t="s">
        <v>739</v>
      </c>
      <c r="E35" s="1" t="s">
        <v>740</v>
      </c>
      <c r="F35" s="1" t="s">
        <v>132</v>
      </c>
      <c r="G35" s="1" t="s">
        <v>741</v>
      </c>
      <c r="H35" s="1" t="s">
        <v>742</v>
      </c>
      <c r="I35" s="1" t="s">
        <v>743</v>
      </c>
      <c r="J35" s="1" t="s">
        <v>744</v>
      </c>
      <c r="K35" s="1" t="s">
        <v>745</v>
      </c>
      <c r="L35" s="1" t="s">
        <v>746</v>
      </c>
      <c r="M35" s="1" t="s">
        <v>747</v>
      </c>
      <c r="N35" s="1" t="s">
        <v>132</v>
      </c>
      <c r="O35" s="1" t="s">
        <v>748</v>
      </c>
      <c r="P35" s="1" t="s">
        <v>749</v>
      </c>
      <c r="Q35" s="1" t="s">
        <v>132</v>
      </c>
      <c r="R35" s="1" t="s">
        <v>750</v>
      </c>
      <c r="S35" s="1" t="s">
        <v>751</v>
      </c>
      <c r="T35" s="8" t="s">
        <v>752</v>
      </c>
      <c r="U35" s="1" t="s">
        <v>753</v>
      </c>
      <c r="V35" s="1" t="s">
        <v>754</v>
      </c>
      <c r="W35" s="1" t="s">
        <v>755</v>
      </c>
      <c r="X35" s="1" t="s">
        <v>756</v>
      </c>
      <c r="Y35" s="1" t="s">
        <v>750</v>
      </c>
      <c r="Z35" s="1" t="s">
        <v>757</v>
      </c>
      <c r="AA35" s="1" t="s">
        <v>745</v>
      </c>
      <c r="AB35" s="1" t="s">
        <v>747</v>
      </c>
      <c r="AC35" s="1" t="s">
        <v>758</v>
      </c>
      <c r="AD35" s="1" t="s">
        <v>749</v>
      </c>
      <c r="AE35" s="1" t="s">
        <v>759</v>
      </c>
      <c r="AF35" s="1" t="s">
        <v>750</v>
      </c>
      <c r="AG35" s="1" t="s">
        <v>742</v>
      </c>
      <c r="AH35" s="1" t="s">
        <v>760</v>
      </c>
      <c r="AI35" s="1" t="s">
        <v>761</v>
      </c>
      <c r="AJ35" s="1" t="s">
        <v>132</v>
      </c>
      <c r="AK35" s="1" t="s">
        <v>762</v>
      </c>
      <c r="AL35" s="1" t="s">
        <v>763</v>
      </c>
      <c r="AM35" s="1" t="s">
        <v>764</v>
      </c>
      <c r="AN35" s="1" t="s">
        <v>764</v>
      </c>
    </row>
    <row r="36" ht="15.75" customHeight="1">
      <c r="A36" s="1" t="s">
        <v>127</v>
      </c>
      <c r="B36" s="1" t="s">
        <v>765</v>
      </c>
      <c r="C36" s="1" t="s">
        <v>766</v>
      </c>
      <c r="D36" s="8" t="s">
        <v>767</v>
      </c>
      <c r="E36" s="1" t="s">
        <v>768</v>
      </c>
      <c r="F36" s="1" t="s">
        <v>132</v>
      </c>
      <c r="G36" s="1" t="s">
        <v>769</v>
      </c>
      <c r="H36" s="1" t="s">
        <v>770</v>
      </c>
      <c r="I36" s="1" t="s">
        <v>771</v>
      </c>
      <c r="J36" s="1" t="s">
        <v>772</v>
      </c>
      <c r="K36" s="1" t="s">
        <v>773</v>
      </c>
      <c r="L36" s="1" t="s">
        <v>774</v>
      </c>
      <c r="M36" s="1" t="s">
        <v>775</v>
      </c>
      <c r="N36" s="1" t="s">
        <v>132</v>
      </c>
      <c r="O36" s="1" t="s">
        <v>776</v>
      </c>
      <c r="P36" s="1" t="s">
        <v>777</v>
      </c>
      <c r="Q36" s="1" t="s">
        <v>132</v>
      </c>
      <c r="R36" s="1" t="s">
        <v>778</v>
      </c>
      <c r="S36" s="1" t="s">
        <v>779</v>
      </c>
      <c r="T36" s="8" t="s">
        <v>780</v>
      </c>
      <c r="U36" s="1" t="s">
        <v>781</v>
      </c>
      <c r="V36" s="1" t="s">
        <v>782</v>
      </c>
      <c r="W36" s="1" t="s">
        <v>783</v>
      </c>
      <c r="X36" s="1" t="s">
        <v>784</v>
      </c>
      <c r="Y36" s="1" t="s">
        <v>785</v>
      </c>
      <c r="Z36" s="1" t="s">
        <v>786</v>
      </c>
      <c r="AA36" s="1" t="s">
        <v>787</v>
      </c>
      <c r="AB36" s="1" t="s">
        <v>788</v>
      </c>
      <c r="AC36" s="1" t="s">
        <v>789</v>
      </c>
      <c r="AD36" s="1" t="s">
        <v>790</v>
      </c>
      <c r="AE36" s="1" t="s">
        <v>791</v>
      </c>
      <c r="AF36" s="1" t="s">
        <v>792</v>
      </c>
      <c r="AG36" s="1" t="s">
        <v>793</v>
      </c>
      <c r="AH36" s="1" t="s">
        <v>794</v>
      </c>
      <c r="AI36" s="1" t="s">
        <v>795</v>
      </c>
      <c r="AJ36" s="1" t="s">
        <v>132</v>
      </c>
      <c r="AK36" s="1" t="s">
        <v>796</v>
      </c>
      <c r="AL36" s="1" t="s">
        <v>797</v>
      </c>
      <c r="AM36" s="1" t="s">
        <v>132</v>
      </c>
      <c r="AN36" s="1" t="s">
        <v>132</v>
      </c>
    </row>
    <row r="37" ht="15.75" customHeight="1">
      <c r="A37" s="1" t="s">
        <v>38</v>
      </c>
      <c r="B37" s="1" t="s">
        <v>798</v>
      </c>
      <c r="C37" s="1" t="s">
        <v>799</v>
      </c>
      <c r="D37" s="1" t="s">
        <v>132</v>
      </c>
      <c r="E37" s="1" t="s">
        <v>132</v>
      </c>
      <c r="F37" s="1" t="s">
        <v>132</v>
      </c>
      <c r="G37" s="1" t="s">
        <v>132</v>
      </c>
      <c r="H37" s="1" t="s">
        <v>132</v>
      </c>
      <c r="I37" s="1" t="s">
        <v>800</v>
      </c>
      <c r="J37" s="1" t="s">
        <v>132</v>
      </c>
      <c r="K37" s="1" t="s">
        <v>801</v>
      </c>
      <c r="L37" s="1" t="s">
        <v>132</v>
      </c>
      <c r="M37" s="1" t="s">
        <v>802</v>
      </c>
      <c r="N37" s="1" t="s">
        <v>132</v>
      </c>
      <c r="O37" s="1" t="s">
        <v>132</v>
      </c>
      <c r="P37" s="1" t="s">
        <v>799</v>
      </c>
      <c r="Q37" s="1" t="s">
        <v>132</v>
      </c>
      <c r="R37" s="1" t="s">
        <v>132</v>
      </c>
      <c r="S37" s="1" t="s">
        <v>132</v>
      </c>
      <c r="T37" s="1" t="s">
        <v>132</v>
      </c>
      <c r="U37" s="1" t="s">
        <v>132</v>
      </c>
      <c r="V37" s="1" t="s">
        <v>132</v>
      </c>
      <c r="W37" s="1" t="s">
        <v>132</v>
      </c>
      <c r="X37" s="1" t="s">
        <v>132</v>
      </c>
      <c r="Y37" s="1" t="s">
        <v>132</v>
      </c>
      <c r="Z37" s="1" t="s">
        <v>132</v>
      </c>
      <c r="AA37" s="1" t="s">
        <v>132</v>
      </c>
      <c r="AB37" s="1" t="s">
        <v>132</v>
      </c>
      <c r="AC37" s="1" t="s">
        <v>803</v>
      </c>
      <c r="AD37" s="1" t="s">
        <v>132</v>
      </c>
      <c r="AE37" s="1" t="s">
        <v>132</v>
      </c>
      <c r="AF37" s="1" t="s">
        <v>804</v>
      </c>
      <c r="AG37" s="1" t="s">
        <v>132</v>
      </c>
      <c r="AH37" s="1" t="s">
        <v>132</v>
      </c>
      <c r="AI37" s="1" t="s">
        <v>132</v>
      </c>
      <c r="AJ37" s="1" t="s">
        <v>132</v>
      </c>
      <c r="AK37" s="1" t="s">
        <v>132</v>
      </c>
      <c r="AL37" s="1" t="s">
        <v>132</v>
      </c>
      <c r="AM37" s="1" t="s">
        <v>132</v>
      </c>
      <c r="AN37" s="1" t="s">
        <v>132</v>
      </c>
    </row>
    <row r="38" ht="15.75" customHeight="1">
      <c r="A38" s="1" t="s">
        <v>38</v>
      </c>
      <c r="B38" s="1" t="s">
        <v>805</v>
      </c>
      <c r="C38" s="1" t="s">
        <v>806</v>
      </c>
      <c r="D38" s="8" t="s">
        <v>807</v>
      </c>
      <c r="E38" s="1" t="s">
        <v>808</v>
      </c>
      <c r="F38" s="1" t="s">
        <v>809</v>
      </c>
      <c r="G38" s="1" t="s">
        <v>132</v>
      </c>
      <c r="H38" s="1" t="s">
        <v>132</v>
      </c>
      <c r="I38" s="1" t="s">
        <v>810</v>
      </c>
      <c r="J38" s="1" t="s">
        <v>132</v>
      </c>
      <c r="K38" s="1" t="s">
        <v>811</v>
      </c>
      <c r="L38" s="1" t="s">
        <v>132</v>
      </c>
      <c r="M38" s="1" t="s">
        <v>812</v>
      </c>
      <c r="N38" s="1" t="s">
        <v>813</v>
      </c>
      <c r="O38" s="1" t="s">
        <v>132</v>
      </c>
      <c r="P38" s="1" t="s">
        <v>814</v>
      </c>
      <c r="Q38" s="1" t="s">
        <v>132</v>
      </c>
      <c r="R38" s="1" t="s">
        <v>132</v>
      </c>
      <c r="S38" s="1" t="s">
        <v>815</v>
      </c>
      <c r="T38" s="1" t="s">
        <v>132</v>
      </c>
      <c r="U38" s="1" t="s">
        <v>816</v>
      </c>
      <c r="V38" s="1" t="s">
        <v>817</v>
      </c>
      <c r="W38" s="1" t="s">
        <v>132</v>
      </c>
      <c r="X38" s="1" t="s">
        <v>818</v>
      </c>
      <c r="Y38" s="1" t="s">
        <v>132</v>
      </c>
      <c r="Z38" s="1" t="s">
        <v>819</v>
      </c>
      <c r="AA38" s="1" t="s">
        <v>820</v>
      </c>
      <c r="AB38" s="1" t="s">
        <v>132</v>
      </c>
      <c r="AC38" s="1" t="s">
        <v>821</v>
      </c>
      <c r="AD38" s="1" t="s">
        <v>132</v>
      </c>
      <c r="AE38" s="1" t="s">
        <v>132</v>
      </c>
      <c r="AF38" s="1" t="s">
        <v>822</v>
      </c>
      <c r="AG38" s="1" t="s">
        <v>823</v>
      </c>
      <c r="AH38" s="1" t="s">
        <v>132</v>
      </c>
      <c r="AI38" s="1" t="s">
        <v>132</v>
      </c>
      <c r="AJ38" s="1" t="s">
        <v>824</v>
      </c>
      <c r="AK38" s="1" t="s">
        <v>825</v>
      </c>
      <c r="AL38" s="1" t="s">
        <v>132</v>
      </c>
      <c r="AM38" s="1" t="s">
        <v>826</v>
      </c>
      <c r="AN38" s="1" t="s">
        <v>826</v>
      </c>
    </row>
    <row r="39" ht="15.75" customHeight="1">
      <c r="A39" s="1" t="s">
        <v>38</v>
      </c>
      <c r="B39" s="1" t="s">
        <v>827</v>
      </c>
      <c r="C39" s="1" t="s">
        <v>828</v>
      </c>
      <c r="D39" s="8" t="s">
        <v>829</v>
      </c>
      <c r="E39" s="1" t="s">
        <v>830</v>
      </c>
      <c r="F39" s="1" t="s">
        <v>831</v>
      </c>
      <c r="G39" s="1" t="s">
        <v>132</v>
      </c>
      <c r="H39" s="1" t="s">
        <v>132</v>
      </c>
      <c r="I39" s="1" t="s">
        <v>832</v>
      </c>
      <c r="J39" s="1" t="s">
        <v>132</v>
      </c>
      <c r="K39" s="1" t="s">
        <v>833</v>
      </c>
      <c r="L39" s="1" t="s">
        <v>132</v>
      </c>
      <c r="M39" s="1" t="s">
        <v>834</v>
      </c>
      <c r="N39" s="1" t="s">
        <v>835</v>
      </c>
      <c r="O39" s="1" t="s">
        <v>132</v>
      </c>
      <c r="P39" s="1" t="s">
        <v>836</v>
      </c>
      <c r="Q39" s="1" t="s">
        <v>837</v>
      </c>
      <c r="R39" s="1" t="s">
        <v>132</v>
      </c>
      <c r="S39" s="1" t="s">
        <v>838</v>
      </c>
      <c r="T39" s="1" t="s">
        <v>132</v>
      </c>
      <c r="U39" s="1" t="s">
        <v>839</v>
      </c>
      <c r="V39" s="1" t="s">
        <v>840</v>
      </c>
      <c r="W39" s="1" t="s">
        <v>132</v>
      </c>
      <c r="X39" s="1" t="s">
        <v>841</v>
      </c>
      <c r="Y39" s="1" t="s">
        <v>132</v>
      </c>
      <c r="Z39" s="1" t="s">
        <v>842</v>
      </c>
      <c r="AA39" s="1" t="s">
        <v>843</v>
      </c>
      <c r="AB39" s="1" t="s">
        <v>132</v>
      </c>
      <c r="AC39" s="1" t="s">
        <v>844</v>
      </c>
      <c r="AD39" s="1" t="s">
        <v>845</v>
      </c>
      <c r="AE39" s="1" t="s">
        <v>132</v>
      </c>
      <c r="AF39" s="1" t="s">
        <v>846</v>
      </c>
      <c r="AG39" s="1" t="s">
        <v>847</v>
      </c>
      <c r="AH39" s="1" t="s">
        <v>132</v>
      </c>
      <c r="AI39" s="1" t="s">
        <v>132</v>
      </c>
      <c r="AJ39" s="1" t="s">
        <v>848</v>
      </c>
      <c r="AK39" s="1" t="s">
        <v>849</v>
      </c>
      <c r="AL39" s="1" t="s">
        <v>132</v>
      </c>
      <c r="AM39" s="1" t="s">
        <v>850</v>
      </c>
      <c r="AN39" s="1" t="s">
        <v>850</v>
      </c>
    </row>
    <row r="40" ht="15.75" customHeight="1">
      <c r="A40" s="1" t="s">
        <v>127</v>
      </c>
      <c r="B40" s="1" t="s">
        <v>851</v>
      </c>
      <c r="C40" s="1" t="s">
        <v>852</v>
      </c>
      <c r="D40" s="8" t="s">
        <v>853</v>
      </c>
      <c r="E40" s="1" t="s">
        <v>854</v>
      </c>
      <c r="F40" s="1" t="s">
        <v>132</v>
      </c>
      <c r="G40" s="1" t="s">
        <v>855</v>
      </c>
      <c r="H40" s="1" t="s">
        <v>856</v>
      </c>
      <c r="I40" s="1" t="s">
        <v>857</v>
      </c>
      <c r="J40" s="1" t="s">
        <v>858</v>
      </c>
      <c r="K40" s="1" t="s">
        <v>859</v>
      </c>
      <c r="L40" s="1" t="s">
        <v>860</v>
      </c>
      <c r="M40" s="1" t="s">
        <v>861</v>
      </c>
      <c r="N40" s="1" t="s">
        <v>132</v>
      </c>
      <c r="O40" s="1" t="s">
        <v>862</v>
      </c>
      <c r="P40" s="1" t="s">
        <v>863</v>
      </c>
      <c r="Q40" s="1" t="s">
        <v>132</v>
      </c>
      <c r="R40" s="1" t="s">
        <v>864</v>
      </c>
      <c r="S40" s="1" t="s">
        <v>865</v>
      </c>
      <c r="T40" s="8" t="s">
        <v>866</v>
      </c>
      <c r="U40" s="1" t="s">
        <v>867</v>
      </c>
      <c r="V40" s="1" t="s">
        <v>868</v>
      </c>
      <c r="W40" s="1" t="s">
        <v>869</v>
      </c>
      <c r="X40" s="1" t="s">
        <v>870</v>
      </c>
      <c r="Y40" s="1" t="s">
        <v>856</v>
      </c>
      <c r="Z40" s="1" t="s">
        <v>871</v>
      </c>
      <c r="AA40" s="1" t="s">
        <v>872</v>
      </c>
      <c r="AB40" s="1" t="s">
        <v>865</v>
      </c>
      <c r="AC40" s="1" t="s">
        <v>873</v>
      </c>
      <c r="AD40" s="1" t="s">
        <v>874</v>
      </c>
      <c r="AE40" s="1" t="s">
        <v>865</v>
      </c>
      <c r="AF40" s="1" t="s">
        <v>865</v>
      </c>
      <c r="AG40" s="1" t="s">
        <v>875</v>
      </c>
      <c r="AH40" s="1" t="s">
        <v>876</v>
      </c>
      <c r="AI40" s="1" t="s">
        <v>877</v>
      </c>
      <c r="AJ40" s="1" t="s">
        <v>132</v>
      </c>
      <c r="AK40" s="1" t="s">
        <v>878</v>
      </c>
      <c r="AL40" s="1" t="s">
        <v>879</v>
      </c>
      <c r="AM40" s="1" t="s">
        <v>132</v>
      </c>
      <c r="AN40" s="1" t="s">
        <v>132</v>
      </c>
    </row>
    <row r="41" ht="15.75" customHeight="1">
      <c r="A41" s="1" t="s">
        <v>38</v>
      </c>
      <c r="B41" s="1" t="s">
        <v>880</v>
      </c>
      <c r="C41" s="1" t="s">
        <v>881</v>
      </c>
      <c r="D41" s="1" t="s">
        <v>132</v>
      </c>
      <c r="E41" s="1" t="s">
        <v>882</v>
      </c>
      <c r="F41" s="1" t="s">
        <v>883</v>
      </c>
      <c r="G41" s="1" t="s">
        <v>132</v>
      </c>
      <c r="H41" s="1" t="s">
        <v>132</v>
      </c>
      <c r="I41" s="1" t="s">
        <v>884</v>
      </c>
      <c r="J41" s="1" t="s">
        <v>132</v>
      </c>
      <c r="K41" s="1" t="s">
        <v>885</v>
      </c>
      <c r="L41" s="1" t="s">
        <v>132</v>
      </c>
      <c r="M41" s="1" t="s">
        <v>886</v>
      </c>
      <c r="N41" s="1" t="s">
        <v>887</v>
      </c>
      <c r="O41" s="1" t="s">
        <v>132</v>
      </c>
      <c r="P41" s="1" t="s">
        <v>888</v>
      </c>
      <c r="Q41" s="1" t="s">
        <v>132</v>
      </c>
      <c r="R41" s="1" t="s">
        <v>132</v>
      </c>
      <c r="S41" s="1" t="s">
        <v>889</v>
      </c>
      <c r="T41" s="1" t="s">
        <v>132</v>
      </c>
      <c r="U41" s="1" t="s">
        <v>132</v>
      </c>
      <c r="V41" s="1" t="s">
        <v>132</v>
      </c>
      <c r="W41" s="1" t="s">
        <v>132</v>
      </c>
      <c r="X41" s="1" t="s">
        <v>890</v>
      </c>
      <c r="Y41" s="1" t="s">
        <v>132</v>
      </c>
      <c r="Z41" s="1" t="s">
        <v>891</v>
      </c>
      <c r="AA41" s="1" t="s">
        <v>892</v>
      </c>
      <c r="AB41" s="1" t="s">
        <v>132</v>
      </c>
      <c r="AC41" s="1" t="s">
        <v>132</v>
      </c>
      <c r="AD41" s="1" t="s">
        <v>132</v>
      </c>
      <c r="AE41" s="1" t="s">
        <v>132</v>
      </c>
      <c r="AF41" s="1" t="s">
        <v>893</v>
      </c>
      <c r="AG41" s="1" t="s">
        <v>132</v>
      </c>
      <c r="AH41" s="1" t="s">
        <v>132</v>
      </c>
      <c r="AI41" s="1" t="s">
        <v>132</v>
      </c>
      <c r="AJ41" s="1" t="s">
        <v>132</v>
      </c>
      <c r="AK41" s="1" t="s">
        <v>132</v>
      </c>
      <c r="AL41" s="1" t="s">
        <v>132</v>
      </c>
      <c r="AM41" s="1" t="s">
        <v>132</v>
      </c>
      <c r="AN41" s="1" t="s">
        <v>132</v>
      </c>
    </row>
    <row r="42" ht="15.75" customHeight="1">
      <c r="A42" s="1" t="s">
        <v>127</v>
      </c>
      <c r="B42" s="1" t="s">
        <v>894</v>
      </c>
      <c r="C42" s="1" t="s">
        <v>895</v>
      </c>
      <c r="D42" s="8" t="s">
        <v>896</v>
      </c>
      <c r="E42" s="1" t="s">
        <v>895</v>
      </c>
      <c r="F42" s="1" t="s">
        <v>132</v>
      </c>
      <c r="G42" s="1" t="s">
        <v>895</v>
      </c>
      <c r="H42" s="1" t="s">
        <v>895</v>
      </c>
      <c r="I42" s="1" t="s">
        <v>895</v>
      </c>
      <c r="J42" s="1" t="s">
        <v>895</v>
      </c>
      <c r="K42" s="1" t="s">
        <v>895</v>
      </c>
      <c r="L42" s="1" t="s">
        <v>897</v>
      </c>
      <c r="M42" s="1" t="s">
        <v>895</v>
      </c>
      <c r="N42" s="1" t="s">
        <v>132</v>
      </c>
      <c r="O42" s="1" t="s">
        <v>898</v>
      </c>
      <c r="P42" s="1" t="s">
        <v>895</v>
      </c>
      <c r="Q42" s="1" t="s">
        <v>132</v>
      </c>
      <c r="R42" s="1" t="s">
        <v>895</v>
      </c>
      <c r="S42" s="1" t="s">
        <v>895</v>
      </c>
      <c r="T42" s="8" t="s">
        <v>899</v>
      </c>
      <c r="U42" s="1" t="s">
        <v>900</v>
      </c>
      <c r="V42" s="1" t="s">
        <v>895</v>
      </c>
      <c r="W42" s="1" t="s">
        <v>895</v>
      </c>
      <c r="X42" s="1" t="s">
        <v>895</v>
      </c>
      <c r="Y42" s="1" t="s">
        <v>895</v>
      </c>
      <c r="Z42" s="1" t="s">
        <v>895</v>
      </c>
      <c r="AA42" s="1" t="s">
        <v>895</v>
      </c>
      <c r="AB42" s="1" t="s">
        <v>895</v>
      </c>
      <c r="AC42" s="1" t="s">
        <v>901</v>
      </c>
      <c r="AD42" s="1" t="s">
        <v>895</v>
      </c>
      <c r="AE42" s="1" t="s">
        <v>895</v>
      </c>
      <c r="AF42" s="1" t="s">
        <v>895</v>
      </c>
      <c r="AG42" s="1" t="s">
        <v>895</v>
      </c>
      <c r="AH42" s="1" t="s">
        <v>895</v>
      </c>
      <c r="AI42" s="1" t="s">
        <v>895</v>
      </c>
      <c r="AJ42" s="1" t="s">
        <v>132</v>
      </c>
      <c r="AK42" s="1" t="s">
        <v>902</v>
      </c>
      <c r="AL42" s="1" t="s">
        <v>903</v>
      </c>
      <c r="AM42" s="1" t="s">
        <v>904</v>
      </c>
      <c r="AN42" s="1" t="s">
        <v>904</v>
      </c>
    </row>
    <row r="43" ht="15.75" customHeight="1">
      <c r="A43" s="1" t="s">
        <v>127</v>
      </c>
      <c r="B43" s="1" t="s">
        <v>905</v>
      </c>
      <c r="C43" s="1" t="s">
        <v>906</v>
      </c>
      <c r="D43" s="8" t="s">
        <v>907</v>
      </c>
      <c r="E43" s="1" t="s">
        <v>908</v>
      </c>
      <c r="F43" s="1" t="s">
        <v>132</v>
      </c>
      <c r="G43" s="1" t="s">
        <v>909</v>
      </c>
      <c r="H43" s="1" t="s">
        <v>910</v>
      </c>
      <c r="I43" s="1" t="s">
        <v>906</v>
      </c>
      <c r="J43" s="1" t="s">
        <v>911</v>
      </c>
      <c r="K43" s="1" t="s">
        <v>912</v>
      </c>
      <c r="L43" s="1" t="s">
        <v>913</v>
      </c>
      <c r="M43" s="1" t="s">
        <v>906</v>
      </c>
      <c r="N43" s="1" t="s">
        <v>132</v>
      </c>
      <c r="O43" s="1" t="s">
        <v>914</v>
      </c>
      <c r="P43" s="1" t="s">
        <v>915</v>
      </c>
      <c r="Q43" s="1" t="s">
        <v>132</v>
      </c>
      <c r="R43" s="1" t="s">
        <v>916</v>
      </c>
      <c r="S43" s="1" t="s">
        <v>917</v>
      </c>
      <c r="T43" s="8" t="s">
        <v>918</v>
      </c>
      <c r="U43" s="1" t="s">
        <v>919</v>
      </c>
      <c r="V43" s="1" t="s">
        <v>920</v>
      </c>
      <c r="W43" s="1" t="s">
        <v>916</v>
      </c>
      <c r="X43" s="1" t="s">
        <v>921</v>
      </c>
      <c r="Y43" s="1" t="s">
        <v>922</v>
      </c>
      <c r="Z43" s="1" t="s">
        <v>923</v>
      </c>
      <c r="AA43" s="1" t="s">
        <v>924</v>
      </c>
      <c r="AB43" s="1" t="s">
        <v>925</v>
      </c>
      <c r="AC43" s="1" t="s">
        <v>926</v>
      </c>
      <c r="AD43" s="1" t="s">
        <v>927</v>
      </c>
      <c r="AE43" s="1" t="s">
        <v>928</v>
      </c>
      <c r="AF43" s="1" t="s">
        <v>928</v>
      </c>
      <c r="AG43" s="1" t="s">
        <v>922</v>
      </c>
      <c r="AH43" s="1" t="s">
        <v>929</v>
      </c>
      <c r="AI43" s="1" t="s">
        <v>930</v>
      </c>
      <c r="AK43" s="1" t="s">
        <v>931</v>
      </c>
      <c r="AL43" s="1" t="s">
        <v>932</v>
      </c>
      <c r="AM43" s="1" t="s">
        <v>933</v>
      </c>
      <c r="AN43" s="1" t="s">
        <v>933</v>
      </c>
    </row>
    <row r="44" ht="15.75" customHeight="1">
      <c r="A44" s="1" t="s">
        <v>38</v>
      </c>
      <c r="B44" s="1" t="s">
        <v>934</v>
      </c>
      <c r="C44" s="1" t="s">
        <v>935</v>
      </c>
      <c r="D44" s="8" t="s">
        <v>936</v>
      </c>
      <c r="E44" s="1" t="s">
        <v>937</v>
      </c>
      <c r="F44" s="1" t="s">
        <v>938</v>
      </c>
      <c r="G44" s="1" t="s">
        <v>132</v>
      </c>
      <c r="H44" s="1" t="s">
        <v>132</v>
      </c>
      <c r="I44" s="1" t="s">
        <v>939</v>
      </c>
      <c r="J44" s="1" t="s">
        <v>132</v>
      </c>
      <c r="K44" s="1" t="s">
        <v>940</v>
      </c>
      <c r="L44" s="1" t="s">
        <v>132</v>
      </c>
      <c r="M44" s="1" t="s">
        <v>941</v>
      </c>
      <c r="N44" s="1" t="s">
        <v>942</v>
      </c>
      <c r="O44" s="1" t="s">
        <v>132</v>
      </c>
      <c r="P44" s="1" t="s">
        <v>943</v>
      </c>
      <c r="Q44" s="1" t="s">
        <v>132</v>
      </c>
      <c r="R44" s="1" t="s">
        <v>132</v>
      </c>
      <c r="S44" s="1" t="s">
        <v>944</v>
      </c>
      <c r="T44" s="1" t="s">
        <v>132</v>
      </c>
      <c r="U44" s="1" t="s">
        <v>132</v>
      </c>
      <c r="V44" s="1" t="s">
        <v>132</v>
      </c>
      <c r="W44" s="1" t="s">
        <v>132</v>
      </c>
      <c r="X44" s="1" t="s">
        <v>945</v>
      </c>
      <c r="Y44" s="1" t="s">
        <v>132</v>
      </c>
      <c r="Z44" s="1" t="s">
        <v>946</v>
      </c>
      <c r="AA44" s="1" t="s">
        <v>132</v>
      </c>
      <c r="AB44" s="1" t="s">
        <v>132</v>
      </c>
      <c r="AC44" s="1" t="s">
        <v>132</v>
      </c>
      <c r="AD44" s="1" t="s">
        <v>132</v>
      </c>
      <c r="AE44" s="1" t="s">
        <v>132</v>
      </c>
      <c r="AF44" s="1" t="s">
        <v>132</v>
      </c>
      <c r="AG44" s="1" t="s">
        <v>132</v>
      </c>
      <c r="AH44" s="1" t="s">
        <v>132</v>
      </c>
      <c r="AI44" s="1" t="s">
        <v>132</v>
      </c>
      <c r="AJ44" s="1" t="s">
        <v>132</v>
      </c>
      <c r="AK44" s="1" t="s">
        <v>132</v>
      </c>
      <c r="AL44" s="1" t="s">
        <v>132</v>
      </c>
      <c r="AM44" s="1" t="s">
        <v>132</v>
      </c>
      <c r="AN44" s="1" t="s">
        <v>132</v>
      </c>
    </row>
    <row r="45" ht="15.75" customHeight="1">
      <c r="A45" s="1" t="s">
        <v>38</v>
      </c>
      <c r="B45" s="1" t="s">
        <v>947</v>
      </c>
      <c r="C45" s="1" t="s">
        <v>948</v>
      </c>
      <c r="D45" s="1" t="s">
        <v>132</v>
      </c>
      <c r="E45" s="1" t="s">
        <v>949</v>
      </c>
      <c r="F45" s="1" t="s">
        <v>950</v>
      </c>
      <c r="G45" s="1" t="s">
        <v>132</v>
      </c>
      <c r="H45" s="1" t="s">
        <v>132</v>
      </c>
      <c r="I45" s="1" t="s">
        <v>951</v>
      </c>
      <c r="J45" s="1" t="s">
        <v>132</v>
      </c>
      <c r="K45" s="1" t="s">
        <v>952</v>
      </c>
      <c r="L45" s="1" t="s">
        <v>132</v>
      </c>
      <c r="M45" s="1" t="s">
        <v>953</v>
      </c>
      <c r="N45" s="1" t="s">
        <v>954</v>
      </c>
      <c r="O45" s="1" t="s">
        <v>132</v>
      </c>
      <c r="P45" s="1" t="s">
        <v>955</v>
      </c>
      <c r="Q45" s="1" t="s">
        <v>132</v>
      </c>
      <c r="R45" s="1" t="s">
        <v>132</v>
      </c>
      <c r="S45" s="1" t="s">
        <v>956</v>
      </c>
      <c r="T45" s="1" t="s">
        <v>132</v>
      </c>
      <c r="U45" s="1" t="s">
        <v>957</v>
      </c>
      <c r="V45" s="1" t="s">
        <v>958</v>
      </c>
      <c r="W45" s="1" t="s">
        <v>132</v>
      </c>
      <c r="X45" s="1" t="s">
        <v>959</v>
      </c>
      <c r="Y45" s="1" t="s">
        <v>132</v>
      </c>
      <c r="Z45" s="1" t="s">
        <v>960</v>
      </c>
      <c r="AA45" s="1" t="s">
        <v>132</v>
      </c>
      <c r="AB45" s="1" t="s">
        <v>132</v>
      </c>
      <c r="AC45" s="1" t="s">
        <v>961</v>
      </c>
      <c r="AD45" s="1" t="s">
        <v>132</v>
      </c>
      <c r="AE45" s="1" t="s">
        <v>132</v>
      </c>
      <c r="AF45" s="1" t="s">
        <v>962</v>
      </c>
      <c r="AG45" s="1" t="s">
        <v>963</v>
      </c>
      <c r="AH45" s="1" t="s">
        <v>132</v>
      </c>
      <c r="AI45" s="1" t="s">
        <v>132</v>
      </c>
      <c r="AJ45" s="1" t="s">
        <v>964</v>
      </c>
      <c r="AK45" s="1" t="s">
        <v>132</v>
      </c>
      <c r="AL45" s="1" t="s">
        <v>132</v>
      </c>
      <c r="AM45" s="1" t="s">
        <v>965</v>
      </c>
      <c r="AN45" s="1" t="s">
        <v>965</v>
      </c>
    </row>
    <row r="46" ht="15.75" customHeight="1">
      <c r="A46" s="1" t="s">
        <v>127</v>
      </c>
      <c r="B46" s="1" t="s">
        <v>966</v>
      </c>
      <c r="C46" s="1" t="s">
        <v>967</v>
      </c>
      <c r="D46" s="8" t="s">
        <v>968</v>
      </c>
      <c r="E46" s="1" t="s">
        <v>969</v>
      </c>
      <c r="F46" s="1" t="s">
        <v>132</v>
      </c>
      <c r="G46" s="1" t="s">
        <v>970</v>
      </c>
      <c r="H46" s="1" t="s">
        <v>971</v>
      </c>
      <c r="I46" s="1" t="s">
        <v>972</v>
      </c>
      <c r="J46" s="1" t="s">
        <v>973</v>
      </c>
      <c r="K46" s="1" t="s">
        <v>974</v>
      </c>
      <c r="L46" s="1" t="s">
        <v>975</v>
      </c>
      <c r="M46" s="1" t="s">
        <v>976</v>
      </c>
      <c r="N46" s="1" t="s">
        <v>132</v>
      </c>
      <c r="O46" s="1" t="s">
        <v>977</v>
      </c>
      <c r="P46" s="1" t="s">
        <v>978</v>
      </c>
      <c r="Q46" s="1" t="s">
        <v>132</v>
      </c>
      <c r="R46" s="1" t="s">
        <v>979</v>
      </c>
      <c r="S46" s="1" t="s">
        <v>980</v>
      </c>
      <c r="T46" s="8" t="s">
        <v>981</v>
      </c>
      <c r="U46" s="1" t="s">
        <v>982</v>
      </c>
      <c r="V46" s="1" t="s">
        <v>983</v>
      </c>
      <c r="W46" s="1" t="s">
        <v>984</v>
      </c>
      <c r="X46" s="1" t="s">
        <v>985</v>
      </c>
      <c r="Y46" s="1" t="s">
        <v>986</v>
      </c>
      <c r="Z46" s="1" t="s">
        <v>987</v>
      </c>
      <c r="AA46" s="1" t="s">
        <v>988</v>
      </c>
      <c r="AB46" s="1" t="s">
        <v>989</v>
      </c>
      <c r="AC46" s="1" t="s">
        <v>990</v>
      </c>
      <c r="AD46" s="1" t="s">
        <v>991</v>
      </c>
      <c r="AE46" s="1" t="s">
        <v>992</v>
      </c>
      <c r="AF46" s="1" t="s">
        <v>993</v>
      </c>
      <c r="AG46" s="1" t="s">
        <v>994</v>
      </c>
      <c r="AH46" s="1" t="s">
        <v>995</v>
      </c>
      <c r="AI46" s="1" t="s">
        <v>996</v>
      </c>
      <c r="AJ46" s="1" t="s">
        <v>132</v>
      </c>
      <c r="AK46" s="1" t="s">
        <v>997</v>
      </c>
      <c r="AL46" s="1" t="s">
        <v>998</v>
      </c>
      <c r="AM46" s="1" t="s">
        <v>999</v>
      </c>
      <c r="AN46" s="1" t="s">
        <v>999</v>
      </c>
    </row>
    <row r="47" ht="15.75" customHeight="1">
      <c r="A47" s="1" t="s">
        <v>38</v>
      </c>
      <c r="B47" s="1" t="s">
        <v>1000</v>
      </c>
      <c r="C47" s="1" t="s">
        <v>1001</v>
      </c>
      <c r="D47" s="1" t="s">
        <v>132</v>
      </c>
      <c r="E47" s="1" t="s">
        <v>132</v>
      </c>
      <c r="F47" s="1" t="s">
        <v>132</v>
      </c>
      <c r="G47" s="1" t="s">
        <v>132</v>
      </c>
      <c r="H47" s="1" t="s">
        <v>132</v>
      </c>
      <c r="I47" s="1" t="s">
        <v>1002</v>
      </c>
      <c r="J47" s="1" t="s">
        <v>132</v>
      </c>
      <c r="K47" s="1" t="s">
        <v>1003</v>
      </c>
      <c r="L47" s="1" t="s">
        <v>132</v>
      </c>
      <c r="M47" s="1" t="s">
        <v>1004</v>
      </c>
      <c r="N47" s="1" t="s">
        <v>132</v>
      </c>
      <c r="O47" s="1" t="s">
        <v>132</v>
      </c>
      <c r="P47" s="1" t="s">
        <v>1005</v>
      </c>
      <c r="Q47" s="1" t="s">
        <v>132</v>
      </c>
      <c r="R47" s="1" t="s">
        <v>132</v>
      </c>
      <c r="S47" s="1" t="s">
        <v>132</v>
      </c>
      <c r="T47" s="1" t="s">
        <v>132</v>
      </c>
      <c r="U47" s="1" t="s">
        <v>132</v>
      </c>
      <c r="V47" s="1" t="s">
        <v>132</v>
      </c>
      <c r="W47" s="1" t="s">
        <v>132</v>
      </c>
      <c r="X47" s="1" t="s">
        <v>132</v>
      </c>
      <c r="Y47" s="1" t="s">
        <v>132</v>
      </c>
      <c r="Z47" s="1" t="s">
        <v>132</v>
      </c>
      <c r="AA47" s="1" t="s">
        <v>132</v>
      </c>
      <c r="AB47" s="1" t="s">
        <v>132</v>
      </c>
      <c r="AC47" s="1" t="s">
        <v>1006</v>
      </c>
      <c r="AD47" s="1" t="s">
        <v>132</v>
      </c>
      <c r="AE47" s="1" t="s">
        <v>132</v>
      </c>
      <c r="AF47" s="1" t="s">
        <v>1007</v>
      </c>
      <c r="AG47" s="1" t="s">
        <v>132</v>
      </c>
      <c r="AH47" s="1" t="s">
        <v>132</v>
      </c>
      <c r="AI47" s="1" t="s">
        <v>132</v>
      </c>
      <c r="AJ47" s="1" t="s">
        <v>132</v>
      </c>
      <c r="AK47" s="1" t="s">
        <v>132</v>
      </c>
      <c r="AL47" s="1" t="s">
        <v>132</v>
      </c>
      <c r="AM47" s="1" t="s">
        <v>132</v>
      </c>
      <c r="AN47" s="1" t="s">
        <v>132</v>
      </c>
    </row>
    <row r="48" ht="15.75" customHeight="1">
      <c r="A48" s="1" t="s">
        <v>38</v>
      </c>
      <c r="B48" s="1" t="s">
        <v>1008</v>
      </c>
      <c r="C48" s="1" t="s">
        <v>1009</v>
      </c>
      <c r="D48" s="1" t="s">
        <v>132</v>
      </c>
      <c r="E48" s="1" t="s">
        <v>1010</v>
      </c>
      <c r="F48" s="1" t="s">
        <v>1011</v>
      </c>
      <c r="G48" s="1" t="s">
        <v>132</v>
      </c>
      <c r="H48" s="1" t="s">
        <v>132</v>
      </c>
      <c r="I48" s="1" t="s">
        <v>1012</v>
      </c>
      <c r="J48" s="1" t="s">
        <v>132</v>
      </c>
      <c r="K48" s="1" t="s">
        <v>1013</v>
      </c>
      <c r="L48" s="1" t="s">
        <v>132</v>
      </c>
      <c r="M48" s="1" t="s">
        <v>1014</v>
      </c>
      <c r="N48" s="1" t="s">
        <v>1015</v>
      </c>
      <c r="O48" s="1" t="s">
        <v>132</v>
      </c>
      <c r="P48" s="1" t="s">
        <v>1016</v>
      </c>
      <c r="Q48" s="1" t="s">
        <v>1017</v>
      </c>
      <c r="R48" s="1" t="s">
        <v>132</v>
      </c>
      <c r="S48" s="1" t="s">
        <v>1018</v>
      </c>
      <c r="T48" s="1" t="s">
        <v>132</v>
      </c>
      <c r="U48" s="1" t="s">
        <v>1019</v>
      </c>
      <c r="V48" s="1" t="s">
        <v>1020</v>
      </c>
      <c r="W48" s="1" t="s">
        <v>132</v>
      </c>
      <c r="X48" s="1" t="s">
        <v>1021</v>
      </c>
      <c r="Y48" s="1" t="s">
        <v>132</v>
      </c>
      <c r="Z48" s="1" t="s">
        <v>1022</v>
      </c>
      <c r="AA48" s="1" t="s">
        <v>1023</v>
      </c>
      <c r="AB48" s="1" t="s">
        <v>132</v>
      </c>
      <c r="AC48" s="1" t="s">
        <v>1024</v>
      </c>
      <c r="AD48" s="1" t="s">
        <v>1025</v>
      </c>
      <c r="AE48" s="1" t="s">
        <v>132</v>
      </c>
      <c r="AF48" s="1" t="s">
        <v>1026</v>
      </c>
      <c r="AG48" s="1" t="s">
        <v>1027</v>
      </c>
      <c r="AH48" s="1" t="s">
        <v>132</v>
      </c>
      <c r="AI48" s="1" t="s">
        <v>132</v>
      </c>
      <c r="AJ48" s="1" t="s">
        <v>1028</v>
      </c>
      <c r="AK48" s="1" t="s">
        <v>1029</v>
      </c>
      <c r="AL48" s="1" t="s">
        <v>132</v>
      </c>
      <c r="AM48" s="1" t="s">
        <v>1030</v>
      </c>
      <c r="AN48" s="1" t="s">
        <v>1030</v>
      </c>
    </row>
    <row r="49" ht="15.75" customHeight="1">
      <c r="A49" s="1" t="s">
        <v>38</v>
      </c>
      <c r="B49" s="1" t="s">
        <v>1031</v>
      </c>
      <c r="C49" s="1" t="s">
        <v>1032</v>
      </c>
      <c r="D49" s="1" t="s">
        <v>132</v>
      </c>
      <c r="E49" s="1" t="s">
        <v>132</v>
      </c>
      <c r="F49" s="1" t="s">
        <v>132</v>
      </c>
      <c r="G49" s="1" t="s">
        <v>132</v>
      </c>
      <c r="H49" s="1" t="s">
        <v>132</v>
      </c>
      <c r="I49" s="1" t="s">
        <v>1032</v>
      </c>
      <c r="J49" s="1" t="s">
        <v>132</v>
      </c>
      <c r="K49" s="1" t="s">
        <v>1032</v>
      </c>
      <c r="L49" s="1" t="s">
        <v>132</v>
      </c>
      <c r="M49" s="1" t="s">
        <v>1032</v>
      </c>
      <c r="N49" s="1" t="s">
        <v>132</v>
      </c>
      <c r="O49" s="1" t="s">
        <v>132</v>
      </c>
      <c r="P49" s="1" t="s">
        <v>1032</v>
      </c>
      <c r="Q49" s="1" t="s">
        <v>132</v>
      </c>
      <c r="R49" s="1" t="s">
        <v>132</v>
      </c>
      <c r="S49" s="1" t="s">
        <v>132</v>
      </c>
      <c r="T49" s="1" t="s">
        <v>132</v>
      </c>
      <c r="U49" s="1" t="s">
        <v>132</v>
      </c>
      <c r="V49" s="1" t="s">
        <v>132</v>
      </c>
      <c r="W49" s="1" t="s">
        <v>132</v>
      </c>
      <c r="X49" s="1" t="s">
        <v>132</v>
      </c>
      <c r="Y49" s="1" t="s">
        <v>132</v>
      </c>
      <c r="Z49" s="1" t="s">
        <v>132</v>
      </c>
      <c r="AA49" s="1" t="s">
        <v>132</v>
      </c>
      <c r="AB49" s="1" t="s">
        <v>132</v>
      </c>
      <c r="AC49" s="1" t="s">
        <v>1033</v>
      </c>
      <c r="AD49" s="1" t="s">
        <v>132</v>
      </c>
      <c r="AE49" s="1" t="s">
        <v>132</v>
      </c>
      <c r="AF49" s="1" t="s">
        <v>1034</v>
      </c>
      <c r="AG49" s="1" t="s">
        <v>132</v>
      </c>
      <c r="AH49" s="1" t="s">
        <v>132</v>
      </c>
      <c r="AI49" s="1" t="s">
        <v>132</v>
      </c>
      <c r="AJ49" s="1" t="s">
        <v>132</v>
      </c>
      <c r="AK49" s="1" t="s">
        <v>132</v>
      </c>
      <c r="AL49" s="1" t="s">
        <v>132</v>
      </c>
      <c r="AM49" s="1" t="s">
        <v>132</v>
      </c>
      <c r="AN49" s="1" t="s">
        <v>132</v>
      </c>
    </row>
    <row r="50" ht="15.75" customHeight="1">
      <c r="A50" s="1" t="s">
        <v>127</v>
      </c>
      <c r="B50" s="1" t="s">
        <v>1035</v>
      </c>
      <c r="C50" s="1" t="s">
        <v>1036</v>
      </c>
      <c r="D50" s="8" t="s">
        <v>1037</v>
      </c>
      <c r="E50" s="1" t="s">
        <v>1038</v>
      </c>
      <c r="F50" s="1" t="s">
        <v>132</v>
      </c>
      <c r="G50" s="1" t="s">
        <v>1038</v>
      </c>
      <c r="H50" s="1" t="s">
        <v>1039</v>
      </c>
      <c r="I50" s="1" t="s">
        <v>1036</v>
      </c>
      <c r="J50" s="1" t="s">
        <v>1038</v>
      </c>
      <c r="K50" s="1" t="s">
        <v>1038</v>
      </c>
      <c r="L50" s="1" t="s">
        <v>1038</v>
      </c>
      <c r="M50" s="1" t="s">
        <v>1038</v>
      </c>
      <c r="N50" s="1" t="s">
        <v>132</v>
      </c>
      <c r="O50" s="1" t="s">
        <v>1040</v>
      </c>
      <c r="P50" s="1" t="s">
        <v>1038</v>
      </c>
      <c r="Q50" s="1" t="s">
        <v>132</v>
      </c>
      <c r="R50" s="1" t="s">
        <v>1041</v>
      </c>
      <c r="S50" s="1" t="s">
        <v>1038</v>
      </c>
      <c r="T50" s="8" t="s">
        <v>1042</v>
      </c>
      <c r="U50" s="1" t="s">
        <v>1038</v>
      </c>
      <c r="V50" s="1" t="s">
        <v>1043</v>
      </c>
      <c r="W50" s="1" t="s">
        <v>1044</v>
      </c>
      <c r="X50" s="1" t="s">
        <v>1045</v>
      </c>
      <c r="Y50" s="1" t="s">
        <v>1046</v>
      </c>
      <c r="Z50" s="1" t="s">
        <v>1038</v>
      </c>
      <c r="AA50" s="1" t="s">
        <v>1047</v>
      </c>
      <c r="AB50" s="1" t="s">
        <v>1048</v>
      </c>
      <c r="AC50" s="1" t="s">
        <v>1049</v>
      </c>
      <c r="AD50" s="1" t="s">
        <v>1050</v>
      </c>
      <c r="AE50" s="1" t="s">
        <v>1038</v>
      </c>
      <c r="AF50" s="1" t="s">
        <v>1038</v>
      </c>
      <c r="AG50" s="1" t="s">
        <v>1046</v>
      </c>
      <c r="AH50" s="1" t="s">
        <v>1051</v>
      </c>
      <c r="AI50" s="1" t="s">
        <v>1052</v>
      </c>
      <c r="AJ50" s="1" t="s">
        <v>132</v>
      </c>
      <c r="AK50" s="1" t="s">
        <v>1053</v>
      </c>
      <c r="AL50" s="1" t="s">
        <v>1054</v>
      </c>
      <c r="AM50" s="1" t="s">
        <v>1055</v>
      </c>
      <c r="AN50" s="1" t="s">
        <v>1055</v>
      </c>
    </row>
    <row r="51" ht="15.75" customHeight="1">
      <c r="A51" s="1" t="s">
        <v>127</v>
      </c>
      <c r="B51" s="1" t="s">
        <v>1056</v>
      </c>
      <c r="C51" s="1" t="s">
        <v>1057</v>
      </c>
      <c r="D51" s="8" t="s">
        <v>1058</v>
      </c>
      <c r="E51" s="1" t="s">
        <v>1059</v>
      </c>
      <c r="F51" s="1" t="s">
        <v>132</v>
      </c>
      <c r="G51" s="1" t="s">
        <v>1060</v>
      </c>
      <c r="H51" s="1" t="s">
        <v>1061</v>
      </c>
      <c r="I51" s="1" t="s">
        <v>1057</v>
      </c>
      <c r="J51" s="1" t="s">
        <v>1062</v>
      </c>
      <c r="K51" s="1" t="s">
        <v>1063</v>
      </c>
      <c r="L51" s="1" t="s">
        <v>1064</v>
      </c>
      <c r="M51" s="1" t="s">
        <v>1065</v>
      </c>
      <c r="N51" s="1" t="s">
        <v>132</v>
      </c>
      <c r="O51" s="1" t="s">
        <v>1066</v>
      </c>
      <c r="P51" s="1" t="s">
        <v>1067</v>
      </c>
      <c r="Q51" s="1" t="s">
        <v>132</v>
      </c>
      <c r="R51" s="1" t="s">
        <v>1068</v>
      </c>
      <c r="S51" s="1" t="s">
        <v>1069</v>
      </c>
      <c r="T51" s="8" t="s">
        <v>1070</v>
      </c>
      <c r="U51" s="1" t="s">
        <v>1071</v>
      </c>
      <c r="V51" s="1" t="s">
        <v>1072</v>
      </c>
      <c r="W51" s="1" t="s">
        <v>1073</v>
      </c>
      <c r="X51" s="1" t="s">
        <v>1074</v>
      </c>
      <c r="Y51" s="1" t="s">
        <v>1075</v>
      </c>
      <c r="Z51" s="1" t="s">
        <v>1076</v>
      </c>
      <c r="AA51" s="1" t="s">
        <v>1077</v>
      </c>
      <c r="AB51" s="1" t="s">
        <v>1078</v>
      </c>
      <c r="AC51" s="1" t="s">
        <v>1079</v>
      </c>
      <c r="AD51" s="1" t="s">
        <v>1080</v>
      </c>
      <c r="AE51" s="1" t="s">
        <v>1081</v>
      </c>
      <c r="AF51" s="1" t="s">
        <v>1082</v>
      </c>
      <c r="AG51" s="1" t="s">
        <v>1075</v>
      </c>
      <c r="AH51" s="1" t="s">
        <v>1083</v>
      </c>
      <c r="AI51" s="1" t="s">
        <v>1084</v>
      </c>
      <c r="AJ51" s="1" t="s">
        <v>132</v>
      </c>
      <c r="AK51" s="1" t="s">
        <v>1085</v>
      </c>
      <c r="AL51" s="1" t="s">
        <v>1086</v>
      </c>
      <c r="AM51" s="1" t="s">
        <v>132</v>
      </c>
      <c r="AN51" s="1" t="s">
        <v>132</v>
      </c>
    </row>
    <row r="52" ht="15.75" customHeight="1">
      <c r="A52" s="1" t="s">
        <v>127</v>
      </c>
      <c r="B52" s="1" t="s">
        <v>1087</v>
      </c>
      <c r="C52" s="1" t="s">
        <v>1088</v>
      </c>
      <c r="D52" s="8" t="s">
        <v>1089</v>
      </c>
      <c r="E52" s="1" t="s">
        <v>1090</v>
      </c>
      <c r="F52" s="1" t="s">
        <v>132</v>
      </c>
      <c r="G52" s="1" t="s">
        <v>1091</v>
      </c>
      <c r="H52" s="1" t="s">
        <v>1092</v>
      </c>
      <c r="I52" s="1" t="s">
        <v>1093</v>
      </c>
      <c r="J52" s="1" t="s">
        <v>1094</v>
      </c>
      <c r="K52" s="1" t="s">
        <v>1095</v>
      </c>
      <c r="L52" s="1" t="s">
        <v>1096</v>
      </c>
      <c r="M52" s="1" t="s">
        <v>1097</v>
      </c>
      <c r="N52" s="1" t="s">
        <v>132</v>
      </c>
      <c r="O52" s="1" t="s">
        <v>1098</v>
      </c>
      <c r="P52" s="1" t="s">
        <v>1099</v>
      </c>
      <c r="Q52" s="1" t="s">
        <v>132</v>
      </c>
      <c r="R52" s="1" t="s">
        <v>1100</v>
      </c>
      <c r="S52" s="1" t="s">
        <v>1101</v>
      </c>
      <c r="T52" s="8" t="s">
        <v>1102</v>
      </c>
      <c r="U52" s="1" t="s">
        <v>1103</v>
      </c>
      <c r="V52" s="1" t="s">
        <v>1104</v>
      </c>
      <c r="W52" s="1" t="s">
        <v>1100</v>
      </c>
      <c r="X52" s="1" t="s">
        <v>1092</v>
      </c>
      <c r="Y52" s="1" t="s">
        <v>1092</v>
      </c>
      <c r="Z52" s="1" t="s">
        <v>1105</v>
      </c>
      <c r="AA52" s="1" t="s">
        <v>1106</v>
      </c>
      <c r="AB52" s="1" t="s">
        <v>1107</v>
      </c>
      <c r="AC52" s="1" t="s">
        <v>1108</v>
      </c>
      <c r="AD52" s="1" t="s">
        <v>1109</v>
      </c>
      <c r="AE52" s="1" t="s">
        <v>1110</v>
      </c>
      <c r="AF52" s="1" t="s">
        <v>1110</v>
      </c>
      <c r="AG52" s="1" t="s">
        <v>1092</v>
      </c>
      <c r="AH52" s="1" t="s">
        <v>1111</v>
      </c>
      <c r="AI52" s="1" t="s">
        <v>1112</v>
      </c>
      <c r="AJ52" s="1" t="s">
        <v>132</v>
      </c>
      <c r="AK52" s="1" t="s">
        <v>1113</v>
      </c>
      <c r="AL52" s="1" t="s">
        <v>1114</v>
      </c>
      <c r="AM52" s="1" t="s">
        <v>1115</v>
      </c>
      <c r="AN52" s="1" t="s">
        <v>1115</v>
      </c>
    </row>
    <row r="53" ht="15.75" customHeight="1">
      <c r="A53" s="1" t="s">
        <v>38</v>
      </c>
      <c r="B53" s="1" t="s">
        <v>1116</v>
      </c>
      <c r="C53" s="1" t="s">
        <v>1117</v>
      </c>
      <c r="D53" s="1" t="s">
        <v>132</v>
      </c>
      <c r="E53" s="1" t="s">
        <v>1118</v>
      </c>
      <c r="F53" s="1" t="s">
        <v>1119</v>
      </c>
      <c r="G53" s="1" t="s">
        <v>132</v>
      </c>
      <c r="H53" s="1" t="s">
        <v>132</v>
      </c>
      <c r="I53" s="1" t="s">
        <v>1120</v>
      </c>
      <c r="J53" s="1" t="s">
        <v>132</v>
      </c>
      <c r="K53" s="1" t="s">
        <v>1121</v>
      </c>
      <c r="L53" s="1" t="s">
        <v>132</v>
      </c>
      <c r="M53" s="1" t="s">
        <v>1122</v>
      </c>
      <c r="N53" s="1" t="s">
        <v>1123</v>
      </c>
      <c r="O53" s="1" t="s">
        <v>132</v>
      </c>
      <c r="P53" s="1" t="s">
        <v>1124</v>
      </c>
      <c r="Q53" s="1" t="s">
        <v>132</v>
      </c>
      <c r="R53" s="1" t="s">
        <v>132</v>
      </c>
      <c r="S53" s="1" t="s">
        <v>1125</v>
      </c>
      <c r="T53" s="1" t="s">
        <v>132</v>
      </c>
      <c r="U53" s="1" t="s">
        <v>1126</v>
      </c>
      <c r="V53" s="1" t="s">
        <v>132</v>
      </c>
      <c r="W53" s="1" t="s">
        <v>132</v>
      </c>
      <c r="X53" s="1" t="s">
        <v>1127</v>
      </c>
      <c r="Y53" s="1" t="s">
        <v>132</v>
      </c>
      <c r="Z53" s="1" t="s">
        <v>1128</v>
      </c>
      <c r="AA53" s="1" t="s">
        <v>132</v>
      </c>
      <c r="AB53" s="1" t="s">
        <v>132</v>
      </c>
      <c r="AC53" s="1" t="s">
        <v>1129</v>
      </c>
      <c r="AD53" s="1" t="s">
        <v>132</v>
      </c>
      <c r="AE53" s="1" t="s">
        <v>132</v>
      </c>
      <c r="AF53" s="1" t="s">
        <v>132</v>
      </c>
      <c r="AG53" s="1" t="s">
        <v>132</v>
      </c>
      <c r="AH53" s="1" t="s">
        <v>132</v>
      </c>
      <c r="AI53" s="1" t="s">
        <v>132</v>
      </c>
      <c r="AJ53" s="1" t="s">
        <v>1130</v>
      </c>
      <c r="AK53" s="1" t="s">
        <v>132</v>
      </c>
      <c r="AL53" s="1" t="s">
        <v>132</v>
      </c>
      <c r="AM53" s="1" t="s">
        <v>1131</v>
      </c>
      <c r="AN53" s="1" t="s">
        <v>1131</v>
      </c>
    </row>
    <row r="54" ht="15.75" customHeight="1">
      <c r="A54" s="1" t="s">
        <v>127</v>
      </c>
      <c r="B54" s="1" t="s">
        <v>1132</v>
      </c>
      <c r="C54" s="1" t="s">
        <v>1133</v>
      </c>
      <c r="D54" s="8" t="s">
        <v>1134</v>
      </c>
      <c r="E54" s="1" t="s">
        <v>1135</v>
      </c>
      <c r="F54" s="1" t="s">
        <v>132</v>
      </c>
      <c r="G54" s="1" t="s">
        <v>1136</v>
      </c>
      <c r="H54" s="1" t="s">
        <v>1137</v>
      </c>
      <c r="I54" s="1" t="s">
        <v>1138</v>
      </c>
      <c r="J54" s="1" t="s">
        <v>1139</v>
      </c>
      <c r="K54" s="1" t="s">
        <v>1140</v>
      </c>
      <c r="L54" s="1" t="s">
        <v>1141</v>
      </c>
      <c r="M54" s="1" t="s">
        <v>1142</v>
      </c>
      <c r="N54" s="1" t="s">
        <v>132</v>
      </c>
      <c r="O54" s="1" t="s">
        <v>1143</v>
      </c>
      <c r="P54" s="1" t="s">
        <v>1144</v>
      </c>
      <c r="Q54" s="1" t="s">
        <v>132</v>
      </c>
      <c r="R54" s="1" t="s">
        <v>1145</v>
      </c>
      <c r="S54" s="1" t="s">
        <v>1146</v>
      </c>
      <c r="T54" s="8" t="s">
        <v>1147</v>
      </c>
      <c r="U54" s="1" t="s">
        <v>1148</v>
      </c>
      <c r="V54" s="1" t="s">
        <v>1149</v>
      </c>
      <c r="W54" s="1" t="s">
        <v>1150</v>
      </c>
      <c r="X54" s="1" t="s">
        <v>1151</v>
      </c>
      <c r="Y54" s="1" t="s">
        <v>1152</v>
      </c>
      <c r="Z54" s="1" t="s">
        <v>1153</v>
      </c>
      <c r="AA54" s="1" t="s">
        <v>1154</v>
      </c>
      <c r="AB54" s="1" t="s">
        <v>1155</v>
      </c>
      <c r="AC54" s="1" t="s">
        <v>1156</v>
      </c>
      <c r="AD54" s="1" t="s">
        <v>1157</v>
      </c>
      <c r="AE54" s="1" t="s">
        <v>1158</v>
      </c>
      <c r="AF54" s="1" t="s">
        <v>1159</v>
      </c>
      <c r="AG54" s="1" t="s">
        <v>1160</v>
      </c>
      <c r="AH54" s="1" t="s">
        <v>1161</v>
      </c>
      <c r="AI54" s="1" t="s">
        <v>1162</v>
      </c>
      <c r="AJ54" s="1" t="s">
        <v>132</v>
      </c>
      <c r="AK54" s="1" t="s">
        <v>1163</v>
      </c>
      <c r="AL54" s="1" t="s">
        <v>1164</v>
      </c>
      <c r="AM54" s="1" t="s">
        <v>132</v>
      </c>
      <c r="AN54" s="1" t="s">
        <v>132</v>
      </c>
    </row>
    <row r="55" ht="15.75" customHeight="1">
      <c r="A55" s="1" t="s">
        <v>38</v>
      </c>
      <c r="B55" s="1" t="s">
        <v>1165</v>
      </c>
      <c r="C55" s="1" t="s">
        <v>1166</v>
      </c>
      <c r="D55" s="8" t="s">
        <v>1167</v>
      </c>
      <c r="E55" s="1" t="s">
        <v>1168</v>
      </c>
      <c r="F55" s="1" t="s">
        <v>1169</v>
      </c>
      <c r="G55" s="1" t="s">
        <v>132</v>
      </c>
      <c r="H55" s="1" t="s">
        <v>132</v>
      </c>
      <c r="I55" s="1" t="s">
        <v>1170</v>
      </c>
      <c r="J55" s="1" t="s">
        <v>132</v>
      </c>
      <c r="K55" s="1" t="s">
        <v>1171</v>
      </c>
      <c r="L55" s="1" t="s">
        <v>132</v>
      </c>
      <c r="M55" s="1" t="s">
        <v>1172</v>
      </c>
      <c r="N55" s="1" t="s">
        <v>1173</v>
      </c>
      <c r="O55" s="1" t="s">
        <v>132</v>
      </c>
      <c r="P55" s="1" t="s">
        <v>1174</v>
      </c>
      <c r="Q55" s="1" t="s">
        <v>1175</v>
      </c>
      <c r="R55" s="1" t="s">
        <v>132</v>
      </c>
      <c r="S55" s="1" t="s">
        <v>1176</v>
      </c>
      <c r="T55" s="1" t="s">
        <v>132</v>
      </c>
      <c r="U55" s="1" t="s">
        <v>1177</v>
      </c>
      <c r="V55" s="1" t="s">
        <v>1178</v>
      </c>
      <c r="W55" s="1" t="s">
        <v>132</v>
      </c>
      <c r="X55" s="1" t="s">
        <v>1179</v>
      </c>
      <c r="Y55" s="1" t="s">
        <v>132</v>
      </c>
      <c r="Z55" s="1" t="s">
        <v>1180</v>
      </c>
      <c r="AA55" s="1" t="s">
        <v>1181</v>
      </c>
      <c r="AB55" s="1" t="s">
        <v>132</v>
      </c>
      <c r="AC55" s="1" t="s">
        <v>1182</v>
      </c>
      <c r="AD55" s="1" t="s">
        <v>132</v>
      </c>
      <c r="AE55" s="1" t="s">
        <v>132</v>
      </c>
      <c r="AF55" s="1" t="s">
        <v>1183</v>
      </c>
      <c r="AG55" s="1" t="s">
        <v>1184</v>
      </c>
      <c r="AH55" s="1" t="s">
        <v>132</v>
      </c>
      <c r="AI55" s="1" t="s">
        <v>132</v>
      </c>
      <c r="AJ55" s="1" t="s">
        <v>1185</v>
      </c>
      <c r="AK55" s="1" t="s">
        <v>132</v>
      </c>
      <c r="AL55" s="1" t="s">
        <v>132</v>
      </c>
      <c r="AM55" s="1" t="s">
        <v>1186</v>
      </c>
      <c r="AN55" s="1" t="s">
        <v>1186</v>
      </c>
    </row>
    <row r="56" ht="15.75" customHeight="1">
      <c r="A56" s="1" t="s">
        <v>38</v>
      </c>
      <c r="B56" s="1" t="s">
        <v>1187</v>
      </c>
      <c r="C56" s="1" t="s">
        <v>1188</v>
      </c>
      <c r="D56" s="8" t="s">
        <v>1189</v>
      </c>
      <c r="E56" s="1" t="s">
        <v>1190</v>
      </c>
      <c r="F56" s="1" t="s">
        <v>1191</v>
      </c>
      <c r="G56" s="1" t="s">
        <v>132</v>
      </c>
      <c r="H56" s="1" t="s">
        <v>132</v>
      </c>
      <c r="I56" s="1" t="s">
        <v>1192</v>
      </c>
      <c r="J56" s="1" t="s">
        <v>132</v>
      </c>
      <c r="K56" s="1" t="s">
        <v>1193</v>
      </c>
      <c r="L56" s="1" t="s">
        <v>132</v>
      </c>
      <c r="M56" s="1" t="s">
        <v>1194</v>
      </c>
      <c r="N56" s="1" t="s">
        <v>1195</v>
      </c>
      <c r="O56" s="1" t="s">
        <v>132</v>
      </c>
      <c r="P56" s="1" t="s">
        <v>1196</v>
      </c>
      <c r="Q56" s="1" t="s">
        <v>132</v>
      </c>
      <c r="R56" s="1" t="s">
        <v>132</v>
      </c>
      <c r="S56" s="1" t="s">
        <v>1197</v>
      </c>
      <c r="T56" s="1" t="s">
        <v>132</v>
      </c>
      <c r="U56" s="1" t="s">
        <v>1198</v>
      </c>
      <c r="V56" s="1" t="s">
        <v>132</v>
      </c>
      <c r="W56" s="1" t="s">
        <v>132</v>
      </c>
      <c r="X56" s="1" t="s">
        <v>1199</v>
      </c>
      <c r="Y56" s="1" t="s">
        <v>132</v>
      </c>
      <c r="Z56" s="1" t="s">
        <v>1200</v>
      </c>
      <c r="AA56" s="1" t="s">
        <v>132</v>
      </c>
      <c r="AB56" s="1" t="s">
        <v>132</v>
      </c>
      <c r="AC56" s="1" t="s">
        <v>1201</v>
      </c>
      <c r="AD56" s="1" t="s">
        <v>132</v>
      </c>
      <c r="AE56" s="1" t="s">
        <v>132</v>
      </c>
      <c r="AF56" s="1" t="s">
        <v>1202</v>
      </c>
      <c r="AG56" s="1" t="s">
        <v>132</v>
      </c>
      <c r="AH56" s="1" t="s">
        <v>132</v>
      </c>
      <c r="AI56" s="1" t="s">
        <v>132</v>
      </c>
      <c r="AJ56" s="1" t="s">
        <v>1203</v>
      </c>
      <c r="AK56" s="1" t="s">
        <v>132</v>
      </c>
      <c r="AL56" s="1" t="s">
        <v>132</v>
      </c>
      <c r="AM56" s="1" t="s">
        <v>132</v>
      </c>
      <c r="AN56" s="1" t="s">
        <v>132</v>
      </c>
    </row>
    <row r="57" ht="15.75" customHeight="1">
      <c r="A57" s="1" t="s">
        <v>127</v>
      </c>
      <c r="B57" s="1" t="s">
        <v>1204</v>
      </c>
      <c r="C57" s="1" t="s">
        <v>1205</v>
      </c>
      <c r="D57" s="8" t="s">
        <v>1206</v>
      </c>
      <c r="E57" s="1" t="s">
        <v>1207</v>
      </c>
      <c r="F57" s="1" t="s">
        <v>132</v>
      </c>
      <c r="G57" s="1" t="s">
        <v>1208</v>
      </c>
      <c r="H57" s="1" t="s">
        <v>1209</v>
      </c>
      <c r="I57" s="1" t="s">
        <v>1210</v>
      </c>
      <c r="J57" s="1" t="s">
        <v>1211</v>
      </c>
      <c r="K57" s="1" t="s">
        <v>1212</v>
      </c>
      <c r="L57" s="1" t="s">
        <v>1213</v>
      </c>
      <c r="M57" s="1" t="s">
        <v>1214</v>
      </c>
      <c r="N57" s="1" t="s">
        <v>132</v>
      </c>
      <c r="O57" s="1" t="s">
        <v>1215</v>
      </c>
      <c r="P57" s="1" t="s">
        <v>1216</v>
      </c>
      <c r="Q57" s="1" t="s">
        <v>132</v>
      </c>
      <c r="R57" s="1" t="s">
        <v>1217</v>
      </c>
      <c r="S57" s="1" t="s">
        <v>1218</v>
      </c>
      <c r="T57" s="8" t="s">
        <v>1219</v>
      </c>
      <c r="U57" s="1" t="s">
        <v>1220</v>
      </c>
      <c r="V57" s="1" t="s">
        <v>1221</v>
      </c>
      <c r="W57" s="1" t="s">
        <v>1217</v>
      </c>
      <c r="X57" s="1" t="s">
        <v>1205</v>
      </c>
      <c r="Y57" s="1" t="s">
        <v>1209</v>
      </c>
      <c r="Z57" s="1" t="s">
        <v>1222</v>
      </c>
      <c r="AA57" s="1" t="s">
        <v>1223</v>
      </c>
      <c r="AB57" s="1" t="s">
        <v>1224</v>
      </c>
      <c r="AC57" s="1" t="s">
        <v>1225</v>
      </c>
      <c r="AD57" s="1" t="s">
        <v>1226</v>
      </c>
      <c r="AE57" s="1" t="s">
        <v>1227</v>
      </c>
      <c r="AF57" s="1" t="s">
        <v>1228</v>
      </c>
      <c r="AG57" s="1" t="s">
        <v>1229</v>
      </c>
      <c r="AH57" s="1" t="s">
        <v>1230</v>
      </c>
      <c r="AI57" s="1" t="s">
        <v>1231</v>
      </c>
      <c r="AJ57" s="1" t="s">
        <v>132</v>
      </c>
      <c r="AK57" s="1" t="s">
        <v>1232</v>
      </c>
      <c r="AL57" s="1" t="s">
        <v>1233</v>
      </c>
      <c r="AM57" s="1" t="s">
        <v>1234</v>
      </c>
      <c r="AN57" s="1" t="s">
        <v>1234</v>
      </c>
    </row>
    <row r="58" ht="15.75" customHeight="1">
      <c r="A58" s="1" t="s">
        <v>127</v>
      </c>
      <c r="B58" s="1" t="s">
        <v>1235</v>
      </c>
      <c r="C58" s="1" t="s">
        <v>1236</v>
      </c>
      <c r="D58" s="8" t="s">
        <v>1237</v>
      </c>
      <c r="E58" s="1" t="s">
        <v>1238</v>
      </c>
      <c r="F58" s="1" t="s">
        <v>132</v>
      </c>
      <c r="G58" s="1" t="s">
        <v>1239</v>
      </c>
      <c r="H58" s="1" t="s">
        <v>1240</v>
      </c>
      <c r="I58" s="1" t="s">
        <v>1241</v>
      </c>
      <c r="J58" s="1" t="s">
        <v>1242</v>
      </c>
      <c r="K58" s="1" t="s">
        <v>1243</v>
      </c>
      <c r="L58" s="1" t="s">
        <v>1244</v>
      </c>
      <c r="M58" s="1" t="s">
        <v>1245</v>
      </c>
      <c r="N58" s="1" t="s">
        <v>132</v>
      </c>
      <c r="O58" s="1" t="s">
        <v>1246</v>
      </c>
      <c r="P58" s="1" t="s">
        <v>1247</v>
      </c>
      <c r="Q58" s="1" t="s">
        <v>132</v>
      </c>
      <c r="R58" s="1" t="s">
        <v>1248</v>
      </c>
      <c r="S58" s="1" t="s">
        <v>1249</v>
      </c>
      <c r="T58" s="8" t="s">
        <v>1250</v>
      </c>
      <c r="U58" s="1" t="s">
        <v>1251</v>
      </c>
      <c r="V58" s="1" t="s">
        <v>1252</v>
      </c>
      <c r="W58" s="1" t="s">
        <v>1248</v>
      </c>
      <c r="X58" s="1" t="s">
        <v>1253</v>
      </c>
      <c r="Y58" s="1" t="s">
        <v>1254</v>
      </c>
      <c r="Z58" s="1" t="s">
        <v>1255</v>
      </c>
      <c r="AA58" s="1" t="s">
        <v>1256</v>
      </c>
      <c r="AB58" s="1" t="s">
        <v>1257</v>
      </c>
      <c r="AC58" s="1" t="s">
        <v>1258</v>
      </c>
      <c r="AD58" s="1" t="s">
        <v>1259</v>
      </c>
      <c r="AE58" s="1" t="s">
        <v>1260</v>
      </c>
      <c r="AF58" s="1" t="s">
        <v>1261</v>
      </c>
      <c r="AG58" s="1" t="s">
        <v>1262</v>
      </c>
      <c r="AH58" s="1" t="s">
        <v>1263</v>
      </c>
      <c r="AI58" s="1" t="s">
        <v>1264</v>
      </c>
      <c r="AJ58" s="1" t="s">
        <v>132</v>
      </c>
      <c r="AK58" s="1" t="s">
        <v>1265</v>
      </c>
      <c r="AL58" s="1" t="s">
        <v>1266</v>
      </c>
      <c r="AM58" s="1" t="s">
        <v>1267</v>
      </c>
      <c r="AN58" s="1" t="s">
        <v>1267</v>
      </c>
    </row>
    <row r="59" ht="15.75" customHeight="1">
      <c r="A59" s="1" t="s">
        <v>127</v>
      </c>
      <c r="B59" s="1" t="s">
        <v>1268</v>
      </c>
      <c r="C59" s="1" t="s">
        <v>1269</v>
      </c>
      <c r="D59" s="8" t="s">
        <v>1270</v>
      </c>
      <c r="E59" s="1" t="s">
        <v>1271</v>
      </c>
      <c r="F59" s="1" t="s">
        <v>132</v>
      </c>
      <c r="G59" s="1" t="s">
        <v>1272</v>
      </c>
      <c r="H59" s="1" t="s">
        <v>1273</v>
      </c>
      <c r="I59" s="1" t="s">
        <v>1274</v>
      </c>
      <c r="J59" s="1" t="s">
        <v>1275</v>
      </c>
      <c r="K59" s="1" t="s">
        <v>1276</v>
      </c>
      <c r="L59" s="1" t="s">
        <v>1277</v>
      </c>
      <c r="M59" s="1" t="s">
        <v>1278</v>
      </c>
      <c r="N59" s="1" t="s">
        <v>132</v>
      </c>
      <c r="O59" s="1" t="s">
        <v>1279</v>
      </c>
      <c r="P59" s="1" t="s">
        <v>1280</v>
      </c>
      <c r="Q59" s="1" t="s">
        <v>132</v>
      </c>
      <c r="R59" s="1" t="s">
        <v>1281</v>
      </c>
      <c r="S59" s="1" t="s">
        <v>1282</v>
      </c>
      <c r="T59" s="8" t="s">
        <v>1283</v>
      </c>
      <c r="U59" s="1" t="s">
        <v>1284</v>
      </c>
      <c r="V59" s="1" t="s">
        <v>1285</v>
      </c>
      <c r="W59" s="1" t="s">
        <v>1286</v>
      </c>
      <c r="X59" s="1" t="s">
        <v>1287</v>
      </c>
      <c r="Y59" s="1" t="s">
        <v>1288</v>
      </c>
      <c r="Z59" s="1" t="s">
        <v>1289</v>
      </c>
      <c r="AA59" s="1" t="s">
        <v>1290</v>
      </c>
      <c r="AB59" s="1" t="s">
        <v>1291</v>
      </c>
      <c r="AC59" s="1" t="s">
        <v>1292</v>
      </c>
      <c r="AD59" s="1" t="s">
        <v>1293</v>
      </c>
      <c r="AE59" s="1" t="s">
        <v>1294</v>
      </c>
      <c r="AF59" s="1" t="s">
        <v>1295</v>
      </c>
      <c r="AG59" s="1" t="s">
        <v>1296</v>
      </c>
      <c r="AH59" s="1" t="s">
        <v>1297</v>
      </c>
      <c r="AI59" s="1" t="s">
        <v>1298</v>
      </c>
      <c r="AJ59" s="1" t="s">
        <v>132</v>
      </c>
      <c r="AK59" s="1" t="s">
        <v>1299</v>
      </c>
      <c r="AL59" s="1" t="s">
        <v>1300</v>
      </c>
      <c r="AM59" s="1" t="s">
        <v>1301</v>
      </c>
      <c r="AN59" s="1" t="s">
        <v>1301</v>
      </c>
    </row>
    <row r="60" ht="15.75" customHeight="1">
      <c r="A60" s="1" t="s">
        <v>127</v>
      </c>
      <c r="B60" s="1" t="s">
        <v>1302</v>
      </c>
      <c r="C60" s="1" t="s">
        <v>1303</v>
      </c>
      <c r="D60" s="8" t="s">
        <v>1304</v>
      </c>
      <c r="E60" s="1" t="s">
        <v>1305</v>
      </c>
      <c r="F60" s="1" t="s">
        <v>132</v>
      </c>
      <c r="G60" s="1" t="s">
        <v>1306</v>
      </c>
      <c r="H60" s="1" t="s">
        <v>1307</v>
      </c>
      <c r="I60" s="1" t="s">
        <v>1308</v>
      </c>
      <c r="J60" s="1" t="s">
        <v>1309</v>
      </c>
      <c r="K60" s="1" t="s">
        <v>1310</v>
      </c>
      <c r="L60" s="1" t="s">
        <v>1311</v>
      </c>
      <c r="M60" s="1" t="s">
        <v>1312</v>
      </c>
      <c r="N60" s="1" t="s">
        <v>132</v>
      </c>
      <c r="O60" s="1" t="s">
        <v>1313</v>
      </c>
      <c r="P60" s="1" t="s">
        <v>1314</v>
      </c>
      <c r="Q60" s="1" t="s">
        <v>132</v>
      </c>
      <c r="R60" s="1" t="s">
        <v>1315</v>
      </c>
      <c r="S60" s="1" t="s">
        <v>1316</v>
      </c>
      <c r="T60" s="8" t="s">
        <v>1317</v>
      </c>
      <c r="U60" s="1" t="s">
        <v>1318</v>
      </c>
      <c r="V60" s="1" t="s">
        <v>1319</v>
      </c>
      <c r="W60" s="1" t="s">
        <v>1320</v>
      </c>
      <c r="X60" s="1" t="s">
        <v>1321</v>
      </c>
      <c r="Y60" s="1" t="s">
        <v>1322</v>
      </c>
      <c r="Z60" s="1" t="s">
        <v>1323</v>
      </c>
      <c r="AA60" s="1" t="s">
        <v>1324</v>
      </c>
      <c r="AB60" s="1" t="s">
        <v>1325</v>
      </c>
      <c r="AC60" s="1" t="s">
        <v>1326</v>
      </c>
      <c r="AD60" s="1" t="s">
        <v>1327</v>
      </c>
      <c r="AE60" s="1" t="s">
        <v>1328</v>
      </c>
      <c r="AF60" s="1" t="s">
        <v>1329</v>
      </c>
      <c r="AG60" s="1" t="s">
        <v>1330</v>
      </c>
      <c r="AH60" s="1" t="s">
        <v>1331</v>
      </c>
      <c r="AI60" s="1" t="s">
        <v>1332</v>
      </c>
      <c r="AJ60" s="1" t="s">
        <v>132</v>
      </c>
      <c r="AK60" s="1" t="s">
        <v>1333</v>
      </c>
      <c r="AL60" s="1" t="s">
        <v>1334</v>
      </c>
      <c r="AM60" s="1" t="s">
        <v>132</v>
      </c>
      <c r="AN60" s="1" t="s">
        <v>132</v>
      </c>
    </row>
    <row r="61" ht="15.75" customHeight="1">
      <c r="A61" s="1" t="s">
        <v>127</v>
      </c>
      <c r="B61" s="1" t="s">
        <v>1335</v>
      </c>
      <c r="C61" s="1" t="s">
        <v>1336</v>
      </c>
      <c r="D61" s="8" t="s">
        <v>1337</v>
      </c>
      <c r="E61" s="1" t="s">
        <v>1338</v>
      </c>
      <c r="F61" s="1" t="s">
        <v>132</v>
      </c>
      <c r="G61" s="1" t="s">
        <v>1339</v>
      </c>
      <c r="H61" s="1" t="s">
        <v>1340</v>
      </c>
      <c r="I61" s="1" t="s">
        <v>1341</v>
      </c>
      <c r="J61" s="1" t="s">
        <v>1342</v>
      </c>
      <c r="K61" s="1" t="s">
        <v>1343</v>
      </c>
      <c r="L61" s="1" t="s">
        <v>1344</v>
      </c>
      <c r="M61" s="1" t="s">
        <v>1345</v>
      </c>
      <c r="N61" s="1" t="s">
        <v>132</v>
      </c>
      <c r="O61" s="1" t="s">
        <v>1346</v>
      </c>
      <c r="P61" s="1" t="s">
        <v>1347</v>
      </c>
      <c r="Q61" s="1" t="s">
        <v>132</v>
      </c>
      <c r="R61" s="1" t="s">
        <v>1348</v>
      </c>
      <c r="S61" s="1" t="s">
        <v>1349</v>
      </c>
      <c r="T61" s="8" t="s">
        <v>1350</v>
      </c>
      <c r="U61" s="1" t="s">
        <v>1351</v>
      </c>
      <c r="V61" s="1" t="s">
        <v>1352</v>
      </c>
      <c r="W61" s="1" t="s">
        <v>1353</v>
      </c>
      <c r="X61" s="1" t="s">
        <v>1354</v>
      </c>
      <c r="Y61" s="1" t="s">
        <v>1355</v>
      </c>
      <c r="Z61" s="1" t="s">
        <v>1356</v>
      </c>
      <c r="AA61" s="1" t="s">
        <v>1357</v>
      </c>
      <c r="AB61" s="1" t="s">
        <v>1358</v>
      </c>
      <c r="AC61" s="1" t="s">
        <v>1359</v>
      </c>
      <c r="AD61" s="1" t="s">
        <v>1360</v>
      </c>
      <c r="AE61" s="1" t="s">
        <v>1361</v>
      </c>
      <c r="AF61" s="1" t="s">
        <v>1362</v>
      </c>
      <c r="AG61" s="1" t="s">
        <v>1363</v>
      </c>
      <c r="AH61" s="1" t="s">
        <v>1364</v>
      </c>
      <c r="AI61" s="1" t="s">
        <v>1365</v>
      </c>
      <c r="AJ61" s="1" t="s">
        <v>132</v>
      </c>
      <c r="AK61" s="1" t="s">
        <v>1366</v>
      </c>
      <c r="AL61" s="1" t="s">
        <v>1367</v>
      </c>
      <c r="AM61" s="1" t="s">
        <v>132</v>
      </c>
      <c r="AN61" s="1" t="s">
        <v>132</v>
      </c>
    </row>
    <row r="62" ht="15.75" customHeight="1">
      <c r="A62" s="1" t="s">
        <v>38</v>
      </c>
      <c r="B62" s="1" t="s">
        <v>1368</v>
      </c>
      <c r="C62" s="1" t="s">
        <v>1369</v>
      </c>
      <c r="D62" s="8" t="s">
        <v>1370</v>
      </c>
      <c r="E62" s="1" t="s">
        <v>1371</v>
      </c>
      <c r="F62" s="1" t="s">
        <v>1372</v>
      </c>
      <c r="G62" s="1" t="s">
        <v>132</v>
      </c>
      <c r="H62" s="1" t="s">
        <v>132</v>
      </c>
      <c r="I62" s="1" t="s">
        <v>1373</v>
      </c>
      <c r="J62" s="1" t="s">
        <v>132</v>
      </c>
      <c r="K62" s="1" t="s">
        <v>1374</v>
      </c>
      <c r="L62" s="1" t="s">
        <v>132</v>
      </c>
      <c r="M62" s="1" t="s">
        <v>1375</v>
      </c>
      <c r="N62" s="1" t="s">
        <v>1376</v>
      </c>
      <c r="O62" s="1" t="s">
        <v>132</v>
      </c>
      <c r="P62" s="1" t="s">
        <v>1377</v>
      </c>
      <c r="Q62" s="1" t="s">
        <v>1378</v>
      </c>
      <c r="R62" s="1" t="s">
        <v>132</v>
      </c>
      <c r="S62" s="1" t="s">
        <v>1379</v>
      </c>
      <c r="T62" s="1" t="s">
        <v>132</v>
      </c>
      <c r="U62" s="1" t="s">
        <v>1380</v>
      </c>
      <c r="V62" s="1" t="s">
        <v>1381</v>
      </c>
      <c r="W62" s="1" t="s">
        <v>132</v>
      </c>
      <c r="X62" s="1" t="s">
        <v>1382</v>
      </c>
      <c r="Y62" s="1" t="s">
        <v>132</v>
      </c>
      <c r="Z62" s="1" t="s">
        <v>1383</v>
      </c>
      <c r="AA62" s="1" t="s">
        <v>1384</v>
      </c>
      <c r="AB62" s="1" t="s">
        <v>132</v>
      </c>
      <c r="AC62" s="1" t="s">
        <v>1385</v>
      </c>
      <c r="AD62" s="1" t="s">
        <v>1386</v>
      </c>
      <c r="AE62" s="1" t="s">
        <v>132</v>
      </c>
      <c r="AF62" s="1" t="s">
        <v>1387</v>
      </c>
      <c r="AG62" s="1" t="s">
        <v>1388</v>
      </c>
      <c r="AH62" s="1" t="s">
        <v>132</v>
      </c>
      <c r="AI62" s="1" t="s">
        <v>132</v>
      </c>
      <c r="AJ62" s="1" t="s">
        <v>1389</v>
      </c>
      <c r="AK62" s="1" t="s">
        <v>1390</v>
      </c>
      <c r="AL62" s="1" t="s">
        <v>132</v>
      </c>
      <c r="AM62" s="1" t="s">
        <v>1391</v>
      </c>
      <c r="AN62" s="1" t="s">
        <v>1391</v>
      </c>
    </row>
    <row r="63" ht="15.75" customHeight="1">
      <c r="A63" s="1" t="s">
        <v>127</v>
      </c>
      <c r="B63" s="1" t="s">
        <v>1392</v>
      </c>
      <c r="C63" s="1" t="s">
        <v>1393</v>
      </c>
      <c r="D63" s="8" t="s">
        <v>1394</v>
      </c>
      <c r="E63" s="1" t="s">
        <v>1395</v>
      </c>
      <c r="F63" s="1" t="s">
        <v>132</v>
      </c>
      <c r="G63" s="1" t="s">
        <v>1396</v>
      </c>
      <c r="H63" s="1" t="s">
        <v>1397</v>
      </c>
      <c r="I63" s="1" t="s">
        <v>1398</v>
      </c>
      <c r="J63" s="1" t="s">
        <v>1399</v>
      </c>
      <c r="K63" s="1" t="s">
        <v>1400</v>
      </c>
      <c r="L63" s="1" t="s">
        <v>1401</v>
      </c>
      <c r="M63" s="1" t="s">
        <v>1402</v>
      </c>
      <c r="N63" s="1" t="s">
        <v>132</v>
      </c>
      <c r="O63" s="1" t="s">
        <v>1403</v>
      </c>
      <c r="P63" s="1" t="s">
        <v>1404</v>
      </c>
      <c r="Q63" s="1" t="s">
        <v>132</v>
      </c>
      <c r="R63" s="1" t="s">
        <v>1405</v>
      </c>
      <c r="S63" s="1" t="s">
        <v>1406</v>
      </c>
      <c r="T63" s="8" t="s">
        <v>1407</v>
      </c>
      <c r="U63" s="1" t="s">
        <v>1408</v>
      </c>
      <c r="V63" s="1" t="s">
        <v>1409</v>
      </c>
      <c r="W63" s="1" t="s">
        <v>1405</v>
      </c>
      <c r="X63" s="1" t="s">
        <v>1410</v>
      </c>
      <c r="Y63" s="1" t="s">
        <v>1411</v>
      </c>
      <c r="Z63" s="1" t="s">
        <v>1412</v>
      </c>
      <c r="AA63" s="1" t="s">
        <v>1413</v>
      </c>
      <c r="AB63" s="1" t="s">
        <v>1414</v>
      </c>
      <c r="AC63" s="1" t="s">
        <v>1415</v>
      </c>
      <c r="AD63" s="1" t="s">
        <v>1416</v>
      </c>
      <c r="AE63" s="1" t="s">
        <v>1417</v>
      </c>
      <c r="AF63" s="1" t="s">
        <v>1418</v>
      </c>
      <c r="AG63" s="1" t="s">
        <v>1419</v>
      </c>
      <c r="AH63" s="1" t="s">
        <v>1420</v>
      </c>
      <c r="AI63" s="1" t="s">
        <v>1421</v>
      </c>
      <c r="AJ63" s="1" t="s">
        <v>132</v>
      </c>
      <c r="AK63" s="1" t="s">
        <v>1422</v>
      </c>
      <c r="AL63" s="1" t="s">
        <v>1423</v>
      </c>
      <c r="AM63" s="1" t="s">
        <v>1424</v>
      </c>
      <c r="AN63" s="1" t="s">
        <v>1424</v>
      </c>
    </row>
    <row r="64" ht="15.75" customHeight="1">
      <c r="A64" s="1" t="s">
        <v>127</v>
      </c>
      <c r="B64" s="1" t="s">
        <v>1425</v>
      </c>
      <c r="C64" s="1" t="s">
        <v>1426</v>
      </c>
      <c r="D64" s="8" t="s">
        <v>1427</v>
      </c>
      <c r="E64" s="1" t="s">
        <v>1428</v>
      </c>
      <c r="F64" s="1" t="s">
        <v>132</v>
      </c>
      <c r="G64" s="1" t="s">
        <v>1429</v>
      </c>
      <c r="H64" s="1" t="s">
        <v>1430</v>
      </c>
      <c r="I64" s="1" t="s">
        <v>1426</v>
      </c>
      <c r="J64" s="1" t="s">
        <v>1431</v>
      </c>
      <c r="K64" s="1" t="s">
        <v>1432</v>
      </c>
      <c r="L64" s="1" t="s">
        <v>1433</v>
      </c>
      <c r="M64" s="1" t="s">
        <v>1426</v>
      </c>
      <c r="N64" s="1" t="s">
        <v>132</v>
      </c>
      <c r="O64" s="1" t="s">
        <v>1434</v>
      </c>
      <c r="P64" s="1" t="s">
        <v>1435</v>
      </c>
      <c r="Q64" s="1" t="s">
        <v>132</v>
      </c>
      <c r="R64" s="1" t="s">
        <v>1436</v>
      </c>
      <c r="S64" s="1" t="s">
        <v>1437</v>
      </c>
      <c r="T64" s="8" t="s">
        <v>1438</v>
      </c>
      <c r="U64" s="1" t="s">
        <v>1439</v>
      </c>
      <c r="V64" s="1" t="s">
        <v>1440</v>
      </c>
      <c r="W64" s="1" t="s">
        <v>1441</v>
      </c>
      <c r="X64" s="1" t="s">
        <v>1442</v>
      </c>
      <c r="Y64" s="1" t="s">
        <v>1443</v>
      </c>
      <c r="Z64" s="1" t="s">
        <v>1444</v>
      </c>
      <c r="AA64" s="1" t="s">
        <v>1445</v>
      </c>
      <c r="AB64" s="1" t="s">
        <v>1446</v>
      </c>
      <c r="AC64" s="1" t="s">
        <v>1447</v>
      </c>
      <c r="AD64" s="1" t="s">
        <v>1448</v>
      </c>
      <c r="AE64" s="1" t="s">
        <v>1449</v>
      </c>
      <c r="AF64" s="1" t="s">
        <v>1450</v>
      </c>
      <c r="AG64" s="1" t="s">
        <v>1451</v>
      </c>
      <c r="AH64" s="1" t="s">
        <v>1452</v>
      </c>
      <c r="AI64" s="1" t="s">
        <v>1453</v>
      </c>
      <c r="AJ64" s="1" t="s">
        <v>132</v>
      </c>
      <c r="AK64" s="1" t="s">
        <v>1454</v>
      </c>
      <c r="AL64" s="1" t="s">
        <v>1455</v>
      </c>
      <c r="AM64" s="1" t="s">
        <v>1456</v>
      </c>
      <c r="AN64" s="1" t="s">
        <v>1456</v>
      </c>
    </row>
    <row r="65" ht="15.75" customHeight="1">
      <c r="A65" s="1" t="s">
        <v>38</v>
      </c>
      <c r="B65" s="1" t="s">
        <v>1457</v>
      </c>
      <c r="C65" s="1" t="s">
        <v>1458</v>
      </c>
      <c r="D65" s="8" t="s">
        <v>1459</v>
      </c>
      <c r="E65" s="1" t="s">
        <v>1460</v>
      </c>
      <c r="F65" s="1" t="s">
        <v>1461</v>
      </c>
      <c r="G65" s="1" t="s">
        <v>132</v>
      </c>
      <c r="H65" s="1" t="s">
        <v>132</v>
      </c>
      <c r="I65" s="1" t="s">
        <v>1462</v>
      </c>
      <c r="J65" s="1" t="s">
        <v>132</v>
      </c>
      <c r="K65" s="1" t="s">
        <v>1463</v>
      </c>
      <c r="L65" s="1" t="s">
        <v>132</v>
      </c>
      <c r="M65" s="1" t="s">
        <v>1464</v>
      </c>
      <c r="N65" s="1" t="s">
        <v>1465</v>
      </c>
      <c r="O65" s="1" t="s">
        <v>132</v>
      </c>
      <c r="P65" s="1" t="s">
        <v>1466</v>
      </c>
      <c r="Q65" s="1" t="s">
        <v>1467</v>
      </c>
      <c r="R65" s="1" t="s">
        <v>132</v>
      </c>
      <c r="S65" s="1" t="s">
        <v>1468</v>
      </c>
      <c r="T65" s="1" t="s">
        <v>132</v>
      </c>
      <c r="U65" s="1" t="s">
        <v>1469</v>
      </c>
      <c r="V65" s="1" t="s">
        <v>1470</v>
      </c>
      <c r="W65" s="1" t="s">
        <v>132</v>
      </c>
      <c r="X65" s="1" t="s">
        <v>1471</v>
      </c>
      <c r="Y65" s="1" t="s">
        <v>132</v>
      </c>
      <c r="Z65" s="1" t="s">
        <v>1472</v>
      </c>
      <c r="AA65" s="1" t="s">
        <v>1473</v>
      </c>
      <c r="AB65" s="1" t="s">
        <v>132</v>
      </c>
      <c r="AC65" s="1" t="s">
        <v>1474</v>
      </c>
      <c r="AD65" s="1" t="s">
        <v>1475</v>
      </c>
      <c r="AE65" s="1" t="s">
        <v>132</v>
      </c>
      <c r="AF65" s="1" t="s">
        <v>1476</v>
      </c>
      <c r="AG65" s="1" t="s">
        <v>1477</v>
      </c>
      <c r="AH65" s="1" t="s">
        <v>132</v>
      </c>
      <c r="AI65" s="1" t="s">
        <v>132</v>
      </c>
      <c r="AJ65" s="1" t="s">
        <v>1478</v>
      </c>
      <c r="AK65" s="1" t="s">
        <v>1479</v>
      </c>
      <c r="AL65" s="1" t="s">
        <v>132</v>
      </c>
      <c r="AM65" s="1" t="s">
        <v>1480</v>
      </c>
      <c r="AN65" s="1" t="s">
        <v>1480</v>
      </c>
    </row>
    <row r="66" ht="15.75" customHeight="1">
      <c r="A66" s="1" t="s">
        <v>38</v>
      </c>
      <c r="B66" s="1" t="s">
        <v>1481</v>
      </c>
      <c r="C66" s="1" t="s">
        <v>1482</v>
      </c>
      <c r="D66" s="1" t="s">
        <v>132</v>
      </c>
      <c r="E66" s="1" t="s">
        <v>132</v>
      </c>
      <c r="F66" s="1" t="s">
        <v>132</v>
      </c>
      <c r="G66" s="1" t="s">
        <v>132</v>
      </c>
      <c r="H66" s="1" t="s">
        <v>132</v>
      </c>
      <c r="I66" s="1" t="s">
        <v>1483</v>
      </c>
      <c r="J66" s="1" t="s">
        <v>132</v>
      </c>
      <c r="K66" s="1" t="s">
        <v>1484</v>
      </c>
      <c r="L66" s="1" t="s">
        <v>132</v>
      </c>
      <c r="M66" s="1" t="s">
        <v>1485</v>
      </c>
      <c r="N66" s="1" t="s">
        <v>132</v>
      </c>
      <c r="O66" s="1" t="s">
        <v>132</v>
      </c>
      <c r="P66" s="1" t="s">
        <v>1482</v>
      </c>
      <c r="Q66" s="1" t="s">
        <v>132</v>
      </c>
      <c r="R66" s="1" t="s">
        <v>132</v>
      </c>
      <c r="S66" s="1" t="s">
        <v>132</v>
      </c>
      <c r="T66" s="1" t="s">
        <v>132</v>
      </c>
      <c r="U66" s="1" t="s">
        <v>132</v>
      </c>
      <c r="V66" s="1" t="s">
        <v>132</v>
      </c>
      <c r="W66" s="1" t="s">
        <v>132</v>
      </c>
      <c r="X66" s="1" t="s">
        <v>132</v>
      </c>
      <c r="Y66" s="1" t="s">
        <v>132</v>
      </c>
      <c r="Z66" s="1" t="s">
        <v>132</v>
      </c>
      <c r="AA66" s="1" t="s">
        <v>132</v>
      </c>
      <c r="AB66" s="1" t="s">
        <v>132</v>
      </c>
      <c r="AC66" s="1" t="s">
        <v>1486</v>
      </c>
      <c r="AD66" s="1" t="s">
        <v>132</v>
      </c>
      <c r="AE66" s="1" t="s">
        <v>132</v>
      </c>
      <c r="AF66" s="1" t="s">
        <v>1483</v>
      </c>
      <c r="AG66" s="1" t="s">
        <v>132</v>
      </c>
      <c r="AH66" s="1" t="s">
        <v>132</v>
      </c>
      <c r="AI66" s="1" t="s">
        <v>132</v>
      </c>
      <c r="AJ66" s="1" t="s">
        <v>132</v>
      </c>
      <c r="AK66" s="1" t="s">
        <v>132</v>
      </c>
      <c r="AL66" s="1" t="s">
        <v>132</v>
      </c>
      <c r="AM66" s="1" t="s">
        <v>132</v>
      </c>
      <c r="AN66" s="1" t="s">
        <v>132</v>
      </c>
    </row>
    <row r="67" ht="15.75" customHeight="1">
      <c r="A67" s="1" t="s">
        <v>38</v>
      </c>
      <c r="B67" s="1" t="s">
        <v>1487</v>
      </c>
      <c r="C67" s="1" t="s">
        <v>1488</v>
      </c>
      <c r="D67" s="8" t="s">
        <v>1489</v>
      </c>
      <c r="E67" s="1" t="s">
        <v>1490</v>
      </c>
      <c r="F67" s="1" t="s">
        <v>1491</v>
      </c>
      <c r="G67" s="1" t="s">
        <v>132</v>
      </c>
      <c r="H67" s="1" t="s">
        <v>132</v>
      </c>
      <c r="I67" s="1" t="s">
        <v>1492</v>
      </c>
      <c r="J67" s="1" t="s">
        <v>132</v>
      </c>
      <c r="K67" s="1" t="s">
        <v>1493</v>
      </c>
      <c r="L67" s="1" t="s">
        <v>132</v>
      </c>
      <c r="M67" s="1" t="s">
        <v>1494</v>
      </c>
      <c r="N67" s="1" t="s">
        <v>1495</v>
      </c>
      <c r="O67" s="1" t="s">
        <v>132</v>
      </c>
      <c r="P67" s="1" t="s">
        <v>1496</v>
      </c>
      <c r="Q67" s="1" t="s">
        <v>1497</v>
      </c>
      <c r="R67" s="1" t="s">
        <v>132</v>
      </c>
      <c r="S67" s="1" t="s">
        <v>1498</v>
      </c>
      <c r="T67" s="1" t="s">
        <v>132</v>
      </c>
      <c r="U67" s="1" t="s">
        <v>1499</v>
      </c>
      <c r="V67" s="1" t="s">
        <v>1500</v>
      </c>
      <c r="W67" s="1" t="s">
        <v>132</v>
      </c>
      <c r="X67" s="1" t="s">
        <v>1501</v>
      </c>
      <c r="Y67" s="1" t="s">
        <v>132</v>
      </c>
      <c r="Z67" s="1" t="s">
        <v>1502</v>
      </c>
      <c r="AA67" s="1" t="s">
        <v>1503</v>
      </c>
      <c r="AB67" s="1" t="s">
        <v>132</v>
      </c>
      <c r="AC67" s="1" t="s">
        <v>1504</v>
      </c>
      <c r="AD67" s="1" t="s">
        <v>1505</v>
      </c>
      <c r="AE67" s="1" t="s">
        <v>132</v>
      </c>
      <c r="AF67" s="1" t="s">
        <v>1506</v>
      </c>
      <c r="AG67" s="1" t="s">
        <v>1507</v>
      </c>
      <c r="AH67" s="1" t="s">
        <v>132</v>
      </c>
      <c r="AI67" s="1" t="s">
        <v>132</v>
      </c>
      <c r="AJ67" s="1" t="s">
        <v>1508</v>
      </c>
      <c r="AK67" s="1" t="s">
        <v>1509</v>
      </c>
      <c r="AL67" s="1" t="s">
        <v>132</v>
      </c>
      <c r="AM67" s="1" t="s">
        <v>1510</v>
      </c>
      <c r="AN67" s="1" t="s">
        <v>1510</v>
      </c>
    </row>
    <row r="68" ht="15.75" customHeight="1">
      <c r="A68" s="1" t="s">
        <v>38</v>
      </c>
      <c r="B68" s="1" t="s">
        <v>1511</v>
      </c>
      <c r="C68" s="1" t="s">
        <v>1512</v>
      </c>
      <c r="D68" s="8" t="s">
        <v>1513</v>
      </c>
      <c r="E68" s="1" t="s">
        <v>1514</v>
      </c>
      <c r="F68" s="1" t="s">
        <v>1512</v>
      </c>
      <c r="G68" s="1" t="s">
        <v>132</v>
      </c>
      <c r="H68" s="1" t="s">
        <v>132</v>
      </c>
      <c r="I68" s="1" t="s">
        <v>1515</v>
      </c>
      <c r="J68" s="1" t="s">
        <v>132</v>
      </c>
      <c r="K68" s="1" t="s">
        <v>1512</v>
      </c>
      <c r="L68" s="1" t="s">
        <v>132</v>
      </c>
      <c r="M68" s="1" t="s">
        <v>1516</v>
      </c>
      <c r="N68" s="1" t="s">
        <v>1517</v>
      </c>
      <c r="O68" s="1" t="s">
        <v>132</v>
      </c>
      <c r="P68" s="1" t="s">
        <v>1518</v>
      </c>
      <c r="Q68" s="1" t="s">
        <v>1519</v>
      </c>
      <c r="R68" s="1" t="s">
        <v>132</v>
      </c>
      <c r="S68" s="1" t="s">
        <v>1520</v>
      </c>
      <c r="T68" s="1" t="s">
        <v>132</v>
      </c>
      <c r="U68" s="1" t="s">
        <v>1521</v>
      </c>
      <c r="V68" s="1" t="s">
        <v>1522</v>
      </c>
      <c r="W68" s="1" t="s">
        <v>132</v>
      </c>
      <c r="X68" s="1" t="s">
        <v>1523</v>
      </c>
      <c r="Y68" s="1" t="s">
        <v>132</v>
      </c>
      <c r="Z68" s="1" t="s">
        <v>1524</v>
      </c>
      <c r="AA68" s="1" t="s">
        <v>1525</v>
      </c>
      <c r="AB68" s="1" t="s">
        <v>132</v>
      </c>
      <c r="AC68" s="1" t="s">
        <v>1526</v>
      </c>
      <c r="AD68" s="1" t="s">
        <v>1527</v>
      </c>
      <c r="AE68" s="1" t="s">
        <v>132</v>
      </c>
      <c r="AF68" s="1" t="s">
        <v>1528</v>
      </c>
      <c r="AG68" s="1" t="s">
        <v>1529</v>
      </c>
      <c r="AH68" s="1" t="s">
        <v>132</v>
      </c>
      <c r="AI68" s="1" t="s">
        <v>132</v>
      </c>
      <c r="AJ68" s="1" t="s">
        <v>1530</v>
      </c>
      <c r="AK68" s="1" t="s">
        <v>1531</v>
      </c>
      <c r="AL68" s="1" t="s">
        <v>132</v>
      </c>
      <c r="AM68" s="1" t="s">
        <v>1532</v>
      </c>
      <c r="AN68" s="1" t="s">
        <v>1532</v>
      </c>
    </row>
    <row r="69" ht="15.75" customHeight="1">
      <c r="A69" s="1" t="s">
        <v>127</v>
      </c>
      <c r="B69" s="1" t="s">
        <v>1533</v>
      </c>
      <c r="C69" s="1" t="s">
        <v>1534</v>
      </c>
      <c r="D69" s="8" t="s">
        <v>1535</v>
      </c>
      <c r="E69" s="1" t="s">
        <v>1536</v>
      </c>
      <c r="F69" s="1" t="s">
        <v>132</v>
      </c>
      <c r="G69" s="1" t="s">
        <v>1537</v>
      </c>
      <c r="H69" s="1" t="s">
        <v>1538</v>
      </c>
      <c r="I69" s="1" t="s">
        <v>1539</v>
      </c>
      <c r="J69" s="1" t="s">
        <v>1540</v>
      </c>
      <c r="K69" s="1" t="s">
        <v>1541</v>
      </c>
      <c r="L69" s="1" t="s">
        <v>1542</v>
      </c>
      <c r="M69" s="1" t="s">
        <v>1543</v>
      </c>
      <c r="N69" s="1" t="s">
        <v>132</v>
      </c>
      <c r="O69" s="1" t="s">
        <v>1544</v>
      </c>
      <c r="P69" s="1" t="s">
        <v>1545</v>
      </c>
      <c r="Q69" s="1" t="s">
        <v>132</v>
      </c>
      <c r="R69" s="1" t="s">
        <v>1546</v>
      </c>
      <c r="S69" s="1" t="s">
        <v>1547</v>
      </c>
      <c r="T69" s="8" t="s">
        <v>1548</v>
      </c>
      <c r="U69" s="1" t="s">
        <v>1549</v>
      </c>
      <c r="V69" s="1" t="s">
        <v>1550</v>
      </c>
      <c r="W69" s="1" t="s">
        <v>1551</v>
      </c>
      <c r="X69" s="1" t="s">
        <v>1552</v>
      </c>
      <c r="Y69" s="1" t="s">
        <v>1553</v>
      </c>
      <c r="Z69" s="1" t="s">
        <v>1554</v>
      </c>
      <c r="AA69" s="1" t="s">
        <v>1555</v>
      </c>
      <c r="AB69" s="1" t="s">
        <v>1556</v>
      </c>
      <c r="AC69" s="1" t="s">
        <v>1557</v>
      </c>
      <c r="AD69" s="1" t="s">
        <v>1558</v>
      </c>
      <c r="AE69" s="1" t="s">
        <v>1559</v>
      </c>
      <c r="AF69" s="1" t="s">
        <v>1560</v>
      </c>
      <c r="AG69" s="1" t="s">
        <v>1561</v>
      </c>
      <c r="AH69" s="1" t="s">
        <v>1562</v>
      </c>
      <c r="AI69" s="1" t="s">
        <v>1563</v>
      </c>
      <c r="AJ69" s="1" t="s">
        <v>132</v>
      </c>
      <c r="AK69" s="1" t="s">
        <v>1564</v>
      </c>
      <c r="AL69" s="1" t="s">
        <v>1565</v>
      </c>
      <c r="AM69" s="1" t="s">
        <v>1566</v>
      </c>
      <c r="AN69" s="1" t="s">
        <v>1566</v>
      </c>
    </row>
    <row r="70" ht="15.75" customHeight="1">
      <c r="A70" s="1" t="s">
        <v>127</v>
      </c>
      <c r="B70" s="1" t="s">
        <v>1567</v>
      </c>
      <c r="C70" s="1" t="s">
        <v>1568</v>
      </c>
      <c r="D70" s="8" t="s">
        <v>1569</v>
      </c>
      <c r="E70" s="1" t="s">
        <v>1570</v>
      </c>
      <c r="F70" s="1" t="s">
        <v>132</v>
      </c>
      <c r="G70" s="1" t="s">
        <v>1571</v>
      </c>
      <c r="H70" s="1" t="s">
        <v>1572</v>
      </c>
      <c r="I70" s="1" t="s">
        <v>1573</v>
      </c>
      <c r="J70" s="1" t="s">
        <v>1574</v>
      </c>
      <c r="K70" s="1" t="s">
        <v>1575</v>
      </c>
      <c r="L70" s="1" t="s">
        <v>1576</v>
      </c>
      <c r="M70" s="1" t="s">
        <v>1577</v>
      </c>
      <c r="N70" s="1" t="s">
        <v>132</v>
      </c>
      <c r="O70" s="1" t="s">
        <v>1578</v>
      </c>
      <c r="P70" s="1" t="s">
        <v>1579</v>
      </c>
      <c r="Q70" s="1" t="s">
        <v>132</v>
      </c>
      <c r="R70" s="1" t="s">
        <v>1580</v>
      </c>
      <c r="S70" s="1" t="s">
        <v>1581</v>
      </c>
      <c r="T70" s="8" t="s">
        <v>1582</v>
      </c>
      <c r="U70" s="1" t="s">
        <v>1583</v>
      </c>
      <c r="V70" s="1" t="s">
        <v>1584</v>
      </c>
      <c r="W70" s="1" t="s">
        <v>1585</v>
      </c>
      <c r="X70" s="1" t="s">
        <v>1586</v>
      </c>
      <c r="Y70" s="1" t="s">
        <v>1587</v>
      </c>
      <c r="Z70" s="1" t="s">
        <v>1588</v>
      </c>
      <c r="AA70" s="1" t="s">
        <v>1589</v>
      </c>
      <c r="AB70" s="1" t="s">
        <v>1590</v>
      </c>
      <c r="AC70" s="1" t="s">
        <v>1591</v>
      </c>
      <c r="AD70" s="1" t="s">
        <v>1592</v>
      </c>
      <c r="AE70" s="1" t="s">
        <v>1593</v>
      </c>
      <c r="AF70" s="1" t="s">
        <v>1594</v>
      </c>
      <c r="AG70" s="1" t="s">
        <v>1595</v>
      </c>
      <c r="AH70" s="1" t="s">
        <v>1596</v>
      </c>
      <c r="AI70" s="1" t="s">
        <v>1597</v>
      </c>
      <c r="AJ70" s="1" t="s">
        <v>132</v>
      </c>
      <c r="AK70" s="1" t="s">
        <v>1598</v>
      </c>
      <c r="AL70" s="1" t="s">
        <v>1583</v>
      </c>
      <c r="AM70" s="1" t="s">
        <v>1599</v>
      </c>
      <c r="AN70" s="1" t="s">
        <v>1599</v>
      </c>
    </row>
    <row r="71" ht="15.75" customHeight="1">
      <c r="A71" s="1" t="s">
        <v>38</v>
      </c>
      <c r="B71" s="1" t="s">
        <v>1600</v>
      </c>
      <c r="C71" s="1" t="s">
        <v>1601</v>
      </c>
      <c r="D71" s="8" t="s">
        <v>1602</v>
      </c>
      <c r="E71" s="1" t="s">
        <v>1603</v>
      </c>
      <c r="F71" s="1" t="s">
        <v>1604</v>
      </c>
      <c r="G71" s="1" t="s">
        <v>132</v>
      </c>
      <c r="H71" s="1" t="s">
        <v>132</v>
      </c>
      <c r="I71" s="1" t="s">
        <v>1605</v>
      </c>
      <c r="J71" s="1" t="s">
        <v>132</v>
      </c>
      <c r="K71" s="1" t="s">
        <v>1606</v>
      </c>
      <c r="L71" s="1" t="s">
        <v>132</v>
      </c>
      <c r="M71" s="1" t="s">
        <v>1607</v>
      </c>
      <c r="N71" s="1" t="s">
        <v>1608</v>
      </c>
      <c r="O71" s="1" t="s">
        <v>132</v>
      </c>
      <c r="P71" s="1" t="s">
        <v>1609</v>
      </c>
      <c r="Q71" s="1" t="s">
        <v>132</v>
      </c>
      <c r="R71" s="1" t="s">
        <v>132</v>
      </c>
      <c r="S71" s="1" t="s">
        <v>1610</v>
      </c>
      <c r="T71" s="1" t="s">
        <v>132</v>
      </c>
      <c r="U71" s="1" t="s">
        <v>1611</v>
      </c>
      <c r="V71" s="1" t="s">
        <v>132</v>
      </c>
      <c r="W71" s="1" t="s">
        <v>132</v>
      </c>
      <c r="X71" s="1" t="s">
        <v>1612</v>
      </c>
      <c r="Y71" s="1" t="s">
        <v>132</v>
      </c>
      <c r="Z71" s="1" t="s">
        <v>1613</v>
      </c>
      <c r="AA71" s="1" t="s">
        <v>1614</v>
      </c>
      <c r="AB71" s="1" t="s">
        <v>132</v>
      </c>
      <c r="AC71" s="1" t="s">
        <v>1615</v>
      </c>
      <c r="AD71" s="1" t="s">
        <v>132</v>
      </c>
      <c r="AE71" s="1" t="s">
        <v>132</v>
      </c>
      <c r="AF71" s="1" t="s">
        <v>1616</v>
      </c>
      <c r="AG71" s="1" t="s">
        <v>1617</v>
      </c>
      <c r="AH71" s="1" t="s">
        <v>132</v>
      </c>
      <c r="AI71" s="1" t="s">
        <v>132</v>
      </c>
      <c r="AJ71" s="1" t="s">
        <v>1618</v>
      </c>
      <c r="AK71" s="1" t="s">
        <v>132</v>
      </c>
      <c r="AL71" s="1" t="s">
        <v>132</v>
      </c>
      <c r="AM71" s="1" t="s">
        <v>1619</v>
      </c>
      <c r="AN71" s="1" t="s">
        <v>1619</v>
      </c>
    </row>
    <row r="72" ht="15.75" customHeight="1">
      <c r="A72" s="1" t="s">
        <v>38</v>
      </c>
      <c r="B72" s="1" t="s">
        <v>1620</v>
      </c>
      <c r="C72" s="1" t="s">
        <v>1621</v>
      </c>
      <c r="D72" s="8" t="s">
        <v>1622</v>
      </c>
      <c r="E72" s="1" t="s">
        <v>1623</v>
      </c>
      <c r="F72" s="1" t="s">
        <v>1624</v>
      </c>
      <c r="G72" s="1" t="s">
        <v>132</v>
      </c>
      <c r="H72" s="1" t="s">
        <v>132</v>
      </c>
      <c r="I72" s="1" t="s">
        <v>1625</v>
      </c>
      <c r="J72" s="1" t="s">
        <v>132</v>
      </c>
      <c r="K72" s="1" t="s">
        <v>1626</v>
      </c>
      <c r="L72" s="1" t="s">
        <v>132</v>
      </c>
      <c r="M72" s="1" t="s">
        <v>1627</v>
      </c>
      <c r="N72" s="1" t="s">
        <v>1628</v>
      </c>
      <c r="O72" s="1" t="s">
        <v>132</v>
      </c>
      <c r="P72" s="1" t="s">
        <v>1629</v>
      </c>
      <c r="Q72" s="1" t="s">
        <v>132</v>
      </c>
      <c r="R72" s="1" t="s">
        <v>132</v>
      </c>
      <c r="S72" s="1" t="s">
        <v>1630</v>
      </c>
      <c r="T72" s="1" t="s">
        <v>132</v>
      </c>
      <c r="U72" s="1" t="s">
        <v>1631</v>
      </c>
      <c r="V72" s="1" t="s">
        <v>1632</v>
      </c>
      <c r="W72" s="1" t="s">
        <v>132</v>
      </c>
      <c r="X72" s="1" t="s">
        <v>1633</v>
      </c>
      <c r="Y72" s="1" t="s">
        <v>132</v>
      </c>
      <c r="Z72" s="1" t="s">
        <v>1634</v>
      </c>
      <c r="AA72" s="1" t="s">
        <v>132</v>
      </c>
      <c r="AB72" s="1" t="s">
        <v>132</v>
      </c>
      <c r="AC72" s="1" t="s">
        <v>1635</v>
      </c>
      <c r="AD72" s="1" t="s">
        <v>132</v>
      </c>
      <c r="AE72" s="1" t="s">
        <v>132</v>
      </c>
      <c r="AF72" s="1" t="s">
        <v>1636</v>
      </c>
      <c r="AG72" s="1" t="s">
        <v>1637</v>
      </c>
      <c r="AH72" s="1" t="s">
        <v>132</v>
      </c>
      <c r="AI72" s="1" t="s">
        <v>132</v>
      </c>
      <c r="AJ72" s="1" t="s">
        <v>1638</v>
      </c>
      <c r="AK72" s="1" t="s">
        <v>132</v>
      </c>
      <c r="AL72" s="1" t="s">
        <v>132</v>
      </c>
      <c r="AM72" s="1" t="s">
        <v>1639</v>
      </c>
      <c r="AN72" s="1" t="s">
        <v>1639</v>
      </c>
    </row>
    <row r="73" ht="15.75" customHeight="1">
      <c r="A73" s="1" t="s">
        <v>38</v>
      </c>
      <c r="B73" s="1" t="s">
        <v>1640</v>
      </c>
      <c r="C73" s="1" t="s">
        <v>1641</v>
      </c>
      <c r="D73" s="1" t="s">
        <v>132</v>
      </c>
      <c r="E73" s="1" t="s">
        <v>1642</v>
      </c>
      <c r="F73" s="1" t="s">
        <v>132</v>
      </c>
      <c r="G73" s="1" t="s">
        <v>132</v>
      </c>
      <c r="H73" s="1" t="s">
        <v>132</v>
      </c>
      <c r="I73" s="1" t="s">
        <v>1643</v>
      </c>
      <c r="J73" s="1" t="s">
        <v>132</v>
      </c>
      <c r="K73" s="1" t="s">
        <v>1644</v>
      </c>
      <c r="L73" s="1" t="s">
        <v>132</v>
      </c>
      <c r="M73" s="1" t="s">
        <v>1641</v>
      </c>
      <c r="N73" s="1" t="s">
        <v>1645</v>
      </c>
      <c r="O73" s="1" t="s">
        <v>132</v>
      </c>
      <c r="P73" s="1" t="s">
        <v>1646</v>
      </c>
      <c r="Q73" s="1" t="s">
        <v>132</v>
      </c>
      <c r="R73" s="1" t="s">
        <v>132</v>
      </c>
      <c r="S73" s="1" t="s">
        <v>1647</v>
      </c>
      <c r="T73" s="1" t="s">
        <v>132</v>
      </c>
      <c r="U73" s="1" t="s">
        <v>132</v>
      </c>
      <c r="V73" s="1" t="s">
        <v>132</v>
      </c>
      <c r="W73" s="1" t="s">
        <v>132</v>
      </c>
      <c r="X73" s="1" t="s">
        <v>1648</v>
      </c>
      <c r="Y73" s="1" t="s">
        <v>132</v>
      </c>
      <c r="Z73" s="1" t="s">
        <v>1649</v>
      </c>
      <c r="AA73" s="1" t="s">
        <v>132</v>
      </c>
      <c r="AB73" s="1" t="s">
        <v>132</v>
      </c>
      <c r="AC73" s="1" t="s">
        <v>132</v>
      </c>
      <c r="AD73" s="1" t="s">
        <v>132</v>
      </c>
      <c r="AE73" s="1" t="s">
        <v>132</v>
      </c>
      <c r="AF73" s="1" t="s">
        <v>1650</v>
      </c>
      <c r="AG73" s="1" t="s">
        <v>132</v>
      </c>
      <c r="AH73" s="1" t="s">
        <v>132</v>
      </c>
      <c r="AI73" s="1" t="s">
        <v>132</v>
      </c>
      <c r="AJ73" s="1" t="s">
        <v>132</v>
      </c>
      <c r="AK73" s="1" t="s">
        <v>132</v>
      </c>
      <c r="AL73" s="1" t="s">
        <v>132</v>
      </c>
      <c r="AM73" s="1" t="s">
        <v>132</v>
      </c>
      <c r="AN73" s="1" t="s">
        <v>132</v>
      </c>
    </row>
    <row r="74" ht="15.75" customHeight="1">
      <c r="A74" s="1" t="s">
        <v>127</v>
      </c>
      <c r="B74" s="1" t="s">
        <v>1651</v>
      </c>
      <c r="C74" s="1" t="s">
        <v>1652</v>
      </c>
      <c r="D74" s="8" t="s">
        <v>1653</v>
      </c>
      <c r="E74" s="1" t="s">
        <v>1654</v>
      </c>
      <c r="F74" s="1" t="s">
        <v>132</v>
      </c>
      <c r="G74" s="1" t="s">
        <v>1655</v>
      </c>
      <c r="H74" s="1" t="s">
        <v>1656</v>
      </c>
      <c r="I74" s="1" t="s">
        <v>1657</v>
      </c>
      <c r="J74" s="1" t="s">
        <v>1658</v>
      </c>
      <c r="K74" s="1" t="s">
        <v>1659</v>
      </c>
      <c r="L74" s="1" t="s">
        <v>1660</v>
      </c>
      <c r="M74" s="1" t="s">
        <v>1661</v>
      </c>
      <c r="N74" s="1" t="s">
        <v>132</v>
      </c>
      <c r="O74" s="1" t="s">
        <v>1662</v>
      </c>
      <c r="P74" s="1" t="s">
        <v>1663</v>
      </c>
      <c r="Q74" s="1" t="s">
        <v>132</v>
      </c>
      <c r="R74" s="1" t="s">
        <v>1664</v>
      </c>
      <c r="S74" s="1" t="s">
        <v>1665</v>
      </c>
      <c r="T74" s="8" t="s">
        <v>1666</v>
      </c>
      <c r="U74" s="1" t="s">
        <v>1667</v>
      </c>
      <c r="V74" s="1" t="s">
        <v>1668</v>
      </c>
      <c r="W74" s="1" t="s">
        <v>1669</v>
      </c>
      <c r="X74" s="1" t="s">
        <v>1652</v>
      </c>
      <c r="Y74" s="1" t="s">
        <v>1670</v>
      </c>
      <c r="Z74" s="1" t="s">
        <v>1671</v>
      </c>
      <c r="AA74" s="1" t="s">
        <v>1659</v>
      </c>
      <c r="AB74" s="1" t="s">
        <v>1672</v>
      </c>
      <c r="AC74" s="1" t="s">
        <v>1673</v>
      </c>
      <c r="AD74" s="1" t="s">
        <v>1674</v>
      </c>
      <c r="AE74" s="1" t="s">
        <v>1675</v>
      </c>
      <c r="AF74" s="1" t="s">
        <v>1676</v>
      </c>
      <c r="AG74" s="1" t="s">
        <v>1677</v>
      </c>
      <c r="AH74" s="1" t="s">
        <v>1678</v>
      </c>
      <c r="AI74" s="1" t="s">
        <v>1679</v>
      </c>
      <c r="AJ74" s="1" t="s">
        <v>132</v>
      </c>
      <c r="AK74" s="1" t="s">
        <v>1680</v>
      </c>
      <c r="AL74" s="1" t="s">
        <v>1681</v>
      </c>
      <c r="AM74" s="1" t="s">
        <v>1682</v>
      </c>
      <c r="AN74" s="1" t="s">
        <v>1682</v>
      </c>
    </row>
    <row r="75" ht="15.75" customHeight="1">
      <c r="A75" s="1" t="s">
        <v>38</v>
      </c>
      <c r="B75" s="1" t="s">
        <v>1683</v>
      </c>
      <c r="C75" s="1" t="s">
        <v>1684</v>
      </c>
      <c r="D75" s="1" t="s">
        <v>132</v>
      </c>
      <c r="E75" s="1" t="s">
        <v>132</v>
      </c>
      <c r="F75" s="1" t="s">
        <v>132</v>
      </c>
      <c r="G75" s="1" t="s">
        <v>132</v>
      </c>
      <c r="H75" s="1" t="s">
        <v>132</v>
      </c>
      <c r="I75" s="1" t="s">
        <v>132</v>
      </c>
      <c r="J75" s="1" t="s">
        <v>132</v>
      </c>
      <c r="K75" s="1" t="s">
        <v>132</v>
      </c>
      <c r="L75" s="1" t="s">
        <v>132</v>
      </c>
      <c r="M75" s="1" t="s">
        <v>132</v>
      </c>
      <c r="N75" s="1" t="s">
        <v>132</v>
      </c>
      <c r="O75" s="1" t="s">
        <v>132</v>
      </c>
      <c r="P75" s="1" t="s">
        <v>132</v>
      </c>
      <c r="Q75" s="1" t="s">
        <v>132</v>
      </c>
      <c r="R75" s="1" t="s">
        <v>132</v>
      </c>
      <c r="S75" s="1" t="s">
        <v>132</v>
      </c>
      <c r="T75" s="1" t="s">
        <v>132</v>
      </c>
      <c r="U75" s="1" t="s">
        <v>132</v>
      </c>
      <c r="V75" s="1" t="s">
        <v>132</v>
      </c>
      <c r="W75" s="1" t="s">
        <v>132</v>
      </c>
      <c r="X75" s="1" t="s">
        <v>132</v>
      </c>
      <c r="Y75" s="1" t="s">
        <v>132</v>
      </c>
      <c r="Z75" s="1" t="s">
        <v>132</v>
      </c>
      <c r="AA75" s="1" t="s">
        <v>132</v>
      </c>
      <c r="AB75" s="1" t="s">
        <v>132</v>
      </c>
      <c r="AC75" s="1" t="s">
        <v>132</v>
      </c>
      <c r="AD75" s="1" t="s">
        <v>132</v>
      </c>
      <c r="AE75" s="1" t="s">
        <v>132</v>
      </c>
      <c r="AF75" s="1" t="s">
        <v>132</v>
      </c>
      <c r="AG75" s="1" t="s">
        <v>132</v>
      </c>
      <c r="AH75" s="1" t="s">
        <v>132</v>
      </c>
      <c r="AI75" s="1" t="s">
        <v>132</v>
      </c>
      <c r="AJ75" s="1" t="s">
        <v>132</v>
      </c>
      <c r="AK75" s="1" t="s">
        <v>132</v>
      </c>
      <c r="AL75" s="1" t="s">
        <v>132</v>
      </c>
      <c r="AM75" s="1" t="s">
        <v>132</v>
      </c>
      <c r="AN75" s="1" t="s">
        <v>132</v>
      </c>
    </row>
    <row r="76" ht="15.75" customHeight="1">
      <c r="A76" s="1" t="s">
        <v>38</v>
      </c>
      <c r="B76" s="1" t="s">
        <v>1685</v>
      </c>
      <c r="C76" s="1" t="s">
        <v>1686</v>
      </c>
      <c r="D76" s="8" t="s">
        <v>1687</v>
      </c>
      <c r="E76" s="1" t="s">
        <v>1688</v>
      </c>
      <c r="F76" s="1" t="s">
        <v>1689</v>
      </c>
      <c r="G76" s="1" t="s">
        <v>132</v>
      </c>
      <c r="H76" s="1" t="s">
        <v>132</v>
      </c>
      <c r="I76" s="1" t="s">
        <v>1690</v>
      </c>
      <c r="J76" s="1" t="s">
        <v>132</v>
      </c>
      <c r="K76" s="1" t="s">
        <v>1691</v>
      </c>
      <c r="L76" s="1" t="s">
        <v>132</v>
      </c>
      <c r="M76" s="1" t="s">
        <v>1692</v>
      </c>
      <c r="N76" s="1" t="s">
        <v>1693</v>
      </c>
      <c r="O76" s="1" t="s">
        <v>132</v>
      </c>
      <c r="P76" s="1" t="s">
        <v>1694</v>
      </c>
      <c r="Q76" s="1" t="s">
        <v>132</v>
      </c>
      <c r="R76" s="1" t="s">
        <v>132</v>
      </c>
      <c r="S76" s="1" t="s">
        <v>1695</v>
      </c>
      <c r="T76" s="1" t="s">
        <v>132</v>
      </c>
      <c r="U76" s="1" t="s">
        <v>132</v>
      </c>
      <c r="V76" s="1" t="s">
        <v>132</v>
      </c>
      <c r="W76" s="1" t="s">
        <v>132</v>
      </c>
      <c r="X76" s="1" t="s">
        <v>1696</v>
      </c>
      <c r="Y76" s="1" t="s">
        <v>132</v>
      </c>
      <c r="Z76" s="1" t="s">
        <v>1697</v>
      </c>
      <c r="AA76" s="1" t="s">
        <v>132</v>
      </c>
      <c r="AB76" s="1" t="s">
        <v>132</v>
      </c>
      <c r="AC76" s="1" t="s">
        <v>132</v>
      </c>
      <c r="AD76" s="1" t="s">
        <v>132</v>
      </c>
      <c r="AE76" s="1" t="s">
        <v>132</v>
      </c>
      <c r="AF76" s="1" t="s">
        <v>132</v>
      </c>
      <c r="AG76" s="1" t="s">
        <v>132</v>
      </c>
      <c r="AH76" s="1" t="s">
        <v>132</v>
      </c>
      <c r="AI76" s="1" t="s">
        <v>132</v>
      </c>
      <c r="AJ76" s="1" t="s">
        <v>132</v>
      </c>
      <c r="AK76" s="1" t="s">
        <v>132</v>
      </c>
      <c r="AL76" s="1" t="s">
        <v>132</v>
      </c>
      <c r="AM76" s="1" t="s">
        <v>132</v>
      </c>
      <c r="AN76" s="1" t="s">
        <v>132</v>
      </c>
    </row>
    <row r="77" ht="15.75" customHeight="1">
      <c r="A77" s="1" t="s">
        <v>127</v>
      </c>
      <c r="B77" s="1" t="s">
        <v>1698</v>
      </c>
      <c r="C77" s="1" t="s">
        <v>1699</v>
      </c>
      <c r="D77" s="8" t="s">
        <v>1700</v>
      </c>
      <c r="E77" s="1" t="s">
        <v>1701</v>
      </c>
      <c r="F77" s="1" t="s">
        <v>132</v>
      </c>
      <c r="G77" s="1" t="s">
        <v>1699</v>
      </c>
      <c r="H77" s="1" t="s">
        <v>1699</v>
      </c>
      <c r="I77" s="1" t="s">
        <v>1699</v>
      </c>
      <c r="J77" s="1" t="s">
        <v>1702</v>
      </c>
      <c r="K77" s="1" t="s">
        <v>1703</v>
      </c>
      <c r="L77" s="1" t="s">
        <v>1704</v>
      </c>
      <c r="M77" s="1" t="s">
        <v>1705</v>
      </c>
      <c r="N77" s="1" t="s">
        <v>132</v>
      </c>
      <c r="O77" s="1" t="s">
        <v>1706</v>
      </c>
      <c r="P77" s="1" t="s">
        <v>1707</v>
      </c>
      <c r="Q77" s="1" t="s">
        <v>132</v>
      </c>
      <c r="R77" s="1" t="s">
        <v>1708</v>
      </c>
      <c r="S77" s="1" t="s">
        <v>1699</v>
      </c>
      <c r="T77" s="8" t="s">
        <v>1709</v>
      </c>
      <c r="U77" s="1" t="s">
        <v>1710</v>
      </c>
      <c r="V77" s="1" t="s">
        <v>1711</v>
      </c>
      <c r="W77" s="1" t="s">
        <v>1708</v>
      </c>
      <c r="X77" s="1" t="s">
        <v>1699</v>
      </c>
      <c r="Y77" s="1" t="s">
        <v>1712</v>
      </c>
      <c r="Z77" s="1" t="s">
        <v>1713</v>
      </c>
      <c r="AA77" s="1" t="s">
        <v>1703</v>
      </c>
      <c r="AB77" s="1" t="s">
        <v>1699</v>
      </c>
      <c r="AC77" s="1" t="s">
        <v>1701</v>
      </c>
      <c r="AD77" s="1" t="s">
        <v>1699</v>
      </c>
      <c r="AE77" s="1" t="s">
        <v>1714</v>
      </c>
      <c r="AF77" s="1" t="s">
        <v>1699</v>
      </c>
      <c r="AG77" s="1" t="s">
        <v>1712</v>
      </c>
      <c r="AH77" s="1" t="s">
        <v>1715</v>
      </c>
      <c r="AI77" s="1" t="s">
        <v>1716</v>
      </c>
      <c r="AJ77" s="1" t="s">
        <v>132</v>
      </c>
      <c r="AK77" s="1" t="s">
        <v>1717</v>
      </c>
      <c r="AL77" s="1" t="s">
        <v>1718</v>
      </c>
      <c r="AM77" s="1" t="s">
        <v>1719</v>
      </c>
      <c r="AN77" s="1" t="s">
        <v>1719</v>
      </c>
    </row>
    <row r="78" ht="15.75" customHeight="1">
      <c r="A78" s="1" t="s">
        <v>38</v>
      </c>
      <c r="B78" s="1" t="s">
        <v>1720</v>
      </c>
      <c r="C78" s="1" t="s">
        <v>1721</v>
      </c>
      <c r="D78" s="8" t="s">
        <v>1722</v>
      </c>
      <c r="E78" s="1" t="s">
        <v>1723</v>
      </c>
      <c r="F78" s="1" t="s">
        <v>1724</v>
      </c>
      <c r="G78" s="1" t="s">
        <v>132</v>
      </c>
      <c r="H78" s="1" t="s">
        <v>132</v>
      </c>
      <c r="I78" s="1" t="s">
        <v>1725</v>
      </c>
      <c r="J78" s="1" t="s">
        <v>132</v>
      </c>
      <c r="K78" s="1" t="s">
        <v>1726</v>
      </c>
      <c r="L78" s="1" t="s">
        <v>132</v>
      </c>
      <c r="M78" s="1" t="s">
        <v>1727</v>
      </c>
      <c r="N78" s="1" t="s">
        <v>1728</v>
      </c>
      <c r="O78" s="1" t="s">
        <v>132</v>
      </c>
      <c r="P78" s="1" t="s">
        <v>1729</v>
      </c>
      <c r="Q78" s="1" t="s">
        <v>1730</v>
      </c>
      <c r="R78" s="1" t="s">
        <v>132</v>
      </c>
      <c r="S78" s="1" t="s">
        <v>1731</v>
      </c>
      <c r="T78" s="1" t="s">
        <v>132</v>
      </c>
      <c r="U78" s="1" t="s">
        <v>1732</v>
      </c>
      <c r="V78" s="1" t="s">
        <v>1733</v>
      </c>
      <c r="W78" s="1" t="s">
        <v>132</v>
      </c>
      <c r="X78" s="1" t="s">
        <v>1734</v>
      </c>
      <c r="Y78" s="1" t="s">
        <v>132</v>
      </c>
      <c r="Z78" s="1" t="s">
        <v>1735</v>
      </c>
      <c r="AA78" s="1" t="s">
        <v>1736</v>
      </c>
      <c r="AB78" s="1" t="s">
        <v>132</v>
      </c>
      <c r="AC78" s="1" t="s">
        <v>1737</v>
      </c>
      <c r="AD78" s="1" t="s">
        <v>1738</v>
      </c>
      <c r="AE78" s="1" t="s">
        <v>132</v>
      </c>
      <c r="AF78" s="1" t="s">
        <v>1739</v>
      </c>
      <c r="AG78" s="1" t="s">
        <v>1740</v>
      </c>
      <c r="AH78" s="1" t="s">
        <v>132</v>
      </c>
      <c r="AI78" s="1" t="s">
        <v>132</v>
      </c>
      <c r="AJ78" s="1" t="s">
        <v>1741</v>
      </c>
      <c r="AK78" s="1" t="s">
        <v>1742</v>
      </c>
      <c r="AL78" s="1" t="s">
        <v>132</v>
      </c>
      <c r="AM78" s="1" t="s">
        <v>1743</v>
      </c>
      <c r="AN78" s="1" t="s">
        <v>1743</v>
      </c>
    </row>
    <row r="79" ht="15.75" customHeight="1">
      <c r="A79" s="1" t="s">
        <v>127</v>
      </c>
      <c r="B79" s="1" t="s">
        <v>1744</v>
      </c>
      <c r="C79" s="1" t="s">
        <v>1745</v>
      </c>
      <c r="D79" s="8" t="s">
        <v>1746</v>
      </c>
      <c r="E79" s="1" t="s">
        <v>1747</v>
      </c>
      <c r="F79" s="1" t="s">
        <v>132</v>
      </c>
      <c r="G79" s="1" t="s">
        <v>1748</v>
      </c>
      <c r="H79" s="1" t="s">
        <v>1749</v>
      </c>
      <c r="I79" s="1" t="s">
        <v>1748</v>
      </c>
      <c r="J79" s="1" t="s">
        <v>1750</v>
      </c>
      <c r="K79" s="1" t="s">
        <v>1751</v>
      </c>
      <c r="L79" s="1" t="s">
        <v>1752</v>
      </c>
      <c r="M79" s="1" t="s">
        <v>1753</v>
      </c>
      <c r="N79" s="1" t="s">
        <v>132</v>
      </c>
      <c r="O79" s="1" t="s">
        <v>1754</v>
      </c>
      <c r="P79" s="1" t="s">
        <v>1752</v>
      </c>
      <c r="Q79" s="1" t="s">
        <v>132</v>
      </c>
      <c r="R79" s="1" t="s">
        <v>1755</v>
      </c>
      <c r="S79" s="1" t="s">
        <v>1756</v>
      </c>
      <c r="T79" s="8" t="s">
        <v>1757</v>
      </c>
      <c r="U79" s="1" t="s">
        <v>1758</v>
      </c>
      <c r="V79" s="1" t="s">
        <v>1759</v>
      </c>
      <c r="W79" s="1" t="s">
        <v>1755</v>
      </c>
      <c r="X79" s="1" t="s">
        <v>1748</v>
      </c>
      <c r="Y79" s="1" t="s">
        <v>1749</v>
      </c>
      <c r="Z79" s="1" t="s">
        <v>1760</v>
      </c>
      <c r="AA79" s="1" t="s">
        <v>1752</v>
      </c>
      <c r="AB79" s="1" t="s">
        <v>1748</v>
      </c>
      <c r="AC79" s="1" t="s">
        <v>1761</v>
      </c>
      <c r="AD79" s="1" t="s">
        <v>1752</v>
      </c>
      <c r="AE79" s="1" t="s">
        <v>1762</v>
      </c>
      <c r="AF79" s="1" t="s">
        <v>1762</v>
      </c>
      <c r="AG79" s="1" t="s">
        <v>1749</v>
      </c>
      <c r="AH79" s="1" t="s">
        <v>1763</v>
      </c>
      <c r="AI79" s="1" t="s">
        <v>1764</v>
      </c>
      <c r="AJ79" s="1" t="s">
        <v>132</v>
      </c>
      <c r="AK79" s="1" t="s">
        <v>1765</v>
      </c>
      <c r="AL79" s="1" t="s">
        <v>1766</v>
      </c>
      <c r="AM79" s="1" t="s">
        <v>1767</v>
      </c>
      <c r="AN79" s="1" t="s">
        <v>1767</v>
      </c>
    </row>
    <row r="80" ht="15.75" customHeight="1">
      <c r="A80" s="1" t="s">
        <v>127</v>
      </c>
      <c r="B80" s="1" t="s">
        <v>1768</v>
      </c>
      <c r="C80" s="1" t="s">
        <v>1769</v>
      </c>
      <c r="D80" s="8" t="s">
        <v>1770</v>
      </c>
      <c r="E80" s="1" t="s">
        <v>1769</v>
      </c>
      <c r="F80" s="1" t="s">
        <v>132</v>
      </c>
      <c r="G80" s="1" t="s">
        <v>1769</v>
      </c>
      <c r="H80" s="1" t="s">
        <v>1771</v>
      </c>
      <c r="I80" s="1" t="s">
        <v>1772</v>
      </c>
      <c r="J80" s="1" t="s">
        <v>1769</v>
      </c>
      <c r="K80" s="1" t="s">
        <v>1773</v>
      </c>
      <c r="L80" s="1" t="s">
        <v>1769</v>
      </c>
      <c r="M80" s="1" t="s">
        <v>1769</v>
      </c>
      <c r="N80" s="1" t="s">
        <v>132</v>
      </c>
      <c r="O80" s="1" t="s">
        <v>1774</v>
      </c>
      <c r="P80" s="1" t="s">
        <v>1769</v>
      </c>
      <c r="Q80" s="1" t="s">
        <v>132</v>
      </c>
      <c r="R80" s="1" t="s">
        <v>1769</v>
      </c>
      <c r="S80" s="1" t="s">
        <v>1775</v>
      </c>
      <c r="T80" s="8" t="s">
        <v>1776</v>
      </c>
      <c r="U80" s="1" t="s">
        <v>1769</v>
      </c>
      <c r="V80" s="1" t="s">
        <v>1769</v>
      </c>
      <c r="W80" s="1" t="s">
        <v>1769</v>
      </c>
      <c r="X80" s="1" t="s">
        <v>1777</v>
      </c>
      <c r="Y80" s="1" t="s">
        <v>1778</v>
      </c>
      <c r="Z80" s="1" t="s">
        <v>1779</v>
      </c>
      <c r="AA80" s="1" t="s">
        <v>1780</v>
      </c>
      <c r="AB80" s="1" t="s">
        <v>1769</v>
      </c>
      <c r="AC80" s="1" t="s">
        <v>1781</v>
      </c>
      <c r="AD80" s="1" t="s">
        <v>1769</v>
      </c>
      <c r="AE80" s="1" t="s">
        <v>1769</v>
      </c>
      <c r="AF80" s="1" t="s">
        <v>1782</v>
      </c>
      <c r="AG80" s="1" t="s">
        <v>1769</v>
      </c>
      <c r="AH80" s="1" t="s">
        <v>1769</v>
      </c>
      <c r="AI80" s="1" t="s">
        <v>1783</v>
      </c>
      <c r="AJ80" s="1" t="s">
        <v>132</v>
      </c>
      <c r="AK80" s="1" t="s">
        <v>1784</v>
      </c>
      <c r="AL80" s="1" t="s">
        <v>1785</v>
      </c>
      <c r="AM80" s="1" t="s">
        <v>132</v>
      </c>
      <c r="AN80" s="1" t="s">
        <v>132</v>
      </c>
    </row>
    <row r="81" ht="15.75" customHeight="1">
      <c r="A81" s="1" t="s">
        <v>38</v>
      </c>
      <c r="B81" s="1" t="s">
        <v>1786</v>
      </c>
      <c r="C81" s="1" t="s">
        <v>1787</v>
      </c>
      <c r="D81" s="1" t="s">
        <v>132</v>
      </c>
      <c r="E81" s="1" t="s">
        <v>132</v>
      </c>
      <c r="F81" s="1" t="s">
        <v>132</v>
      </c>
      <c r="G81" s="1" t="s">
        <v>132</v>
      </c>
      <c r="H81" s="1" t="s">
        <v>132</v>
      </c>
      <c r="I81" s="1" t="s">
        <v>1788</v>
      </c>
      <c r="J81" s="1" t="s">
        <v>132</v>
      </c>
      <c r="K81" s="1" t="s">
        <v>1789</v>
      </c>
      <c r="L81" s="1" t="s">
        <v>132</v>
      </c>
      <c r="M81" s="1" t="s">
        <v>1790</v>
      </c>
      <c r="N81" s="1" t="s">
        <v>132</v>
      </c>
      <c r="O81" s="1" t="s">
        <v>132</v>
      </c>
      <c r="P81" s="1" t="s">
        <v>1791</v>
      </c>
      <c r="Q81" s="1" t="s">
        <v>132</v>
      </c>
      <c r="R81" s="1" t="s">
        <v>132</v>
      </c>
      <c r="S81" s="1" t="s">
        <v>132</v>
      </c>
      <c r="T81" s="1" t="s">
        <v>132</v>
      </c>
      <c r="U81" s="1" t="s">
        <v>132</v>
      </c>
      <c r="V81" s="1" t="s">
        <v>132</v>
      </c>
      <c r="W81" s="1" t="s">
        <v>132</v>
      </c>
      <c r="X81" s="1" t="s">
        <v>132</v>
      </c>
      <c r="Y81" s="1" t="s">
        <v>132</v>
      </c>
      <c r="Z81" s="1" t="s">
        <v>132</v>
      </c>
      <c r="AA81" s="1" t="s">
        <v>132</v>
      </c>
      <c r="AB81" s="1" t="s">
        <v>132</v>
      </c>
      <c r="AC81" s="1" t="s">
        <v>1792</v>
      </c>
      <c r="AD81" s="1" t="s">
        <v>132</v>
      </c>
      <c r="AE81" s="1" t="s">
        <v>132</v>
      </c>
      <c r="AF81" s="1" t="s">
        <v>1793</v>
      </c>
      <c r="AG81" s="1" t="s">
        <v>132</v>
      </c>
      <c r="AH81" s="1" t="s">
        <v>132</v>
      </c>
      <c r="AI81" s="1" t="s">
        <v>132</v>
      </c>
      <c r="AJ81" s="1" t="s">
        <v>132</v>
      </c>
      <c r="AK81" s="1" t="s">
        <v>132</v>
      </c>
      <c r="AL81" s="1" t="s">
        <v>132</v>
      </c>
      <c r="AM81" s="1" t="s">
        <v>132</v>
      </c>
      <c r="AN81" s="1" t="s">
        <v>132</v>
      </c>
    </row>
    <row r="82" ht="15.75" customHeight="1">
      <c r="A82" s="1" t="s">
        <v>127</v>
      </c>
      <c r="B82" s="1" t="s">
        <v>1794</v>
      </c>
      <c r="C82" s="1" t="s">
        <v>1795</v>
      </c>
      <c r="D82" s="8" t="s">
        <v>1796</v>
      </c>
      <c r="E82" s="1" t="s">
        <v>1797</v>
      </c>
      <c r="F82" s="1" t="s">
        <v>132</v>
      </c>
      <c r="G82" s="1" t="s">
        <v>1798</v>
      </c>
      <c r="H82" s="1" t="s">
        <v>1799</v>
      </c>
      <c r="I82" s="1" t="s">
        <v>1800</v>
      </c>
      <c r="J82" s="1" t="s">
        <v>1801</v>
      </c>
      <c r="K82" s="1" t="s">
        <v>1802</v>
      </c>
      <c r="L82" s="1" t="s">
        <v>1803</v>
      </c>
      <c r="M82" s="1" t="s">
        <v>1804</v>
      </c>
      <c r="N82" s="1" t="s">
        <v>132</v>
      </c>
      <c r="O82" s="1" t="s">
        <v>1805</v>
      </c>
      <c r="P82" s="1" t="s">
        <v>1806</v>
      </c>
      <c r="Q82" s="1" t="s">
        <v>132</v>
      </c>
      <c r="R82" s="1" t="s">
        <v>1807</v>
      </c>
      <c r="S82" s="1" t="s">
        <v>1808</v>
      </c>
      <c r="T82" s="8" t="s">
        <v>1809</v>
      </c>
      <c r="U82" s="1" t="s">
        <v>1810</v>
      </c>
      <c r="V82" s="1" t="s">
        <v>1811</v>
      </c>
      <c r="W82" s="1" t="s">
        <v>1807</v>
      </c>
      <c r="X82" s="1" t="s">
        <v>1812</v>
      </c>
      <c r="Y82" s="1" t="s">
        <v>1813</v>
      </c>
      <c r="Z82" s="1" t="s">
        <v>1814</v>
      </c>
      <c r="AA82" s="1" t="s">
        <v>1815</v>
      </c>
      <c r="AB82" s="1" t="s">
        <v>1816</v>
      </c>
      <c r="AC82" s="1" t="s">
        <v>1817</v>
      </c>
      <c r="AD82" s="1" t="s">
        <v>1798</v>
      </c>
      <c r="AE82" s="1" t="s">
        <v>1818</v>
      </c>
      <c r="AF82" s="1" t="s">
        <v>1819</v>
      </c>
      <c r="AG82" s="1" t="s">
        <v>1813</v>
      </c>
      <c r="AH82" s="1" t="s">
        <v>1820</v>
      </c>
      <c r="AI82" s="1" t="s">
        <v>1821</v>
      </c>
      <c r="AJ82" s="1" t="s">
        <v>132</v>
      </c>
      <c r="AK82" s="1" t="s">
        <v>1822</v>
      </c>
      <c r="AL82" s="1" t="s">
        <v>1823</v>
      </c>
      <c r="AM82" s="1" t="s">
        <v>132</v>
      </c>
      <c r="AN82" s="1" t="s">
        <v>132</v>
      </c>
    </row>
    <row r="83" ht="15.75" customHeight="1">
      <c r="A83" s="1" t="s">
        <v>38</v>
      </c>
      <c r="B83" s="1" t="s">
        <v>1824</v>
      </c>
      <c r="C83" s="1" t="s">
        <v>1825</v>
      </c>
      <c r="D83" s="8" t="s">
        <v>1826</v>
      </c>
      <c r="E83" s="1" t="s">
        <v>1827</v>
      </c>
      <c r="F83" s="1" t="s">
        <v>1828</v>
      </c>
      <c r="G83" s="1" t="s">
        <v>132</v>
      </c>
      <c r="H83" s="1" t="s">
        <v>132</v>
      </c>
      <c r="I83" s="1" t="s">
        <v>1829</v>
      </c>
      <c r="J83" s="1" t="s">
        <v>132</v>
      </c>
      <c r="K83" s="1" t="s">
        <v>1825</v>
      </c>
      <c r="L83" s="1" t="s">
        <v>132</v>
      </c>
      <c r="M83" s="1" t="s">
        <v>1830</v>
      </c>
      <c r="N83" s="1" t="s">
        <v>1831</v>
      </c>
      <c r="O83" s="1" t="s">
        <v>132</v>
      </c>
      <c r="P83" s="1" t="s">
        <v>1832</v>
      </c>
      <c r="Q83" s="1" t="s">
        <v>132</v>
      </c>
      <c r="R83" s="1" t="s">
        <v>132</v>
      </c>
      <c r="S83" s="1" t="s">
        <v>1833</v>
      </c>
      <c r="T83" s="1" t="s">
        <v>132</v>
      </c>
      <c r="U83" s="1" t="s">
        <v>1834</v>
      </c>
      <c r="V83" s="1" t="s">
        <v>1835</v>
      </c>
      <c r="W83" s="1" t="s">
        <v>132</v>
      </c>
      <c r="X83" s="1" t="s">
        <v>1836</v>
      </c>
      <c r="Y83" s="1" t="s">
        <v>132</v>
      </c>
      <c r="Z83" s="1" t="s">
        <v>1837</v>
      </c>
      <c r="AA83" s="1" t="s">
        <v>132</v>
      </c>
      <c r="AB83" s="1" t="s">
        <v>132</v>
      </c>
      <c r="AC83" s="1" t="s">
        <v>1838</v>
      </c>
      <c r="AD83" s="1" t="s">
        <v>132</v>
      </c>
      <c r="AE83" s="1" t="s">
        <v>132</v>
      </c>
      <c r="AF83" s="1" t="s">
        <v>1839</v>
      </c>
      <c r="AG83" s="1" t="s">
        <v>1840</v>
      </c>
      <c r="AH83" s="1" t="s">
        <v>132</v>
      </c>
      <c r="AI83" s="1" t="s">
        <v>132</v>
      </c>
      <c r="AJ83" s="1" t="s">
        <v>1841</v>
      </c>
      <c r="AK83" s="1" t="s">
        <v>1842</v>
      </c>
      <c r="AL83" s="1" t="s">
        <v>132</v>
      </c>
      <c r="AM83" s="1" t="s">
        <v>1843</v>
      </c>
      <c r="AN83" s="1" t="s">
        <v>1843</v>
      </c>
    </row>
    <row r="84" ht="15.75" customHeight="1">
      <c r="A84" s="1" t="s">
        <v>38</v>
      </c>
      <c r="B84" s="1" t="s">
        <v>1844</v>
      </c>
      <c r="C84" s="1" t="s">
        <v>1845</v>
      </c>
      <c r="D84" s="8" t="s">
        <v>1846</v>
      </c>
      <c r="E84" s="1" t="s">
        <v>1847</v>
      </c>
      <c r="F84" s="1" t="s">
        <v>1848</v>
      </c>
      <c r="G84" s="1" t="s">
        <v>132</v>
      </c>
      <c r="H84" s="1" t="s">
        <v>132</v>
      </c>
      <c r="I84" s="1" t="s">
        <v>1849</v>
      </c>
      <c r="J84" s="1" t="s">
        <v>132</v>
      </c>
      <c r="K84" s="1" t="s">
        <v>1850</v>
      </c>
      <c r="L84" s="1" t="s">
        <v>132</v>
      </c>
      <c r="M84" s="1" t="s">
        <v>1851</v>
      </c>
      <c r="N84" s="1" t="s">
        <v>1852</v>
      </c>
      <c r="O84" s="1" t="s">
        <v>132</v>
      </c>
      <c r="P84" s="1" t="s">
        <v>1853</v>
      </c>
      <c r="Q84" s="1" t="s">
        <v>1854</v>
      </c>
      <c r="R84" s="1" t="s">
        <v>132</v>
      </c>
      <c r="S84" s="1" t="s">
        <v>1855</v>
      </c>
      <c r="T84" s="1" t="s">
        <v>132</v>
      </c>
      <c r="U84" s="1" t="s">
        <v>1856</v>
      </c>
      <c r="V84" s="1" t="s">
        <v>1857</v>
      </c>
      <c r="W84" s="1" t="s">
        <v>132</v>
      </c>
      <c r="X84" s="1" t="s">
        <v>1858</v>
      </c>
      <c r="Y84" s="1" t="s">
        <v>132</v>
      </c>
      <c r="Z84" s="1" t="s">
        <v>1859</v>
      </c>
      <c r="AA84" s="1" t="s">
        <v>1860</v>
      </c>
      <c r="AB84" s="1" t="s">
        <v>132</v>
      </c>
      <c r="AC84" s="1" t="s">
        <v>1861</v>
      </c>
      <c r="AD84" s="1" t="s">
        <v>1862</v>
      </c>
      <c r="AE84" s="1" t="s">
        <v>132</v>
      </c>
      <c r="AF84" s="1" t="s">
        <v>1863</v>
      </c>
      <c r="AG84" s="1" t="s">
        <v>1864</v>
      </c>
      <c r="AH84" s="1" t="s">
        <v>132</v>
      </c>
      <c r="AI84" s="1" t="s">
        <v>132</v>
      </c>
      <c r="AJ84" s="1" t="s">
        <v>1865</v>
      </c>
      <c r="AK84" s="1" t="s">
        <v>1866</v>
      </c>
      <c r="AL84" s="1" t="s">
        <v>132</v>
      </c>
      <c r="AM84" s="1" t="s">
        <v>1867</v>
      </c>
      <c r="AN84" s="1" t="s">
        <v>1867</v>
      </c>
    </row>
    <row r="85" ht="15.75" customHeight="1">
      <c r="A85" s="1" t="s">
        <v>127</v>
      </c>
      <c r="B85" s="1" t="s">
        <v>1868</v>
      </c>
      <c r="C85" s="1" t="s">
        <v>1869</v>
      </c>
      <c r="D85" s="8" t="s">
        <v>1870</v>
      </c>
      <c r="E85" s="1" t="s">
        <v>1871</v>
      </c>
      <c r="F85" s="1" t="s">
        <v>132</v>
      </c>
      <c r="G85" s="1" t="s">
        <v>1872</v>
      </c>
      <c r="H85" s="1" t="s">
        <v>1873</v>
      </c>
      <c r="I85" s="1" t="s">
        <v>1874</v>
      </c>
      <c r="J85" s="1" t="s">
        <v>1875</v>
      </c>
      <c r="K85" s="1" t="s">
        <v>1876</v>
      </c>
      <c r="L85" s="1" t="s">
        <v>1877</v>
      </c>
      <c r="M85" s="1" t="s">
        <v>1878</v>
      </c>
      <c r="N85" s="1" t="s">
        <v>132</v>
      </c>
      <c r="O85" s="1" t="s">
        <v>1879</v>
      </c>
      <c r="P85" s="1" t="s">
        <v>1880</v>
      </c>
      <c r="Q85" s="1" t="s">
        <v>132</v>
      </c>
      <c r="R85" s="1" t="s">
        <v>1881</v>
      </c>
      <c r="S85" s="1" t="s">
        <v>1882</v>
      </c>
      <c r="T85" s="8" t="s">
        <v>1883</v>
      </c>
      <c r="U85" s="1" t="s">
        <v>1884</v>
      </c>
      <c r="V85" s="1" t="s">
        <v>1885</v>
      </c>
      <c r="W85" s="1" t="s">
        <v>1881</v>
      </c>
      <c r="X85" s="1" t="s">
        <v>1886</v>
      </c>
      <c r="Y85" s="1" t="s">
        <v>1887</v>
      </c>
      <c r="Z85" s="1" t="s">
        <v>1888</v>
      </c>
      <c r="AA85" s="1" t="s">
        <v>1889</v>
      </c>
      <c r="AB85" s="1" t="s">
        <v>1890</v>
      </c>
      <c r="AC85" s="1" t="s">
        <v>1891</v>
      </c>
      <c r="AD85" s="1" t="s">
        <v>1872</v>
      </c>
      <c r="AE85" s="1" t="s">
        <v>1892</v>
      </c>
      <c r="AF85" s="1" t="s">
        <v>1893</v>
      </c>
      <c r="AG85" s="1" t="s">
        <v>1894</v>
      </c>
      <c r="AH85" s="1" t="s">
        <v>1895</v>
      </c>
      <c r="AI85" s="1" t="s">
        <v>1896</v>
      </c>
      <c r="AJ85" s="1" t="s">
        <v>132</v>
      </c>
      <c r="AK85" s="1" t="s">
        <v>1897</v>
      </c>
      <c r="AL85" s="1" t="s">
        <v>1898</v>
      </c>
      <c r="AM85" s="1" t="s">
        <v>1899</v>
      </c>
      <c r="AN85" s="1" t="s">
        <v>1899</v>
      </c>
    </row>
    <row r="86" ht="15.75" customHeight="1">
      <c r="A86" s="1" t="s">
        <v>38</v>
      </c>
      <c r="B86" s="1" t="s">
        <v>1900</v>
      </c>
      <c r="C86" s="1" t="s">
        <v>1901</v>
      </c>
      <c r="D86" s="8" t="s">
        <v>1902</v>
      </c>
      <c r="E86" s="1" t="s">
        <v>1903</v>
      </c>
      <c r="F86" s="1" t="s">
        <v>1904</v>
      </c>
      <c r="G86" s="1" t="s">
        <v>132</v>
      </c>
      <c r="H86" s="1" t="s">
        <v>132</v>
      </c>
      <c r="I86" s="1" t="s">
        <v>1905</v>
      </c>
      <c r="J86" s="1" t="s">
        <v>132</v>
      </c>
      <c r="K86" s="1" t="s">
        <v>1906</v>
      </c>
      <c r="L86" s="1" t="s">
        <v>132</v>
      </c>
      <c r="M86" s="1" t="s">
        <v>1907</v>
      </c>
      <c r="N86" s="1" t="s">
        <v>1908</v>
      </c>
      <c r="O86" s="1" t="s">
        <v>132</v>
      </c>
      <c r="P86" s="1" t="s">
        <v>1909</v>
      </c>
      <c r="Q86" s="1" t="s">
        <v>132</v>
      </c>
      <c r="R86" s="1" t="s">
        <v>132</v>
      </c>
      <c r="S86" s="1" t="s">
        <v>1910</v>
      </c>
      <c r="T86" s="1" t="s">
        <v>132</v>
      </c>
      <c r="U86" s="1" t="s">
        <v>1911</v>
      </c>
      <c r="V86" s="1" t="s">
        <v>132</v>
      </c>
      <c r="W86" s="1" t="s">
        <v>132</v>
      </c>
      <c r="X86" s="1" t="s">
        <v>1912</v>
      </c>
      <c r="Y86" s="1" t="s">
        <v>132</v>
      </c>
      <c r="Z86" s="1" t="s">
        <v>1913</v>
      </c>
      <c r="AA86" s="1" t="s">
        <v>132</v>
      </c>
      <c r="AB86" s="1" t="s">
        <v>132</v>
      </c>
      <c r="AC86" s="1" t="s">
        <v>132</v>
      </c>
      <c r="AD86" s="1" t="s">
        <v>132</v>
      </c>
      <c r="AE86" s="1" t="s">
        <v>132</v>
      </c>
      <c r="AF86" s="1" t="s">
        <v>132</v>
      </c>
      <c r="AG86" s="1" t="s">
        <v>132</v>
      </c>
      <c r="AH86" s="1" t="s">
        <v>132</v>
      </c>
      <c r="AI86" s="1" t="s">
        <v>132</v>
      </c>
      <c r="AJ86" s="1" t="s">
        <v>132</v>
      </c>
      <c r="AK86" s="1" t="s">
        <v>132</v>
      </c>
      <c r="AL86" s="1" t="s">
        <v>132</v>
      </c>
      <c r="AM86" s="1" t="s">
        <v>132</v>
      </c>
      <c r="AN86" s="1" t="s">
        <v>132</v>
      </c>
    </row>
    <row r="87" ht="15.75" customHeight="1">
      <c r="A87" s="1" t="s">
        <v>38</v>
      </c>
      <c r="B87" s="1" t="s">
        <v>1914</v>
      </c>
      <c r="C87" s="1" t="s">
        <v>1914</v>
      </c>
      <c r="D87" s="1" t="s">
        <v>132</v>
      </c>
      <c r="E87" s="1" t="s">
        <v>1915</v>
      </c>
      <c r="F87" s="1" t="s">
        <v>132</v>
      </c>
      <c r="G87" s="1" t="s">
        <v>132</v>
      </c>
      <c r="H87" s="1" t="s">
        <v>132</v>
      </c>
      <c r="I87" s="1" t="s">
        <v>1916</v>
      </c>
      <c r="J87" s="1" t="s">
        <v>132</v>
      </c>
      <c r="K87" s="1" t="s">
        <v>1917</v>
      </c>
      <c r="L87" s="1" t="s">
        <v>132</v>
      </c>
      <c r="M87" s="1" t="s">
        <v>1918</v>
      </c>
      <c r="N87" s="1" t="s">
        <v>1919</v>
      </c>
      <c r="O87" s="1" t="s">
        <v>132</v>
      </c>
      <c r="P87" s="1" t="s">
        <v>1920</v>
      </c>
      <c r="Q87" s="1" t="s">
        <v>132</v>
      </c>
      <c r="R87" s="1" t="s">
        <v>132</v>
      </c>
      <c r="S87" s="1" t="s">
        <v>1921</v>
      </c>
      <c r="T87" s="1" t="s">
        <v>132</v>
      </c>
      <c r="U87" s="1" t="s">
        <v>132</v>
      </c>
      <c r="V87" s="1" t="s">
        <v>132</v>
      </c>
      <c r="W87" s="1" t="s">
        <v>132</v>
      </c>
      <c r="X87" s="1" t="s">
        <v>1922</v>
      </c>
      <c r="Y87" s="1" t="s">
        <v>132</v>
      </c>
      <c r="Z87" s="1" t="s">
        <v>1923</v>
      </c>
      <c r="AA87" s="1" t="s">
        <v>132</v>
      </c>
      <c r="AB87" s="1" t="s">
        <v>132</v>
      </c>
      <c r="AC87" s="1" t="s">
        <v>132</v>
      </c>
      <c r="AD87" s="1" t="s">
        <v>132</v>
      </c>
      <c r="AE87" s="1" t="s">
        <v>132</v>
      </c>
      <c r="AF87" s="1" t="s">
        <v>132</v>
      </c>
      <c r="AG87" s="1" t="s">
        <v>132</v>
      </c>
      <c r="AH87" s="1" t="s">
        <v>132</v>
      </c>
      <c r="AI87" s="1" t="s">
        <v>132</v>
      </c>
      <c r="AJ87" s="1" t="s">
        <v>132</v>
      </c>
      <c r="AK87" s="1" t="s">
        <v>132</v>
      </c>
      <c r="AL87" s="1" t="s">
        <v>132</v>
      </c>
      <c r="AM87" s="1" t="s">
        <v>132</v>
      </c>
      <c r="AN87" s="1" t="s">
        <v>132</v>
      </c>
    </row>
    <row r="88" ht="15.75" customHeight="1">
      <c r="A88" s="1" t="s">
        <v>38</v>
      </c>
      <c r="B88" s="1" t="s">
        <v>1924</v>
      </c>
      <c r="C88" s="1" t="s">
        <v>1925</v>
      </c>
      <c r="D88" s="8" t="s">
        <v>1926</v>
      </c>
      <c r="E88" s="1" t="s">
        <v>1927</v>
      </c>
      <c r="F88" s="1" t="s">
        <v>1928</v>
      </c>
      <c r="G88" s="1" t="s">
        <v>132</v>
      </c>
      <c r="H88" s="1" t="s">
        <v>132</v>
      </c>
      <c r="I88" s="1" t="s">
        <v>1929</v>
      </c>
      <c r="J88" s="1" t="s">
        <v>132</v>
      </c>
      <c r="K88" s="1" t="s">
        <v>1930</v>
      </c>
      <c r="L88" s="1" t="s">
        <v>132</v>
      </c>
      <c r="M88" s="1" t="s">
        <v>1931</v>
      </c>
      <c r="N88" s="1" t="s">
        <v>1932</v>
      </c>
      <c r="O88" s="1" t="s">
        <v>132</v>
      </c>
      <c r="P88" s="1" t="s">
        <v>1933</v>
      </c>
      <c r="Q88" s="1" t="s">
        <v>1934</v>
      </c>
      <c r="R88" s="1" t="s">
        <v>132</v>
      </c>
      <c r="S88" s="1" t="s">
        <v>1935</v>
      </c>
      <c r="T88" s="1" t="s">
        <v>132</v>
      </c>
      <c r="U88" s="1" t="s">
        <v>1936</v>
      </c>
      <c r="V88" s="1" t="s">
        <v>1937</v>
      </c>
      <c r="W88" s="1" t="s">
        <v>132</v>
      </c>
      <c r="X88" s="1" t="s">
        <v>1938</v>
      </c>
      <c r="Y88" s="1" t="s">
        <v>132</v>
      </c>
      <c r="Z88" s="1" t="s">
        <v>1939</v>
      </c>
      <c r="AA88" s="1" t="s">
        <v>1940</v>
      </c>
      <c r="AB88" s="1" t="s">
        <v>132</v>
      </c>
      <c r="AC88" s="1" t="s">
        <v>1941</v>
      </c>
      <c r="AD88" s="1" t="s">
        <v>1942</v>
      </c>
      <c r="AE88" s="1" t="s">
        <v>132</v>
      </c>
      <c r="AF88" s="1" t="s">
        <v>1943</v>
      </c>
      <c r="AG88" s="1" t="s">
        <v>1944</v>
      </c>
      <c r="AH88" s="1" t="s">
        <v>132</v>
      </c>
      <c r="AI88" s="1" t="s">
        <v>132</v>
      </c>
      <c r="AJ88" s="1" t="s">
        <v>1945</v>
      </c>
      <c r="AK88" s="1" t="s">
        <v>1946</v>
      </c>
      <c r="AL88" s="1" t="s">
        <v>132</v>
      </c>
      <c r="AM88" s="1" t="s">
        <v>1947</v>
      </c>
      <c r="AN88" s="1" t="s">
        <v>1947</v>
      </c>
    </row>
    <row r="89" ht="15.75" customHeight="1">
      <c r="A89" s="1" t="s">
        <v>127</v>
      </c>
      <c r="B89" s="1" t="s">
        <v>1948</v>
      </c>
      <c r="C89" s="1" t="s">
        <v>1949</v>
      </c>
      <c r="D89" s="8" t="s">
        <v>1950</v>
      </c>
      <c r="E89" s="1" t="s">
        <v>1951</v>
      </c>
      <c r="F89" s="1" t="s">
        <v>132</v>
      </c>
      <c r="G89" s="1" t="s">
        <v>1952</v>
      </c>
      <c r="H89" s="1" t="s">
        <v>1953</v>
      </c>
      <c r="I89" s="1" t="s">
        <v>1954</v>
      </c>
      <c r="J89" s="1" t="s">
        <v>1955</v>
      </c>
      <c r="K89" s="1" t="s">
        <v>1956</v>
      </c>
      <c r="L89" s="1" t="s">
        <v>1957</v>
      </c>
      <c r="M89" s="1" t="s">
        <v>1958</v>
      </c>
      <c r="N89" s="1" t="s">
        <v>132</v>
      </c>
      <c r="O89" s="1" t="s">
        <v>1959</v>
      </c>
      <c r="P89" s="1" t="s">
        <v>1960</v>
      </c>
      <c r="Q89" s="1" t="s">
        <v>132</v>
      </c>
      <c r="R89" s="1" t="s">
        <v>1961</v>
      </c>
      <c r="S89" s="1" t="s">
        <v>1962</v>
      </c>
      <c r="T89" s="8" t="s">
        <v>1963</v>
      </c>
      <c r="U89" s="1" t="s">
        <v>1964</v>
      </c>
      <c r="V89" s="1" t="s">
        <v>1965</v>
      </c>
      <c r="W89" s="1" t="s">
        <v>1961</v>
      </c>
      <c r="X89" s="1" t="s">
        <v>1966</v>
      </c>
      <c r="Y89" s="1" t="s">
        <v>1953</v>
      </c>
      <c r="Z89" s="1" t="s">
        <v>1967</v>
      </c>
      <c r="AA89" s="1" t="s">
        <v>1968</v>
      </c>
      <c r="AB89" s="1" t="s">
        <v>1969</v>
      </c>
      <c r="AC89" s="1" t="s">
        <v>1970</v>
      </c>
      <c r="AD89" s="1" t="s">
        <v>1971</v>
      </c>
      <c r="AE89" s="1" t="s">
        <v>1972</v>
      </c>
      <c r="AF89" s="1" t="s">
        <v>1973</v>
      </c>
      <c r="AG89" s="1" t="s">
        <v>1974</v>
      </c>
      <c r="AH89" s="1" t="s">
        <v>1975</v>
      </c>
      <c r="AI89" s="1" t="s">
        <v>1976</v>
      </c>
      <c r="AJ89" s="1" t="s">
        <v>132</v>
      </c>
      <c r="AK89" s="1" t="s">
        <v>1977</v>
      </c>
      <c r="AL89" s="1" t="s">
        <v>1978</v>
      </c>
      <c r="AM89" s="1" t="s">
        <v>1979</v>
      </c>
      <c r="AN89" s="1" t="s">
        <v>1979</v>
      </c>
    </row>
    <row r="90" ht="15.75" customHeight="1">
      <c r="A90" s="1" t="s">
        <v>127</v>
      </c>
      <c r="B90" s="1" t="s">
        <v>1980</v>
      </c>
      <c r="C90" s="1" t="s">
        <v>1981</v>
      </c>
      <c r="D90" s="8" t="s">
        <v>1982</v>
      </c>
      <c r="E90" s="1" t="s">
        <v>1983</v>
      </c>
      <c r="F90" s="1" t="s">
        <v>132</v>
      </c>
      <c r="G90" s="1" t="s">
        <v>1984</v>
      </c>
      <c r="H90" s="1" t="s">
        <v>1985</v>
      </c>
      <c r="I90" s="1" t="s">
        <v>1986</v>
      </c>
      <c r="J90" s="1" t="s">
        <v>1987</v>
      </c>
      <c r="K90" s="1" t="s">
        <v>1988</v>
      </c>
      <c r="L90" s="1" t="s">
        <v>1989</v>
      </c>
      <c r="M90" s="1" t="s">
        <v>1990</v>
      </c>
      <c r="N90" s="1" t="s">
        <v>132</v>
      </c>
      <c r="O90" s="1" t="s">
        <v>1991</v>
      </c>
      <c r="P90" s="1" t="s">
        <v>1992</v>
      </c>
      <c r="Q90" s="1" t="s">
        <v>132</v>
      </c>
      <c r="R90" s="1" t="s">
        <v>1993</v>
      </c>
      <c r="S90" s="1" t="s">
        <v>1994</v>
      </c>
      <c r="T90" s="8" t="s">
        <v>1995</v>
      </c>
      <c r="U90" s="1" t="s">
        <v>1996</v>
      </c>
      <c r="V90" s="1" t="s">
        <v>1997</v>
      </c>
      <c r="W90" s="1" t="s">
        <v>1993</v>
      </c>
      <c r="X90" s="1" t="s">
        <v>1998</v>
      </c>
      <c r="Y90" s="1" t="s">
        <v>1985</v>
      </c>
      <c r="Z90" s="1" t="s">
        <v>1999</v>
      </c>
      <c r="AA90" s="1" t="s">
        <v>2000</v>
      </c>
      <c r="AB90" s="1" t="s">
        <v>2001</v>
      </c>
      <c r="AC90" s="1" t="s">
        <v>2002</v>
      </c>
      <c r="AD90" s="1" t="s">
        <v>2003</v>
      </c>
      <c r="AE90" s="1" t="s">
        <v>1999</v>
      </c>
      <c r="AF90" s="1" t="s">
        <v>1999</v>
      </c>
      <c r="AG90" s="1" t="s">
        <v>1981</v>
      </c>
      <c r="AH90" s="1" t="s">
        <v>2004</v>
      </c>
      <c r="AI90" s="1" t="s">
        <v>2005</v>
      </c>
      <c r="AJ90" s="1" t="s">
        <v>132</v>
      </c>
      <c r="AK90" s="1" t="s">
        <v>2006</v>
      </c>
      <c r="AL90" s="1" t="s">
        <v>2007</v>
      </c>
      <c r="AM90" s="1" t="s">
        <v>2008</v>
      </c>
      <c r="AN90" s="1" t="s">
        <v>2008</v>
      </c>
    </row>
    <row r="91" ht="15.75" customHeight="1">
      <c r="A91" s="1" t="s">
        <v>38</v>
      </c>
      <c r="B91" s="1" t="s">
        <v>2009</v>
      </c>
      <c r="C91" s="1" t="s">
        <v>2010</v>
      </c>
      <c r="D91" s="1" t="s">
        <v>132</v>
      </c>
      <c r="E91" s="1" t="s">
        <v>2011</v>
      </c>
      <c r="F91" s="1" t="s">
        <v>2012</v>
      </c>
      <c r="G91" s="1" t="s">
        <v>132</v>
      </c>
      <c r="H91" s="1" t="s">
        <v>132</v>
      </c>
      <c r="I91" s="1" t="s">
        <v>2013</v>
      </c>
      <c r="J91" s="1" t="s">
        <v>132</v>
      </c>
      <c r="K91" s="1" t="s">
        <v>2014</v>
      </c>
      <c r="L91" s="1" t="s">
        <v>132</v>
      </c>
      <c r="M91" s="1" t="s">
        <v>132</v>
      </c>
      <c r="N91" s="1" t="s">
        <v>2016</v>
      </c>
      <c r="O91" s="1" t="s">
        <v>132</v>
      </c>
      <c r="P91" s="1" t="s">
        <v>2017</v>
      </c>
      <c r="Q91" s="1" t="s">
        <v>132</v>
      </c>
      <c r="R91" s="1" t="s">
        <v>132</v>
      </c>
      <c r="S91" s="1" t="s">
        <v>2018</v>
      </c>
      <c r="T91" s="1" t="s">
        <v>132</v>
      </c>
      <c r="U91" s="1" t="s">
        <v>132</v>
      </c>
      <c r="V91" s="1" t="s">
        <v>132</v>
      </c>
      <c r="W91" s="1" t="s">
        <v>132</v>
      </c>
      <c r="X91" s="1" t="s">
        <v>2019</v>
      </c>
      <c r="Y91" s="1" t="s">
        <v>132</v>
      </c>
      <c r="Z91" s="1" t="s">
        <v>2020</v>
      </c>
      <c r="AA91" s="1" t="s">
        <v>132</v>
      </c>
      <c r="AB91" s="1" t="s">
        <v>132</v>
      </c>
      <c r="AC91" s="1" t="s">
        <v>132</v>
      </c>
      <c r="AD91" s="1" t="s">
        <v>132</v>
      </c>
      <c r="AE91" s="1" t="s">
        <v>132</v>
      </c>
      <c r="AF91" s="1" t="s">
        <v>132</v>
      </c>
      <c r="AG91" s="1" t="s">
        <v>132</v>
      </c>
      <c r="AH91" s="1" t="s">
        <v>132</v>
      </c>
      <c r="AI91" s="1" t="s">
        <v>132</v>
      </c>
      <c r="AJ91" s="1" t="s">
        <v>132</v>
      </c>
      <c r="AK91" s="1" t="s">
        <v>132</v>
      </c>
      <c r="AL91" s="1" t="s">
        <v>132</v>
      </c>
      <c r="AM91" s="1" t="s">
        <v>132</v>
      </c>
      <c r="AN91" s="1" t="s">
        <v>132</v>
      </c>
    </row>
    <row r="92" ht="15.75" customHeight="1">
      <c r="A92" s="1" t="s">
        <v>38</v>
      </c>
      <c r="B92" s="1" t="s">
        <v>2021</v>
      </c>
      <c r="C92" s="1" t="s">
        <v>2022</v>
      </c>
      <c r="D92" s="8" t="s">
        <v>2023</v>
      </c>
      <c r="E92" s="1" t="s">
        <v>2024</v>
      </c>
      <c r="F92" s="1" t="s">
        <v>2025</v>
      </c>
      <c r="G92" s="1" t="s">
        <v>132</v>
      </c>
      <c r="H92" s="1" t="s">
        <v>132</v>
      </c>
      <c r="I92" s="1" t="s">
        <v>2026</v>
      </c>
      <c r="J92" s="1" t="s">
        <v>132</v>
      </c>
      <c r="K92" s="1" t="s">
        <v>2027</v>
      </c>
      <c r="L92" s="1" t="s">
        <v>132</v>
      </c>
      <c r="M92" s="1" t="s">
        <v>2028</v>
      </c>
      <c r="N92" s="1" t="s">
        <v>2029</v>
      </c>
      <c r="O92" s="1" t="s">
        <v>132</v>
      </c>
      <c r="P92" s="1" t="s">
        <v>2030</v>
      </c>
      <c r="Q92" s="1" t="s">
        <v>132</v>
      </c>
      <c r="R92" s="1" t="s">
        <v>132</v>
      </c>
      <c r="S92" s="1" t="s">
        <v>2031</v>
      </c>
      <c r="T92" s="1" t="s">
        <v>132</v>
      </c>
      <c r="U92" s="1" t="s">
        <v>2032</v>
      </c>
      <c r="V92" s="1" t="s">
        <v>2033</v>
      </c>
      <c r="W92" s="1" t="s">
        <v>132</v>
      </c>
      <c r="X92" s="1" t="s">
        <v>2034</v>
      </c>
      <c r="Y92" s="1" t="s">
        <v>132</v>
      </c>
      <c r="Z92" s="1" t="s">
        <v>2035</v>
      </c>
      <c r="AA92" s="1" t="s">
        <v>2036</v>
      </c>
      <c r="AB92" s="1" t="s">
        <v>132</v>
      </c>
      <c r="AC92" s="1" t="s">
        <v>2037</v>
      </c>
      <c r="AD92" s="1" t="s">
        <v>132</v>
      </c>
      <c r="AE92" s="1" t="s">
        <v>132</v>
      </c>
      <c r="AF92" s="1" t="s">
        <v>2038</v>
      </c>
      <c r="AG92" s="1" t="s">
        <v>2039</v>
      </c>
      <c r="AH92" s="1" t="s">
        <v>132</v>
      </c>
      <c r="AI92" s="1" t="s">
        <v>132</v>
      </c>
      <c r="AJ92" s="1" t="s">
        <v>2040</v>
      </c>
      <c r="AK92" s="1" t="s">
        <v>2041</v>
      </c>
      <c r="AL92" s="1" t="s">
        <v>132</v>
      </c>
      <c r="AM92" s="1" t="s">
        <v>2042</v>
      </c>
      <c r="AN92" s="1" t="s">
        <v>2042</v>
      </c>
    </row>
    <row r="93" ht="15.75" customHeight="1">
      <c r="A93" s="1" t="s">
        <v>38</v>
      </c>
      <c r="B93" s="1" t="s">
        <v>2043</v>
      </c>
      <c r="C93" s="1" t="s">
        <v>2044</v>
      </c>
      <c r="D93" s="1" t="s">
        <v>132</v>
      </c>
      <c r="E93" s="1" t="s">
        <v>2045</v>
      </c>
      <c r="F93" s="1" t="s">
        <v>2046</v>
      </c>
      <c r="G93" s="1" t="s">
        <v>132</v>
      </c>
      <c r="H93" s="1" t="s">
        <v>132</v>
      </c>
      <c r="I93" s="1" t="s">
        <v>2047</v>
      </c>
      <c r="J93" s="1" t="s">
        <v>132</v>
      </c>
      <c r="K93" s="1" t="s">
        <v>2048</v>
      </c>
      <c r="L93" s="1" t="s">
        <v>132</v>
      </c>
      <c r="M93" s="1" t="s">
        <v>2049</v>
      </c>
      <c r="N93" s="1" t="s">
        <v>2050</v>
      </c>
      <c r="O93" s="1" t="s">
        <v>132</v>
      </c>
      <c r="P93" s="1" t="s">
        <v>2051</v>
      </c>
      <c r="Q93" s="1" t="s">
        <v>132</v>
      </c>
      <c r="R93" s="1" t="s">
        <v>132</v>
      </c>
      <c r="S93" s="1" t="s">
        <v>2052</v>
      </c>
      <c r="T93" s="1" t="s">
        <v>132</v>
      </c>
      <c r="U93" s="1" t="s">
        <v>132</v>
      </c>
      <c r="V93" s="1" t="s">
        <v>132</v>
      </c>
      <c r="W93" s="1" t="s">
        <v>132</v>
      </c>
      <c r="X93" s="1" t="s">
        <v>2053</v>
      </c>
      <c r="Y93" s="1" t="s">
        <v>132</v>
      </c>
      <c r="Z93" s="1" t="s">
        <v>2054</v>
      </c>
      <c r="AA93" s="1" t="s">
        <v>2055</v>
      </c>
      <c r="AB93" s="1" t="s">
        <v>132</v>
      </c>
      <c r="AC93" s="1" t="s">
        <v>2056</v>
      </c>
      <c r="AD93" s="1" t="s">
        <v>132</v>
      </c>
      <c r="AE93" s="1" t="s">
        <v>132</v>
      </c>
      <c r="AF93" s="1" t="s">
        <v>132</v>
      </c>
      <c r="AG93" s="1" t="s">
        <v>132</v>
      </c>
      <c r="AH93" s="1" t="s">
        <v>132</v>
      </c>
      <c r="AI93" s="1" t="s">
        <v>132</v>
      </c>
      <c r="AJ93" s="1" t="s">
        <v>132</v>
      </c>
      <c r="AK93" s="1" t="s">
        <v>132</v>
      </c>
      <c r="AL93" s="1" t="s">
        <v>132</v>
      </c>
      <c r="AM93" s="1" t="s">
        <v>132</v>
      </c>
      <c r="AN93" s="1" t="s">
        <v>132</v>
      </c>
    </row>
    <row r="94" ht="15.75" customHeight="1">
      <c r="A94" s="1" t="s">
        <v>38</v>
      </c>
      <c r="B94" s="1" t="s">
        <v>2058</v>
      </c>
      <c r="C94" s="1" t="s">
        <v>2059</v>
      </c>
      <c r="D94" s="1" t="s">
        <v>132</v>
      </c>
      <c r="E94" s="1" t="s">
        <v>132</v>
      </c>
      <c r="F94" s="1" t="s">
        <v>132</v>
      </c>
      <c r="G94" s="1" t="s">
        <v>132</v>
      </c>
      <c r="H94" s="1" t="s">
        <v>132</v>
      </c>
      <c r="I94" s="1" t="s">
        <v>2060</v>
      </c>
      <c r="J94" s="1" t="s">
        <v>132</v>
      </c>
      <c r="K94" s="1" t="s">
        <v>2059</v>
      </c>
      <c r="L94" s="1" t="s">
        <v>132</v>
      </c>
      <c r="M94" s="1" t="s">
        <v>2061</v>
      </c>
      <c r="N94" s="1" t="s">
        <v>132</v>
      </c>
      <c r="O94" s="1" t="s">
        <v>132</v>
      </c>
      <c r="P94" s="1" t="s">
        <v>2059</v>
      </c>
      <c r="Q94" s="1" t="s">
        <v>132</v>
      </c>
      <c r="R94" s="1" t="s">
        <v>132</v>
      </c>
      <c r="S94" s="1" t="s">
        <v>132</v>
      </c>
      <c r="T94" s="1" t="s">
        <v>132</v>
      </c>
      <c r="U94" s="1" t="s">
        <v>132</v>
      </c>
      <c r="V94" s="1" t="s">
        <v>132</v>
      </c>
      <c r="W94" s="1" t="s">
        <v>132</v>
      </c>
      <c r="X94" s="1" t="s">
        <v>132</v>
      </c>
      <c r="Y94" s="1" t="s">
        <v>132</v>
      </c>
      <c r="Z94" s="1" t="s">
        <v>132</v>
      </c>
      <c r="AA94" s="1" t="s">
        <v>132</v>
      </c>
      <c r="AB94" s="1" t="s">
        <v>132</v>
      </c>
      <c r="AC94" s="1" t="s">
        <v>2062</v>
      </c>
      <c r="AD94" s="1" t="s">
        <v>132</v>
      </c>
      <c r="AE94" s="1" t="s">
        <v>132</v>
      </c>
      <c r="AF94" s="1" t="s">
        <v>2063</v>
      </c>
      <c r="AG94" s="1" t="s">
        <v>132</v>
      </c>
      <c r="AH94" s="1" t="s">
        <v>132</v>
      </c>
      <c r="AI94" s="1" t="s">
        <v>132</v>
      </c>
      <c r="AJ94" s="1" t="s">
        <v>132</v>
      </c>
      <c r="AK94" s="1" t="s">
        <v>132</v>
      </c>
      <c r="AL94" s="1" t="s">
        <v>132</v>
      </c>
      <c r="AM94" s="1" t="s">
        <v>132</v>
      </c>
      <c r="AN94" s="1" t="s">
        <v>132</v>
      </c>
    </row>
    <row r="95" ht="15.75" customHeight="1">
      <c r="A95" s="1" t="s">
        <v>127</v>
      </c>
      <c r="B95" s="1" t="s">
        <v>2064</v>
      </c>
      <c r="C95" s="1" t="s">
        <v>2065</v>
      </c>
      <c r="D95" s="8" t="s">
        <v>2066</v>
      </c>
      <c r="E95" s="1" t="s">
        <v>2067</v>
      </c>
      <c r="F95" s="1" t="s">
        <v>132</v>
      </c>
      <c r="G95" s="1" t="s">
        <v>2068</v>
      </c>
      <c r="H95" s="1" t="s">
        <v>2069</v>
      </c>
      <c r="I95" s="1" t="s">
        <v>2070</v>
      </c>
      <c r="J95" s="1" t="s">
        <v>2071</v>
      </c>
      <c r="K95" s="1" t="s">
        <v>2072</v>
      </c>
      <c r="L95" s="1" t="s">
        <v>2073</v>
      </c>
      <c r="M95" s="1" t="s">
        <v>2074</v>
      </c>
      <c r="N95" s="1" t="s">
        <v>132</v>
      </c>
      <c r="O95" s="1" t="s">
        <v>2075</v>
      </c>
      <c r="P95" s="1" t="s">
        <v>2076</v>
      </c>
      <c r="Q95" s="1" t="s">
        <v>132</v>
      </c>
      <c r="R95" s="1" t="s">
        <v>2077</v>
      </c>
      <c r="S95" s="1" t="s">
        <v>2078</v>
      </c>
      <c r="T95" s="8" t="s">
        <v>2079</v>
      </c>
      <c r="U95" s="1" t="s">
        <v>2080</v>
      </c>
      <c r="V95" s="1" t="s">
        <v>2081</v>
      </c>
      <c r="W95" s="1" t="s">
        <v>2077</v>
      </c>
      <c r="X95" s="1" t="s">
        <v>2082</v>
      </c>
      <c r="Y95" s="1" t="s">
        <v>2083</v>
      </c>
      <c r="Z95" s="1" t="s">
        <v>2084</v>
      </c>
      <c r="AA95" s="1" t="s">
        <v>2085</v>
      </c>
      <c r="AB95" s="1" t="s">
        <v>2086</v>
      </c>
      <c r="AC95" s="1" t="s">
        <v>2087</v>
      </c>
      <c r="AD95" s="1" t="s">
        <v>2088</v>
      </c>
      <c r="AE95" s="1" t="s">
        <v>2089</v>
      </c>
      <c r="AF95" s="1" t="s">
        <v>2090</v>
      </c>
      <c r="AG95" s="1" t="s">
        <v>2091</v>
      </c>
      <c r="AH95" s="1" t="s">
        <v>2092</v>
      </c>
      <c r="AI95" s="1" t="s">
        <v>2093</v>
      </c>
      <c r="AJ95" s="1" t="s">
        <v>132</v>
      </c>
      <c r="AK95" s="1" t="s">
        <v>2094</v>
      </c>
      <c r="AL95" s="1" t="s">
        <v>2095</v>
      </c>
      <c r="AM95" s="1" t="s">
        <v>132</v>
      </c>
      <c r="AN95" s="1" t="s">
        <v>132</v>
      </c>
    </row>
    <row r="96" ht="15.75" customHeight="1">
      <c r="A96" s="1" t="s">
        <v>127</v>
      </c>
      <c r="B96" s="1" t="s">
        <v>2096</v>
      </c>
      <c r="C96" s="1" t="s">
        <v>2097</v>
      </c>
      <c r="D96" s="8" t="s">
        <v>2098</v>
      </c>
      <c r="E96" s="1" t="s">
        <v>2099</v>
      </c>
      <c r="F96" s="1" t="s">
        <v>132</v>
      </c>
      <c r="G96" s="1" t="s">
        <v>2100</v>
      </c>
      <c r="H96" s="1" t="s">
        <v>2101</v>
      </c>
      <c r="I96" s="1" t="s">
        <v>2102</v>
      </c>
      <c r="J96" s="1" t="s">
        <v>2103</v>
      </c>
      <c r="K96" s="1" t="s">
        <v>2104</v>
      </c>
      <c r="L96" s="1" t="s">
        <v>2105</v>
      </c>
      <c r="M96" s="1" t="s">
        <v>2106</v>
      </c>
      <c r="N96" s="1" t="s">
        <v>132</v>
      </c>
      <c r="O96" s="1" t="s">
        <v>2107</v>
      </c>
      <c r="P96" s="1" t="s">
        <v>2108</v>
      </c>
      <c r="Q96" s="1" t="s">
        <v>132</v>
      </c>
      <c r="R96" s="1" t="s">
        <v>2109</v>
      </c>
      <c r="S96" s="1" t="s">
        <v>2110</v>
      </c>
      <c r="T96" s="8" t="s">
        <v>2111</v>
      </c>
      <c r="U96" s="1" t="s">
        <v>2112</v>
      </c>
      <c r="V96" s="1" t="s">
        <v>2113</v>
      </c>
      <c r="W96" s="1" t="s">
        <v>2114</v>
      </c>
      <c r="X96" s="1" t="s">
        <v>2115</v>
      </c>
      <c r="Y96" s="1" t="s">
        <v>2116</v>
      </c>
      <c r="Z96" s="1" t="s">
        <v>2117</v>
      </c>
      <c r="AA96" s="1" t="s">
        <v>2118</v>
      </c>
      <c r="AB96" s="1" t="s">
        <v>2119</v>
      </c>
      <c r="AC96" s="1" t="s">
        <v>2120</v>
      </c>
      <c r="AD96" s="1" t="s">
        <v>2121</v>
      </c>
      <c r="AE96" s="1" t="s">
        <v>2122</v>
      </c>
      <c r="AF96" s="1" t="s">
        <v>2123</v>
      </c>
      <c r="AG96" s="1" t="s">
        <v>2124</v>
      </c>
      <c r="AH96" s="1" t="s">
        <v>2125</v>
      </c>
      <c r="AI96" s="1" t="s">
        <v>2126</v>
      </c>
      <c r="AJ96" s="1" t="s">
        <v>132</v>
      </c>
      <c r="AK96" s="1" t="s">
        <v>2127</v>
      </c>
      <c r="AL96" s="1" t="s">
        <v>2128</v>
      </c>
      <c r="AM96" s="1" t="s">
        <v>132</v>
      </c>
      <c r="AN96" s="1" t="s">
        <v>132</v>
      </c>
    </row>
    <row r="97" ht="15.75" customHeight="1">
      <c r="A97" s="1" t="s">
        <v>38</v>
      </c>
      <c r="B97" s="1" t="s">
        <v>2129</v>
      </c>
      <c r="C97" s="1" t="s">
        <v>2130</v>
      </c>
      <c r="D97" s="1" t="s">
        <v>132</v>
      </c>
      <c r="E97" s="1" t="s">
        <v>2131</v>
      </c>
      <c r="F97" s="1" t="s">
        <v>132</v>
      </c>
      <c r="G97" s="1" t="s">
        <v>132</v>
      </c>
      <c r="H97" s="1" t="s">
        <v>132</v>
      </c>
      <c r="I97" s="1" t="s">
        <v>2132</v>
      </c>
      <c r="J97" s="1" t="s">
        <v>132</v>
      </c>
      <c r="K97" s="1" t="s">
        <v>2133</v>
      </c>
      <c r="L97" s="1" t="s">
        <v>132</v>
      </c>
      <c r="M97" s="1" t="s">
        <v>132</v>
      </c>
      <c r="N97" s="1" t="s">
        <v>2134</v>
      </c>
      <c r="O97" s="1" t="s">
        <v>132</v>
      </c>
      <c r="P97" s="1" t="s">
        <v>2135</v>
      </c>
      <c r="Q97" s="1" t="s">
        <v>132</v>
      </c>
      <c r="R97" s="1" t="s">
        <v>132</v>
      </c>
      <c r="S97" s="1" t="s">
        <v>2136</v>
      </c>
      <c r="T97" s="1" t="s">
        <v>132</v>
      </c>
      <c r="U97" s="1" t="s">
        <v>132</v>
      </c>
      <c r="V97" s="1" t="s">
        <v>132</v>
      </c>
      <c r="W97" s="1" t="s">
        <v>132</v>
      </c>
      <c r="X97" s="1" t="s">
        <v>2137</v>
      </c>
      <c r="Y97" s="1" t="s">
        <v>132</v>
      </c>
      <c r="Z97" s="1" t="s">
        <v>2138</v>
      </c>
      <c r="AA97" s="1" t="s">
        <v>132</v>
      </c>
      <c r="AB97" s="1" t="s">
        <v>132</v>
      </c>
      <c r="AC97" s="1" t="s">
        <v>132</v>
      </c>
      <c r="AD97" s="1" t="s">
        <v>132</v>
      </c>
      <c r="AE97" s="1" t="s">
        <v>132</v>
      </c>
      <c r="AF97" s="1" t="s">
        <v>132</v>
      </c>
      <c r="AG97" s="1" t="s">
        <v>132</v>
      </c>
      <c r="AH97" s="1" t="s">
        <v>132</v>
      </c>
      <c r="AI97" s="1" t="s">
        <v>132</v>
      </c>
      <c r="AJ97" s="1" t="s">
        <v>132</v>
      </c>
      <c r="AK97" s="1" t="s">
        <v>132</v>
      </c>
      <c r="AL97" s="1" t="s">
        <v>132</v>
      </c>
      <c r="AM97" s="1" t="s">
        <v>132</v>
      </c>
      <c r="AN97" s="1" t="s">
        <v>132</v>
      </c>
    </row>
    <row r="98" ht="15.75" customHeight="1">
      <c r="A98" s="1" t="s">
        <v>127</v>
      </c>
      <c r="B98" s="1" t="s">
        <v>2140</v>
      </c>
      <c r="C98" s="1" t="s">
        <v>2141</v>
      </c>
      <c r="D98" s="8" t="s">
        <v>2142</v>
      </c>
      <c r="E98" s="1" t="s">
        <v>2143</v>
      </c>
      <c r="F98" s="1" t="s">
        <v>132</v>
      </c>
      <c r="G98" s="1" t="s">
        <v>2144</v>
      </c>
      <c r="H98" s="1" t="s">
        <v>2145</v>
      </c>
      <c r="I98" s="1" t="s">
        <v>2146</v>
      </c>
      <c r="J98" s="1" t="s">
        <v>2147</v>
      </c>
      <c r="K98" s="1" t="s">
        <v>2148</v>
      </c>
      <c r="L98" s="1" t="s">
        <v>2149</v>
      </c>
      <c r="M98" s="1" t="s">
        <v>2150</v>
      </c>
      <c r="N98" s="1" t="s">
        <v>132</v>
      </c>
      <c r="O98" s="1" t="s">
        <v>2151</v>
      </c>
      <c r="P98" s="1" t="s">
        <v>2152</v>
      </c>
      <c r="Q98" s="1" t="s">
        <v>132</v>
      </c>
      <c r="R98" s="1" t="s">
        <v>2153</v>
      </c>
      <c r="S98" s="1" t="s">
        <v>2154</v>
      </c>
      <c r="T98" s="8" t="s">
        <v>2155</v>
      </c>
      <c r="U98" s="1" t="s">
        <v>2156</v>
      </c>
      <c r="V98" s="1" t="s">
        <v>2157</v>
      </c>
      <c r="W98" s="1" t="s">
        <v>2158</v>
      </c>
      <c r="X98" s="1" t="s">
        <v>2159</v>
      </c>
      <c r="Y98" s="1" t="s">
        <v>2160</v>
      </c>
      <c r="Z98" s="1" t="s">
        <v>2161</v>
      </c>
      <c r="AA98" s="1" t="s">
        <v>2162</v>
      </c>
      <c r="AB98" s="1" t="s">
        <v>2163</v>
      </c>
      <c r="AC98" s="1" t="s">
        <v>2164</v>
      </c>
      <c r="AD98" s="1" t="s">
        <v>2165</v>
      </c>
      <c r="AE98" s="1" t="s">
        <v>2166</v>
      </c>
      <c r="AF98" s="1" t="s">
        <v>2167</v>
      </c>
      <c r="AG98" s="1" t="s">
        <v>2168</v>
      </c>
      <c r="AH98" s="1" t="s">
        <v>2169</v>
      </c>
      <c r="AI98" s="1" t="s">
        <v>2170</v>
      </c>
      <c r="AJ98" s="1" t="s">
        <v>132</v>
      </c>
      <c r="AK98" s="1" t="s">
        <v>2171</v>
      </c>
      <c r="AL98" s="1" t="s">
        <v>2172</v>
      </c>
      <c r="AM98" s="1" t="s">
        <v>132</v>
      </c>
      <c r="AN98" s="1" t="s">
        <v>132</v>
      </c>
    </row>
    <row r="99" ht="15.75" customHeight="1">
      <c r="A99" s="1" t="s">
        <v>38</v>
      </c>
      <c r="B99" s="1" t="s">
        <v>2173</v>
      </c>
      <c r="C99" s="1" t="s">
        <v>2174</v>
      </c>
      <c r="D99" s="1" t="s">
        <v>132</v>
      </c>
      <c r="E99" s="1" t="s">
        <v>132</v>
      </c>
      <c r="F99" s="1" t="s">
        <v>132</v>
      </c>
      <c r="G99" s="1" t="s">
        <v>132</v>
      </c>
      <c r="H99" s="1" t="s">
        <v>132</v>
      </c>
      <c r="I99" s="1" t="s">
        <v>132</v>
      </c>
      <c r="J99" s="1" t="s">
        <v>132</v>
      </c>
      <c r="K99" s="1" t="s">
        <v>132</v>
      </c>
      <c r="L99" s="1" t="s">
        <v>132</v>
      </c>
      <c r="M99" s="1" t="s">
        <v>132</v>
      </c>
      <c r="N99" s="1" t="s">
        <v>132</v>
      </c>
      <c r="O99" s="1" t="s">
        <v>132</v>
      </c>
      <c r="P99" s="1" t="s">
        <v>132</v>
      </c>
      <c r="Q99" s="1" t="s">
        <v>132</v>
      </c>
      <c r="R99" s="1" t="s">
        <v>132</v>
      </c>
      <c r="S99" s="1" t="s">
        <v>132</v>
      </c>
      <c r="T99" s="1" t="s">
        <v>132</v>
      </c>
      <c r="U99" s="1" t="s">
        <v>132</v>
      </c>
      <c r="V99" s="1" t="s">
        <v>132</v>
      </c>
      <c r="W99" s="1" t="s">
        <v>132</v>
      </c>
      <c r="X99" s="1" t="s">
        <v>132</v>
      </c>
      <c r="Y99" s="1" t="s">
        <v>132</v>
      </c>
      <c r="Z99" s="1" t="s">
        <v>132</v>
      </c>
      <c r="AA99" s="1" t="s">
        <v>132</v>
      </c>
      <c r="AB99" s="1" t="s">
        <v>132</v>
      </c>
      <c r="AC99" s="1" t="s">
        <v>132</v>
      </c>
      <c r="AD99" s="1" t="s">
        <v>132</v>
      </c>
      <c r="AE99" s="1" t="s">
        <v>132</v>
      </c>
      <c r="AF99" s="1" t="s">
        <v>132</v>
      </c>
      <c r="AG99" s="1" t="s">
        <v>132</v>
      </c>
      <c r="AH99" s="1" t="s">
        <v>132</v>
      </c>
      <c r="AI99" s="1" t="s">
        <v>132</v>
      </c>
      <c r="AJ99" s="1" t="s">
        <v>132</v>
      </c>
      <c r="AK99" s="1" t="s">
        <v>132</v>
      </c>
      <c r="AL99" s="1" t="s">
        <v>132</v>
      </c>
      <c r="AM99" s="1" t="s">
        <v>132</v>
      </c>
      <c r="AN99" s="1" t="s">
        <v>132</v>
      </c>
    </row>
    <row r="100" ht="15.75" customHeight="1">
      <c r="A100" s="1" t="s">
        <v>127</v>
      </c>
      <c r="B100" s="1" t="s">
        <v>2176</v>
      </c>
      <c r="C100" s="1" t="s">
        <v>2177</v>
      </c>
      <c r="D100" s="8" t="s">
        <v>2178</v>
      </c>
      <c r="E100" s="1" t="s">
        <v>2179</v>
      </c>
      <c r="F100" s="1" t="s">
        <v>132</v>
      </c>
      <c r="G100" s="1" t="s">
        <v>2180</v>
      </c>
      <c r="H100" s="1" t="s">
        <v>2181</v>
      </c>
      <c r="I100" s="1" t="s">
        <v>2177</v>
      </c>
      <c r="J100" s="1" t="s">
        <v>2182</v>
      </c>
      <c r="K100" s="1" t="s">
        <v>2177</v>
      </c>
      <c r="L100" s="1" t="s">
        <v>2183</v>
      </c>
      <c r="M100" s="1" t="s">
        <v>2177</v>
      </c>
      <c r="N100" s="1" t="s">
        <v>132</v>
      </c>
      <c r="O100" s="1" t="s">
        <v>2184</v>
      </c>
      <c r="P100" s="1" t="s">
        <v>2177</v>
      </c>
      <c r="Q100" s="1" t="s">
        <v>132</v>
      </c>
      <c r="R100" s="1" t="s">
        <v>2185</v>
      </c>
      <c r="S100" s="1" t="s">
        <v>2177</v>
      </c>
      <c r="T100" s="8" t="s">
        <v>2186</v>
      </c>
      <c r="U100" s="1" t="s">
        <v>2187</v>
      </c>
      <c r="V100" s="1" t="s">
        <v>2188</v>
      </c>
      <c r="W100" s="1" t="s">
        <v>2189</v>
      </c>
      <c r="X100" s="1" t="s">
        <v>2177</v>
      </c>
      <c r="Y100" s="1" t="s">
        <v>2190</v>
      </c>
      <c r="Z100" s="1" t="s">
        <v>2191</v>
      </c>
      <c r="AA100" s="1" t="s">
        <v>2177</v>
      </c>
      <c r="AB100" s="1" t="s">
        <v>2192</v>
      </c>
      <c r="AC100" s="1" t="s">
        <v>2193</v>
      </c>
      <c r="AD100" s="1" t="s">
        <v>2194</v>
      </c>
      <c r="AE100" s="1" t="s">
        <v>2195</v>
      </c>
      <c r="AF100" s="1" t="s">
        <v>2177</v>
      </c>
      <c r="AG100" s="1" t="s">
        <v>2196</v>
      </c>
      <c r="AH100" s="1" t="s">
        <v>2197</v>
      </c>
      <c r="AI100" s="1" t="s">
        <v>2198</v>
      </c>
      <c r="AJ100" s="1" t="s">
        <v>132</v>
      </c>
      <c r="AK100" s="1" t="s">
        <v>2199</v>
      </c>
      <c r="AL100" s="1" t="s">
        <v>2200</v>
      </c>
      <c r="AM100" s="1" t="s">
        <v>2201</v>
      </c>
      <c r="AN100" s="1" t="s">
        <v>2201</v>
      </c>
    </row>
    <row r="101" ht="15.75" customHeight="1">
      <c r="A101" s="1" t="s">
        <v>127</v>
      </c>
      <c r="B101" s="1" t="s">
        <v>2202</v>
      </c>
      <c r="C101" s="1" t="s">
        <v>2203</v>
      </c>
      <c r="D101" s="8" t="s">
        <v>2204</v>
      </c>
      <c r="E101" s="1" t="s">
        <v>2205</v>
      </c>
      <c r="F101" s="1" t="s">
        <v>132</v>
      </c>
      <c r="G101" s="1" t="s">
        <v>2206</v>
      </c>
      <c r="H101" s="1" t="s">
        <v>2207</v>
      </c>
      <c r="I101" s="1" t="s">
        <v>2208</v>
      </c>
      <c r="J101" s="1" t="s">
        <v>2209</v>
      </c>
      <c r="K101" s="1" t="s">
        <v>2210</v>
      </c>
      <c r="L101" s="1" t="s">
        <v>2211</v>
      </c>
      <c r="M101" s="1" t="s">
        <v>2212</v>
      </c>
      <c r="N101" s="1" t="s">
        <v>132</v>
      </c>
      <c r="O101" s="1" t="s">
        <v>2213</v>
      </c>
      <c r="P101" s="1" t="s">
        <v>2214</v>
      </c>
      <c r="Q101" s="1" t="s">
        <v>132</v>
      </c>
      <c r="R101" s="1" t="s">
        <v>2215</v>
      </c>
      <c r="S101" s="1" t="s">
        <v>2216</v>
      </c>
      <c r="T101" s="8" t="s">
        <v>2217</v>
      </c>
      <c r="U101" s="1" t="s">
        <v>2218</v>
      </c>
      <c r="V101" s="1" t="s">
        <v>2219</v>
      </c>
      <c r="W101" s="1" t="s">
        <v>2220</v>
      </c>
      <c r="X101" s="1" t="s">
        <v>2221</v>
      </c>
      <c r="Y101" s="1" t="s">
        <v>2222</v>
      </c>
      <c r="Z101" s="1" t="s">
        <v>2223</v>
      </c>
      <c r="AA101" s="1" t="s">
        <v>2224</v>
      </c>
      <c r="AB101" s="1" t="s">
        <v>2225</v>
      </c>
      <c r="AC101" s="1" t="s">
        <v>2226</v>
      </c>
      <c r="AD101" s="1" t="s">
        <v>2227</v>
      </c>
      <c r="AE101" s="1" t="s">
        <v>2228</v>
      </c>
      <c r="AF101" s="1" t="s">
        <v>2229</v>
      </c>
      <c r="AG101" s="1" t="s">
        <v>2230</v>
      </c>
      <c r="AH101" s="1" t="s">
        <v>2231</v>
      </c>
      <c r="AI101" s="1" t="s">
        <v>2232</v>
      </c>
      <c r="AJ101" s="1" t="s">
        <v>132</v>
      </c>
      <c r="AK101" s="1" t="s">
        <v>2233</v>
      </c>
      <c r="AL101" s="1" t="s">
        <v>2234</v>
      </c>
      <c r="AM101" s="1" t="s">
        <v>132</v>
      </c>
      <c r="AN101" s="1" t="s">
        <v>132</v>
      </c>
    </row>
    <row r="102" ht="15.75" customHeight="1">
      <c r="A102" s="1" t="s">
        <v>38</v>
      </c>
      <c r="B102" s="1" t="s">
        <v>2235</v>
      </c>
      <c r="C102" s="1" t="s">
        <v>2236</v>
      </c>
      <c r="D102" s="8" t="s">
        <v>2237</v>
      </c>
      <c r="E102" s="1" t="s">
        <v>2238</v>
      </c>
      <c r="F102" s="1" t="s">
        <v>2239</v>
      </c>
      <c r="G102" s="1" t="s">
        <v>132</v>
      </c>
      <c r="H102" s="1" t="s">
        <v>132</v>
      </c>
      <c r="I102" s="1" t="s">
        <v>2240</v>
      </c>
      <c r="J102" s="1" t="s">
        <v>132</v>
      </c>
      <c r="K102" s="1" t="s">
        <v>2241</v>
      </c>
      <c r="L102" s="1" t="s">
        <v>132</v>
      </c>
      <c r="M102" s="1" t="s">
        <v>2242</v>
      </c>
      <c r="N102" s="1" t="s">
        <v>2243</v>
      </c>
      <c r="O102" s="1" t="s">
        <v>132</v>
      </c>
      <c r="P102" s="1" t="s">
        <v>2244</v>
      </c>
      <c r="Q102" s="1" t="s">
        <v>2245</v>
      </c>
      <c r="R102" s="1" t="s">
        <v>132</v>
      </c>
      <c r="S102" s="1" t="s">
        <v>2246</v>
      </c>
      <c r="T102" s="1" t="s">
        <v>132</v>
      </c>
      <c r="U102" s="1" t="s">
        <v>2247</v>
      </c>
      <c r="V102" s="1" t="s">
        <v>2248</v>
      </c>
      <c r="W102" s="1" t="s">
        <v>132</v>
      </c>
      <c r="X102" s="1" t="s">
        <v>2249</v>
      </c>
      <c r="Y102" s="1" t="s">
        <v>132</v>
      </c>
      <c r="Z102" s="1" t="s">
        <v>2250</v>
      </c>
      <c r="AA102" s="1" t="s">
        <v>2251</v>
      </c>
      <c r="AB102" s="1" t="s">
        <v>132</v>
      </c>
      <c r="AC102" s="1" t="s">
        <v>2238</v>
      </c>
      <c r="AD102" s="1" t="s">
        <v>2252</v>
      </c>
      <c r="AE102" s="1" t="s">
        <v>132</v>
      </c>
      <c r="AF102" s="1" t="s">
        <v>2238</v>
      </c>
      <c r="AG102" s="1" t="s">
        <v>2253</v>
      </c>
      <c r="AH102" s="1" t="s">
        <v>132</v>
      </c>
      <c r="AI102" s="1" t="s">
        <v>132</v>
      </c>
      <c r="AJ102" s="1" t="s">
        <v>2254</v>
      </c>
      <c r="AK102" s="1" t="s">
        <v>2255</v>
      </c>
      <c r="AL102" s="1" t="s">
        <v>132</v>
      </c>
      <c r="AM102" s="1" t="s">
        <v>2256</v>
      </c>
      <c r="AN102" s="1" t="s">
        <v>2256</v>
      </c>
    </row>
    <row r="103" ht="15.75" customHeight="1">
      <c r="A103" s="1" t="s">
        <v>38</v>
      </c>
      <c r="B103" s="1" t="s">
        <v>2257</v>
      </c>
      <c r="C103" s="1" t="s">
        <v>2258</v>
      </c>
      <c r="D103" s="1" t="s">
        <v>132</v>
      </c>
      <c r="E103" s="1" t="s">
        <v>132</v>
      </c>
      <c r="F103" s="1" t="s">
        <v>132</v>
      </c>
      <c r="G103" s="1" t="s">
        <v>132</v>
      </c>
      <c r="H103" s="1" t="s">
        <v>132</v>
      </c>
      <c r="I103" s="1" t="s">
        <v>2259</v>
      </c>
      <c r="J103" s="1" t="s">
        <v>132</v>
      </c>
      <c r="K103" s="1" t="s">
        <v>2260</v>
      </c>
      <c r="L103" s="1" t="s">
        <v>132</v>
      </c>
      <c r="M103" s="1" t="s">
        <v>2261</v>
      </c>
      <c r="N103" s="1" t="s">
        <v>132</v>
      </c>
      <c r="O103" s="1" t="s">
        <v>132</v>
      </c>
      <c r="P103" s="1" t="s">
        <v>2262</v>
      </c>
      <c r="Q103" s="1" t="s">
        <v>132</v>
      </c>
      <c r="R103" s="1" t="s">
        <v>132</v>
      </c>
      <c r="S103" s="1" t="s">
        <v>132</v>
      </c>
      <c r="T103" s="1" t="s">
        <v>132</v>
      </c>
      <c r="U103" s="1" t="s">
        <v>132</v>
      </c>
      <c r="V103" s="1" t="s">
        <v>132</v>
      </c>
      <c r="W103" s="1" t="s">
        <v>132</v>
      </c>
      <c r="X103" s="1" t="s">
        <v>132</v>
      </c>
      <c r="Y103" s="1" t="s">
        <v>132</v>
      </c>
      <c r="Z103" s="1" t="s">
        <v>132</v>
      </c>
      <c r="AA103" s="1" t="s">
        <v>132</v>
      </c>
      <c r="AB103" s="1" t="s">
        <v>132</v>
      </c>
      <c r="AC103" s="1" t="s">
        <v>2263</v>
      </c>
      <c r="AD103" s="1" t="s">
        <v>132</v>
      </c>
      <c r="AE103" s="1" t="s">
        <v>132</v>
      </c>
      <c r="AF103" s="1" t="s">
        <v>2264</v>
      </c>
      <c r="AG103" s="1" t="s">
        <v>132</v>
      </c>
      <c r="AH103" s="1" t="s">
        <v>132</v>
      </c>
      <c r="AI103" s="1" t="s">
        <v>132</v>
      </c>
      <c r="AJ103" s="1" t="s">
        <v>132</v>
      </c>
      <c r="AK103" s="1" t="s">
        <v>132</v>
      </c>
      <c r="AL103" s="1" t="s">
        <v>132</v>
      </c>
      <c r="AM103" s="1" t="s">
        <v>132</v>
      </c>
      <c r="AN103" s="1" t="s">
        <v>132</v>
      </c>
    </row>
    <row r="104" ht="15.75" customHeight="1">
      <c r="A104" s="1" t="s">
        <v>2265</v>
      </c>
      <c r="B104" s="1" t="s">
        <v>2266</v>
      </c>
      <c r="C104" s="1" t="s">
        <v>2267</v>
      </c>
      <c r="D104" s="8" t="s">
        <v>2268</v>
      </c>
      <c r="E104" s="1" t="s">
        <v>2269</v>
      </c>
      <c r="F104" s="1" t="s">
        <v>132</v>
      </c>
      <c r="G104" s="1" t="s">
        <v>2270</v>
      </c>
      <c r="H104" s="1" t="s">
        <v>2271</v>
      </c>
      <c r="I104" s="1" t="s">
        <v>2272</v>
      </c>
      <c r="J104" s="1" t="s">
        <v>2273</v>
      </c>
      <c r="K104" s="1" t="s">
        <v>2274</v>
      </c>
      <c r="L104" s="1" t="s">
        <v>2275</v>
      </c>
      <c r="M104" s="1" t="s">
        <v>2276</v>
      </c>
      <c r="N104" s="1" t="s">
        <v>132</v>
      </c>
      <c r="O104" s="1" t="s">
        <v>2277</v>
      </c>
      <c r="P104" s="1" t="s">
        <v>2278</v>
      </c>
      <c r="Q104" s="1" t="s">
        <v>132</v>
      </c>
      <c r="R104" s="1" t="s">
        <v>2279</v>
      </c>
      <c r="S104" s="1" t="s">
        <v>2280</v>
      </c>
      <c r="T104" s="8" t="s">
        <v>2281</v>
      </c>
      <c r="U104" s="1" t="s">
        <v>2282</v>
      </c>
      <c r="V104" s="1" t="s">
        <v>2283</v>
      </c>
      <c r="W104" s="1" t="s">
        <v>2284</v>
      </c>
      <c r="X104" s="1" t="s">
        <v>2285</v>
      </c>
      <c r="Y104" s="1" t="s">
        <v>2286</v>
      </c>
      <c r="Z104" s="1" t="s">
        <v>2287</v>
      </c>
      <c r="AA104" s="1" t="s">
        <v>2288</v>
      </c>
      <c r="AB104" s="1" t="s">
        <v>2289</v>
      </c>
      <c r="AC104" s="1" t="s">
        <v>2290</v>
      </c>
      <c r="AD104" s="1" t="s">
        <v>2291</v>
      </c>
      <c r="AE104" s="1" t="s">
        <v>2292</v>
      </c>
      <c r="AF104" s="1" t="s">
        <v>2293</v>
      </c>
      <c r="AG104" s="1" t="s">
        <v>2294</v>
      </c>
      <c r="AH104" s="1" t="s">
        <v>2295</v>
      </c>
      <c r="AI104" s="1" t="s">
        <v>2296</v>
      </c>
      <c r="AJ104" s="1" t="s">
        <v>132</v>
      </c>
      <c r="AK104" s="1" t="s">
        <v>2297</v>
      </c>
      <c r="AL104" s="14" t="s">
        <v>2298</v>
      </c>
      <c r="AM104" s="1" t="s">
        <v>132</v>
      </c>
      <c r="AN104" s="1" t="s">
        <v>132</v>
      </c>
    </row>
    <row r="105" ht="15.75" customHeight="1">
      <c r="A105" s="1" t="s">
        <v>38</v>
      </c>
      <c r="B105" s="1" t="s">
        <v>2299</v>
      </c>
      <c r="C105" s="1" t="s">
        <v>2300</v>
      </c>
      <c r="D105" s="8" t="s">
        <v>2301</v>
      </c>
      <c r="E105" s="1" t="s">
        <v>2302</v>
      </c>
      <c r="F105" s="1" t="s">
        <v>2303</v>
      </c>
      <c r="G105" s="1" t="s">
        <v>132</v>
      </c>
      <c r="H105" s="1" t="s">
        <v>132</v>
      </c>
      <c r="I105" s="1" t="s">
        <v>2304</v>
      </c>
      <c r="J105" s="1" t="s">
        <v>132</v>
      </c>
      <c r="K105" s="1" t="s">
        <v>2305</v>
      </c>
      <c r="L105" s="1" t="s">
        <v>132</v>
      </c>
      <c r="M105" s="1" t="s">
        <v>2306</v>
      </c>
      <c r="N105" s="1" t="s">
        <v>2307</v>
      </c>
      <c r="O105" s="1" t="s">
        <v>132</v>
      </c>
      <c r="P105" s="1" t="s">
        <v>2308</v>
      </c>
      <c r="Q105" s="1" t="s">
        <v>2309</v>
      </c>
      <c r="R105" s="1" t="s">
        <v>132</v>
      </c>
      <c r="S105" s="1" t="s">
        <v>2310</v>
      </c>
      <c r="T105" s="1" t="s">
        <v>132</v>
      </c>
      <c r="U105" s="1" t="s">
        <v>2311</v>
      </c>
      <c r="V105" s="1" t="s">
        <v>2312</v>
      </c>
      <c r="W105" s="1" t="s">
        <v>132</v>
      </c>
      <c r="X105" s="1" t="s">
        <v>2313</v>
      </c>
      <c r="Y105" s="1" t="s">
        <v>132</v>
      </c>
      <c r="Z105" s="1" t="s">
        <v>2314</v>
      </c>
      <c r="AA105" s="1" t="s">
        <v>2315</v>
      </c>
      <c r="AB105" s="1" t="s">
        <v>132</v>
      </c>
      <c r="AC105" s="1" t="s">
        <v>2316</v>
      </c>
      <c r="AD105" s="1" t="s">
        <v>2317</v>
      </c>
      <c r="AE105" s="1" t="s">
        <v>132</v>
      </c>
      <c r="AF105" s="1" t="s">
        <v>2318</v>
      </c>
      <c r="AG105" s="1" t="s">
        <v>2319</v>
      </c>
      <c r="AH105" s="1" t="s">
        <v>132</v>
      </c>
      <c r="AI105" s="1" t="s">
        <v>132</v>
      </c>
      <c r="AJ105" s="1" t="s">
        <v>2320</v>
      </c>
      <c r="AK105" s="1" t="s">
        <v>2321</v>
      </c>
      <c r="AL105" s="1" t="s">
        <v>132</v>
      </c>
      <c r="AM105" s="1" t="s">
        <v>2322</v>
      </c>
      <c r="AN105" s="1" t="s">
        <v>2322</v>
      </c>
    </row>
    <row r="106" ht="15.75" customHeight="1">
      <c r="A106" s="1" t="s">
        <v>38</v>
      </c>
      <c r="B106" s="1" t="s">
        <v>2323</v>
      </c>
      <c r="C106" s="1" t="s">
        <v>2324</v>
      </c>
      <c r="D106" s="1" t="s">
        <v>132</v>
      </c>
      <c r="E106" s="1" t="s">
        <v>132</v>
      </c>
      <c r="F106" s="1" t="s">
        <v>132</v>
      </c>
      <c r="G106" s="1" t="s">
        <v>132</v>
      </c>
      <c r="H106" s="1" t="s">
        <v>132</v>
      </c>
      <c r="I106" s="1" t="s">
        <v>2325</v>
      </c>
      <c r="J106" s="1" t="s">
        <v>132</v>
      </c>
      <c r="K106" s="1" t="s">
        <v>2326</v>
      </c>
      <c r="L106" s="1" t="s">
        <v>132</v>
      </c>
      <c r="M106" s="1" t="s">
        <v>2324</v>
      </c>
      <c r="N106" s="1" t="s">
        <v>132</v>
      </c>
      <c r="O106" s="1" t="s">
        <v>132</v>
      </c>
      <c r="P106" s="1" t="s">
        <v>2324</v>
      </c>
      <c r="Q106" s="1" t="s">
        <v>132</v>
      </c>
      <c r="R106" s="1" t="s">
        <v>132</v>
      </c>
      <c r="S106" s="1" t="s">
        <v>132</v>
      </c>
      <c r="T106" s="1" t="s">
        <v>132</v>
      </c>
      <c r="U106" s="1" t="s">
        <v>132</v>
      </c>
      <c r="V106" s="1" t="s">
        <v>132</v>
      </c>
      <c r="W106" s="1" t="s">
        <v>132</v>
      </c>
      <c r="X106" s="1" t="s">
        <v>132</v>
      </c>
      <c r="Y106" s="1" t="s">
        <v>132</v>
      </c>
      <c r="Z106" s="1" t="s">
        <v>132</v>
      </c>
      <c r="AA106" s="1" t="s">
        <v>132</v>
      </c>
      <c r="AB106" s="1" t="s">
        <v>132</v>
      </c>
      <c r="AC106" s="1" t="s">
        <v>2327</v>
      </c>
      <c r="AD106" s="1" t="s">
        <v>132</v>
      </c>
      <c r="AE106" s="1" t="s">
        <v>132</v>
      </c>
      <c r="AF106" s="1" t="s">
        <v>2328</v>
      </c>
      <c r="AG106" s="1" t="s">
        <v>132</v>
      </c>
      <c r="AH106" s="1" t="s">
        <v>132</v>
      </c>
      <c r="AI106" s="1" t="s">
        <v>132</v>
      </c>
      <c r="AJ106" s="1" t="s">
        <v>132</v>
      </c>
      <c r="AK106" s="1" t="s">
        <v>132</v>
      </c>
      <c r="AL106" s="1" t="s">
        <v>132</v>
      </c>
      <c r="AM106" s="1" t="s">
        <v>132</v>
      </c>
      <c r="AN106" s="1" t="s">
        <v>132</v>
      </c>
    </row>
    <row r="107" ht="15.75" customHeight="1">
      <c r="A107" s="1" t="s">
        <v>38</v>
      </c>
      <c r="B107" s="1" t="s">
        <v>2329</v>
      </c>
      <c r="C107" s="1" t="s">
        <v>2330</v>
      </c>
      <c r="D107" s="8" t="s">
        <v>2331</v>
      </c>
      <c r="E107" s="1" t="s">
        <v>2332</v>
      </c>
      <c r="F107" s="1" t="s">
        <v>2333</v>
      </c>
      <c r="G107" s="1" t="s">
        <v>132</v>
      </c>
      <c r="H107" s="1" t="s">
        <v>132</v>
      </c>
      <c r="I107" s="1" t="s">
        <v>2334</v>
      </c>
      <c r="J107" s="1" t="s">
        <v>132</v>
      </c>
      <c r="K107" s="1" t="s">
        <v>2335</v>
      </c>
      <c r="L107" s="1" t="s">
        <v>132</v>
      </c>
      <c r="M107" s="1" t="s">
        <v>2336</v>
      </c>
      <c r="N107" s="1" t="s">
        <v>2337</v>
      </c>
      <c r="O107" s="1" t="s">
        <v>132</v>
      </c>
      <c r="P107" s="1" t="s">
        <v>2338</v>
      </c>
      <c r="Q107" s="1" t="s">
        <v>2339</v>
      </c>
      <c r="R107" s="1" t="s">
        <v>132</v>
      </c>
      <c r="S107" s="1" t="s">
        <v>2340</v>
      </c>
      <c r="T107" s="1" t="s">
        <v>132</v>
      </c>
      <c r="U107" s="1" t="s">
        <v>2341</v>
      </c>
      <c r="V107" s="1" t="s">
        <v>2342</v>
      </c>
      <c r="W107" s="1" t="s">
        <v>132</v>
      </c>
      <c r="X107" s="1" t="s">
        <v>2343</v>
      </c>
      <c r="Y107" s="1" t="s">
        <v>132</v>
      </c>
      <c r="Z107" s="1" t="s">
        <v>2344</v>
      </c>
      <c r="AA107" s="1" t="s">
        <v>2345</v>
      </c>
      <c r="AB107" s="1" t="s">
        <v>132</v>
      </c>
      <c r="AC107" s="1" t="s">
        <v>2346</v>
      </c>
      <c r="AD107" s="1" t="s">
        <v>2347</v>
      </c>
      <c r="AE107" s="1" t="s">
        <v>132</v>
      </c>
      <c r="AF107" s="1" t="s">
        <v>2348</v>
      </c>
      <c r="AG107" s="1" t="s">
        <v>2349</v>
      </c>
      <c r="AH107" s="1" t="s">
        <v>132</v>
      </c>
      <c r="AI107" s="1" t="s">
        <v>132</v>
      </c>
      <c r="AJ107" s="1" t="s">
        <v>2350</v>
      </c>
      <c r="AK107" s="1" t="s">
        <v>2351</v>
      </c>
      <c r="AL107" s="1" t="s">
        <v>132</v>
      </c>
      <c r="AM107" s="1" t="s">
        <v>2352</v>
      </c>
      <c r="AN107" s="1" t="s">
        <v>2352</v>
      </c>
    </row>
    <row r="108" ht="15.75" customHeight="1">
      <c r="A108" s="1" t="s">
        <v>127</v>
      </c>
      <c r="B108" s="1" t="s">
        <v>2353</v>
      </c>
      <c r="C108" s="1" t="s">
        <v>2354</v>
      </c>
      <c r="D108" s="8" t="s">
        <v>2355</v>
      </c>
      <c r="E108" s="1" t="s">
        <v>2356</v>
      </c>
      <c r="F108" s="1" t="s">
        <v>132</v>
      </c>
      <c r="G108" s="1" t="s">
        <v>2357</v>
      </c>
      <c r="H108" s="1" t="s">
        <v>2358</v>
      </c>
      <c r="I108" s="1" t="s">
        <v>2359</v>
      </c>
      <c r="J108" s="1" t="s">
        <v>2360</v>
      </c>
      <c r="K108" s="1" t="s">
        <v>2361</v>
      </c>
      <c r="L108" s="1" t="s">
        <v>2362</v>
      </c>
      <c r="M108" s="1" t="s">
        <v>2363</v>
      </c>
      <c r="N108" s="1" t="s">
        <v>132</v>
      </c>
      <c r="O108" s="1" t="s">
        <v>2364</v>
      </c>
      <c r="P108" s="1" t="s">
        <v>2365</v>
      </c>
      <c r="Q108" s="1" t="s">
        <v>132</v>
      </c>
      <c r="R108" s="1" t="s">
        <v>2366</v>
      </c>
      <c r="S108" s="1" t="s">
        <v>2367</v>
      </c>
      <c r="T108" s="8" t="s">
        <v>2368</v>
      </c>
      <c r="U108" s="1" t="s">
        <v>2369</v>
      </c>
      <c r="V108" s="1" t="s">
        <v>2370</v>
      </c>
      <c r="W108" s="1" t="s">
        <v>2366</v>
      </c>
      <c r="X108" s="1" t="s">
        <v>2371</v>
      </c>
      <c r="Y108" s="1" t="s">
        <v>2372</v>
      </c>
      <c r="Z108" s="1" t="s">
        <v>2373</v>
      </c>
      <c r="AA108" s="1" t="s">
        <v>2374</v>
      </c>
      <c r="AB108" s="1" t="s">
        <v>2375</v>
      </c>
      <c r="AC108" s="1" t="s">
        <v>2376</v>
      </c>
      <c r="AD108" s="1" t="s">
        <v>2377</v>
      </c>
      <c r="AE108" s="1" t="s">
        <v>2378</v>
      </c>
      <c r="AF108" s="1" t="s">
        <v>2379</v>
      </c>
      <c r="AG108" s="1" t="s">
        <v>2380</v>
      </c>
      <c r="AH108" s="1" t="s">
        <v>2381</v>
      </c>
      <c r="AI108" s="1" t="s">
        <v>2382</v>
      </c>
      <c r="AJ108" s="1" t="s">
        <v>132</v>
      </c>
      <c r="AK108" s="1" t="s">
        <v>2383</v>
      </c>
      <c r="AL108" s="1" t="s">
        <v>2384</v>
      </c>
      <c r="AM108" s="1" t="s">
        <v>2385</v>
      </c>
      <c r="AN108" s="1" t="s">
        <v>2385</v>
      </c>
    </row>
    <row r="109" ht="15.75" customHeight="1">
      <c r="A109" s="1" t="s">
        <v>127</v>
      </c>
      <c r="B109" s="1" t="s">
        <v>2386</v>
      </c>
      <c r="C109" s="1" t="s">
        <v>2387</v>
      </c>
      <c r="D109" s="8" t="s">
        <v>2388</v>
      </c>
      <c r="E109" s="1" t="s">
        <v>2389</v>
      </c>
      <c r="F109" s="1" t="s">
        <v>132</v>
      </c>
      <c r="G109" s="1" t="s">
        <v>2390</v>
      </c>
      <c r="H109" s="1" t="s">
        <v>2391</v>
      </c>
      <c r="I109" s="1" t="s">
        <v>2391</v>
      </c>
      <c r="J109" s="1" t="s">
        <v>2392</v>
      </c>
      <c r="K109" s="1" t="s">
        <v>2393</v>
      </c>
      <c r="L109" s="1" t="s">
        <v>2394</v>
      </c>
      <c r="M109" s="1" t="s">
        <v>2395</v>
      </c>
      <c r="N109" s="1" t="s">
        <v>132</v>
      </c>
      <c r="O109" s="1" t="s">
        <v>2396</v>
      </c>
      <c r="P109" s="1" t="s">
        <v>2397</v>
      </c>
      <c r="Q109" s="1" t="s">
        <v>132</v>
      </c>
      <c r="R109" s="1" t="s">
        <v>2398</v>
      </c>
      <c r="S109" s="1" t="s">
        <v>2399</v>
      </c>
      <c r="T109" s="8" t="s">
        <v>2400</v>
      </c>
      <c r="U109" s="1" t="s">
        <v>2401</v>
      </c>
      <c r="V109" s="1" t="s">
        <v>2402</v>
      </c>
      <c r="W109" s="1" t="s">
        <v>2398</v>
      </c>
      <c r="X109" s="1" t="s">
        <v>2403</v>
      </c>
      <c r="Y109" s="1" t="s">
        <v>2404</v>
      </c>
      <c r="Z109" s="1" t="s">
        <v>2405</v>
      </c>
      <c r="AA109" s="1" t="s">
        <v>2406</v>
      </c>
      <c r="AB109" s="1" t="s">
        <v>2407</v>
      </c>
      <c r="AC109" s="1" t="s">
        <v>2389</v>
      </c>
      <c r="AD109" s="1" t="s">
        <v>2408</v>
      </c>
      <c r="AE109" s="1" t="s">
        <v>2409</v>
      </c>
      <c r="AF109" s="1" t="s">
        <v>2409</v>
      </c>
      <c r="AG109" s="1" t="s">
        <v>2391</v>
      </c>
      <c r="AH109" s="1" t="s">
        <v>2410</v>
      </c>
      <c r="AI109" s="1" t="s">
        <v>2411</v>
      </c>
      <c r="AJ109" s="1" t="s">
        <v>132</v>
      </c>
      <c r="AK109" s="1" t="s">
        <v>2412</v>
      </c>
      <c r="AL109" s="1" t="s">
        <v>2413</v>
      </c>
      <c r="AM109" s="1" t="s">
        <v>132</v>
      </c>
      <c r="AN109" s="1" t="s">
        <v>132</v>
      </c>
    </row>
    <row r="110" ht="15.75" customHeight="1">
      <c r="A110" s="1" t="s">
        <v>38</v>
      </c>
      <c r="B110" s="1" t="s">
        <v>2414</v>
      </c>
      <c r="C110" s="1" t="s">
        <v>2415</v>
      </c>
      <c r="D110" s="8" t="s">
        <v>2416</v>
      </c>
      <c r="E110" s="1" t="s">
        <v>2417</v>
      </c>
      <c r="F110" s="1" t="s">
        <v>2418</v>
      </c>
      <c r="G110" s="1" t="s">
        <v>132</v>
      </c>
      <c r="H110" s="1" t="s">
        <v>132</v>
      </c>
      <c r="I110" s="1" t="s">
        <v>2419</v>
      </c>
      <c r="J110" s="1" t="s">
        <v>132</v>
      </c>
      <c r="K110" s="1" t="s">
        <v>2420</v>
      </c>
      <c r="L110" s="1" t="s">
        <v>132</v>
      </c>
      <c r="M110" s="1" t="s">
        <v>2421</v>
      </c>
      <c r="N110" s="1" t="s">
        <v>2422</v>
      </c>
      <c r="O110" s="1" t="s">
        <v>132</v>
      </c>
      <c r="P110" s="1" t="s">
        <v>2423</v>
      </c>
      <c r="Q110" s="1" t="s">
        <v>132</v>
      </c>
      <c r="R110" s="1" t="s">
        <v>132</v>
      </c>
      <c r="S110" s="1" t="s">
        <v>2424</v>
      </c>
      <c r="T110" s="1" t="s">
        <v>132</v>
      </c>
      <c r="U110" s="1" t="s">
        <v>2425</v>
      </c>
      <c r="V110" s="1" t="s">
        <v>2426</v>
      </c>
      <c r="W110" s="1" t="s">
        <v>132</v>
      </c>
      <c r="X110" s="1" t="s">
        <v>2427</v>
      </c>
      <c r="Y110" s="1" t="s">
        <v>132</v>
      </c>
      <c r="Z110" s="1" t="s">
        <v>2428</v>
      </c>
      <c r="AA110" s="1" t="s">
        <v>2429</v>
      </c>
      <c r="AB110" s="1" t="s">
        <v>132</v>
      </c>
      <c r="AC110" s="1" t="s">
        <v>2430</v>
      </c>
      <c r="AD110" s="1" t="s">
        <v>132</v>
      </c>
      <c r="AE110" s="1" t="s">
        <v>132</v>
      </c>
      <c r="AF110" s="1" t="s">
        <v>2431</v>
      </c>
      <c r="AG110" s="1" t="s">
        <v>2432</v>
      </c>
      <c r="AH110" s="1" t="s">
        <v>132</v>
      </c>
      <c r="AI110" s="1" t="s">
        <v>132</v>
      </c>
      <c r="AJ110" s="1" t="s">
        <v>2433</v>
      </c>
      <c r="AK110" s="1" t="s">
        <v>132</v>
      </c>
      <c r="AL110" s="1" t="s">
        <v>132</v>
      </c>
      <c r="AM110" s="1" t="s">
        <v>2434</v>
      </c>
      <c r="AN110" s="1" t="s">
        <v>2434</v>
      </c>
    </row>
    <row r="111" ht="15.75" customHeight="1">
      <c r="A111" s="1" t="s">
        <v>127</v>
      </c>
      <c r="B111" s="1" t="s">
        <v>2435</v>
      </c>
      <c r="C111" s="1" t="s">
        <v>2436</v>
      </c>
      <c r="D111" s="8" t="s">
        <v>2437</v>
      </c>
      <c r="E111" s="1" t="s">
        <v>2438</v>
      </c>
      <c r="F111" s="1" t="s">
        <v>132</v>
      </c>
      <c r="G111" s="1" t="s">
        <v>2439</v>
      </c>
      <c r="H111" s="1" t="s">
        <v>2440</v>
      </c>
      <c r="I111" s="1" t="s">
        <v>2441</v>
      </c>
      <c r="J111" s="1" t="s">
        <v>2442</v>
      </c>
      <c r="K111" s="1" t="s">
        <v>2443</v>
      </c>
      <c r="L111" s="1" t="s">
        <v>2444</v>
      </c>
      <c r="M111" s="1" t="s">
        <v>2445</v>
      </c>
      <c r="N111" s="1" t="s">
        <v>132</v>
      </c>
      <c r="O111" s="1" t="s">
        <v>2446</v>
      </c>
      <c r="P111" s="1" t="s">
        <v>2447</v>
      </c>
      <c r="Q111" s="1" t="s">
        <v>132</v>
      </c>
      <c r="R111" s="1" t="s">
        <v>2448</v>
      </c>
      <c r="S111" s="1" t="s">
        <v>2449</v>
      </c>
      <c r="T111" s="8" t="s">
        <v>2450</v>
      </c>
      <c r="U111" s="1" t="s">
        <v>2451</v>
      </c>
      <c r="V111" s="1" t="s">
        <v>2452</v>
      </c>
      <c r="W111" s="1" t="s">
        <v>2453</v>
      </c>
      <c r="X111" s="1" t="s">
        <v>2454</v>
      </c>
      <c r="Y111" s="1" t="s">
        <v>2455</v>
      </c>
      <c r="Z111" s="1" t="s">
        <v>2456</v>
      </c>
      <c r="AA111" s="1" t="s">
        <v>2457</v>
      </c>
      <c r="AB111" s="1" t="s">
        <v>2458</v>
      </c>
      <c r="AC111" s="1" t="s">
        <v>2459</v>
      </c>
      <c r="AD111" s="1" t="s">
        <v>2460</v>
      </c>
      <c r="AE111" s="1" t="s">
        <v>2461</v>
      </c>
      <c r="AF111" s="1" t="s">
        <v>2462</v>
      </c>
      <c r="AG111" s="1" t="s">
        <v>2463</v>
      </c>
      <c r="AH111" s="1" t="s">
        <v>2464</v>
      </c>
      <c r="AI111" s="1" t="s">
        <v>2465</v>
      </c>
      <c r="AJ111" s="1" t="s">
        <v>132</v>
      </c>
      <c r="AK111" s="1" t="s">
        <v>2466</v>
      </c>
      <c r="AL111" s="1" t="s">
        <v>2467</v>
      </c>
      <c r="AM111" s="1" t="s">
        <v>132</v>
      </c>
      <c r="AN111" s="1" t="s">
        <v>132</v>
      </c>
    </row>
    <row r="112" ht="15.75" customHeight="1">
      <c r="A112" s="1" t="s">
        <v>38</v>
      </c>
      <c r="B112" s="1" t="s">
        <v>2468</v>
      </c>
      <c r="C112" s="1" t="s">
        <v>2469</v>
      </c>
      <c r="D112" s="8" t="s">
        <v>2470</v>
      </c>
      <c r="E112" s="1" t="s">
        <v>2471</v>
      </c>
      <c r="F112" s="1" t="s">
        <v>2472</v>
      </c>
      <c r="G112" s="1" t="s">
        <v>132</v>
      </c>
      <c r="H112" s="1" t="s">
        <v>132</v>
      </c>
      <c r="I112" s="1" t="s">
        <v>2473</v>
      </c>
      <c r="J112" s="1" t="s">
        <v>132</v>
      </c>
      <c r="K112" s="1" t="s">
        <v>2474</v>
      </c>
      <c r="L112" s="1" t="s">
        <v>132</v>
      </c>
      <c r="M112" s="1" t="s">
        <v>2475</v>
      </c>
      <c r="N112" s="1" t="s">
        <v>2476</v>
      </c>
      <c r="O112" s="1" t="s">
        <v>132</v>
      </c>
      <c r="P112" s="1" t="s">
        <v>2477</v>
      </c>
      <c r="Q112" s="1" t="s">
        <v>132</v>
      </c>
      <c r="R112" s="1" t="s">
        <v>132</v>
      </c>
      <c r="S112" s="1" t="s">
        <v>2478</v>
      </c>
      <c r="T112" s="1" t="s">
        <v>132</v>
      </c>
      <c r="U112" s="1" t="s">
        <v>132</v>
      </c>
      <c r="V112" s="1" t="s">
        <v>132</v>
      </c>
      <c r="W112" s="1" t="s">
        <v>132</v>
      </c>
      <c r="X112" s="1" t="s">
        <v>2479</v>
      </c>
      <c r="Y112" s="1" t="s">
        <v>132</v>
      </c>
      <c r="Z112" s="1" t="s">
        <v>2480</v>
      </c>
      <c r="AA112" s="1" t="s">
        <v>2481</v>
      </c>
      <c r="AB112" s="1" t="s">
        <v>132</v>
      </c>
      <c r="AC112" s="1" t="s">
        <v>2482</v>
      </c>
      <c r="AD112" s="1" t="s">
        <v>132</v>
      </c>
      <c r="AE112" s="1" t="s">
        <v>132</v>
      </c>
      <c r="AF112" s="1" t="s">
        <v>132</v>
      </c>
      <c r="AG112" s="1" t="s">
        <v>132</v>
      </c>
      <c r="AH112" s="1" t="s">
        <v>132</v>
      </c>
      <c r="AI112" s="1" t="s">
        <v>132</v>
      </c>
      <c r="AJ112" s="1" t="s">
        <v>132</v>
      </c>
      <c r="AK112" s="1" t="s">
        <v>132</v>
      </c>
      <c r="AL112" s="1" t="s">
        <v>132</v>
      </c>
      <c r="AM112" s="1" t="s">
        <v>132</v>
      </c>
      <c r="AN112" s="1" t="s">
        <v>132</v>
      </c>
    </row>
    <row r="113" ht="15.75" customHeight="1">
      <c r="A113" s="1" t="s">
        <v>127</v>
      </c>
      <c r="B113" s="1" t="s">
        <v>2483</v>
      </c>
      <c r="C113" s="1" t="s">
        <v>2484</v>
      </c>
      <c r="D113" s="8" t="s">
        <v>2485</v>
      </c>
      <c r="E113" s="1" t="s">
        <v>2486</v>
      </c>
      <c r="F113" s="1" t="s">
        <v>132</v>
      </c>
      <c r="G113" s="1" t="s">
        <v>2487</v>
      </c>
      <c r="H113" s="1" t="s">
        <v>2484</v>
      </c>
      <c r="I113" s="1" t="s">
        <v>2488</v>
      </c>
      <c r="J113" s="1" t="s">
        <v>2489</v>
      </c>
      <c r="K113" s="1" t="s">
        <v>2490</v>
      </c>
      <c r="L113" s="1" t="s">
        <v>2491</v>
      </c>
      <c r="M113" s="1" t="s">
        <v>2492</v>
      </c>
      <c r="N113" s="1" t="s">
        <v>132</v>
      </c>
      <c r="O113" s="1" t="s">
        <v>2493</v>
      </c>
      <c r="P113" s="1" t="s">
        <v>2494</v>
      </c>
      <c r="Q113" s="1" t="s">
        <v>132</v>
      </c>
      <c r="R113" s="1" t="s">
        <v>2495</v>
      </c>
      <c r="S113" s="1" t="s">
        <v>2496</v>
      </c>
      <c r="T113" s="8" t="s">
        <v>2497</v>
      </c>
      <c r="U113" s="1" t="s">
        <v>2498</v>
      </c>
      <c r="V113" s="1" t="s">
        <v>2499</v>
      </c>
      <c r="W113" s="1" t="s">
        <v>2495</v>
      </c>
      <c r="X113" s="1" t="s">
        <v>2500</v>
      </c>
      <c r="Y113" s="1" t="s">
        <v>2501</v>
      </c>
      <c r="Z113" s="1" t="s">
        <v>2502</v>
      </c>
      <c r="AA113" s="1" t="s">
        <v>2503</v>
      </c>
      <c r="AB113" s="1" t="s">
        <v>2504</v>
      </c>
      <c r="AC113" s="1" t="s">
        <v>2505</v>
      </c>
      <c r="AD113" s="1" t="s">
        <v>2506</v>
      </c>
      <c r="AE113" s="1" t="s">
        <v>2507</v>
      </c>
      <c r="AF113" s="1" t="s">
        <v>2507</v>
      </c>
      <c r="AG113" s="1" t="s">
        <v>2484</v>
      </c>
      <c r="AH113" s="1" t="s">
        <v>2508</v>
      </c>
      <c r="AI113" s="1" t="s">
        <v>2509</v>
      </c>
      <c r="AJ113" s="1" t="s">
        <v>132</v>
      </c>
      <c r="AK113" s="1" t="s">
        <v>2510</v>
      </c>
      <c r="AL113" s="1" t="s">
        <v>2511</v>
      </c>
      <c r="AM113" s="1" t="s">
        <v>132</v>
      </c>
      <c r="AN113" s="1" t="s">
        <v>132</v>
      </c>
    </row>
    <row r="114" ht="15.75" customHeight="1">
      <c r="A114" s="1" t="s">
        <v>127</v>
      </c>
      <c r="B114" s="1" t="s">
        <v>2512</v>
      </c>
      <c r="C114" s="1" t="s">
        <v>132</v>
      </c>
      <c r="D114" s="1" t="s">
        <v>132</v>
      </c>
      <c r="E114" s="1" t="s">
        <v>2513</v>
      </c>
      <c r="F114" s="1" t="s">
        <v>132</v>
      </c>
      <c r="G114" s="1" t="s">
        <v>2514</v>
      </c>
      <c r="H114" s="1" t="s">
        <v>2515</v>
      </c>
      <c r="I114" s="1" t="s">
        <v>132</v>
      </c>
      <c r="J114" s="1" t="s">
        <v>2516</v>
      </c>
      <c r="K114" s="1" t="s">
        <v>132</v>
      </c>
      <c r="L114" s="1" t="s">
        <v>2517</v>
      </c>
      <c r="M114" s="1" t="s">
        <v>132</v>
      </c>
      <c r="N114" s="1" t="s">
        <v>132</v>
      </c>
      <c r="O114" s="1" t="s">
        <v>132</v>
      </c>
      <c r="P114" s="1" t="s">
        <v>132</v>
      </c>
      <c r="Q114" s="1" t="s">
        <v>132</v>
      </c>
      <c r="R114" s="1" t="s">
        <v>132</v>
      </c>
      <c r="S114" s="1" t="s">
        <v>132</v>
      </c>
      <c r="T114" s="1" t="s">
        <v>132</v>
      </c>
      <c r="U114" s="1" t="s">
        <v>132</v>
      </c>
      <c r="V114" s="1" t="s">
        <v>132</v>
      </c>
      <c r="W114" s="1" t="s">
        <v>132</v>
      </c>
      <c r="X114" s="1" t="s">
        <v>132</v>
      </c>
      <c r="Y114" s="1" t="s">
        <v>2518</v>
      </c>
      <c r="Z114" s="1" t="s">
        <v>132</v>
      </c>
      <c r="AA114" s="1" t="s">
        <v>132</v>
      </c>
      <c r="AB114" s="1" t="s">
        <v>132</v>
      </c>
      <c r="AC114" s="1" t="s">
        <v>132</v>
      </c>
      <c r="AD114" s="1" t="s">
        <v>2519</v>
      </c>
      <c r="AE114" s="1" t="s">
        <v>2520</v>
      </c>
      <c r="AF114" s="1" t="s">
        <v>132</v>
      </c>
      <c r="AG114" s="1" t="s">
        <v>132</v>
      </c>
      <c r="AH114" s="1" t="s">
        <v>132</v>
      </c>
      <c r="AI114" s="1" t="s">
        <v>132</v>
      </c>
      <c r="AJ114" s="1" t="s">
        <v>132</v>
      </c>
      <c r="AK114" s="1" t="s">
        <v>132</v>
      </c>
      <c r="AL114" s="1" t="s">
        <v>132</v>
      </c>
      <c r="AM114" s="1" t="s">
        <v>132</v>
      </c>
      <c r="AN114" s="1" t="s">
        <v>132</v>
      </c>
    </row>
    <row r="115" ht="15.75" customHeight="1">
      <c r="A115" s="1" t="s">
        <v>127</v>
      </c>
      <c r="B115" s="1" t="s">
        <v>2521</v>
      </c>
      <c r="C115" s="1" t="s">
        <v>132</v>
      </c>
      <c r="D115" s="1" t="s">
        <v>132</v>
      </c>
      <c r="E115" s="1" t="s">
        <v>2522</v>
      </c>
      <c r="F115" s="1" t="s">
        <v>132</v>
      </c>
      <c r="G115" s="1" t="s">
        <v>2523</v>
      </c>
      <c r="H115" s="1" t="s">
        <v>2524</v>
      </c>
      <c r="I115" s="1" t="s">
        <v>132</v>
      </c>
      <c r="J115" s="1" t="s">
        <v>2525</v>
      </c>
      <c r="K115" s="1" t="s">
        <v>132</v>
      </c>
      <c r="L115" s="1" t="s">
        <v>2526</v>
      </c>
      <c r="M115" s="1" t="s">
        <v>132</v>
      </c>
      <c r="N115" s="1" t="s">
        <v>132</v>
      </c>
      <c r="O115" s="1" t="s">
        <v>132</v>
      </c>
      <c r="P115" s="1" t="s">
        <v>132</v>
      </c>
      <c r="Q115" s="1" t="s">
        <v>132</v>
      </c>
      <c r="R115" s="1" t="s">
        <v>132</v>
      </c>
      <c r="S115" s="1" t="s">
        <v>132</v>
      </c>
      <c r="T115" s="1" t="s">
        <v>132</v>
      </c>
      <c r="U115" s="1" t="s">
        <v>132</v>
      </c>
      <c r="V115" s="1" t="s">
        <v>132</v>
      </c>
      <c r="W115" s="1" t="s">
        <v>132</v>
      </c>
      <c r="X115" s="1" t="s">
        <v>132</v>
      </c>
      <c r="Y115" s="1" t="s">
        <v>2527</v>
      </c>
      <c r="Z115" s="1" t="s">
        <v>132</v>
      </c>
      <c r="AA115" s="1" t="s">
        <v>132</v>
      </c>
      <c r="AB115" s="1" t="s">
        <v>132</v>
      </c>
      <c r="AC115" s="1" t="s">
        <v>132</v>
      </c>
      <c r="AD115" s="1" t="s">
        <v>2528</v>
      </c>
      <c r="AE115" s="1" t="s">
        <v>2529</v>
      </c>
      <c r="AF115" s="1" t="s">
        <v>132</v>
      </c>
      <c r="AG115" s="1" t="s">
        <v>132</v>
      </c>
      <c r="AH115" s="1" t="s">
        <v>132</v>
      </c>
      <c r="AI115" s="1" t="s">
        <v>132</v>
      </c>
      <c r="AJ115" s="1" t="s">
        <v>132</v>
      </c>
      <c r="AK115" s="1" t="s">
        <v>132</v>
      </c>
      <c r="AL115" s="1" t="s">
        <v>132</v>
      </c>
      <c r="AM115" s="1" t="s">
        <v>132</v>
      </c>
      <c r="AN115" s="1" t="s">
        <v>132</v>
      </c>
    </row>
    <row r="116" ht="15.75" customHeight="1">
      <c r="A116" s="1" t="s">
        <v>38</v>
      </c>
      <c r="B116" s="1" t="s">
        <v>2530</v>
      </c>
      <c r="C116" s="1" t="s">
        <v>2531</v>
      </c>
      <c r="D116" s="1" t="s">
        <v>132</v>
      </c>
      <c r="E116" s="1" t="s">
        <v>132</v>
      </c>
      <c r="F116" s="1" t="s">
        <v>132</v>
      </c>
      <c r="G116" s="1" t="s">
        <v>132</v>
      </c>
      <c r="H116" s="1" t="s">
        <v>132</v>
      </c>
      <c r="I116" s="1" t="s">
        <v>2532</v>
      </c>
      <c r="J116" s="1" t="s">
        <v>132</v>
      </c>
      <c r="K116" s="1" t="s">
        <v>2533</v>
      </c>
      <c r="L116" s="1" t="s">
        <v>132</v>
      </c>
      <c r="M116" s="1" t="s">
        <v>2534</v>
      </c>
      <c r="N116" s="1" t="s">
        <v>132</v>
      </c>
      <c r="O116" s="1" t="s">
        <v>132</v>
      </c>
      <c r="P116" s="1" t="s">
        <v>2535</v>
      </c>
      <c r="Q116" s="1" t="s">
        <v>132</v>
      </c>
      <c r="R116" s="1" t="s">
        <v>132</v>
      </c>
      <c r="S116" s="1" t="s">
        <v>132</v>
      </c>
      <c r="T116" s="1" t="s">
        <v>132</v>
      </c>
      <c r="U116" s="1" t="s">
        <v>132</v>
      </c>
      <c r="V116" s="1" t="s">
        <v>132</v>
      </c>
      <c r="W116" s="1" t="s">
        <v>132</v>
      </c>
      <c r="X116" s="1" t="s">
        <v>132</v>
      </c>
      <c r="Y116" s="1" t="s">
        <v>132</v>
      </c>
      <c r="Z116" s="1" t="s">
        <v>132</v>
      </c>
      <c r="AA116" s="1" t="s">
        <v>132</v>
      </c>
      <c r="AB116" s="1" t="s">
        <v>132</v>
      </c>
      <c r="AC116" s="1" t="s">
        <v>2536</v>
      </c>
      <c r="AD116" s="1" t="s">
        <v>132</v>
      </c>
      <c r="AE116" s="1" t="s">
        <v>132</v>
      </c>
      <c r="AF116" s="1" t="s">
        <v>2537</v>
      </c>
      <c r="AG116" s="1" t="s">
        <v>132</v>
      </c>
      <c r="AH116" s="1" t="s">
        <v>132</v>
      </c>
      <c r="AI116" s="1" t="s">
        <v>132</v>
      </c>
      <c r="AJ116" s="1" t="s">
        <v>132</v>
      </c>
      <c r="AK116" s="1" t="s">
        <v>132</v>
      </c>
      <c r="AL116" s="1" t="s">
        <v>132</v>
      </c>
      <c r="AM116" s="1" t="s">
        <v>132</v>
      </c>
      <c r="AN116" s="1" t="s">
        <v>132</v>
      </c>
    </row>
    <row r="117" ht="15.75" customHeight="1">
      <c r="A117" s="1" t="s">
        <v>127</v>
      </c>
      <c r="B117" s="1" t="s">
        <v>2538</v>
      </c>
      <c r="C117" s="1" t="s">
        <v>132</v>
      </c>
      <c r="D117" s="1" t="s">
        <v>132</v>
      </c>
      <c r="E117" s="1" t="s">
        <v>2539</v>
      </c>
      <c r="F117" s="1" t="s">
        <v>132</v>
      </c>
      <c r="G117" s="1" t="s">
        <v>2540</v>
      </c>
      <c r="H117" s="1" t="s">
        <v>2541</v>
      </c>
      <c r="I117" s="1" t="s">
        <v>132</v>
      </c>
      <c r="J117" s="1" t="s">
        <v>2542</v>
      </c>
      <c r="K117" s="1" t="s">
        <v>132</v>
      </c>
      <c r="L117" s="1" t="s">
        <v>2543</v>
      </c>
      <c r="M117" s="1" t="s">
        <v>132</v>
      </c>
      <c r="N117" s="1" t="s">
        <v>132</v>
      </c>
      <c r="O117" s="1" t="s">
        <v>132</v>
      </c>
      <c r="P117" s="1" t="s">
        <v>132</v>
      </c>
      <c r="Q117" s="1" t="s">
        <v>132</v>
      </c>
      <c r="R117" s="1" t="s">
        <v>132</v>
      </c>
      <c r="S117" s="1" t="s">
        <v>132</v>
      </c>
      <c r="T117" s="1" t="s">
        <v>132</v>
      </c>
      <c r="U117" s="1" t="s">
        <v>132</v>
      </c>
      <c r="V117" s="1" t="s">
        <v>132</v>
      </c>
      <c r="W117" s="1" t="s">
        <v>132</v>
      </c>
      <c r="X117" s="1" t="s">
        <v>132</v>
      </c>
      <c r="Y117" s="1" t="s">
        <v>2544</v>
      </c>
      <c r="Z117" s="1" t="s">
        <v>132</v>
      </c>
      <c r="AA117" s="1" t="s">
        <v>132</v>
      </c>
      <c r="AB117" s="1" t="s">
        <v>132</v>
      </c>
      <c r="AC117" s="1" t="s">
        <v>132</v>
      </c>
      <c r="AD117" s="1" t="s">
        <v>2545</v>
      </c>
      <c r="AE117" s="1" t="s">
        <v>2546</v>
      </c>
      <c r="AF117" s="1" t="s">
        <v>132</v>
      </c>
      <c r="AG117" s="1" t="s">
        <v>132</v>
      </c>
      <c r="AH117" s="1" t="s">
        <v>132</v>
      </c>
      <c r="AI117" s="1" t="s">
        <v>132</v>
      </c>
      <c r="AJ117" s="1" t="s">
        <v>132</v>
      </c>
      <c r="AK117" s="1" t="s">
        <v>132</v>
      </c>
      <c r="AL117" s="1" t="s">
        <v>132</v>
      </c>
      <c r="AM117" s="1" t="s">
        <v>132</v>
      </c>
      <c r="AN117" s="1" t="s">
        <v>132</v>
      </c>
    </row>
    <row r="118" ht="15.75" customHeight="1">
      <c r="A118" s="1" t="s">
        <v>127</v>
      </c>
      <c r="B118" s="1" t="s">
        <v>2547</v>
      </c>
      <c r="C118" s="1" t="s">
        <v>2548</v>
      </c>
      <c r="D118" s="8" t="s">
        <v>2549</v>
      </c>
      <c r="E118" s="1" t="s">
        <v>2550</v>
      </c>
      <c r="F118" s="1" t="s">
        <v>132</v>
      </c>
      <c r="G118" s="1" t="s">
        <v>2551</v>
      </c>
      <c r="H118" s="1" t="s">
        <v>2548</v>
      </c>
      <c r="I118" s="1" t="s">
        <v>2552</v>
      </c>
      <c r="J118" s="1" t="s">
        <v>2548</v>
      </c>
      <c r="K118" s="1" t="s">
        <v>2553</v>
      </c>
      <c r="L118" s="1" t="s">
        <v>2548</v>
      </c>
      <c r="M118" s="1" t="s">
        <v>2554</v>
      </c>
      <c r="N118" s="1" t="s">
        <v>132</v>
      </c>
      <c r="O118" s="1" t="s">
        <v>2555</v>
      </c>
      <c r="P118" s="1" t="s">
        <v>2548</v>
      </c>
      <c r="Q118" s="1" t="s">
        <v>132</v>
      </c>
      <c r="R118" s="1" t="s">
        <v>2556</v>
      </c>
      <c r="S118" s="1" t="s">
        <v>2548</v>
      </c>
      <c r="T118" s="8" t="s">
        <v>2557</v>
      </c>
      <c r="U118" s="1" t="s">
        <v>2558</v>
      </c>
      <c r="V118" s="1" t="s">
        <v>2559</v>
      </c>
      <c r="W118" s="1" t="s">
        <v>2560</v>
      </c>
      <c r="X118" s="1" t="s">
        <v>2548</v>
      </c>
      <c r="Y118" s="1" t="s">
        <v>2561</v>
      </c>
      <c r="Z118" s="1" t="s">
        <v>2562</v>
      </c>
      <c r="AA118" s="1" t="s">
        <v>2563</v>
      </c>
      <c r="AB118" s="1" t="s">
        <v>2564</v>
      </c>
      <c r="AC118" s="1" t="s">
        <v>2565</v>
      </c>
      <c r="AD118" s="1" t="s">
        <v>2566</v>
      </c>
      <c r="AE118" s="1" t="s">
        <v>2567</v>
      </c>
      <c r="AF118" s="1" t="s">
        <v>2568</v>
      </c>
      <c r="AG118" s="1" t="s">
        <v>2548</v>
      </c>
      <c r="AH118" s="1" t="s">
        <v>2569</v>
      </c>
      <c r="AI118" s="1" t="s">
        <v>2570</v>
      </c>
      <c r="AJ118" s="1" t="s">
        <v>132</v>
      </c>
      <c r="AK118" s="1" t="s">
        <v>2571</v>
      </c>
      <c r="AL118" s="1" t="s">
        <v>2572</v>
      </c>
      <c r="AM118" s="1" t="s">
        <v>132</v>
      </c>
      <c r="AN118" s="1" t="s">
        <v>132</v>
      </c>
    </row>
    <row r="119" ht="15.75" customHeight="1">
      <c r="A119" s="1" t="s">
        <v>127</v>
      </c>
      <c r="B119" s="1" t="s">
        <v>2573</v>
      </c>
      <c r="C119" s="1" t="s">
        <v>2574</v>
      </c>
      <c r="D119" s="8" t="s">
        <v>2575</v>
      </c>
      <c r="E119" s="1" t="s">
        <v>2576</v>
      </c>
      <c r="F119" s="1" t="s">
        <v>132</v>
      </c>
      <c r="G119" s="1" t="s">
        <v>2577</v>
      </c>
      <c r="H119" s="1" t="s">
        <v>2578</v>
      </c>
      <c r="I119" s="1" t="s">
        <v>2579</v>
      </c>
      <c r="J119" s="1" t="s">
        <v>2580</v>
      </c>
      <c r="K119" s="1" t="s">
        <v>2581</v>
      </c>
      <c r="L119" s="1" t="s">
        <v>2582</v>
      </c>
      <c r="M119" s="1" t="s">
        <v>2583</v>
      </c>
      <c r="N119" s="1" t="s">
        <v>132</v>
      </c>
      <c r="O119" s="1" t="s">
        <v>2584</v>
      </c>
      <c r="P119" s="1" t="s">
        <v>2585</v>
      </c>
      <c r="Q119" s="1" t="s">
        <v>132</v>
      </c>
      <c r="R119" s="1" t="s">
        <v>2574</v>
      </c>
      <c r="S119" s="1" t="s">
        <v>2586</v>
      </c>
      <c r="T119" s="8" t="s">
        <v>2587</v>
      </c>
      <c r="U119" s="1" t="s">
        <v>2588</v>
      </c>
      <c r="V119" s="1" t="s">
        <v>2589</v>
      </c>
      <c r="W119" s="1" t="s">
        <v>2590</v>
      </c>
      <c r="X119" s="1" t="s">
        <v>2590</v>
      </c>
      <c r="Y119" s="1" t="s">
        <v>2591</v>
      </c>
      <c r="Z119" s="1" t="s">
        <v>2592</v>
      </c>
      <c r="AA119" s="1" t="s">
        <v>2593</v>
      </c>
      <c r="AB119" s="1" t="s">
        <v>2594</v>
      </c>
      <c r="AC119" s="1" t="s">
        <v>2595</v>
      </c>
      <c r="AD119" s="1" t="s">
        <v>2596</v>
      </c>
      <c r="AE119" s="1" t="s">
        <v>2597</v>
      </c>
      <c r="AF119" s="1" t="s">
        <v>2598</v>
      </c>
      <c r="AG119" s="1" t="s">
        <v>2599</v>
      </c>
      <c r="AH119" s="1" t="s">
        <v>2600</v>
      </c>
      <c r="AI119" s="1" t="s">
        <v>2601</v>
      </c>
      <c r="AJ119" s="1" t="s">
        <v>132</v>
      </c>
      <c r="AK119" s="1" t="s">
        <v>2602</v>
      </c>
      <c r="AL119" s="1" t="s">
        <v>2603</v>
      </c>
      <c r="AM119" s="1" t="s">
        <v>132</v>
      </c>
      <c r="AN119" s="1" t="s">
        <v>132</v>
      </c>
    </row>
    <row r="120" ht="15.75" customHeight="1">
      <c r="A120" s="1" t="s">
        <v>127</v>
      </c>
      <c r="B120" s="1" t="s">
        <v>2604</v>
      </c>
      <c r="C120" s="1" t="s">
        <v>132</v>
      </c>
      <c r="D120" s="1" t="s">
        <v>132</v>
      </c>
      <c r="E120" s="1" t="s">
        <v>2605</v>
      </c>
      <c r="F120" s="1" t="s">
        <v>132</v>
      </c>
      <c r="G120" s="1" t="s">
        <v>2606</v>
      </c>
      <c r="H120" s="1" t="s">
        <v>2607</v>
      </c>
      <c r="I120" s="1" t="s">
        <v>132</v>
      </c>
      <c r="J120" s="1" t="s">
        <v>2608</v>
      </c>
      <c r="K120" s="1" t="s">
        <v>132</v>
      </c>
      <c r="L120" s="1" t="s">
        <v>2609</v>
      </c>
      <c r="M120" s="1" t="s">
        <v>132</v>
      </c>
      <c r="N120" s="1" t="s">
        <v>132</v>
      </c>
      <c r="O120" s="1" t="s">
        <v>132</v>
      </c>
      <c r="P120" s="1" t="s">
        <v>132</v>
      </c>
      <c r="Q120" s="1" t="s">
        <v>132</v>
      </c>
      <c r="R120" s="1" t="s">
        <v>132</v>
      </c>
      <c r="S120" s="1" t="s">
        <v>132</v>
      </c>
      <c r="T120" s="1" t="s">
        <v>132</v>
      </c>
      <c r="U120" s="1" t="s">
        <v>132</v>
      </c>
      <c r="V120" s="1" t="s">
        <v>132</v>
      </c>
      <c r="W120" s="1" t="s">
        <v>132</v>
      </c>
      <c r="X120" s="1" t="s">
        <v>132</v>
      </c>
      <c r="Y120" s="1" t="s">
        <v>2610</v>
      </c>
      <c r="Z120" s="1" t="s">
        <v>132</v>
      </c>
      <c r="AA120" s="1" t="s">
        <v>132</v>
      </c>
      <c r="AB120" s="1" t="s">
        <v>132</v>
      </c>
      <c r="AC120" s="1" t="s">
        <v>132</v>
      </c>
      <c r="AD120" s="1" t="s">
        <v>2611</v>
      </c>
      <c r="AE120" s="1" t="s">
        <v>2612</v>
      </c>
      <c r="AF120" s="1" t="s">
        <v>132</v>
      </c>
      <c r="AG120" s="1" t="s">
        <v>132</v>
      </c>
      <c r="AH120" s="1" t="s">
        <v>132</v>
      </c>
      <c r="AI120" s="1" t="s">
        <v>132</v>
      </c>
      <c r="AJ120" s="1" t="s">
        <v>132</v>
      </c>
      <c r="AK120" s="1" t="s">
        <v>132</v>
      </c>
      <c r="AL120" s="1" t="s">
        <v>132</v>
      </c>
      <c r="AM120" s="1" t="s">
        <v>132</v>
      </c>
      <c r="AN120" s="1" t="s">
        <v>132</v>
      </c>
    </row>
    <row r="121" ht="15.75" customHeight="1">
      <c r="A121" s="1" t="s">
        <v>38</v>
      </c>
      <c r="B121" s="1" t="s">
        <v>2613</v>
      </c>
      <c r="C121" s="1" t="s">
        <v>2614</v>
      </c>
      <c r="D121" s="1" t="s">
        <v>132</v>
      </c>
      <c r="E121" s="1" t="s">
        <v>132</v>
      </c>
      <c r="F121" s="1" t="s">
        <v>132</v>
      </c>
      <c r="G121" s="1" t="s">
        <v>132</v>
      </c>
      <c r="H121" s="1" t="s">
        <v>132</v>
      </c>
      <c r="I121" s="1" t="s">
        <v>2614</v>
      </c>
      <c r="J121" s="1" t="s">
        <v>132</v>
      </c>
      <c r="K121" s="1" t="s">
        <v>2614</v>
      </c>
      <c r="L121" s="1" t="s">
        <v>132</v>
      </c>
      <c r="M121" s="1" t="s">
        <v>2615</v>
      </c>
      <c r="N121" s="1" t="s">
        <v>132</v>
      </c>
      <c r="O121" s="1" t="s">
        <v>132</v>
      </c>
      <c r="P121" s="1" t="s">
        <v>2614</v>
      </c>
      <c r="Q121" s="1" t="s">
        <v>132</v>
      </c>
      <c r="R121" s="1" t="s">
        <v>132</v>
      </c>
      <c r="S121" s="1" t="s">
        <v>132</v>
      </c>
      <c r="T121" s="1" t="s">
        <v>132</v>
      </c>
      <c r="U121" s="1" t="s">
        <v>132</v>
      </c>
      <c r="V121" s="1" t="s">
        <v>132</v>
      </c>
      <c r="W121" s="1" t="s">
        <v>132</v>
      </c>
      <c r="X121" s="1" t="s">
        <v>132</v>
      </c>
      <c r="Y121" s="1" t="s">
        <v>132</v>
      </c>
      <c r="Z121" s="1" t="s">
        <v>132</v>
      </c>
      <c r="AA121" s="1" t="s">
        <v>132</v>
      </c>
      <c r="AB121" s="1" t="s">
        <v>132</v>
      </c>
      <c r="AC121" s="1" t="s">
        <v>2616</v>
      </c>
      <c r="AD121" s="1" t="s">
        <v>132</v>
      </c>
      <c r="AE121" s="1" t="s">
        <v>132</v>
      </c>
      <c r="AF121" s="1" t="s">
        <v>2617</v>
      </c>
      <c r="AG121" s="1" t="s">
        <v>132</v>
      </c>
      <c r="AH121" s="1" t="s">
        <v>132</v>
      </c>
      <c r="AI121" s="1" t="s">
        <v>132</v>
      </c>
      <c r="AJ121" s="1" t="s">
        <v>132</v>
      </c>
      <c r="AK121" s="1" t="s">
        <v>132</v>
      </c>
      <c r="AL121" s="1" t="s">
        <v>132</v>
      </c>
      <c r="AM121" s="1" t="s">
        <v>132</v>
      </c>
      <c r="AN121" s="1" t="s">
        <v>132</v>
      </c>
    </row>
    <row r="122" ht="15.75" customHeight="1">
      <c r="A122" s="1" t="s">
        <v>127</v>
      </c>
      <c r="B122" s="1" t="s">
        <v>2618</v>
      </c>
      <c r="C122" s="1" t="s">
        <v>2619</v>
      </c>
      <c r="D122" s="8" t="s">
        <v>2620</v>
      </c>
      <c r="E122" s="1" t="s">
        <v>2621</v>
      </c>
      <c r="F122" s="1" t="s">
        <v>132</v>
      </c>
      <c r="G122" s="1" t="s">
        <v>2622</v>
      </c>
      <c r="H122" s="1" t="s">
        <v>2619</v>
      </c>
      <c r="I122" s="1" t="s">
        <v>2623</v>
      </c>
      <c r="J122" s="1" t="s">
        <v>2619</v>
      </c>
      <c r="K122" s="1" t="s">
        <v>2624</v>
      </c>
      <c r="L122" s="1" t="s">
        <v>2619</v>
      </c>
      <c r="M122" s="1" t="s">
        <v>2625</v>
      </c>
      <c r="N122" s="1" t="s">
        <v>132</v>
      </c>
      <c r="O122" s="1" t="s">
        <v>2626</v>
      </c>
      <c r="P122" s="1" t="s">
        <v>2619</v>
      </c>
      <c r="Q122" s="1" t="s">
        <v>132</v>
      </c>
      <c r="R122" s="1" t="s">
        <v>2627</v>
      </c>
      <c r="S122" s="1" t="s">
        <v>2628</v>
      </c>
      <c r="T122" s="8" t="s">
        <v>2629</v>
      </c>
      <c r="U122" s="1" t="s">
        <v>2630</v>
      </c>
      <c r="V122" s="1" t="s">
        <v>2631</v>
      </c>
      <c r="W122" s="1" t="s">
        <v>2632</v>
      </c>
      <c r="X122" s="1" t="s">
        <v>2619</v>
      </c>
      <c r="Y122" s="1" t="s">
        <v>2619</v>
      </c>
      <c r="Z122" s="11" t="s">
        <v>2633</v>
      </c>
      <c r="AA122" s="1" t="s">
        <v>2634</v>
      </c>
      <c r="AB122" s="1" t="s">
        <v>2635</v>
      </c>
      <c r="AC122" s="1" t="s">
        <v>2636</v>
      </c>
      <c r="AD122" s="1" t="s">
        <v>2637</v>
      </c>
      <c r="AE122" s="1" t="s">
        <v>2619</v>
      </c>
      <c r="AF122" s="1" t="s">
        <v>2638</v>
      </c>
      <c r="AG122" s="1" t="s">
        <v>2639</v>
      </c>
      <c r="AH122" s="1" t="s">
        <v>2640</v>
      </c>
      <c r="AI122" s="1" t="s">
        <v>2641</v>
      </c>
      <c r="AJ122" s="1" t="s">
        <v>132</v>
      </c>
      <c r="AK122" s="1" t="s">
        <v>2642</v>
      </c>
      <c r="AL122" s="1" t="s">
        <v>2643</v>
      </c>
      <c r="AM122" s="1" t="s">
        <v>132</v>
      </c>
      <c r="AN122" s="1" t="s">
        <v>132</v>
      </c>
    </row>
    <row r="123" ht="15.75" customHeight="1">
      <c r="A123" s="1" t="s">
        <v>127</v>
      </c>
      <c r="B123" s="1" t="s">
        <v>2644</v>
      </c>
      <c r="C123" s="1" t="s">
        <v>2645</v>
      </c>
      <c r="D123" s="8" t="s">
        <v>2646</v>
      </c>
      <c r="E123" s="1" t="s">
        <v>2647</v>
      </c>
      <c r="F123" s="1" t="s">
        <v>132</v>
      </c>
      <c r="G123" s="1" t="s">
        <v>2648</v>
      </c>
      <c r="H123" s="1" t="s">
        <v>2649</v>
      </c>
      <c r="I123" s="1" t="s">
        <v>2650</v>
      </c>
      <c r="J123" s="1" t="s">
        <v>2651</v>
      </c>
      <c r="K123" s="1" t="s">
        <v>2652</v>
      </c>
      <c r="L123" s="1" t="s">
        <v>2653</v>
      </c>
      <c r="M123" s="1" t="s">
        <v>2654</v>
      </c>
      <c r="N123" s="1" t="s">
        <v>132</v>
      </c>
      <c r="O123" s="1" t="s">
        <v>2655</v>
      </c>
      <c r="P123" s="1" t="s">
        <v>2656</v>
      </c>
      <c r="Q123" s="1" t="s">
        <v>132</v>
      </c>
      <c r="R123" s="1" t="s">
        <v>2657</v>
      </c>
      <c r="S123" s="1" t="s">
        <v>2658</v>
      </c>
      <c r="T123" s="8" t="s">
        <v>2659</v>
      </c>
      <c r="U123" s="1" t="s">
        <v>2660</v>
      </c>
      <c r="V123" s="1" t="s">
        <v>2661</v>
      </c>
      <c r="W123" s="1" t="s">
        <v>2662</v>
      </c>
      <c r="X123" s="1" t="s">
        <v>2663</v>
      </c>
      <c r="Y123" s="1" t="s">
        <v>2664</v>
      </c>
      <c r="Z123" s="1" t="s">
        <v>2665</v>
      </c>
      <c r="AA123" s="1" t="s">
        <v>2666</v>
      </c>
      <c r="AB123" s="1" t="s">
        <v>2667</v>
      </c>
      <c r="AC123" s="1" t="s">
        <v>2668</v>
      </c>
      <c r="AD123" s="1" t="s">
        <v>2669</v>
      </c>
      <c r="AE123" s="1" t="s">
        <v>2670</v>
      </c>
      <c r="AF123" s="1" t="s">
        <v>2671</v>
      </c>
      <c r="AG123" s="1" t="s">
        <v>2672</v>
      </c>
      <c r="AH123" s="1" t="s">
        <v>2673</v>
      </c>
      <c r="AI123" s="1" t="s">
        <v>2674</v>
      </c>
      <c r="AJ123" s="1" t="s">
        <v>132</v>
      </c>
      <c r="AK123" s="1" t="s">
        <v>2675</v>
      </c>
      <c r="AL123" s="1" t="s">
        <v>2676</v>
      </c>
      <c r="AM123" s="1" t="s">
        <v>132</v>
      </c>
      <c r="AN123" s="1" t="s">
        <v>132</v>
      </c>
    </row>
    <row r="124" ht="15.75" customHeight="1">
      <c r="A124" s="1" t="s">
        <v>38</v>
      </c>
      <c r="B124" s="1" t="s">
        <v>2677</v>
      </c>
      <c r="C124" s="1" t="s">
        <v>2678</v>
      </c>
      <c r="D124" s="1" t="s">
        <v>132</v>
      </c>
      <c r="E124" s="1" t="s">
        <v>132</v>
      </c>
      <c r="F124" s="1" t="s">
        <v>132</v>
      </c>
      <c r="G124" s="1" t="s">
        <v>132</v>
      </c>
      <c r="H124" s="1" t="s">
        <v>132</v>
      </c>
      <c r="I124" s="1" t="s">
        <v>2679</v>
      </c>
      <c r="J124" s="1" t="s">
        <v>132</v>
      </c>
      <c r="K124" s="1" t="s">
        <v>2680</v>
      </c>
      <c r="L124" s="1" t="s">
        <v>132</v>
      </c>
      <c r="M124" s="1" t="s">
        <v>2681</v>
      </c>
      <c r="N124" s="1" t="s">
        <v>132</v>
      </c>
      <c r="O124" s="1" t="s">
        <v>132</v>
      </c>
      <c r="P124" s="1" t="s">
        <v>2678</v>
      </c>
      <c r="Q124" s="1" t="s">
        <v>132</v>
      </c>
      <c r="R124" s="1" t="s">
        <v>132</v>
      </c>
      <c r="S124" s="1" t="s">
        <v>132</v>
      </c>
      <c r="T124" s="1" t="s">
        <v>132</v>
      </c>
      <c r="U124" s="1" t="s">
        <v>132</v>
      </c>
      <c r="V124" s="1" t="s">
        <v>132</v>
      </c>
      <c r="W124" s="1" t="s">
        <v>132</v>
      </c>
      <c r="X124" s="1" t="s">
        <v>132</v>
      </c>
      <c r="Y124" s="1" t="s">
        <v>132</v>
      </c>
      <c r="Z124" s="1" t="s">
        <v>132</v>
      </c>
      <c r="AA124" s="1" t="s">
        <v>132</v>
      </c>
      <c r="AB124" s="1" t="s">
        <v>132</v>
      </c>
      <c r="AC124" s="1" t="s">
        <v>2682</v>
      </c>
      <c r="AD124" s="1" t="s">
        <v>132</v>
      </c>
      <c r="AE124" s="1" t="s">
        <v>132</v>
      </c>
      <c r="AF124" s="1" t="s">
        <v>2683</v>
      </c>
      <c r="AG124" s="1" t="s">
        <v>132</v>
      </c>
      <c r="AH124" s="1" t="s">
        <v>132</v>
      </c>
      <c r="AI124" s="1" t="s">
        <v>132</v>
      </c>
      <c r="AJ124" s="1" t="s">
        <v>132</v>
      </c>
      <c r="AK124" s="1" t="s">
        <v>132</v>
      </c>
      <c r="AL124" s="1" t="s">
        <v>132</v>
      </c>
      <c r="AM124" s="1" t="s">
        <v>132</v>
      </c>
      <c r="AN124" s="1" t="s">
        <v>132</v>
      </c>
    </row>
    <row r="125" ht="15.75" customHeight="1">
      <c r="A125" s="1" t="s">
        <v>38</v>
      </c>
      <c r="B125" s="1" t="s">
        <v>2684</v>
      </c>
      <c r="C125" s="1" t="s">
        <v>2685</v>
      </c>
      <c r="D125" s="8" t="s">
        <v>2686</v>
      </c>
      <c r="E125" s="1" t="s">
        <v>2687</v>
      </c>
      <c r="F125" s="1" t="s">
        <v>2688</v>
      </c>
      <c r="G125" s="1" t="s">
        <v>132</v>
      </c>
      <c r="H125" s="1" t="s">
        <v>132</v>
      </c>
      <c r="I125" s="1" t="s">
        <v>2689</v>
      </c>
      <c r="J125" s="1" t="s">
        <v>132</v>
      </c>
      <c r="K125" s="1" t="s">
        <v>2690</v>
      </c>
      <c r="L125" s="1" t="s">
        <v>132</v>
      </c>
      <c r="M125" s="1" t="s">
        <v>2691</v>
      </c>
      <c r="N125" s="1" t="s">
        <v>2692</v>
      </c>
      <c r="O125" s="1" t="s">
        <v>132</v>
      </c>
      <c r="P125" s="1" t="s">
        <v>2693</v>
      </c>
      <c r="Q125" s="1" t="s">
        <v>2694</v>
      </c>
      <c r="R125" s="1" t="s">
        <v>132</v>
      </c>
      <c r="S125" s="1" t="s">
        <v>2695</v>
      </c>
      <c r="T125" s="1" t="s">
        <v>132</v>
      </c>
      <c r="U125" s="1" t="s">
        <v>2696</v>
      </c>
      <c r="V125" s="1" t="s">
        <v>2697</v>
      </c>
      <c r="W125" s="1" t="s">
        <v>132</v>
      </c>
      <c r="X125" s="1" t="s">
        <v>2698</v>
      </c>
      <c r="Y125" s="1" t="s">
        <v>132</v>
      </c>
      <c r="Z125" s="1" t="s">
        <v>2699</v>
      </c>
      <c r="AA125" s="1" t="s">
        <v>2700</v>
      </c>
      <c r="AB125" s="1" t="s">
        <v>132</v>
      </c>
      <c r="AC125" s="1" t="s">
        <v>2701</v>
      </c>
      <c r="AD125" s="1" t="s">
        <v>132</v>
      </c>
      <c r="AE125" s="1" t="s">
        <v>132</v>
      </c>
      <c r="AF125" s="1" t="s">
        <v>2702</v>
      </c>
      <c r="AG125" s="1" t="s">
        <v>2703</v>
      </c>
      <c r="AH125" s="1" t="s">
        <v>132</v>
      </c>
      <c r="AI125" s="1" t="s">
        <v>132</v>
      </c>
      <c r="AJ125" s="1" t="s">
        <v>2704</v>
      </c>
      <c r="AK125" s="1" t="s">
        <v>2705</v>
      </c>
      <c r="AL125" s="1" t="s">
        <v>132</v>
      </c>
      <c r="AM125" s="1" t="s">
        <v>2706</v>
      </c>
      <c r="AN125" s="1" t="s">
        <v>2706</v>
      </c>
    </row>
    <row r="126" ht="15.75" customHeight="1">
      <c r="A126" s="1" t="s">
        <v>127</v>
      </c>
      <c r="B126" s="1" t="s">
        <v>2707</v>
      </c>
      <c r="C126" s="1" t="s">
        <v>2708</v>
      </c>
      <c r="D126" s="8" t="s">
        <v>2709</v>
      </c>
      <c r="E126" s="1" t="s">
        <v>2710</v>
      </c>
      <c r="F126" s="1" t="s">
        <v>132</v>
      </c>
      <c r="G126" s="1" t="s">
        <v>2711</v>
      </c>
      <c r="H126" s="1" t="s">
        <v>2712</v>
      </c>
      <c r="I126" s="1" t="s">
        <v>2713</v>
      </c>
      <c r="J126" s="1" t="s">
        <v>2714</v>
      </c>
      <c r="K126" s="1" t="s">
        <v>2715</v>
      </c>
      <c r="L126" s="1" t="s">
        <v>2716</v>
      </c>
      <c r="M126" s="1" t="s">
        <v>2717</v>
      </c>
      <c r="N126" s="1" t="s">
        <v>132</v>
      </c>
      <c r="O126" s="1" t="s">
        <v>2718</v>
      </c>
      <c r="P126" s="1" t="s">
        <v>2719</v>
      </c>
      <c r="Q126" s="1" t="s">
        <v>132</v>
      </c>
      <c r="R126" s="1" t="s">
        <v>2720</v>
      </c>
      <c r="S126" s="1" t="s">
        <v>2721</v>
      </c>
      <c r="T126" s="8" t="s">
        <v>2722</v>
      </c>
      <c r="U126" s="1" t="s">
        <v>2723</v>
      </c>
      <c r="V126" s="1" t="s">
        <v>2724</v>
      </c>
      <c r="W126" s="1" t="s">
        <v>2720</v>
      </c>
      <c r="X126" s="1" t="s">
        <v>2725</v>
      </c>
      <c r="Y126" s="1" t="s">
        <v>2726</v>
      </c>
      <c r="Z126" s="1" t="s">
        <v>2727</v>
      </c>
      <c r="AA126" s="1" t="s">
        <v>2728</v>
      </c>
      <c r="AB126" s="1" t="s">
        <v>2729</v>
      </c>
      <c r="AC126" s="1" t="s">
        <v>2730</v>
      </c>
      <c r="AD126" s="1" t="s">
        <v>2731</v>
      </c>
      <c r="AE126" s="1" t="s">
        <v>2732</v>
      </c>
      <c r="AF126" s="1" t="s">
        <v>2733</v>
      </c>
      <c r="AG126" s="1" t="s">
        <v>2734</v>
      </c>
      <c r="AH126" s="1" t="s">
        <v>2735</v>
      </c>
      <c r="AI126" s="1" t="s">
        <v>2736</v>
      </c>
      <c r="AJ126" s="1" t="s">
        <v>132</v>
      </c>
      <c r="AK126" s="1" t="s">
        <v>2737</v>
      </c>
      <c r="AL126" s="1" t="s">
        <v>2738</v>
      </c>
      <c r="AM126" s="1" t="s">
        <v>132</v>
      </c>
      <c r="AN126" s="1" t="s">
        <v>132</v>
      </c>
    </row>
    <row r="127" ht="15.75" customHeight="1">
      <c r="A127" s="1" t="s">
        <v>127</v>
      </c>
      <c r="B127" s="1" t="s">
        <v>2739</v>
      </c>
      <c r="C127" s="1" t="s">
        <v>2740</v>
      </c>
      <c r="D127" s="1" t="s">
        <v>132</v>
      </c>
      <c r="E127" s="1" t="s">
        <v>132</v>
      </c>
      <c r="F127" s="1" t="s">
        <v>132</v>
      </c>
      <c r="G127" s="1" t="s">
        <v>132</v>
      </c>
      <c r="H127" s="1" t="s">
        <v>2741</v>
      </c>
      <c r="I127" s="1" t="s">
        <v>2742</v>
      </c>
      <c r="J127" s="1" t="s">
        <v>132</v>
      </c>
      <c r="K127" s="1" t="s">
        <v>2743</v>
      </c>
      <c r="L127" s="1" t="s">
        <v>2744</v>
      </c>
      <c r="M127" s="1" t="s">
        <v>2745</v>
      </c>
      <c r="N127" s="1" t="s">
        <v>132</v>
      </c>
      <c r="O127" s="1" t="s">
        <v>132</v>
      </c>
      <c r="P127" s="1" t="s">
        <v>2746</v>
      </c>
      <c r="Q127" s="1" t="s">
        <v>132</v>
      </c>
      <c r="R127" s="1" t="s">
        <v>2747</v>
      </c>
      <c r="S127" s="1" t="s">
        <v>2748</v>
      </c>
      <c r="T127" s="1" t="s">
        <v>132</v>
      </c>
      <c r="U127" s="1" t="s">
        <v>2749</v>
      </c>
      <c r="V127" s="1" t="s">
        <v>2750</v>
      </c>
      <c r="W127" s="1" t="s">
        <v>2751</v>
      </c>
      <c r="X127" s="1" t="s">
        <v>2752</v>
      </c>
      <c r="Y127" s="1" t="s">
        <v>2753</v>
      </c>
      <c r="Z127" s="1" t="s">
        <v>2754</v>
      </c>
      <c r="AA127" s="1" t="s">
        <v>2755</v>
      </c>
      <c r="AB127" s="1" t="s">
        <v>132</v>
      </c>
      <c r="AC127" s="1" t="s">
        <v>2756</v>
      </c>
      <c r="AD127" s="1" t="s">
        <v>132</v>
      </c>
      <c r="AE127" s="1" t="s">
        <v>132</v>
      </c>
      <c r="AF127" s="1" t="s">
        <v>2757</v>
      </c>
      <c r="AG127" s="1" t="s">
        <v>2758</v>
      </c>
      <c r="AH127" s="1" t="s">
        <v>132</v>
      </c>
      <c r="AI127" s="1" t="s">
        <v>2759</v>
      </c>
      <c r="AJ127" s="1" t="s">
        <v>132</v>
      </c>
      <c r="AK127" s="1" t="s">
        <v>132</v>
      </c>
      <c r="AL127" s="1" t="s">
        <v>2760</v>
      </c>
      <c r="AM127" s="1" t="s">
        <v>132</v>
      </c>
      <c r="AN127" s="1" t="s">
        <v>132</v>
      </c>
    </row>
    <row r="128" ht="15.75" customHeight="1">
      <c r="A128" s="1" t="s">
        <v>127</v>
      </c>
      <c r="B128" s="1" t="s">
        <v>2761</v>
      </c>
      <c r="C128" s="1" t="s">
        <v>2762</v>
      </c>
      <c r="D128" s="8" t="s">
        <v>2763</v>
      </c>
      <c r="E128" s="1" t="s">
        <v>2764</v>
      </c>
      <c r="F128" s="1" t="s">
        <v>132</v>
      </c>
      <c r="G128" s="1" t="s">
        <v>2765</v>
      </c>
      <c r="H128" s="1" t="s">
        <v>2766</v>
      </c>
      <c r="I128" s="1" t="s">
        <v>2767</v>
      </c>
      <c r="J128" s="1" t="s">
        <v>2768</v>
      </c>
      <c r="K128" s="1" t="s">
        <v>2769</v>
      </c>
      <c r="L128" s="1" t="s">
        <v>2770</v>
      </c>
      <c r="M128" s="1" t="s">
        <v>2762</v>
      </c>
      <c r="N128" s="1" t="s">
        <v>132</v>
      </c>
      <c r="O128" s="1" t="s">
        <v>2771</v>
      </c>
      <c r="P128" s="1" t="s">
        <v>2772</v>
      </c>
      <c r="Q128" s="1" t="s">
        <v>132</v>
      </c>
      <c r="R128" s="1" t="s">
        <v>2773</v>
      </c>
      <c r="S128" s="1" t="s">
        <v>2774</v>
      </c>
      <c r="T128" s="8" t="s">
        <v>2775</v>
      </c>
      <c r="U128" s="1" t="s">
        <v>2776</v>
      </c>
      <c r="V128" s="1" t="s">
        <v>2777</v>
      </c>
      <c r="W128" s="1" t="s">
        <v>2773</v>
      </c>
      <c r="X128" s="1" t="s">
        <v>2778</v>
      </c>
      <c r="Y128" s="1" t="s">
        <v>2779</v>
      </c>
      <c r="Z128" s="1" t="s">
        <v>2780</v>
      </c>
      <c r="AA128" s="1" t="s">
        <v>2762</v>
      </c>
      <c r="AB128" s="1" t="s">
        <v>2781</v>
      </c>
      <c r="AC128" s="1" t="s">
        <v>2782</v>
      </c>
      <c r="AD128" s="1" t="s">
        <v>2783</v>
      </c>
      <c r="AE128" s="1" t="s">
        <v>2784</v>
      </c>
      <c r="AF128" s="1" t="s">
        <v>2785</v>
      </c>
      <c r="AG128" s="1" t="s">
        <v>2786</v>
      </c>
      <c r="AH128" s="1" t="s">
        <v>2787</v>
      </c>
      <c r="AI128" s="1" t="s">
        <v>2788</v>
      </c>
      <c r="AJ128" s="1" t="s">
        <v>132</v>
      </c>
      <c r="AK128" s="1" t="s">
        <v>2789</v>
      </c>
      <c r="AL128" s="1" t="s">
        <v>2790</v>
      </c>
      <c r="AM128" s="1" t="s">
        <v>2791</v>
      </c>
      <c r="AN128" s="1" t="s">
        <v>2791</v>
      </c>
    </row>
    <row r="129" ht="15.75" customHeight="1">
      <c r="A129" s="1" t="s">
        <v>2265</v>
      </c>
      <c r="B129" s="1" t="s">
        <v>2792</v>
      </c>
      <c r="C129" s="1" t="s">
        <v>2793</v>
      </c>
      <c r="D129" s="8" t="s">
        <v>2794</v>
      </c>
      <c r="E129" s="1" t="s">
        <v>2795</v>
      </c>
      <c r="F129" s="1" t="s">
        <v>132</v>
      </c>
      <c r="G129" s="1" t="s">
        <v>2796</v>
      </c>
      <c r="H129" s="1" t="s">
        <v>2797</v>
      </c>
      <c r="I129" s="1" t="s">
        <v>2798</v>
      </c>
      <c r="J129" s="1" t="s">
        <v>2799</v>
      </c>
      <c r="K129" s="1" t="s">
        <v>2800</v>
      </c>
      <c r="L129" s="1" t="s">
        <v>2801</v>
      </c>
      <c r="M129" s="1" t="s">
        <v>2802</v>
      </c>
      <c r="N129" s="1" t="s">
        <v>132</v>
      </c>
      <c r="O129" s="1" t="s">
        <v>2803</v>
      </c>
      <c r="P129" s="1" t="s">
        <v>2804</v>
      </c>
      <c r="Q129" s="1" t="s">
        <v>132</v>
      </c>
      <c r="R129" s="1" t="s">
        <v>2805</v>
      </c>
      <c r="S129" s="1" t="s">
        <v>2806</v>
      </c>
      <c r="T129" s="8" t="s">
        <v>2807</v>
      </c>
      <c r="U129" s="1" t="s">
        <v>2808</v>
      </c>
      <c r="V129" s="1" t="s">
        <v>2809</v>
      </c>
      <c r="W129" s="1" t="s">
        <v>2810</v>
      </c>
      <c r="X129" s="1" t="s">
        <v>2811</v>
      </c>
      <c r="Y129" s="1" t="s">
        <v>2812</v>
      </c>
      <c r="Z129" s="1" t="s">
        <v>2813</v>
      </c>
      <c r="AA129" s="1" t="s">
        <v>2814</v>
      </c>
      <c r="AB129" s="1" t="s">
        <v>2815</v>
      </c>
      <c r="AC129" s="1" t="s">
        <v>2816</v>
      </c>
      <c r="AD129" s="1" t="s">
        <v>2817</v>
      </c>
      <c r="AE129" s="1" t="s">
        <v>2818</v>
      </c>
      <c r="AF129" s="1" t="s">
        <v>2819</v>
      </c>
      <c r="AG129" s="1" t="s">
        <v>2820</v>
      </c>
      <c r="AH129" s="1" t="s">
        <v>2821</v>
      </c>
      <c r="AI129" s="1" t="s">
        <v>2822</v>
      </c>
      <c r="AJ129" s="1" t="s">
        <v>132</v>
      </c>
      <c r="AK129" s="1" t="s">
        <v>2823</v>
      </c>
      <c r="AL129" s="14" t="s">
        <v>2824</v>
      </c>
      <c r="AM129" s="1" t="s">
        <v>132</v>
      </c>
      <c r="AN129" s="1" t="s">
        <v>132</v>
      </c>
    </row>
    <row r="130" ht="15.75" customHeight="1">
      <c r="A130" s="1" t="s">
        <v>38</v>
      </c>
      <c r="B130" s="1" t="s">
        <v>2825</v>
      </c>
      <c r="C130" s="1" t="s">
        <v>2826</v>
      </c>
      <c r="D130" s="8" t="s">
        <v>2827</v>
      </c>
      <c r="E130" s="1" t="s">
        <v>132</v>
      </c>
      <c r="F130" s="1" t="s">
        <v>132</v>
      </c>
      <c r="G130" s="1" t="s">
        <v>132</v>
      </c>
      <c r="H130" s="1" t="s">
        <v>132</v>
      </c>
      <c r="I130" s="1" t="s">
        <v>2828</v>
      </c>
      <c r="J130" s="1" t="s">
        <v>132</v>
      </c>
      <c r="K130" s="1" t="s">
        <v>2829</v>
      </c>
      <c r="L130" s="1" t="s">
        <v>132</v>
      </c>
      <c r="M130" s="1" t="s">
        <v>2830</v>
      </c>
      <c r="N130" s="1" t="s">
        <v>132</v>
      </c>
      <c r="O130" s="1" t="s">
        <v>132</v>
      </c>
      <c r="P130" s="1" t="s">
        <v>2831</v>
      </c>
      <c r="Q130" s="1" t="s">
        <v>132</v>
      </c>
      <c r="R130" s="1" t="s">
        <v>2832</v>
      </c>
      <c r="S130" s="1" t="s">
        <v>2833</v>
      </c>
      <c r="T130" s="1" t="s">
        <v>132</v>
      </c>
      <c r="U130" s="1" t="s">
        <v>2834</v>
      </c>
      <c r="V130" s="1" t="s">
        <v>132</v>
      </c>
      <c r="W130" s="1" t="s">
        <v>2835</v>
      </c>
      <c r="X130" s="1" t="s">
        <v>2836</v>
      </c>
      <c r="Y130" s="1" t="s">
        <v>132</v>
      </c>
      <c r="Z130" s="1" t="s">
        <v>2837</v>
      </c>
      <c r="AA130" s="1" t="s">
        <v>2838</v>
      </c>
      <c r="AB130" s="1" t="s">
        <v>132</v>
      </c>
      <c r="AC130" s="1" t="s">
        <v>2839</v>
      </c>
      <c r="AD130" s="1" t="s">
        <v>132</v>
      </c>
      <c r="AE130" s="1" t="s">
        <v>132</v>
      </c>
      <c r="AF130" s="1" t="s">
        <v>2840</v>
      </c>
      <c r="AG130" s="1" t="s">
        <v>132</v>
      </c>
      <c r="AH130" s="1" t="s">
        <v>132</v>
      </c>
      <c r="AI130" s="1" t="s">
        <v>2841</v>
      </c>
      <c r="AJ130" s="1" t="s">
        <v>132</v>
      </c>
      <c r="AK130" s="1" t="s">
        <v>132</v>
      </c>
      <c r="AL130" s="1" t="s">
        <v>2842</v>
      </c>
      <c r="AM130" s="1" t="s">
        <v>132</v>
      </c>
      <c r="AN130" s="1" t="s">
        <v>132</v>
      </c>
    </row>
    <row r="131" ht="15.75" customHeight="1">
      <c r="A131" s="1" t="s">
        <v>127</v>
      </c>
      <c r="B131" s="1" t="s">
        <v>2843</v>
      </c>
      <c r="C131" s="1" t="s">
        <v>2844</v>
      </c>
      <c r="D131" s="8" t="s">
        <v>2845</v>
      </c>
      <c r="E131" s="1" t="s">
        <v>2846</v>
      </c>
      <c r="F131" s="1" t="s">
        <v>132</v>
      </c>
      <c r="G131" s="1" t="s">
        <v>2847</v>
      </c>
      <c r="H131" s="1" t="s">
        <v>2848</v>
      </c>
      <c r="I131" s="1" t="s">
        <v>2849</v>
      </c>
      <c r="J131" s="1" t="s">
        <v>2850</v>
      </c>
      <c r="K131" s="1" t="s">
        <v>2851</v>
      </c>
      <c r="L131" s="1" t="s">
        <v>2852</v>
      </c>
      <c r="M131" s="1" t="s">
        <v>2853</v>
      </c>
      <c r="N131" s="1" t="s">
        <v>132</v>
      </c>
      <c r="O131" s="1" t="s">
        <v>2854</v>
      </c>
      <c r="P131" s="1" t="s">
        <v>2855</v>
      </c>
      <c r="Q131" s="1" t="s">
        <v>132</v>
      </c>
      <c r="R131" s="1" t="s">
        <v>2856</v>
      </c>
      <c r="S131" s="1" t="s">
        <v>2857</v>
      </c>
      <c r="T131" s="8" t="s">
        <v>2858</v>
      </c>
      <c r="U131" s="1" t="s">
        <v>2859</v>
      </c>
      <c r="V131" s="1" t="s">
        <v>2860</v>
      </c>
      <c r="W131" s="1" t="s">
        <v>2861</v>
      </c>
      <c r="X131" s="1" t="s">
        <v>2862</v>
      </c>
      <c r="Y131" s="1" t="s">
        <v>2863</v>
      </c>
      <c r="Z131" s="1" t="s">
        <v>2864</v>
      </c>
      <c r="AA131" s="1" t="s">
        <v>2865</v>
      </c>
      <c r="AB131" s="1" t="s">
        <v>2866</v>
      </c>
      <c r="AC131" s="1" t="s">
        <v>2867</v>
      </c>
      <c r="AD131" s="1" t="s">
        <v>2868</v>
      </c>
      <c r="AE131" s="1" t="s">
        <v>2869</v>
      </c>
      <c r="AF131" s="1" t="s">
        <v>2870</v>
      </c>
      <c r="AG131" s="1" t="s">
        <v>2871</v>
      </c>
      <c r="AH131" s="1" t="s">
        <v>2872</v>
      </c>
      <c r="AI131" s="1" t="s">
        <v>2873</v>
      </c>
      <c r="AJ131" s="1" t="s">
        <v>132</v>
      </c>
      <c r="AK131" s="1" t="s">
        <v>2874</v>
      </c>
      <c r="AL131" s="1" t="s">
        <v>2875</v>
      </c>
      <c r="AM131" s="1" t="s">
        <v>132</v>
      </c>
      <c r="AN131" s="1" t="s">
        <v>132</v>
      </c>
    </row>
    <row r="132" ht="15.75" customHeight="1">
      <c r="A132" s="1" t="s">
        <v>38</v>
      </c>
      <c r="B132" s="1" t="s">
        <v>2876</v>
      </c>
      <c r="C132" s="1" t="s">
        <v>2877</v>
      </c>
      <c r="D132" s="8" t="s">
        <v>2878</v>
      </c>
      <c r="E132" s="1" t="s">
        <v>2879</v>
      </c>
      <c r="F132" s="1" t="s">
        <v>2880</v>
      </c>
      <c r="G132" s="1" t="s">
        <v>132</v>
      </c>
      <c r="H132" s="1" t="s">
        <v>132</v>
      </c>
      <c r="I132" s="1" t="s">
        <v>2881</v>
      </c>
      <c r="J132" s="1" t="s">
        <v>132</v>
      </c>
      <c r="K132" s="1" t="s">
        <v>2882</v>
      </c>
      <c r="L132" s="1" t="s">
        <v>132</v>
      </c>
      <c r="M132" s="1" t="s">
        <v>2883</v>
      </c>
      <c r="N132" s="1" t="s">
        <v>2884</v>
      </c>
      <c r="O132" s="1" t="s">
        <v>132</v>
      </c>
      <c r="P132" s="1" t="s">
        <v>2885</v>
      </c>
      <c r="Q132" s="1" t="s">
        <v>2886</v>
      </c>
      <c r="R132" s="1" t="s">
        <v>132</v>
      </c>
      <c r="S132" s="1" t="s">
        <v>2887</v>
      </c>
      <c r="T132" s="1" t="s">
        <v>132</v>
      </c>
      <c r="U132" s="1" t="s">
        <v>2888</v>
      </c>
      <c r="V132" s="1" t="s">
        <v>2889</v>
      </c>
      <c r="W132" s="1" t="s">
        <v>132</v>
      </c>
      <c r="X132" s="1" t="s">
        <v>2890</v>
      </c>
      <c r="Y132" s="1" t="s">
        <v>132</v>
      </c>
      <c r="Z132" s="1" t="s">
        <v>2891</v>
      </c>
      <c r="AA132" s="1" t="s">
        <v>2892</v>
      </c>
      <c r="AB132" s="1" t="s">
        <v>132</v>
      </c>
      <c r="AC132" s="1" t="s">
        <v>2893</v>
      </c>
      <c r="AD132" s="1" t="s">
        <v>2894</v>
      </c>
      <c r="AE132" s="1" t="s">
        <v>132</v>
      </c>
      <c r="AF132" s="1" t="s">
        <v>2895</v>
      </c>
      <c r="AG132" s="1" t="s">
        <v>2896</v>
      </c>
      <c r="AH132" s="1" t="s">
        <v>132</v>
      </c>
      <c r="AI132" s="1" t="s">
        <v>132</v>
      </c>
      <c r="AJ132" s="1" t="s">
        <v>2897</v>
      </c>
      <c r="AK132" s="1" t="s">
        <v>2898</v>
      </c>
      <c r="AL132" s="1" t="s">
        <v>132</v>
      </c>
      <c r="AM132" s="1" t="s">
        <v>2899</v>
      </c>
      <c r="AN132" s="1" t="s">
        <v>2899</v>
      </c>
    </row>
    <row r="133" ht="15.75" customHeight="1">
      <c r="A133" s="1" t="s">
        <v>38</v>
      </c>
      <c r="B133" s="1" t="s">
        <v>2900</v>
      </c>
      <c r="C133" s="1" t="s">
        <v>2901</v>
      </c>
      <c r="D133" s="1" t="s">
        <v>132</v>
      </c>
      <c r="E133" s="1" t="s">
        <v>132</v>
      </c>
      <c r="F133" s="1" t="s">
        <v>132</v>
      </c>
      <c r="G133" s="1" t="s">
        <v>132</v>
      </c>
      <c r="H133" s="1" t="s">
        <v>132</v>
      </c>
      <c r="I133" s="1" t="s">
        <v>2902</v>
      </c>
      <c r="J133" s="1" t="s">
        <v>132</v>
      </c>
      <c r="K133" s="1" t="s">
        <v>2903</v>
      </c>
      <c r="L133" s="1" t="s">
        <v>132</v>
      </c>
      <c r="M133" s="1" t="s">
        <v>2904</v>
      </c>
      <c r="N133" s="1" t="s">
        <v>132</v>
      </c>
      <c r="O133" s="1" t="s">
        <v>132</v>
      </c>
      <c r="P133" s="1" t="s">
        <v>2901</v>
      </c>
      <c r="Q133" s="1" t="s">
        <v>132</v>
      </c>
      <c r="R133" s="1" t="s">
        <v>132</v>
      </c>
      <c r="S133" s="1" t="s">
        <v>132</v>
      </c>
      <c r="T133" s="1" t="s">
        <v>132</v>
      </c>
      <c r="U133" s="1" t="s">
        <v>132</v>
      </c>
      <c r="V133" s="1" t="s">
        <v>132</v>
      </c>
      <c r="W133" s="1" t="s">
        <v>132</v>
      </c>
      <c r="X133" s="1" t="s">
        <v>132</v>
      </c>
      <c r="Y133" s="1" t="s">
        <v>132</v>
      </c>
      <c r="Z133" s="1" t="s">
        <v>132</v>
      </c>
      <c r="AA133" s="1" t="s">
        <v>132</v>
      </c>
      <c r="AB133" s="1" t="s">
        <v>132</v>
      </c>
      <c r="AC133" s="1" t="s">
        <v>2905</v>
      </c>
      <c r="AD133" s="1" t="s">
        <v>132</v>
      </c>
      <c r="AE133" s="1" t="s">
        <v>132</v>
      </c>
      <c r="AF133" s="1" t="s">
        <v>2906</v>
      </c>
      <c r="AG133" s="1" t="s">
        <v>132</v>
      </c>
      <c r="AH133" s="1" t="s">
        <v>132</v>
      </c>
      <c r="AI133" s="1" t="s">
        <v>132</v>
      </c>
      <c r="AJ133" s="1" t="s">
        <v>132</v>
      </c>
      <c r="AK133" s="1" t="s">
        <v>132</v>
      </c>
      <c r="AL133" s="1" t="s">
        <v>132</v>
      </c>
      <c r="AM133" s="1" t="s">
        <v>132</v>
      </c>
      <c r="AN133" s="1" t="s">
        <v>132</v>
      </c>
    </row>
    <row r="134" ht="15.75" customHeight="1">
      <c r="A134" s="1" t="s">
        <v>38</v>
      </c>
      <c r="B134" s="1" t="s">
        <v>2907</v>
      </c>
      <c r="C134" s="1" t="s">
        <v>2908</v>
      </c>
      <c r="D134" s="8" t="s">
        <v>2909</v>
      </c>
      <c r="E134" s="1" t="s">
        <v>2910</v>
      </c>
      <c r="F134" s="1" t="s">
        <v>2911</v>
      </c>
      <c r="G134" s="1" t="s">
        <v>132</v>
      </c>
      <c r="H134" s="1" t="s">
        <v>132</v>
      </c>
      <c r="I134" s="1" t="s">
        <v>2912</v>
      </c>
      <c r="J134" s="1" t="s">
        <v>132</v>
      </c>
      <c r="K134" s="1" t="s">
        <v>2913</v>
      </c>
      <c r="L134" s="1" t="s">
        <v>132</v>
      </c>
      <c r="M134" s="1" t="s">
        <v>2914</v>
      </c>
      <c r="N134" s="1" t="s">
        <v>2915</v>
      </c>
      <c r="O134" s="1" t="s">
        <v>132</v>
      </c>
      <c r="P134" s="1" t="s">
        <v>2916</v>
      </c>
      <c r="Q134" s="1" t="s">
        <v>2917</v>
      </c>
      <c r="R134" s="1" t="s">
        <v>132</v>
      </c>
      <c r="S134" s="1" t="s">
        <v>2918</v>
      </c>
      <c r="T134" s="1" t="s">
        <v>132</v>
      </c>
      <c r="U134" s="1" t="s">
        <v>2919</v>
      </c>
      <c r="V134" s="1" t="s">
        <v>2920</v>
      </c>
      <c r="W134" s="1" t="s">
        <v>132</v>
      </c>
      <c r="X134" s="1" t="s">
        <v>2921</v>
      </c>
      <c r="Y134" s="1" t="s">
        <v>132</v>
      </c>
      <c r="Z134" s="1" t="s">
        <v>2922</v>
      </c>
      <c r="AA134" s="1" t="s">
        <v>2923</v>
      </c>
      <c r="AB134" s="1" t="s">
        <v>132</v>
      </c>
      <c r="AC134" s="1" t="s">
        <v>2924</v>
      </c>
      <c r="AD134" s="1" t="s">
        <v>132</v>
      </c>
      <c r="AE134" s="1" t="s">
        <v>132</v>
      </c>
      <c r="AF134" s="1" t="s">
        <v>2925</v>
      </c>
      <c r="AG134" s="1" t="s">
        <v>2926</v>
      </c>
      <c r="AH134" s="1" t="s">
        <v>132</v>
      </c>
      <c r="AI134" s="1" t="s">
        <v>132</v>
      </c>
      <c r="AJ134" s="1" t="s">
        <v>2927</v>
      </c>
      <c r="AK134" s="1" t="s">
        <v>132</v>
      </c>
      <c r="AL134" s="1" t="s">
        <v>132</v>
      </c>
      <c r="AM134" s="1" t="s">
        <v>2928</v>
      </c>
      <c r="AN134" s="1" t="s">
        <v>2928</v>
      </c>
    </row>
    <row r="135" ht="15.75" customHeight="1">
      <c r="A135" s="1" t="s">
        <v>127</v>
      </c>
      <c r="B135" s="1" t="s">
        <v>2929</v>
      </c>
      <c r="C135" s="1" t="s">
        <v>2930</v>
      </c>
      <c r="D135" s="8" t="s">
        <v>2931</v>
      </c>
      <c r="E135" s="1" t="s">
        <v>2932</v>
      </c>
      <c r="F135" s="1" t="s">
        <v>132</v>
      </c>
      <c r="G135" s="1" t="s">
        <v>2933</v>
      </c>
      <c r="H135" s="1" t="s">
        <v>2934</v>
      </c>
      <c r="I135" s="1" t="s">
        <v>2930</v>
      </c>
      <c r="J135" s="1" t="s">
        <v>2930</v>
      </c>
      <c r="K135" s="1" t="s">
        <v>2930</v>
      </c>
      <c r="L135" s="1" t="s">
        <v>2935</v>
      </c>
      <c r="M135" s="1" t="s">
        <v>2936</v>
      </c>
      <c r="N135" s="1" t="s">
        <v>132</v>
      </c>
      <c r="O135" s="1" t="s">
        <v>2937</v>
      </c>
      <c r="P135" s="1" t="s">
        <v>2938</v>
      </c>
      <c r="Q135" s="1" t="s">
        <v>132</v>
      </c>
      <c r="R135" s="1" t="s">
        <v>2939</v>
      </c>
      <c r="S135" s="1" t="s">
        <v>2940</v>
      </c>
      <c r="T135" s="8" t="s">
        <v>2941</v>
      </c>
      <c r="U135" s="1" t="s">
        <v>2942</v>
      </c>
      <c r="V135" s="1" t="s">
        <v>2943</v>
      </c>
      <c r="W135" s="1" t="s">
        <v>2939</v>
      </c>
      <c r="X135" s="1" t="s">
        <v>2944</v>
      </c>
      <c r="Y135" s="1" t="s">
        <v>2945</v>
      </c>
      <c r="Z135" s="1" t="s">
        <v>2946</v>
      </c>
      <c r="AA135" s="1" t="s">
        <v>2947</v>
      </c>
      <c r="AB135" s="1" t="s">
        <v>2948</v>
      </c>
      <c r="AC135" s="1" t="s">
        <v>2949</v>
      </c>
      <c r="AD135" s="1" t="s">
        <v>2950</v>
      </c>
      <c r="AE135" s="1" t="s">
        <v>2951</v>
      </c>
      <c r="AF135" s="1" t="s">
        <v>2952</v>
      </c>
      <c r="AG135" s="1" t="s">
        <v>2944</v>
      </c>
      <c r="AH135" s="1" t="s">
        <v>2953</v>
      </c>
      <c r="AI135" s="1" t="s">
        <v>2954</v>
      </c>
      <c r="AJ135" s="1" t="s">
        <v>132</v>
      </c>
      <c r="AK135" s="1" t="s">
        <v>2955</v>
      </c>
      <c r="AL135" s="1" t="s">
        <v>2956</v>
      </c>
      <c r="AM135" s="1" t="s">
        <v>2957</v>
      </c>
      <c r="AN135" s="1" t="s">
        <v>2957</v>
      </c>
    </row>
    <row r="136" ht="15.75" customHeight="1">
      <c r="A136" s="1" t="s">
        <v>38</v>
      </c>
      <c r="B136" s="1" t="s">
        <v>2958</v>
      </c>
      <c r="C136" s="1" t="s">
        <v>2959</v>
      </c>
      <c r="D136" s="8" t="s">
        <v>2960</v>
      </c>
      <c r="E136" s="1" t="s">
        <v>2961</v>
      </c>
      <c r="F136" s="1" t="s">
        <v>2962</v>
      </c>
      <c r="G136" s="1" t="s">
        <v>132</v>
      </c>
      <c r="H136" s="1" t="s">
        <v>132</v>
      </c>
      <c r="I136" s="1" t="s">
        <v>2963</v>
      </c>
      <c r="J136" s="1" t="s">
        <v>132</v>
      </c>
      <c r="K136" s="1" t="s">
        <v>2964</v>
      </c>
      <c r="L136" s="1" t="s">
        <v>132</v>
      </c>
      <c r="M136" s="1" t="s">
        <v>2965</v>
      </c>
      <c r="N136" s="1" t="s">
        <v>2966</v>
      </c>
      <c r="O136" s="1" t="s">
        <v>132</v>
      </c>
      <c r="P136" s="1" t="s">
        <v>2967</v>
      </c>
      <c r="Q136" s="1" t="s">
        <v>2968</v>
      </c>
      <c r="R136" s="1" t="s">
        <v>132</v>
      </c>
      <c r="S136" s="1" t="s">
        <v>2969</v>
      </c>
      <c r="T136" s="1" t="s">
        <v>132</v>
      </c>
      <c r="U136" s="1" t="s">
        <v>2970</v>
      </c>
      <c r="V136" s="1" t="s">
        <v>2971</v>
      </c>
      <c r="W136" s="1" t="s">
        <v>132</v>
      </c>
      <c r="X136" s="1" t="s">
        <v>2972</v>
      </c>
      <c r="Y136" s="1" t="s">
        <v>132</v>
      </c>
      <c r="Z136" s="1" t="s">
        <v>2973</v>
      </c>
      <c r="AA136" s="1" t="s">
        <v>2974</v>
      </c>
      <c r="AB136" s="1" t="s">
        <v>132</v>
      </c>
      <c r="AC136" s="1" t="s">
        <v>2975</v>
      </c>
      <c r="AD136" s="1" t="s">
        <v>2976</v>
      </c>
      <c r="AE136" s="1" t="s">
        <v>132</v>
      </c>
      <c r="AF136" s="1" t="s">
        <v>2977</v>
      </c>
      <c r="AG136" s="1" t="s">
        <v>2978</v>
      </c>
      <c r="AH136" s="1" t="s">
        <v>132</v>
      </c>
      <c r="AI136" s="1" t="s">
        <v>132</v>
      </c>
      <c r="AJ136" s="1" t="s">
        <v>2979</v>
      </c>
      <c r="AK136" s="1" t="s">
        <v>2980</v>
      </c>
      <c r="AL136" s="1" t="s">
        <v>132</v>
      </c>
      <c r="AM136" s="1" t="s">
        <v>2981</v>
      </c>
      <c r="AN136" s="1" t="s">
        <v>2981</v>
      </c>
    </row>
    <row r="137" ht="15.75" customHeight="1">
      <c r="A137" s="1" t="s">
        <v>38</v>
      </c>
      <c r="B137" s="1" t="s">
        <v>2982</v>
      </c>
      <c r="C137" s="1" t="s">
        <v>2983</v>
      </c>
      <c r="D137" s="8" t="s">
        <v>2984</v>
      </c>
      <c r="E137" s="1" t="s">
        <v>2985</v>
      </c>
      <c r="F137" s="1" t="s">
        <v>2986</v>
      </c>
      <c r="G137" s="1" t="s">
        <v>132</v>
      </c>
      <c r="H137" s="1" t="s">
        <v>132</v>
      </c>
      <c r="I137" s="1" t="s">
        <v>2987</v>
      </c>
      <c r="J137" s="1" t="s">
        <v>132</v>
      </c>
      <c r="K137" s="1" t="s">
        <v>2988</v>
      </c>
      <c r="L137" s="1" t="s">
        <v>132</v>
      </c>
      <c r="M137" s="1" t="s">
        <v>2989</v>
      </c>
      <c r="N137" s="1" t="s">
        <v>2990</v>
      </c>
      <c r="O137" s="1" t="s">
        <v>132</v>
      </c>
      <c r="P137" s="1" t="s">
        <v>2991</v>
      </c>
      <c r="Q137" s="1" t="s">
        <v>132</v>
      </c>
      <c r="R137" s="1" t="s">
        <v>132</v>
      </c>
      <c r="S137" s="1" t="s">
        <v>2992</v>
      </c>
      <c r="T137" s="1" t="s">
        <v>132</v>
      </c>
      <c r="U137" s="1" t="s">
        <v>2993</v>
      </c>
      <c r="V137" s="1" t="s">
        <v>2994</v>
      </c>
      <c r="W137" s="1" t="s">
        <v>132</v>
      </c>
      <c r="X137" s="1" t="s">
        <v>2995</v>
      </c>
      <c r="Y137" s="1" t="s">
        <v>132</v>
      </c>
      <c r="Z137" s="1" t="s">
        <v>2996</v>
      </c>
      <c r="AA137" s="1" t="s">
        <v>2997</v>
      </c>
      <c r="AB137" s="1" t="s">
        <v>132</v>
      </c>
      <c r="AC137" s="1" t="s">
        <v>2998</v>
      </c>
      <c r="AD137" s="1" t="s">
        <v>132</v>
      </c>
      <c r="AE137" s="1" t="s">
        <v>132</v>
      </c>
      <c r="AF137" s="1" t="s">
        <v>2999</v>
      </c>
      <c r="AG137" s="1" t="s">
        <v>3000</v>
      </c>
      <c r="AH137" s="1" t="s">
        <v>132</v>
      </c>
      <c r="AI137" s="1" t="s">
        <v>132</v>
      </c>
      <c r="AJ137" s="1" t="s">
        <v>3001</v>
      </c>
      <c r="AK137" s="1" t="s">
        <v>132</v>
      </c>
      <c r="AL137" s="1" t="s">
        <v>132</v>
      </c>
      <c r="AM137" s="1" t="s">
        <v>3002</v>
      </c>
      <c r="AN137" s="1" t="s">
        <v>3002</v>
      </c>
    </row>
    <row r="138" ht="15.75" customHeight="1">
      <c r="A138" s="1" t="s">
        <v>127</v>
      </c>
      <c r="B138" s="1" t="s">
        <v>3003</v>
      </c>
      <c r="C138" s="1" t="s">
        <v>3004</v>
      </c>
      <c r="D138" s="8" t="s">
        <v>3005</v>
      </c>
      <c r="E138" s="1" t="s">
        <v>3006</v>
      </c>
      <c r="F138" s="1" t="s">
        <v>132</v>
      </c>
      <c r="G138" s="1" t="s">
        <v>3007</v>
      </c>
      <c r="H138" s="1" t="s">
        <v>3008</v>
      </c>
      <c r="I138" s="1" t="s">
        <v>3009</v>
      </c>
      <c r="J138" s="1" t="s">
        <v>3010</v>
      </c>
      <c r="K138" s="1" t="s">
        <v>3011</v>
      </c>
      <c r="L138" s="1" t="s">
        <v>3012</v>
      </c>
      <c r="M138" s="1" t="s">
        <v>3013</v>
      </c>
      <c r="N138" s="1" t="s">
        <v>132</v>
      </c>
      <c r="O138" s="1" t="s">
        <v>3014</v>
      </c>
      <c r="P138" s="1" t="s">
        <v>3015</v>
      </c>
      <c r="Q138" s="1" t="s">
        <v>132</v>
      </c>
      <c r="R138" s="1" t="s">
        <v>3016</v>
      </c>
      <c r="S138" s="1" t="s">
        <v>3017</v>
      </c>
      <c r="T138" s="8" t="s">
        <v>3018</v>
      </c>
      <c r="U138" s="1" t="s">
        <v>3019</v>
      </c>
      <c r="V138" s="1" t="s">
        <v>3020</v>
      </c>
      <c r="W138" s="1" t="s">
        <v>3021</v>
      </c>
      <c r="X138" s="1" t="s">
        <v>3022</v>
      </c>
      <c r="Y138" s="1" t="s">
        <v>3023</v>
      </c>
      <c r="Z138" s="1" t="s">
        <v>3024</v>
      </c>
      <c r="AA138" s="1" t="s">
        <v>3025</v>
      </c>
      <c r="AB138" s="1" t="s">
        <v>3026</v>
      </c>
      <c r="AC138" s="1" t="s">
        <v>3006</v>
      </c>
      <c r="AD138" s="1" t="s">
        <v>3027</v>
      </c>
      <c r="AE138" s="1" t="s">
        <v>3028</v>
      </c>
      <c r="AF138" s="1" t="s">
        <v>3029</v>
      </c>
      <c r="AG138" s="1" t="s">
        <v>3030</v>
      </c>
      <c r="AH138" s="1" t="s">
        <v>3031</v>
      </c>
      <c r="AI138" s="1" t="s">
        <v>3032</v>
      </c>
      <c r="AJ138" s="1" t="s">
        <v>132</v>
      </c>
      <c r="AK138" s="1" t="s">
        <v>3033</v>
      </c>
      <c r="AL138" s="1" t="s">
        <v>3034</v>
      </c>
      <c r="AM138" s="1" t="s">
        <v>3035</v>
      </c>
      <c r="AN138" s="1" t="s">
        <v>3035</v>
      </c>
    </row>
    <row r="139" ht="15.75" customHeight="1">
      <c r="A139" s="1" t="s">
        <v>38</v>
      </c>
      <c r="B139" s="1" t="s">
        <v>3036</v>
      </c>
      <c r="C139" s="1" t="s">
        <v>3037</v>
      </c>
      <c r="D139" s="8" t="s">
        <v>3038</v>
      </c>
      <c r="E139" s="1" t="s">
        <v>3039</v>
      </c>
      <c r="F139" s="1" t="s">
        <v>3040</v>
      </c>
      <c r="G139" s="1" t="s">
        <v>132</v>
      </c>
      <c r="H139" s="1" t="s">
        <v>132</v>
      </c>
      <c r="I139" s="1" t="s">
        <v>3041</v>
      </c>
      <c r="J139" s="1" t="s">
        <v>132</v>
      </c>
      <c r="K139" s="1" t="s">
        <v>3042</v>
      </c>
      <c r="L139" s="1" t="s">
        <v>132</v>
      </c>
      <c r="M139" s="1" t="s">
        <v>3043</v>
      </c>
      <c r="N139" s="1" t="s">
        <v>3044</v>
      </c>
      <c r="O139" s="1" t="s">
        <v>132</v>
      </c>
      <c r="P139" s="1" t="s">
        <v>3045</v>
      </c>
      <c r="Q139" s="1" t="s">
        <v>3046</v>
      </c>
      <c r="R139" s="1" t="s">
        <v>132</v>
      </c>
      <c r="S139" s="1" t="s">
        <v>3047</v>
      </c>
      <c r="T139" s="1" t="s">
        <v>132</v>
      </c>
      <c r="U139" s="1" t="s">
        <v>3048</v>
      </c>
      <c r="V139" s="1" t="s">
        <v>3049</v>
      </c>
      <c r="W139" s="1" t="s">
        <v>132</v>
      </c>
      <c r="X139" s="1" t="s">
        <v>3050</v>
      </c>
      <c r="Y139" s="1" t="s">
        <v>132</v>
      </c>
      <c r="Z139" s="1" t="s">
        <v>3051</v>
      </c>
      <c r="AA139" s="1" t="s">
        <v>3052</v>
      </c>
      <c r="AB139" s="1" t="s">
        <v>132</v>
      </c>
      <c r="AC139" s="1" t="s">
        <v>3053</v>
      </c>
      <c r="AD139" s="1" t="s">
        <v>3054</v>
      </c>
      <c r="AE139" s="1" t="s">
        <v>132</v>
      </c>
      <c r="AF139" s="1" t="s">
        <v>3055</v>
      </c>
      <c r="AG139" s="1" t="s">
        <v>3056</v>
      </c>
      <c r="AH139" s="1" t="s">
        <v>132</v>
      </c>
      <c r="AI139" s="1" t="s">
        <v>132</v>
      </c>
      <c r="AJ139" s="1" t="s">
        <v>3057</v>
      </c>
      <c r="AK139" s="1" t="s">
        <v>3058</v>
      </c>
      <c r="AL139" s="1" t="s">
        <v>132</v>
      </c>
      <c r="AM139" s="1" t="s">
        <v>3059</v>
      </c>
      <c r="AN139" s="1" t="s">
        <v>3059</v>
      </c>
    </row>
    <row r="140" ht="15.75" customHeight="1">
      <c r="A140" s="1" t="s">
        <v>38</v>
      </c>
      <c r="B140" s="1" t="s">
        <v>3060</v>
      </c>
      <c r="C140" s="1" t="s">
        <v>3061</v>
      </c>
      <c r="D140" s="1" t="s">
        <v>132</v>
      </c>
      <c r="E140" s="1" t="s">
        <v>132</v>
      </c>
      <c r="F140" s="1" t="s">
        <v>132</v>
      </c>
      <c r="G140" s="1" t="s">
        <v>132</v>
      </c>
      <c r="H140" s="1" t="s">
        <v>132</v>
      </c>
      <c r="I140" s="1" t="s">
        <v>3062</v>
      </c>
      <c r="J140" s="1" t="s">
        <v>132</v>
      </c>
      <c r="K140" s="1" t="s">
        <v>3061</v>
      </c>
      <c r="L140" s="1" t="s">
        <v>132</v>
      </c>
      <c r="M140" s="1" t="s">
        <v>3063</v>
      </c>
      <c r="N140" s="1" t="s">
        <v>132</v>
      </c>
      <c r="O140" s="1" t="s">
        <v>132</v>
      </c>
      <c r="P140" s="1" t="s">
        <v>3061</v>
      </c>
      <c r="Q140" s="1" t="s">
        <v>132</v>
      </c>
      <c r="R140" s="1" t="s">
        <v>132</v>
      </c>
      <c r="S140" s="1" t="s">
        <v>132</v>
      </c>
      <c r="T140" s="1" t="s">
        <v>132</v>
      </c>
      <c r="U140" s="1" t="s">
        <v>132</v>
      </c>
      <c r="V140" s="1" t="s">
        <v>132</v>
      </c>
      <c r="W140" s="1" t="s">
        <v>132</v>
      </c>
      <c r="X140" s="1" t="s">
        <v>132</v>
      </c>
      <c r="Y140" s="1" t="s">
        <v>132</v>
      </c>
      <c r="Z140" s="1" t="s">
        <v>132</v>
      </c>
      <c r="AA140" s="1" t="s">
        <v>132</v>
      </c>
      <c r="AB140" s="1" t="s">
        <v>132</v>
      </c>
      <c r="AC140" s="1" t="s">
        <v>3064</v>
      </c>
      <c r="AD140" s="1" t="s">
        <v>132</v>
      </c>
      <c r="AE140" s="1" t="s">
        <v>132</v>
      </c>
      <c r="AF140" s="1" t="s">
        <v>3065</v>
      </c>
      <c r="AG140" s="1" t="s">
        <v>132</v>
      </c>
      <c r="AH140" s="1" t="s">
        <v>132</v>
      </c>
      <c r="AI140" s="1" t="s">
        <v>132</v>
      </c>
      <c r="AJ140" s="1" t="s">
        <v>132</v>
      </c>
      <c r="AK140" s="1" t="s">
        <v>132</v>
      </c>
      <c r="AL140" s="1" t="s">
        <v>132</v>
      </c>
      <c r="AM140" s="1" t="s">
        <v>132</v>
      </c>
      <c r="AN140" s="1" t="s">
        <v>132</v>
      </c>
    </row>
    <row r="141" ht="15.75" customHeight="1">
      <c r="A141" s="1" t="s">
        <v>127</v>
      </c>
      <c r="B141" s="1" t="s">
        <v>3066</v>
      </c>
      <c r="C141" s="1" t="s">
        <v>3067</v>
      </c>
      <c r="D141" s="8" t="s">
        <v>3068</v>
      </c>
      <c r="E141" s="1" t="s">
        <v>3069</v>
      </c>
      <c r="F141" s="1" t="s">
        <v>132</v>
      </c>
      <c r="G141" s="1" t="s">
        <v>3070</v>
      </c>
      <c r="H141" s="1" t="s">
        <v>3071</v>
      </c>
      <c r="I141" s="1" t="s">
        <v>3072</v>
      </c>
      <c r="J141" s="1" t="s">
        <v>3073</v>
      </c>
      <c r="K141" s="1" t="s">
        <v>3067</v>
      </c>
      <c r="L141" s="1" t="s">
        <v>3074</v>
      </c>
      <c r="M141" s="1" t="s">
        <v>3067</v>
      </c>
      <c r="N141" s="1" t="s">
        <v>132</v>
      </c>
      <c r="O141" s="1" t="s">
        <v>3075</v>
      </c>
      <c r="P141" s="1" t="s">
        <v>3076</v>
      </c>
      <c r="Q141" s="1" t="s">
        <v>132</v>
      </c>
      <c r="R141" s="1" t="s">
        <v>3077</v>
      </c>
      <c r="S141" s="1" t="s">
        <v>3067</v>
      </c>
      <c r="T141" s="8" t="s">
        <v>3078</v>
      </c>
      <c r="U141" s="1" t="s">
        <v>3067</v>
      </c>
      <c r="V141" s="1" t="s">
        <v>3079</v>
      </c>
      <c r="W141" s="1" t="s">
        <v>3077</v>
      </c>
      <c r="X141" s="1" t="s">
        <v>3080</v>
      </c>
      <c r="Y141" s="1" t="s">
        <v>3071</v>
      </c>
      <c r="Z141" s="1" t="s">
        <v>3081</v>
      </c>
      <c r="AA141" s="1" t="s">
        <v>3082</v>
      </c>
      <c r="AB141" s="1" t="s">
        <v>3083</v>
      </c>
      <c r="AC141" s="1" t="s">
        <v>3084</v>
      </c>
      <c r="AD141" s="1" t="s">
        <v>3085</v>
      </c>
      <c r="AE141" s="1" t="s">
        <v>3086</v>
      </c>
      <c r="AF141" s="1" t="s">
        <v>3087</v>
      </c>
      <c r="AG141" s="1" t="s">
        <v>3088</v>
      </c>
      <c r="AH141" s="1" t="s">
        <v>3089</v>
      </c>
      <c r="AI141" s="1" t="s">
        <v>3090</v>
      </c>
      <c r="AJ141" s="1" t="s">
        <v>132</v>
      </c>
      <c r="AK141" s="1" t="s">
        <v>3091</v>
      </c>
      <c r="AL141" s="1" t="s">
        <v>3092</v>
      </c>
      <c r="AM141" s="1" t="s">
        <v>132</v>
      </c>
      <c r="AN141" s="1" t="s">
        <v>132</v>
      </c>
    </row>
    <row r="142" ht="15.75" customHeight="1">
      <c r="A142" s="1" t="s">
        <v>38</v>
      </c>
      <c r="B142" s="1" t="s">
        <v>3093</v>
      </c>
      <c r="C142" s="1" t="s">
        <v>3094</v>
      </c>
      <c r="D142" s="1" t="s">
        <v>132</v>
      </c>
      <c r="E142" s="1" t="s">
        <v>132</v>
      </c>
      <c r="F142" s="1" t="s">
        <v>132</v>
      </c>
      <c r="G142" s="1" t="s">
        <v>132</v>
      </c>
      <c r="H142" s="1" t="s">
        <v>132</v>
      </c>
      <c r="I142" s="1" t="s">
        <v>3094</v>
      </c>
      <c r="J142" s="1" t="s">
        <v>132</v>
      </c>
      <c r="K142" s="1" t="s">
        <v>3095</v>
      </c>
      <c r="L142" s="1" t="s">
        <v>132</v>
      </c>
      <c r="M142" s="1" t="s">
        <v>3094</v>
      </c>
      <c r="N142" s="1" t="s">
        <v>132</v>
      </c>
      <c r="O142" s="1" t="s">
        <v>132</v>
      </c>
      <c r="P142" s="1" t="s">
        <v>3094</v>
      </c>
      <c r="Q142" s="1" t="s">
        <v>132</v>
      </c>
      <c r="R142" s="1" t="s">
        <v>132</v>
      </c>
      <c r="S142" s="1" t="s">
        <v>132</v>
      </c>
      <c r="T142" s="1" t="s">
        <v>132</v>
      </c>
      <c r="U142" s="1" t="s">
        <v>132</v>
      </c>
      <c r="V142" s="1" t="s">
        <v>132</v>
      </c>
      <c r="W142" s="1" t="s">
        <v>132</v>
      </c>
      <c r="X142" s="1" t="s">
        <v>132</v>
      </c>
      <c r="Y142" s="1" t="s">
        <v>132</v>
      </c>
      <c r="Z142" s="1" t="s">
        <v>132</v>
      </c>
      <c r="AA142" s="1" t="s">
        <v>132</v>
      </c>
      <c r="AB142" s="1" t="s">
        <v>132</v>
      </c>
      <c r="AC142" s="1" t="s">
        <v>3096</v>
      </c>
      <c r="AD142" s="1" t="s">
        <v>132</v>
      </c>
      <c r="AE142" s="1" t="s">
        <v>132</v>
      </c>
      <c r="AF142" s="1" t="s">
        <v>3095</v>
      </c>
      <c r="AG142" s="1" t="s">
        <v>132</v>
      </c>
      <c r="AH142" s="1" t="s">
        <v>132</v>
      </c>
      <c r="AI142" s="1" t="s">
        <v>132</v>
      </c>
      <c r="AJ142" s="1" t="s">
        <v>132</v>
      </c>
      <c r="AK142" s="1" t="s">
        <v>132</v>
      </c>
      <c r="AL142" s="1" t="s">
        <v>132</v>
      </c>
      <c r="AM142" s="1" t="s">
        <v>132</v>
      </c>
      <c r="AN142" s="1" t="s">
        <v>132</v>
      </c>
    </row>
    <row r="143" ht="15.75" customHeight="1">
      <c r="A143" s="1" t="s">
        <v>127</v>
      </c>
      <c r="B143" s="1" t="s">
        <v>3097</v>
      </c>
      <c r="C143" s="1" t="s">
        <v>3098</v>
      </c>
      <c r="D143" s="8" t="s">
        <v>3099</v>
      </c>
      <c r="E143" s="1" t="s">
        <v>3100</v>
      </c>
      <c r="F143" s="1" t="s">
        <v>132</v>
      </c>
      <c r="G143" s="1" t="s">
        <v>3101</v>
      </c>
      <c r="H143" s="1" t="s">
        <v>3102</v>
      </c>
      <c r="I143" s="1" t="s">
        <v>3103</v>
      </c>
      <c r="J143" s="1" t="s">
        <v>3104</v>
      </c>
      <c r="K143" s="1" t="s">
        <v>3105</v>
      </c>
      <c r="L143" s="1" t="s">
        <v>3106</v>
      </c>
      <c r="M143" s="1" t="s">
        <v>3107</v>
      </c>
      <c r="N143" s="1" t="s">
        <v>132</v>
      </c>
      <c r="O143" s="1" t="s">
        <v>3108</v>
      </c>
      <c r="P143" s="1" t="s">
        <v>3109</v>
      </c>
      <c r="Q143" s="1" t="s">
        <v>132</v>
      </c>
      <c r="R143" s="1" t="s">
        <v>3110</v>
      </c>
      <c r="S143" s="1" t="s">
        <v>3111</v>
      </c>
      <c r="T143" s="8" t="s">
        <v>3112</v>
      </c>
      <c r="U143" s="1" t="s">
        <v>3113</v>
      </c>
      <c r="V143" s="1" t="s">
        <v>3114</v>
      </c>
      <c r="W143" s="1" t="s">
        <v>3110</v>
      </c>
      <c r="X143" s="1" t="s">
        <v>3115</v>
      </c>
      <c r="Y143" s="1" t="s">
        <v>3116</v>
      </c>
      <c r="Z143" s="1" t="s">
        <v>3117</v>
      </c>
      <c r="AA143" s="1" t="s">
        <v>3118</v>
      </c>
      <c r="AB143" s="1" t="s">
        <v>3119</v>
      </c>
      <c r="AC143" s="1" t="s">
        <v>3120</v>
      </c>
      <c r="AD143" s="1" t="s">
        <v>3121</v>
      </c>
      <c r="AE143" s="1" t="s">
        <v>3122</v>
      </c>
      <c r="AF143" s="1" t="s">
        <v>3123</v>
      </c>
      <c r="AG143" s="1" t="s">
        <v>3124</v>
      </c>
      <c r="AH143" s="1" t="s">
        <v>3125</v>
      </c>
      <c r="AI143" s="1" t="s">
        <v>3126</v>
      </c>
      <c r="AJ143" s="1" t="s">
        <v>132</v>
      </c>
      <c r="AK143" s="1" t="s">
        <v>3127</v>
      </c>
      <c r="AL143" s="1" t="s">
        <v>3128</v>
      </c>
      <c r="AM143" s="1" t="s">
        <v>3129</v>
      </c>
      <c r="AN143" s="1" t="s">
        <v>3129</v>
      </c>
    </row>
    <row r="144" ht="15.75" customHeight="1">
      <c r="A144" s="1" t="s">
        <v>127</v>
      </c>
      <c r="B144" s="1" t="s">
        <v>3130</v>
      </c>
      <c r="C144" s="1" t="s">
        <v>3131</v>
      </c>
      <c r="D144" s="8" t="s">
        <v>3132</v>
      </c>
      <c r="E144" s="1" t="s">
        <v>3133</v>
      </c>
      <c r="F144" s="1" t="s">
        <v>132</v>
      </c>
      <c r="G144" s="1" t="s">
        <v>3134</v>
      </c>
      <c r="H144" s="1" t="s">
        <v>3135</v>
      </c>
      <c r="I144" s="1" t="s">
        <v>3136</v>
      </c>
      <c r="J144" s="1" t="s">
        <v>3137</v>
      </c>
      <c r="K144" s="1" t="s">
        <v>3138</v>
      </c>
      <c r="L144" s="1" t="s">
        <v>3139</v>
      </c>
      <c r="M144" s="1" t="s">
        <v>3140</v>
      </c>
      <c r="N144" s="1" t="s">
        <v>132</v>
      </c>
      <c r="O144" s="1" t="s">
        <v>3141</v>
      </c>
      <c r="P144" s="1" t="s">
        <v>3142</v>
      </c>
      <c r="Q144" s="1" t="s">
        <v>132</v>
      </c>
      <c r="R144" s="1" t="s">
        <v>3143</v>
      </c>
      <c r="S144" s="1" t="s">
        <v>3144</v>
      </c>
      <c r="T144" s="8" t="s">
        <v>3145</v>
      </c>
      <c r="U144" s="1" t="s">
        <v>3146</v>
      </c>
      <c r="V144" s="1" t="s">
        <v>3147</v>
      </c>
      <c r="W144" s="1" t="s">
        <v>3148</v>
      </c>
      <c r="X144" s="1" t="s">
        <v>3149</v>
      </c>
      <c r="Y144" s="1" t="s">
        <v>3135</v>
      </c>
      <c r="Z144" s="1" t="s">
        <v>3150</v>
      </c>
      <c r="AA144" s="1" t="s">
        <v>3151</v>
      </c>
      <c r="AB144" s="1" t="s">
        <v>3152</v>
      </c>
      <c r="AC144" s="1" t="s">
        <v>3153</v>
      </c>
      <c r="AD144" s="1" t="s">
        <v>3154</v>
      </c>
      <c r="AE144" s="1" t="s">
        <v>3155</v>
      </c>
      <c r="AF144" s="1" t="s">
        <v>3156</v>
      </c>
      <c r="AG144" s="1" t="s">
        <v>3157</v>
      </c>
      <c r="AH144" s="1" t="s">
        <v>3158</v>
      </c>
      <c r="AI144" s="1" t="s">
        <v>3159</v>
      </c>
      <c r="AJ144" s="1" t="s">
        <v>132</v>
      </c>
      <c r="AK144" s="1" t="s">
        <v>3160</v>
      </c>
      <c r="AL144" s="1" t="s">
        <v>3161</v>
      </c>
      <c r="AM144" s="1" t="s">
        <v>132</v>
      </c>
      <c r="AN144" s="1" t="s">
        <v>132</v>
      </c>
    </row>
    <row r="145" ht="15.75" customHeight="1">
      <c r="A145" s="1" t="s">
        <v>127</v>
      </c>
      <c r="B145" s="1" t="s">
        <v>3162</v>
      </c>
      <c r="C145" s="1" t="s">
        <v>3163</v>
      </c>
      <c r="D145" s="8" t="s">
        <v>3164</v>
      </c>
      <c r="E145" s="1" t="s">
        <v>3165</v>
      </c>
      <c r="F145" s="1" t="s">
        <v>132</v>
      </c>
      <c r="G145" s="1" t="s">
        <v>3166</v>
      </c>
      <c r="H145" s="1" t="s">
        <v>3167</v>
      </c>
      <c r="I145" s="1" t="s">
        <v>3168</v>
      </c>
      <c r="J145" s="1" t="s">
        <v>3169</v>
      </c>
      <c r="K145" s="1" t="s">
        <v>3170</v>
      </c>
      <c r="L145" s="1" t="s">
        <v>3171</v>
      </c>
      <c r="M145" s="1" t="s">
        <v>3172</v>
      </c>
      <c r="N145" s="1" t="s">
        <v>132</v>
      </c>
      <c r="O145" s="1" t="s">
        <v>3173</v>
      </c>
      <c r="P145" s="1" t="s">
        <v>3174</v>
      </c>
      <c r="Q145" s="1" t="s">
        <v>132</v>
      </c>
      <c r="R145" s="1" t="s">
        <v>3175</v>
      </c>
      <c r="S145" s="1" t="s">
        <v>3176</v>
      </c>
      <c r="T145" s="8" t="s">
        <v>3177</v>
      </c>
      <c r="U145" s="1" t="s">
        <v>3178</v>
      </c>
      <c r="V145" s="1" t="s">
        <v>3179</v>
      </c>
      <c r="W145" s="1" t="s">
        <v>3175</v>
      </c>
      <c r="X145" s="1" t="s">
        <v>3180</v>
      </c>
      <c r="Y145" s="1" t="s">
        <v>3181</v>
      </c>
      <c r="Z145" s="1" t="s">
        <v>3182</v>
      </c>
      <c r="AA145" s="1" t="s">
        <v>3183</v>
      </c>
      <c r="AB145" s="1" t="s">
        <v>3184</v>
      </c>
      <c r="AC145" s="1" t="s">
        <v>3185</v>
      </c>
      <c r="AD145" s="1" t="s">
        <v>3186</v>
      </c>
      <c r="AE145" s="1" t="s">
        <v>3187</v>
      </c>
      <c r="AF145" s="1" t="s">
        <v>3188</v>
      </c>
      <c r="AG145" s="1" t="s">
        <v>3189</v>
      </c>
      <c r="AH145" s="1" t="s">
        <v>3190</v>
      </c>
      <c r="AI145" s="1" t="s">
        <v>3191</v>
      </c>
      <c r="AJ145" s="1" t="s">
        <v>132</v>
      </c>
      <c r="AK145" s="1" t="s">
        <v>3192</v>
      </c>
      <c r="AL145" s="1" t="s">
        <v>3193</v>
      </c>
      <c r="AM145" s="1" t="s">
        <v>3194</v>
      </c>
      <c r="AN145" s="1" t="s">
        <v>3194</v>
      </c>
    </row>
    <row r="146" ht="15.75" customHeight="1">
      <c r="A146" s="1" t="s">
        <v>127</v>
      </c>
      <c r="B146" s="1" t="s">
        <v>3195</v>
      </c>
      <c r="C146" s="1" t="s">
        <v>3196</v>
      </c>
      <c r="D146" s="8" t="s">
        <v>3197</v>
      </c>
      <c r="E146" s="1" t="s">
        <v>3198</v>
      </c>
      <c r="F146" s="1" t="s">
        <v>132</v>
      </c>
      <c r="G146" s="1" t="s">
        <v>3199</v>
      </c>
      <c r="H146" s="1" t="s">
        <v>3200</v>
      </c>
      <c r="I146" s="1" t="s">
        <v>3201</v>
      </c>
      <c r="J146" s="1" t="s">
        <v>3202</v>
      </c>
      <c r="K146" s="1" t="s">
        <v>2</v>
      </c>
      <c r="L146" s="1" t="s">
        <v>3203</v>
      </c>
      <c r="M146" s="1" t="s">
        <v>3204</v>
      </c>
      <c r="N146" s="1" t="s">
        <v>132</v>
      </c>
      <c r="O146" s="1" t="s">
        <v>3205</v>
      </c>
      <c r="P146" s="1" t="s">
        <v>3206</v>
      </c>
      <c r="Q146" s="1" t="s">
        <v>132</v>
      </c>
      <c r="R146" s="1" t="s">
        <v>3207</v>
      </c>
      <c r="S146" s="1" t="s">
        <v>3208</v>
      </c>
      <c r="T146" s="8" t="s">
        <v>3209</v>
      </c>
      <c r="U146" s="1" t="s">
        <v>3210</v>
      </c>
      <c r="V146" s="1" t="s">
        <v>3211</v>
      </c>
      <c r="W146" s="1" t="s">
        <v>3207</v>
      </c>
      <c r="X146" s="1" t="s">
        <v>3212</v>
      </c>
      <c r="Y146" s="1" t="s">
        <v>3200</v>
      </c>
      <c r="Z146" s="1" t="s">
        <v>3213</v>
      </c>
      <c r="AA146" s="1" t="s">
        <v>3214</v>
      </c>
      <c r="AB146" s="1" t="s">
        <v>3215</v>
      </c>
      <c r="AC146" s="1" t="s">
        <v>3198</v>
      </c>
      <c r="AD146" s="1" t="s">
        <v>3199</v>
      </c>
      <c r="AE146" s="1" t="s">
        <v>3216</v>
      </c>
      <c r="AF146" s="1" t="s">
        <v>3217</v>
      </c>
      <c r="AG146" s="1" t="s">
        <v>3218</v>
      </c>
      <c r="AH146" s="1" t="s">
        <v>3219</v>
      </c>
      <c r="AI146" s="1" t="s">
        <v>3220</v>
      </c>
      <c r="AJ146" s="1" t="s">
        <v>132</v>
      </c>
      <c r="AK146" s="1" t="s">
        <v>3221</v>
      </c>
      <c r="AL146" s="1" t="s">
        <v>3222</v>
      </c>
      <c r="AM146" s="1" t="s">
        <v>3223</v>
      </c>
      <c r="AN146" s="1" t="s">
        <v>3223</v>
      </c>
    </row>
    <row r="147" ht="15.75" customHeight="1">
      <c r="A147" s="1" t="s">
        <v>38</v>
      </c>
      <c r="B147" s="1" t="s">
        <v>3224</v>
      </c>
      <c r="C147" s="1" t="s">
        <v>3225</v>
      </c>
      <c r="D147" s="8" t="s">
        <v>3226</v>
      </c>
      <c r="E147" s="1" t="s">
        <v>3227</v>
      </c>
      <c r="F147" s="1" t="s">
        <v>3228</v>
      </c>
      <c r="G147" s="1" t="s">
        <v>132</v>
      </c>
      <c r="H147" s="1" t="s">
        <v>132</v>
      </c>
      <c r="I147" s="1" t="s">
        <v>3229</v>
      </c>
      <c r="J147" s="1" t="s">
        <v>132</v>
      </c>
      <c r="K147" s="1" t="s">
        <v>3230</v>
      </c>
      <c r="L147" s="1" t="s">
        <v>132</v>
      </c>
      <c r="M147" s="1" t="s">
        <v>3231</v>
      </c>
      <c r="N147" s="1" t="s">
        <v>3232</v>
      </c>
      <c r="O147" s="1" t="s">
        <v>132</v>
      </c>
      <c r="P147" s="1" t="s">
        <v>3233</v>
      </c>
      <c r="Q147" s="1" t="s">
        <v>3234</v>
      </c>
      <c r="R147" s="1" t="s">
        <v>132</v>
      </c>
      <c r="S147" s="1" t="s">
        <v>3235</v>
      </c>
      <c r="T147" s="1" t="s">
        <v>132</v>
      </c>
      <c r="U147" s="1" t="s">
        <v>3236</v>
      </c>
      <c r="V147" s="1" t="s">
        <v>3237</v>
      </c>
      <c r="W147" s="1" t="s">
        <v>132</v>
      </c>
      <c r="X147" s="1" t="s">
        <v>3238</v>
      </c>
      <c r="Y147" s="1" t="s">
        <v>132</v>
      </c>
      <c r="Z147" s="1" t="s">
        <v>3239</v>
      </c>
      <c r="AA147" s="1" t="s">
        <v>3240</v>
      </c>
      <c r="AB147" s="1" t="s">
        <v>132</v>
      </c>
      <c r="AC147" s="1" t="s">
        <v>3241</v>
      </c>
      <c r="AD147" s="1" t="s">
        <v>3242</v>
      </c>
      <c r="AE147" s="1" t="s">
        <v>132</v>
      </c>
      <c r="AF147" s="1" t="s">
        <v>3243</v>
      </c>
      <c r="AG147" s="1" t="s">
        <v>3244</v>
      </c>
      <c r="AH147" s="1" t="s">
        <v>132</v>
      </c>
      <c r="AI147" s="1" t="s">
        <v>132</v>
      </c>
      <c r="AJ147" s="1" t="s">
        <v>3245</v>
      </c>
      <c r="AK147" s="1" t="s">
        <v>3246</v>
      </c>
      <c r="AL147" s="1" t="s">
        <v>132</v>
      </c>
      <c r="AM147" s="1" t="s">
        <v>3247</v>
      </c>
      <c r="AN147" s="1" t="s">
        <v>3247</v>
      </c>
    </row>
    <row r="148" ht="15.75" customHeight="1">
      <c r="A148" s="1" t="s">
        <v>38</v>
      </c>
      <c r="B148" s="1" t="s">
        <v>3248</v>
      </c>
      <c r="C148" s="1" t="s">
        <v>3249</v>
      </c>
      <c r="D148" s="1" t="s">
        <v>132</v>
      </c>
      <c r="E148" s="1" t="s">
        <v>3250</v>
      </c>
      <c r="F148" s="1" t="s">
        <v>3251</v>
      </c>
      <c r="G148" s="1" t="s">
        <v>132</v>
      </c>
      <c r="H148" s="1" t="s">
        <v>132</v>
      </c>
      <c r="I148" s="1" t="s">
        <v>3252</v>
      </c>
      <c r="J148" s="1" t="s">
        <v>132</v>
      </c>
      <c r="K148" s="1" t="s">
        <v>3253</v>
      </c>
      <c r="L148" s="1" t="s">
        <v>132</v>
      </c>
      <c r="M148" s="1" t="s">
        <v>132</v>
      </c>
      <c r="N148" s="1" t="s">
        <v>3254</v>
      </c>
      <c r="O148" s="1" t="s">
        <v>132</v>
      </c>
      <c r="P148" s="1" t="s">
        <v>3255</v>
      </c>
      <c r="Q148" s="1" t="s">
        <v>132</v>
      </c>
      <c r="R148" s="1" t="s">
        <v>132</v>
      </c>
      <c r="S148" s="1" t="s">
        <v>3256</v>
      </c>
      <c r="T148" s="1" t="s">
        <v>132</v>
      </c>
      <c r="U148" s="1" t="s">
        <v>132</v>
      </c>
      <c r="V148" s="1" t="s">
        <v>132</v>
      </c>
      <c r="W148" s="1" t="s">
        <v>132</v>
      </c>
      <c r="X148" s="1" t="s">
        <v>3257</v>
      </c>
      <c r="Y148" s="1" t="s">
        <v>132</v>
      </c>
      <c r="Z148" s="1" t="s">
        <v>3258</v>
      </c>
      <c r="AA148" s="1" t="s">
        <v>132</v>
      </c>
      <c r="AB148" s="1" t="s">
        <v>132</v>
      </c>
      <c r="AC148" s="1" t="s">
        <v>132</v>
      </c>
      <c r="AD148" s="1" t="s">
        <v>132</v>
      </c>
      <c r="AE148" s="1" t="s">
        <v>132</v>
      </c>
      <c r="AF148" s="1" t="s">
        <v>132</v>
      </c>
      <c r="AG148" s="1" t="s">
        <v>132</v>
      </c>
      <c r="AH148" s="1" t="s">
        <v>132</v>
      </c>
      <c r="AI148" s="1" t="s">
        <v>132</v>
      </c>
      <c r="AJ148" s="1" t="s">
        <v>132</v>
      </c>
      <c r="AK148" s="1" t="s">
        <v>132</v>
      </c>
      <c r="AL148" s="1" t="s">
        <v>132</v>
      </c>
      <c r="AM148" s="1" t="s">
        <v>132</v>
      </c>
      <c r="AN148" s="1" t="s">
        <v>132</v>
      </c>
    </row>
    <row r="149" ht="15.75" customHeight="1">
      <c r="A149" s="1" t="s">
        <v>127</v>
      </c>
      <c r="B149" s="1" t="s">
        <v>3259</v>
      </c>
      <c r="C149" s="1" t="s">
        <v>3260</v>
      </c>
      <c r="D149" s="8" t="s">
        <v>3261</v>
      </c>
      <c r="E149" s="1" t="s">
        <v>3262</v>
      </c>
      <c r="F149" s="1" t="s">
        <v>132</v>
      </c>
      <c r="G149" s="1" t="s">
        <v>3263</v>
      </c>
      <c r="H149" s="1" t="s">
        <v>3264</v>
      </c>
      <c r="I149" s="1" t="s">
        <v>3265</v>
      </c>
      <c r="J149" s="1" t="s">
        <v>3260</v>
      </c>
      <c r="K149" s="1" t="s">
        <v>3260</v>
      </c>
      <c r="L149" s="1" t="s">
        <v>3266</v>
      </c>
      <c r="M149" s="1" t="s">
        <v>3260</v>
      </c>
      <c r="N149" s="1" t="s">
        <v>132</v>
      </c>
      <c r="O149" s="1" t="s">
        <v>3267</v>
      </c>
      <c r="P149" s="1" t="s">
        <v>3268</v>
      </c>
      <c r="Q149" s="1" t="s">
        <v>132</v>
      </c>
      <c r="R149" s="1" t="s">
        <v>3269</v>
      </c>
      <c r="S149" s="1" t="s">
        <v>3260</v>
      </c>
      <c r="T149" s="8" t="s">
        <v>3270</v>
      </c>
      <c r="U149" s="1" t="s">
        <v>3271</v>
      </c>
      <c r="V149" s="1" t="s">
        <v>3272</v>
      </c>
      <c r="W149" s="1" t="s">
        <v>3273</v>
      </c>
      <c r="X149" s="1" t="s">
        <v>3274</v>
      </c>
      <c r="Y149" s="1" t="s">
        <v>3264</v>
      </c>
      <c r="Z149" s="1" t="s">
        <v>3275</v>
      </c>
      <c r="AA149" s="1" t="s">
        <v>3276</v>
      </c>
      <c r="AB149" s="1" t="s">
        <v>3260</v>
      </c>
      <c r="AC149" s="1" t="s">
        <v>3277</v>
      </c>
      <c r="AD149" s="1" t="s">
        <v>3260</v>
      </c>
      <c r="AE149" s="1" t="s">
        <v>3278</v>
      </c>
      <c r="AF149" s="1" t="s">
        <v>3279</v>
      </c>
      <c r="AG149" s="1" t="s">
        <v>3260</v>
      </c>
      <c r="AH149" s="1" t="s">
        <v>3280</v>
      </c>
      <c r="AI149" s="1" t="s">
        <v>3281</v>
      </c>
      <c r="AJ149" s="1" t="s">
        <v>132</v>
      </c>
      <c r="AK149" s="1" t="s">
        <v>3282</v>
      </c>
      <c r="AL149" s="1" t="s">
        <v>3283</v>
      </c>
      <c r="AM149" s="1" t="s">
        <v>3284</v>
      </c>
      <c r="AN149" s="1" t="s">
        <v>3284</v>
      </c>
    </row>
    <row r="150" ht="15.75" customHeight="1">
      <c r="A150" s="1" t="s">
        <v>127</v>
      </c>
      <c r="B150" s="1" t="s">
        <v>3285</v>
      </c>
      <c r="C150" s="1" t="s">
        <v>3286</v>
      </c>
      <c r="D150" s="8" t="s">
        <v>3287</v>
      </c>
      <c r="E150" s="1" t="s">
        <v>3288</v>
      </c>
      <c r="F150" s="1" t="s">
        <v>132</v>
      </c>
      <c r="G150" s="1" t="s">
        <v>3289</v>
      </c>
      <c r="H150" s="1" t="s">
        <v>3290</v>
      </c>
      <c r="I150" s="1" t="s">
        <v>3291</v>
      </c>
      <c r="J150" s="1" t="s">
        <v>3292</v>
      </c>
      <c r="K150" s="1" t="s">
        <v>3293</v>
      </c>
      <c r="L150" s="1" t="s">
        <v>3294</v>
      </c>
      <c r="M150" s="1" t="s">
        <v>3295</v>
      </c>
      <c r="N150" s="1" t="s">
        <v>132</v>
      </c>
      <c r="O150" s="1" t="s">
        <v>3296</v>
      </c>
      <c r="P150" s="1" t="s">
        <v>3297</v>
      </c>
      <c r="Q150" s="1" t="s">
        <v>132</v>
      </c>
      <c r="R150" s="1" t="s">
        <v>3298</v>
      </c>
      <c r="S150" s="1" t="s">
        <v>3299</v>
      </c>
      <c r="T150" s="8" t="s">
        <v>3300</v>
      </c>
      <c r="U150" s="1" t="s">
        <v>3301</v>
      </c>
      <c r="V150" s="1" t="s">
        <v>3302</v>
      </c>
      <c r="W150" s="1" t="s">
        <v>3298</v>
      </c>
      <c r="X150" s="1" t="s">
        <v>3303</v>
      </c>
      <c r="Y150" s="1" t="s">
        <v>3304</v>
      </c>
      <c r="Z150" s="1" t="s">
        <v>3305</v>
      </c>
      <c r="AA150" s="1" t="s">
        <v>3306</v>
      </c>
      <c r="AB150" s="1" t="s">
        <v>3307</v>
      </c>
      <c r="AC150" s="1" t="s">
        <v>3308</v>
      </c>
      <c r="AD150" s="1" t="s">
        <v>3309</v>
      </c>
      <c r="AE150" s="1" t="s">
        <v>3310</v>
      </c>
      <c r="AF150" s="1" t="s">
        <v>3311</v>
      </c>
      <c r="AG150" s="1" t="s">
        <v>3312</v>
      </c>
      <c r="AH150" s="1" t="s">
        <v>3313</v>
      </c>
      <c r="AI150" s="1" t="s">
        <v>3314</v>
      </c>
      <c r="AJ150" s="1" t="s">
        <v>132</v>
      </c>
      <c r="AK150" s="1" t="s">
        <v>3315</v>
      </c>
      <c r="AL150" s="1" t="s">
        <v>3316</v>
      </c>
      <c r="AM150" s="1" t="s">
        <v>3317</v>
      </c>
      <c r="AN150" s="1" t="s">
        <v>3317</v>
      </c>
    </row>
    <row r="151" ht="15.75" customHeight="1">
      <c r="A151" s="1" t="s">
        <v>38</v>
      </c>
      <c r="B151" s="1" t="s">
        <v>3318</v>
      </c>
      <c r="C151" s="1" t="s">
        <v>3319</v>
      </c>
      <c r="D151" s="8" t="s">
        <v>3320</v>
      </c>
      <c r="E151" s="1" t="s">
        <v>3321</v>
      </c>
      <c r="F151" s="1" t="s">
        <v>3322</v>
      </c>
      <c r="G151" s="1" t="s">
        <v>132</v>
      </c>
      <c r="H151" s="1" t="s">
        <v>132</v>
      </c>
      <c r="I151" s="1" t="s">
        <v>3323</v>
      </c>
      <c r="J151" s="1" t="s">
        <v>132</v>
      </c>
      <c r="K151" s="1" t="s">
        <v>3324</v>
      </c>
      <c r="L151" s="1" t="s">
        <v>132</v>
      </c>
      <c r="M151" s="1" t="s">
        <v>3325</v>
      </c>
      <c r="N151" s="1" t="s">
        <v>3326</v>
      </c>
      <c r="O151" s="1" t="s">
        <v>132</v>
      </c>
      <c r="P151" s="1" t="s">
        <v>3327</v>
      </c>
      <c r="Q151" s="1" t="s">
        <v>132</v>
      </c>
      <c r="R151" s="1" t="s">
        <v>132</v>
      </c>
      <c r="S151" s="1" t="s">
        <v>3328</v>
      </c>
      <c r="T151" s="1" t="s">
        <v>132</v>
      </c>
      <c r="U151" s="1" t="s">
        <v>132</v>
      </c>
      <c r="V151" s="1" t="s">
        <v>132</v>
      </c>
      <c r="W151" s="1" t="s">
        <v>132</v>
      </c>
      <c r="X151" s="1" t="s">
        <v>3329</v>
      </c>
      <c r="Y151" s="1" t="s">
        <v>132</v>
      </c>
      <c r="Z151" s="1" t="s">
        <v>3330</v>
      </c>
      <c r="AA151" s="1" t="s">
        <v>3331</v>
      </c>
      <c r="AB151" s="1" t="s">
        <v>132</v>
      </c>
      <c r="AC151" s="1" t="s">
        <v>132</v>
      </c>
      <c r="AD151" s="1" t="s">
        <v>132</v>
      </c>
      <c r="AE151" s="1" t="s">
        <v>132</v>
      </c>
      <c r="AF151" s="1" t="s">
        <v>132</v>
      </c>
      <c r="AG151" s="1" t="s">
        <v>132</v>
      </c>
      <c r="AH151" s="1" t="s">
        <v>132</v>
      </c>
      <c r="AI151" s="1" t="s">
        <v>132</v>
      </c>
      <c r="AJ151" s="1" t="s">
        <v>132</v>
      </c>
      <c r="AK151" s="1" t="s">
        <v>132</v>
      </c>
      <c r="AL151" s="1" t="s">
        <v>132</v>
      </c>
      <c r="AM151" s="1" t="s">
        <v>132</v>
      </c>
      <c r="AN151" s="1" t="s">
        <v>132</v>
      </c>
    </row>
    <row r="152" ht="15.75" customHeight="1">
      <c r="A152" s="1" t="s">
        <v>38</v>
      </c>
      <c r="B152" s="1" t="s">
        <v>3332</v>
      </c>
      <c r="C152" s="1" t="s">
        <v>3333</v>
      </c>
      <c r="D152" s="8" t="s">
        <v>3334</v>
      </c>
      <c r="E152" s="1" t="s">
        <v>3335</v>
      </c>
      <c r="F152" s="1" t="s">
        <v>3336</v>
      </c>
      <c r="G152" s="1" t="s">
        <v>132</v>
      </c>
      <c r="H152" s="1" t="s">
        <v>132</v>
      </c>
      <c r="I152" s="1" t="s">
        <v>3337</v>
      </c>
      <c r="J152" s="1" t="s">
        <v>132</v>
      </c>
      <c r="K152" s="1" t="s">
        <v>3338</v>
      </c>
      <c r="L152" s="1" t="s">
        <v>132</v>
      </c>
      <c r="M152" s="1" t="s">
        <v>3339</v>
      </c>
      <c r="N152" s="1" t="s">
        <v>3340</v>
      </c>
      <c r="O152" s="1" t="s">
        <v>132</v>
      </c>
      <c r="P152" s="1" t="s">
        <v>3341</v>
      </c>
      <c r="Q152" s="1" t="s">
        <v>3342</v>
      </c>
      <c r="R152" s="1" t="s">
        <v>132</v>
      </c>
      <c r="S152" s="1" t="s">
        <v>3343</v>
      </c>
      <c r="T152" s="1" t="s">
        <v>132</v>
      </c>
      <c r="U152" s="1" t="s">
        <v>3344</v>
      </c>
      <c r="V152" s="1" t="s">
        <v>3345</v>
      </c>
      <c r="W152" s="1" t="s">
        <v>132</v>
      </c>
      <c r="X152" s="1" t="s">
        <v>3346</v>
      </c>
      <c r="Y152" s="1" t="s">
        <v>132</v>
      </c>
      <c r="Z152" s="1" t="s">
        <v>3347</v>
      </c>
      <c r="AA152" s="1" t="s">
        <v>3348</v>
      </c>
      <c r="AB152" s="1" t="s">
        <v>132</v>
      </c>
      <c r="AC152" s="1" t="s">
        <v>3349</v>
      </c>
      <c r="AD152" s="1" t="s">
        <v>3350</v>
      </c>
      <c r="AE152" s="1" t="s">
        <v>132</v>
      </c>
      <c r="AF152" s="1" t="s">
        <v>3351</v>
      </c>
      <c r="AG152" s="1" t="s">
        <v>3352</v>
      </c>
      <c r="AH152" s="1" t="s">
        <v>132</v>
      </c>
      <c r="AI152" s="1" t="s">
        <v>132</v>
      </c>
      <c r="AJ152" s="1" t="s">
        <v>3353</v>
      </c>
      <c r="AK152" s="1" t="s">
        <v>3354</v>
      </c>
      <c r="AL152" s="1" t="s">
        <v>132</v>
      </c>
      <c r="AM152" s="1" t="s">
        <v>3355</v>
      </c>
      <c r="AN152" s="1" t="s">
        <v>3355</v>
      </c>
    </row>
    <row r="153" ht="15.75" customHeight="1">
      <c r="A153" s="1" t="s">
        <v>127</v>
      </c>
      <c r="B153" s="1" t="s">
        <v>3356</v>
      </c>
      <c r="C153" s="1" t="s">
        <v>3357</v>
      </c>
      <c r="D153" s="8" t="s">
        <v>3358</v>
      </c>
      <c r="E153" s="1" t="s">
        <v>3359</v>
      </c>
      <c r="F153" s="1" t="s">
        <v>132</v>
      </c>
      <c r="G153" s="1" t="s">
        <v>3360</v>
      </c>
      <c r="H153" s="1" t="s">
        <v>3361</v>
      </c>
      <c r="I153" s="1" t="s">
        <v>3362</v>
      </c>
      <c r="J153" s="1" t="s">
        <v>3363</v>
      </c>
      <c r="K153" s="1" t="s">
        <v>3364</v>
      </c>
      <c r="L153" s="1" t="s">
        <v>3365</v>
      </c>
      <c r="M153" s="1" t="s">
        <v>3366</v>
      </c>
      <c r="N153" s="1" t="s">
        <v>132</v>
      </c>
      <c r="O153" s="1" t="s">
        <v>3367</v>
      </c>
      <c r="P153" s="1" t="s">
        <v>3368</v>
      </c>
      <c r="Q153" s="1" t="s">
        <v>132</v>
      </c>
      <c r="R153" s="1" t="s">
        <v>3369</v>
      </c>
      <c r="S153" s="1" t="s">
        <v>3370</v>
      </c>
      <c r="T153" s="8" t="s">
        <v>3371</v>
      </c>
      <c r="U153" s="1" t="s">
        <v>3372</v>
      </c>
      <c r="V153" s="1" t="s">
        <v>3373</v>
      </c>
      <c r="W153" s="1" t="s">
        <v>3374</v>
      </c>
      <c r="X153" s="1" t="s">
        <v>3375</v>
      </c>
      <c r="Y153" s="1" t="s">
        <v>3376</v>
      </c>
      <c r="Z153" s="1" t="s">
        <v>3377</v>
      </c>
      <c r="AA153" s="1" t="s">
        <v>3378</v>
      </c>
      <c r="AB153" s="1" t="s">
        <v>3379</v>
      </c>
      <c r="AC153" s="1" t="s">
        <v>3380</v>
      </c>
      <c r="AD153" s="1" t="s">
        <v>3360</v>
      </c>
      <c r="AE153" s="1" t="s">
        <v>3381</v>
      </c>
      <c r="AF153" s="1" t="s">
        <v>3382</v>
      </c>
      <c r="AG153" s="1" t="s">
        <v>3383</v>
      </c>
      <c r="AH153" s="1" t="s">
        <v>3384</v>
      </c>
      <c r="AI153" s="1" t="s">
        <v>3385</v>
      </c>
      <c r="AJ153" s="1" t="s">
        <v>132</v>
      </c>
      <c r="AK153" s="1" t="s">
        <v>3386</v>
      </c>
      <c r="AL153" s="1" t="s">
        <v>3387</v>
      </c>
      <c r="AM153" s="1" t="s">
        <v>132</v>
      </c>
      <c r="AN153" s="1" t="s">
        <v>132</v>
      </c>
    </row>
    <row r="154" ht="15.75" customHeight="1">
      <c r="A154" s="1" t="s">
        <v>127</v>
      </c>
      <c r="B154" s="1" t="s">
        <v>3388</v>
      </c>
      <c r="C154" s="1" t="s">
        <v>3389</v>
      </c>
      <c r="D154" s="8" t="s">
        <v>3390</v>
      </c>
      <c r="E154" s="1" t="s">
        <v>3391</v>
      </c>
      <c r="F154" s="1" t="s">
        <v>132</v>
      </c>
      <c r="G154" s="1" t="s">
        <v>3392</v>
      </c>
      <c r="H154" s="1" t="s">
        <v>3393</v>
      </c>
      <c r="I154" s="1" t="s">
        <v>3394</v>
      </c>
      <c r="J154" s="1" t="s">
        <v>3395</v>
      </c>
      <c r="K154" s="1" t="s">
        <v>3396</v>
      </c>
      <c r="L154" s="1" t="s">
        <v>3397</v>
      </c>
      <c r="M154" s="1" t="s">
        <v>3398</v>
      </c>
      <c r="N154" s="1" t="s">
        <v>132</v>
      </c>
      <c r="O154" s="1" t="s">
        <v>3399</v>
      </c>
      <c r="P154" s="1" t="s">
        <v>3400</v>
      </c>
      <c r="Q154" s="1" t="s">
        <v>132</v>
      </c>
      <c r="R154" s="1" t="s">
        <v>3401</v>
      </c>
      <c r="S154" s="1" t="s">
        <v>3402</v>
      </c>
      <c r="T154" s="8" t="s">
        <v>3403</v>
      </c>
      <c r="U154" s="1" t="s">
        <v>3404</v>
      </c>
      <c r="V154" s="1" t="s">
        <v>3405</v>
      </c>
      <c r="W154" s="1" t="s">
        <v>3401</v>
      </c>
      <c r="X154" s="1" t="s">
        <v>3406</v>
      </c>
      <c r="Y154" s="1" t="s">
        <v>3407</v>
      </c>
      <c r="Z154" s="1" t="s">
        <v>3408</v>
      </c>
      <c r="AA154" s="1" t="s">
        <v>3409</v>
      </c>
      <c r="AB154" s="1" t="s">
        <v>3410</v>
      </c>
      <c r="AC154" s="1" t="s">
        <v>3391</v>
      </c>
      <c r="AD154" s="1" t="s">
        <v>3408</v>
      </c>
      <c r="AE154" s="1" t="s">
        <v>3411</v>
      </c>
      <c r="AF154" s="1" t="s">
        <v>3412</v>
      </c>
      <c r="AG154" s="1" t="s">
        <v>3413</v>
      </c>
      <c r="AH154" s="1" t="s">
        <v>3414</v>
      </c>
      <c r="AI154" s="1" t="s">
        <v>3415</v>
      </c>
      <c r="AJ154" s="1" t="s">
        <v>132</v>
      </c>
      <c r="AK154" s="1" t="s">
        <v>3416</v>
      </c>
      <c r="AL154" s="1" t="s">
        <v>3417</v>
      </c>
      <c r="AM154" s="1" t="s">
        <v>3418</v>
      </c>
      <c r="AN154" s="1" t="s">
        <v>3418</v>
      </c>
    </row>
    <row r="155" ht="15.75" customHeight="1">
      <c r="A155" s="1" t="s">
        <v>38</v>
      </c>
      <c r="B155" s="1" t="s">
        <v>3419</v>
      </c>
      <c r="C155" s="1" t="s">
        <v>3420</v>
      </c>
      <c r="D155" s="1" t="s">
        <v>132</v>
      </c>
      <c r="E155" s="1" t="s">
        <v>132</v>
      </c>
      <c r="F155" s="1" t="s">
        <v>132</v>
      </c>
      <c r="G155" s="1" t="s">
        <v>132</v>
      </c>
      <c r="H155" s="1" t="s">
        <v>132</v>
      </c>
      <c r="I155" s="1" t="s">
        <v>3421</v>
      </c>
      <c r="J155" s="1" t="s">
        <v>132</v>
      </c>
      <c r="K155" s="1" t="s">
        <v>3422</v>
      </c>
      <c r="L155" s="1" t="s">
        <v>132</v>
      </c>
      <c r="M155" s="1" t="s">
        <v>3423</v>
      </c>
      <c r="N155" s="1" t="s">
        <v>132</v>
      </c>
      <c r="O155" s="1" t="s">
        <v>132</v>
      </c>
      <c r="P155" s="1" t="s">
        <v>3424</v>
      </c>
      <c r="Q155" s="1" t="s">
        <v>132</v>
      </c>
      <c r="R155" s="1" t="s">
        <v>132</v>
      </c>
      <c r="S155" s="1" t="s">
        <v>132</v>
      </c>
      <c r="T155" s="1" t="s">
        <v>132</v>
      </c>
      <c r="U155" s="1" t="s">
        <v>132</v>
      </c>
      <c r="V155" s="1" t="s">
        <v>132</v>
      </c>
      <c r="W155" s="1" t="s">
        <v>132</v>
      </c>
      <c r="X155" s="1" t="s">
        <v>132</v>
      </c>
      <c r="Y155" s="1" t="s">
        <v>132</v>
      </c>
      <c r="Z155" s="1" t="s">
        <v>132</v>
      </c>
      <c r="AA155" s="1" t="s">
        <v>132</v>
      </c>
      <c r="AB155" s="1" t="s">
        <v>132</v>
      </c>
      <c r="AC155" s="1" t="s">
        <v>3425</v>
      </c>
      <c r="AD155" s="1" t="s">
        <v>132</v>
      </c>
      <c r="AE155" s="1" t="s">
        <v>132</v>
      </c>
      <c r="AF155" s="1" t="s">
        <v>3426</v>
      </c>
      <c r="AG155" s="1" t="s">
        <v>132</v>
      </c>
      <c r="AH155" s="1" t="s">
        <v>132</v>
      </c>
      <c r="AI155" s="1" t="s">
        <v>132</v>
      </c>
      <c r="AJ155" s="1" t="s">
        <v>132</v>
      </c>
      <c r="AK155" s="1" t="s">
        <v>132</v>
      </c>
      <c r="AL155" s="1" t="s">
        <v>132</v>
      </c>
      <c r="AM155" s="1" t="s">
        <v>132</v>
      </c>
      <c r="AN155" s="1" t="s">
        <v>132</v>
      </c>
    </row>
    <row r="156" ht="15.75" customHeight="1">
      <c r="A156" s="1" t="s">
        <v>127</v>
      </c>
      <c r="B156" s="1" t="s">
        <v>3427</v>
      </c>
      <c r="C156" s="1" t="s">
        <v>3428</v>
      </c>
      <c r="D156" s="8" t="s">
        <v>3429</v>
      </c>
      <c r="E156" s="1" t="s">
        <v>3430</v>
      </c>
      <c r="F156" s="1" t="s">
        <v>132</v>
      </c>
      <c r="G156" s="1" t="s">
        <v>3431</v>
      </c>
      <c r="H156" s="1" t="s">
        <v>3432</v>
      </c>
      <c r="I156" s="1" t="s">
        <v>3433</v>
      </c>
      <c r="J156" s="1" t="s">
        <v>3434</v>
      </c>
      <c r="K156" s="1" t="s">
        <v>3435</v>
      </c>
      <c r="L156" s="1" t="s">
        <v>3436</v>
      </c>
      <c r="M156" s="1" t="s">
        <v>3437</v>
      </c>
      <c r="N156" s="1" t="s">
        <v>132</v>
      </c>
      <c r="O156" s="1" t="s">
        <v>3438</v>
      </c>
      <c r="P156" s="1" t="s">
        <v>3439</v>
      </c>
      <c r="Q156" s="1" t="s">
        <v>132</v>
      </c>
      <c r="R156" s="1" t="s">
        <v>3440</v>
      </c>
      <c r="S156" s="1" t="s">
        <v>3441</v>
      </c>
      <c r="T156" s="8" t="s">
        <v>3442</v>
      </c>
      <c r="U156" s="1" t="s">
        <v>3443</v>
      </c>
      <c r="V156" s="1" t="s">
        <v>3444</v>
      </c>
      <c r="W156" s="1" t="s">
        <v>3440</v>
      </c>
      <c r="X156" s="1" t="s">
        <v>3445</v>
      </c>
      <c r="Y156" s="1" t="s">
        <v>3446</v>
      </c>
      <c r="Z156" s="1" t="s">
        <v>3447</v>
      </c>
      <c r="AA156" s="1" t="s">
        <v>3448</v>
      </c>
      <c r="AB156" s="1" t="s">
        <v>3449</v>
      </c>
      <c r="AC156" s="1" t="s">
        <v>3450</v>
      </c>
      <c r="AD156" s="1" t="s">
        <v>3451</v>
      </c>
      <c r="AE156" s="1" t="s">
        <v>3431</v>
      </c>
      <c r="AF156" s="1" t="s">
        <v>3452</v>
      </c>
      <c r="AG156" s="1" t="s">
        <v>3432</v>
      </c>
      <c r="AH156" s="1" t="s">
        <v>3453</v>
      </c>
      <c r="AI156" s="1" t="s">
        <v>3454</v>
      </c>
      <c r="AJ156" s="1" t="s">
        <v>132</v>
      </c>
      <c r="AK156" s="1" t="s">
        <v>3455</v>
      </c>
      <c r="AL156" s="1" t="s">
        <v>3456</v>
      </c>
      <c r="AM156" s="1" t="s">
        <v>3457</v>
      </c>
      <c r="AN156" s="1" t="s">
        <v>3457</v>
      </c>
    </row>
    <row r="157" ht="15.75" customHeight="1">
      <c r="A157" s="1" t="s">
        <v>38</v>
      </c>
      <c r="B157" s="1" t="s">
        <v>3458</v>
      </c>
      <c r="C157" s="1" t="s">
        <v>3459</v>
      </c>
      <c r="D157" s="1" t="s">
        <v>132</v>
      </c>
      <c r="E157" s="1" t="s">
        <v>3460</v>
      </c>
      <c r="F157" s="1" t="s">
        <v>132</v>
      </c>
      <c r="G157" s="1" t="s">
        <v>132</v>
      </c>
      <c r="H157" s="1" t="s">
        <v>132</v>
      </c>
      <c r="I157" s="1" t="s">
        <v>3461</v>
      </c>
      <c r="J157" s="1" t="s">
        <v>132</v>
      </c>
      <c r="K157" s="1" t="s">
        <v>3462</v>
      </c>
      <c r="L157" s="1" t="s">
        <v>132</v>
      </c>
      <c r="M157" s="1" t="s">
        <v>132</v>
      </c>
      <c r="N157" s="1" t="s">
        <v>3463</v>
      </c>
      <c r="O157" s="1" t="s">
        <v>132</v>
      </c>
      <c r="P157" s="1" t="s">
        <v>3464</v>
      </c>
      <c r="Q157" s="1" t="s">
        <v>132</v>
      </c>
      <c r="R157" s="1" t="s">
        <v>132</v>
      </c>
      <c r="S157" s="1" t="s">
        <v>3465</v>
      </c>
      <c r="T157" s="1" t="s">
        <v>132</v>
      </c>
      <c r="U157" s="1" t="s">
        <v>3466</v>
      </c>
      <c r="V157" s="1" t="s">
        <v>132</v>
      </c>
      <c r="W157" s="1" t="s">
        <v>132</v>
      </c>
      <c r="X157" s="1" t="s">
        <v>3461</v>
      </c>
      <c r="Y157" s="1" t="s">
        <v>132</v>
      </c>
      <c r="Z157" s="1" t="s">
        <v>3467</v>
      </c>
      <c r="AA157" s="1" t="s">
        <v>132</v>
      </c>
      <c r="AB157" s="1" t="s">
        <v>132</v>
      </c>
      <c r="AC157" s="1" t="s">
        <v>132</v>
      </c>
      <c r="AD157" s="1" t="s">
        <v>132</v>
      </c>
      <c r="AE157" s="1" t="s">
        <v>132</v>
      </c>
      <c r="AF157" s="1" t="s">
        <v>132</v>
      </c>
      <c r="AG157" s="1" t="s">
        <v>132</v>
      </c>
      <c r="AH157" s="1" t="s">
        <v>132</v>
      </c>
      <c r="AI157" s="1" t="s">
        <v>132</v>
      </c>
      <c r="AJ157" s="1" t="s">
        <v>132</v>
      </c>
      <c r="AK157" s="1" t="s">
        <v>132</v>
      </c>
      <c r="AL157" s="1" t="s">
        <v>132</v>
      </c>
      <c r="AM157" s="1" t="s">
        <v>132</v>
      </c>
      <c r="AN157" s="1" t="s">
        <v>132</v>
      </c>
    </row>
    <row r="158" ht="15.75" customHeight="1">
      <c r="A158" s="1" t="s">
        <v>127</v>
      </c>
      <c r="B158" s="1" t="s">
        <v>3468</v>
      </c>
      <c r="C158" s="1" t="s">
        <v>3469</v>
      </c>
      <c r="D158" s="8" t="s">
        <v>3470</v>
      </c>
      <c r="E158" s="1" t="s">
        <v>3471</v>
      </c>
      <c r="F158" s="1" t="s">
        <v>132</v>
      </c>
      <c r="G158" s="1" t="s">
        <v>3472</v>
      </c>
      <c r="H158" s="1" t="s">
        <v>3473</v>
      </c>
      <c r="I158" s="1" t="s">
        <v>3474</v>
      </c>
      <c r="J158" s="1" t="s">
        <v>3475</v>
      </c>
      <c r="K158" s="1" t="s">
        <v>3476</v>
      </c>
      <c r="L158" s="1" t="s">
        <v>3477</v>
      </c>
      <c r="M158" s="1" t="s">
        <v>3478</v>
      </c>
      <c r="N158" s="1" t="s">
        <v>132</v>
      </c>
      <c r="O158" s="1" t="s">
        <v>3479</v>
      </c>
      <c r="P158" s="1" t="s">
        <v>3480</v>
      </c>
      <c r="Q158" s="1" t="s">
        <v>132</v>
      </c>
      <c r="R158" s="1" t="s">
        <v>3481</v>
      </c>
      <c r="S158" s="1" t="s">
        <v>3482</v>
      </c>
      <c r="T158" s="8" t="s">
        <v>3483</v>
      </c>
      <c r="U158" s="1" t="s">
        <v>3484</v>
      </c>
      <c r="V158" s="1" t="s">
        <v>3485</v>
      </c>
      <c r="W158" s="1" t="s">
        <v>3486</v>
      </c>
      <c r="X158" s="1" t="s">
        <v>3487</v>
      </c>
      <c r="Y158" s="1" t="s">
        <v>3488</v>
      </c>
      <c r="Z158" s="1" t="s">
        <v>3489</v>
      </c>
      <c r="AA158" s="1" t="s">
        <v>3490</v>
      </c>
      <c r="AB158" s="1" t="s">
        <v>3491</v>
      </c>
      <c r="AC158" s="1" t="s">
        <v>3492</v>
      </c>
      <c r="AD158" s="1" t="s">
        <v>3493</v>
      </c>
      <c r="AE158" s="1" t="s">
        <v>3494</v>
      </c>
      <c r="AF158" s="1" t="s">
        <v>3495</v>
      </c>
      <c r="AG158" s="1" t="s">
        <v>3496</v>
      </c>
      <c r="AH158" s="1" t="s">
        <v>3497</v>
      </c>
      <c r="AI158" s="1" t="s">
        <v>3498</v>
      </c>
      <c r="AJ158" s="1" t="s">
        <v>132</v>
      </c>
      <c r="AK158" s="1" t="s">
        <v>3499</v>
      </c>
      <c r="AL158" s="1" t="s">
        <v>3500</v>
      </c>
      <c r="AM158" s="1" t="s">
        <v>3501</v>
      </c>
      <c r="AN158" s="1" t="s">
        <v>3501</v>
      </c>
    </row>
    <row r="159" ht="15.75" customHeight="1">
      <c r="A159" s="1" t="s">
        <v>38</v>
      </c>
      <c r="B159" s="1" t="s">
        <v>3502</v>
      </c>
      <c r="C159" s="1" t="s">
        <v>3503</v>
      </c>
      <c r="D159" s="8" t="s">
        <v>3504</v>
      </c>
      <c r="E159" s="1" t="s">
        <v>3505</v>
      </c>
      <c r="F159" s="1" t="s">
        <v>3506</v>
      </c>
      <c r="G159" s="1" t="s">
        <v>132</v>
      </c>
      <c r="H159" s="1" t="s">
        <v>132</v>
      </c>
      <c r="I159" s="1" t="s">
        <v>3507</v>
      </c>
      <c r="J159" s="1" t="s">
        <v>132</v>
      </c>
      <c r="K159" s="1" t="s">
        <v>3508</v>
      </c>
      <c r="L159" s="1" t="s">
        <v>132</v>
      </c>
      <c r="M159" s="1" t="s">
        <v>3509</v>
      </c>
      <c r="N159" s="1" t="s">
        <v>3510</v>
      </c>
      <c r="O159" s="1" t="s">
        <v>132</v>
      </c>
      <c r="P159" s="1" t="s">
        <v>3511</v>
      </c>
      <c r="Q159" s="1" t="s">
        <v>132</v>
      </c>
      <c r="R159" s="1" t="s">
        <v>132</v>
      </c>
      <c r="S159" s="1" t="s">
        <v>3512</v>
      </c>
      <c r="T159" s="1" t="s">
        <v>132</v>
      </c>
      <c r="U159" s="1" t="s">
        <v>3513</v>
      </c>
      <c r="V159" s="1" t="s">
        <v>132</v>
      </c>
      <c r="W159" s="1" t="s">
        <v>132</v>
      </c>
      <c r="X159" s="1" t="s">
        <v>3514</v>
      </c>
      <c r="Y159" s="1" t="s">
        <v>132</v>
      </c>
      <c r="Z159" s="1" t="s">
        <v>3515</v>
      </c>
      <c r="AA159" s="1" t="s">
        <v>132</v>
      </c>
      <c r="AB159" s="1" t="s">
        <v>132</v>
      </c>
      <c r="AC159" s="1" t="s">
        <v>3516</v>
      </c>
      <c r="AD159" s="1" t="s">
        <v>132</v>
      </c>
      <c r="AE159" s="1" t="s">
        <v>132</v>
      </c>
      <c r="AF159" s="1" t="s">
        <v>3517</v>
      </c>
      <c r="AG159" s="1" t="s">
        <v>3518</v>
      </c>
      <c r="AH159" s="1" t="s">
        <v>132</v>
      </c>
      <c r="AI159" s="1" t="s">
        <v>132</v>
      </c>
      <c r="AJ159" s="1" t="s">
        <v>3519</v>
      </c>
      <c r="AK159" s="1" t="s">
        <v>132</v>
      </c>
      <c r="AL159" s="1" t="s">
        <v>132</v>
      </c>
      <c r="AM159" s="1" t="s">
        <v>3520</v>
      </c>
      <c r="AN159" s="1" t="s">
        <v>3520</v>
      </c>
    </row>
    <row r="160" ht="15.75" customHeight="1">
      <c r="A160" s="1" t="s">
        <v>38</v>
      </c>
      <c r="B160" s="1" t="s">
        <v>3521</v>
      </c>
      <c r="C160" s="1" t="s">
        <v>3522</v>
      </c>
      <c r="D160" s="1" t="s">
        <v>132</v>
      </c>
      <c r="E160" s="1" t="s">
        <v>132</v>
      </c>
      <c r="F160" s="1" t="s">
        <v>132</v>
      </c>
      <c r="G160" s="1" t="s">
        <v>132</v>
      </c>
      <c r="H160" s="1" t="s">
        <v>132</v>
      </c>
      <c r="I160" s="1" t="s">
        <v>3523</v>
      </c>
      <c r="J160" s="1" t="s">
        <v>132</v>
      </c>
      <c r="K160" s="1" t="s">
        <v>3524</v>
      </c>
      <c r="L160" s="1" t="s">
        <v>132</v>
      </c>
      <c r="M160" s="1" t="s">
        <v>3525</v>
      </c>
      <c r="N160" s="1" t="s">
        <v>132</v>
      </c>
      <c r="O160" s="1" t="s">
        <v>132</v>
      </c>
      <c r="P160" s="1" t="s">
        <v>3522</v>
      </c>
      <c r="Q160" s="1" t="s">
        <v>132</v>
      </c>
      <c r="R160" s="1" t="s">
        <v>132</v>
      </c>
      <c r="S160" s="1" t="s">
        <v>132</v>
      </c>
      <c r="T160" s="1" t="s">
        <v>132</v>
      </c>
      <c r="U160" s="1" t="s">
        <v>132</v>
      </c>
      <c r="V160" s="1" t="s">
        <v>132</v>
      </c>
      <c r="W160" s="1" t="s">
        <v>132</v>
      </c>
      <c r="X160" s="1" t="s">
        <v>132</v>
      </c>
      <c r="Y160" s="1" t="s">
        <v>132</v>
      </c>
      <c r="Z160" s="1" t="s">
        <v>132</v>
      </c>
      <c r="AA160" s="1" t="s">
        <v>132</v>
      </c>
      <c r="AB160" s="1" t="s">
        <v>132</v>
      </c>
      <c r="AC160" s="1" t="s">
        <v>3526</v>
      </c>
      <c r="AD160" s="1" t="s">
        <v>132</v>
      </c>
      <c r="AE160" s="1" t="s">
        <v>132</v>
      </c>
      <c r="AF160" s="1" t="s">
        <v>3527</v>
      </c>
      <c r="AG160" s="1" t="s">
        <v>132</v>
      </c>
      <c r="AH160" s="1" t="s">
        <v>132</v>
      </c>
      <c r="AI160" s="1" t="s">
        <v>132</v>
      </c>
      <c r="AJ160" s="1" t="s">
        <v>132</v>
      </c>
      <c r="AK160" s="1" t="s">
        <v>132</v>
      </c>
      <c r="AL160" s="1" t="s">
        <v>132</v>
      </c>
      <c r="AM160" s="1" t="s">
        <v>132</v>
      </c>
      <c r="AN160" s="1" t="s">
        <v>132</v>
      </c>
    </row>
    <row r="161" ht="15.75" customHeight="1">
      <c r="A161" s="1" t="s">
        <v>127</v>
      </c>
      <c r="B161" s="1" t="s">
        <v>3528</v>
      </c>
      <c r="C161" s="1" t="s">
        <v>3529</v>
      </c>
      <c r="D161" s="8" t="s">
        <v>3530</v>
      </c>
      <c r="E161" s="1" t="s">
        <v>3531</v>
      </c>
      <c r="F161" s="1" t="s">
        <v>132</v>
      </c>
      <c r="G161" s="1" t="s">
        <v>3532</v>
      </c>
      <c r="H161" s="1" t="s">
        <v>3529</v>
      </c>
      <c r="I161" s="1" t="s">
        <v>3533</v>
      </c>
      <c r="J161" s="1" t="s">
        <v>3534</v>
      </c>
      <c r="K161" s="1" t="s">
        <v>3535</v>
      </c>
      <c r="L161" s="1" t="s">
        <v>3536</v>
      </c>
      <c r="M161" s="1" t="s">
        <v>3537</v>
      </c>
      <c r="N161" s="1" t="s">
        <v>132</v>
      </c>
      <c r="O161" s="1" t="s">
        <v>3538</v>
      </c>
      <c r="P161" s="1" t="s">
        <v>3539</v>
      </c>
      <c r="Q161" s="1" t="s">
        <v>132</v>
      </c>
      <c r="R161" s="1" t="s">
        <v>3540</v>
      </c>
      <c r="S161" s="1" t="s">
        <v>3541</v>
      </c>
      <c r="T161" s="8" t="s">
        <v>3542</v>
      </c>
      <c r="U161" s="1" t="s">
        <v>3543</v>
      </c>
      <c r="V161" s="1" t="s">
        <v>3544</v>
      </c>
      <c r="W161" s="1" t="s">
        <v>3545</v>
      </c>
      <c r="X161" s="1" t="s">
        <v>3546</v>
      </c>
      <c r="Y161" s="1" t="s">
        <v>3547</v>
      </c>
      <c r="Z161" s="1" t="s">
        <v>3548</v>
      </c>
      <c r="AA161" s="1" t="s">
        <v>3549</v>
      </c>
      <c r="AB161" s="1" t="s">
        <v>3550</v>
      </c>
      <c r="AC161" s="1" t="s">
        <v>3551</v>
      </c>
      <c r="AD161" s="1" t="s">
        <v>3552</v>
      </c>
      <c r="AE161" s="1" t="s">
        <v>3553</v>
      </c>
      <c r="AF161" s="1" t="s">
        <v>3554</v>
      </c>
      <c r="AG161" s="1" t="s">
        <v>3555</v>
      </c>
      <c r="AH161" s="1" t="s">
        <v>3556</v>
      </c>
      <c r="AI161" s="1" t="s">
        <v>3557</v>
      </c>
      <c r="AJ161" s="1" t="s">
        <v>132</v>
      </c>
      <c r="AK161" s="1" t="s">
        <v>3558</v>
      </c>
      <c r="AL161" s="1" t="s">
        <v>3559</v>
      </c>
      <c r="AM161" s="1" t="s">
        <v>3560</v>
      </c>
      <c r="AN161" s="1" t="s">
        <v>3560</v>
      </c>
    </row>
    <row r="162" ht="15.75" customHeight="1">
      <c r="A162" s="1" t="s">
        <v>43182</v>
      </c>
      <c r="B162" s="1" t="s">
        <v>43184</v>
      </c>
      <c r="C162" s="1" t="s">
        <v>43185</v>
      </c>
      <c r="D162" s="1" t="s">
        <v>132</v>
      </c>
      <c r="E162" s="1" t="s">
        <v>132</v>
      </c>
      <c r="F162" s="1" t="s">
        <v>132</v>
      </c>
      <c r="G162" s="1" t="s">
        <v>132</v>
      </c>
      <c r="H162" s="1" t="s">
        <v>132</v>
      </c>
      <c r="I162" s="1" t="s">
        <v>132</v>
      </c>
      <c r="J162" s="1" t="s">
        <v>132</v>
      </c>
      <c r="K162" s="1" t="s">
        <v>132</v>
      </c>
      <c r="L162" s="1" t="s">
        <v>132</v>
      </c>
      <c r="M162" s="1" t="s">
        <v>132</v>
      </c>
      <c r="N162" s="1" t="s">
        <v>132</v>
      </c>
      <c r="O162" s="1" t="s">
        <v>132</v>
      </c>
      <c r="P162" s="1" t="s">
        <v>132</v>
      </c>
      <c r="Q162" s="1" t="s">
        <v>132</v>
      </c>
      <c r="R162" s="1" t="s">
        <v>132</v>
      </c>
      <c r="S162" s="1" t="s">
        <v>132</v>
      </c>
      <c r="T162" s="1" t="s">
        <v>132</v>
      </c>
      <c r="U162" s="1" t="s">
        <v>132</v>
      </c>
      <c r="V162" s="1" t="s">
        <v>132</v>
      </c>
      <c r="W162" s="1" t="s">
        <v>132</v>
      </c>
      <c r="X162" s="1" t="s">
        <v>132</v>
      </c>
      <c r="Y162" s="1" t="s">
        <v>132</v>
      </c>
      <c r="Z162" s="1" t="s">
        <v>132</v>
      </c>
      <c r="AA162" s="1" t="s">
        <v>132</v>
      </c>
      <c r="AB162" s="1" t="s">
        <v>132</v>
      </c>
      <c r="AC162" s="1" t="s">
        <v>132</v>
      </c>
      <c r="AD162" s="1" t="s">
        <v>132</v>
      </c>
      <c r="AE162" s="1" t="s">
        <v>132</v>
      </c>
      <c r="AF162" s="1" t="s">
        <v>132</v>
      </c>
      <c r="AG162" s="1" t="s">
        <v>132</v>
      </c>
      <c r="AH162" s="1" t="s">
        <v>132</v>
      </c>
      <c r="AI162" s="1" t="s">
        <v>132</v>
      </c>
      <c r="AJ162" s="1" t="s">
        <v>132</v>
      </c>
      <c r="AK162" s="1" t="s">
        <v>132</v>
      </c>
      <c r="AL162" s="1" t="s">
        <v>132</v>
      </c>
      <c r="AM162" s="1" t="s">
        <v>132</v>
      </c>
      <c r="AN162" s="1" t="s">
        <v>132</v>
      </c>
    </row>
    <row r="163" ht="15.75" customHeight="1">
      <c r="A163" s="1" t="s">
        <v>127</v>
      </c>
      <c r="B163" s="1" t="s">
        <v>3561</v>
      </c>
      <c r="C163" s="1" t="s">
        <v>3562</v>
      </c>
      <c r="D163" s="8" t="s">
        <v>3563</v>
      </c>
      <c r="E163" s="1" t="s">
        <v>3564</v>
      </c>
      <c r="F163" s="1" t="s">
        <v>132</v>
      </c>
      <c r="G163" s="1" t="s">
        <v>3565</v>
      </c>
      <c r="H163" s="1" t="s">
        <v>3566</v>
      </c>
      <c r="I163" s="1" t="s">
        <v>3567</v>
      </c>
      <c r="J163" s="1" t="s">
        <v>3568</v>
      </c>
      <c r="K163" s="1" t="s">
        <v>3569</v>
      </c>
      <c r="L163" s="1" t="s">
        <v>3570</v>
      </c>
      <c r="M163" s="1" t="s">
        <v>3571</v>
      </c>
      <c r="N163" s="1" t="s">
        <v>132</v>
      </c>
      <c r="O163" s="1" t="s">
        <v>3572</v>
      </c>
      <c r="P163" s="1" t="s">
        <v>3573</v>
      </c>
      <c r="Q163" s="1" t="s">
        <v>132</v>
      </c>
      <c r="R163" s="1" t="s">
        <v>3574</v>
      </c>
      <c r="S163" s="1" t="s">
        <v>3575</v>
      </c>
      <c r="T163" s="8" t="s">
        <v>3576</v>
      </c>
      <c r="U163" s="1" t="s">
        <v>3577</v>
      </c>
      <c r="V163" s="1" t="s">
        <v>3578</v>
      </c>
      <c r="W163" s="1" t="s">
        <v>3579</v>
      </c>
      <c r="X163" s="1" t="s">
        <v>3580</v>
      </c>
      <c r="Y163" s="1" t="s">
        <v>3581</v>
      </c>
      <c r="Z163" s="1" t="s">
        <v>3582</v>
      </c>
      <c r="AA163" s="1" t="s">
        <v>3583</v>
      </c>
      <c r="AB163" s="1" t="s">
        <v>3584</v>
      </c>
      <c r="AC163" s="1" t="s">
        <v>3585</v>
      </c>
      <c r="AD163" s="1" t="s">
        <v>3586</v>
      </c>
      <c r="AE163" s="1" t="s">
        <v>3587</v>
      </c>
      <c r="AF163" s="1" t="s">
        <v>3588</v>
      </c>
      <c r="AG163" s="1" t="s">
        <v>3589</v>
      </c>
      <c r="AH163" s="1" t="s">
        <v>3590</v>
      </c>
      <c r="AI163" s="1" t="s">
        <v>3591</v>
      </c>
      <c r="AJ163" s="1" t="s">
        <v>132</v>
      </c>
      <c r="AK163" s="1" t="s">
        <v>3592</v>
      </c>
      <c r="AL163" s="1" t="s">
        <v>3593</v>
      </c>
      <c r="AM163" s="1" t="s">
        <v>3594</v>
      </c>
      <c r="AN163" s="1" t="s">
        <v>3594</v>
      </c>
    </row>
    <row r="164" ht="15.75" customHeight="1">
      <c r="A164" s="1" t="s">
        <v>38</v>
      </c>
      <c r="B164" s="1" t="s">
        <v>3595</v>
      </c>
      <c r="C164" s="1" t="s">
        <v>3596</v>
      </c>
      <c r="D164" s="1" t="s">
        <v>132</v>
      </c>
      <c r="E164" s="1" t="s">
        <v>132</v>
      </c>
      <c r="F164" s="1" t="s">
        <v>132</v>
      </c>
      <c r="G164" s="1" t="s">
        <v>132</v>
      </c>
      <c r="H164" s="1" t="s">
        <v>132</v>
      </c>
      <c r="I164" s="1" t="s">
        <v>3597</v>
      </c>
      <c r="J164" s="1" t="s">
        <v>132</v>
      </c>
      <c r="K164" s="1" t="s">
        <v>3598</v>
      </c>
      <c r="L164" s="1" t="s">
        <v>132</v>
      </c>
      <c r="M164" s="1" t="s">
        <v>3599</v>
      </c>
      <c r="N164" s="1" t="s">
        <v>132</v>
      </c>
      <c r="O164" s="1" t="s">
        <v>132</v>
      </c>
      <c r="P164" s="1" t="s">
        <v>3600</v>
      </c>
      <c r="Q164" s="1" t="s">
        <v>132</v>
      </c>
      <c r="R164" s="1" t="s">
        <v>132</v>
      </c>
      <c r="S164" s="1" t="s">
        <v>132</v>
      </c>
      <c r="T164" s="1" t="s">
        <v>132</v>
      </c>
      <c r="U164" s="1" t="s">
        <v>132</v>
      </c>
      <c r="V164" s="1" t="s">
        <v>132</v>
      </c>
      <c r="W164" s="1" t="s">
        <v>132</v>
      </c>
      <c r="X164" s="1" t="s">
        <v>132</v>
      </c>
      <c r="Y164" s="1" t="s">
        <v>132</v>
      </c>
      <c r="Z164" s="1" t="s">
        <v>132</v>
      </c>
      <c r="AA164" s="1" t="s">
        <v>132</v>
      </c>
      <c r="AB164" s="1" t="s">
        <v>132</v>
      </c>
      <c r="AC164" s="1" t="s">
        <v>3601</v>
      </c>
      <c r="AD164" s="1" t="s">
        <v>132</v>
      </c>
      <c r="AE164" s="1" t="s">
        <v>132</v>
      </c>
      <c r="AF164" s="1" t="s">
        <v>3602</v>
      </c>
      <c r="AG164" s="1" t="s">
        <v>132</v>
      </c>
      <c r="AH164" s="1" t="s">
        <v>132</v>
      </c>
      <c r="AI164" s="1" t="s">
        <v>132</v>
      </c>
      <c r="AJ164" s="1" t="s">
        <v>132</v>
      </c>
      <c r="AK164" s="1" t="s">
        <v>132</v>
      </c>
      <c r="AL164" s="1" t="s">
        <v>132</v>
      </c>
      <c r="AM164" s="1" t="s">
        <v>132</v>
      </c>
      <c r="AN164" s="1" t="s">
        <v>132</v>
      </c>
    </row>
    <row r="165" ht="15.75" customHeight="1">
      <c r="A165" s="1" t="s">
        <v>127</v>
      </c>
      <c r="B165" s="1" t="s">
        <v>3603</v>
      </c>
      <c r="C165" s="1" t="s">
        <v>3604</v>
      </c>
      <c r="D165" s="1" t="s">
        <v>132</v>
      </c>
      <c r="E165" s="1" t="s">
        <v>132</v>
      </c>
      <c r="F165" s="1" t="s">
        <v>132</v>
      </c>
      <c r="G165" s="1" t="s">
        <v>132</v>
      </c>
      <c r="H165" s="1" t="s">
        <v>3605</v>
      </c>
      <c r="I165" s="1" t="s">
        <v>3606</v>
      </c>
      <c r="J165" s="1" t="s">
        <v>132</v>
      </c>
      <c r="K165" s="1" t="s">
        <v>3607</v>
      </c>
      <c r="L165" s="1" t="s">
        <v>3608</v>
      </c>
      <c r="M165" s="1" t="s">
        <v>3609</v>
      </c>
      <c r="N165" s="1" t="s">
        <v>132</v>
      </c>
      <c r="O165" s="1" t="s">
        <v>132</v>
      </c>
      <c r="P165" s="1" t="s">
        <v>3610</v>
      </c>
      <c r="Q165" s="1" t="s">
        <v>132</v>
      </c>
      <c r="R165" s="1" t="s">
        <v>3611</v>
      </c>
      <c r="S165" s="1" t="s">
        <v>3612</v>
      </c>
      <c r="T165" s="1" t="s">
        <v>132</v>
      </c>
      <c r="U165" s="1" t="s">
        <v>3613</v>
      </c>
      <c r="V165" s="1" t="s">
        <v>3614</v>
      </c>
      <c r="W165" s="1" t="s">
        <v>3615</v>
      </c>
      <c r="X165" s="1" t="s">
        <v>3616</v>
      </c>
      <c r="Y165" s="1" t="s">
        <v>3617</v>
      </c>
      <c r="Z165" s="1" t="s">
        <v>3618</v>
      </c>
      <c r="AA165" s="1" t="s">
        <v>3607</v>
      </c>
      <c r="AB165" s="1" t="s">
        <v>132</v>
      </c>
      <c r="AC165" s="1" t="s">
        <v>3619</v>
      </c>
      <c r="AD165" s="1" t="s">
        <v>132</v>
      </c>
      <c r="AE165" s="1" t="s">
        <v>132</v>
      </c>
      <c r="AF165" s="1" t="s">
        <v>3620</v>
      </c>
      <c r="AG165" s="1" t="s">
        <v>3605</v>
      </c>
      <c r="AH165" s="1" t="s">
        <v>132</v>
      </c>
      <c r="AI165" s="1" t="s">
        <v>3621</v>
      </c>
      <c r="AJ165" s="1" t="s">
        <v>132</v>
      </c>
      <c r="AK165" s="1" t="s">
        <v>132</v>
      </c>
      <c r="AL165" s="1" t="s">
        <v>3622</v>
      </c>
      <c r="AM165" s="1" t="s">
        <v>3622</v>
      </c>
      <c r="AN165" s="1" t="s">
        <v>3622</v>
      </c>
    </row>
    <row r="166" ht="15.75" customHeight="1">
      <c r="A166" s="1" t="s">
        <v>127</v>
      </c>
      <c r="B166" s="1" t="s">
        <v>3623</v>
      </c>
      <c r="C166" s="1" t="s">
        <v>3624</v>
      </c>
      <c r="D166" s="8" t="s">
        <v>3625</v>
      </c>
      <c r="E166" s="1" t="s">
        <v>3626</v>
      </c>
      <c r="F166" s="1" t="s">
        <v>132</v>
      </c>
      <c r="G166" s="1" t="s">
        <v>3627</v>
      </c>
      <c r="H166" s="1" t="s">
        <v>3628</v>
      </c>
      <c r="I166" s="1" t="s">
        <v>3629</v>
      </c>
      <c r="J166" s="1" t="s">
        <v>3630</v>
      </c>
      <c r="K166" s="1" t="s">
        <v>3631</v>
      </c>
      <c r="L166" s="1" t="s">
        <v>3632</v>
      </c>
      <c r="M166" s="1" t="s">
        <v>3633</v>
      </c>
      <c r="N166" s="1" t="s">
        <v>132</v>
      </c>
      <c r="O166" s="1" t="s">
        <v>3634</v>
      </c>
      <c r="P166" s="1" t="s">
        <v>3624</v>
      </c>
      <c r="Q166" s="1" t="s">
        <v>132</v>
      </c>
      <c r="R166" s="1" t="s">
        <v>3635</v>
      </c>
      <c r="S166" s="1" t="s">
        <v>3636</v>
      </c>
      <c r="T166" s="8" t="s">
        <v>3637</v>
      </c>
      <c r="U166" s="1" t="s">
        <v>3638</v>
      </c>
      <c r="V166" s="1" t="s">
        <v>3639</v>
      </c>
      <c r="W166" s="1" t="s">
        <v>3640</v>
      </c>
      <c r="X166" s="1" t="s">
        <v>3641</v>
      </c>
      <c r="Y166" s="1" t="s">
        <v>3642</v>
      </c>
      <c r="Z166" s="1" t="s">
        <v>3643</v>
      </c>
      <c r="AA166" s="1" t="s">
        <v>3644</v>
      </c>
      <c r="AB166" s="1" t="s">
        <v>3645</v>
      </c>
      <c r="AC166" s="1" t="s">
        <v>3646</v>
      </c>
      <c r="AD166" s="1" t="s">
        <v>3647</v>
      </c>
      <c r="AE166" s="1" t="s">
        <v>3648</v>
      </c>
      <c r="AF166" s="1" t="s">
        <v>3649</v>
      </c>
      <c r="AG166" s="1" t="s">
        <v>3650</v>
      </c>
      <c r="AH166" s="1" t="s">
        <v>3651</v>
      </c>
      <c r="AI166" s="1" t="s">
        <v>3652</v>
      </c>
      <c r="AJ166" s="1" t="s">
        <v>132</v>
      </c>
      <c r="AK166" s="1" t="s">
        <v>3653</v>
      </c>
      <c r="AL166" s="1" t="s">
        <v>3654</v>
      </c>
      <c r="AM166" s="1" t="s">
        <v>3655</v>
      </c>
      <c r="AN166" s="1" t="s">
        <v>3655</v>
      </c>
    </row>
    <row r="167" ht="15.75" customHeight="1">
      <c r="A167" s="1" t="s">
        <v>127</v>
      </c>
      <c r="B167" s="1" t="s">
        <v>3656</v>
      </c>
      <c r="C167" s="1" t="s">
        <v>3657</v>
      </c>
      <c r="D167" s="8" t="s">
        <v>3658</v>
      </c>
      <c r="E167" s="1" t="s">
        <v>3659</v>
      </c>
      <c r="F167" s="1" t="s">
        <v>132</v>
      </c>
      <c r="G167" s="1" t="s">
        <v>3660</v>
      </c>
      <c r="H167" s="1" t="s">
        <v>3661</v>
      </c>
      <c r="I167" s="1" t="s">
        <v>3662</v>
      </c>
      <c r="J167" s="1" t="s">
        <v>3663</v>
      </c>
      <c r="K167" s="1" t="s">
        <v>3664</v>
      </c>
      <c r="L167" s="1" t="s">
        <v>3665</v>
      </c>
      <c r="M167" s="1" t="s">
        <v>3666</v>
      </c>
      <c r="N167" s="1" t="s">
        <v>132</v>
      </c>
      <c r="O167" s="1" t="s">
        <v>3667</v>
      </c>
      <c r="P167" s="1" t="s">
        <v>3668</v>
      </c>
      <c r="Q167" s="1" t="s">
        <v>132</v>
      </c>
      <c r="R167" s="1" t="s">
        <v>3669</v>
      </c>
      <c r="S167" s="1" t="s">
        <v>3670</v>
      </c>
      <c r="T167" s="8" t="s">
        <v>3671</v>
      </c>
      <c r="U167" s="1" t="s">
        <v>3672</v>
      </c>
      <c r="V167" s="1" t="s">
        <v>3673</v>
      </c>
      <c r="W167" s="1" t="s">
        <v>3674</v>
      </c>
      <c r="X167" s="1" t="s">
        <v>3675</v>
      </c>
      <c r="Y167" s="1" t="s">
        <v>3661</v>
      </c>
      <c r="Z167" s="1" t="s">
        <v>3676</v>
      </c>
      <c r="AA167" s="1" t="s">
        <v>3677</v>
      </c>
      <c r="AB167" s="1" t="s">
        <v>3662</v>
      </c>
      <c r="AC167" s="1" t="s">
        <v>3678</v>
      </c>
      <c r="AD167" s="1" t="s">
        <v>3679</v>
      </c>
      <c r="AE167" s="1" t="s">
        <v>3680</v>
      </c>
      <c r="AF167" s="1" t="s">
        <v>3681</v>
      </c>
      <c r="AG167" s="1" t="s">
        <v>3682</v>
      </c>
      <c r="AH167" s="1" t="s">
        <v>3683</v>
      </c>
      <c r="AI167" s="1" t="s">
        <v>3684</v>
      </c>
      <c r="AJ167" s="1" t="s">
        <v>132</v>
      </c>
      <c r="AK167" s="1" t="s">
        <v>3685</v>
      </c>
      <c r="AL167" s="1" t="s">
        <v>3686</v>
      </c>
      <c r="AM167" s="1" t="s">
        <v>3687</v>
      </c>
      <c r="AN167" s="1" t="s">
        <v>3687</v>
      </c>
    </row>
    <row r="168" ht="15.75" customHeight="1">
      <c r="A168" s="1" t="s">
        <v>127</v>
      </c>
      <c r="B168" s="1" t="s">
        <v>3688</v>
      </c>
      <c r="C168" s="1" t="s">
        <v>3689</v>
      </c>
      <c r="D168" s="8" t="s">
        <v>3690</v>
      </c>
      <c r="E168" s="1" t="s">
        <v>3691</v>
      </c>
      <c r="F168" s="1" t="s">
        <v>132</v>
      </c>
      <c r="G168" s="1" t="s">
        <v>3692</v>
      </c>
      <c r="H168" s="1" t="s">
        <v>3693</v>
      </c>
      <c r="I168" s="1" t="s">
        <v>3694</v>
      </c>
      <c r="J168" s="1" t="s">
        <v>3695</v>
      </c>
      <c r="K168" s="1" t="s">
        <v>3696</v>
      </c>
      <c r="L168" s="1" t="s">
        <v>3697</v>
      </c>
      <c r="M168" s="1" t="s">
        <v>3698</v>
      </c>
      <c r="N168" s="1" t="s">
        <v>132</v>
      </c>
      <c r="O168" s="1" t="s">
        <v>3699</v>
      </c>
      <c r="P168" s="1" t="s">
        <v>3700</v>
      </c>
      <c r="Q168" s="1" t="s">
        <v>132</v>
      </c>
      <c r="R168" s="1" t="s">
        <v>3701</v>
      </c>
      <c r="S168" s="1" t="s">
        <v>3702</v>
      </c>
      <c r="T168" s="8" t="s">
        <v>3703</v>
      </c>
      <c r="U168" s="1" t="s">
        <v>3704</v>
      </c>
      <c r="V168" s="1" t="s">
        <v>3705</v>
      </c>
      <c r="W168" s="1" t="s">
        <v>3701</v>
      </c>
      <c r="X168" s="1" t="s">
        <v>3706</v>
      </c>
      <c r="Y168" s="1" t="s">
        <v>3707</v>
      </c>
      <c r="Z168" s="1" t="s">
        <v>3708</v>
      </c>
      <c r="AA168" s="1" t="s">
        <v>3709</v>
      </c>
      <c r="AB168" s="1" t="s">
        <v>3710</v>
      </c>
      <c r="AC168" s="1" t="s">
        <v>3711</v>
      </c>
      <c r="AD168" s="1" t="s">
        <v>3712</v>
      </c>
      <c r="AE168" s="1" t="s">
        <v>3713</v>
      </c>
      <c r="AF168" s="1" t="s">
        <v>3714</v>
      </c>
      <c r="AG168" s="1" t="s">
        <v>3715</v>
      </c>
      <c r="AH168" s="1" t="s">
        <v>3716</v>
      </c>
      <c r="AI168" s="1" t="s">
        <v>3717</v>
      </c>
      <c r="AJ168" s="1" t="s">
        <v>132</v>
      </c>
      <c r="AK168" s="1" t="s">
        <v>3718</v>
      </c>
      <c r="AL168" s="1" t="s">
        <v>3719</v>
      </c>
      <c r="AM168" s="1" t="s">
        <v>132</v>
      </c>
      <c r="AN168" s="1" t="s">
        <v>132</v>
      </c>
    </row>
    <row r="169" ht="15.75" customHeight="1">
      <c r="A169" s="1" t="s">
        <v>38</v>
      </c>
      <c r="B169" s="1" t="s">
        <v>3720</v>
      </c>
      <c r="C169" s="1" t="s">
        <v>3721</v>
      </c>
      <c r="D169" s="8" t="s">
        <v>3722</v>
      </c>
      <c r="E169" s="1" t="s">
        <v>3723</v>
      </c>
      <c r="F169" s="1" t="s">
        <v>3724</v>
      </c>
      <c r="G169" s="1" t="s">
        <v>132</v>
      </c>
      <c r="H169" s="1" t="s">
        <v>132</v>
      </c>
      <c r="I169" s="1" t="s">
        <v>3725</v>
      </c>
      <c r="J169" s="1" t="s">
        <v>132</v>
      </c>
      <c r="K169" s="1" t="s">
        <v>3726</v>
      </c>
      <c r="L169" s="1" t="s">
        <v>132</v>
      </c>
      <c r="M169" s="1" t="s">
        <v>3727</v>
      </c>
      <c r="N169" s="1" t="s">
        <v>3728</v>
      </c>
      <c r="O169" s="1" t="s">
        <v>132</v>
      </c>
      <c r="P169" s="1" t="s">
        <v>3729</v>
      </c>
      <c r="Q169" s="1" t="s">
        <v>3730</v>
      </c>
      <c r="R169" s="1" t="s">
        <v>132</v>
      </c>
      <c r="S169" s="1" t="s">
        <v>3731</v>
      </c>
      <c r="T169" s="1" t="s">
        <v>132</v>
      </c>
      <c r="U169" s="1" t="s">
        <v>3732</v>
      </c>
      <c r="V169" s="1" t="s">
        <v>3733</v>
      </c>
      <c r="W169" s="1" t="s">
        <v>132</v>
      </c>
      <c r="X169" s="1" t="s">
        <v>3734</v>
      </c>
      <c r="Y169" s="1" t="s">
        <v>132</v>
      </c>
      <c r="Z169" s="1" t="s">
        <v>3735</v>
      </c>
      <c r="AA169" s="1" t="s">
        <v>3736</v>
      </c>
      <c r="AB169" s="1" t="s">
        <v>132</v>
      </c>
      <c r="AC169" s="1" t="s">
        <v>1615</v>
      </c>
      <c r="AD169" s="1" t="s">
        <v>3737</v>
      </c>
      <c r="AE169" s="1" t="s">
        <v>132</v>
      </c>
      <c r="AF169" s="1" t="s">
        <v>3738</v>
      </c>
      <c r="AG169" s="1" t="s">
        <v>3739</v>
      </c>
      <c r="AH169" s="1" t="s">
        <v>132</v>
      </c>
      <c r="AI169" s="1" t="s">
        <v>132</v>
      </c>
      <c r="AJ169" s="1" t="s">
        <v>3740</v>
      </c>
      <c r="AK169" s="1" t="s">
        <v>3741</v>
      </c>
      <c r="AL169" s="1" t="s">
        <v>132</v>
      </c>
      <c r="AM169" s="1" t="s">
        <v>3742</v>
      </c>
      <c r="AN169" s="1" t="s">
        <v>3742</v>
      </c>
    </row>
    <row r="170" ht="15.75" customHeight="1">
      <c r="A170" s="1" t="s">
        <v>127</v>
      </c>
      <c r="B170" s="1" t="s">
        <v>3743</v>
      </c>
      <c r="C170" s="1" t="s">
        <v>3744</v>
      </c>
      <c r="D170" s="8" t="s">
        <v>3745</v>
      </c>
      <c r="E170" s="1" t="s">
        <v>3746</v>
      </c>
      <c r="F170" s="1" t="s">
        <v>132</v>
      </c>
      <c r="G170" s="1" t="s">
        <v>3747</v>
      </c>
      <c r="H170" s="1" t="s">
        <v>3748</v>
      </c>
      <c r="I170" s="1" t="s">
        <v>3749</v>
      </c>
      <c r="J170" s="1" t="s">
        <v>3750</v>
      </c>
      <c r="K170" s="1" t="s">
        <v>3751</v>
      </c>
      <c r="L170" s="1" t="s">
        <v>3752</v>
      </c>
      <c r="M170" s="1" t="s">
        <v>3753</v>
      </c>
      <c r="N170" s="1" t="s">
        <v>132</v>
      </c>
      <c r="O170" s="1" t="s">
        <v>3754</v>
      </c>
      <c r="P170" s="1" t="s">
        <v>3755</v>
      </c>
      <c r="Q170" s="1" t="s">
        <v>132</v>
      </c>
      <c r="R170" s="1" t="s">
        <v>3756</v>
      </c>
      <c r="S170" s="1" t="s">
        <v>3757</v>
      </c>
      <c r="T170" s="8" t="s">
        <v>3758</v>
      </c>
      <c r="U170" s="1" t="s">
        <v>3759</v>
      </c>
      <c r="V170" s="1" t="s">
        <v>3760</v>
      </c>
      <c r="W170" s="1" t="s">
        <v>3761</v>
      </c>
      <c r="X170" s="1" t="s">
        <v>3762</v>
      </c>
      <c r="Y170" s="1" t="s">
        <v>3748</v>
      </c>
      <c r="Z170" s="1" t="s">
        <v>3763</v>
      </c>
      <c r="AA170" s="1" t="s">
        <v>3764</v>
      </c>
      <c r="AB170" s="1" t="s">
        <v>3765</v>
      </c>
      <c r="AC170" s="1" t="s">
        <v>3766</v>
      </c>
      <c r="AD170" s="1" t="s">
        <v>3767</v>
      </c>
      <c r="AE170" s="1" t="s">
        <v>3768</v>
      </c>
      <c r="AF170" s="1" t="s">
        <v>3769</v>
      </c>
      <c r="AG170" s="1" t="s">
        <v>3770</v>
      </c>
      <c r="AH170" s="1" t="s">
        <v>3771</v>
      </c>
      <c r="AI170" s="1" t="s">
        <v>3772</v>
      </c>
      <c r="AJ170" s="1" t="s">
        <v>132</v>
      </c>
      <c r="AK170" s="1" t="s">
        <v>3773</v>
      </c>
      <c r="AL170" s="1" t="s">
        <v>3774</v>
      </c>
      <c r="AM170" s="1" t="s">
        <v>3775</v>
      </c>
      <c r="AN170" s="1" t="s">
        <v>3775</v>
      </c>
    </row>
    <row r="171" ht="15.75" customHeight="1">
      <c r="A171" s="1" t="s">
        <v>127</v>
      </c>
      <c r="B171" s="1" t="s">
        <v>3776</v>
      </c>
      <c r="C171" s="1" t="s">
        <v>3777</v>
      </c>
      <c r="D171" s="8" t="s">
        <v>3778</v>
      </c>
      <c r="E171" s="1" t="s">
        <v>3779</v>
      </c>
      <c r="F171" s="1" t="s">
        <v>132</v>
      </c>
      <c r="G171" s="1" t="s">
        <v>3780</v>
      </c>
      <c r="H171" s="1" t="s">
        <v>3781</v>
      </c>
      <c r="I171" s="1" t="s">
        <v>3782</v>
      </c>
      <c r="J171" s="1" t="s">
        <v>3783</v>
      </c>
      <c r="K171" s="1" t="s">
        <v>3784</v>
      </c>
      <c r="L171" s="1" t="s">
        <v>3785</v>
      </c>
      <c r="M171" s="1" t="s">
        <v>3786</v>
      </c>
      <c r="N171" s="1" t="s">
        <v>132</v>
      </c>
      <c r="O171" s="1" t="s">
        <v>3787</v>
      </c>
      <c r="P171" s="1" t="s">
        <v>3788</v>
      </c>
      <c r="Q171" s="1" t="s">
        <v>132</v>
      </c>
      <c r="R171" s="1" t="s">
        <v>3789</v>
      </c>
      <c r="S171" s="1" t="s">
        <v>3790</v>
      </c>
      <c r="T171" s="8" t="s">
        <v>3791</v>
      </c>
      <c r="U171" s="1" t="s">
        <v>3792</v>
      </c>
      <c r="V171" s="1" t="s">
        <v>3793</v>
      </c>
      <c r="W171" s="1" t="s">
        <v>3794</v>
      </c>
      <c r="X171" s="1" t="s">
        <v>3795</v>
      </c>
      <c r="Y171" s="1" t="s">
        <v>3796</v>
      </c>
      <c r="Z171" s="1" t="s">
        <v>3797</v>
      </c>
      <c r="AA171" s="1" t="s">
        <v>3790</v>
      </c>
      <c r="AB171" s="1" t="s">
        <v>3798</v>
      </c>
      <c r="AC171" s="1" t="s">
        <v>3799</v>
      </c>
      <c r="AD171" s="1" t="s">
        <v>3780</v>
      </c>
      <c r="AE171" s="1" t="s">
        <v>3800</v>
      </c>
      <c r="AF171" s="1" t="s">
        <v>3801</v>
      </c>
      <c r="AG171" s="1" t="s">
        <v>3796</v>
      </c>
      <c r="AH171" s="1" t="s">
        <v>3802</v>
      </c>
      <c r="AI171" s="1" t="s">
        <v>3803</v>
      </c>
      <c r="AJ171" s="1" t="s">
        <v>132</v>
      </c>
      <c r="AK171" s="1" t="s">
        <v>3804</v>
      </c>
      <c r="AL171" s="1" t="s">
        <v>3805</v>
      </c>
      <c r="AM171" s="1" t="s">
        <v>3806</v>
      </c>
      <c r="AN171" s="1" t="s">
        <v>3806</v>
      </c>
    </row>
    <row r="172" ht="15.75" customHeight="1">
      <c r="A172" s="1" t="s">
        <v>127</v>
      </c>
      <c r="B172" s="1" t="s">
        <v>3807</v>
      </c>
      <c r="C172" s="1" t="s">
        <v>3808</v>
      </c>
      <c r="D172" s="1" t="s">
        <v>132</v>
      </c>
      <c r="E172" s="1" t="s">
        <v>132</v>
      </c>
      <c r="F172" s="1" t="s">
        <v>132</v>
      </c>
      <c r="G172" s="1" t="s">
        <v>132</v>
      </c>
      <c r="H172" s="1" t="s">
        <v>3809</v>
      </c>
      <c r="I172" s="1" t="s">
        <v>3809</v>
      </c>
      <c r="J172" s="1" t="s">
        <v>132</v>
      </c>
      <c r="K172" s="1" t="s">
        <v>3809</v>
      </c>
      <c r="L172" s="1" t="s">
        <v>3809</v>
      </c>
      <c r="M172" s="1" t="s">
        <v>3809</v>
      </c>
      <c r="N172" s="1" t="s">
        <v>132</v>
      </c>
      <c r="O172" s="1" t="s">
        <v>132</v>
      </c>
      <c r="P172" s="1" t="s">
        <v>3809</v>
      </c>
      <c r="Q172" s="1" t="s">
        <v>132</v>
      </c>
      <c r="R172" s="1" t="s">
        <v>3809</v>
      </c>
      <c r="S172" s="1" t="s">
        <v>3809</v>
      </c>
      <c r="T172" s="1" t="s">
        <v>132</v>
      </c>
      <c r="U172" s="1" t="s">
        <v>3809</v>
      </c>
      <c r="V172" s="1" t="s">
        <v>3809</v>
      </c>
      <c r="W172" s="1" t="s">
        <v>3809</v>
      </c>
      <c r="X172" s="1" t="s">
        <v>3809</v>
      </c>
      <c r="Y172" s="1" t="s">
        <v>3809</v>
      </c>
      <c r="Z172" s="1" t="s">
        <v>3809</v>
      </c>
      <c r="AA172" s="1" t="s">
        <v>3809</v>
      </c>
      <c r="AB172" s="1" t="s">
        <v>132</v>
      </c>
      <c r="AC172" s="1" t="s">
        <v>3809</v>
      </c>
      <c r="AD172" s="1" t="s">
        <v>132</v>
      </c>
      <c r="AE172" s="1" t="s">
        <v>132</v>
      </c>
      <c r="AF172" s="1" t="s">
        <v>3810</v>
      </c>
      <c r="AG172" s="1" t="s">
        <v>3809</v>
      </c>
      <c r="AH172" s="1" t="s">
        <v>132</v>
      </c>
      <c r="AI172" s="1" t="s">
        <v>3809</v>
      </c>
      <c r="AJ172" s="1" t="s">
        <v>132</v>
      </c>
      <c r="AK172" s="1" t="s">
        <v>132</v>
      </c>
      <c r="AL172" s="1" t="s">
        <v>3809</v>
      </c>
      <c r="AM172" s="1" t="s">
        <v>132</v>
      </c>
      <c r="AN172" s="1" t="s">
        <v>132</v>
      </c>
    </row>
    <row r="173" ht="15.75" customHeight="1">
      <c r="A173" s="1" t="s">
        <v>127</v>
      </c>
      <c r="B173" s="1" t="s">
        <v>3811</v>
      </c>
      <c r="C173" s="1" t="s">
        <v>3812</v>
      </c>
      <c r="D173" s="8" t="s">
        <v>3813</v>
      </c>
      <c r="E173" s="1" t="s">
        <v>3814</v>
      </c>
      <c r="F173" s="1" t="s">
        <v>132</v>
      </c>
      <c r="G173" s="1" t="s">
        <v>3815</v>
      </c>
      <c r="H173" s="1" t="s">
        <v>3816</v>
      </c>
      <c r="I173" s="1" t="s">
        <v>3817</v>
      </c>
      <c r="J173" s="1" t="s">
        <v>3818</v>
      </c>
      <c r="K173" s="1" t="s">
        <v>3819</v>
      </c>
      <c r="L173" s="1" t="s">
        <v>3820</v>
      </c>
      <c r="M173" s="1" t="s">
        <v>3821</v>
      </c>
      <c r="N173" s="1" t="s">
        <v>132</v>
      </c>
      <c r="O173" s="1" t="s">
        <v>3822</v>
      </c>
      <c r="P173" s="1" t="s">
        <v>3823</v>
      </c>
      <c r="Q173" s="1" t="s">
        <v>132</v>
      </c>
      <c r="R173" s="1" t="s">
        <v>3824</v>
      </c>
      <c r="S173" s="1" t="s">
        <v>3825</v>
      </c>
      <c r="T173" s="8" t="s">
        <v>3826</v>
      </c>
      <c r="U173" s="1" t="s">
        <v>3827</v>
      </c>
      <c r="V173" s="1" t="s">
        <v>3828</v>
      </c>
      <c r="W173" s="1" t="s">
        <v>3824</v>
      </c>
      <c r="X173" s="1" t="s">
        <v>3829</v>
      </c>
      <c r="Y173" s="1" t="s">
        <v>3830</v>
      </c>
      <c r="Z173" s="1" t="s">
        <v>3831</v>
      </c>
      <c r="AA173" s="1" t="s">
        <v>3819</v>
      </c>
      <c r="AB173" s="1" t="s">
        <v>3832</v>
      </c>
      <c r="AC173" s="1" t="s">
        <v>3833</v>
      </c>
      <c r="AD173" s="1" t="s">
        <v>3834</v>
      </c>
      <c r="AE173" s="1" t="s">
        <v>3835</v>
      </c>
      <c r="AF173" s="1" t="s">
        <v>3836</v>
      </c>
      <c r="AG173" s="1" t="s">
        <v>3830</v>
      </c>
      <c r="AH173" s="1" t="s">
        <v>3837</v>
      </c>
      <c r="AI173" s="1" t="s">
        <v>3838</v>
      </c>
      <c r="AJ173" s="1" t="s">
        <v>132</v>
      </c>
      <c r="AK173" s="1" t="s">
        <v>3839</v>
      </c>
      <c r="AL173" s="1" t="s">
        <v>3840</v>
      </c>
      <c r="AM173" s="1" t="s">
        <v>3841</v>
      </c>
      <c r="AN173" s="1" t="s">
        <v>3841</v>
      </c>
    </row>
    <row r="174" ht="15.75" customHeight="1">
      <c r="A174" s="1" t="s">
        <v>127</v>
      </c>
      <c r="B174" s="1" t="s">
        <v>3842</v>
      </c>
      <c r="C174" s="1" t="s">
        <v>3843</v>
      </c>
      <c r="D174" s="8" t="s">
        <v>3844</v>
      </c>
      <c r="E174" s="1" t="s">
        <v>3845</v>
      </c>
      <c r="F174" s="1" t="s">
        <v>132</v>
      </c>
      <c r="G174" s="1" t="s">
        <v>3846</v>
      </c>
      <c r="H174" s="1" t="s">
        <v>3847</v>
      </c>
      <c r="I174" s="1" t="s">
        <v>3848</v>
      </c>
      <c r="J174" s="1" t="s">
        <v>3849</v>
      </c>
      <c r="K174" s="1" t="s">
        <v>3850</v>
      </c>
      <c r="L174" s="1" t="s">
        <v>3851</v>
      </c>
      <c r="M174" s="1" t="s">
        <v>3852</v>
      </c>
      <c r="N174" s="1" t="s">
        <v>132</v>
      </c>
      <c r="O174" s="1" t="s">
        <v>3853</v>
      </c>
      <c r="P174" s="1" t="s">
        <v>3854</v>
      </c>
      <c r="Q174" s="1" t="s">
        <v>132</v>
      </c>
      <c r="R174" s="1" t="s">
        <v>3855</v>
      </c>
      <c r="S174" s="1" t="s">
        <v>3856</v>
      </c>
      <c r="T174" s="8" t="s">
        <v>3857</v>
      </c>
      <c r="U174" s="1" t="s">
        <v>3858</v>
      </c>
      <c r="V174" s="1" t="s">
        <v>3859</v>
      </c>
      <c r="W174" s="1" t="s">
        <v>3860</v>
      </c>
      <c r="X174" s="1" t="s">
        <v>3861</v>
      </c>
      <c r="Y174" s="1" t="s">
        <v>3862</v>
      </c>
      <c r="Z174" s="1" t="s">
        <v>3863</v>
      </c>
      <c r="AA174" s="1" t="s">
        <v>3864</v>
      </c>
      <c r="AB174" s="1" t="s">
        <v>3865</v>
      </c>
      <c r="AC174" s="1" t="s">
        <v>3866</v>
      </c>
      <c r="AD174" s="1" t="s">
        <v>3867</v>
      </c>
      <c r="AE174" s="1" t="s">
        <v>3868</v>
      </c>
      <c r="AF174" s="1" t="s">
        <v>3869</v>
      </c>
      <c r="AG174" s="1" t="s">
        <v>3870</v>
      </c>
      <c r="AH174" s="1" t="s">
        <v>3871</v>
      </c>
      <c r="AI174" s="1" t="s">
        <v>3872</v>
      </c>
      <c r="AJ174" s="1" t="s">
        <v>132</v>
      </c>
      <c r="AK174" s="1" t="s">
        <v>3873</v>
      </c>
      <c r="AL174" s="1" t="s">
        <v>3874</v>
      </c>
      <c r="AM174" s="1" t="s">
        <v>3875</v>
      </c>
      <c r="AN174" s="1" t="s">
        <v>3875</v>
      </c>
    </row>
    <row r="175" ht="15.75" customHeight="1">
      <c r="A175" s="1" t="s">
        <v>38</v>
      </c>
      <c r="B175" s="1" t="s">
        <v>3876</v>
      </c>
      <c r="C175" s="1" t="s">
        <v>3877</v>
      </c>
      <c r="D175" s="8" t="s">
        <v>3878</v>
      </c>
      <c r="E175" s="1" t="s">
        <v>3879</v>
      </c>
      <c r="F175" s="1" t="s">
        <v>3880</v>
      </c>
      <c r="G175" s="1" t="s">
        <v>132</v>
      </c>
      <c r="H175" s="1" t="s">
        <v>132</v>
      </c>
      <c r="I175" s="1" t="s">
        <v>3881</v>
      </c>
      <c r="J175" s="1" t="s">
        <v>132</v>
      </c>
      <c r="K175" s="1" t="s">
        <v>3882</v>
      </c>
      <c r="L175" s="1" t="s">
        <v>132</v>
      </c>
      <c r="M175" s="1" t="s">
        <v>3883</v>
      </c>
      <c r="N175" s="1" t="s">
        <v>3882</v>
      </c>
      <c r="O175" s="1" t="s">
        <v>132</v>
      </c>
      <c r="P175" s="1" t="s">
        <v>3884</v>
      </c>
      <c r="Q175" s="1" t="s">
        <v>3885</v>
      </c>
      <c r="R175" s="1" t="s">
        <v>132</v>
      </c>
      <c r="S175" s="1" t="s">
        <v>3886</v>
      </c>
      <c r="T175" s="1" t="s">
        <v>132</v>
      </c>
      <c r="U175" s="1" t="s">
        <v>3887</v>
      </c>
      <c r="V175" s="1" t="s">
        <v>3888</v>
      </c>
      <c r="W175" s="1" t="s">
        <v>132</v>
      </c>
      <c r="X175" s="1" t="s">
        <v>3889</v>
      </c>
      <c r="Y175" s="1" t="s">
        <v>132</v>
      </c>
      <c r="Z175" s="1" t="s">
        <v>3890</v>
      </c>
      <c r="AA175" s="1" t="s">
        <v>3882</v>
      </c>
      <c r="AB175" s="1" t="s">
        <v>132</v>
      </c>
      <c r="AC175" s="1" t="s">
        <v>3891</v>
      </c>
      <c r="AD175" s="1" t="s">
        <v>3892</v>
      </c>
      <c r="AE175" s="1" t="s">
        <v>132</v>
      </c>
      <c r="AF175" s="1" t="s">
        <v>3893</v>
      </c>
      <c r="AG175" s="1" t="s">
        <v>3894</v>
      </c>
      <c r="AH175" s="1" t="s">
        <v>132</v>
      </c>
      <c r="AI175" s="1" t="s">
        <v>132</v>
      </c>
      <c r="AJ175" s="1" t="s">
        <v>3895</v>
      </c>
      <c r="AK175" s="1" t="s">
        <v>3896</v>
      </c>
      <c r="AL175" s="1" t="s">
        <v>132</v>
      </c>
      <c r="AM175" s="1" t="s">
        <v>3897</v>
      </c>
      <c r="AN175" s="1" t="s">
        <v>3897</v>
      </c>
    </row>
    <row r="176" ht="15.75" customHeight="1">
      <c r="A176" s="1" t="s">
        <v>38</v>
      </c>
      <c r="B176" s="1" t="s">
        <v>3898</v>
      </c>
      <c r="C176" s="1" t="s">
        <v>3899</v>
      </c>
      <c r="D176" s="8" t="s">
        <v>3900</v>
      </c>
      <c r="E176" s="1" t="s">
        <v>3901</v>
      </c>
      <c r="F176" s="1" t="s">
        <v>3902</v>
      </c>
      <c r="G176" s="1" t="s">
        <v>132</v>
      </c>
      <c r="H176" s="1" t="s">
        <v>132</v>
      </c>
      <c r="I176" s="1" t="s">
        <v>3903</v>
      </c>
      <c r="J176" s="1" t="s">
        <v>132</v>
      </c>
      <c r="K176" s="1" t="s">
        <v>3904</v>
      </c>
      <c r="L176" s="1" t="s">
        <v>132</v>
      </c>
      <c r="M176" s="1" t="s">
        <v>3905</v>
      </c>
      <c r="N176" s="1" t="s">
        <v>3906</v>
      </c>
      <c r="O176" s="1" t="s">
        <v>132</v>
      </c>
      <c r="P176" s="1" t="s">
        <v>3907</v>
      </c>
      <c r="Q176" s="1" t="s">
        <v>132</v>
      </c>
      <c r="R176" s="1" t="s">
        <v>132</v>
      </c>
      <c r="S176" s="1" t="s">
        <v>3908</v>
      </c>
      <c r="T176" s="1" t="s">
        <v>132</v>
      </c>
      <c r="U176" s="1" t="s">
        <v>3909</v>
      </c>
      <c r="V176" s="1" t="s">
        <v>3910</v>
      </c>
      <c r="W176" s="1" t="s">
        <v>132</v>
      </c>
      <c r="X176" s="1" t="s">
        <v>3911</v>
      </c>
      <c r="Y176" s="1" t="s">
        <v>132</v>
      </c>
      <c r="Z176" s="1" t="s">
        <v>3912</v>
      </c>
      <c r="AA176" s="1" t="s">
        <v>132</v>
      </c>
      <c r="AB176" s="1" t="s">
        <v>132</v>
      </c>
      <c r="AC176" s="1" t="s">
        <v>3913</v>
      </c>
      <c r="AD176" s="1" t="s">
        <v>132</v>
      </c>
      <c r="AE176" s="1" t="s">
        <v>132</v>
      </c>
      <c r="AF176" s="1" t="s">
        <v>3914</v>
      </c>
      <c r="AG176" s="1" t="s">
        <v>3915</v>
      </c>
      <c r="AH176" s="1" t="s">
        <v>132</v>
      </c>
      <c r="AI176" s="1" t="s">
        <v>132</v>
      </c>
      <c r="AJ176" s="1" t="s">
        <v>3916</v>
      </c>
      <c r="AK176" s="1" t="s">
        <v>132</v>
      </c>
      <c r="AL176" s="1" t="s">
        <v>132</v>
      </c>
      <c r="AM176" s="1" t="s">
        <v>3917</v>
      </c>
      <c r="AN176" s="1" t="s">
        <v>3917</v>
      </c>
    </row>
    <row r="177" ht="15.75" customHeight="1">
      <c r="A177" s="1" t="s">
        <v>38</v>
      </c>
      <c r="B177" s="1" t="s">
        <v>3918</v>
      </c>
      <c r="C177" s="1" t="s">
        <v>3919</v>
      </c>
      <c r="D177" s="1" t="s">
        <v>132</v>
      </c>
      <c r="E177" s="1" t="s">
        <v>132</v>
      </c>
      <c r="F177" s="1" t="s">
        <v>132</v>
      </c>
      <c r="G177" s="1" t="s">
        <v>132</v>
      </c>
      <c r="H177" s="1" t="s">
        <v>132</v>
      </c>
      <c r="I177" s="1" t="s">
        <v>3920</v>
      </c>
      <c r="J177" s="1" t="s">
        <v>132</v>
      </c>
      <c r="K177" s="1" t="s">
        <v>3921</v>
      </c>
      <c r="L177" s="1" t="s">
        <v>132</v>
      </c>
      <c r="M177" s="1" t="s">
        <v>3922</v>
      </c>
      <c r="N177" s="1" t="s">
        <v>132</v>
      </c>
      <c r="O177" s="1" t="s">
        <v>132</v>
      </c>
      <c r="P177" s="1" t="s">
        <v>3919</v>
      </c>
      <c r="Q177" s="1" t="s">
        <v>132</v>
      </c>
      <c r="R177" s="1" t="s">
        <v>132</v>
      </c>
      <c r="S177" s="1" t="s">
        <v>132</v>
      </c>
      <c r="T177" s="1" t="s">
        <v>132</v>
      </c>
      <c r="U177" s="1" t="s">
        <v>132</v>
      </c>
      <c r="V177" s="1" t="s">
        <v>132</v>
      </c>
      <c r="W177" s="1" t="s">
        <v>132</v>
      </c>
      <c r="X177" s="1" t="s">
        <v>132</v>
      </c>
      <c r="Y177" s="1" t="s">
        <v>132</v>
      </c>
      <c r="Z177" s="1" t="s">
        <v>132</v>
      </c>
      <c r="AA177" s="1" t="s">
        <v>132</v>
      </c>
      <c r="AB177" s="1" t="s">
        <v>132</v>
      </c>
      <c r="AC177" s="1" t="s">
        <v>3923</v>
      </c>
      <c r="AD177" s="1" t="s">
        <v>132</v>
      </c>
      <c r="AE177" s="1" t="s">
        <v>132</v>
      </c>
      <c r="AF177" s="1" t="s">
        <v>3924</v>
      </c>
      <c r="AG177" s="1" t="s">
        <v>132</v>
      </c>
      <c r="AH177" s="1" t="s">
        <v>132</v>
      </c>
      <c r="AI177" s="1" t="s">
        <v>132</v>
      </c>
      <c r="AJ177" s="1" t="s">
        <v>132</v>
      </c>
      <c r="AK177" s="1" t="s">
        <v>132</v>
      </c>
      <c r="AL177" s="1" t="s">
        <v>132</v>
      </c>
      <c r="AM177" s="1" t="s">
        <v>132</v>
      </c>
      <c r="AN177" s="1" t="s">
        <v>132</v>
      </c>
    </row>
    <row r="178" ht="15.75" customHeight="1">
      <c r="A178" s="1" t="s">
        <v>38</v>
      </c>
      <c r="B178" s="1" t="s">
        <v>3925</v>
      </c>
      <c r="C178" s="1" t="s">
        <v>3926</v>
      </c>
      <c r="D178" s="8" t="s">
        <v>3927</v>
      </c>
      <c r="E178" s="1" t="s">
        <v>3928</v>
      </c>
      <c r="F178" s="1" t="s">
        <v>3336</v>
      </c>
      <c r="G178" s="1" t="s">
        <v>132</v>
      </c>
      <c r="H178" s="1" t="s">
        <v>132</v>
      </c>
      <c r="I178" s="1" t="s">
        <v>3929</v>
      </c>
      <c r="J178" s="1" t="s">
        <v>132</v>
      </c>
      <c r="K178" s="1" t="s">
        <v>3336</v>
      </c>
      <c r="L178" s="1" t="s">
        <v>132</v>
      </c>
      <c r="M178" s="1" t="s">
        <v>3930</v>
      </c>
      <c r="N178" s="1" t="s">
        <v>3931</v>
      </c>
      <c r="O178" s="1" t="s">
        <v>132</v>
      </c>
      <c r="P178" s="1" t="s">
        <v>3932</v>
      </c>
      <c r="Q178" s="1" t="s">
        <v>3933</v>
      </c>
      <c r="R178" s="1" t="s">
        <v>132</v>
      </c>
      <c r="S178" s="1" t="s">
        <v>3934</v>
      </c>
      <c r="T178" s="1" t="s">
        <v>132</v>
      </c>
      <c r="U178" s="1" t="s">
        <v>3344</v>
      </c>
      <c r="V178" s="1" t="s">
        <v>3935</v>
      </c>
      <c r="W178" s="1" t="s">
        <v>132</v>
      </c>
      <c r="X178" s="1" t="s">
        <v>3936</v>
      </c>
      <c r="Y178" s="1" t="s">
        <v>132</v>
      </c>
      <c r="Z178" s="1" t="s">
        <v>3937</v>
      </c>
      <c r="AA178" s="1" t="s">
        <v>3938</v>
      </c>
      <c r="AB178" s="1" t="s">
        <v>132</v>
      </c>
      <c r="AC178" s="1" t="s">
        <v>3939</v>
      </c>
      <c r="AD178" s="1" t="s">
        <v>132</v>
      </c>
      <c r="AE178" s="1" t="s">
        <v>132</v>
      </c>
      <c r="AF178" s="1" t="s">
        <v>3940</v>
      </c>
      <c r="AG178" s="1" t="s">
        <v>3941</v>
      </c>
      <c r="AH178" s="1" t="s">
        <v>132</v>
      </c>
      <c r="AI178" s="1" t="s">
        <v>132</v>
      </c>
      <c r="AJ178" s="1" t="s">
        <v>3942</v>
      </c>
      <c r="AK178" s="1" t="s">
        <v>132</v>
      </c>
      <c r="AL178" s="1" t="s">
        <v>132</v>
      </c>
      <c r="AM178" s="1" t="s">
        <v>3943</v>
      </c>
      <c r="AN178" s="1" t="s">
        <v>3943</v>
      </c>
    </row>
    <row r="179" ht="15.75" customHeight="1">
      <c r="A179" s="1" t="s">
        <v>38</v>
      </c>
      <c r="B179" s="1" t="s">
        <v>3944</v>
      </c>
      <c r="C179" s="1" t="s">
        <v>3945</v>
      </c>
      <c r="D179" s="1" t="s">
        <v>132</v>
      </c>
      <c r="E179" s="1" t="s">
        <v>3946</v>
      </c>
      <c r="F179" s="1" t="s">
        <v>132</v>
      </c>
      <c r="G179" s="1" t="s">
        <v>132</v>
      </c>
      <c r="H179" s="1" t="s">
        <v>132</v>
      </c>
      <c r="I179" s="1" t="s">
        <v>3947</v>
      </c>
      <c r="J179" s="1" t="s">
        <v>132</v>
      </c>
      <c r="K179" s="1" t="s">
        <v>3948</v>
      </c>
      <c r="L179" s="1" t="s">
        <v>132</v>
      </c>
      <c r="M179" s="1" t="s">
        <v>3949</v>
      </c>
      <c r="N179" s="1" t="s">
        <v>3948</v>
      </c>
      <c r="O179" s="1" t="s">
        <v>132</v>
      </c>
      <c r="P179" s="1" t="s">
        <v>3950</v>
      </c>
      <c r="Q179" s="1" t="s">
        <v>132</v>
      </c>
      <c r="R179" s="1" t="s">
        <v>132</v>
      </c>
      <c r="S179" s="1" t="s">
        <v>3948</v>
      </c>
      <c r="T179" s="1" t="s">
        <v>132</v>
      </c>
      <c r="U179" s="1" t="s">
        <v>132</v>
      </c>
      <c r="V179" s="1" t="s">
        <v>132</v>
      </c>
      <c r="W179" s="1" t="s">
        <v>132</v>
      </c>
      <c r="X179" s="1" t="s">
        <v>3951</v>
      </c>
      <c r="Y179" s="1" t="s">
        <v>132</v>
      </c>
      <c r="Z179" s="1" t="s">
        <v>3952</v>
      </c>
      <c r="AA179" s="1" t="s">
        <v>132</v>
      </c>
      <c r="AB179" s="1" t="s">
        <v>132</v>
      </c>
      <c r="AC179" s="1" t="s">
        <v>132</v>
      </c>
      <c r="AD179" s="1" t="s">
        <v>132</v>
      </c>
      <c r="AE179" s="1" t="s">
        <v>132</v>
      </c>
      <c r="AF179" s="1" t="s">
        <v>132</v>
      </c>
      <c r="AG179" s="1" t="s">
        <v>132</v>
      </c>
      <c r="AH179" s="1" t="s">
        <v>132</v>
      </c>
      <c r="AI179" s="1" t="s">
        <v>132</v>
      </c>
      <c r="AJ179" s="1" t="s">
        <v>132</v>
      </c>
      <c r="AK179" s="1" t="s">
        <v>132</v>
      </c>
      <c r="AL179" s="1" t="s">
        <v>132</v>
      </c>
      <c r="AM179" s="1" t="s">
        <v>132</v>
      </c>
      <c r="AN179" s="1" t="s">
        <v>132</v>
      </c>
    </row>
    <row r="180" ht="15.75" customHeight="1">
      <c r="A180" s="1" t="s">
        <v>127</v>
      </c>
      <c r="B180" s="1" t="s">
        <v>3953</v>
      </c>
      <c r="C180" s="1" t="s">
        <v>3954</v>
      </c>
      <c r="D180" s="8" t="s">
        <v>3955</v>
      </c>
      <c r="E180" s="1" t="s">
        <v>3956</v>
      </c>
      <c r="F180" s="1" t="s">
        <v>132</v>
      </c>
      <c r="G180" s="1" t="s">
        <v>3957</v>
      </c>
      <c r="H180" s="1" t="s">
        <v>3958</v>
      </c>
      <c r="I180" s="1" t="s">
        <v>3959</v>
      </c>
      <c r="J180" s="1" t="s">
        <v>3960</v>
      </c>
      <c r="K180" s="1" t="s">
        <v>3961</v>
      </c>
      <c r="L180" s="1" t="s">
        <v>3962</v>
      </c>
      <c r="M180" s="1" t="s">
        <v>3963</v>
      </c>
      <c r="N180" s="1" t="s">
        <v>132</v>
      </c>
      <c r="O180" s="1" t="s">
        <v>3964</v>
      </c>
      <c r="P180" s="1" t="s">
        <v>3965</v>
      </c>
      <c r="Q180" s="1" t="s">
        <v>132</v>
      </c>
      <c r="R180" s="1" t="s">
        <v>3966</v>
      </c>
      <c r="S180" s="1" t="s">
        <v>3967</v>
      </c>
      <c r="T180" s="8" t="s">
        <v>3968</v>
      </c>
      <c r="U180" s="1" t="s">
        <v>3969</v>
      </c>
      <c r="V180" s="1" t="s">
        <v>3970</v>
      </c>
      <c r="W180" s="1" t="s">
        <v>3966</v>
      </c>
      <c r="X180" s="1" t="s">
        <v>3971</v>
      </c>
      <c r="Y180" s="1" t="s">
        <v>3972</v>
      </c>
      <c r="Z180" s="1" t="s">
        <v>3973</v>
      </c>
      <c r="AA180" s="1" t="s">
        <v>3974</v>
      </c>
      <c r="AB180" s="1" t="s">
        <v>3975</v>
      </c>
      <c r="AC180" s="1" t="s">
        <v>3976</v>
      </c>
      <c r="AD180" s="1" t="s">
        <v>3977</v>
      </c>
      <c r="AE180" s="1" t="s">
        <v>3978</v>
      </c>
      <c r="AF180" s="1" t="s">
        <v>3979</v>
      </c>
      <c r="AG180" s="1" t="s">
        <v>3980</v>
      </c>
      <c r="AH180" s="1" t="s">
        <v>3981</v>
      </c>
      <c r="AI180" s="1" t="s">
        <v>3982</v>
      </c>
      <c r="AJ180" s="1" t="s">
        <v>132</v>
      </c>
      <c r="AK180" s="1" t="s">
        <v>3983</v>
      </c>
      <c r="AL180" s="1" t="s">
        <v>3984</v>
      </c>
      <c r="AM180" s="1" t="s">
        <v>3985</v>
      </c>
      <c r="AN180" s="1" t="s">
        <v>3985</v>
      </c>
    </row>
    <row r="181" ht="15.75" customHeight="1">
      <c r="A181" s="1" t="s">
        <v>38</v>
      </c>
      <c r="B181" s="1" t="s">
        <v>3986</v>
      </c>
      <c r="C181" s="1" t="s">
        <v>3987</v>
      </c>
      <c r="D181" s="8" t="s">
        <v>3988</v>
      </c>
      <c r="E181" s="1" t="s">
        <v>3989</v>
      </c>
      <c r="F181" s="1" t="s">
        <v>3990</v>
      </c>
      <c r="G181" s="1" t="s">
        <v>132</v>
      </c>
      <c r="H181" s="1" t="s">
        <v>132</v>
      </c>
      <c r="I181" s="1" t="s">
        <v>3991</v>
      </c>
      <c r="J181" s="1" t="s">
        <v>132</v>
      </c>
      <c r="K181" s="1" t="s">
        <v>3992</v>
      </c>
      <c r="L181" s="1" t="s">
        <v>132</v>
      </c>
      <c r="M181" s="1" t="s">
        <v>3993</v>
      </c>
      <c r="N181" s="1" t="s">
        <v>3994</v>
      </c>
      <c r="O181" s="1" t="s">
        <v>132</v>
      </c>
      <c r="P181" s="1" t="s">
        <v>3995</v>
      </c>
      <c r="Q181" s="1" t="s">
        <v>3996</v>
      </c>
      <c r="R181" s="1" t="s">
        <v>132</v>
      </c>
      <c r="S181" s="1" t="s">
        <v>3997</v>
      </c>
      <c r="T181" s="1" t="s">
        <v>132</v>
      </c>
      <c r="U181" s="1" t="s">
        <v>3998</v>
      </c>
      <c r="V181" s="1" t="s">
        <v>3999</v>
      </c>
      <c r="W181" s="1" t="s">
        <v>132</v>
      </c>
      <c r="X181" s="1" t="s">
        <v>4000</v>
      </c>
      <c r="Y181" s="1" t="s">
        <v>132</v>
      </c>
      <c r="Z181" s="1" t="s">
        <v>4001</v>
      </c>
      <c r="AA181" s="1" t="s">
        <v>4002</v>
      </c>
      <c r="AB181" s="1" t="s">
        <v>132</v>
      </c>
      <c r="AC181" s="1" t="s">
        <v>4003</v>
      </c>
      <c r="AD181" s="1" t="s">
        <v>4004</v>
      </c>
      <c r="AE181" s="1" t="s">
        <v>132</v>
      </c>
      <c r="AF181" s="1" t="s">
        <v>4005</v>
      </c>
      <c r="AG181" s="1" t="s">
        <v>4006</v>
      </c>
      <c r="AH181" s="1" t="s">
        <v>132</v>
      </c>
      <c r="AI181" s="1" t="s">
        <v>132</v>
      </c>
      <c r="AJ181" s="1" t="s">
        <v>4007</v>
      </c>
      <c r="AK181" s="1" t="s">
        <v>4008</v>
      </c>
      <c r="AL181" s="1" t="s">
        <v>132</v>
      </c>
      <c r="AM181" s="1" t="s">
        <v>4009</v>
      </c>
      <c r="AN181" s="1" t="s">
        <v>4009</v>
      </c>
    </row>
    <row r="182" ht="15.75" customHeight="1">
      <c r="A182" s="1" t="s">
        <v>127</v>
      </c>
      <c r="B182" s="1" t="s">
        <v>4010</v>
      </c>
      <c r="C182" s="1" t="s">
        <v>4011</v>
      </c>
      <c r="D182" s="8" t="s">
        <v>4012</v>
      </c>
      <c r="E182" s="1" t="s">
        <v>4013</v>
      </c>
      <c r="F182" s="1" t="s">
        <v>132</v>
      </c>
      <c r="G182" s="1" t="s">
        <v>4011</v>
      </c>
      <c r="H182" s="1" t="s">
        <v>4014</v>
      </c>
      <c r="I182" s="1" t="s">
        <v>4011</v>
      </c>
      <c r="J182" s="1" t="s">
        <v>4015</v>
      </c>
      <c r="K182" s="1" t="s">
        <v>4016</v>
      </c>
      <c r="L182" s="1" t="s">
        <v>4017</v>
      </c>
      <c r="M182" s="1" t="s">
        <v>4018</v>
      </c>
      <c r="N182" s="1" t="s">
        <v>132</v>
      </c>
      <c r="O182" s="1" t="s">
        <v>4019</v>
      </c>
      <c r="P182" s="1" t="s">
        <v>4011</v>
      </c>
      <c r="Q182" s="1" t="s">
        <v>132</v>
      </c>
      <c r="R182" s="1" t="s">
        <v>4014</v>
      </c>
      <c r="S182" s="1" t="s">
        <v>4018</v>
      </c>
      <c r="T182" s="8" t="s">
        <v>4020</v>
      </c>
      <c r="U182" s="1" t="s">
        <v>4021</v>
      </c>
      <c r="V182" s="1" t="s">
        <v>4022</v>
      </c>
      <c r="W182" s="1" t="s">
        <v>4014</v>
      </c>
      <c r="X182" s="1" t="s">
        <v>4011</v>
      </c>
      <c r="Y182" s="1" t="s">
        <v>4014</v>
      </c>
      <c r="Z182" s="1" t="s">
        <v>4014</v>
      </c>
      <c r="AA182" s="1" t="s">
        <v>4016</v>
      </c>
      <c r="AB182" s="1" t="s">
        <v>4011</v>
      </c>
      <c r="AC182" s="1" t="s">
        <v>4023</v>
      </c>
      <c r="AD182" s="1" t="s">
        <v>4011</v>
      </c>
      <c r="AE182" s="1" t="s">
        <v>4014</v>
      </c>
      <c r="AF182" s="1" t="s">
        <v>4014</v>
      </c>
      <c r="AG182" s="1" t="s">
        <v>4011</v>
      </c>
      <c r="AH182" s="1" t="s">
        <v>4024</v>
      </c>
      <c r="AI182" s="1" t="s">
        <v>4025</v>
      </c>
      <c r="AJ182" s="1" t="s">
        <v>132</v>
      </c>
      <c r="AK182" s="1" t="s">
        <v>4026</v>
      </c>
      <c r="AL182" s="1" t="s">
        <v>4027</v>
      </c>
      <c r="AM182" s="1" t="s">
        <v>4028</v>
      </c>
      <c r="AN182" s="1" t="s">
        <v>4028</v>
      </c>
    </row>
    <row r="183" ht="15.75" customHeight="1">
      <c r="A183" s="1" t="s">
        <v>38</v>
      </c>
      <c r="B183" s="1" t="s">
        <v>4029</v>
      </c>
      <c r="C183" s="1" t="s">
        <v>4030</v>
      </c>
      <c r="D183" s="8" t="s">
        <v>4031</v>
      </c>
      <c r="E183" s="1" t="s">
        <v>4032</v>
      </c>
      <c r="F183" s="1" t="s">
        <v>4033</v>
      </c>
      <c r="G183" s="1" t="s">
        <v>132</v>
      </c>
      <c r="H183" s="1" t="s">
        <v>132</v>
      </c>
      <c r="I183" s="1" t="s">
        <v>4034</v>
      </c>
      <c r="J183" s="1" t="s">
        <v>132</v>
      </c>
      <c r="K183" s="1" t="s">
        <v>4035</v>
      </c>
      <c r="L183" s="1" t="s">
        <v>132</v>
      </c>
      <c r="M183" s="1" t="s">
        <v>4036</v>
      </c>
      <c r="N183" s="1" t="s">
        <v>4035</v>
      </c>
      <c r="O183" s="1" t="s">
        <v>132</v>
      </c>
      <c r="P183" s="1" t="s">
        <v>4037</v>
      </c>
      <c r="Q183" s="1" t="s">
        <v>4038</v>
      </c>
      <c r="R183" s="1" t="s">
        <v>132</v>
      </c>
      <c r="S183" s="1" t="s">
        <v>4039</v>
      </c>
      <c r="T183" s="1" t="s">
        <v>132</v>
      </c>
      <c r="U183" s="1" t="s">
        <v>4040</v>
      </c>
      <c r="V183" s="1" t="s">
        <v>4041</v>
      </c>
      <c r="W183" s="1" t="s">
        <v>132</v>
      </c>
      <c r="X183" s="1" t="s">
        <v>4042</v>
      </c>
      <c r="Y183" s="1" t="s">
        <v>132</v>
      </c>
      <c r="Z183" s="1" t="s">
        <v>4043</v>
      </c>
      <c r="AA183" s="1" t="s">
        <v>4035</v>
      </c>
      <c r="AB183" s="1" t="s">
        <v>132</v>
      </c>
      <c r="AC183" s="1" t="s">
        <v>4044</v>
      </c>
      <c r="AD183" s="1" t="s">
        <v>4045</v>
      </c>
      <c r="AE183" s="1" t="s">
        <v>132</v>
      </c>
      <c r="AF183" s="1" t="s">
        <v>4046</v>
      </c>
      <c r="AG183" s="1" t="s">
        <v>4047</v>
      </c>
      <c r="AH183" s="1" t="s">
        <v>132</v>
      </c>
      <c r="AI183" s="1" t="s">
        <v>132</v>
      </c>
      <c r="AJ183" s="1" t="s">
        <v>4048</v>
      </c>
      <c r="AK183" s="1" t="s">
        <v>4049</v>
      </c>
      <c r="AL183" s="1" t="s">
        <v>132</v>
      </c>
      <c r="AM183" s="1" t="s">
        <v>4050</v>
      </c>
      <c r="AN183" s="1" t="s">
        <v>4050</v>
      </c>
    </row>
    <row r="184" ht="15.75" customHeight="1">
      <c r="A184" s="1" t="s">
        <v>4051</v>
      </c>
      <c r="B184" s="1" t="s">
        <v>4052</v>
      </c>
      <c r="C184" s="1" t="s">
        <v>4053</v>
      </c>
      <c r="D184" s="8" t="s">
        <v>4054</v>
      </c>
      <c r="E184" s="1" t="s">
        <v>4055</v>
      </c>
      <c r="F184" s="1" t="s">
        <v>132</v>
      </c>
      <c r="G184" s="1" t="s">
        <v>4056</v>
      </c>
      <c r="H184" s="1" t="s">
        <v>4057</v>
      </c>
      <c r="I184" s="1" t="s">
        <v>132</v>
      </c>
      <c r="J184" s="1" t="s">
        <v>4058</v>
      </c>
      <c r="K184" s="1" t="s">
        <v>4059</v>
      </c>
      <c r="L184" s="1" t="s">
        <v>4060</v>
      </c>
      <c r="M184" s="1" t="s">
        <v>4061</v>
      </c>
      <c r="N184" s="1" t="s">
        <v>132</v>
      </c>
      <c r="O184" s="1" t="s">
        <v>4062</v>
      </c>
      <c r="P184" s="1" t="s">
        <v>4063</v>
      </c>
      <c r="Q184" s="1" t="s">
        <v>132</v>
      </c>
      <c r="R184" s="1" t="s">
        <v>4064</v>
      </c>
      <c r="S184" s="1" t="s">
        <v>43186</v>
      </c>
      <c r="T184" s="8" t="s">
        <v>4066</v>
      </c>
      <c r="U184" s="1" t="s">
        <v>4067</v>
      </c>
      <c r="V184" s="1" t="s">
        <v>4068</v>
      </c>
      <c r="W184" s="1" t="s">
        <v>4069</v>
      </c>
      <c r="X184" s="1" t="s">
        <v>4070</v>
      </c>
      <c r="Y184" s="1" t="s">
        <v>4071</v>
      </c>
      <c r="Z184" s="11" t="s">
        <v>4072</v>
      </c>
      <c r="AA184" s="1" t="s">
        <v>4073</v>
      </c>
      <c r="AB184" s="1" t="s">
        <v>4074</v>
      </c>
      <c r="AC184" s="1" t="s">
        <v>4075</v>
      </c>
      <c r="AD184" s="1" t="s">
        <v>4076</v>
      </c>
      <c r="AE184" s="1" t="s">
        <v>4077</v>
      </c>
      <c r="AF184" s="1" t="s">
        <v>132</v>
      </c>
      <c r="AG184" s="1" t="s">
        <v>4078</v>
      </c>
      <c r="AH184" s="1" t="s">
        <v>4079</v>
      </c>
      <c r="AI184" s="1" t="s">
        <v>4080</v>
      </c>
      <c r="AJ184" s="1" t="s">
        <v>132</v>
      </c>
      <c r="AK184" s="1" t="s">
        <v>4081</v>
      </c>
      <c r="AL184" s="14" t="s">
        <v>4082</v>
      </c>
      <c r="AM184" s="1" t="s">
        <v>132</v>
      </c>
      <c r="AN184" s="1" t="s">
        <v>132</v>
      </c>
    </row>
    <row r="185" ht="15.75" customHeight="1">
      <c r="A185" s="1" t="s">
        <v>127</v>
      </c>
      <c r="B185" s="1" t="s">
        <v>4083</v>
      </c>
      <c r="C185" s="1" t="s">
        <v>4084</v>
      </c>
      <c r="D185" s="8" t="s">
        <v>4085</v>
      </c>
      <c r="E185" s="1" t="s">
        <v>4086</v>
      </c>
      <c r="F185" s="1" t="s">
        <v>132</v>
      </c>
      <c r="G185" s="1" t="s">
        <v>4087</v>
      </c>
      <c r="H185" s="1" t="s">
        <v>4088</v>
      </c>
      <c r="I185" s="1" t="s">
        <v>4089</v>
      </c>
      <c r="J185" s="1" t="s">
        <v>4090</v>
      </c>
      <c r="K185" s="1" t="s">
        <v>4091</v>
      </c>
      <c r="L185" s="1" t="s">
        <v>4092</v>
      </c>
      <c r="M185" s="1" t="s">
        <v>4093</v>
      </c>
      <c r="N185" s="1" t="s">
        <v>132</v>
      </c>
      <c r="O185" s="1" t="s">
        <v>4094</v>
      </c>
      <c r="P185" s="1" t="s">
        <v>4095</v>
      </c>
      <c r="Q185" s="1" t="s">
        <v>132</v>
      </c>
      <c r="R185" s="1" t="s">
        <v>4096</v>
      </c>
      <c r="S185" s="1" t="s">
        <v>4097</v>
      </c>
      <c r="T185" s="8" t="s">
        <v>4098</v>
      </c>
      <c r="U185" s="1" t="s">
        <v>4099</v>
      </c>
      <c r="V185" s="1" t="s">
        <v>4100</v>
      </c>
      <c r="W185" s="1" t="s">
        <v>4101</v>
      </c>
      <c r="X185" s="1" t="s">
        <v>4102</v>
      </c>
      <c r="Y185" s="1" t="s">
        <v>4088</v>
      </c>
      <c r="Z185" s="1" t="s">
        <v>4103</v>
      </c>
      <c r="AA185" s="1" t="s">
        <v>4104</v>
      </c>
      <c r="AB185" s="1" t="s">
        <v>4105</v>
      </c>
      <c r="AC185" s="1" t="s">
        <v>4106</v>
      </c>
      <c r="AD185" s="1" t="s">
        <v>4087</v>
      </c>
      <c r="AE185" s="1" t="s">
        <v>4107</v>
      </c>
      <c r="AF185" s="1" t="s">
        <v>4108</v>
      </c>
      <c r="AG185" s="1" t="s">
        <v>4109</v>
      </c>
      <c r="AH185" s="1" t="s">
        <v>4110</v>
      </c>
      <c r="AI185" s="1" t="s">
        <v>4111</v>
      </c>
      <c r="AJ185" s="1" t="s">
        <v>132</v>
      </c>
      <c r="AK185" s="1" t="s">
        <v>4112</v>
      </c>
      <c r="AL185" s="1" t="s">
        <v>4099</v>
      </c>
      <c r="AM185" s="1" t="s">
        <v>4113</v>
      </c>
      <c r="AN185" s="1" t="s">
        <v>4113</v>
      </c>
    </row>
    <row r="186" ht="15.75" customHeight="1">
      <c r="A186" s="1" t="s">
        <v>38</v>
      </c>
      <c r="B186" s="1" t="s">
        <v>4114</v>
      </c>
      <c r="C186" s="1" t="s">
        <v>4115</v>
      </c>
      <c r="D186" s="1" t="s">
        <v>132</v>
      </c>
      <c r="E186" s="1" t="s">
        <v>132</v>
      </c>
      <c r="F186" s="1" t="s">
        <v>132</v>
      </c>
      <c r="G186" s="1" t="s">
        <v>132</v>
      </c>
      <c r="H186" s="1" t="s">
        <v>132</v>
      </c>
      <c r="I186" s="1" t="s">
        <v>4115</v>
      </c>
      <c r="J186" s="1" t="s">
        <v>132</v>
      </c>
      <c r="K186" s="1" t="s">
        <v>4116</v>
      </c>
      <c r="L186" s="1" t="s">
        <v>132</v>
      </c>
      <c r="M186" s="1" t="s">
        <v>4115</v>
      </c>
      <c r="N186" s="1" t="s">
        <v>132</v>
      </c>
      <c r="O186" s="1" t="s">
        <v>132</v>
      </c>
      <c r="P186" s="1" t="s">
        <v>4115</v>
      </c>
      <c r="Q186" s="1" t="s">
        <v>132</v>
      </c>
      <c r="R186" s="1" t="s">
        <v>132</v>
      </c>
      <c r="S186" s="1" t="s">
        <v>132</v>
      </c>
      <c r="T186" s="1" t="s">
        <v>132</v>
      </c>
      <c r="U186" s="1" t="s">
        <v>132</v>
      </c>
      <c r="V186" s="1" t="s">
        <v>132</v>
      </c>
      <c r="W186" s="1" t="s">
        <v>132</v>
      </c>
      <c r="X186" s="1" t="s">
        <v>132</v>
      </c>
      <c r="Y186" s="1" t="s">
        <v>132</v>
      </c>
      <c r="Z186" s="1" t="s">
        <v>132</v>
      </c>
      <c r="AA186" s="1" t="s">
        <v>132</v>
      </c>
      <c r="AB186" s="1" t="s">
        <v>132</v>
      </c>
      <c r="AC186" s="1" t="s">
        <v>4117</v>
      </c>
      <c r="AD186" s="1" t="s">
        <v>132</v>
      </c>
      <c r="AE186" s="1" t="s">
        <v>132</v>
      </c>
      <c r="AF186" s="1" t="s">
        <v>4115</v>
      </c>
      <c r="AG186" s="1" t="s">
        <v>132</v>
      </c>
      <c r="AH186" s="1" t="s">
        <v>132</v>
      </c>
      <c r="AI186" s="1" t="s">
        <v>132</v>
      </c>
      <c r="AJ186" s="1" t="s">
        <v>132</v>
      </c>
      <c r="AK186" s="1" t="s">
        <v>132</v>
      </c>
      <c r="AL186" s="1" t="s">
        <v>132</v>
      </c>
      <c r="AM186" s="1" t="s">
        <v>132</v>
      </c>
      <c r="AN186" s="1" t="s">
        <v>132</v>
      </c>
    </row>
    <row r="187" ht="15.75" customHeight="1">
      <c r="A187" s="1" t="s">
        <v>127</v>
      </c>
      <c r="B187" s="1" t="s">
        <v>4118</v>
      </c>
      <c r="C187" s="1" t="s">
        <v>4119</v>
      </c>
      <c r="D187" s="8" t="s">
        <v>4120</v>
      </c>
      <c r="E187" s="1" t="s">
        <v>4121</v>
      </c>
      <c r="F187" s="1" t="s">
        <v>132</v>
      </c>
      <c r="G187" s="1" t="s">
        <v>4122</v>
      </c>
      <c r="H187" s="1" t="s">
        <v>4123</v>
      </c>
      <c r="I187" s="1" t="s">
        <v>4124</v>
      </c>
      <c r="J187" s="1" t="s">
        <v>4125</v>
      </c>
      <c r="K187" s="1" t="s">
        <v>4126</v>
      </c>
      <c r="L187" s="1" t="s">
        <v>4127</v>
      </c>
      <c r="M187" s="1" t="s">
        <v>4128</v>
      </c>
      <c r="N187" s="1" t="s">
        <v>132</v>
      </c>
      <c r="O187" s="1" t="s">
        <v>4129</v>
      </c>
      <c r="P187" s="1" t="s">
        <v>4130</v>
      </c>
      <c r="Q187" s="1" t="s">
        <v>132</v>
      </c>
      <c r="R187" s="1" t="s">
        <v>4131</v>
      </c>
      <c r="S187" s="1" t="s">
        <v>4132</v>
      </c>
      <c r="T187" s="8" t="s">
        <v>4133</v>
      </c>
      <c r="U187" s="1" t="s">
        <v>4134</v>
      </c>
      <c r="V187" s="1" t="s">
        <v>4135</v>
      </c>
      <c r="W187" s="1" t="s">
        <v>4136</v>
      </c>
      <c r="X187" s="1" t="s">
        <v>4137</v>
      </c>
      <c r="Y187" s="1" t="s">
        <v>4138</v>
      </c>
      <c r="Z187" s="1" t="s">
        <v>4139</v>
      </c>
      <c r="AA187" s="1" t="s">
        <v>4140</v>
      </c>
      <c r="AB187" s="1" t="s">
        <v>4141</v>
      </c>
      <c r="AC187" s="1" t="s">
        <v>4142</v>
      </c>
      <c r="AD187" s="1" t="s">
        <v>4143</v>
      </c>
      <c r="AE187" s="1" t="s">
        <v>4144</v>
      </c>
      <c r="AF187" s="1" t="s">
        <v>4145</v>
      </c>
      <c r="AG187" s="1" t="s">
        <v>4146</v>
      </c>
      <c r="AH187" s="1" t="s">
        <v>4147</v>
      </c>
      <c r="AI187" s="1" t="s">
        <v>4148</v>
      </c>
      <c r="AJ187" s="1" t="s">
        <v>132</v>
      </c>
      <c r="AK187" s="1" t="s">
        <v>4149</v>
      </c>
      <c r="AL187" s="1" t="s">
        <v>4150</v>
      </c>
      <c r="AM187" s="1" t="s">
        <v>4151</v>
      </c>
      <c r="AN187" s="1" t="s">
        <v>4151</v>
      </c>
    </row>
    <row r="188" ht="15.75" customHeight="1">
      <c r="A188" s="1" t="s">
        <v>127</v>
      </c>
      <c r="B188" s="1" t="s">
        <v>4152</v>
      </c>
      <c r="C188" s="1" t="s">
        <v>4153</v>
      </c>
      <c r="D188" s="8" t="s">
        <v>4154</v>
      </c>
      <c r="E188" s="1" t="s">
        <v>4155</v>
      </c>
      <c r="F188" s="1" t="s">
        <v>132</v>
      </c>
      <c r="G188" s="1" t="s">
        <v>4156</v>
      </c>
      <c r="H188" s="1" t="s">
        <v>4157</v>
      </c>
      <c r="I188" s="1" t="s">
        <v>4158</v>
      </c>
      <c r="J188" s="1" t="s">
        <v>4159</v>
      </c>
      <c r="K188" s="1" t="s">
        <v>4160</v>
      </c>
      <c r="L188" s="1" t="s">
        <v>4161</v>
      </c>
      <c r="M188" s="1" t="s">
        <v>4162</v>
      </c>
      <c r="N188" s="1" t="s">
        <v>132</v>
      </c>
      <c r="O188" s="1" t="s">
        <v>4163</v>
      </c>
      <c r="P188" s="1" t="s">
        <v>4164</v>
      </c>
      <c r="Q188" s="1" t="s">
        <v>132</v>
      </c>
      <c r="R188" s="1" t="s">
        <v>4165</v>
      </c>
      <c r="S188" s="1" t="s">
        <v>4166</v>
      </c>
      <c r="T188" s="8" t="s">
        <v>4167</v>
      </c>
      <c r="U188" s="1" t="s">
        <v>4168</v>
      </c>
      <c r="V188" s="1" t="s">
        <v>4169</v>
      </c>
      <c r="W188" s="1" t="s">
        <v>4170</v>
      </c>
      <c r="X188" s="1" t="s">
        <v>4171</v>
      </c>
      <c r="Y188" s="1" t="s">
        <v>4172</v>
      </c>
      <c r="Z188" s="1" t="s">
        <v>4173</v>
      </c>
      <c r="AA188" s="1" t="s">
        <v>4174</v>
      </c>
      <c r="AB188" s="1" t="s">
        <v>4175</v>
      </c>
      <c r="AC188" s="1" t="s">
        <v>4176</v>
      </c>
      <c r="AD188" s="1" t="s">
        <v>4177</v>
      </c>
      <c r="AE188" s="1" t="s">
        <v>4178</v>
      </c>
      <c r="AF188" s="1" t="s">
        <v>4179</v>
      </c>
      <c r="AG188" s="1" t="s">
        <v>4180</v>
      </c>
      <c r="AH188" s="1" t="s">
        <v>4181</v>
      </c>
      <c r="AI188" s="1" t="s">
        <v>4182</v>
      </c>
      <c r="AJ188" s="1" t="s">
        <v>132</v>
      </c>
      <c r="AK188" s="1" t="s">
        <v>4183</v>
      </c>
      <c r="AL188" s="1" t="s">
        <v>4184</v>
      </c>
      <c r="AM188" s="1" t="s">
        <v>4185</v>
      </c>
      <c r="AN188" s="1" t="s">
        <v>4185</v>
      </c>
    </row>
    <row r="189" ht="15.75" customHeight="1">
      <c r="A189" s="1" t="s">
        <v>38</v>
      </c>
      <c r="B189" s="1" t="s">
        <v>4186</v>
      </c>
      <c r="C189" s="1" t="s">
        <v>4187</v>
      </c>
      <c r="D189" s="8" t="s">
        <v>4188</v>
      </c>
      <c r="E189" s="1" t="s">
        <v>4189</v>
      </c>
      <c r="F189" s="1" t="s">
        <v>4190</v>
      </c>
      <c r="G189" s="1" t="s">
        <v>132</v>
      </c>
      <c r="H189" s="1" t="s">
        <v>132</v>
      </c>
      <c r="I189" s="1" t="s">
        <v>4191</v>
      </c>
      <c r="J189" s="1" t="s">
        <v>132</v>
      </c>
      <c r="K189" s="1" t="s">
        <v>4192</v>
      </c>
      <c r="L189" s="1" t="s">
        <v>132</v>
      </c>
      <c r="M189" s="1" t="s">
        <v>4193</v>
      </c>
      <c r="N189" s="1" t="s">
        <v>4194</v>
      </c>
      <c r="O189" s="1" t="s">
        <v>132</v>
      </c>
      <c r="P189" s="1" t="s">
        <v>4195</v>
      </c>
      <c r="Q189" s="1" t="s">
        <v>132</v>
      </c>
      <c r="R189" s="1" t="s">
        <v>132</v>
      </c>
      <c r="S189" s="1" t="s">
        <v>4196</v>
      </c>
      <c r="T189" s="1" t="s">
        <v>132</v>
      </c>
      <c r="U189" s="1" t="s">
        <v>132</v>
      </c>
      <c r="V189" s="1" t="s">
        <v>132</v>
      </c>
      <c r="W189" s="1" t="s">
        <v>132</v>
      </c>
      <c r="X189" s="1" t="s">
        <v>4197</v>
      </c>
      <c r="Y189" s="1" t="s">
        <v>132</v>
      </c>
      <c r="Z189" s="1" t="s">
        <v>4198</v>
      </c>
      <c r="AA189" s="1" t="s">
        <v>132</v>
      </c>
      <c r="AB189" s="1" t="s">
        <v>132</v>
      </c>
      <c r="AC189" s="1" t="s">
        <v>4199</v>
      </c>
      <c r="AD189" s="1" t="s">
        <v>132</v>
      </c>
      <c r="AE189" s="1" t="s">
        <v>132</v>
      </c>
      <c r="AF189" s="1" t="s">
        <v>132</v>
      </c>
      <c r="AG189" s="1" t="s">
        <v>132</v>
      </c>
      <c r="AH189" s="1" t="s">
        <v>132</v>
      </c>
      <c r="AI189" s="1" t="s">
        <v>132</v>
      </c>
      <c r="AJ189" s="1" t="s">
        <v>132</v>
      </c>
      <c r="AK189" s="1" t="s">
        <v>132</v>
      </c>
      <c r="AL189" s="1" t="s">
        <v>132</v>
      </c>
      <c r="AM189" s="1" t="s">
        <v>132</v>
      </c>
      <c r="AN189" s="1" t="s">
        <v>132</v>
      </c>
    </row>
    <row r="190" ht="15.75" customHeight="1">
      <c r="A190" s="1" t="s">
        <v>38</v>
      </c>
      <c r="B190" s="1" t="s">
        <v>4200</v>
      </c>
      <c r="C190" s="1" t="s">
        <v>4201</v>
      </c>
      <c r="D190" s="1" t="s">
        <v>132</v>
      </c>
      <c r="E190" s="1" t="s">
        <v>132</v>
      </c>
      <c r="F190" s="1" t="s">
        <v>132</v>
      </c>
      <c r="G190" s="1" t="s">
        <v>132</v>
      </c>
      <c r="H190" s="1" t="s">
        <v>132</v>
      </c>
      <c r="I190" s="1" t="s">
        <v>4202</v>
      </c>
      <c r="J190" s="1" t="s">
        <v>132</v>
      </c>
      <c r="K190" s="1" t="s">
        <v>4203</v>
      </c>
      <c r="L190" s="1" t="s">
        <v>132</v>
      </c>
      <c r="M190" s="1" t="s">
        <v>4204</v>
      </c>
      <c r="N190" s="1" t="s">
        <v>132</v>
      </c>
      <c r="O190" s="1" t="s">
        <v>132</v>
      </c>
      <c r="P190" s="1" t="s">
        <v>4201</v>
      </c>
      <c r="Q190" s="1" t="s">
        <v>132</v>
      </c>
      <c r="R190" s="1" t="s">
        <v>132</v>
      </c>
      <c r="S190" s="1" t="s">
        <v>132</v>
      </c>
      <c r="T190" s="1" t="s">
        <v>132</v>
      </c>
      <c r="U190" s="1" t="s">
        <v>132</v>
      </c>
      <c r="V190" s="1" t="s">
        <v>132</v>
      </c>
      <c r="W190" s="1" t="s">
        <v>132</v>
      </c>
      <c r="X190" s="1" t="s">
        <v>132</v>
      </c>
      <c r="Y190" s="1" t="s">
        <v>132</v>
      </c>
      <c r="Z190" s="1" t="s">
        <v>132</v>
      </c>
      <c r="AA190" s="1" t="s">
        <v>132</v>
      </c>
      <c r="AB190" s="1" t="s">
        <v>132</v>
      </c>
      <c r="AC190" s="1" t="s">
        <v>4205</v>
      </c>
      <c r="AD190" s="1" t="s">
        <v>132</v>
      </c>
      <c r="AE190" s="1" t="s">
        <v>132</v>
      </c>
      <c r="AF190" s="1" t="s">
        <v>4206</v>
      </c>
      <c r="AG190" s="1" t="s">
        <v>132</v>
      </c>
      <c r="AH190" s="1" t="s">
        <v>132</v>
      </c>
      <c r="AI190" s="1" t="s">
        <v>132</v>
      </c>
      <c r="AJ190" s="1" t="s">
        <v>132</v>
      </c>
      <c r="AK190" s="1" t="s">
        <v>132</v>
      </c>
      <c r="AL190" s="1" t="s">
        <v>132</v>
      </c>
      <c r="AM190" s="1" t="s">
        <v>132</v>
      </c>
      <c r="AN190" s="1" t="s">
        <v>132</v>
      </c>
    </row>
    <row r="191" ht="15.75" customHeight="1">
      <c r="A191" s="1" t="s">
        <v>38</v>
      </c>
      <c r="B191" s="1" t="s">
        <v>4207</v>
      </c>
      <c r="C191" s="1" t="s">
        <v>4208</v>
      </c>
      <c r="D191" s="8" t="s">
        <v>4209</v>
      </c>
      <c r="E191" s="1" t="s">
        <v>4210</v>
      </c>
      <c r="F191" s="1" t="s">
        <v>4211</v>
      </c>
      <c r="G191" s="1" t="s">
        <v>132</v>
      </c>
      <c r="H191" s="1" t="s">
        <v>132</v>
      </c>
      <c r="I191" s="1" t="s">
        <v>4212</v>
      </c>
      <c r="J191" s="1" t="s">
        <v>132</v>
      </c>
      <c r="K191" s="1" t="s">
        <v>4213</v>
      </c>
      <c r="L191" s="1" t="s">
        <v>132</v>
      </c>
      <c r="M191" s="1" t="s">
        <v>4214</v>
      </c>
      <c r="N191" s="1" t="s">
        <v>4215</v>
      </c>
      <c r="O191" s="1" t="s">
        <v>132</v>
      </c>
      <c r="P191" s="1" t="s">
        <v>4216</v>
      </c>
      <c r="Q191" s="1" t="s">
        <v>4217</v>
      </c>
      <c r="R191" s="1" t="s">
        <v>132</v>
      </c>
      <c r="S191" s="1" t="s">
        <v>4218</v>
      </c>
      <c r="T191" s="1" t="s">
        <v>132</v>
      </c>
      <c r="U191" s="1" t="s">
        <v>4219</v>
      </c>
      <c r="V191" s="1" t="s">
        <v>4220</v>
      </c>
      <c r="W191" s="1" t="s">
        <v>132</v>
      </c>
      <c r="X191" s="1" t="s">
        <v>4221</v>
      </c>
      <c r="Y191" s="1" t="s">
        <v>132</v>
      </c>
      <c r="Z191" s="1" t="s">
        <v>4222</v>
      </c>
      <c r="AA191" s="1" t="s">
        <v>4223</v>
      </c>
      <c r="AB191" s="1" t="s">
        <v>132</v>
      </c>
      <c r="AC191" s="1" t="s">
        <v>4224</v>
      </c>
      <c r="AD191" s="1" t="s">
        <v>132</v>
      </c>
      <c r="AE191" s="1" t="s">
        <v>132</v>
      </c>
      <c r="AF191" s="1" t="s">
        <v>4225</v>
      </c>
      <c r="AG191" s="1" t="s">
        <v>4226</v>
      </c>
      <c r="AH191" s="1" t="s">
        <v>132</v>
      </c>
      <c r="AI191" s="1" t="s">
        <v>132</v>
      </c>
      <c r="AJ191" s="1" t="s">
        <v>4227</v>
      </c>
      <c r="AK191" s="1" t="s">
        <v>4228</v>
      </c>
      <c r="AL191" s="1" t="s">
        <v>132</v>
      </c>
      <c r="AM191" s="1" t="s">
        <v>4229</v>
      </c>
      <c r="AN191" s="1" t="s">
        <v>4229</v>
      </c>
    </row>
    <row r="192" ht="15.75" customHeight="1">
      <c r="A192" s="1" t="s">
        <v>38</v>
      </c>
      <c r="B192" s="1" t="s">
        <v>4230</v>
      </c>
      <c r="C192" s="1" t="s">
        <v>4231</v>
      </c>
      <c r="D192" s="8" t="s">
        <v>4232</v>
      </c>
      <c r="E192" s="1" t="s">
        <v>4233</v>
      </c>
      <c r="F192" s="1" t="s">
        <v>4234</v>
      </c>
      <c r="G192" s="1" t="s">
        <v>132</v>
      </c>
      <c r="H192" s="1" t="s">
        <v>132</v>
      </c>
      <c r="I192" s="1" t="s">
        <v>4235</v>
      </c>
      <c r="J192" s="1" t="s">
        <v>132</v>
      </c>
      <c r="K192" s="1" t="s">
        <v>4236</v>
      </c>
      <c r="L192" s="1" t="s">
        <v>132</v>
      </c>
      <c r="M192" s="1" t="s">
        <v>4237</v>
      </c>
      <c r="N192" s="1" t="s">
        <v>4238</v>
      </c>
      <c r="O192" s="1" t="s">
        <v>132</v>
      </c>
      <c r="P192" s="1" t="s">
        <v>4239</v>
      </c>
      <c r="Q192" s="1" t="s">
        <v>4240</v>
      </c>
      <c r="R192" s="1" t="s">
        <v>132</v>
      </c>
      <c r="S192" s="1" t="s">
        <v>4241</v>
      </c>
      <c r="T192" s="1" t="s">
        <v>132</v>
      </c>
      <c r="U192" s="1" t="s">
        <v>4242</v>
      </c>
      <c r="V192" s="1" t="s">
        <v>4243</v>
      </c>
      <c r="W192" s="1" t="s">
        <v>132</v>
      </c>
      <c r="X192" s="1" t="s">
        <v>4244</v>
      </c>
      <c r="Y192" s="1" t="s">
        <v>132</v>
      </c>
      <c r="Z192" s="1" t="s">
        <v>4245</v>
      </c>
      <c r="AA192" s="1" t="s">
        <v>4246</v>
      </c>
      <c r="AB192" s="1" t="s">
        <v>132</v>
      </c>
      <c r="AC192" s="1" t="s">
        <v>4247</v>
      </c>
      <c r="AD192" s="1" t="s">
        <v>4248</v>
      </c>
      <c r="AE192" s="1" t="s">
        <v>132</v>
      </c>
      <c r="AF192" s="1" t="s">
        <v>4249</v>
      </c>
      <c r="AG192" s="1" t="s">
        <v>4250</v>
      </c>
      <c r="AH192" s="1" t="s">
        <v>132</v>
      </c>
      <c r="AI192" s="1" t="s">
        <v>132</v>
      </c>
      <c r="AJ192" s="1" t="s">
        <v>4251</v>
      </c>
      <c r="AK192" s="1" t="s">
        <v>4252</v>
      </c>
      <c r="AL192" s="1" t="s">
        <v>132</v>
      </c>
      <c r="AM192" s="1" t="s">
        <v>4253</v>
      </c>
      <c r="AN192" s="1" t="s">
        <v>4253</v>
      </c>
    </row>
    <row r="193" ht="15.75" customHeight="1">
      <c r="A193" s="1" t="s">
        <v>38</v>
      </c>
      <c r="B193" s="1" t="s">
        <v>4254</v>
      </c>
      <c r="C193" s="1" t="s">
        <v>4255</v>
      </c>
      <c r="D193" s="1" t="s">
        <v>132</v>
      </c>
      <c r="E193" s="1" t="s">
        <v>4256</v>
      </c>
      <c r="F193" s="1" t="s">
        <v>132</v>
      </c>
      <c r="G193" s="1" t="s">
        <v>132</v>
      </c>
      <c r="H193" s="1" t="s">
        <v>132</v>
      </c>
      <c r="I193" s="1" t="s">
        <v>4257</v>
      </c>
      <c r="J193" s="1" t="s">
        <v>132</v>
      </c>
      <c r="K193" s="1" t="s">
        <v>4258</v>
      </c>
      <c r="L193" s="1" t="s">
        <v>132</v>
      </c>
      <c r="M193" s="1" t="s">
        <v>132</v>
      </c>
      <c r="N193" s="1" t="s">
        <v>4259</v>
      </c>
      <c r="O193" s="1" t="s">
        <v>132</v>
      </c>
      <c r="P193" s="1" t="s">
        <v>4260</v>
      </c>
      <c r="Q193" s="1" t="s">
        <v>132</v>
      </c>
      <c r="R193" s="1" t="s">
        <v>132</v>
      </c>
      <c r="S193" s="1" t="s">
        <v>4261</v>
      </c>
      <c r="T193" s="1" t="s">
        <v>132</v>
      </c>
      <c r="U193" s="1" t="s">
        <v>132</v>
      </c>
      <c r="V193" s="1" t="s">
        <v>132</v>
      </c>
      <c r="W193" s="1" t="s">
        <v>132</v>
      </c>
      <c r="X193" s="1" t="s">
        <v>4262</v>
      </c>
      <c r="Y193" s="1" t="s">
        <v>132</v>
      </c>
      <c r="Z193" s="1" t="s">
        <v>4263</v>
      </c>
      <c r="AA193" s="1" t="s">
        <v>132</v>
      </c>
      <c r="AB193" s="1" t="s">
        <v>132</v>
      </c>
      <c r="AC193" s="1" t="s">
        <v>132</v>
      </c>
      <c r="AD193" s="1" t="s">
        <v>132</v>
      </c>
      <c r="AE193" s="1" t="s">
        <v>132</v>
      </c>
      <c r="AF193" s="1" t="s">
        <v>132</v>
      </c>
      <c r="AG193" s="1" t="s">
        <v>132</v>
      </c>
      <c r="AH193" s="1" t="s">
        <v>132</v>
      </c>
      <c r="AI193" s="1" t="s">
        <v>132</v>
      </c>
      <c r="AJ193" s="1" t="s">
        <v>132</v>
      </c>
      <c r="AK193" s="1" t="s">
        <v>132</v>
      </c>
      <c r="AL193" s="1" t="s">
        <v>132</v>
      </c>
      <c r="AM193" s="1" t="s">
        <v>132</v>
      </c>
      <c r="AN193" s="1" t="s">
        <v>132</v>
      </c>
    </row>
    <row r="194" ht="15.75" customHeight="1">
      <c r="A194" s="1" t="s">
        <v>38</v>
      </c>
      <c r="B194" s="1" t="s">
        <v>4264</v>
      </c>
      <c r="C194" s="1" t="s">
        <v>4265</v>
      </c>
      <c r="D194" s="8" t="s">
        <v>4266</v>
      </c>
      <c r="E194" s="1" t="s">
        <v>4267</v>
      </c>
      <c r="F194" s="1" t="s">
        <v>4268</v>
      </c>
      <c r="G194" s="1" t="s">
        <v>132</v>
      </c>
      <c r="H194" s="1" t="s">
        <v>132</v>
      </c>
      <c r="I194" s="1" t="s">
        <v>4269</v>
      </c>
      <c r="J194" s="1" t="s">
        <v>132</v>
      </c>
      <c r="K194" s="1" t="s">
        <v>4270</v>
      </c>
      <c r="L194" s="1" t="s">
        <v>132</v>
      </c>
      <c r="M194" s="1" t="s">
        <v>4271</v>
      </c>
      <c r="N194" s="1" t="s">
        <v>4272</v>
      </c>
      <c r="O194" s="1" t="s">
        <v>132</v>
      </c>
      <c r="P194" s="1" t="s">
        <v>4273</v>
      </c>
      <c r="Q194" s="1" t="s">
        <v>4274</v>
      </c>
      <c r="R194" s="1" t="s">
        <v>132</v>
      </c>
      <c r="S194" s="1" t="s">
        <v>4275</v>
      </c>
      <c r="T194" s="1" t="s">
        <v>132</v>
      </c>
      <c r="U194" s="1" t="s">
        <v>4276</v>
      </c>
      <c r="V194" s="1" t="s">
        <v>4277</v>
      </c>
      <c r="W194" s="1" t="s">
        <v>132</v>
      </c>
      <c r="X194" s="1" t="s">
        <v>4278</v>
      </c>
      <c r="Y194" s="1" t="s">
        <v>132</v>
      </c>
      <c r="Z194" s="1" t="s">
        <v>4279</v>
      </c>
      <c r="AA194" s="1" t="s">
        <v>4280</v>
      </c>
      <c r="AB194" s="1" t="s">
        <v>132</v>
      </c>
      <c r="AC194" s="1" t="s">
        <v>4281</v>
      </c>
      <c r="AD194" s="1" t="s">
        <v>4282</v>
      </c>
      <c r="AE194" s="1" t="s">
        <v>132</v>
      </c>
      <c r="AF194" s="1" t="s">
        <v>4283</v>
      </c>
      <c r="AG194" s="1" t="s">
        <v>4284</v>
      </c>
      <c r="AH194" s="1" t="s">
        <v>132</v>
      </c>
      <c r="AI194" s="1" t="s">
        <v>132</v>
      </c>
      <c r="AJ194" s="1" t="s">
        <v>4285</v>
      </c>
      <c r="AK194" s="1" t="s">
        <v>4286</v>
      </c>
      <c r="AL194" s="1" t="s">
        <v>132</v>
      </c>
      <c r="AM194" s="1" t="s">
        <v>4287</v>
      </c>
      <c r="AN194" s="1" t="s">
        <v>4287</v>
      </c>
    </row>
    <row r="195" ht="15.75" customHeight="1">
      <c r="A195" s="1" t="s">
        <v>4051</v>
      </c>
      <c r="B195" s="1" t="s">
        <v>4288</v>
      </c>
      <c r="C195" s="1" t="s">
        <v>4289</v>
      </c>
      <c r="D195" s="8" t="s">
        <v>4290</v>
      </c>
      <c r="E195" s="1" t="s">
        <v>4291</v>
      </c>
      <c r="F195" s="1" t="s">
        <v>132</v>
      </c>
      <c r="G195" s="1" t="s">
        <v>4292</v>
      </c>
      <c r="H195" s="1" t="s">
        <v>4293</v>
      </c>
      <c r="I195" s="1" t="s">
        <v>132</v>
      </c>
      <c r="J195" s="1" t="s">
        <v>4294</v>
      </c>
      <c r="K195" s="1" t="s">
        <v>4295</v>
      </c>
      <c r="L195" s="1" t="s">
        <v>4296</v>
      </c>
      <c r="M195" s="1" t="s">
        <v>4297</v>
      </c>
      <c r="N195" s="1" t="s">
        <v>132</v>
      </c>
      <c r="O195" s="1" t="s">
        <v>4298</v>
      </c>
      <c r="P195" s="1" t="s">
        <v>4299</v>
      </c>
      <c r="Q195" s="1" t="s">
        <v>132</v>
      </c>
      <c r="R195" s="1" t="s">
        <v>4300</v>
      </c>
      <c r="S195" s="1" t="s">
        <v>4301</v>
      </c>
      <c r="T195" s="8" t="s">
        <v>4302</v>
      </c>
      <c r="U195" s="1" t="s">
        <v>4303</v>
      </c>
      <c r="V195" s="1" t="s">
        <v>4304</v>
      </c>
      <c r="W195" s="1" t="s">
        <v>4305</v>
      </c>
      <c r="X195" s="1" t="s">
        <v>4306</v>
      </c>
      <c r="Y195" s="1" t="s">
        <v>4307</v>
      </c>
      <c r="Z195" s="11" t="s">
        <v>4308</v>
      </c>
      <c r="AA195" s="1" t="s">
        <v>4309</v>
      </c>
      <c r="AB195" s="1" t="s">
        <v>4310</v>
      </c>
      <c r="AC195" s="1" t="s">
        <v>132</v>
      </c>
      <c r="AD195" s="1" t="s">
        <v>4311</v>
      </c>
      <c r="AE195" s="1" t="s">
        <v>4312</v>
      </c>
      <c r="AF195" s="1" t="s">
        <v>132</v>
      </c>
      <c r="AG195" s="1" t="s">
        <v>4313</v>
      </c>
      <c r="AH195" s="1" t="s">
        <v>4314</v>
      </c>
      <c r="AI195" s="1" t="s">
        <v>4315</v>
      </c>
      <c r="AJ195" s="1" t="s">
        <v>132</v>
      </c>
      <c r="AK195" s="1" t="s">
        <v>4316</v>
      </c>
      <c r="AL195" s="16" t="s">
        <v>4317</v>
      </c>
      <c r="AM195" s="1" t="s">
        <v>132</v>
      </c>
      <c r="AN195" s="1" t="s">
        <v>132</v>
      </c>
    </row>
    <row r="196" ht="15.75" customHeight="1">
      <c r="A196" s="1" t="s">
        <v>127</v>
      </c>
      <c r="B196" s="1" t="s">
        <v>4318</v>
      </c>
      <c r="C196" s="1" t="s">
        <v>4319</v>
      </c>
      <c r="D196" s="8" t="s">
        <v>4320</v>
      </c>
      <c r="E196" s="1" t="s">
        <v>4321</v>
      </c>
      <c r="F196" s="1" t="s">
        <v>132</v>
      </c>
      <c r="G196" s="1" t="s">
        <v>4322</v>
      </c>
      <c r="H196" s="1" t="s">
        <v>4323</v>
      </c>
      <c r="I196" s="1" t="s">
        <v>4324</v>
      </c>
      <c r="J196" s="1" t="s">
        <v>4325</v>
      </c>
      <c r="K196" s="1" t="s">
        <v>4326</v>
      </c>
      <c r="L196" s="1" t="s">
        <v>4327</v>
      </c>
      <c r="M196" s="1" t="s">
        <v>4319</v>
      </c>
      <c r="N196" s="1" t="s">
        <v>132</v>
      </c>
      <c r="O196" s="1" t="s">
        <v>4328</v>
      </c>
      <c r="P196" s="1" t="s">
        <v>4319</v>
      </c>
      <c r="Q196" s="1" t="s">
        <v>132</v>
      </c>
      <c r="R196" s="1" t="s">
        <v>4329</v>
      </c>
      <c r="S196" s="1" t="s">
        <v>4330</v>
      </c>
      <c r="T196" s="8" t="s">
        <v>4331</v>
      </c>
      <c r="U196" s="1" t="s">
        <v>4332</v>
      </c>
      <c r="V196" s="1" t="s">
        <v>4333</v>
      </c>
      <c r="W196" s="1" t="s">
        <v>4334</v>
      </c>
      <c r="X196" s="1" t="s">
        <v>4335</v>
      </c>
      <c r="Y196" s="1" t="s">
        <v>4336</v>
      </c>
      <c r="Z196" s="1" t="s">
        <v>4337</v>
      </c>
      <c r="AA196" s="1" t="s">
        <v>4338</v>
      </c>
      <c r="AB196" s="1" t="s">
        <v>4339</v>
      </c>
      <c r="AC196" s="1" t="s">
        <v>4340</v>
      </c>
      <c r="AD196" s="1" t="s">
        <v>4341</v>
      </c>
      <c r="AE196" s="1" t="s">
        <v>4342</v>
      </c>
      <c r="AF196" s="1" t="s">
        <v>4343</v>
      </c>
      <c r="AG196" s="1" t="s">
        <v>4344</v>
      </c>
      <c r="AH196" s="1" t="s">
        <v>4345</v>
      </c>
      <c r="AI196" s="1" t="s">
        <v>4346</v>
      </c>
      <c r="AJ196" s="1" t="s">
        <v>132</v>
      </c>
      <c r="AK196" s="1" t="s">
        <v>4347</v>
      </c>
      <c r="AL196" s="1" t="s">
        <v>4348</v>
      </c>
      <c r="AM196" s="1" t="s">
        <v>132</v>
      </c>
      <c r="AN196" s="1" t="s">
        <v>132</v>
      </c>
    </row>
    <row r="197" ht="15.75" customHeight="1">
      <c r="A197" s="1" t="s">
        <v>38</v>
      </c>
      <c r="B197" s="1" t="s">
        <v>4349</v>
      </c>
      <c r="C197" s="1" t="s">
        <v>4350</v>
      </c>
      <c r="D197" s="8" t="s">
        <v>4351</v>
      </c>
      <c r="E197" s="1" t="s">
        <v>4352</v>
      </c>
      <c r="F197" s="1" t="s">
        <v>4353</v>
      </c>
      <c r="G197" s="1" t="s">
        <v>132</v>
      </c>
      <c r="H197" s="1" t="s">
        <v>132</v>
      </c>
      <c r="I197" s="1" t="s">
        <v>4354</v>
      </c>
      <c r="J197" s="1" t="s">
        <v>132</v>
      </c>
      <c r="K197" s="1" t="s">
        <v>4355</v>
      </c>
      <c r="L197" s="1" t="s">
        <v>132</v>
      </c>
      <c r="M197" s="1" t="s">
        <v>4356</v>
      </c>
      <c r="N197" s="1" t="s">
        <v>4357</v>
      </c>
      <c r="O197" s="1" t="s">
        <v>132</v>
      </c>
      <c r="P197" s="1" t="s">
        <v>4358</v>
      </c>
      <c r="Q197" s="1" t="s">
        <v>4359</v>
      </c>
      <c r="R197" s="1" t="s">
        <v>132</v>
      </c>
      <c r="S197" s="1" t="s">
        <v>4360</v>
      </c>
      <c r="T197" s="1" t="s">
        <v>132</v>
      </c>
      <c r="U197" s="1" t="s">
        <v>4361</v>
      </c>
      <c r="V197" s="1" t="s">
        <v>4362</v>
      </c>
      <c r="W197" s="1" t="s">
        <v>132</v>
      </c>
      <c r="X197" s="1" t="s">
        <v>4363</v>
      </c>
      <c r="Y197" s="1" t="s">
        <v>132</v>
      </c>
      <c r="Z197" s="1" t="s">
        <v>4364</v>
      </c>
      <c r="AA197" s="1" t="s">
        <v>4365</v>
      </c>
      <c r="AB197" s="1" t="s">
        <v>132</v>
      </c>
      <c r="AC197" s="1" t="s">
        <v>4366</v>
      </c>
      <c r="AD197" s="1" t="s">
        <v>4367</v>
      </c>
      <c r="AE197" s="1" t="s">
        <v>132</v>
      </c>
      <c r="AF197" s="1" t="s">
        <v>4368</v>
      </c>
      <c r="AG197" s="1" t="s">
        <v>4369</v>
      </c>
      <c r="AH197" s="1" t="s">
        <v>132</v>
      </c>
      <c r="AI197" s="1" t="s">
        <v>132</v>
      </c>
      <c r="AJ197" s="1" t="s">
        <v>4370</v>
      </c>
      <c r="AK197" s="1" t="s">
        <v>4371</v>
      </c>
      <c r="AL197" s="1" t="s">
        <v>132</v>
      </c>
      <c r="AM197" s="1" t="s">
        <v>4372</v>
      </c>
      <c r="AN197" s="1" t="s">
        <v>4372</v>
      </c>
    </row>
    <row r="198" ht="15.75" customHeight="1">
      <c r="A198" s="1" t="s">
        <v>38</v>
      </c>
      <c r="B198" s="1" t="s">
        <v>4373</v>
      </c>
      <c r="C198" s="1" t="s">
        <v>4374</v>
      </c>
      <c r="D198" s="1" t="s">
        <v>132</v>
      </c>
      <c r="E198" s="1" t="s">
        <v>4375</v>
      </c>
      <c r="F198" s="1" t="s">
        <v>132</v>
      </c>
      <c r="G198" s="1" t="s">
        <v>132</v>
      </c>
      <c r="H198" s="1" t="s">
        <v>132</v>
      </c>
      <c r="I198" s="1" t="s">
        <v>4376</v>
      </c>
      <c r="J198" s="1" t="s">
        <v>132</v>
      </c>
      <c r="K198" s="1" t="s">
        <v>4377</v>
      </c>
      <c r="L198" s="1" t="s">
        <v>132</v>
      </c>
      <c r="M198" s="1" t="s">
        <v>4378</v>
      </c>
      <c r="N198" s="1" t="s">
        <v>4379</v>
      </c>
      <c r="O198" s="1" t="s">
        <v>132</v>
      </c>
      <c r="P198" s="1" t="s">
        <v>4380</v>
      </c>
      <c r="Q198" s="1" t="s">
        <v>132</v>
      </c>
      <c r="R198" s="1" t="s">
        <v>132</v>
      </c>
      <c r="S198" s="1" t="s">
        <v>4381</v>
      </c>
      <c r="T198" s="1" t="s">
        <v>132</v>
      </c>
      <c r="U198" s="1" t="s">
        <v>132</v>
      </c>
      <c r="V198" s="1" t="s">
        <v>132</v>
      </c>
      <c r="W198" s="1" t="s">
        <v>132</v>
      </c>
      <c r="X198" s="1" t="s">
        <v>4382</v>
      </c>
      <c r="Y198" s="1" t="s">
        <v>132</v>
      </c>
      <c r="Z198" s="1" t="s">
        <v>4383</v>
      </c>
      <c r="AA198" s="1" t="s">
        <v>132</v>
      </c>
      <c r="AB198" s="1" t="s">
        <v>132</v>
      </c>
      <c r="AC198" s="1" t="s">
        <v>132</v>
      </c>
      <c r="AD198" s="1" t="s">
        <v>132</v>
      </c>
      <c r="AE198" s="1" t="s">
        <v>132</v>
      </c>
      <c r="AF198" s="1" t="s">
        <v>132</v>
      </c>
      <c r="AG198" s="1" t="s">
        <v>132</v>
      </c>
      <c r="AH198" s="1" t="s">
        <v>132</v>
      </c>
      <c r="AI198" s="1" t="s">
        <v>132</v>
      </c>
      <c r="AJ198" s="1" t="s">
        <v>132</v>
      </c>
      <c r="AK198" s="1" t="s">
        <v>132</v>
      </c>
      <c r="AL198" s="1" t="s">
        <v>132</v>
      </c>
      <c r="AM198" s="1" t="s">
        <v>132</v>
      </c>
      <c r="AN198" s="1" t="s">
        <v>132</v>
      </c>
    </row>
    <row r="199" ht="15.75" customHeight="1">
      <c r="A199" s="1" t="s">
        <v>38</v>
      </c>
      <c r="B199" s="1" t="s">
        <v>4384</v>
      </c>
      <c r="C199" s="1" t="s">
        <v>4385</v>
      </c>
      <c r="D199" s="1" t="s">
        <v>132</v>
      </c>
      <c r="E199" s="1" t="s">
        <v>132</v>
      </c>
      <c r="F199" s="1" t="s">
        <v>132</v>
      </c>
      <c r="G199" s="1" t="s">
        <v>132</v>
      </c>
      <c r="H199" s="1" t="s">
        <v>132</v>
      </c>
      <c r="I199" s="1" t="s">
        <v>4386</v>
      </c>
      <c r="J199" s="1" t="s">
        <v>132</v>
      </c>
      <c r="K199" s="1" t="s">
        <v>4385</v>
      </c>
      <c r="L199" s="1" t="s">
        <v>132</v>
      </c>
      <c r="M199" s="1" t="s">
        <v>4387</v>
      </c>
      <c r="N199" s="1" t="s">
        <v>132</v>
      </c>
      <c r="O199" s="1" t="s">
        <v>132</v>
      </c>
      <c r="P199" s="1" t="s">
        <v>4385</v>
      </c>
      <c r="Q199" s="1" t="s">
        <v>132</v>
      </c>
      <c r="R199" s="1" t="s">
        <v>132</v>
      </c>
      <c r="S199" s="1" t="s">
        <v>132</v>
      </c>
      <c r="T199" s="1" t="s">
        <v>132</v>
      </c>
      <c r="U199" s="1" t="s">
        <v>132</v>
      </c>
      <c r="V199" s="1" t="s">
        <v>132</v>
      </c>
      <c r="W199" s="1" t="s">
        <v>132</v>
      </c>
      <c r="X199" s="1" t="s">
        <v>132</v>
      </c>
      <c r="Y199" s="1" t="s">
        <v>132</v>
      </c>
      <c r="Z199" s="1" t="s">
        <v>132</v>
      </c>
      <c r="AA199" s="1" t="s">
        <v>132</v>
      </c>
      <c r="AB199" s="1" t="s">
        <v>132</v>
      </c>
      <c r="AC199" s="1" t="s">
        <v>4388</v>
      </c>
      <c r="AD199" s="1" t="s">
        <v>132</v>
      </c>
      <c r="AE199" s="1" t="s">
        <v>132</v>
      </c>
      <c r="AF199" s="1" t="s">
        <v>4389</v>
      </c>
      <c r="AG199" s="1" t="s">
        <v>132</v>
      </c>
      <c r="AH199" s="1" t="s">
        <v>132</v>
      </c>
      <c r="AI199" s="1" t="s">
        <v>132</v>
      </c>
      <c r="AJ199" s="1" t="s">
        <v>132</v>
      </c>
      <c r="AK199" s="1" t="s">
        <v>132</v>
      </c>
      <c r="AL199" s="1" t="s">
        <v>132</v>
      </c>
      <c r="AM199" s="1" t="s">
        <v>132</v>
      </c>
      <c r="AN199" s="1" t="s">
        <v>132</v>
      </c>
    </row>
    <row r="200" ht="15.75" customHeight="1">
      <c r="A200" s="1" t="s">
        <v>127</v>
      </c>
      <c r="B200" s="1" t="s">
        <v>4390</v>
      </c>
      <c r="C200" s="1" t="s">
        <v>4391</v>
      </c>
      <c r="D200" s="8" t="s">
        <v>4392</v>
      </c>
      <c r="E200" s="1" t="s">
        <v>4393</v>
      </c>
      <c r="F200" s="1" t="s">
        <v>132</v>
      </c>
      <c r="G200" s="1" t="s">
        <v>4394</v>
      </c>
      <c r="H200" s="1" t="s">
        <v>4395</v>
      </c>
      <c r="I200" s="1" t="s">
        <v>4396</v>
      </c>
      <c r="J200" s="1" t="s">
        <v>4397</v>
      </c>
      <c r="K200" s="1" t="s">
        <v>4391</v>
      </c>
      <c r="L200" s="1" t="s">
        <v>4398</v>
      </c>
      <c r="M200" s="1" t="s">
        <v>4399</v>
      </c>
      <c r="N200" s="1" t="s">
        <v>132</v>
      </c>
      <c r="O200" s="1" t="s">
        <v>4400</v>
      </c>
      <c r="P200" s="1" t="s">
        <v>2397</v>
      </c>
      <c r="Q200" s="1" t="s">
        <v>132</v>
      </c>
      <c r="R200" s="1" t="s">
        <v>4401</v>
      </c>
      <c r="S200" s="1" t="s">
        <v>4402</v>
      </c>
      <c r="T200" s="8" t="s">
        <v>4403</v>
      </c>
      <c r="U200" s="1" t="s">
        <v>4404</v>
      </c>
      <c r="V200" s="1" t="s">
        <v>3020</v>
      </c>
      <c r="W200" s="1" t="s">
        <v>4401</v>
      </c>
      <c r="X200" s="1" t="s">
        <v>4405</v>
      </c>
      <c r="Y200" s="1" t="s">
        <v>4406</v>
      </c>
      <c r="Z200" s="1" t="s">
        <v>4407</v>
      </c>
      <c r="AA200" s="1" t="s">
        <v>4408</v>
      </c>
      <c r="AB200" s="1" t="s">
        <v>4409</v>
      </c>
      <c r="AC200" s="1" t="s">
        <v>4410</v>
      </c>
      <c r="AD200" s="1" t="s">
        <v>4411</v>
      </c>
      <c r="AE200" s="1" t="s">
        <v>4412</v>
      </c>
      <c r="AF200" s="1" t="s">
        <v>4413</v>
      </c>
      <c r="AG200" s="1" t="s">
        <v>4414</v>
      </c>
      <c r="AH200" s="1" t="s">
        <v>4415</v>
      </c>
      <c r="AI200" s="1" t="s">
        <v>4416</v>
      </c>
      <c r="AJ200" s="1" t="s">
        <v>132</v>
      </c>
      <c r="AK200" s="1" t="s">
        <v>3033</v>
      </c>
      <c r="AL200" s="1" t="s">
        <v>3034</v>
      </c>
      <c r="AM200" s="1" t="s">
        <v>132</v>
      </c>
      <c r="AN200" s="1" t="s">
        <v>132</v>
      </c>
    </row>
    <row r="201" ht="15.75" customHeight="1">
      <c r="A201" s="1" t="s">
        <v>127</v>
      </c>
      <c r="B201" s="1" t="s">
        <v>4417</v>
      </c>
      <c r="C201" s="1" t="s">
        <v>4418</v>
      </c>
      <c r="D201" s="8" t="s">
        <v>4419</v>
      </c>
      <c r="E201" s="1" t="s">
        <v>4420</v>
      </c>
      <c r="F201" s="1" t="s">
        <v>132</v>
      </c>
      <c r="G201" s="1" t="s">
        <v>4421</v>
      </c>
      <c r="H201" s="1" t="s">
        <v>4422</v>
      </c>
      <c r="I201" s="1" t="s">
        <v>4423</v>
      </c>
      <c r="J201" s="1" t="s">
        <v>4424</v>
      </c>
      <c r="K201" s="1" t="s">
        <v>4425</v>
      </c>
      <c r="L201" s="1" t="s">
        <v>4426</v>
      </c>
      <c r="M201" s="1" t="s">
        <v>4427</v>
      </c>
      <c r="N201" s="1" t="s">
        <v>132</v>
      </c>
      <c r="O201" s="1" t="s">
        <v>4428</v>
      </c>
      <c r="P201" s="1" t="s">
        <v>4429</v>
      </c>
      <c r="Q201" s="1" t="s">
        <v>132</v>
      </c>
      <c r="R201" s="1" t="s">
        <v>4430</v>
      </c>
      <c r="S201" s="1" t="s">
        <v>4431</v>
      </c>
      <c r="T201" s="8" t="s">
        <v>4432</v>
      </c>
      <c r="U201" s="1" t="s">
        <v>4433</v>
      </c>
      <c r="V201" s="1" t="s">
        <v>4434</v>
      </c>
      <c r="W201" s="1" t="s">
        <v>4430</v>
      </c>
      <c r="X201" s="1" t="s">
        <v>4435</v>
      </c>
      <c r="Y201" s="1" t="s">
        <v>4436</v>
      </c>
      <c r="Z201" s="1" t="s">
        <v>4437</v>
      </c>
      <c r="AA201" s="1" t="s">
        <v>4438</v>
      </c>
      <c r="AB201" s="1" t="s">
        <v>4439</v>
      </c>
      <c r="AC201" s="1" t="s">
        <v>4440</v>
      </c>
      <c r="AD201" s="1" t="s">
        <v>4421</v>
      </c>
      <c r="AE201" s="1" t="s">
        <v>4441</v>
      </c>
      <c r="AF201" s="1" t="s">
        <v>4442</v>
      </c>
      <c r="AG201" s="1" t="s">
        <v>4422</v>
      </c>
      <c r="AH201" s="1" t="s">
        <v>4443</v>
      </c>
      <c r="AI201" s="1" t="s">
        <v>4444</v>
      </c>
      <c r="AJ201" s="1" t="s">
        <v>132</v>
      </c>
      <c r="AK201" s="1" t="s">
        <v>4445</v>
      </c>
      <c r="AL201" s="1" t="s">
        <v>4446</v>
      </c>
      <c r="AM201" s="1" t="s">
        <v>4447</v>
      </c>
      <c r="AN201" s="1" t="s">
        <v>4447</v>
      </c>
    </row>
    <row r="202" ht="15.75" customHeight="1">
      <c r="A202" s="1" t="s">
        <v>38</v>
      </c>
      <c r="B202" s="1" t="s">
        <v>4448</v>
      </c>
      <c r="C202" s="1" t="s">
        <v>4449</v>
      </c>
      <c r="D202" s="8" t="s">
        <v>4450</v>
      </c>
      <c r="E202" s="1" t="s">
        <v>4451</v>
      </c>
      <c r="F202" s="1" t="s">
        <v>4452</v>
      </c>
      <c r="G202" s="1" t="s">
        <v>132</v>
      </c>
      <c r="H202" s="1" t="s">
        <v>132</v>
      </c>
      <c r="I202" s="1" t="s">
        <v>4453</v>
      </c>
      <c r="J202" s="1" t="s">
        <v>132</v>
      </c>
      <c r="K202" s="1" t="s">
        <v>4454</v>
      </c>
      <c r="L202" s="1" t="s">
        <v>132</v>
      </c>
      <c r="M202" s="1" t="s">
        <v>4455</v>
      </c>
      <c r="N202" s="1" t="s">
        <v>4456</v>
      </c>
      <c r="O202" s="1" t="s">
        <v>132</v>
      </c>
      <c r="P202" s="1" t="s">
        <v>4457</v>
      </c>
      <c r="Q202" s="1" t="s">
        <v>4458</v>
      </c>
      <c r="R202" s="1" t="s">
        <v>132</v>
      </c>
      <c r="S202" s="1" t="s">
        <v>4459</v>
      </c>
      <c r="T202" s="1" t="s">
        <v>132</v>
      </c>
      <c r="U202" s="1" t="s">
        <v>4460</v>
      </c>
      <c r="V202" s="1" t="s">
        <v>4461</v>
      </c>
      <c r="W202" s="1" t="s">
        <v>132</v>
      </c>
      <c r="X202" s="1" t="s">
        <v>4462</v>
      </c>
      <c r="Y202" s="1" t="s">
        <v>132</v>
      </c>
      <c r="Z202" s="1" t="s">
        <v>4463</v>
      </c>
      <c r="AA202" s="1" t="s">
        <v>4464</v>
      </c>
      <c r="AB202" s="1" t="s">
        <v>132</v>
      </c>
      <c r="AC202" s="1" t="s">
        <v>4451</v>
      </c>
      <c r="AD202" s="1" t="s">
        <v>4465</v>
      </c>
      <c r="AE202" s="1" t="s">
        <v>132</v>
      </c>
      <c r="AF202" s="1" t="s">
        <v>4466</v>
      </c>
      <c r="AG202" s="1" t="s">
        <v>4467</v>
      </c>
      <c r="AH202" s="1" t="s">
        <v>132</v>
      </c>
      <c r="AI202" s="1" t="s">
        <v>132</v>
      </c>
      <c r="AJ202" s="1" t="s">
        <v>4468</v>
      </c>
      <c r="AK202" s="1" t="s">
        <v>4469</v>
      </c>
      <c r="AL202" s="1" t="s">
        <v>132</v>
      </c>
      <c r="AM202" s="1" t="s">
        <v>4460</v>
      </c>
      <c r="AN202" s="1" t="s">
        <v>4460</v>
      </c>
    </row>
    <row r="203" ht="15.75" customHeight="1">
      <c r="A203" s="1" t="s">
        <v>127</v>
      </c>
      <c r="B203" s="1" t="s">
        <v>4470</v>
      </c>
      <c r="C203" s="1" t="s">
        <v>4471</v>
      </c>
      <c r="D203" s="8" t="s">
        <v>4472</v>
      </c>
      <c r="E203" s="1" t="s">
        <v>4473</v>
      </c>
      <c r="F203" s="1" t="s">
        <v>132</v>
      </c>
      <c r="G203" s="1" t="s">
        <v>4474</v>
      </c>
      <c r="H203" s="1" t="s">
        <v>4475</v>
      </c>
      <c r="I203" s="1" t="s">
        <v>4471</v>
      </c>
      <c r="J203" s="1" t="s">
        <v>4476</v>
      </c>
      <c r="K203" s="1" t="s">
        <v>4477</v>
      </c>
      <c r="L203" s="1" t="s">
        <v>4478</v>
      </c>
      <c r="M203" s="1" t="s">
        <v>4479</v>
      </c>
      <c r="N203" s="1" t="s">
        <v>132</v>
      </c>
      <c r="O203" s="1" t="s">
        <v>4480</v>
      </c>
      <c r="P203" s="1" t="s">
        <v>4481</v>
      </c>
      <c r="Q203" s="1" t="s">
        <v>132</v>
      </c>
      <c r="R203" s="1" t="s">
        <v>4482</v>
      </c>
      <c r="S203" s="1" t="s">
        <v>4477</v>
      </c>
      <c r="T203" s="8" t="s">
        <v>4483</v>
      </c>
      <c r="U203" s="1" t="s">
        <v>4484</v>
      </c>
      <c r="V203" s="1" t="s">
        <v>4485</v>
      </c>
      <c r="W203" s="1" t="s">
        <v>4482</v>
      </c>
      <c r="X203" s="1" t="s">
        <v>4486</v>
      </c>
      <c r="Y203" s="1" t="s">
        <v>4487</v>
      </c>
      <c r="Z203" s="1" t="s">
        <v>4488</v>
      </c>
      <c r="AA203" s="1" t="s">
        <v>4489</v>
      </c>
      <c r="AB203" s="1" t="s">
        <v>4490</v>
      </c>
      <c r="AC203" s="1" t="s">
        <v>4491</v>
      </c>
      <c r="AD203" s="1" t="s">
        <v>4474</v>
      </c>
      <c r="AE203" s="1" t="s">
        <v>4474</v>
      </c>
      <c r="AF203" s="1" t="s">
        <v>4474</v>
      </c>
      <c r="AG203" s="1" t="s">
        <v>4475</v>
      </c>
      <c r="AH203" s="1" t="s">
        <v>4492</v>
      </c>
      <c r="AI203" s="1" t="s">
        <v>4493</v>
      </c>
      <c r="AJ203" s="1" t="s">
        <v>132</v>
      </c>
      <c r="AK203" s="1" t="s">
        <v>4494</v>
      </c>
      <c r="AL203" s="1" t="s">
        <v>4495</v>
      </c>
      <c r="AM203" s="1" t="s">
        <v>4496</v>
      </c>
      <c r="AN203" s="1" t="s">
        <v>4496</v>
      </c>
    </row>
    <row r="204" ht="15.75" customHeight="1">
      <c r="A204" s="1" t="s">
        <v>38</v>
      </c>
      <c r="B204" s="1" t="s">
        <v>4497</v>
      </c>
      <c r="C204" s="1" t="s">
        <v>4498</v>
      </c>
      <c r="D204" s="8" t="s">
        <v>4499</v>
      </c>
      <c r="E204" s="1" t="s">
        <v>4500</v>
      </c>
      <c r="F204" s="1" t="s">
        <v>4501</v>
      </c>
      <c r="G204" s="1" t="s">
        <v>132</v>
      </c>
      <c r="H204" s="1" t="s">
        <v>132</v>
      </c>
      <c r="I204" s="1" t="s">
        <v>4502</v>
      </c>
      <c r="J204" s="1" t="s">
        <v>132</v>
      </c>
      <c r="K204" s="1" t="s">
        <v>4503</v>
      </c>
      <c r="L204" s="1" t="s">
        <v>132</v>
      </c>
      <c r="M204" s="1" t="s">
        <v>4504</v>
      </c>
      <c r="N204" s="1" t="s">
        <v>4505</v>
      </c>
      <c r="O204" s="1" t="s">
        <v>132</v>
      </c>
      <c r="P204" s="1" t="s">
        <v>4506</v>
      </c>
      <c r="Q204" s="1" t="s">
        <v>4507</v>
      </c>
      <c r="R204" s="1" t="s">
        <v>132</v>
      </c>
      <c r="S204" s="1" t="s">
        <v>4508</v>
      </c>
      <c r="T204" s="1" t="s">
        <v>132</v>
      </c>
      <c r="U204" s="1" t="s">
        <v>4509</v>
      </c>
      <c r="V204" s="1" t="s">
        <v>4510</v>
      </c>
      <c r="W204" s="1" t="s">
        <v>132</v>
      </c>
      <c r="X204" s="1" t="s">
        <v>4511</v>
      </c>
      <c r="Y204" s="1" t="s">
        <v>132</v>
      </c>
      <c r="Z204" s="1" t="s">
        <v>4512</v>
      </c>
      <c r="AA204" s="1" t="s">
        <v>4513</v>
      </c>
      <c r="AB204" s="1" t="s">
        <v>132</v>
      </c>
      <c r="AC204" s="1" t="s">
        <v>4514</v>
      </c>
      <c r="AD204" s="1" t="s">
        <v>4515</v>
      </c>
      <c r="AE204" s="1" t="s">
        <v>132</v>
      </c>
      <c r="AF204" s="1" t="s">
        <v>4516</v>
      </c>
      <c r="AG204" s="1" t="s">
        <v>4517</v>
      </c>
      <c r="AH204" s="1" t="s">
        <v>132</v>
      </c>
      <c r="AI204" s="1" t="s">
        <v>132</v>
      </c>
      <c r="AJ204" s="1" t="s">
        <v>4518</v>
      </c>
      <c r="AK204" s="1" t="s">
        <v>4519</v>
      </c>
      <c r="AL204" s="1" t="s">
        <v>132</v>
      </c>
      <c r="AM204" s="1" t="s">
        <v>4520</v>
      </c>
      <c r="AN204" s="1" t="s">
        <v>4520</v>
      </c>
    </row>
    <row r="205" ht="15.75" customHeight="1">
      <c r="A205" s="1" t="s">
        <v>127</v>
      </c>
      <c r="B205" s="1" t="s">
        <v>4521</v>
      </c>
      <c r="C205" s="1" t="s">
        <v>4522</v>
      </c>
      <c r="D205" s="8" t="s">
        <v>4523</v>
      </c>
      <c r="E205" s="1" t="s">
        <v>4524</v>
      </c>
      <c r="F205" s="1" t="s">
        <v>132</v>
      </c>
      <c r="G205" s="1" t="s">
        <v>4525</v>
      </c>
      <c r="H205" s="1" t="s">
        <v>4526</v>
      </c>
      <c r="I205" s="1" t="s">
        <v>4527</v>
      </c>
      <c r="J205" s="1" t="s">
        <v>4528</v>
      </c>
      <c r="K205" s="1" t="s">
        <v>4529</v>
      </c>
      <c r="L205" s="1" t="s">
        <v>4530</v>
      </c>
      <c r="M205" s="1" t="s">
        <v>4531</v>
      </c>
      <c r="N205" s="1" t="s">
        <v>132</v>
      </c>
      <c r="O205" s="1" t="s">
        <v>4532</v>
      </c>
      <c r="P205" s="1" t="s">
        <v>4533</v>
      </c>
      <c r="Q205" s="1" t="s">
        <v>132</v>
      </c>
      <c r="R205" s="1" t="s">
        <v>4534</v>
      </c>
      <c r="S205" s="1" t="s">
        <v>4535</v>
      </c>
      <c r="T205" s="8" t="s">
        <v>4536</v>
      </c>
      <c r="U205" s="1" t="s">
        <v>4537</v>
      </c>
      <c r="V205" s="1" t="s">
        <v>4538</v>
      </c>
      <c r="W205" s="1" t="s">
        <v>4534</v>
      </c>
      <c r="X205" s="1" t="s">
        <v>4539</v>
      </c>
      <c r="Y205" s="1" t="s">
        <v>4540</v>
      </c>
      <c r="Z205" s="1" t="s">
        <v>4541</v>
      </c>
      <c r="AA205" s="1" t="s">
        <v>4542</v>
      </c>
      <c r="AB205" s="1" t="s">
        <v>4543</v>
      </c>
      <c r="AC205" s="1" t="s">
        <v>4544</v>
      </c>
      <c r="AD205" s="1" t="s">
        <v>4545</v>
      </c>
      <c r="AE205" s="1" t="s">
        <v>4546</v>
      </c>
      <c r="AF205" s="1" t="s">
        <v>4547</v>
      </c>
      <c r="AG205" s="1" t="s">
        <v>4548</v>
      </c>
      <c r="AH205" s="1" t="s">
        <v>4549</v>
      </c>
      <c r="AI205" s="1" t="s">
        <v>4550</v>
      </c>
      <c r="AJ205" s="1" t="s">
        <v>132</v>
      </c>
      <c r="AK205" s="1" t="s">
        <v>4551</v>
      </c>
      <c r="AL205" s="1" t="s">
        <v>4552</v>
      </c>
      <c r="AM205" s="1" t="s">
        <v>132</v>
      </c>
      <c r="AN205" s="1" t="s">
        <v>132</v>
      </c>
    </row>
    <row r="206" ht="15.75" customHeight="1">
      <c r="A206" s="1" t="s">
        <v>127</v>
      </c>
      <c r="B206" s="1" t="s">
        <v>4553</v>
      </c>
      <c r="C206" s="1" t="s">
        <v>4554</v>
      </c>
      <c r="D206" s="8" t="s">
        <v>4555</v>
      </c>
      <c r="E206" s="1" t="s">
        <v>4556</v>
      </c>
      <c r="F206" s="1" t="s">
        <v>132</v>
      </c>
      <c r="G206" s="1" t="s">
        <v>4557</v>
      </c>
      <c r="H206" s="1" t="s">
        <v>4558</v>
      </c>
      <c r="I206" s="1" t="s">
        <v>4559</v>
      </c>
      <c r="J206" s="1" t="s">
        <v>4560</v>
      </c>
      <c r="K206" s="1" t="s">
        <v>4561</v>
      </c>
      <c r="L206" s="1" t="s">
        <v>4562</v>
      </c>
      <c r="M206" s="1" t="s">
        <v>4563</v>
      </c>
      <c r="N206" s="1" t="s">
        <v>132</v>
      </c>
      <c r="O206" s="1" t="s">
        <v>4564</v>
      </c>
      <c r="P206" s="1" t="s">
        <v>4565</v>
      </c>
      <c r="Q206" s="1" t="s">
        <v>132</v>
      </c>
      <c r="R206" s="1" t="s">
        <v>4566</v>
      </c>
      <c r="S206" s="1" t="s">
        <v>4567</v>
      </c>
      <c r="T206" s="8" t="s">
        <v>4568</v>
      </c>
      <c r="U206" s="1" t="s">
        <v>4569</v>
      </c>
      <c r="V206" s="1" t="s">
        <v>4570</v>
      </c>
      <c r="W206" s="1" t="s">
        <v>4566</v>
      </c>
      <c r="X206" s="1" t="s">
        <v>4571</v>
      </c>
      <c r="Y206" s="1" t="s">
        <v>4572</v>
      </c>
      <c r="Z206" s="1" t="s">
        <v>4573</v>
      </c>
      <c r="AA206" s="1" t="s">
        <v>4574</v>
      </c>
      <c r="AB206" s="1" t="s">
        <v>4575</v>
      </c>
      <c r="AC206" s="1" t="s">
        <v>4576</v>
      </c>
      <c r="AD206" s="1" t="s">
        <v>4577</v>
      </c>
      <c r="AE206" s="1" t="s">
        <v>4578</v>
      </c>
      <c r="AF206" s="1" t="s">
        <v>4579</v>
      </c>
      <c r="AG206" s="1" t="s">
        <v>4580</v>
      </c>
      <c r="AH206" s="1" t="s">
        <v>4581</v>
      </c>
      <c r="AI206" s="1" t="s">
        <v>4582</v>
      </c>
      <c r="AJ206" s="1" t="s">
        <v>132</v>
      </c>
      <c r="AK206" s="1" t="s">
        <v>4583</v>
      </c>
      <c r="AL206" s="1" t="s">
        <v>4584</v>
      </c>
      <c r="AM206" s="1" t="s">
        <v>4585</v>
      </c>
      <c r="AN206" s="1" t="s">
        <v>4585</v>
      </c>
    </row>
    <row r="207" ht="15.75" customHeight="1">
      <c r="A207" s="1" t="s">
        <v>127</v>
      </c>
      <c r="B207" s="1" t="s">
        <v>4586</v>
      </c>
      <c r="C207" s="1" t="s">
        <v>4587</v>
      </c>
      <c r="D207" s="8" t="s">
        <v>4588</v>
      </c>
      <c r="E207" s="1" t="s">
        <v>4589</v>
      </c>
      <c r="F207" s="1" t="s">
        <v>132</v>
      </c>
      <c r="G207" s="1" t="s">
        <v>4590</v>
      </c>
      <c r="H207" s="1" t="s">
        <v>4591</v>
      </c>
      <c r="I207" s="1" t="s">
        <v>4592</v>
      </c>
      <c r="J207" s="1" t="s">
        <v>4593</v>
      </c>
      <c r="K207" s="1" t="s">
        <v>4594</v>
      </c>
      <c r="L207" s="1" t="s">
        <v>4595</v>
      </c>
      <c r="M207" s="1" t="s">
        <v>4596</v>
      </c>
      <c r="N207" s="1" t="s">
        <v>132</v>
      </c>
      <c r="O207" s="1" t="s">
        <v>4597</v>
      </c>
      <c r="P207" s="1" t="s">
        <v>4598</v>
      </c>
      <c r="Q207" s="1" t="s">
        <v>132</v>
      </c>
      <c r="R207" s="1" t="s">
        <v>4599</v>
      </c>
      <c r="S207" s="1" t="s">
        <v>4600</v>
      </c>
      <c r="T207" s="8" t="s">
        <v>4601</v>
      </c>
      <c r="U207" s="1" t="s">
        <v>4602</v>
      </c>
      <c r="V207" s="1" t="s">
        <v>4603</v>
      </c>
      <c r="W207" s="1" t="s">
        <v>4604</v>
      </c>
      <c r="X207" s="1" t="s">
        <v>4605</v>
      </c>
      <c r="Y207" s="1" t="s">
        <v>4606</v>
      </c>
      <c r="Z207" s="1" t="s">
        <v>4607</v>
      </c>
      <c r="AA207" s="1" t="s">
        <v>4608</v>
      </c>
      <c r="AB207" s="1" t="s">
        <v>4609</v>
      </c>
      <c r="AC207" s="1" t="s">
        <v>4610</v>
      </c>
      <c r="AD207" s="1" t="s">
        <v>4611</v>
      </c>
      <c r="AE207" s="1" t="s">
        <v>4612</v>
      </c>
      <c r="AF207" s="1" t="s">
        <v>4612</v>
      </c>
      <c r="AG207" s="1" t="s">
        <v>4613</v>
      </c>
      <c r="AH207" s="1" t="s">
        <v>4614</v>
      </c>
      <c r="AI207" s="1" t="s">
        <v>4615</v>
      </c>
      <c r="AJ207" s="1" t="s">
        <v>132</v>
      </c>
      <c r="AK207" s="1" t="s">
        <v>4616</v>
      </c>
      <c r="AL207" s="1" t="s">
        <v>4617</v>
      </c>
      <c r="AM207" s="1" t="s">
        <v>132</v>
      </c>
      <c r="AN207" s="1" t="s">
        <v>132</v>
      </c>
    </row>
    <row r="208" ht="15.75" customHeight="1">
      <c r="A208" s="1" t="s">
        <v>127</v>
      </c>
      <c r="B208" s="1" t="s">
        <v>4618</v>
      </c>
      <c r="C208" s="1" t="s">
        <v>4619</v>
      </c>
      <c r="D208" s="8" t="s">
        <v>4620</v>
      </c>
      <c r="E208" s="1" t="s">
        <v>4621</v>
      </c>
      <c r="F208" s="1" t="s">
        <v>132</v>
      </c>
      <c r="G208" s="1" t="s">
        <v>4622</v>
      </c>
      <c r="H208" s="1" t="s">
        <v>4623</v>
      </c>
      <c r="I208" s="1" t="s">
        <v>4624</v>
      </c>
      <c r="J208" s="1" t="s">
        <v>4625</v>
      </c>
      <c r="K208" s="1" t="s">
        <v>4626</v>
      </c>
      <c r="L208" s="1" t="s">
        <v>4627</v>
      </c>
      <c r="M208" s="1" t="s">
        <v>4628</v>
      </c>
      <c r="N208" s="1" t="s">
        <v>132</v>
      </c>
      <c r="O208" s="1" t="s">
        <v>4629</v>
      </c>
      <c r="P208" s="1" t="s">
        <v>4630</v>
      </c>
      <c r="Q208" s="1" t="s">
        <v>132</v>
      </c>
      <c r="R208" s="1" t="s">
        <v>4631</v>
      </c>
      <c r="S208" s="1" t="s">
        <v>4632</v>
      </c>
      <c r="T208" s="8" t="s">
        <v>4633</v>
      </c>
      <c r="U208" s="1" t="s">
        <v>4634</v>
      </c>
      <c r="V208" s="1" t="s">
        <v>4635</v>
      </c>
      <c r="W208" s="1" t="s">
        <v>4636</v>
      </c>
      <c r="X208" s="1" t="s">
        <v>4637</v>
      </c>
      <c r="Y208" s="1" t="s">
        <v>4638</v>
      </c>
      <c r="Z208" s="1" t="s">
        <v>4639</v>
      </c>
      <c r="AA208" s="1" t="s">
        <v>4626</v>
      </c>
      <c r="AB208" s="1" t="s">
        <v>4640</v>
      </c>
      <c r="AC208" s="1" t="s">
        <v>4641</v>
      </c>
      <c r="AD208" s="1" t="s">
        <v>4642</v>
      </c>
      <c r="AE208" s="1" t="s">
        <v>4643</v>
      </c>
      <c r="AF208" s="1" t="s">
        <v>4644</v>
      </c>
      <c r="AG208" s="1" t="s">
        <v>4619</v>
      </c>
      <c r="AH208" s="1" t="s">
        <v>4645</v>
      </c>
      <c r="AI208" s="1" t="s">
        <v>4646</v>
      </c>
      <c r="AJ208" s="1" t="s">
        <v>132</v>
      </c>
      <c r="AK208" s="1" t="s">
        <v>4647</v>
      </c>
      <c r="AL208" s="1" t="s">
        <v>4648</v>
      </c>
      <c r="AM208" s="1" t="s">
        <v>132</v>
      </c>
      <c r="AN208" s="1" t="s">
        <v>132</v>
      </c>
    </row>
    <row r="209" ht="15.75" customHeight="1">
      <c r="A209" s="1" t="s">
        <v>127</v>
      </c>
      <c r="B209" s="1" t="s">
        <v>4649</v>
      </c>
      <c r="C209" s="1" t="s">
        <v>4650</v>
      </c>
      <c r="D209" s="8" t="s">
        <v>4651</v>
      </c>
      <c r="E209" s="1" t="s">
        <v>4652</v>
      </c>
      <c r="F209" s="1" t="s">
        <v>132</v>
      </c>
      <c r="G209" s="1" t="s">
        <v>4653</v>
      </c>
      <c r="H209" s="1" t="s">
        <v>4654</v>
      </c>
      <c r="I209" s="1" t="s">
        <v>4655</v>
      </c>
      <c r="J209" s="1" t="s">
        <v>4656</v>
      </c>
      <c r="K209" s="1" t="s">
        <v>4657</v>
      </c>
      <c r="L209" s="1" t="s">
        <v>4658</v>
      </c>
      <c r="M209" s="1" t="s">
        <v>4659</v>
      </c>
      <c r="N209" s="1" t="s">
        <v>132</v>
      </c>
      <c r="O209" s="1" t="s">
        <v>4660</v>
      </c>
      <c r="P209" s="1" t="s">
        <v>4661</v>
      </c>
      <c r="Q209" s="1" t="s">
        <v>132</v>
      </c>
      <c r="R209" s="1" t="s">
        <v>4662</v>
      </c>
      <c r="S209" s="1" t="s">
        <v>4663</v>
      </c>
      <c r="T209" s="8" t="s">
        <v>4664</v>
      </c>
      <c r="U209" s="1" t="s">
        <v>4665</v>
      </c>
      <c r="V209" s="1" t="s">
        <v>4666</v>
      </c>
      <c r="W209" s="1" t="s">
        <v>4667</v>
      </c>
      <c r="X209" s="1" t="s">
        <v>4668</v>
      </c>
      <c r="Y209" s="1" t="s">
        <v>4669</v>
      </c>
      <c r="Z209" s="1" t="s">
        <v>4670</v>
      </c>
      <c r="AA209" s="1" t="s">
        <v>4671</v>
      </c>
      <c r="AB209" s="1" t="s">
        <v>4672</v>
      </c>
      <c r="AC209" s="1" t="s">
        <v>4673</v>
      </c>
      <c r="AD209" s="1" t="s">
        <v>4674</v>
      </c>
      <c r="AE209" s="1" t="s">
        <v>4675</v>
      </c>
      <c r="AF209" s="1" t="s">
        <v>4676</v>
      </c>
      <c r="AG209" s="1" t="s">
        <v>4677</v>
      </c>
      <c r="AH209" s="1" t="s">
        <v>4678</v>
      </c>
      <c r="AI209" s="1" t="s">
        <v>4679</v>
      </c>
      <c r="AJ209" s="1" t="s">
        <v>132</v>
      </c>
      <c r="AK209" s="1" t="s">
        <v>4680</v>
      </c>
      <c r="AL209" s="1" t="s">
        <v>4681</v>
      </c>
      <c r="AM209" s="1" t="s">
        <v>4682</v>
      </c>
      <c r="AN209" s="1" t="s">
        <v>4682</v>
      </c>
    </row>
    <row r="210" ht="15.75" customHeight="1">
      <c r="A210" s="1" t="s">
        <v>127</v>
      </c>
      <c r="B210" s="1" t="s">
        <v>4683</v>
      </c>
      <c r="C210" s="1" t="s">
        <v>4684</v>
      </c>
      <c r="D210" s="8" t="s">
        <v>4685</v>
      </c>
      <c r="E210" s="1" t="s">
        <v>4686</v>
      </c>
      <c r="F210" s="1" t="s">
        <v>132</v>
      </c>
      <c r="G210" s="1" t="s">
        <v>4687</v>
      </c>
      <c r="H210" s="1" t="s">
        <v>4688</v>
      </c>
      <c r="I210" s="1" t="s">
        <v>4689</v>
      </c>
      <c r="J210" s="1" t="s">
        <v>4690</v>
      </c>
      <c r="K210" s="1" t="s">
        <v>4691</v>
      </c>
      <c r="L210" s="1" t="s">
        <v>4692</v>
      </c>
      <c r="M210" s="1" t="s">
        <v>4693</v>
      </c>
      <c r="N210" s="1" t="s">
        <v>132</v>
      </c>
      <c r="O210" s="1" t="s">
        <v>4694</v>
      </c>
      <c r="P210" s="1" t="s">
        <v>4695</v>
      </c>
      <c r="Q210" s="1" t="s">
        <v>132</v>
      </c>
      <c r="R210" s="1" t="s">
        <v>4696</v>
      </c>
      <c r="S210" s="1" t="s">
        <v>4697</v>
      </c>
      <c r="T210" s="8" t="s">
        <v>4698</v>
      </c>
      <c r="U210" s="1" t="s">
        <v>640</v>
      </c>
      <c r="V210" s="1" t="s">
        <v>4699</v>
      </c>
      <c r="W210" s="1" t="s">
        <v>4700</v>
      </c>
      <c r="X210" s="1" t="s">
        <v>4701</v>
      </c>
      <c r="Y210" s="1" t="s">
        <v>4702</v>
      </c>
      <c r="Z210" s="1" t="s">
        <v>4703</v>
      </c>
      <c r="AA210" s="1" t="s">
        <v>4704</v>
      </c>
      <c r="AB210" s="1" t="s">
        <v>4705</v>
      </c>
      <c r="AC210" s="1" t="s">
        <v>4706</v>
      </c>
      <c r="AD210" s="1" t="s">
        <v>4707</v>
      </c>
      <c r="AE210" s="1" t="s">
        <v>4708</v>
      </c>
      <c r="AF210" s="1" t="s">
        <v>4684</v>
      </c>
      <c r="AG210" s="1" t="s">
        <v>4709</v>
      </c>
      <c r="AH210" s="1" t="s">
        <v>4710</v>
      </c>
      <c r="AI210" s="1" t="s">
        <v>4711</v>
      </c>
      <c r="AJ210" s="1" t="s">
        <v>132</v>
      </c>
      <c r="AK210" s="1" t="s">
        <v>4712</v>
      </c>
      <c r="AL210" s="1" t="s">
        <v>4713</v>
      </c>
      <c r="AM210" s="1" t="s">
        <v>4714</v>
      </c>
      <c r="AN210" s="1" t="s">
        <v>4714</v>
      </c>
    </row>
    <row r="211" ht="15.75" customHeight="1">
      <c r="A211" s="1" t="s">
        <v>127</v>
      </c>
      <c r="B211" s="1" t="s">
        <v>4715</v>
      </c>
      <c r="C211" s="1" t="s">
        <v>4716</v>
      </c>
      <c r="D211" s="8" t="s">
        <v>4717</v>
      </c>
      <c r="E211" s="1" t="s">
        <v>4718</v>
      </c>
      <c r="F211" s="1" t="s">
        <v>132</v>
      </c>
      <c r="G211" s="1" t="s">
        <v>4719</v>
      </c>
      <c r="H211" s="1" t="s">
        <v>4720</v>
      </c>
      <c r="I211" s="1" t="s">
        <v>4721</v>
      </c>
      <c r="J211" s="1" t="s">
        <v>4722</v>
      </c>
      <c r="K211" s="1" t="s">
        <v>4723</v>
      </c>
      <c r="L211" s="1" t="s">
        <v>4724</v>
      </c>
      <c r="M211" s="1" t="s">
        <v>4725</v>
      </c>
      <c r="N211" s="1" t="s">
        <v>132</v>
      </c>
      <c r="O211" s="1" t="s">
        <v>4726</v>
      </c>
      <c r="P211" s="1" t="s">
        <v>4727</v>
      </c>
      <c r="Q211" s="1" t="s">
        <v>132</v>
      </c>
      <c r="R211" s="1" t="s">
        <v>4728</v>
      </c>
      <c r="S211" s="1" t="s">
        <v>4729</v>
      </c>
      <c r="T211" s="8" t="s">
        <v>4730</v>
      </c>
      <c r="U211" s="1" t="s">
        <v>4731</v>
      </c>
      <c r="V211" s="1" t="s">
        <v>4732</v>
      </c>
      <c r="W211" s="1" t="s">
        <v>4728</v>
      </c>
      <c r="X211" s="1" t="s">
        <v>4733</v>
      </c>
      <c r="Y211" s="1" t="s">
        <v>4734</v>
      </c>
      <c r="Z211" s="1" t="s">
        <v>4735</v>
      </c>
      <c r="AA211" s="1" t="s">
        <v>4723</v>
      </c>
      <c r="AB211" s="1" t="s">
        <v>4736</v>
      </c>
      <c r="AC211" s="1" t="s">
        <v>4737</v>
      </c>
      <c r="AD211" s="1" t="s">
        <v>4738</v>
      </c>
      <c r="AE211" s="1" t="s">
        <v>4739</v>
      </c>
      <c r="AF211" s="1" t="s">
        <v>4740</v>
      </c>
      <c r="AG211" s="1" t="s">
        <v>4741</v>
      </c>
      <c r="AH211" s="1" t="s">
        <v>4742</v>
      </c>
      <c r="AI211" s="1" t="s">
        <v>4743</v>
      </c>
      <c r="AJ211" s="1" t="s">
        <v>132</v>
      </c>
      <c r="AK211" s="1" t="s">
        <v>4744</v>
      </c>
      <c r="AL211" s="1" t="s">
        <v>4745</v>
      </c>
      <c r="AM211" s="1" t="s">
        <v>4746</v>
      </c>
      <c r="AN211" s="1" t="s">
        <v>4746</v>
      </c>
    </row>
    <row r="212" ht="15.75" customHeight="1">
      <c r="A212" s="1" t="s">
        <v>127</v>
      </c>
      <c r="B212" s="1" t="s">
        <v>4747</v>
      </c>
      <c r="C212" s="1" t="s">
        <v>4748</v>
      </c>
      <c r="D212" s="8" t="s">
        <v>4749</v>
      </c>
      <c r="E212" s="1" t="s">
        <v>4750</v>
      </c>
      <c r="F212" s="1" t="s">
        <v>132</v>
      </c>
      <c r="G212" s="1" t="s">
        <v>4751</v>
      </c>
      <c r="H212" s="1" t="s">
        <v>4752</v>
      </c>
      <c r="I212" s="1" t="s">
        <v>4753</v>
      </c>
      <c r="J212" s="1" t="s">
        <v>4754</v>
      </c>
      <c r="K212" s="1" t="s">
        <v>4755</v>
      </c>
      <c r="L212" s="1" t="s">
        <v>4756</v>
      </c>
      <c r="M212" s="1" t="s">
        <v>4757</v>
      </c>
      <c r="N212" s="1" t="s">
        <v>132</v>
      </c>
      <c r="O212" s="1" t="s">
        <v>4758</v>
      </c>
      <c r="P212" s="1" t="s">
        <v>4759</v>
      </c>
      <c r="Q212" s="1" t="s">
        <v>132</v>
      </c>
      <c r="R212" s="1" t="s">
        <v>4760</v>
      </c>
      <c r="S212" s="1" t="s">
        <v>4761</v>
      </c>
      <c r="T212" s="8" t="s">
        <v>4762</v>
      </c>
      <c r="U212" s="1" t="s">
        <v>4763</v>
      </c>
      <c r="V212" s="1" t="s">
        <v>4764</v>
      </c>
      <c r="W212" s="1" t="s">
        <v>4765</v>
      </c>
      <c r="X212" s="1" t="s">
        <v>4766</v>
      </c>
      <c r="Y212" s="1" t="s">
        <v>4767</v>
      </c>
      <c r="Z212" s="1" t="s">
        <v>4768</v>
      </c>
      <c r="AA212" s="1" t="s">
        <v>4769</v>
      </c>
      <c r="AB212" s="1" t="s">
        <v>4770</v>
      </c>
      <c r="AC212" s="1" t="s">
        <v>4771</v>
      </c>
      <c r="AD212" s="1" t="s">
        <v>4772</v>
      </c>
      <c r="AE212" s="1" t="s">
        <v>4773</v>
      </c>
      <c r="AF212" s="1" t="s">
        <v>4774</v>
      </c>
      <c r="AG212" s="1" t="s">
        <v>4775</v>
      </c>
      <c r="AH212" s="1" t="s">
        <v>4776</v>
      </c>
      <c r="AI212" s="1" t="s">
        <v>4777</v>
      </c>
      <c r="AJ212" s="1" t="s">
        <v>132</v>
      </c>
      <c r="AK212" s="1" t="s">
        <v>1531</v>
      </c>
      <c r="AL212" s="1" t="s">
        <v>4778</v>
      </c>
      <c r="AM212" s="1" t="s">
        <v>4779</v>
      </c>
      <c r="AN212" s="1" t="s">
        <v>4779</v>
      </c>
    </row>
    <row r="213" ht="15.75" customHeight="1">
      <c r="A213" s="1" t="s">
        <v>38</v>
      </c>
      <c r="B213" s="1" t="s">
        <v>4780</v>
      </c>
      <c r="C213" s="1" t="s">
        <v>4781</v>
      </c>
      <c r="D213" s="1" t="s">
        <v>132</v>
      </c>
      <c r="E213" s="1" t="s">
        <v>132</v>
      </c>
      <c r="F213" s="1" t="s">
        <v>132</v>
      </c>
      <c r="G213" s="1" t="s">
        <v>132</v>
      </c>
      <c r="H213" s="1" t="s">
        <v>132</v>
      </c>
      <c r="I213" s="1" t="s">
        <v>4782</v>
      </c>
      <c r="J213" s="1" t="s">
        <v>132</v>
      </c>
      <c r="K213" s="1" t="s">
        <v>4783</v>
      </c>
      <c r="L213" s="1" t="s">
        <v>132</v>
      </c>
      <c r="M213" s="1" t="s">
        <v>4784</v>
      </c>
      <c r="N213" s="1" t="s">
        <v>132</v>
      </c>
      <c r="O213" s="1" t="s">
        <v>132</v>
      </c>
      <c r="P213" s="1" t="s">
        <v>4785</v>
      </c>
      <c r="Q213" s="1" t="s">
        <v>132</v>
      </c>
      <c r="R213" s="1" t="s">
        <v>132</v>
      </c>
      <c r="S213" s="1" t="s">
        <v>132</v>
      </c>
      <c r="T213" s="1" t="s">
        <v>132</v>
      </c>
      <c r="U213" s="1" t="s">
        <v>132</v>
      </c>
      <c r="V213" s="1" t="s">
        <v>132</v>
      </c>
      <c r="W213" s="1" t="s">
        <v>132</v>
      </c>
      <c r="X213" s="1" t="s">
        <v>132</v>
      </c>
      <c r="Y213" s="1" t="s">
        <v>132</v>
      </c>
      <c r="Z213" s="1" t="s">
        <v>132</v>
      </c>
      <c r="AA213" s="1" t="s">
        <v>132</v>
      </c>
      <c r="AB213" s="1" t="s">
        <v>132</v>
      </c>
      <c r="AC213" s="1" t="s">
        <v>4786</v>
      </c>
      <c r="AD213" s="1" t="s">
        <v>132</v>
      </c>
      <c r="AE213" s="1" t="s">
        <v>132</v>
      </c>
      <c r="AF213" s="1" t="s">
        <v>4787</v>
      </c>
      <c r="AG213" s="1" t="s">
        <v>132</v>
      </c>
      <c r="AH213" s="1" t="s">
        <v>132</v>
      </c>
      <c r="AI213" s="1" t="s">
        <v>132</v>
      </c>
      <c r="AJ213" s="1" t="s">
        <v>132</v>
      </c>
      <c r="AK213" s="1" t="s">
        <v>132</v>
      </c>
      <c r="AL213" s="1" t="s">
        <v>132</v>
      </c>
      <c r="AM213" s="1" t="s">
        <v>132</v>
      </c>
      <c r="AN213" s="1" t="s">
        <v>132</v>
      </c>
    </row>
    <row r="214" ht="15.75" customHeight="1">
      <c r="A214" s="1" t="s">
        <v>127</v>
      </c>
      <c r="B214" s="1" t="s">
        <v>4788</v>
      </c>
      <c r="C214" s="1" t="s">
        <v>4789</v>
      </c>
      <c r="D214" s="8" t="s">
        <v>4790</v>
      </c>
      <c r="E214" s="1" t="s">
        <v>4791</v>
      </c>
      <c r="F214" s="1" t="s">
        <v>132</v>
      </c>
      <c r="G214" s="1" t="s">
        <v>4792</v>
      </c>
      <c r="H214" s="1" t="s">
        <v>4793</v>
      </c>
      <c r="I214" s="1" t="s">
        <v>4794</v>
      </c>
      <c r="J214" s="1" t="s">
        <v>4795</v>
      </c>
      <c r="K214" s="1" t="s">
        <v>4796</v>
      </c>
      <c r="L214" s="1" t="s">
        <v>4797</v>
      </c>
      <c r="M214" s="1" t="s">
        <v>4798</v>
      </c>
      <c r="N214" s="1" t="s">
        <v>132</v>
      </c>
      <c r="O214" s="1" t="s">
        <v>4799</v>
      </c>
      <c r="P214" s="1" t="s">
        <v>4800</v>
      </c>
      <c r="Q214" s="1" t="s">
        <v>132</v>
      </c>
      <c r="R214" s="1" t="s">
        <v>4801</v>
      </c>
      <c r="S214" s="1" t="s">
        <v>4802</v>
      </c>
      <c r="T214" s="8" t="s">
        <v>4803</v>
      </c>
      <c r="U214" s="1" t="s">
        <v>4804</v>
      </c>
      <c r="V214" s="1" t="s">
        <v>4805</v>
      </c>
      <c r="W214" s="1" t="s">
        <v>4806</v>
      </c>
      <c r="X214" s="1" t="s">
        <v>4807</v>
      </c>
      <c r="Y214" s="1" t="s">
        <v>4793</v>
      </c>
      <c r="Z214" s="1" t="s">
        <v>4808</v>
      </c>
      <c r="AA214" s="1" t="s">
        <v>4809</v>
      </c>
      <c r="AB214" s="1" t="s">
        <v>4810</v>
      </c>
      <c r="AC214" s="1" t="s">
        <v>4811</v>
      </c>
      <c r="AD214" s="1" t="s">
        <v>4812</v>
      </c>
      <c r="AE214" s="1" t="s">
        <v>4813</v>
      </c>
      <c r="AF214" s="1" t="s">
        <v>4814</v>
      </c>
      <c r="AG214" s="1" t="s">
        <v>4815</v>
      </c>
      <c r="AH214" s="1" t="s">
        <v>4816</v>
      </c>
      <c r="AI214" s="1" t="s">
        <v>4817</v>
      </c>
      <c r="AJ214" s="1" t="s">
        <v>132</v>
      </c>
      <c r="AK214" s="1" t="s">
        <v>4818</v>
      </c>
      <c r="AL214" s="1" t="s">
        <v>4819</v>
      </c>
      <c r="AM214" s="1" t="s">
        <v>132</v>
      </c>
      <c r="AN214" s="1" t="s">
        <v>132</v>
      </c>
    </row>
    <row r="215" ht="15.75" customHeight="1">
      <c r="A215" s="1" t="s">
        <v>127</v>
      </c>
      <c r="B215" s="1" t="s">
        <v>4820</v>
      </c>
      <c r="C215" s="11" t="s">
        <v>4821</v>
      </c>
      <c r="D215" s="1" t="s">
        <v>132</v>
      </c>
      <c r="E215" s="1" t="s">
        <v>132</v>
      </c>
      <c r="F215" s="1" t="s">
        <v>132</v>
      </c>
      <c r="G215" s="1" t="s">
        <v>132</v>
      </c>
      <c r="H215" s="1" t="s">
        <v>132</v>
      </c>
      <c r="I215" s="1" t="s">
        <v>4822</v>
      </c>
      <c r="J215" s="1" t="s">
        <v>132</v>
      </c>
      <c r="K215" s="1" t="s">
        <v>132</v>
      </c>
      <c r="L215" s="1" t="s">
        <v>132</v>
      </c>
      <c r="M215" s="1" t="s">
        <v>4823</v>
      </c>
      <c r="N215" s="1" t="s">
        <v>132</v>
      </c>
      <c r="O215" s="1" t="s">
        <v>132</v>
      </c>
      <c r="P215" s="1" t="s">
        <v>4824</v>
      </c>
      <c r="Q215" s="1" t="s">
        <v>132</v>
      </c>
      <c r="R215" s="1" t="s">
        <v>4825</v>
      </c>
      <c r="S215" s="1" t="s">
        <v>4826</v>
      </c>
      <c r="T215" s="1" t="s">
        <v>132</v>
      </c>
      <c r="U215" s="1" t="s">
        <v>4827</v>
      </c>
      <c r="V215" s="1" t="s">
        <v>132</v>
      </c>
      <c r="W215" s="1" t="s">
        <v>4828</v>
      </c>
      <c r="X215" s="1" t="s">
        <v>4829</v>
      </c>
      <c r="Y215" s="1" t="s">
        <v>132</v>
      </c>
      <c r="Z215" s="11" t="s">
        <v>4830</v>
      </c>
      <c r="AA215" s="1" t="s">
        <v>4831</v>
      </c>
      <c r="AB215" s="1" t="s">
        <v>132</v>
      </c>
      <c r="AC215" s="1" t="s">
        <v>132</v>
      </c>
      <c r="AD215" s="1" t="s">
        <v>132</v>
      </c>
      <c r="AE215" s="1" t="s">
        <v>132</v>
      </c>
      <c r="AF215" s="1" t="s">
        <v>132</v>
      </c>
      <c r="AG215" s="11" t="s">
        <v>4832</v>
      </c>
      <c r="AH215" s="1" t="s">
        <v>132</v>
      </c>
      <c r="AI215" s="1" t="s">
        <v>4833</v>
      </c>
      <c r="AJ215" s="1" t="s">
        <v>132</v>
      </c>
      <c r="AK215" s="1" t="s">
        <v>132</v>
      </c>
      <c r="AL215" s="14" t="s">
        <v>4834</v>
      </c>
      <c r="AM215" s="1" t="s">
        <v>132</v>
      </c>
      <c r="AN215" s="1" t="s">
        <v>132</v>
      </c>
    </row>
    <row r="216" ht="15.75" customHeight="1">
      <c r="A216" s="1" t="s">
        <v>127</v>
      </c>
      <c r="B216" s="1" t="s">
        <v>4835</v>
      </c>
      <c r="C216" s="1" t="s">
        <v>4836</v>
      </c>
      <c r="D216" s="8" t="s">
        <v>4837</v>
      </c>
      <c r="E216" s="1" t="s">
        <v>4838</v>
      </c>
      <c r="F216" s="1" t="s">
        <v>132</v>
      </c>
      <c r="G216" s="1" t="s">
        <v>4839</v>
      </c>
      <c r="H216" s="1" t="s">
        <v>4836</v>
      </c>
      <c r="I216" s="1" t="s">
        <v>4836</v>
      </c>
      <c r="J216" s="1" t="s">
        <v>4840</v>
      </c>
      <c r="K216" s="1" t="s">
        <v>4841</v>
      </c>
      <c r="L216" s="1" t="s">
        <v>4842</v>
      </c>
      <c r="M216" s="1" t="s">
        <v>4836</v>
      </c>
      <c r="N216" s="1" t="s">
        <v>132</v>
      </c>
      <c r="O216" s="1" t="s">
        <v>4843</v>
      </c>
      <c r="P216" s="1" t="s">
        <v>4844</v>
      </c>
      <c r="Q216" s="1" t="s">
        <v>132</v>
      </c>
      <c r="R216" s="1" t="s">
        <v>4845</v>
      </c>
      <c r="S216" s="1" t="s">
        <v>4846</v>
      </c>
      <c r="T216" s="8" t="s">
        <v>4847</v>
      </c>
      <c r="U216" s="1" t="s">
        <v>4848</v>
      </c>
      <c r="V216" s="1" t="s">
        <v>4849</v>
      </c>
      <c r="W216" s="1" t="s">
        <v>4845</v>
      </c>
      <c r="X216" s="1" t="s">
        <v>4850</v>
      </c>
      <c r="Y216" s="1" t="s">
        <v>4851</v>
      </c>
      <c r="Z216" s="1" t="s">
        <v>4852</v>
      </c>
      <c r="AA216" s="1" t="s">
        <v>4853</v>
      </c>
      <c r="AB216" s="1" t="s">
        <v>4854</v>
      </c>
      <c r="AC216" s="1" t="s">
        <v>4838</v>
      </c>
      <c r="AD216" s="1" t="s">
        <v>4855</v>
      </c>
      <c r="AE216" s="1" t="s">
        <v>4856</v>
      </c>
      <c r="AF216" s="1" t="s">
        <v>4857</v>
      </c>
      <c r="AG216" s="1" t="s">
        <v>4836</v>
      </c>
      <c r="AH216" s="1" t="s">
        <v>4858</v>
      </c>
      <c r="AI216" s="1" t="s">
        <v>4859</v>
      </c>
      <c r="AJ216" s="1" t="s">
        <v>132</v>
      </c>
      <c r="AK216" s="1" t="s">
        <v>4860</v>
      </c>
      <c r="AL216" s="1" t="s">
        <v>4861</v>
      </c>
      <c r="AM216" s="1" t="s">
        <v>4862</v>
      </c>
      <c r="AN216" s="1" t="s">
        <v>4862</v>
      </c>
    </row>
    <row r="217" ht="15.75" customHeight="1">
      <c r="A217" s="1" t="s">
        <v>2265</v>
      </c>
      <c r="B217" s="1" t="s">
        <v>4863</v>
      </c>
      <c r="C217" s="1" t="s">
        <v>4864</v>
      </c>
      <c r="D217" s="8" t="s">
        <v>4865</v>
      </c>
      <c r="E217" s="1" t="s">
        <v>4866</v>
      </c>
      <c r="F217" s="1" t="s">
        <v>132</v>
      </c>
      <c r="G217" s="1" t="s">
        <v>4867</v>
      </c>
      <c r="H217" s="1" t="s">
        <v>4868</v>
      </c>
      <c r="I217" s="1" t="s">
        <v>4864</v>
      </c>
      <c r="J217" s="1" t="s">
        <v>4869</v>
      </c>
      <c r="K217" s="1" t="s">
        <v>4870</v>
      </c>
      <c r="L217" s="1" t="s">
        <v>4871</v>
      </c>
      <c r="M217" s="1" t="s">
        <v>4872</v>
      </c>
      <c r="N217" s="1" t="s">
        <v>132</v>
      </c>
      <c r="O217" s="1" t="s">
        <v>4873</v>
      </c>
      <c r="P217" s="1" t="s">
        <v>4874</v>
      </c>
      <c r="Q217" s="1" t="s">
        <v>132</v>
      </c>
      <c r="R217" s="1" t="s">
        <v>4875</v>
      </c>
      <c r="S217" s="1" t="s">
        <v>4876</v>
      </c>
      <c r="T217" s="8" t="s">
        <v>4877</v>
      </c>
      <c r="U217" s="1" t="s">
        <v>4878</v>
      </c>
      <c r="V217" s="1" t="s">
        <v>4879</v>
      </c>
      <c r="W217" s="1" t="s">
        <v>4867</v>
      </c>
      <c r="X217" s="1" t="s">
        <v>4880</v>
      </c>
      <c r="Y217" s="1" t="s">
        <v>4868</v>
      </c>
      <c r="Z217" s="1" t="s">
        <v>4881</v>
      </c>
      <c r="AA217" s="1" t="s">
        <v>4870</v>
      </c>
      <c r="AB217" s="1" t="s">
        <v>4882</v>
      </c>
      <c r="AC217" s="1" t="s">
        <v>4883</v>
      </c>
      <c r="AD217" s="1" t="s">
        <v>4867</v>
      </c>
      <c r="AE217" s="1" t="s">
        <v>4884</v>
      </c>
      <c r="AF217" s="1" t="s">
        <v>4875</v>
      </c>
      <c r="AG217" s="1" t="s">
        <v>4874</v>
      </c>
      <c r="AH217" s="1" t="s">
        <v>4885</v>
      </c>
      <c r="AI217" s="1" t="s">
        <v>4875</v>
      </c>
      <c r="AJ217" s="1" t="s">
        <v>132</v>
      </c>
      <c r="AK217" s="1" t="s">
        <v>4886</v>
      </c>
      <c r="AL217" s="14" t="s">
        <v>4887</v>
      </c>
      <c r="AM217" s="1" t="s">
        <v>132</v>
      </c>
      <c r="AN217" s="1" t="s">
        <v>132</v>
      </c>
    </row>
    <row r="218" ht="15.75" customHeight="1">
      <c r="A218" s="1" t="s">
        <v>38</v>
      </c>
      <c r="B218" s="1" t="s">
        <v>4888</v>
      </c>
      <c r="C218" s="1" t="s">
        <v>4889</v>
      </c>
      <c r="D218" s="1" t="s">
        <v>132</v>
      </c>
      <c r="E218" s="1" t="s">
        <v>132</v>
      </c>
      <c r="F218" s="1" t="s">
        <v>132</v>
      </c>
      <c r="G218" s="1" t="s">
        <v>132</v>
      </c>
      <c r="H218" s="1" t="s">
        <v>132</v>
      </c>
      <c r="I218" s="1" t="s">
        <v>4890</v>
      </c>
      <c r="J218" s="1" t="s">
        <v>132</v>
      </c>
      <c r="K218" s="1" t="s">
        <v>4889</v>
      </c>
      <c r="L218" s="1" t="s">
        <v>132</v>
      </c>
      <c r="M218" s="1" t="s">
        <v>4891</v>
      </c>
      <c r="N218" s="1" t="s">
        <v>132</v>
      </c>
      <c r="O218" s="1" t="s">
        <v>132</v>
      </c>
      <c r="P218" s="1" t="s">
        <v>4889</v>
      </c>
      <c r="Q218" s="1" t="s">
        <v>132</v>
      </c>
      <c r="R218" s="1" t="s">
        <v>132</v>
      </c>
      <c r="S218" s="1" t="s">
        <v>132</v>
      </c>
      <c r="T218" s="1" t="s">
        <v>132</v>
      </c>
      <c r="U218" s="1" t="s">
        <v>132</v>
      </c>
      <c r="V218" s="1" t="s">
        <v>132</v>
      </c>
      <c r="W218" s="1" t="s">
        <v>132</v>
      </c>
      <c r="X218" s="1" t="s">
        <v>132</v>
      </c>
      <c r="Y218" s="1" t="s">
        <v>132</v>
      </c>
      <c r="Z218" s="1" t="s">
        <v>132</v>
      </c>
      <c r="AA218" s="1" t="s">
        <v>132</v>
      </c>
      <c r="AB218" s="1" t="s">
        <v>132</v>
      </c>
      <c r="AC218" s="1" t="s">
        <v>4892</v>
      </c>
      <c r="AD218" s="1" t="s">
        <v>132</v>
      </c>
      <c r="AE218" s="1" t="s">
        <v>132</v>
      </c>
      <c r="AF218" s="1" t="s">
        <v>4893</v>
      </c>
      <c r="AG218" s="1" t="s">
        <v>132</v>
      </c>
      <c r="AH218" s="1" t="s">
        <v>132</v>
      </c>
      <c r="AI218" s="1" t="s">
        <v>132</v>
      </c>
      <c r="AJ218" s="1" t="s">
        <v>132</v>
      </c>
      <c r="AK218" s="1" t="s">
        <v>132</v>
      </c>
      <c r="AL218" s="1" t="s">
        <v>132</v>
      </c>
      <c r="AM218" s="1" t="s">
        <v>132</v>
      </c>
      <c r="AN218" s="1" t="s">
        <v>132</v>
      </c>
    </row>
    <row r="219" ht="15.75" customHeight="1">
      <c r="A219" s="1" t="s">
        <v>127</v>
      </c>
      <c r="B219" s="1" t="s">
        <v>4894</v>
      </c>
      <c r="C219" s="1" t="s">
        <v>4895</v>
      </c>
      <c r="D219" s="8" t="s">
        <v>4896</v>
      </c>
      <c r="E219" s="1" t="s">
        <v>4897</v>
      </c>
      <c r="F219" s="1" t="s">
        <v>132</v>
      </c>
      <c r="G219" s="1" t="s">
        <v>4898</v>
      </c>
      <c r="H219" s="1" t="s">
        <v>4899</v>
      </c>
      <c r="I219" s="1" t="s">
        <v>4900</v>
      </c>
      <c r="J219" s="1" t="s">
        <v>4901</v>
      </c>
      <c r="K219" s="1" t="s">
        <v>4902</v>
      </c>
      <c r="L219" s="1" t="s">
        <v>4903</v>
      </c>
      <c r="M219" s="1" t="s">
        <v>4904</v>
      </c>
      <c r="N219" s="1" t="s">
        <v>132</v>
      </c>
      <c r="O219" s="1" t="s">
        <v>4905</v>
      </c>
      <c r="P219" s="1" t="s">
        <v>4906</v>
      </c>
      <c r="Q219" s="1" t="s">
        <v>132</v>
      </c>
      <c r="R219" s="1" t="s">
        <v>4907</v>
      </c>
      <c r="S219" s="1" t="s">
        <v>4908</v>
      </c>
      <c r="T219" s="8" t="s">
        <v>4909</v>
      </c>
      <c r="U219" s="1" t="s">
        <v>4910</v>
      </c>
      <c r="V219" s="1" t="s">
        <v>4911</v>
      </c>
      <c r="W219" s="1" t="s">
        <v>4912</v>
      </c>
      <c r="X219" s="1" t="s">
        <v>4913</v>
      </c>
      <c r="Y219" s="1" t="s">
        <v>4914</v>
      </c>
      <c r="Z219" s="1" t="s">
        <v>4915</v>
      </c>
      <c r="AA219" s="1" t="s">
        <v>4916</v>
      </c>
      <c r="AB219" s="1" t="s">
        <v>4917</v>
      </c>
      <c r="AC219" s="1" t="s">
        <v>4918</v>
      </c>
      <c r="AD219" s="1" t="s">
        <v>4919</v>
      </c>
      <c r="AE219" s="1" t="s">
        <v>4920</v>
      </c>
      <c r="AF219" s="1" t="s">
        <v>4921</v>
      </c>
      <c r="AG219" s="1" t="s">
        <v>4922</v>
      </c>
      <c r="AH219" s="1" t="s">
        <v>4923</v>
      </c>
      <c r="AI219" s="1" t="s">
        <v>4924</v>
      </c>
      <c r="AJ219" s="1" t="s">
        <v>132</v>
      </c>
      <c r="AK219" s="1" t="s">
        <v>4925</v>
      </c>
      <c r="AL219" s="1" t="s">
        <v>4926</v>
      </c>
      <c r="AM219" s="1" t="s">
        <v>4927</v>
      </c>
      <c r="AN219" s="1" t="s">
        <v>4927</v>
      </c>
    </row>
    <row r="220" ht="15.75" customHeight="1">
      <c r="A220" s="1" t="s">
        <v>38</v>
      </c>
      <c r="B220" s="1" t="s">
        <v>4928</v>
      </c>
      <c r="C220" s="1" t="s">
        <v>4929</v>
      </c>
      <c r="D220" s="1" t="s">
        <v>132</v>
      </c>
      <c r="E220" s="1" t="s">
        <v>132</v>
      </c>
      <c r="F220" s="1" t="s">
        <v>132</v>
      </c>
      <c r="G220" s="1" t="s">
        <v>132</v>
      </c>
      <c r="H220" s="1" t="s">
        <v>132</v>
      </c>
      <c r="I220" s="1" t="s">
        <v>4930</v>
      </c>
      <c r="J220" s="1" t="s">
        <v>132</v>
      </c>
      <c r="K220" s="1" t="s">
        <v>4931</v>
      </c>
      <c r="L220" s="1" t="s">
        <v>132</v>
      </c>
      <c r="M220" s="1" t="s">
        <v>4932</v>
      </c>
      <c r="N220" s="1" t="s">
        <v>132</v>
      </c>
      <c r="O220" s="1" t="s">
        <v>132</v>
      </c>
      <c r="P220" s="1" t="s">
        <v>4929</v>
      </c>
      <c r="Q220" s="1" t="s">
        <v>132</v>
      </c>
      <c r="R220" s="1" t="s">
        <v>132</v>
      </c>
      <c r="S220" s="1" t="s">
        <v>132</v>
      </c>
      <c r="T220" s="1" t="s">
        <v>132</v>
      </c>
      <c r="U220" s="1" t="s">
        <v>132</v>
      </c>
      <c r="V220" s="1" t="s">
        <v>132</v>
      </c>
      <c r="W220" s="1" t="s">
        <v>132</v>
      </c>
      <c r="X220" s="1" t="s">
        <v>132</v>
      </c>
      <c r="Y220" s="1" t="s">
        <v>132</v>
      </c>
      <c r="Z220" s="1" t="s">
        <v>132</v>
      </c>
      <c r="AA220" s="1" t="s">
        <v>132</v>
      </c>
      <c r="AB220" s="1" t="s">
        <v>132</v>
      </c>
      <c r="AC220" s="1" t="s">
        <v>4933</v>
      </c>
      <c r="AD220" s="1" t="s">
        <v>132</v>
      </c>
      <c r="AE220" s="1" t="s">
        <v>132</v>
      </c>
      <c r="AF220" s="1" t="s">
        <v>4934</v>
      </c>
      <c r="AG220" s="1" t="s">
        <v>132</v>
      </c>
      <c r="AH220" s="1" t="s">
        <v>132</v>
      </c>
      <c r="AI220" s="1" t="s">
        <v>132</v>
      </c>
      <c r="AJ220" s="1" t="s">
        <v>132</v>
      </c>
      <c r="AK220" s="1" t="s">
        <v>132</v>
      </c>
      <c r="AL220" s="1" t="s">
        <v>132</v>
      </c>
      <c r="AM220" s="1" t="s">
        <v>132</v>
      </c>
      <c r="AN220" s="1" t="s">
        <v>132</v>
      </c>
    </row>
    <row r="221" ht="15.75" customHeight="1">
      <c r="A221" s="1" t="s">
        <v>127</v>
      </c>
      <c r="B221" s="1" t="s">
        <v>4935</v>
      </c>
      <c r="C221" s="1" t="s">
        <v>4936</v>
      </c>
      <c r="D221" s="1" t="s">
        <v>132</v>
      </c>
      <c r="E221" s="1" t="s">
        <v>132</v>
      </c>
      <c r="F221" s="1" t="s">
        <v>132</v>
      </c>
      <c r="G221" s="1" t="s">
        <v>132</v>
      </c>
      <c r="H221" s="1" t="s">
        <v>4937</v>
      </c>
      <c r="I221" s="1" t="s">
        <v>4936</v>
      </c>
      <c r="J221" s="1" t="s">
        <v>132</v>
      </c>
      <c r="K221" s="1" t="s">
        <v>132</v>
      </c>
      <c r="L221" s="1" t="s">
        <v>4938</v>
      </c>
      <c r="M221" s="1" t="s">
        <v>4939</v>
      </c>
      <c r="N221" s="1" t="s">
        <v>132</v>
      </c>
      <c r="O221" s="1" t="s">
        <v>132</v>
      </c>
      <c r="P221" s="1" t="s">
        <v>4940</v>
      </c>
      <c r="Q221" s="1" t="s">
        <v>132</v>
      </c>
      <c r="R221" s="1" t="s">
        <v>4941</v>
      </c>
      <c r="S221" s="1" t="s">
        <v>4942</v>
      </c>
      <c r="T221" s="1" t="s">
        <v>132</v>
      </c>
      <c r="U221" s="1" t="s">
        <v>4943</v>
      </c>
      <c r="V221" s="1" t="s">
        <v>132</v>
      </c>
      <c r="W221" s="1" t="s">
        <v>4944</v>
      </c>
      <c r="X221" s="1" t="s">
        <v>4945</v>
      </c>
      <c r="Y221" s="1" t="s">
        <v>4946</v>
      </c>
      <c r="Z221" s="11" t="s">
        <v>4947</v>
      </c>
      <c r="AA221" s="1" t="s">
        <v>4948</v>
      </c>
      <c r="AB221" s="1" t="s">
        <v>132</v>
      </c>
      <c r="AC221" s="1" t="s">
        <v>132</v>
      </c>
      <c r="AD221" s="1" t="s">
        <v>132</v>
      </c>
      <c r="AE221" s="1" t="s">
        <v>132</v>
      </c>
      <c r="AF221" s="1" t="s">
        <v>132</v>
      </c>
      <c r="AG221" s="11" t="s">
        <v>4949</v>
      </c>
      <c r="AH221" s="1" t="s">
        <v>132</v>
      </c>
      <c r="AI221" s="1" t="s">
        <v>4950</v>
      </c>
      <c r="AJ221" s="1" t="s">
        <v>132</v>
      </c>
      <c r="AK221" s="1" t="s">
        <v>132</v>
      </c>
      <c r="AL221" s="14" t="s">
        <v>4951</v>
      </c>
      <c r="AM221" s="1" t="s">
        <v>132</v>
      </c>
      <c r="AN221" s="1" t="s">
        <v>132</v>
      </c>
    </row>
    <row r="222" ht="15.75" customHeight="1">
      <c r="A222" s="1" t="s">
        <v>127</v>
      </c>
      <c r="B222" s="1" t="s">
        <v>4952</v>
      </c>
      <c r="C222" s="1" t="s">
        <v>4953</v>
      </c>
      <c r="D222" s="8" t="s">
        <v>4954</v>
      </c>
      <c r="E222" s="1" t="s">
        <v>4953</v>
      </c>
      <c r="F222" s="1" t="s">
        <v>132</v>
      </c>
      <c r="G222" s="1" t="s">
        <v>4953</v>
      </c>
      <c r="H222" s="1" t="s">
        <v>4953</v>
      </c>
      <c r="I222" s="1" t="s">
        <v>4955</v>
      </c>
      <c r="J222" s="1" t="s">
        <v>4953</v>
      </c>
      <c r="K222" s="1" t="s">
        <v>4956</v>
      </c>
      <c r="L222" s="1" t="s">
        <v>4953</v>
      </c>
      <c r="M222" s="1" t="s">
        <v>4953</v>
      </c>
      <c r="N222" s="1" t="s">
        <v>132</v>
      </c>
      <c r="O222" s="1" t="s">
        <v>4957</v>
      </c>
      <c r="P222" s="1" t="s">
        <v>4953</v>
      </c>
      <c r="Q222" s="1" t="s">
        <v>132</v>
      </c>
      <c r="R222" s="1" t="s">
        <v>4953</v>
      </c>
      <c r="S222" s="1" t="s">
        <v>4953</v>
      </c>
      <c r="T222" s="8" t="s">
        <v>4958</v>
      </c>
      <c r="U222" s="1" t="s">
        <v>4953</v>
      </c>
      <c r="V222" s="1" t="s">
        <v>4959</v>
      </c>
      <c r="W222" s="1" t="s">
        <v>4953</v>
      </c>
      <c r="X222" s="1" t="s">
        <v>4953</v>
      </c>
      <c r="Y222" s="1" t="s">
        <v>4953</v>
      </c>
      <c r="Z222" s="1" t="s">
        <v>4960</v>
      </c>
      <c r="AA222" s="1" t="s">
        <v>4953</v>
      </c>
      <c r="AB222" s="1" t="s">
        <v>4953</v>
      </c>
      <c r="AC222" s="1" t="s">
        <v>4961</v>
      </c>
      <c r="AD222" s="1" t="s">
        <v>4953</v>
      </c>
      <c r="AE222" s="1" t="s">
        <v>4953</v>
      </c>
      <c r="AF222" s="1" t="s">
        <v>4962</v>
      </c>
      <c r="AG222" s="1" t="s">
        <v>4953</v>
      </c>
      <c r="AH222" s="1" t="s">
        <v>4953</v>
      </c>
      <c r="AI222" s="1" t="s">
        <v>4963</v>
      </c>
      <c r="AJ222" s="1" t="s">
        <v>132</v>
      </c>
      <c r="AK222" s="1" t="s">
        <v>4953</v>
      </c>
      <c r="AL222" s="1" t="s">
        <v>4964</v>
      </c>
      <c r="AM222" s="1" t="s">
        <v>132</v>
      </c>
      <c r="AN222" s="1" t="s">
        <v>132</v>
      </c>
    </row>
    <row r="223" ht="15.75" customHeight="1">
      <c r="A223" s="1" t="s">
        <v>38</v>
      </c>
      <c r="B223" s="1" t="s">
        <v>4965</v>
      </c>
      <c r="C223" s="1" t="s">
        <v>4966</v>
      </c>
      <c r="D223" s="8" t="s">
        <v>4967</v>
      </c>
      <c r="E223" s="1" t="s">
        <v>4968</v>
      </c>
      <c r="F223" s="1" t="s">
        <v>4969</v>
      </c>
      <c r="G223" s="1" t="s">
        <v>132</v>
      </c>
      <c r="H223" s="1" t="s">
        <v>132</v>
      </c>
      <c r="I223" s="1" t="s">
        <v>4970</v>
      </c>
      <c r="J223" s="1" t="s">
        <v>132</v>
      </c>
      <c r="K223" s="1" t="s">
        <v>4971</v>
      </c>
      <c r="L223" s="1" t="s">
        <v>132</v>
      </c>
      <c r="M223" s="1" t="s">
        <v>4972</v>
      </c>
      <c r="N223" s="1" t="s">
        <v>4973</v>
      </c>
      <c r="O223" s="1" t="s">
        <v>132</v>
      </c>
      <c r="P223" s="1" t="s">
        <v>4974</v>
      </c>
      <c r="Q223" s="1" t="s">
        <v>132</v>
      </c>
      <c r="R223" s="1" t="s">
        <v>132</v>
      </c>
      <c r="S223" s="1" t="s">
        <v>4975</v>
      </c>
      <c r="T223" s="1" t="s">
        <v>132</v>
      </c>
      <c r="U223" s="1" t="s">
        <v>4976</v>
      </c>
      <c r="V223" s="1" t="s">
        <v>4977</v>
      </c>
      <c r="W223" s="1" t="s">
        <v>132</v>
      </c>
      <c r="X223" s="1" t="s">
        <v>4978</v>
      </c>
      <c r="Y223" s="1" t="s">
        <v>132</v>
      </c>
      <c r="Z223" s="1" t="s">
        <v>4979</v>
      </c>
      <c r="AA223" s="1" t="s">
        <v>132</v>
      </c>
      <c r="AB223" s="1" t="s">
        <v>132</v>
      </c>
      <c r="AC223" s="1" t="s">
        <v>4980</v>
      </c>
      <c r="AD223" s="1" t="s">
        <v>132</v>
      </c>
      <c r="AE223" s="1" t="s">
        <v>132</v>
      </c>
      <c r="AF223" s="1" t="s">
        <v>4981</v>
      </c>
      <c r="AG223" s="1" t="s">
        <v>4982</v>
      </c>
      <c r="AH223" s="1" t="s">
        <v>132</v>
      </c>
      <c r="AI223" s="1" t="s">
        <v>132</v>
      </c>
      <c r="AJ223" s="1" t="s">
        <v>4983</v>
      </c>
      <c r="AK223" s="1" t="s">
        <v>4984</v>
      </c>
      <c r="AL223" s="1" t="s">
        <v>132</v>
      </c>
      <c r="AM223" s="1" t="s">
        <v>4985</v>
      </c>
      <c r="AN223" s="1" t="s">
        <v>4985</v>
      </c>
    </row>
    <row r="224" ht="15.75" customHeight="1">
      <c r="A224" s="1" t="s">
        <v>38</v>
      </c>
      <c r="B224" s="1" t="s">
        <v>4986</v>
      </c>
      <c r="C224" s="1" t="s">
        <v>4987</v>
      </c>
      <c r="D224" s="1" t="s">
        <v>132</v>
      </c>
      <c r="E224" s="1" t="s">
        <v>4988</v>
      </c>
      <c r="F224" s="1" t="s">
        <v>132</v>
      </c>
      <c r="G224" s="1" t="s">
        <v>132</v>
      </c>
      <c r="H224" s="1" t="s">
        <v>132</v>
      </c>
      <c r="I224" s="1" t="s">
        <v>4989</v>
      </c>
      <c r="J224" s="1" t="s">
        <v>132</v>
      </c>
      <c r="K224" s="1" t="s">
        <v>4990</v>
      </c>
      <c r="L224" s="1" t="s">
        <v>132</v>
      </c>
      <c r="M224" s="1" t="s">
        <v>132</v>
      </c>
      <c r="N224" s="1" t="s">
        <v>4991</v>
      </c>
      <c r="O224" s="1" t="s">
        <v>132</v>
      </c>
      <c r="P224" s="1" t="s">
        <v>4992</v>
      </c>
      <c r="Q224" s="1" t="s">
        <v>132</v>
      </c>
      <c r="R224" s="1" t="s">
        <v>132</v>
      </c>
      <c r="S224" s="1" t="s">
        <v>4993</v>
      </c>
      <c r="T224" s="1" t="s">
        <v>132</v>
      </c>
      <c r="U224" s="1" t="s">
        <v>132</v>
      </c>
      <c r="V224" s="1" t="s">
        <v>132</v>
      </c>
      <c r="W224" s="1" t="s">
        <v>132</v>
      </c>
      <c r="X224" s="1" t="s">
        <v>4994</v>
      </c>
      <c r="Y224" s="1" t="s">
        <v>132</v>
      </c>
      <c r="Z224" s="1" t="s">
        <v>4995</v>
      </c>
      <c r="AA224" s="1" t="s">
        <v>132</v>
      </c>
      <c r="AB224" s="1" t="s">
        <v>132</v>
      </c>
      <c r="AC224" s="1" t="s">
        <v>132</v>
      </c>
      <c r="AD224" s="1" t="s">
        <v>132</v>
      </c>
      <c r="AE224" s="1" t="s">
        <v>132</v>
      </c>
      <c r="AF224" s="1" t="s">
        <v>132</v>
      </c>
      <c r="AG224" s="1" t="s">
        <v>132</v>
      </c>
      <c r="AH224" s="1" t="s">
        <v>132</v>
      </c>
      <c r="AI224" s="1" t="s">
        <v>132</v>
      </c>
      <c r="AJ224" s="1" t="s">
        <v>132</v>
      </c>
      <c r="AK224" s="1" t="s">
        <v>132</v>
      </c>
      <c r="AL224" s="1" t="s">
        <v>132</v>
      </c>
      <c r="AM224" s="1" t="s">
        <v>132</v>
      </c>
      <c r="AN224" s="1" t="s">
        <v>132</v>
      </c>
    </row>
    <row r="225" ht="15.75" customHeight="1">
      <c r="A225" s="1" t="s">
        <v>38</v>
      </c>
      <c r="B225" s="1" t="s">
        <v>4996</v>
      </c>
      <c r="C225" s="1" t="s">
        <v>4997</v>
      </c>
      <c r="D225" s="1" t="s">
        <v>132</v>
      </c>
      <c r="E225" s="1" t="s">
        <v>4998</v>
      </c>
      <c r="F225" s="1" t="s">
        <v>132</v>
      </c>
      <c r="G225" s="1" t="s">
        <v>132</v>
      </c>
      <c r="H225" s="1" t="s">
        <v>132</v>
      </c>
      <c r="I225" s="1" t="s">
        <v>4999</v>
      </c>
      <c r="J225" s="1" t="s">
        <v>132</v>
      </c>
      <c r="K225" s="1" t="s">
        <v>5000</v>
      </c>
      <c r="L225" s="1" t="s">
        <v>132</v>
      </c>
      <c r="M225" s="1" t="s">
        <v>132</v>
      </c>
      <c r="N225" s="1" t="s">
        <v>5001</v>
      </c>
      <c r="O225" s="1" t="s">
        <v>132</v>
      </c>
      <c r="P225" s="1" t="s">
        <v>5002</v>
      </c>
      <c r="Q225" s="1" t="s">
        <v>132</v>
      </c>
      <c r="R225" s="1" t="s">
        <v>132</v>
      </c>
      <c r="S225" s="1" t="s">
        <v>5003</v>
      </c>
      <c r="T225" s="1" t="s">
        <v>132</v>
      </c>
      <c r="U225" s="1" t="s">
        <v>132</v>
      </c>
      <c r="V225" s="1" t="s">
        <v>132</v>
      </c>
      <c r="W225" s="1" t="s">
        <v>132</v>
      </c>
      <c r="X225" s="1" t="s">
        <v>5004</v>
      </c>
      <c r="Y225" s="1" t="s">
        <v>132</v>
      </c>
      <c r="Z225" s="1" t="s">
        <v>5005</v>
      </c>
      <c r="AA225" s="1" t="s">
        <v>132</v>
      </c>
      <c r="AB225" s="1" t="s">
        <v>132</v>
      </c>
      <c r="AC225" s="1" t="s">
        <v>132</v>
      </c>
      <c r="AD225" s="1" t="s">
        <v>132</v>
      </c>
      <c r="AE225" s="1" t="s">
        <v>132</v>
      </c>
      <c r="AF225" s="1" t="s">
        <v>132</v>
      </c>
      <c r="AG225" s="1" t="s">
        <v>132</v>
      </c>
      <c r="AH225" s="1" t="s">
        <v>132</v>
      </c>
      <c r="AI225" s="1" t="s">
        <v>132</v>
      </c>
      <c r="AJ225" s="1" t="s">
        <v>132</v>
      </c>
      <c r="AK225" s="1" t="s">
        <v>132</v>
      </c>
      <c r="AL225" s="1" t="s">
        <v>132</v>
      </c>
      <c r="AM225" s="1" t="s">
        <v>132</v>
      </c>
      <c r="AN225" s="1" t="s">
        <v>132</v>
      </c>
    </row>
    <row r="226" ht="15.75" customHeight="1">
      <c r="A226" s="1" t="s">
        <v>127</v>
      </c>
      <c r="B226" s="1" t="s">
        <v>5006</v>
      </c>
      <c r="C226" s="1" t="s">
        <v>5007</v>
      </c>
      <c r="D226" s="8" t="s">
        <v>5008</v>
      </c>
      <c r="E226" s="1" t="s">
        <v>5009</v>
      </c>
      <c r="F226" s="1" t="s">
        <v>132</v>
      </c>
      <c r="G226" s="1" t="s">
        <v>5010</v>
      </c>
      <c r="H226" s="1" t="s">
        <v>5011</v>
      </c>
      <c r="I226" s="1" t="s">
        <v>5012</v>
      </c>
      <c r="J226" s="1" t="s">
        <v>5013</v>
      </c>
      <c r="K226" s="1" t="s">
        <v>5014</v>
      </c>
      <c r="L226" s="1" t="s">
        <v>5015</v>
      </c>
      <c r="M226" s="1" t="s">
        <v>5016</v>
      </c>
      <c r="N226" s="1" t="s">
        <v>132</v>
      </c>
      <c r="O226" s="1" t="s">
        <v>5017</v>
      </c>
      <c r="P226" s="1" t="s">
        <v>5018</v>
      </c>
      <c r="Q226" s="1" t="s">
        <v>132</v>
      </c>
      <c r="R226" s="1" t="s">
        <v>5019</v>
      </c>
      <c r="S226" s="1" t="s">
        <v>5020</v>
      </c>
      <c r="T226" s="8" t="s">
        <v>5021</v>
      </c>
      <c r="U226" s="1" t="s">
        <v>5022</v>
      </c>
      <c r="V226" s="1" t="s">
        <v>5023</v>
      </c>
      <c r="W226" s="1" t="s">
        <v>5019</v>
      </c>
      <c r="X226" s="1" t="s">
        <v>5024</v>
      </c>
      <c r="Y226" s="1" t="s">
        <v>5025</v>
      </c>
      <c r="Z226" s="1" t="s">
        <v>5026</v>
      </c>
      <c r="AA226" s="1" t="s">
        <v>5027</v>
      </c>
      <c r="AB226" s="1" t="s">
        <v>5028</v>
      </c>
      <c r="AC226" s="1" t="s">
        <v>5029</v>
      </c>
      <c r="AD226" s="1" t="s">
        <v>5010</v>
      </c>
      <c r="AE226" s="1" t="s">
        <v>5030</v>
      </c>
      <c r="AF226" s="1" t="s">
        <v>5031</v>
      </c>
      <c r="AG226" s="1" t="s">
        <v>5011</v>
      </c>
      <c r="AH226" s="1" t="s">
        <v>5032</v>
      </c>
      <c r="AI226" s="1" t="s">
        <v>5033</v>
      </c>
      <c r="AJ226" s="1" t="s">
        <v>132</v>
      </c>
      <c r="AK226" s="1" t="s">
        <v>5034</v>
      </c>
      <c r="AL226" s="1" t="s">
        <v>5035</v>
      </c>
      <c r="AM226" s="1" t="s">
        <v>5036</v>
      </c>
      <c r="AN226" s="1" t="s">
        <v>5036</v>
      </c>
    </row>
    <row r="227" ht="15.75" customHeight="1">
      <c r="A227" s="1" t="s">
        <v>127</v>
      </c>
      <c r="B227" s="1" t="s">
        <v>5037</v>
      </c>
      <c r="C227" s="1" t="s">
        <v>5038</v>
      </c>
      <c r="D227" s="8" t="s">
        <v>5039</v>
      </c>
      <c r="E227" s="1" t="s">
        <v>5040</v>
      </c>
      <c r="F227" s="1" t="s">
        <v>132</v>
      </c>
      <c r="G227" s="1" t="s">
        <v>5041</v>
      </c>
      <c r="H227" s="1" t="s">
        <v>5042</v>
      </c>
      <c r="I227" s="1" t="s">
        <v>5043</v>
      </c>
      <c r="J227" s="1" t="s">
        <v>5044</v>
      </c>
      <c r="K227" s="1" t="s">
        <v>5045</v>
      </c>
      <c r="L227" s="1" t="s">
        <v>5046</v>
      </c>
      <c r="M227" s="1" t="s">
        <v>5047</v>
      </c>
      <c r="N227" s="1" t="s">
        <v>132</v>
      </c>
      <c r="O227" s="1" t="s">
        <v>5048</v>
      </c>
      <c r="P227" s="1" t="s">
        <v>5049</v>
      </c>
      <c r="Q227" s="1" t="s">
        <v>132</v>
      </c>
      <c r="R227" s="1" t="s">
        <v>5050</v>
      </c>
      <c r="S227" s="1" t="s">
        <v>5051</v>
      </c>
      <c r="T227" s="8" t="s">
        <v>5052</v>
      </c>
      <c r="U227" s="1" t="s">
        <v>5053</v>
      </c>
      <c r="V227" s="1" t="s">
        <v>5054</v>
      </c>
      <c r="W227" s="1" t="s">
        <v>5055</v>
      </c>
      <c r="X227" s="1" t="s">
        <v>5056</v>
      </c>
      <c r="Y227" s="1" t="s">
        <v>5057</v>
      </c>
      <c r="Z227" s="1" t="s">
        <v>5058</v>
      </c>
      <c r="AA227" s="1" t="s">
        <v>5059</v>
      </c>
      <c r="AB227" s="1" t="s">
        <v>5060</v>
      </c>
      <c r="AC227" s="1" t="s">
        <v>5061</v>
      </c>
      <c r="AD227" s="1" t="s">
        <v>5062</v>
      </c>
      <c r="AE227" s="1" t="s">
        <v>5063</v>
      </c>
      <c r="AF227" s="1" t="s">
        <v>5064</v>
      </c>
      <c r="AG227" s="1" t="s">
        <v>5065</v>
      </c>
      <c r="AH227" s="1" t="s">
        <v>5066</v>
      </c>
      <c r="AI227" s="1" t="s">
        <v>5067</v>
      </c>
      <c r="AJ227" s="1" t="s">
        <v>132</v>
      </c>
      <c r="AK227" s="1" t="s">
        <v>5068</v>
      </c>
      <c r="AL227" s="1" t="s">
        <v>5069</v>
      </c>
      <c r="AM227" s="1" t="s">
        <v>5070</v>
      </c>
      <c r="AN227" s="1" t="s">
        <v>5070</v>
      </c>
    </row>
    <row r="228" ht="15.75" customHeight="1">
      <c r="A228" s="1" t="s">
        <v>127</v>
      </c>
      <c r="B228" s="1" t="s">
        <v>5071</v>
      </c>
      <c r="C228" s="1" t="s">
        <v>5072</v>
      </c>
      <c r="D228" s="8" t="s">
        <v>5073</v>
      </c>
      <c r="E228" s="1" t="s">
        <v>5074</v>
      </c>
      <c r="F228" s="1" t="s">
        <v>132</v>
      </c>
      <c r="G228" s="1" t="s">
        <v>5075</v>
      </c>
      <c r="H228" s="1" t="s">
        <v>5076</v>
      </c>
      <c r="I228" s="1" t="s">
        <v>5072</v>
      </c>
      <c r="J228" s="1" t="s">
        <v>5077</v>
      </c>
      <c r="K228" s="1" t="s">
        <v>5072</v>
      </c>
      <c r="L228" s="1" t="s">
        <v>5078</v>
      </c>
      <c r="M228" s="1" t="s">
        <v>5079</v>
      </c>
      <c r="N228" s="1" t="s">
        <v>132</v>
      </c>
      <c r="O228" s="1" t="s">
        <v>5080</v>
      </c>
      <c r="P228" s="1" t="s">
        <v>5072</v>
      </c>
      <c r="Q228" s="1" t="s">
        <v>132</v>
      </c>
      <c r="R228" s="1" t="s">
        <v>5081</v>
      </c>
      <c r="S228" s="1" t="s">
        <v>5082</v>
      </c>
      <c r="T228" s="8" t="s">
        <v>5083</v>
      </c>
      <c r="U228" s="1" t="s">
        <v>5084</v>
      </c>
      <c r="V228" s="1" t="s">
        <v>5085</v>
      </c>
      <c r="W228" s="1" t="s">
        <v>5086</v>
      </c>
      <c r="X228" s="1" t="s">
        <v>5072</v>
      </c>
      <c r="Y228" s="1" t="s">
        <v>5087</v>
      </c>
      <c r="Z228" s="1" t="s">
        <v>5088</v>
      </c>
      <c r="AA228" s="1" t="s">
        <v>5089</v>
      </c>
      <c r="AB228" s="1" t="s">
        <v>5090</v>
      </c>
      <c r="AC228" s="1" t="s">
        <v>5091</v>
      </c>
      <c r="AD228" s="1" t="s">
        <v>5092</v>
      </c>
      <c r="AE228" s="1" t="s">
        <v>5093</v>
      </c>
      <c r="AF228" s="1" t="s">
        <v>5072</v>
      </c>
      <c r="AG228" s="1" t="s">
        <v>5076</v>
      </c>
      <c r="AH228" s="1" t="s">
        <v>5094</v>
      </c>
      <c r="AI228" s="1" t="s">
        <v>5095</v>
      </c>
      <c r="AJ228" s="1" t="s">
        <v>132</v>
      </c>
      <c r="AK228" s="1" t="s">
        <v>5096</v>
      </c>
      <c r="AL228" s="1" t="s">
        <v>5097</v>
      </c>
      <c r="AM228" s="1" t="s">
        <v>5098</v>
      </c>
      <c r="AN228" s="1" t="s">
        <v>5098</v>
      </c>
    </row>
    <row r="229" ht="15.75" customHeight="1">
      <c r="A229" s="1" t="s">
        <v>2265</v>
      </c>
      <c r="B229" s="1" t="s">
        <v>5099</v>
      </c>
      <c r="C229" s="1" t="s">
        <v>5100</v>
      </c>
      <c r="D229" s="8" t="s">
        <v>5101</v>
      </c>
      <c r="E229" s="1" t="s">
        <v>5102</v>
      </c>
      <c r="F229" s="1" t="s">
        <v>132</v>
      </c>
      <c r="G229" s="1" t="s">
        <v>5103</v>
      </c>
      <c r="H229" s="1" t="s">
        <v>5104</v>
      </c>
      <c r="I229" s="1" t="s">
        <v>5105</v>
      </c>
      <c r="J229" s="1" t="s">
        <v>5106</v>
      </c>
      <c r="K229" s="1" t="s">
        <v>5107</v>
      </c>
      <c r="L229" s="1" t="s">
        <v>5108</v>
      </c>
      <c r="M229" s="1" t="s">
        <v>5109</v>
      </c>
      <c r="N229" s="1" t="s">
        <v>132</v>
      </c>
      <c r="O229" s="1" t="s">
        <v>5110</v>
      </c>
      <c r="P229" s="1" t="s">
        <v>5111</v>
      </c>
      <c r="Q229" s="1" t="s">
        <v>132</v>
      </c>
      <c r="R229" s="1" t="s">
        <v>5112</v>
      </c>
      <c r="S229" s="1" t="s">
        <v>5113</v>
      </c>
      <c r="T229" s="8" t="s">
        <v>5114</v>
      </c>
      <c r="U229" s="1" t="s">
        <v>5115</v>
      </c>
      <c r="V229" s="1" t="s">
        <v>5116</v>
      </c>
      <c r="W229" s="1" t="s">
        <v>5112</v>
      </c>
      <c r="X229" s="1" t="s">
        <v>5117</v>
      </c>
      <c r="Y229" s="1" t="s">
        <v>5118</v>
      </c>
      <c r="Z229" s="1" t="s">
        <v>5119</v>
      </c>
      <c r="AA229" s="1" t="s">
        <v>5120</v>
      </c>
      <c r="AB229" s="1" t="s">
        <v>5121</v>
      </c>
      <c r="AC229" s="1" t="s">
        <v>5122</v>
      </c>
      <c r="AD229" s="1" t="s">
        <v>5123</v>
      </c>
      <c r="AE229" s="1" t="s">
        <v>5124</v>
      </c>
      <c r="AF229" s="1" t="s">
        <v>5125</v>
      </c>
      <c r="AG229" s="1" t="s">
        <v>5126</v>
      </c>
      <c r="AH229" s="1" t="s">
        <v>5127</v>
      </c>
      <c r="AI229" s="1" t="s">
        <v>5128</v>
      </c>
      <c r="AJ229" s="1" t="s">
        <v>132</v>
      </c>
      <c r="AK229" s="1" t="s">
        <v>5129</v>
      </c>
      <c r="AL229" s="14" t="s">
        <v>5130</v>
      </c>
      <c r="AM229" s="1" t="s">
        <v>132</v>
      </c>
      <c r="AN229" s="1" t="s">
        <v>132</v>
      </c>
    </row>
    <row r="230" ht="15.75" customHeight="1">
      <c r="A230" s="1" t="s">
        <v>38</v>
      </c>
      <c r="B230" s="1" t="s">
        <v>5131</v>
      </c>
      <c r="C230" s="1" t="s">
        <v>5132</v>
      </c>
      <c r="D230" s="8" t="s">
        <v>5133</v>
      </c>
      <c r="E230" s="1" t="s">
        <v>5134</v>
      </c>
      <c r="F230" s="1" t="s">
        <v>5135</v>
      </c>
      <c r="G230" s="1" t="s">
        <v>132</v>
      </c>
      <c r="H230" s="1" t="s">
        <v>132</v>
      </c>
      <c r="I230" s="1" t="s">
        <v>5136</v>
      </c>
      <c r="J230" s="1" t="s">
        <v>132</v>
      </c>
      <c r="K230" s="1" t="s">
        <v>5137</v>
      </c>
      <c r="L230" s="1" t="s">
        <v>132</v>
      </c>
      <c r="M230" s="1" t="s">
        <v>5138</v>
      </c>
      <c r="N230" s="1" t="s">
        <v>5139</v>
      </c>
      <c r="O230" s="1" t="s">
        <v>132</v>
      </c>
      <c r="P230" s="1" t="s">
        <v>5140</v>
      </c>
      <c r="Q230" s="1" t="s">
        <v>132</v>
      </c>
      <c r="R230" s="1" t="s">
        <v>132</v>
      </c>
      <c r="S230" s="1" t="s">
        <v>5141</v>
      </c>
      <c r="T230" s="1" t="s">
        <v>132</v>
      </c>
      <c r="U230" s="1" t="s">
        <v>5142</v>
      </c>
      <c r="V230" s="1" t="s">
        <v>5143</v>
      </c>
      <c r="W230" s="1" t="s">
        <v>132</v>
      </c>
      <c r="X230" s="1" t="s">
        <v>5144</v>
      </c>
      <c r="Y230" s="1" t="s">
        <v>132</v>
      </c>
      <c r="Z230" s="1" t="s">
        <v>5145</v>
      </c>
      <c r="AA230" s="1" t="s">
        <v>5139</v>
      </c>
      <c r="AB230" s="1" t="s">
        <v>132</v>
      </c>
      <c r="AC230" s="1" t="s">
        <v>5146</v>
      </c>
      <c r="AD230" s="1" t="s">
        <v>132</v>
      </c>
      <c r="AE230" s="1" t="s">
        <v>132</v>
      </c>
      <c r="AF230" s="1" t="s">
        <v>5147</v>
      </c>
      <c r="AG230" s="1" t="s">
        <v>5148</v>
      </c>
      <c r="AH230" s="1" t="s">
        <v>132</v>
      </c>
      <c r="AI230" s="1" t="s">
        <v>132</v>
      </c>
      <c r="AJ230" s="1" t="s">
        <v>5149</v>
      </c>
      <c r="AK230" s="1" t="s">
        <v>132</v>
      </c>
      <c r="AL230" s="1" t="s">
        <v>132</v>
      </c>
      <c r="AM230" s="1" t="s">
        <v>5150</v>
      </c>
      <c r="AN230" s="1" t="s">
        <v>5150</v>
      </c>
    </row>
    <row r="231" ht="15.75" customHeight="1">
      <c r="A231" s="1" t="s">
        <v>38</v>
      </c>
      <c r="B231" s="1" t="s">
        <v>5151</v>
      </c>
      <c r="C231" s="1" t="s">
        <v>5152</v>
      </c>
      <c r="D231" s="8" t="s">
        <v>5153</v>
      </c>
      <c r="E231" s="1" t="s">
        <v>5154</v>
      </c>
      <c r="F231" s="1" t="s">
        <v>5155</v>
      </c>
      <c r="G231" s="1" t="s">
        <v>132</v>
      </c>
      <c r="H231" s="1" t="s">
        <v>132</v>
      </c>
      <c r="I231" s="1" t="s">
        <v>5156</v>
      </c>
      <c r="J231" s="1" t="s">
        <v>132</v>
      </c>
      <c r="K231" s="1" t="s">
        <v>5157</v>
      </c>
      <c r="L231" s="1" t="s">
        <v>132</v>
      </c>
      <c r="M231" s="1" t="s">
        <v>5158</v>
      </c>
      <c r="N231" s="1" t="s">
        <v>5159</v>
      </c>
      <c r="O231" s="1" t="s">
        <v>132</v>
      </c>
      <c r="P231" s="1" t="s">
        <v>5160</v>
      </c>
      <c r="Q231" s="1" t="s">
        <v>5161</v>
      </c>
      <c r="R231" s="1" t="s">
        <v>132</v>
      </c>
      <c r="S231" s="1" t="s">
        <v>5162</v>
      </c>
      <c r="T231" s="1" t="s">
        <v>132</v>
      </c>
      <c r="U231" s="1" t="s">
        <v>5163</v>
      </c>
      <c r="V231" s="1" t="s">
        <v>5164</v>
      </c>
      <c r="W231" s="1" t="s">
        <v>132</v>
      </c>
      <c r="X231" s="1" t="s">
        <v>5165</v>
      </c>
      <c r="Y231" s="1" t="s">
        <v>132</v>
      </c>
      <c r="Z231" s="1" t="s">
        <v>5166</v>
      </c>
      <c r="AA231" s="1" t="s">
        <v>5167</v>
      </c>
      <c r="AB231" s="1" t="s">
        <v>132</v>
      </c>
      <c r="AC231" s="1" t="s">
        <v>5168</v>
      </c>
      <c r="AD231" s="1" t="s">
        <v>132</v>
      </c>
      <c r="AE231" s="1" t="s">
        <v>132</v>
      </c>
      <c r="AF231" s="1" t="s">
        <v>5169</v>
      </c>
      <c r="AG231" s="1" t="s">
        <v>5170</v>
      </c>
      <c r="AH231" s="1" t="s">
        <v>132</v>
      </c>
      <c r="AI231" s="1" t="s">
        <v>132</v>
      </c>
      <c r="AJ231" s="1" t="s">
        <v>5171</v>
      </c>
      <c r="AK231" s="1" t="s">
        <v>5172</v>
      </c>
      <c r="AL231" s="1" t="s">
        <v>132</v>
      </c>
      <c r="AM231" s="1" t="s">
        <v>5173</v>
      </c>
      <c r="AN231" s="1" t="s">
        <v>5173</v>
      </c>
    </row>
    <row r="232" ht="15.75" customHeight="1">
      <c r="A232" s="1" t="s">
        <v>38</v>
      </c>
      <c r="B232" s="1" t="s">
        <v>5174</v>
      </c>
      <c r="C232" s="1" t="s">
        <v>5175</v>
      </c>
      <c r="D232" s="8" t="s">
        <v>5176</v>
      </c>
      <c r="E232" s="1" t="s">
        <v>5177</v>
      </c>
      <c r="F232" s="1" t="s">
        <v>5178</v>
      </c>
      <c r="G232" s="1" t="s">
        <v>132</v>
      </c>
      <c r="H232" s="1" t="s">
        <v>132</v>
      </c>
      <c r="I232" s="1" t="s">
        <v>5179</v>
      </c>
      <c r="J232" s="1" t="s">
        <v>132</v>
      </c>
      <c r="K232" s="1" t="s">
        <v>5180</v>
      </c>
      <c r="L232" s="1" t="s">
        <v>132</v>
      </c>
      <c r="M232" s="1" t="s">
        <v>5181</v>
      </c>
      <c r="N232" s="1" t="s">
        <v>5182</v>
      </c>
      <c r="O232" s="1" t="s">
        <v>132</v>
      </c>
      <c r="P232" s="1" t="s">
        <v>5183</v>
      </c>
      <c r="Q232" s="1" t="s">
        <v>5184</v>
      </c>
      <c r="R232" s="1" t="s">
        <v>132</v>
      </c>
      <c r="S232" s="1" t="s">
        <v>5185</v>
      </c>
      <c r="T232" s="1" t="s">
        <v>132</v>
      </c>
      <c r="U232" s="1" t="s">
        <v>5186</v>
      </c>
      <c r="V232" s="1" t="s">
        <v>5187</v>
      </c>
      <c r="W232" s="1" t="s">
        <v>132</v>
      </c>
      <c r="X232" s="1" t="s">
        <v>5188</v>
      </c>
      <c r="Y232" s="1" t="s">
        <v>132</v>
      </c>
      <c r="Z232" s="1" t="s">
        <v>5189</v>
      </c>
      <c r="AA232" s="1" t="s">
        <v>5190</v>
      </c>
      <c r="AB232" s="1" t="s">
        <v>132</v>
      </c>
      <c r="AC232" s="1" t="s">
        <v>5191</v>
      </c>
      <c r="AD232" s="1" t="s">
        <v>5192</v>
      </c>
      <c r="AE232" s="1" t="s">
        <v>132</v>
      </c>
      <c r="AF232" s="1" t="s">
        <v>5193</v>
      </c>
      <c r="AG232" s="1" t="s">
        <v>5194</v>
      </c>
      <c r="AH232" s="1" t="s">
        <v>132</v>
      </c>
      <c r="AI232" s="1" t="s">
        <v>132</v>
      </c>
      <c r="AJ232" s="1" t="s">
        <v>5195</v>
      </c>
      <c r="AK232" s="1" t="s">
        <v>5196</v>
      </c>
      <c r="AL232" s="1" t="s">
        <v>132</v>
      </c>
      <c r="AM232" s="1" t="s">
        <v>5197</v>
      </c>
      <c r="AN232" s="1" t="s">
        <v>5197</v>
      </c>
    </row>
    <row r="233" ht="15.75" customHeight="1">
      <c r="A233" s="1" t="s">
        <v>38</v>
      </c>
      <c r="B233" s="1" t="s">
        <v>5198</v>
      </c>
      <c r="C233" s="1" t="s">
        <v>5199</v>
      </c>
      <c r="D233" s="1" t="s">
        <v>132</v>
      </c>
      <c r="E233" s="1" t="s">
        <v>5200</v>
      </c>
      <c r="F233" s="1" t="s">
        <v>5201</v>
      </c>
      <c r="G233" s="1" t="s">
        <v>132</v>
      </c>
      <c r="H233" s="1" t="s">
        <v>132</v>
      </c>
      <c r="I233" s="1" t="s">
        <v>5202</v>
      </c>
      <c r="J233" s="1" t="s">
        <v>132</v>
      </c>
      <c r="K233" s="1" t="s">
        <v>5203</v>
      </c>
      <c r="L233" s="1" t="s">
        <v>132</v>
      </c>
      <c r="M233" s="1" t="s">
        <v>5204</v>
      </c>
      <c r="N233" s="1" t="s">
        <v>5205</v>
      </c>
      <c r="O233" s="1" t="s">
        <v>132</v>
      </c>
      <c r="P233" s="1" t="s">
        <v>5206</v>
      </c>
      <c r="Q233" s="1" t="s">
        <v>132</v>
      </c>
      <c r="R233" s="1" t="s">
        <v>132</v>
      </c>
      <c r="S233" s="1" t="s">
        <v>5207</v>
      </c>
      <c r="T233" s="1" t="s">
        <v>132</v>
      </c>
      <c r="U233" s="1" t="s">
        <v>132</v>
      </c>
      <c r="V233" s="1" t="s">
        <v>132</v>
      </c>
      <c r="W233" s="1" t="s">
        <v>132</v>
      </c>
      <c r="X233" s="1" t="s">
        <v>5208</v>
      </c>
      <c r="Y233" s="1" t="s">
        <v>132</v>
      </c>
      <c r="Z233" s="1" t="s">
        <v>5209</v>
      </c>
      <c r="AA233" s="1" t="s">
        <v>5210</v>
      </c>
      <c r="AB233" s="1" t="s">
        <v>132</v>
      </c>
      <c r="AC233" s="1" t="s">
        <v>132</v>
      </c>
      <c r="AD233" s="1" t="s">
        <v>132</v>
      </c>
      <c r="AE233" s="1" t="s">
        <v>132</v>
      </c>
      <c r="AF233" s="1" t="s">
        <v>132</v>
      </c>
      <c r="AG233" s="1" t="s">
        <v>132</v>
      </c>
      <c r="AH233" s="1" t="s">
        <v>132</v>
      </c>
      <c r="AI233" s="1" t="s">
        <v>132</v>
      </c>
      <c r="AJ233" s="1" t="s">
        <v>132</v>
      </c>
      <c r="AK233" s="1" t="s">
        <v>132</v>
      </c>
      <c r="AL233" s="1" t="s">
        <v>132</v>
      </c>
      <c r="AM233" s="1" t="s">
        <v>132</v>
      </c>
      <c r="AN233" s="1" t="s">
        <v>132</v>
      </c>
    </row>
    <row r="234" ht="15.75" customHeight="1">
      <c r="A234" s="1" t="s">
        <v>38</v>
      </c>
      <c r="B234" s="1" t="s">
        <v>5211</v>
      </c>
      <c r="C234" s="1" t="s">
        <v>5212</v>
      </c>
      <c r="D234" s="8" t="s">
        <v>5213</v>
      </c>
      <c r="E234" s="1" t="s">
        <v>5214</v>
      </c>
      <c r="F234" s="1" t="s">
        <v>5215</v>
      </c>
      <c r="G234" s="1" t="s">
        <v>132</v>
      </c>
      <c r="H234" s="1" t="s">
        <v>132</v>
      </c>
      <c r="I234" s="1" t="s">
        <v>5216</v>
      </c>
      <c r="J234" s="1" t="s">
        <v>132</v>
      </c>
      <c r="K234" s="1" t="s">
        <v>5217</v>
      </c>
      <c r="L234" s="1" t="s">
        <v>132</v>
      </c>
      <c r="M234" s="1" t="s">
        <v>5218</v>
      </c>
      <c r="N234" s="1" t="s">
        <v>5219</v>
      </c>
      <c r="O234" s="1" t="s">
        <v>132</v>
      </c>
      <c r="P234" s="1" t="s">
        <v>5220</v>
      </c>
      <c r="Q234" s="1" t="s">
        <v>132</v>
      </c>
      <c r="R234" s="1" t="s">
        <v>132</v>
      </c>
      <c r="S234" s="1" t="s">
        <v>5221</v>
      </c>
      <c r="T234" s="1" t="s">
        <v>132</v>
      </c>
      <c r="U234" s="1" t="s">
        <v>5222</v>
      </c>
      <c r="V234" s="1" t="s">
        <v>132</v>
      </c>
      <c r="W234" s="1" t="s">
        <v>132</v>
      </c>
      <c r="X234" s="1" t="s">
        <v>5223</v>
      </c>
      <c r="Y234" s="1" t="s">
        <v>132</v>
      </c>
      <c r="Z234" s="1" t="s">
        <v>5224</v>
      </c>
      <c r="AA234" s="1" t="s">
        <v>5225</v>
      </c>
      <c r="AB234" s="1" t="s">
        <v>132</v>
      </c>
      <c r="AC234" s="1" t="s">
        <v>5226</v>
      </c>
      <c r="AD234" s="1" t="s">
        <v>132</v>
      </c>
      <c r="AE234" s="1" t="s">
        <v>132</v>
      </c>
      <c r="AF234" s="1" t="s">
        <v>5227</v>
      </c>
      <c r="AG234" s="1" t="s">
        <v>132</v>
      </c>
      <c r="AH234" s="1" t="s">
        <v>132</v>
      </c>
      <c r="AI234" s="1" t="s">
        <v>132</v>
      </c>
      <c r="AJ234" s="1" t="s">
        <v>132</v>
      </c>
      <c r="AK234" s="1" t="s">
        <v>132</v>
      </c>
      <c r="AL234" s="1" t="s">
        <v>132</v>
      </c>
      <c r="AM234" s="1" t="s">
        <v>132</v>
      </c>
      <c r="AN234" s="1" t="s">
        <v>132</v>
      </c>
    </row>
    <row r="235" ht="15.75" customHeight="1">
      <c r="A235" s="1" t="s">
        <v>38</v>
      </c>
      <c r="B235" s="1" t="s">
        <v>5228</v>
      </c>
      <c r="C235" s="1" t="s">
        <v>5229</v>
      </c>
      <c r="D235" s="1" t="s">
        <v>132</v>
      </c>
      <c r="E235" s="1" t="s">
        <v>132</v>
      </c>
      <c r="F235" s="1" t="s">
        <v>132</v>
      </c>
      <c r="G235" s="1" t="s">
        <v>132</v>
      </c>
      <c r="H235" s="1" t="s">
        <v>132</v>
      </c>
      <c r="I235" s="1" t="s">
        <v>5230</v>
      </c>
      <c r="J235" s="1" t="s">
        <v>132</v>
      </c>
      <c r="K235" s="1" t="s">
        <v>5231</v>
      </c>
      <c r="L235" s="1" t="s">
        <v>132</v>
      </c>
      <c r="M235" s="1" t="s">
        <v>5229</v>
      </c>
      <c r="N235" s="1" t="s">
        <v>132</v>
      </c>
      <c r="O235" s="1" t="s">
        <v>132</v>
      </c>
      <c r="P235" s="1" t="s">
        <v>5229</v>
      </c>
      <c r="Q235" s="1" t="s">
        <v>132</v>
      </c>
      <c r="R235" s="1" t="s">
        <v>132</v>
      </c>
      <c r="S235" s="1" t="s">
        <v>132</v>
      </c>
      <c r="T235" s="1" t="s">
        <v>132</v>
      </c>
      <c r="U235" s="1" t="s">
        <v>132</v>
      </c>
      <c r="V235" s="1" t="s">
        <v>132</v>
      </c>
      <c r="W235" s="1" t="s">
        <v>132</v>
      </c>
      <c r="X235" s="1" t="s">
        <v>132</v>
      </c>
      <c r="Y235" s="1" t="s">
        <v>132</v>
      </c>
      <c r="Z235" s="1" t="s">
        <v>132</v>
      </c>
      <c r="AA235" s="1" t="s">
        <v>132</v>
      </c>
      <c r="AB235" s="1" t="s">
        <v>132</v>
      </c>
      <c r="AC235" s="1" t="s">
        <v>5232</v>
      </c>
      <c r="AD235" s="1" t="s">
        <v>132</v>
      </c>
      <c r="AE235" s="1" t="s">
        <v>132</v>
      </c>
      <c r="AF235" s="1" t="s">
        <v>5230</v>
      </c>
      <c r="AG235" s="1" t="s">
        <v>132</v>
      </c>
      <c r="AH235" s="1" t="s">
        <v>132</v>
      </c>
      <c r="AI235" s="1" t="s">
        <v>132</v>
      </c>
      <c r="AJ235" s="1" t="s">
        <v>132</v>
      </c>
      <c r="AK235" s="1" t="s">
        <v>132</v>
      </c>
      <c r="AL235" s="1" t="s">
        <v>132</v>
      </c>
      <c r="AM235" s="1" t="s">
        <v>132</v>
      </c>
      <c r="AN235" s="1" t="s">
        <v>132</v>
      </c>
    </row>
    <row r="236" ht="15.75" customHeight="1">
      <c r="A236" s="1" t="s">
        <v>38</v>
      </c>
      <c r="B236" s="1" t="s">
        <v>5233</v>
      </c>
      <c r="C236" s="1" t="s">
        <v>5234</v>
      </c>
      <c r="D236" s="8" t="s">
        <v>5235</v>
      </c>
      <c r="E236" s="1" t="s">
        <v>5236</v>
      </c>
      <c r="F236" s="1" t="s">
        <v>5237</v>
      </c>
      <c r="G236" s="1" t="s">
        <v>132</v>
      </c>
      <c r="H236" s="1" t="s">
        <v>132</v>
      </c>
      <c r="I236" s="1" t="s">
        <v>5234</v>
      </c>
      <c r="J236" s="1" t="s">
        <v>132</v>
      </c>
      <c r="K236" s="1" t="s">
        <v>5237</v>
      </c>
      <c r="L236" s="1" t="s">
        <v>132</v>
      </c>
      <c r="M236" s="1" t="s">
        <v>5238</v>
      </c>
      <c r="N236" s="1" t="s">
        <v>5237</v>
      </c>
      <c r="O236" s="1" t="s">
        <v>132</v>
      </c>
      <c r="P236" s="1" t="s">
        <v>5239</v>
      </c>
      <c r="Q236" s="1" t="s">
        <v>5234</v>
      </c>
      <c r="R236" s="1" t="s">
        <v>132</v>
      </c>
      <c r="S236" s="1" t="s">
        <v>5240</v>
      </c>
      <c r="T236" s="1" t="s">
        <v>132</v>
      </c>
      <c r="U236" s="1" t="s">
        <v>5241</v>
      </c>
      <c r="V236" s="1" t="s">
        <v>5242</v>
      </c>
      <c r="W236" s="1" t="s">
        <v>132</v>
      </c>
      <c r="X236" s="1" t="s">
        <v>5234</v>
      </c>
      <c r="Y236" s="1" t="s">
        <v>132</v>
      </c>
      <c r="Z236" s="1" t="s">
        <v>5234</v>
      </c>
      <c r="AA236" s="1" t="s">
        <v>5237</v>
      </c>
      <c r="AB236" s="1" t="s">
        <v>132</v>
      </c>
      <c r="AC236" s="1" t="s">
        <v>5236</v>
      </c>
      <c r="AD236" s="1" t="s">
        <v>5239</v>
      </c>
      <c r="AE236" s="1" t="s">
        <v>132</v>
      </c>
      <c r="AF236" s="1" t="s">
        <v>5236</v>
      </c>
      <c r="AG236" s="1" t="s">
        <v>5234</v>
      </c>
      <c r="AH236" s="1" t="s">
        <v>132</v>
      </c>
      <c r="AI236" s="1" t="s">
        <v>132</v>
      </c>
      <c r="AJ236" s="1" t="s">
        <v>5236</v>
      </c>
      <c r="AK236" s="1" t="s">
        <v>5243</v>
      </c>
      <c r="AL236" s="1" t="s">
        <v>132</v>
      </c>
      <c r="AM236" s="1" t="s">
        <v>5244</v>
      </c>
      <c r="AN236" s="1" t="s">
        <v>5244</v>
      </c>
    </row>
    <row r="237" ht="15.75" customHeight="1">
      <c r="A237" s="1" t="s">
        <v>38</v>
      </c>
      <c r="B237" s="1" t="s">
        <v>5245</v>
      </c>
      <c r="C237" s="1" t="s">
        <v>5246</v>
      </c>
      <c r="D237" s="1" t="s">
        <v>132</v>
      </c>
      <c r="E237" s="1" t="s">
        <v>5247</v>
      </c>
      <c r="F237" s="1" t="s">
        <v>132</v>
      </c>
      <c r="G237" s="1" t="s">
        <v>132</v>
      </c>
      <c r="H237" s="1" t="s">
        <v>132</v>
      </c>
      <c r="I237" s="1" t="s">
        <v>5248</v>
      </c>
      <c r="J237" s="1" t="s">
        <v>132</v>
      </c>
      <c r="K237" s="1" t="s">
        <v>5249</v>
      </c>
      <c r="L237" s="1" t="s">
        <v>132</v>
      </c>
      <c r="M237" s="1" t="s">
        <v>5250</v>
      </c>
      <c r="N237" s="1" t="s">
        <v>5251</v>
      </c>
      <c r="O237" s="1" t="s">
        <v>132</v>
      </c>
      <c r="P237" s="1" t="s">
        <v>5252</v>
      </c>
      <c r="Q237" s="1" t="s">
        <v>132</v>
      </c>
      <c r="R237" s="1" t="s">
        <v>132</v>
      </c>
      <c r="S237" s="1" t="s">
        <v>5253</v>
      </c>
      <c r="T237" s="1" t="s">
        <v>132</v>
      </c>
      <c r="U237" s="1" t="s">
        <v>132</v>
      </c>
      <c r="V237" s="1" t="s">
        <v>132</v>
      </c>
      <c r="W237" s="1" t="s">
        <v>132</v>
      </c>
      <c r="X237" s="1" t="s">
        <v>5254</v>
      </c>
      <c r="Y237" s="1" t="s">
        <v>132</v>
      </c>
      <c r="Z237" s="1" t="s">
        <v>5255</v>
      </c>
      <c r="AA237" s="1" t="s">
        <v>132</v>
      </c>
      <c r="AB237" s="1" t="s">
        <v>132</v>
      </c>
      <c r="AC237" s="1" t="s">
        <v>132</v>
      </c>
      <c r="AD237" s="1" t="s">
        <v>132</v>
      </c>
      <c r="AE237" s="1" t="s">
        <v>132</v>
      </c>
      <c r="AF237" s="1" t="s">
        <v>132</v>
      </c>
      <c r="AG237" s="1" t="s">
        <v>132</v>
      </c>
      <c r="AH237" s="1" t="s">
        <v>132</v>
      </c>
      <c r="AI237" s="1" t="s">
        <v>132</v>
      </c>
      <c r="AJ237" s="1" t="s">
        <v>132</v>
      </c>
      <c r="AK237" s="1" t="s">
        <v>132</v>
      </c>
      <c r="AL237" s="1" t="s">
        <v>132</v>
      </c>
      <c r="AM237" s="1" t="s">
        <v>132</v>
      </c>
      <c r="AN237" s="1" t="s">
        <v>132</v>
      </c>
    </row>
    <row r="238" ht="15.75" customHeight="1">
      <c r="A238" s="1" t="s">
        <v>127</v>
      </c>
      <c r="B238" s="1" t="s">
        <v>5256</v>
      </c>
      <c r="C238" s="1" t="s">
        <v>5257</v>
      </c>
      <c r="D238" s="8" t="s">
        <v>5258</v>
      </c>
      <c r="E238" s="1" t="s">
        <v>5259</v>
      </c>
      <c r="F238" s="1" t="s">
        <v>132</v>
      </c>
      <c r="G238" s="1" t="s">
        <v>5260</v>
      </c>
      <c r="H238" s="1" t="s">
        <v>5261</v>
      </c>
      <c r="I238" s="1" t="s">
        <v>5262</v>
      </c>
      <c r="J238" s="1" t="s">
        <v>5263</v>
      </c>
      <c r="K238" s="1" t="s">
        <v>5264</v>
      </c>
      <c r="L238" s="1" t="s">
        <v>5265</v>
      </c>
      <c r="M238" s="1" t="s">
        <v>5266</v>
      </c>
      <c r="N238" s="1" t="s">
        <v>132</v>
      </c>
      <c r="O238" s="1" t="s">
        <v>5267</v>
      </c>
      <c r="P238" s="1" t="s">
        <v>5268</v>
      </c>
      <c r="Q238" s="1" t="s">
        <v>132</v>
      </c>
      <c r="R238" s="1" t="s">
        <v>5269</v>
      </c>
      <c r="S238" s="1" t="s">
        <v>5270</v>
      </c>
      <c r="T238" s="8" t="s">
        <v>5271</v>
      </c>
      <c r="U238" s="1" t="s">
        <v>5272</v>
      </c>
      <c r="V238" s="1" t="s">
        <v>5273</v>
      </c>
      <c r="W238" s="1" t="s">
        <v>5274</v>
      </c>
      <c r="X238" s="1" t="s">
        <v>5275</v>
      </c>
      <c r="Y238" s="1" t="s">
        <v>5276</v>
      </c>
      <c r="Z238" s="1" t="s">
        <v>5277</v>
      </c>
      <c r="AA238" s="1" t="s">
        <v>5278</v>
      </c>
      <c r="AB238" s="1" t="s">
        <v>5279</v>
      </c>
      <c r="AC238" s="1" t="s">
        <v>5280</v>
      </c>
      <c r="AD238" s="1" t="s">
        <v>5281</v>
      </c>
      <c r="AE238" s="1" t="s">
        <v>5282</v>
      </c>
      <c r="AF238" s="1" t="s">
        <v>5283</v>
      </c>
      <c r="AG238" s="1" t="s">
        <v>5284</v>
      </c>
      <c r="AH238" s="1" t="s">
        <v>5285</v>
      </c>
      <c r="AI238" s="1" t="s">
        <v>5286</v>
      </c>
      <c r="AJ238" s="1" t="s">
        <v>132</v>
      </c>
      <c r="AK238" s="1" t="s">
        <v>5287</v>
      </c>
      <c r="AL238" s="1" t="s">
        <v>5288</v>
      </c>
      <c r="AM238" s="1" t="s">
        <v>132</v>
      </c>
      <c r="AN238" s="1" t="s">
        <v>132</v>
      </c>
    </row>
    <row r="239" ht="15.75" customHeight="1">
      <c r="A239" s="1" t="s">
        <v>127</v>
      </c>
      <c r="B239" s="1" t="s">
        <v>5289</v>
      </c>
      <c r="C239" s="1" t="s">
        <v>5290</v>
      </c>
      <c r="D239" s="8" t="s">
        <v>5291</v>
      </c>
      <c r="E239" s="1" t="s">
        <v>5292</v>
      </c>
      <c r="F239" s="1" t="s">
        <v>132</v>
      </c>
      <c r="G239" s="1" t="s">
        <v>5293</v>
      </c>
      <c r="H239" s="1" t="s">
        <v>5294</v>
      </c>
      <c r="I239" s="1" t="s">
        <v>5295</v>
      </c>
      <c r="J239" s="1" t="s">
        <v>5296</v>
      </c>
      <c r="K239" s="1" t="s">
        <v>5297</v>
      </c>
      <c r="L239" s="1" t="s">
        <v>5298</v>
      </c>
      <c r="M239" s="1" t="s">
        <v>5299</v>
      </c>
      <c r="N239" s="1" t="s">
        <v>132</v>
      </c>
      <c r="O239" s="1" t="s">
        <v>5300</v>
      </c>
      <c r="P239" s="1" t="s">
        <v>5301</v>
      </c>
      <c r="Q239" s="1" t="s">
        <v>132</v>
      </c>
      <c r="R239" s="1" t="s">
        <v>5302</v>
      </c>
      <c r="S239" s="1" t="s">
        <v>5303</v>
      </c>
      <c r="T239" s="8" t="s">
        <v>5304</v>
      </c>
      <c r="U239" s="1" t="s">
        <v>5305</v>
      </c>
      <c r="V239" s="1" t="s">
        <v>5306</v>
      </c>
      <c r="W239" s="1" t="s">
        <v>5307</v>
      </c>
      <c r="X239" s="1" t="s">
        <v>5308</v>
      </c>
      <c r="Y239" s="1" t="s">
        <v>5309</v>
      </c>
      <c r="Z239" s="1" t="s">
        <v>5310</v>
      </c>
      <c r="AA239" s="1" t="s">
        <v>5311</v>
      </c>
      <c r="AB239" s="1" t="s">
        <v>5312</v>
      </c>
      <c r="AC239" s="1" t="s">
        <v>5313</v>
      </c>
      <c r="AD239" s="1" t="s">
        <v>5314</v>
      </c>
      <c r="AE239" s="1" t="s">
        <v>5315</v>
      </c>
      <c r="AF239" s="1" t="s">
        <v>5316</v>
      </c>
      <c r="AG239" s="1" t="s">
        <v>5317</v>
      </c>
      <c r="AH239" s="1" t="s">
        <v>5318</v>
      </c>
      <c r="AI239" s="1" t="s">
        <v>5319</v>
      </c>
      <c r="AJ239" s="1" t="s">
        <v>132</v>
      </c>
      <c r="AK239" s="1" t="s">
        <v>5320</v>
      </c>
      <c r="AL239" s="1" t="s">
        <v>5321</v>
      </c>
      <c r="AM239" s="1" t="s">
        <v>5322</v>
      </c>
      <c r="AN239" s="1" t="s">
        <v>5322</v>
      </c>
    </row>
    <row r="240" ht="15.75" customHeight="1">
      <c r="A240" s="1" t="s">
        <v>38</v>
      </c>
      <c r="B240" s="1" t="s">
        <v>5323</v>
      </c>
      <c r="C240" s="1" t="s">
        <v>5324</v>
      </c>
      <c r="D240" s="1" t="s">
        <v>132</v>
      </c>
      <c r="E240" s="1" t="s">
        <v>5325</v>
      </c>
      <c r="F240" s="1" t="s">
        <v>5326</v>
      </c>
      <c r="G240" s="1" t="s">
        <v>132</v>
      </c>
      <c r="H240" s="1" t="s">
        <v>132</v>
      </c>
      <c r="I240" s="1" t="s">
        <v>5327</v>
      </c>
      <c r="J240" s="1" t="s">
        <v>132</v>
      </c>
      <c r="K240" s="1" t="s">
        <v>5328</v>
      </c>
      <c r="L240" s="1" t="s">
        <v>132</v>
      </c>
      <c r="M240" s="1" t="s">
        <v>5329</v>
      </c>
      <c r="N240" s="1" t="s">
        <v>5330</v>
      </c>
      <c r="O240" s="1" t="s">
        <v>132</v>
      </c>
      <c r="P240" s="1" t="s">
        <v>5331</v>
      </c>
      <c r="Q240" s="1" t="s">
        <v>132</v>
      </c>
      <c r="R240" s="1" t="s">
        <v>132</v>
      </c>
      <c r="S240" s="1" t="s">
        <v>5332</v>
      </c>
      <c r="T240" s="1" t="s">
        <v>132</v>
      </c>
      <c r="U240" s="1" t="s">
        <v>132</v>
      </c>
      <c r="V240" s="1" t="s">
        <v>132</v>
      </c>
      <c r="W240" s="1" t="s">
        <v>132</v>
      </c>
      <c r="X240" s="1" t="s">
        <v>5333</v>
      </c>
      <c r="Y240" s="1" t="s">
        <v>132</v>
      </c>
      <c r="Z240" s="1" t="s">
        <v>5334</v>
      </c>
      <c r="AA240" s="1" t="s">
        <v>132</v>
      </c>
      <c r="AB240" s="1" t="s">
        <v>132</v>
      </c>
      <c r="AC240" s="1" t="s">
        <v>5335</v>
      </c>
      <c r="AD240" s="1" t="s">
        <v>132</v>
      </c>
      <c r="AE240" s="1" t="s">
        <v>132</v>
      </c>
      <c r="AF240" s="1" t="s">
        <v>5336</v>
      </c>
      <c r="AG240" s="1" t="s">
        <v>132</v>
      </c>
      <c r="AH240" s="1" t="s">
        <v>132</v>
      </c>
      <c r="AI240" s="1" t="s">
        <v>132</v>
      </c>
      <c r="AJ240" s="1" t="s">
        <v>132</v>
      </c>
      <c r="AK240" s="1" t="s">
        <v>132</v>
      </c>
      <c r="AL240" s="1" t="s">
        <v>132</v>
      </c>
      <c r="AM240" s="1" t="s">
        <v>132</v>
      </c>
      <c r="AN240" s="1" t="s">
        <v>132</v>
      </c>
    </row>
    <row r="241" ht="15.75" customHeight="1">
      <c r="A241" s="1" t="s">
        <v>43182</v>
      </c>
      <c r="B241" s="1" t="s">
        <v>43187</v>
      </c>
      <c r="C241" s="1" t="s">
        <v>43188</v>
      </c>
      <c r="D241" s="1" t="s">
        <v>132</v>
      </c>
      <c r="E241" s="1" t="s">
        <v>132</v>
      </c>
      <c r="F241" s="1" t="s">
        <v>132</v>
      </c>
      <c r="G241" s="1" t="s">
        <v>132</v>
      </c>
      <c r="H241" s="1" t="s">
        <v>132</v>
      </c>
      <c r="I241" s="1" t="s">
        <v>132</v>
      </c>
      <c r="J241" s="1" t="s">
        <v>132</v>
      </c>
      <c r="K241" s="1" t="s">
        <v>132</v>
      </c>
      <c r="L241" s="1" t="s">
        <v>132</v>
      </c>
      <c r="M241" s="1" t="s">
        <v>132</v>
      </c>
      <c r="N241" s="1" t="s">
        <v>132</v>
      </c>
      <c r="O241" s="1" t="s">
        <v>132</v>
      </c>
      <c r="P241" s="1" t="s">
        <v>132</v>
      </c>
      <c r="Q241" s="1" t="s">
        <v>132</v>
      </c>
      <c r="R241" s="1" t="s">
        <v>132</v>
      </c>
      <c r="S241" s="1" t="s">
        <v>132</v>
      </c>
      <c r="T241" s="1" t="s">
        <v>132</v>
      </c>
      <c r="U241" s="1" t="s">
        <v>132</v>
      </c>
      <c r="V241" s="1" t="s">
        <v>132</v>
      </c>
      <c r="W241" s="1" t="s">
        <v>132</v>
      </c>
      <c r="X241" s="1" t="s">
        <v>132</v>
      </c>
      <c r="Y241" s="1" t="s">
        <v>132</v>
      </c>
      <c r="Z241" s="1" t="s">
        <v>132</v>
      </c>
      <c r="AA241" s="1" t="s">
        <v>132</v>
      </c>
      <c r="AB241" s="1" t="s">
        <v>132</v>
      </c>
      <c r="AC241" s="1" t="s">
        <v>132</v>
      </c>
      <c r="AD241" s="1" t="s">
        <v>132</v>
      </c>
      <c r="AE241" s="1" t="s">
        <v>132</v>
      </c>
      <c r="AF241" s="1" t="s">
        <v>132</v>
      </c>
      <c r="AG241" s="1" t="s">
        <v>132</v>
      </c>
      <c r="AH241" s="1" t="s">
        <v>132</v>
      </c>
      <c r="AI241" s="1" t="s">
        <v>132</v>
      </c>
      <c r="AJ241" s="1" t="s">
        <v>132</v>
      </c>
      <c r="AK241" s="1" t="s">
        <v>132</v>
      </c>
      <c r="AL241" s="1" t="s">
        <v>132</v>
      </c>
      <c r="AM241" s="1" t="s">
        <v>132</v>
      </c>
      <c r="AN241" s="1" t="s">
        <v>132</v>
      </c>
    </row>
    <row r="242" ht="15.75" customHeight="1">
      <c r="A242" s="1" t="s">
        <v>127</v>
      </c>
      <c r="B242" s="1" t="s">
        <v>5337</v>
      </c>
      <c r="C242" s="1" t="s">
        <v>5338</v>
      </c>
      <c r="D242" s="8" t="s">
        <v>5339</v>
      </c>
      <c r="E242" s="1" t="s">
        <v>5340</v>
      </c>
      <c r="F242" s="1" t="s">
        <v>132</v>
      </c>
      <c r="G242" s="1" t="s">
        <v>5341</v>
      </c>
      <c r="H242" s="1" t="s">
        <v>5342</v>
      </c>
      <c r="I242" s="1" t="s">
        <v>5343</v>
      </c>
      <c r="J242" s="1" t="s">
        <v>5344</v>
      </c>
      <c r="K242" s="1" t="s">
        <v>5345</v>
      </c>
      <c r="L242" s="1" t="s">
        <v>5346</v>
      </c>
      <c r="M242" s="1" t="s">
        <v>5347</v>
      </c>
      <c r="N242" s="1" t="s">
        <v>132</v>
      </c>
      <c r="O242" s="1" t="s">
        <v>5348</v>
      </c>
      <c r="P242" s="1" t="s">
        <v>5349</v>
      </c>
      <c r="Q242" s="1" t="s">
        <v>132</v>
      </c>
      <c r="R242" s="1" t="s">
        <v>5350</v>
      </c>
      <c r="S242" s="1" t="s">
        <v>5351</v>
      </c>
      <c r="T242" s="8" t="s">
        <v>5352</v>
      </c>
      <c r="U242" s="1" t="s">
        <v>5353</v>
      </c>
      <c r="V242" s="1" t="s">
        <v>5354</v>
      </c>
      <c r="W242" s="1" t="s">
        <v>5350</v>
      </c>
      <c r="X242" s="1" t="s">
        <v>5355</v>
      </c>
      <c r="Y242" s="1" t="s">
        <v>5356</v>
      </c>
      <c r="Z242" s="1" t="s">
        <v>5357</v>
      </c>
      <c r="AA242" s="1" t="s">
        <v>5358</v>
      </c>
      <c r="AB242" s="1" t="s">
        <v>5359</v>
      </c>
      <c r="AC242" s="1" t="s">
        <v>5360</v>
      </c>
      <c r="AD242" s="1" t="s">
        <v>5361</v>
      </c>
      <c r="AE242" s="1" t="s">
        <v>5362</v>
      </c>
      <c r="AF242" s="1" t="s">
        <v>5363</v>
      </c>
      <c r="AG242" s="1" t="s">
        <v>5364</v>
      </c>
      <c r="AH242" s="1" t="s">
        <v>5365</v>
      </c>
      <c r="AI242" s="1" t="s">
        <v>5366</v>
      </c>
      <c r="AJ242" s="1" t="s">
        <v>132</v>
      </c>
      <c r="AK242" s="1" t="s">
        <v>5367</v>
      </c>
      <c r="AL242" s="1" t="s">
        <v>5368</v>
      </c>
      <c r="AM242" s="1" t="s">
        <v>132</v>
      </c>
      <c r="AN242" s="1" t="s">
        <v>132</v>
      </c>
    </row>
    <row r="243" ht="15.75" customHeight="1">
      <c r="A243" s="1" t="s">
        <v>127</v>
      </c>
      <c r="B243" s="1" t="s">
        <v>5369</v>
      </c>
      <c r="C243" s="1" t="s">
        <v>5370</v>
      </c>
      <c r="D243" s="8" t="s">
        <v>5371</v>
      </c>
      <c r="E243" s="1" t="s">
        <v>5372</v>
      </c>
      <c r="F243" s="1" t="s">
        <v>132</v>
      </c>
      <c r="G243" s="1" t="s">
        <v>5373</v>
      </c>
      <c r="H243" s="1" t="s">
        <v>5374</v>
      </c>
      <c r="I243" s="1" t="s">
        <v>5375</v>
      </c>
      <c r="J243" s="1" t="s">
        <v>5376</v>
      </c>
      <c r="K243" s="1" t="s">
        <v>5377</v>
      </c>
      <c r="L243" s="1" t="s">
        <v>5378</v>
      </c>
      <c r="M243" s="1" t="s">
        <v>5379</v>
      </c>
      <c r="N243" s="1" t="s">
        <v>132</v>
      </c>
      <c r="O243" s="1" t="s">
        <v>5380</v>
      </c>
      <c r="P243" s="1" t="s">
        <v>5381</v>
      </c>
      <c r="Q243" s="1" t="s">
        <v>132</v>
      </c>
      <c r="R243" s="1" t="s">
        <v>5382</v>
      </c>
      <c r="S243" s="1" t="s">
        <v>5383</v>
      </c>
      <c r="T243" s="8" t="s">
        <v>5384</v>
      </c>
      <c r="U243" s="1" t="s">
        <v>5385</v>
      </c>
      <c r="V243" s="1" t="s">
        <v>5386</v>
      </c>
      <c r="W243" s="1" t="s">
        <v>5382</v>
      </c>
      <c r="X243" s="1" t="s">
        <v>5387</v>
      </c>
      <c r="Y243" s="1" t="s">
        <v>5374</v>
      </c>
      <c r="Z243" s="1" t="s">
        <v>5373</v>
      </c>
      <c r="AA243" s="1" t="s">
        <v>5388</v>
      </c>
      <c r="AB243" s="1" t="s">
        <v>5389</v>
      </c>
      <c r="AC243" s="1" t="s">
        <v>5390</v>
      </c>
      <c r="AD243" s="1" t="s">
        <v>5373</v>
      </c>
      <c r="AE243" s="1" t="s">
        <v>5391</v>
      </c>
      <c r="AF243" s="1" t="s">
        <v>5392</v>
      </c>
      <c r="AG243" s="1" t="s">
        <v>5374</v>
      </c>
      <c r="AH243" s="1" t="s">
        <v>5393</v>
      </c>
      <c r="AI243" s="1" t="s">
        <v>5394</v>
      </c>
      <c r="AJ243" s="1" t="s">
        <v>132</v>
      </c>
      <c r="AK243" s="1" t="s">
        <v>5395</v>
      </c>
      <c r="AL243" s="1" t="s">
        <v>5396</v>
      </c>
      <c r="AM243" s="1" t="s">
        <v>5397</v>
      </c>
      <c r="AN243" s="1" t="s">
        <v>5397</v>
      </c>
    </row>
    <row r="244" ht="15.75" customHeight="1">
      <c r="A244" s="1" t="s">
        <v>38</v>
      </c>
      <c r="B244" s="1" t="s">
        <v>5398</v>
      </c>
      <c r="C244" s="1" t="s">
        <v>5399</v>
      </c>
      <c r="D244" s="8" t="s">
        <v>5400</v>
      </c>
      <c r="E244" s="1" t="s">
        <v>5401</v>
      </c>
      <c r="F244" s="1" t="s">
        <v>5402</v>
      </c>
      <c r="G244" s="1" t="s">
        <v>132</v>
      </c>
      <c r="H244" s="1" t="s">
        <v>132</v>
      </c>
      <c r="I244" s="1" t="s">
        <v>5403</v>
      </c>
      <c r="J244" s="1" t="s">
        <v>132</v>
      </c>
      <c r="K244" s="1" t="s">
        <v>5404</v>
      </c>
      <c r="L244" s="1" t="s">
        <v>132</v>
      </c>
      <c r="M244" s="1" t="s">
        <v>5405</v>
      </c>
      <c r="N244" s="1" t="s">
        <v>5406</v>
      </c>
      <c r="O244" s="1" t="s">
        <v>132</v>
      </c>
      <c r="P244" s="1" t="s">
        <v>5407</v>
      </c>
      <c r="Q244" s="1" t="s">
        <v>5408</v>
      </c>
      <c r="R244" s="1" t="s">
        <v>132</v>
      </c>
      <c r="S244" s="1" t="s">
        <v>5409</v>
      </c>
      <c r="T244" s="1" t="s">
        <v>132</v>
      </c>
      <c r="U244" s="1" t="s">
        <v>5410</v>
      </c>
      <c r="V244" s="1" t="s">
        <v>5411</v>
      </c>
      <c r="W244" s="1" t="s">
        <v>132</v>
      </c>
      <c r="X244" s="1" t="s">
        <v>5412</v>
      </c>
      <c r="Y244" s="1" t="s">
        <v>132</v>
      </c>
      <c r="Z244" s="1" t="s">
        <v>5413</v>
      </c>
      <c r="AA244" s="1" t="s">
        <v>5414</v>
      </c>
      <c r="AB244" s="1" t="s">
        <v>132</v>
      </c>
      <c r="AC244" s="1" t="s">
        <v>5415</v>
      </c>
      <c r="AD244" s="1" t="s">
        <v>5416</v>
      </c>
      <c r="AE244" s="1" t="s">
        <v>132</v>
      </c>
      <c r="AF244" s="1" t="s">
        <v>5417</v>
      </c>
      <c r="AG244" s="1" t="s">
        <v>5418</v>
      </c>
      <c r="AH244" s="1" t="s">
        <v>132</v>
      </c>
      <c r="AI244" s="1" t="s">
        <v>132</v>
      </c>
      <c r="AJ244" s="1" t="s">
        <v>5419</v>
      </c>
      <c r="AK244" s="1" t="s">
        <v>5420</v>
      </c>
      <c r="AL244" s="1" t="s">
        <v>132</v>
      </c>
      <c r="AM244" s="1" t="s">
        <v>5421</v>
      </c>
      <c r="AN244" s="1" t="s">
        <v>5421</v>
      </c>
    </row>
    <row r="245" ht="15.75" customHeight="1">
      <c r="A245" s="1" t="s">
        <v>38</v>
      </c>
      <c r="B245" s="1" t="s">
        <v>5422</v>
      </c>
      <c r="C245" s="1" t="s">
        <v>5423</v>
      </c>
      <c r="D245" s="8" t="s">
        <v>5424</v>
      </c>
      <c r="E245" s="1" t="s">
        <v>5425</v>
      </c>
      <c r="F245" s="1" t="s">
        <v>5426</v>
      </c>
      <c r="G245" s="1" t="s">
        <v>132</v>
      </c>
      <c r="H245" s="1" t="s">
        <v>132</v>
      </c>
      <c r="I245" s="1" t="s">
        <v>5427</v>
      </c>
      <c r="J245" s="1" t="s">
        <v>132</v>
      </c>
      <c r="K245" s="1" t="s">
        <v>5428</v>
      </c>
      <c r="L245" s="1" t="s">
        <v>132</v>
      </c>
      <c r="M245" s="1" t="s">
        <v>5429</v>
      </c>
      <c r="N245" s="1" t="s">
        <v>5430</v>
      </c>
      <c r="O245" s="1" t="s">
        <v>132</v>
      </c>
      <c r="P245" s="1" t="s">
        <v>5431</v>
      </c>
      <c r="Q245" s="1" t="s">
        <v>5432</v>
      </c>
      <c r="R245" s="1" t="s">
        <v>132</v>
      </c>
      <c r="S245" s="1" t="s">
        <v>5433</v>
      </c>
      <c r="T245" s="1" t="s">
        <v>132</v>
      </c>
      <c r="U245" s="1" t="s">
        <v>5434</v>
      </c>
      <c r="V245" s="1" t="s">
        <v>5435</v>
      </c>
      <c r="W245" s="1" t="s">
        <v>132</v>
      </c>
      <c r="X245" s="1" t="s">
        <v>5436</v>
      </c>
      <c r="Y245" s="1" t="s">
        <v>132</v>
      </c>
      <c r="Z245" s="1" t="s">
        <v>5437</v>
      </c>
      <c r="AA245" s="1" t="s">
        <v>5438</v>
      </c>
      <c r="AB245" s="1" t="s">
        <v>132</v>
      </c>
      <c r="AC245" s="1" t="s">
        <v>5439</v>
      </c>
      <c r="AD245" s="1" t="s">
        <v>5440</v>
      </c>
      <c r="AE245" s="1" t="s">
        <v>132</v>
      </c>
      <c r="AF245" s="1" t="s">
        <v>5441</v>
      </c>
      <c r="AG245" s="1" t="s">
        <v>5442</v>
      </c>
      <c r="AH245" s="1" t="s">
        <v>132</v>
      </c>
      <c r="AI245" s="1" t="s">
        <v>132</v>
      </c>
      <c r="AJ245" s="1" t="s">
        <v>5443</v>
      </c>
      <c r="AK245" s="1" t="s">
        <v>5444</v>
      </c>
      <c r="AL245" s="1" t="s">
        <v>132</v>
      </c>
      <c r="AM245" s="1" t="s">
        <v>5445</v>
      </c>
      <c r="AN245" s="1" t="s">
        <v>5445</v>
      </c>
    </row>
    <row r="246" ht="15.75" customHeight="1">
      <c r="A246" s="1" t="s">
        <v>127</v>
      </c>
      <c r="B246" s="1" t="s">
        <v>5446</v>
      </c>
      <c r="C246" s="1" t="s">
        <v>5447</v>
      </c>
      <c r="D246" s="8" t="s">
        <v>5448</v>
      </c>
      <c r="E246" s="1" t="s">
        <v>5449</v>
      </c>
      <c r="F246" s="1" t="s">
        <v>132</v>
      </c>
      <c r="G246" s="1" t="s">
        <v>5450</v>
      </c>
      <c r="H246" s="1" t="s">
        <v>5451</v>
      </c>
      <c r="I246" s="1" t="s">
        <v>5452</v>
      </c>
      <c r="J246" s="1" t="s">
        <v>5453</v>
      </c>
      <c r="K246" s="1" t="s">
        <v>5454</v>
      </c>
      <c r="L246" s="1" t="s">
        <v>5455</v>
      </c>
      <c r="M246" s="1" t="s">
        <v>5456</v>
      </c>
      <c r="N246" s="1" t="s">
        <v>132</v>
      </c>
      <c r="O246" s="1" t="s">
        <v>5457</v>
      </c>
      <c r="P246" s="1" t="s">
        <v>5458</v>
      </c>
      <c r="Q246" s="1" t="s">
        <v>132</v>
      </c>
      <c r="R246" s="1" t="s">
        <v>5459</v>
      </c>
      <c r="S246" s="1" t="s">
        <v>5460</v>
      </c>
      <c r="T246" s="8" t="s">
        <v>5461</v>
      </c>
      <c r="U246" s="1" t="s">
        <v>5462</v>
      </c>
      <c r="V246" s="1" t="s">
        <v>5463</v>
      </c>
      <c r="W246" s="1" t="s">
        <v>5459</v>
      </c>
      <c r="X246" s="1" t="s">
        <v>5464</v>
      </c>
      <c r="Y246" s="1" t="s">
        <v>5465</v>
      </c>
      <c r="Z246" s="1" t="s">
        <v>5466</v>
      </c>
      <c r="AA246" s="1" t="s">
        <v>5454</v>
      </c>
      <c r="AB246" s="1" t="s">
        <v>5467</v>
      </c>
      <c r="AC246" s="1" t="s">
        <v>5468</v>
      </c>
      <c r="AD246" s="1" t="s">
        <v>5469</v>
      </c>
      <c r="AE246" s="1" t="s">
        <v>5470</v>
      </c>
      <c r="AF246" s="1" t="s">
        <v>5471</v>
      </c>
      <c r="AG246" s="1" t="s">
        <v>5472</v>
      </c>
      <c r="AH246" s="1" t="s">
        <v>5473</v>
      </c>
      <c r="AI246" s="1" t="s">
        <v>5474</v>
      </c>
      <c r="AJ246" s="1" t="s">
        <v>132</v>
      </c>
      <c r="AK246" s="1" t="s">
        <v>5475</v>
      </c>
      <c r="AL246" s="1" t="s">
        <v>5476</v>
      </c>
      <c r="AM246" s="1" t="s">
        <v>5477</v>
      </c>
      <c r="AN246" s="1" t="s">
        <v>5477</v>
      </c>
    </row>
    <row r="247" ht="15.75" customHeight="1">
      <c r="A247" s="1" t="s">
        <v>127</v>
      </c>
      <c r="B247" s="1" t="s">
        <v>5478</v>
      </c>
      <c r="C247" s="1" t="s">
        <v>5479</v>
      </c>
      <c r="D247" s="8" t="s">
        <v>5480</v>
      </c>
      <c r="E247" s="1" t="s">
        <v>5481</v>
      </c>
      <c r="F247" s="1" t="s">
        <v>132</v>
      </c>
      <c r="G247" s="1" t="s">
        <v>5482</v>
      </c>
      <c r="H247" s="1" t="s">
        <v>5483</v>
      </c>
      <c r="I247" s="1" t="s">
        <v>5484</v>
      </c>
      <c r="J247" s="1" t="s">
        <v>5485</v>
      </c>
      <c r="K247" s="1" t="s">
        <v>5486</v>
      </c>
      <c r="L247" s="1" t="s">
        <v>5487</v>
      </c>
      <c r="M247" s="1" t="s">
        <v>5488</v>
      </c>
      <c r="N247" s="1" t="s">
        <v>132</v>
      </c>
      <c r="O247" s="1" t="s">
        <v>5489</v>
      </c>
      <c r="P247" s="1" t="s">
        <v>5490</v>
      </c>
      <c r="Q247" s="1" t="s">
        <v>132</v>
      </c>
      <c r="R247" s="1" t="s">
        <v>5491</v>
      </c>
      <c r="S247" s="1" t="s">
        <v>5492</v>
      </c>
      <c r="T247" s="8" t="s">
        <v>5493</v>
      </c>
      <c r="U247" s="1" t="s">
        <v>5494</v>
      </c>
      <c r="V247" s="1" t="s">
        <v>5495</v>
      </c>
      <c r="W247" s="1" t="s">
        <v>5496</v>
      </c>
      <c r="X247" s="1" t="s">
        <v>5497</v>
      </c>
      <c r="Y247" s="1" t="s">
        <v>5498</v>
      </c>
      <c r="Z247" s="1" t="s">
        <v>5499</v>
      </c>
      <c r="AA247" s="1" t="s">
        <v>5500</v>
      </c>
      <c r="AB247" s="1" t="s">
        <v>5501</v>
      </c>
      <c r="AC247" s="1" t="s">
        <v>5502</v>
      </c>
      <c r="AD247" s="1" t="s">
        <v>5503</v>
      </c>
      <c r="AE247" s="1" t="s">
        <v>5504</v>
      </c>
      <c r="AF247" s="1" t="s">
        <v>5505</v>
      </c>
      <c r="AG247" s="1" t="s">
        <v>5506</v>
      </c>
      <c r="AH247" s="1" t="s">
        <v>5507</v>
      </c>
      <c r="AI247" s="1" t="s">
        <v>5508</v>
      </c>
      <c r="AJ247" s="1" t="s">
        <v>132</v>
      </c>
      <c r="AK247" s="1" t="s">
        <v>5509</v>
      </c>
      <c r="AL247" s="1" t="s">
        <v>5510</v>
      </c>
      <c r="AM247" s="1" t="s">
        <v>132</v>
      </c>
      <c r="AN247" s="1" t="s">
        <v>132</v>
      </c>
    </row>
    <row r="248" ht="15.75" customHeight="1">
      <c r="A248" s="1" t="s">
        <v>38</v>
      </c>
      <c r="B248" s="1" t="s">
        <v>5511</v>
      </c>
      <c r="C248" s="1" t="s">
        <v>5512</v>
      </c>
      <c r="D248" s="1" t="s">
        <v>132</v>
      </c>
      <c r="E248" s="1" t="s">
        <v>132</v>
      </c>
      <c r="F248" s="1" t="s">
        <v>132</v>
      </c>
      <c r="G248" s="1" t="s">
        <v>132</v>
      </c>
      <c r="H248" s="1" t="s">
        <v>132</v>
      </c>
      <c r="I248" s="1" t="s">
        <v>5512</v>
      </c>
      <c r="J248" s="1" t="s">
        <v>132</v>
      </c>
      <c r="K248" s="1" t="s">
        <v>5513</v>
      </c>
      <c r="L248" s="1" t="s">
        <v>132</v>
      </c>
      <c r="M248" s="1" t="s">
        <v>5512</v>
      </c>
      <c r="N248" s="1" t="s">
        <v>132</v>
      </c>
      <c r="O248" s="1" t="s">
        <v>132</v>
      </c>
      <c r="P248" s="1" t="s">
        <v>5512</v>
      </c>
      <c r="Q248" s="1" t="s">
        <v>132</v>
      </c>
      <c r="R248" s="1" t="s">
        <v>132</v>
      </c>
      <c r="S248" s="1" t="s">
        <v>132</v>
      </c>
      <c r="T248" s="1" t="s">
        <v>132</v>
      </c>
      <c r="U248" s="1" t="s">
        <v>132</v>
      </c>
      <c r="V248" s="1" t="s">
        <v>132</v>
      </c>
      <c r="W248" s="1" t="s">
        <v>132</v>
      </c>
      <c r="X248" s="1" t="s">
        <v>132</v>
      </c>
      <c r="Y248" s="1" t="s">
        <v>132</v>
      </c>
      <c r="Z248" s="1" t="s">
        <v>132</v>
      </c>
      <c r="AA248" s="1" t="s">
        <v>132</v>
      </c>
      <c r="AB248" s="1" t="s">
        <v>132</v>
      </c>
      <c r="AC248" s="1" t="s">
        <v>5514</v>
      </c>
      <c r="AD248" s="1" t="s">
        <v>132</v>
      </c>
      <c r="AE248" s="1" t="s">
        <v>132</v>
      </c>
      <c r="AF248" s="1" t="s">
        <v>5515</v>
      </c>
      <c r="AG248" s="1" t="s">
        <v>132</v>
      </c>
      <c r="AH248" s="1" t="s">
        <v>132</v>
      </c>
      <c r="AI248" s="1" t="s">
        <v>132</v>
      </c>
      <c r="AJ248" s="1" t="s">
        <v>132</v>
      </c>
      <c r="AK248" s="1" t="s">
        <v>132</v>
      </c>
      <c r="AL248" s="1" t="s">
        <v>132</v>
      </c>
      <c r="AM248" s="1" t="s">
        <v>132</v>
      </c>
      <c r="AN248" s="1" t="s">
        <v>132</v>
      </c>
    </row>
    <row r="249" ht="15.75" customHeight="1">
      <c r="A249" s="1" t="s">
        <v>38</v>
      </c>
      <c r="B249" s="1" t="s">
        <v>5516</v>
      </c>
      <c r="C249" s="1" t="s">
        <v>5517</v>
      </c>
      <c r="D249" s="1" t="s">
        <v>132</v>
      </c>
      <c r="E249" s="1" t="s">
        <v>132</v>
      </c>
      <c r="F249" s="1" t="s">
        <v>132</v>
      </c>
      <c r="G249" s="1" t="s">
        <v>132</v>
      </c>
      <c r="H249" s="1" t="s">
        <v>132</v>
      </c>
      <c r="I249" s="1" t="s">
        <v>5518</v>
      </c>
      <c r="J249" s="1" t="s">
        <v>132</v>
      </c>
      <c r="K249" s="1" t="s">
        <v>5519</v>
      </c>
      <c r="L249" s="1" t="s">
        <v>132</v>
      </c>
      <c r="M249" s="1" t="s">
        <v>5520</v>
      </c>
      <c r="N249" s="1" t="s">
        <v>132</v>
      </c>
      <c r="O249" s="1" t="s">
        <v>132</v>
      </c>
      <c r="P249" s="1" t="s">
        <v>5517</v>
      </c>
      <c r="Q249" s="1" t="s">
        <v>132</v>
      </c>
      <c r="R249" s="1" t="s">
        <v>132</v>
      </c>
      <c r="S249" s="1" t="s">
        <v>132</v>
      </c>
      <c r="T249" s="1" t="s">
        <v>132</v>
      </c>
      <c r="U249" s="1" t="s">
        <v>132</v>
      </c>
      <c r="V249" s="1" t="s">
        <v>132</v>
      </c>
      <c r="W249" s="1" t="s">
        <v>132</v>
      </c>
      <c r="X249" s="1" t="s">
        <v>132</v>
      </c>
      <c r="Y249" s="1" t="s">
        <v>132</v>
      </c>
      <c r="Z249" s="1" t="s">
        <v>132</v>
      </c>
      <c r="AA249" s="1" t="s">
        <v>132</v>
      </c>
      <c r="AB249" s="1" t="s">
        <v>132</v>
      </c>
      <c r="AC249" s="1" t="s">
        <v>5522</v>
      </c>
      <c r="AD249" s="1" t="s">
        <v>132</v>
      </c>
      <c r="AE249" s="1" t="s">
        <v>132</v>
      </c>
      <c r="AF249" s="1" t="s">
        <v>5523</v>
      </c>
      <c r="AG249" s="1" t="s">
        <v>132</v>
      </c>
      <c r="AH249" s="1" t="s">
        <v>132</v>
      </c>
      <c r="AI249" s="1" t="s">
        <v>132</v>
      </c>
      <c r="AJ249" s="1" t="s">
        <v>132</v>
      </c>
      <c r="AK249" s="1" t="s">
        <v>132</v>
      </c>
      <c r="AL249" s="1" t="s">
        <v>132</v>
      </c>
      <c r="AM249" s="1" t="s">
        <v>132</v>
      </c>
      <c r="AN249" s="1" t="s">
        <v>132</v>
      </c>
    </row>
    <row r="250" ht="15.75" customHeight="1">
      <c r="A250" s="1" t="s">
        <v>4051</v>
      </c>
      <c r="B250" s="1" t="s">
        <v>5524</v>
      </c>
      <c r="C250" s="1" t="s">
        <v>5525</v>
      </c>
      <c r="D250" s="1" t="s">
        <v>132</v>
      </c>
      <c r="E250" s="1" t="s">
        <v>5526</v>
      </c>
      <c r="F250" s="1" t="s">
        <v>132</v>
      </c>
      <c r="G250" s="1" t="s">
        <v>5527</v>
      </c>
      <c r="H250" s="1" t="s">
        <v>5528</v>
      </c>
      <c r="I250" s="1" t="s">
        <v>5529</v>
      </c>
      <c r="J250" s="1" t="s">
        <v>5530</v>
      </c>
      <c r="K250" s="1" t="s">
        <v>5531</v>
      </c>
      <c r="L250" s="1" t="s">
        <v>5532</v>
      </c>
      <c r="M250" s="1" t="s">
        <v>5533</v>
      </c>
      <c r="N250" s="1" t="s">
        <v>132</v>
      </c>
      <c r="O250" s="1" t="s">
        <v>5534</v>
      </c>
      <c r="P250" s="1" t="s">
        <v>5535</v>
      </c>
      <c r="Q250" s="1" t="s">
        <v>5536</v>
      </c>
      <c r="R250" s="1" t="s">
        <v>5536</v>
      </c>
      <c r="S250" s="1" t="s">
        <v>5537</v>
      </c>
      <c r="T250" s="8" t="s">
        <v>5538</v>
      </c>
      <c r="U250" s="1" t="s">
        <v>5539</v>
      </c>
      <c r="V250" s="1" t="s">
        <v>132</v>
      </c>
      <c r="W250" s="1" t="s">
        <v>5540</v>
      </c>
      <c r="X250" s="1" t="s">
        <v>5541</v>
      </c>
      <c r="Y250" s="1" t="s">
        <v>5542</v>
      </c>
      <c r="Z250" s="11" t="s">
        <v>5543</v>
      </c>
      <c r="AA250" s="1" t="s">
        <v>5544</v>
      </c>
      <c r="AB250" s="1" t="s">
        <v>132</v>
      </c>
      <c r="AC250" s="1" t="s">
        <v>5545</v>
      </c>
      <c r="AD250" s="1" t="s">
        <v>5546</v>
      </c>
      <c r="AE250" s="1" t="s">
        <v>5547</v>
      </c>
      <c r="AF250" s="1" t="s">
        <v>5548</v>
      </c>
      <c r="AG250" s="1" t="s">
        <v>5549</v>
      </c>
      <c r="AH250" s="1" t="s">
        <v>5550</v>
      </c>
      <c r="AI250" s="1" t="s">
        <v>5551</v>
      </c>
      <c r="AJ250" s="1" t="s">
        <v>132</v>
      </c>
      <c r="AK250" s="1" t="s">
        <v>5552</v>
      </c>
      <c r="AL250" s="14" t="s">
        <v>5553</v>
      </c>
      <c r="AM250" s="1" t="s">
        <v>132</v>
      </c>
      <c r="AN250" s="1" t="s">
        <v>132</v>
      </c>
    </row>
    <row r="251" ht="15.75" customHeight="1">
      <c r="A251" s="1" t="s">
        <v>127</v>
      </c>
      <c r="B251" s="1" t="s">
        <v>5554</v>
      </c>
      <c r="C251" s="1" t="s">
        <v>5555</v>
      </c>
      <c r="D251" s="8" t="s">
        <v>5556</v>
      </c>
      <c r="E251" s="1" t="s">
        <v>5557</v>
      </c>
      <c r="F251" s="1" t="s">
        <v>132</v>
      </c>
      <c r="G251" s="1" t="s">
        <v>5558</v>
      </c>
      <c r="H251" s="1" t="s">
        <v>5559</v>
      </c>
      <c r="I251" s="1" t="s">
        <v>5560</v>
      </c>
      <c r="J251" s="1" t="s">
        <v>5561</v>
      </c>
      <c r="K251" s="1" t="s">
        <v>5562</v>
      </c>
      <c r="L251" s="1" t="s">
        <v>5563</v>
      </c>
      <c r="M251" s="1" t="s">
        <v>5564</v>
      </c>
      <c r="N251" s="1" t="s">
        <v>132</v>
      </c>
      <c r="O251" s="1" t="s">
        <v>5565</v>
      </c>
      <c r="P251" s="1" t="s">
        <v>5566</v>
      </c>
      <c r="Q251" s="1" t="s">
        <v>132</v>
      </c>
      <c r="R251" s="1" t="s">
        <v>5567</v>
      </c>
      <c r="S251" s="1" t="s">
        <v>5568</v>
      </c>
      <c r="T251" s="8" t="s">
        <v>5569</v>
      </c>
      <c r="U251" s="1" t="s">
        <v>5570</v>
      </c>
      <c r="V251" s="1" t="s">
        <v>5571</v>
      </c>
      <c r="W251" s="1" t="s">
        <v>5567</v>
      </c>
      <c r="X251" s="1" t="s">
        <v>5572</v>
      </c>
      <c r="Y251" s="1" t="s">
        <v>5559</v>
      </c>
      <c r="Z251" s="1" t="s">
        <v>5573</v>
      </c>
      <c r="AA251" s="1" t="s">
        <v>5574</v>
      </c>
      <c r="AB251" s="1" t="s">
        <v>5575</v>
      </c>
      <c r="AC251" s="1" t="s">
        <v>5576</v>
      </c>
      <c r="AD251" s="1" t="s">
        <v>5577</v>
      </c>
      <c r="AE251" s="1" t="s">
        <v>5578</v>
      </c>
      <c r="AF251" s="1" t="s">
        <v>5578</v>
      </c>
      <c r="AG251" s="1" t="s">
        <v>5579</v>
      </c>
      <c r="AH251" s="1" t="s">
        <v>5580</v>
      </c>
      <c r="AI251" s="1" t="s">
        <v>5581</v>
      </c>
      <c r="AJ251" s="1" t="s">
        <v>132</v>
      </c>
      <c r="AK251" s="1" t="s">
        <v>5582</v>
      </c>
      <c r="AL251" s="1" t="s">
        <v>5583</v>
      </c>
      <c r="AM251" s="1" t="s">
        <v>5584</v>
      </c>
      <c r="AN251" s="1" t="s">
        <v>5584</v>
      </c>
    </row>
    <row r="252" ht="15.75" customHeight="1">
      <c r="A252" s="1" t="s">
        <v>127</v>
      </c>
      <c r="B252" s="1" t="s">
        <v>5585</v>
      </c>
      <c r="C252" s="1" t="s">
        <v>5586</v>
      </c>
      <c r="D252" s="8" t="s">
        <v>5587</v>
      </c>
      <c r="E252" s="1" t="s">
        <v>5588</v>
      </c>
      <c r="F252" s="1" t="s">
        <v>132</v>
      </c>
      <c r="G252" s="1" t="s">
        <v>5589</v>
      </c>
      <c r="H252" s="1" t="s">
        <v>5590</v>
      </c>
      <c r="I252" s="1" t="s">
        <v>5591</v>
      </c>
      <c r="J252" s="1" t="s">
        <v>5586</v>
      </c>
      <c r="K252" s="1" t="s">
        <v>5592</v>
      </c>
      <c r="L252" s="1" t="s">
        <v>5593</v>
      </c>
      <c r="M252" s="1" t="s">
        <v>5594</v>
      </c>
      <c r="N252" s="1" t="s">
        <v>132</v>
      </c>
      <c r="O252" s="1" t="s">
        <v>5595</v>
      </c>
      <c r="P252" s="1" t="s">
        <v>5596</v>
      </c>
      <c r="Q252" s="1" t="s">
        <v>132</v>
      </c>
      <c r="R252" s="1" t="s">
        <v>5597</v>
      </c>
      <c r="S252" s="1" t="s">
        <v>5598</v>
      </c>
      <c r="T252" s="8" t="s">
        <v>5599</v>
      </c>
      <c r="U252" s="1" t="s">
        <v>5600</v>
      </c>
      <c r="V252" s="1" t="s">
        <v>5601</v>
      </c>
      <c r="W252" s="1" t="s">
        <v>5602</v>
      </c>
      <c r="X252" s="1" t="s">
        <v>5603</v>
      </c>
      <c r="Y252" s="1" t="s">
        <v>5590</v>
      </c>
      <c r="Z252" s="1" t="s">
        <v>5604</v>
      </c>
      <c r="AA252" s="1" t="s">
        <v>5605</v>
      </c>
      <c r="AB252" s="1" t="s">
        <v>5606</v>
      </c>
      <c r="AC252" s="1" t="s">
        <v>5607</v>
      </c>
      <c r="AD252" s="1" t="s">
        <v>5608</v>
      </c>
      <c r="AE252" s="1" t="s">
        <v>5609</v>
      </c>
      <c r="AF252" s="1" t="s">
        <v>5610</v>
      </c>
      <c r="AG252" s="1" t="s">
        <v>5611</v>
      </c>
      <c r="AH252" s="1" t="s">
        <v>5612</v>
      </c>
      <c r="AI252" s="1" t="s">
        <v>5613</v>
      </c>
      <c r="AJ252" s="1" t="s">
        <v>132</v>
      </c>
      <c r="AK252" s="1" t="s">
        <v>5614</v>
      </c>
      <c r="AL252" s="1" t="s">
        <v>5615</v>
      </c>
      <c r="AM252" s="1" t="s">
        <v>132</v>
      </c>
      <c r="AN252" s="1" t="s">
        <v>132</v>
      </c>
    </row>
    <row r="253" ht="15.75" customHeight="1">
      <c r="A253" s="1" t="s">
        <v>38</v>
      </c>
      <c r="B253" s="1" t="s">
        <v>5616</v>
      </c>
      <c r="C253" s="1" t="s">
        <v>5617</v>
      </c>
      <c r="D253" s="1" t="s">
        <v>132</v>
      </c>
      <c r="E253" s="1" t="s">
        <v>132</v>
      </c>
      <c r="F253" s="1" t="s">
        <v>132</v>
      </c>
      <c r="G253" s="1" t="s">
        <v>132</v>
      </c>
      <c r="H253" s="1" t="s">
        <v>132</v>
      </c>
      <c r="I253" s="1" t="s">
        <v>5617</v>
      </c>
      <c r="J253" s="1" t="s">
        <v>132</v>
      </c>
      <c r="K253" s="1" t="s">
        <v>5617</v>
      </c>
      <c r="L253" s="1" t="s">
        <v>132</v>
      </c>
      <c r="M253" s="1" t="s">
        <v>5617</v>
      </c>
      <c r="N253" s="1" t="s">
        <v>132</v>
      </c>
      <c r="O253" s="1" t="s">
        <v>132</v>
      </c>
      <c r="P253" s="1" t="s">
        <v>5617</v>
      </c>
      <c r="Q253" s="1" t="s">
        <v>132</v>
      </c>
      <c r="R253" s="1" t="s">
        <v>132</v>
      </c>
      <c r="S253" s="1" t="s">
        <v>132</v>
      </c>
      <c r="T253" s="1" t="s">
        <v>132</v>
      </c>
      <c r="U253" s="1" t="s">
        <v>132</v>
      </c>
      <c r="V253" s="1" t="s">
        <v>132</v>
      </c>
      <c r="W253" s="1" t="s">
        <v>132</v>
      </c>
      <c r="X253" s="1" t="s">
        <v>132</v>
      </c>
      <c r="Y253" s="1" t="s">
        <v>132</v>
      </c>
      <c r="Z253" s="1" t="s">
        <v>132</v>
      </c>
      <c r="AA253" s="1" t="s">
        <v>132</v>
      </c>
      <c r="AB253" s="1" t="s">
        <v>132</v>
      </c>
      <c r="AC253" s="1" t="s">
        <v>5618</v>
      </c>
      <c r="AD253" s="1" t="s">
        <v>132</v>
      </c>
      <c r="AE253" s="1" t="s">
        <v>132</v>
      </c>
      <c r="AF253" s="1" t="s">
        <v>5619</v>
      </c>
      <c r="AG253" s="1" t="s">
        <v>132</v>
      </c>
      <c r="AH253" s="1" t="s">
        <v>132</v>
      </c>
      <c r="AI253" s="1" t="s">
        <v>132</v>
      </c>
      <c r="AJ253" s="1" t="s">
        <v>132</v>
      </c>
      <c r="AK253" s="1" t="s">
        <v>132</v>
      </c>
      <c r="AL253" s="1" t="s">
        <v>132</v>
      </c>
      <c r="AM253" s="1" t="s">
        <v>132</v>
      </c>
      <c r="AN253" s="1" t="s">
        <v>132</v>
      </c>
    </row>
    <row r="254" ht="15.75" customHeight="1">
      <c r="A254" s="1" t="s">
        <v>43182</v>
      </c>
      <c r="B254" s="1" t="s">
        <v>43189</v>
      </c>
      <c r="C254" s="1" t="s">
        <v>43190</v>
      </c>
      <c r="D254" s="1" t="s">
        <v>132</v>
      </c>
      <c r="E254" s="1" t="s">
        <v>132</v>
      </c>
      <c r="F254" s="1" t="s">
        <v>132</v>
      </c>
      <c r="G254" s="1" t="s">
        <v>132</v>
      </c>
      <c r="H254" s="1" t="s">
        <v>132</v>
      </c>
      <c r="I254" s="1" t="s">
        <v>132</v>
      </c>
      <c r="J254" s="1" t="s">
        <v>132</v>
      </c>
      <c r="K254" s="1" t="s">
        <v>132</v>
      </c>
      <c r="L254" s="1" t="s">
        <v>132</v>
      </c>
      <c r="M254" s="1" t="s">
        <v>132</v>
      </c>
      <c r="N254" s="1" t="s">
        <v>132</v>
      </c>
      <c r="O254" s="1" t="s">
        <v>132</v>
      </c>
      <c r="P254" s="1" t="s">
        <v>132</v>
      </c>
      <c r="Q254" s="1" t="s">
        <v>132</v>
      </c>
      <c r="R254" s="1" t="s">
        <v>132</v>
      </c>
      <c r="S254" s="1" t="s">
        <v>132</v>
      </c>
      <c r="T254" s="1" t="s">
        <v>132</v>
      </c>
      <c r="U254" s="1" t="s">
        <v>132</v>
      </c>
      <c r="V254" s="1" t="s">
        <v>132</v>
      </c>
      <c r="W254" s="1" t="s">
        <v>132</v>
      </c>
      <c r="X254" s="1" t="s">
        <v>132</v>
      </c>
      <c r="Y254" s="1" t="s">
        <v>132</v>
      </c>
      <c r="Z254" s="1" t="s">
        <v>132</v>
      </c>
      <c r="AA254" s="1" t="s">
        <v>132</v>
      </c>
      <c r="AB254" s="1" t="s">
        <v>132</v>
      </c>
      <c r="AC254" s="1" t="s">
        <v>132</v>
      </c>
      <c r="AD254" s="1" t="s">
        <v>132</v>
      </c>
      <c r="AE254" s="1" t="s">
        <v>132</v>
      </c>
      <c r="AF254" s="1" t="s">
        <v>132</v>
      </c>
      <c r="AG254" s="1" t="s">
        <v>132</v>
      </c>
      <c r="AH254" s="1" t="s">
        <v>132</v>
      </c>
      <c r="AI254" s="1" t="s">
        <v>132</v>
      </c>
      <c r="AJ254" s="1" t="s">
        <v>132</v>
      </c>
      <c r="AK254" s="1" t="s">
        <v>132</v>
      </c>
      <c r="AL254" s="1" t="s">
        <v>132</v>
      </c>
      <c r="AM254" s="1" t="s">
        <v>132</v>
      </c>
      <c r="AN254" s="1" t="s">
        <v>132</v>
      </c>
    </row>
    <row r="255" ht="15.75" customHeight="1">
      <c r="A255" s="1" t="s">
        <v>38</v>
      </c>
      <c r="B255" s="1" t="s">
        <v>5620</v>
      </c>
      <c r="C255" s="1" t="s">
        <v>5621</v>
      </c>
      <c r="D255" s="8" t="s">
        <v>5622</v>
      </c>
      <c r="E255" s="1" t="s">
        <v>5623</v>
      </c>
      <c r="F255" s="1" t="s">
        <v>5624</v>
      </c>
      <c r="G255" s="1" t="s">
        <v>132</v>
      </c>
      <c r="H255" s="1" t="s">
        <v>132</v>
      </c>
      <c r="I255" s="1" t="s">
        <v>5625</v>
      </c>
      <c r="J255" s="1" t="s">
        <v>132</v>
      </c>
      <c r="K255" s="1" t="s">
        <v>5626</v>
      </c>
      <c r="L255" s="1" t="s">
        <v>132</v>
      </c>
      <c r="M255" s="1" t="s">
        <v>5627</v>
      </c>
      <c r="N255" s="1" t="s">
        <v>5628</v>
      </c>
      <c r="O255" s="1" t="s">
        <v>132</v>
      </c>
      <c r="P255" s="1" t="s">
        <v>5629</v>
      </c>
      <c r="Q255" s="1" t="s">
        <v>5630</v>
      </c>
      <c r="R255" s="1" t="s">
        <v>132</v>
      </c>
      <c r="S255" s="1" t="s">
        <v>5631</v>
      </c>
      <c r="T255" s="1" t="s">
        <v>132</v>
      </c>
      <c r="U255" s="1" t="s">
        <v>5632</v>
      </c>
      <c r="V255" s="1" t="s">
        <v>5633</v>
      </c>
      <c r="W255" s="1" t="s">
        <v>132</v>
      </c>
      <c r="X255" s="1" t="s">
        <v>5634</v>
      </c>
      <c r="Y255" s="1" t="s">
        <v>132</v>
      </c>
      <c r="Z255" s="1" t="s">
        <v>5635</v>
      </c>
      <c r="AA255" s="1" t="s">
        <v>5636</v>
      </c>
      <c r="AB255" s="1" t="s">
        <v>132</v>
      </c>
      <c r="AC255" s="1" t="s">
        <v>5637</v>
      </c>
      <c r="AD255" s="1" t="s">
        <v>5638</v>
      </c>
      <c r="AE255" s="1" t="s">
        <v>132</v>
      </c>
      <c r="AF255" s="1" t="s">
        <v>5639</v>
      </c>
      <c r="AG255" s="1" t="s">
        <v>5640</v>
      </c>
      <c r="AH255" s="1" t="s">
        <v>132</v>
      </c>
      <c r="AI255" s="1" t="s">
        <v>132</v>
      </c>
      <c r="AJ255" s="1" t="s">
        <v>5641</v>
      </c>
      <c r="AK255" s="1" t="s">
        <v>5642</v>
      </c>
      <c r="AL255" s="1" t="s">
        <v>132</v>
      </c>
      <c r="AM255" s="1" t="s">
        <v>5643</v>
      </c>
      <c r="AN255" s="1" t="s">
        <v>5643</v>
      </c>
    </row>
    <row r="256" ht="15.75" customHeight="1">
      <c r="A256" s="1" t="s">
        <v>43182</v>
      </c>
      <c r="B256" s="1" t="s">
        <v>43191</v>
      </c>
      <c r="C256" s="1" t="s">
        <v>43192</v>
      </c>
      <c r="D256" s="1" t="s">
        <v>132</v>
      </c>
      <c r="E256" s="1" t="s">
        <v>132</v>
      </c>
      <c r="F256" s="1" t="s">
        <v>132</v>
      </c>
      <c r="G256" s="1" t="s">
        <v>132</v>
      </c>
      <c r="H256" s="1" t="s">
        <v>132</v>
      </c>
      <c r="I256" s="1" t="s">
        <v>132</v>
      </c>
      <c r="J256" s="1" t="s">
        <v>132</v>
      </c>
      <c r="K256" s="1" t="s">
        <v>132</v>
      </c>
      <c r="L256" s="1" t="s">
        <v>132</v>
      </c>
      <c r="M256" s="1" t="s">
        <v>132</v>
      </c>
      <c r="N256" s="1" t="s">
        <v>132</v>
      </c>
      <c r="O256" s="1" t="s">
        <v>132</v>
      </c>
      <c r="P256" s="1" t="s">
        <v>132</v>
      </c>
      <c r="Q256" s="1" t="s">
        <v>132</v>
      </c>
      <c r="R256" s="1" t="s">
        <v>132</v>
      </c>
      <c r="S256" s="1" t="s">
        <v>132</v>
      </c>
      <c r="T256" s="1" t="s">
        <v>132</v>
      </c>
      <c r="U256" s="1" t="s">
        <v>132</v>
      </c>
      <c r="V256" s="1" t="s">
        <v>132</v>
      </c>
      <c r="W256" s="1" t="s">
        <v>132</v>
      </c>
      <c r="X256" s="1" t="s">
        <v>132</v>
      </c>
      <c r="Y256" s="1" t="s">
        <v>132</v>
      </c>
      <c r="Z256" s="1" t="s">
        <v>132</v>
      </c>
      <c r="AA256" s="1" t="s">
        <v>132</v>
      </c>
      <c r="AB256" s="1" t="s">
        <v>132</v>
      </c>
      <c r="AC256" s="1" t="s">
        <v>132</v>
      </c>
      <c r="AD256" s="1" t="s">
        <v>132</v>
      </c>
      <c r="AE256" s="1" t="s">
        <v>132</v>
      </c>
      <c r="AF256" s="1" t="s">
        <v>132</v>
      </c>
      <c r="AG256" s="1" t="s">
        <v>132</v>
      </c>
      <c r="AH256" s="1" t="s">
        <v>132</v>
      </c>
      <c r="AI256" s="1" t="s">
        <v>132</v>
      </c>
      <c r="AJ256" s="1" t="s">
        <v>132</v>
      </c>
      <c r="AK256" s="1" t="s">
        <v>132</v>
      </c>
      <c r="AL256" s="1" t="s">
        <v>132</v>
      </c>
      <c r="AM256" s="1" t="s">
        <v>132</v>
      </c>
      <c r="AN256" s="1" t="s">
        <v>132</v>
      </c>
    </row>
    <row r="257" ht="15.75" customHeight="1">
      <c r="A257" s="1" t="s">
        <v>43182</v>
      </c>
      <c r="B257" s="1" t="s">
        <v>43193</v>
      </c>
      <c r="C257" s="1" t="s">
        <v>43194</v>
      </c>
      <c r="D257" s="1" t="s">
        <v>132</v>
      </c>
      <c r="E257" s="1" t="s">
        <v>132</v>
      </c>
      <c r="F257" s="1" t="s">
        <v>132</v>
      </c>
      <c r="G257" s="1" t="s">
        <v>132</v>
      </c>
      <c r="H257" s="1" t="s">
        <v>132</v>
      </c>
      <c r="I257" s="1" t="s">
        <v>132</v>
      </c>
      <c r="J257" s="1" t="s">
        <v>132</v>
      </c>
      <c r="K257" s="1" t="s">
        <v>132</v>
      </c>
      <c r="L257" s="1" t="s">
        <v>132</v>
      </c>
      <c r="M257" s="1" t="s">
        <v>132</v>
      </c>
      <c r="N257" s="1" t="s">
        <v>132</v>
      </c>
      <c r="O257" s="1" t="s">
        <v>132</v>
      </c>
      <c r="P257" s="1" t="s">
        <v>132</v>
      </c>
      <c r="Q257" s="1" t="s">
        <v>132</v>
      </c>
      <c r="R257" s="1" t="s">
        <v>132</v>
      </c>
      <c r="S257" s="1" t="s">
        <v>132</v>
      </c>
      <c r="T257" s="1" t="s">
        <v>132</v>
      </c>
      <c r="U257" s="1" t="s">
        <v>132</v>
      </c>
      <c r="V257" s="1" t="s">
        <v>132</v>
      </c>
      <c r="W257" s="1" t="s">
        <v>132</v>
      </c>
      <c r="X257" s="1" t="s">
        <v>132</v>
      </c>
      <c r="Y257" s="1" t="s">
        <v>132</v>
      </c>
      <c r="Z257" s="1" t="s">
        <v>132</v>
      </c>
      <c r="AA257" s="1" t="s">
        <v>132</v>
      </c>
      <c r="AB257" s="1" t="s">
        <v>132</v>
      </c>
      <c r="AC257" s="1" t="s">
        <v>132</v>
      </c>
      <c r="AD257" s="1" t="s">
        <v>132</v>
      </c>
      <c r="AE257" s="1" t="s">
        <v>132</v>
      </c>
      <c r="AF257" s="1" t="s">
        <v>132</v>
      </c>
      <c r="AG257" s="1" t="s">
        <v>132</v>
      </c>
      <c r="AH257" s="1" t="s">
        <v>132</v>
      </c>
      <c r="AI257" s="1" t="s">
        <v>132</v>
      </c>
      <c r="AJ257" s="1" t="s">
        <v>132</v>
      </c>
      <c r="AK257" s="1" t="s">
        <v>132</v>
      </c>
      <c r="AL257" s="1" t="s">
        <v>132</v>
      </c>
      <c r="AM257" s="1" t="s">
        <v>132</v>
      </c>
      <c r="AN257" s="1" t="s">
        <v>132</v>
      </c>
    </row>
    <row r="258" ht="15.75" customHeight="1">
      <c r="A258" s="1" t="s">
        <v>127</v>
      </c>
      <c r="B258" s="1" t="s">
        <v>5644</v>
      </c>
      <c r="C258" s="1" t="s">
        <v>5645</v>
      </c>
      <c r="D258" s="8" t="s">
        <v>5646</v>
      </c>
      <c r="E258" s="1" t="s">
        <v>5647</v>
      </c>
      <c r="F258" s="1" t="s">
        <v>132</v>
      </c>
      <c r="G258" s="1" t="s">
        <v>5648</v>
      </c>
      <c r="H258" s="1" t="s">
        <v>5649</v>
      </c>
      <c r="I258" s="1" t="s">
        <v>5650</v>
      </c>
      <c r="J258" s="1" t="s">
        <v>5651</v>
      </c>
      <c r="K258" s="1" t="s">
        <v>5652</v>
      </c>
      <c r="L258" s="1" t="s">
        <v>5653</v>
      </c>
      <c r="M258" s="1" t="s">
        <v>5654</v>
      </c>
      <c r="N258" s="1" t="s">
        <v>132</v>
      </c>
      <c r="O258" s="1" t="s">
        <v>5655</v>
      </c>
      <c r="P258" s="1" t="s">
        <v>5656</v>
      </c>
      <c r="Q258" s="1" t="s">
        <v>132</v>
      </c>
      <c r="R258" s="1" t="s">
        <v>5657</v>
      </c>
      <c r="S258" s="1" t="s">
        <v>5658</v>
      </c>
      <c r="T258" s="8" t="s">
        <v>5659</v>
      </c>
      <c r="U258" s="1" t="s">
        <v>5660</v>
      </c>
      <c r="V258" s="1" t="s">
        <v>5661</v>
      </c>
      <c r="W258" s="1" t="s">
        <v>5657</v>
      </c>
      <c r="X258" s="1" t="s">
        <v>5662</v>
      </c>
      <c r="Y258" s="1" t="s">
        <v>5663</v>
      </c>
      <c r="Z258" s="1" t="s">
        <v>5664</v>
      </c>
      <c r="AA258" s="1" t="s">
        <v>5665</v>
      </c>
      <c r="AB258" s="1" t="s">
        <v>5666</v>
      </c>
      <c r="AC258" s="1" t="s">
        <v>5667</v>
      </c>
      <c r="AD258" s="1" t="s">
        <v>5668</v>
      </c>
      <c r="AE258" s="1" t="s">
        <v>5669</v>
      </c>
      <c r="AF258" s="1" t="s">
        <v>5670</v>
      </c>
      <c r="AG258" s="1" t="s">
        <v>5671</v>
      </c>
      <c r="AH258" s="1" t="s">
        <v>5672</v>
      </c>
      <c r="AI258" s="1" t="s">
        <v>5673</v>
      </c>
      <c r="AJ258" s="1" t="s">
        <v>132</v>
      </c>
      <c r="AK258" s="1" t="s">
        <v>5674</v>
      </c>
      <c r="AL258" s="1" t="s">
        <v>5675</v>
      </c>
      <c r="AM258" s="1" t="s">
        <v>5676</v>
      </c>
      <c r="AN258" s="1" t="s">
        <v>5676</v>
      </c>
    </row>
    <row r="259" ht="15.75" customHeight="1">
      <c r="A259" s="1" t="s">
        <v>43182</v>
      </c>
      <c r="B259" s="1" t="s">
        <v>43195</v>
      </c>
      <c r="C259" s="1" t="s">
        <v>43196</v>
      </c>
      <c r="D259" s="1" t="s">
        <v>132</v>
      </c>
      <c r="E259" s="1" t="s">
        <v>132</v>
      </c>
      <c r="F259" s="1" t="s">
        <v>132</v>
      </c>
      <c r="G259" s="1" t="s">
        <v>132</v>
      </c>
      <c r="H259" s="1" t="s">
        <v>132</v>
      </c>
      <c r="I259" s="1" t="s">
        <v>132</v>
      </c>
      <c r="J259" s="1" t="s">
        <v>132</v>
      </c>
      <c r="K259" s="1" t="s">
        <v>132</v>
      </c>
      <c r="L259" s="1" t="s">
        <v>132</v>
      </c>
      <c r="M259" s="1" t="s">
        <v>132</v>
      </c>
      <c r="N259" s="1" t="s">
        <v>132</v>
      </c>
      <c r="O259" s="1" t="s">
        <v>132</v>
      </c>
      <c r="P259" s="1" t="s">
        <v>132</v>
      </c>
      <c r="Q259" s="1" t="s">
        <v>132</v>
      </c>
      <c r="R259" s="1" t="s">
        <v>132</v>
      </c>
      <c r="S259" s="1" t="s">
        <v>132</v>
      </c>
      <c r="T259" s="1" t="s">
        <v>132</v>
      </c>
      <c r="U259" s="1" t="s">
        <v>132</v>
      </c>
      <c r="V259" s="1" t="s">
        <v>132</v>
      </c>
      <c r="W259" s="1" t="s">
        <v>132</v>
      </c>
      <c r="X259" s="1" t="s">
        <v>132</v>
      </c>
      <c r="Y259" s="1" t="s">
        <v>132</v>
      </c>
      <c r="Z259" s="1" t="s">
        <v>132</v>
      </c>
      <c r="AA259" s="1" t="s">
        <v>132</v>
      </c>
      <c r="AB259" s="1" t="s">
        <v>132</v>
      </c>
      <c r="AC259" s="1" t="s">
        <v>132</v>
      </c>
      <c r="AD259" s="1" t="s">
        <v>132</v>
      </c>
      <c r="AE259" s="1" t="s">
        <v>132</v>
      </c>
      <c r="AF259" s="1" t="s">
        <v>132</v>
      </c>
      <c r="AG259" s="1" t="s">
        <v>132</v>
      </c>
      <c r="AH259" s="1" t="s">
        <v>132</v>
      </c>
      <c r="AI259" s="1" t="s">
        <v>132</v>
      </c>
      <c r="AJ259" s="1" t="s">
        <v>132</v>
      </c>
      <c r="AK259" s="1" t="s">
        <v>132</v>
      </c>
      <c r="AL259" s="1" t="s">
        <v>132</v>
      </c>
      <c r="AM259" s="1" t="s">
        <v>132</v>
      </c>
      <c r="AN259" s="1" t="s">
        <v>132</v>
      </c>
    </row>
    <row r="260" ht="15.75" customHeight="1">
      <c r="A260" s="1" t="s">
        <v>38</v>
      </c>
      <c r="B260" s="1" t="s">
        <v>5677</v>
      </c>
      <c r="C260" s="1" t="s">
        <v>5678</v>
      </c>
      <c r="D260" s="1" t="s">
        <v>132</v>
      </c>
      <c r="E260" s="1" t="s">
        <v>132</v>
      </c>
      <c r="F260" s="1" t="s">
        <v>132</v>
      </c>
      <c r="G260" s="1" t="s">
        <v>132</v>
      </c>
      <c r="H260" s="1" t="s">
        <v>132</v>
      </c>
      <c r="I260" s="1" t="s">
        <v>5679</v>
      </c>
      <c r="J260" s="1" t="s">
        <v>132</v>
      </c>
      <c r="K260" s="1" t="s">
        <v>5678</v>
      </c>
      <c r="L260" s="1" t="s">
        <v>132</v>
      </c>
      <c r="M260" s="1" t="s">
        <v>5680</v>
      </c>
      <c r="N260" s="1" t="s">
        <v>132</v>
      </c>
      <c r="O260" s="1" t="s">
        <v>132</v>
      </c>
      <c r="P260" s="1" t="s">
        <v>5678</v>
      </c>
      <c r="Q260" s="1" t="s">
        <v>132</v>
      </c>
      <c r="R260" s="1" t="s">
        <v>132</v>
      </c>
      <c r="S260" s="1" t="s">
        <v>132</v>
      </c>
      <c r="T260" s="1" t="s">
        <v>132</v>
      </c>
      <c r="U260" s="1" t="s">
        <v>132</v>
      </c>
      <c r="V260" s="1" t="s">
        <v>132</v>
      </c>
      <c r="W260" s="1" t="s">
        <v>132</v>
      </c>
      <c r="X260" s="1" t="s">
        <v>132</v>
      </c>
      <c r="Y260" s="1" t="s">
        <v>132</v>
      </c>
      <c r="Z260" s="1" t="s">
        <v>132</v>
      </c>
      <c r="AA260" s="1" t="s">
        <v>132</v>
      </c>
      <c r="AB260" s="1" t="s">
        <v>132</v>
      </c>
      <c r="AC260" s="1" t="s">
        <v>5681</v>
      </c>
      <c r="AD260" s="1" t="s">
        <v>132</v>
      </c>
      <c r="AE260" s="1" t="s">
        <v>132</v>
      </c>
      <c r="AF260" s="1" t="s">
        <v>5682</v>
      </c>
      <c r="AG260" s="1" t="s">
        <v>132</v>
      </c>
      <c r="AH260" s="1" t="s">
        <v>132</v>
      </c>
      <c r="AI260" s="1" t="s">
        <v>132</v>
      </c>
      <c r="AJ260" s="1" t="s">
        <v>132</v>
      </c>
      <c r="AK260" s="1" t="s">
        <v>132</v>
      </c>
      <c r="AL260" s="1" t="s">
        <v>132</v>
      </c>
      <c r="AM260" s="1" t="s">
        <v>132</v>
      </c>
      <c r="AN260" s="1" t="s">
        <v>132</v>
      </c>
    </row>
    <row r="261" ht="15.75" customHeight="1">
      <c r="A261" s="1" t="s">
        <v>43182</v>
      </c>
      <c r="B261" s="1" t="s">
        <v>43197</v>
      </c>
      <c r="C261" s="1" t="s">
        <v>43198</v>
      </c>
      <c r="D261" s="1" t="s">
        <v>132</v>
      </c>
      <c r="E261" s="1" t="s">
        <v>132</v>
      </c>
      <c r="F261" s="1" t="s">
        <v>132</v>
      </c>
      <c r="G261" s="1" t="s">
        <v>132</v>
      </c>
      <c r="H261" s="1" t="s">
        <v>132</v>
      </c>
      <c r="I261" s="1" t="s">
        <v>132</v>
      </c>
      <c r="J261" s="1" t="s">
        <v>132</v>
      </c>
      <c r="K261" s="1" t="s">
        <v>132</v>
      </c>
      <c r="L261" s="1" t="s">
        <v>132</v>
      </c>
      <c r="M261" s="1" t="s">
        <v>132</v>
      </c>
      <c r="N261" s="1" t="s">
        <v>132</v>
      </c>
      <c r="O261" s="1" t="s">
        <v>132</v>
      </c>
      <c r="P261" s="1" t="s">
        <v>132</v>
      </c>
      <c r="Q261" s="1" t="s">
        <v>132</v>
      </c>
      <c r="R261" s="1" t="s">
        <v>132</v>
      </c>
      <c r="S261" s="1" t="s">
        <v>132</v>
      </c>
      <c r="T261" s="1" t="s">
        <v>132</v>
      </c>
      <c r="U261" s="1" t="s">
        <v>132</v>
      </c>
      <c r="V261" s="1" t="s">
        <v>132</v>
      </c>
      <c r="W261" s="1" t="s">
        <v>132</v>
      </c>
      <c r="X261" s="1" t="s">
        <v>132</v>
      </c>
      <c r="Y261" s="1" t="s">
        <v>132</v>
      </c>
      <c r="Z261" s="1" t="s">
        <v>132</v>
      </c>
      <c r="AA261" s="1" t="s">
        <v>132</v>
      </c>
      <c r="AB261" s="1" t="s">
        <v>132</v>
      </c>
      <c r="AC261" s="1" t="s">
        <v>132</v>
      </c>
      <c r="AD261" s="1" t="s">
        <v>132</v>
      </c>
      <c r="AE261" s="1" t="s">
        <v>132</v>
      </c>
      <c r="AF261" s="1" t="s">
        <v>132</v>
      </c>
      <c r="AG261" s="1" t="s">
        <v>132</v>
      </c>
      <c r="AH261" s="1" t="s">
        <v>132</v>
      </c>
      <c r="AI261" s="1" t="s">
        <v>132</v>
      </c>
      <c r="AJ261" s="1" t="s">
        <v>132</v>
      </c>
      <c r="AK261" s="1" t="s">
        <v>132</v>
      </c>
      <c r="AL261" s="1" t="s">
        <v>132</v>
      </c>
      <c r="AM261" s="1" t="s">
        <v>132</v>
      </c>
      <c r="AN261" s="1" t="s">
        <v>132</v>
      </c>
    </row>
    <row r="262" ht="15.75" customHeight="1">
      <c r="A262" s="1" t="s">
        <v>127</v>
      </c>
      <c r="B262" s="1" t="s">
        <v>5683</v>
      </c>
      <c r="C262" s="1" t="s">
        <v>1088</v>
      </c>
      <c r="D262" s="8" t="s">
        <v>1089</v>
      </c>
      <c r="E262" s="1" t="s">
        <v>1090</v>
      </c>
      <c r="F262" s="1" t="s">
        <v>132</v>
      </c>
      <c r="G262" s="1" t="s">
        <v>1091</v>
      </c>
      <c r="H262" s="1" t="s">
        <v>1092</v>
      </c>
      <c r="I262" s="1" t="s">
        <v>1093</v>
      </c>
      <c r="J262" s="1" t="s">
        <v>1094</v>
      </c>
      <c r="K262" s="1" t="s">
        <v>1095</v>
      </c>
      <c r="L262" s="1" t="s">
        <v>1096</v>
      </c>
      <c r="M262" s="1" t="s">
        <v>1097</v>
      </c>
      <c r="N262" s="1" t="s">
        <v>132</v>
      </c>
      <c r="O262" s="1" t="s">
        <v>1098</v>
      </c>
      <c r="P262" s="1" t="s">
        <v>1099</v>
      </c>
      <c r="Q262" s="1" t="s">
        <v>132</v>
      </c>
      <c r="R262" s="1" t="s">
        <v>1100</v>
      </c>
      <c r="S262" s="1" t="s">
        <v>1101</v>
      </c>
      <c r="T262" s="8" t="s">
        <v>1102</v>
      </c>
      <c r="U262" s="1" t="s">
        <v>1103</v>
      </c>
      <c r="V262" s="1" t="s">
        <v>1104</v>
      </c>
      <c r="W262" s="1" t="s">
        <v>1100</v>
      </c>
      <c r="X262" s="1" t="s">
        <v>1092</v>
      </c>
      <c r="Y262" s="1" t="s">
        <v>1092</v>
      </c>
      <c r="Z262" s="1" t="s">
        <v>1105</v>
      </c>
      <c r="AA262" s="1" t="s">
        <v>1106</v>
      </c>
      <c r="AB262" s="1" t="s">
        <v>1107</v>
      </c>
      <c r="AC262" s="1" t="s">
        <v>1108</v>
      </c>
      <c r="AD262" s="1" t="s">
        <v>1109</v>
      </c>
      <c r="AE262" s="1" t="s">
        <v>1110</v>
      </c>
      <c r="AF262" s="1" t="s">
        <v>1110</v>
      </c>
      <c r="AG262" s="1" t="s">
        <v>1092</v>
      </c>
      <c r="AH262" s="1" t="s">
        <v>1111</v>
      </c>
      <c r="AI262" s="1" t="s">
        <v>5684</v>
      </c>
      <c r="AJ262" s="1" t="s">
        <v>132</v>
      </c>
      <c r="AK262" s="1" t="s">
        <v>1113</v>
      </c>
      <c r="AL262" s="1" t="s">
        <v>1114</v>
      </c>
      <c r="AM262" s="1" t="s">
        <v>1115</v>
      </c>
      <c r="AN262" s="1" t="s">
        <v>1115</v>
      </c>
    </row>
    <row r="263" ht="15.75" customHeight="1">
      <c r="A263" s="1" t="s">
        <v>43182</v>
      </c>
      <c r="B263" s="1" t="s">
        <v>43199</v>
      </c>
      <c r="C263" s="1" t="s">
        <v>538</v>
      </c>
      <c r="D263" s="1" t="s">
        <v>132</v>
      </c>
      <c r="E263" s="1" t="s">
        <v>132</v>
      </c>
      <c r="F263" s="1" t="s">
        <v>132</v>
      </c>
      <c r="G263" s="1" t="s">
        <v>132</v>
      </c>
      <c r="H263" s="1" t="s">
        <v>132</v>
      </c>
      <c r="I263" s="1" t="s">
        <v>132</v>
      </c>
      <c r="J263" s="1" t="s">
        <v>132</v>
      </c>
      <c r="K263" s="1" t="s">
        <v>132</v>
      </c>
      <c r="L263" s="1" t="s">
        <v>132</v>
      </c>
      <c r="M263" s="1" t="s">
        <v>132</v>
      </c>
      <c r="N263" s="1" t="s">
        <v>132</v>
      </c>
      <c r="O263" s="1" t="s">
        <v>132</v>
      </c>
      <c r="P263" s="1" t="s">
        <v>132</v>
      </c>
      <c r="Q263" s="1" t="s">
        <v>132</v>
      </c>
      <c r="R263" s="1" t="s">
        <v>132</v>
      </c>
      <c r="S263" s="1" t="s">
        <v>132</v>
      </c>
      <c r="T263" s="1" t="s">
        <v>132</v>
      </c>
      <c r="U263" s="1" t="s">
        <v>132</v>
      </c>
      <c r="V263" s="1" t="s">
        <v>132</v>
      </c>
      <c r="W263" s="1" t="s">
        <v>132</v>
      </c>
      <c r="X263" s="1" t="s">
        <v>132</v>
      </c>
      <c r="Y263" s="1" t="s">
        <v>132</v>
      </c>
      <c r="Z263" s="1" t="s">
        <v>132</v>
      </c>
      <c r="AA263" s="1" t="s">
        <v>132</v>
      </c>
      <c r="AB263" s="1" t="s">
        <v>132</v>
      </c>
      <c r="AC263" s="1" t="s">
        <v>132</v>
      </c>
      <c r="AD263" s="1" t="s">
        <v>132</v>
      </c>
      <c r="AE263" s="1" t="s">
        <v>132</v>
      </c>
      <c r="AF263" s="1" t="s">
        <v>132</v>
      </c>
      <c r="AG263" s="1" t="s">
        <v>132</v>
      </c>
      <c r="AH263" s="1" t="s">
        <v>132</v>
      </c>
      <c r="AI263" s="1" t="s">
        <v>132</v>
      </c>
      <c r="AJ263" s="1" t="s">
        <v>132</v>
      </c>
      <c r="AK263" s="1" t="s">
        <v>132</v>
      </c>
      <c r="AL263" s="1" t="s">
        <v>132</v>
      </c>
      <c r="AM263" s="1" t="s">
        <v>132</v>
      </c>
      <c r="AN263" s="1" t="s">
        <v>132</v>
      </c>
    </row>
    <row r="264" ht="15.75" customHeight="1">
      <c r="A264" s="1" t="s">
        <v>43182</v>
      </c>
      <c r="B264" s="1" t="s">
        <v>43200</v>
      </c>
      <c r="C264" s="1" t="s">
        <v>43201</v>
      </c>
      <c r="D264" s="1" t="s">
        <v>132</v>
      </c>
      <c r="E264" s="1" t="s">
        <v>132</v>
      </c>
      <c r="F264" s="1" t="s">
        <v>132</v>
      </c>
      <c r="G264" s="1" t="s">
        <v>132</v>
      </c>
      <c r="H264" s="1" t="s">
        <v>132</v>
      </c>
      <c r="I264" s="1" t="s">
        <v>132</v>
      </c>
      <c r="J264" s="1" t="s">
        <v>132</v>
      </c>
      <c r="K264" s="1" t="s">
        <v>132</v>
      </c>
      <c r="L264" s="1" t="s">
        <v>132</v>
      </c>
      <c r="M264" s="1" t="s">
        <v>132</v>
      </c>
      <c r="N264" s="1" t="s">
        <v>132</v>
      </c>
      <c r="O264" s="1" t="s">
        <v>132</v>
      </c>
      <c r="P264" s="1" t="s">
        <v>132</v>
      </c>
      <c r="Q264" s="1" t="s">
        <v>132</v>
      </c>
      <c r="R264" s="1" t="s">
        <v>132</v>
      </c>
      <c r="S264" s="1" t="s">
        <v>132</v>
      </c>
      <c r="T264" s="1" t="s">
        <v>132</v>
      </c>
      <c r="U264" s="1" t="s">
        <v>132</v>
      </c>
      <c r="V264" s="1" t="s">
        <v>132</v>
      </c>
      <c r="W264" s="1" t="s">
        <v>132</v>
      </c>
      <c r="X264" s="1" t="s">
        <v>132</v>
      </c>
      <c r="Y264" s="1" t="s">
        <v>132</v>
      </c>
      <c r="Z264" s="1" t="s">
        <v>132</v>
      </c>
      <c r="AA264" s="1" t="s">
        <v>132</v>
      </c>
      <c r="AB264" s="1" t="s">
        <v>132</v>
      </c>
      <c r="AC264" s="1" t="s">
        <v>132</v>
      </c>
      <c r="AD264" s="1" t="s">
        <v>132</v>
      </c>
      <c r="AE264" s="1" t="s">
        <v>132</v>
      </c>
      <c r="AF264" s="1" t="s">
        <v>132</v>
      </c>
      <c r="AG264" s="1" t="s">
        <v>132</v>
      </c>
      <c r="AH264" s="1" t="s">
        <v>132</v>
      </c>
      <c r="AI264" s="1" t="s">
        <v>132</v>
      </c>
      <c r="AJ264" s="1" t="s">
        <v>132</v>
      </c>
      <c r="AK264" s="1" t="s">
        <v>132</v>
      </c>
      <c r="AL264" s="1" t="s">
        <v>132</v>
      </c>
      <c r="AM264" s="1" t="s">
        <v>132</v>
      </c>
      <c r="AN264" s="1" t="s">
        <v>132</v>
      </c>
    </row>
    <row r="265" ht="15.75" customHeight="1">
      <c r="A265" s="1" t="s">
        <v>127</v>
      </c>
      <c r="B265" s="1" t="s">
        <v>5685</v>
      </c>
      <c r="C265" s="1" t="s">
        <v>5686</v>
      </c>
      <c r="D265" s="8" t="s">
        <v>5687</v>
      </c>
      <c r="E265" s="1" t="s">
        <v>5688</v>
      </c>
      <c r="F265" s="1" t="s">
        <v>132</v>
      </c>
      <c r="G265" s="1" t="s">
        <v>5689</v>
      </c>
      <c r="H265" s="1" t="s">
        <v>5690</v>
      </c>
      <c r="I265" s="1" t="s">
        <v>5691</v>
      </c>
      <c r="J265" s="1" t="s">
        <v>5692</v>
      </c>
      <c r="K265" s="1" t="s">
        <v>5693</v>
      </c>
      <c r="L265" s="1" t="s">
        <v>5694</v>
      </c>
      <c r="M265" s="1" t="s">
        <v>5695</v>
      </c>
      <c r="N265" s="1" t="s">
        <v>132</v>
      </c>
      <c r="O265" s="1" t="s">
        <v>5696</v>
      </c>
      <c r="P265" s="1" t="s">
        <v>5697</v>
      </c>
      <c r="Q265" s="1" t="s">
        <v>132</v>
      </c>
      <c r="R265" s="1" t="s">
        <v>5698</v>
      </c>
      <c r="S265" s="1" t="s">
        <v>5699</v>
      </c>
      <c r="T265" s="8" t="s">
        <v>5700</v>
      </c>
      <c r="U265" s="1" t="s">
        <v>5701</v>
      </c>
      <c r="V265" s="1" t="s">
        <v>5702</v>
      </c>
      <c r="W265" s="1" t="s">
        <v>5703</v>
      </c>
      <c r="X265" s="1" t="s">
        <v>5704</v>
      </c>
      <c r="Y265" s="1" t="s">
        <v>5705</v>
      </c>
      <c r="Z265" s="1" t="s">
        <v>5706</v>
      </c>
      <c r="AA265" s="1" t="s">
        <v>5707</v>
      </c>
      <c r="AB265" s="1" t="s">
        <v>5708</v>
      </c>
      <c r="AC265" s="1" t="s">
        <v>5709</v>
      </c>
      <c r="AD265" s="1" t="s">
        <v>5689</v>
      </c>
      <c r="AE265" s="1" t="s">
        <v>5710</v>
      </c>
      <c r="AF265" s="1" t="s">
        <v>5711</v>
      </c>
      <c r="AG265" s="1" t="s">
        <v>5712</v>
      </c>
      <c r="AH265" s="1" t="s">
        <v>5713</v>
      </c>
      <c r="AI265" s="1" t="s">
        <v>5714</v>
      </c>
      <c r="AJ265" s="1" t="s">
        <v>132</v>
      </c>
      <c r="AK265" s="1" t="s">
        <v>5715</v>
      </c>
      <c r="AL265" s="1" t="s">
        <v>5716</v>
      </c>
      <c r="AM265" s="1" t="s">
        <v>5717</v>
      </c>
      <c r="AN265" s="1" t="s">
        <v>5717</v>
      </c>
    </row>
    <row r="266" ht="15.75" customHeight="1">
      <c r="A266" s="1" t="s">
        <v>43182</v>
      </c>
      <c r="B266" s="1" t="s">
        <v>43202</v>
      </c>
      <c r="C266" s="1" t="s">
        <v>637</v>
      </c>
      <c r="D266" s="1" t="s">
        <v>132</v>
      </c>
      <c r="E266" s="1" t="s">
        <v>132</v>
      </c>
      <c r="F266" s="1" t="s">
        <v>132</v>
      </c>
      <c r="G266" s="1" t="s">
        <v>132</v>
      </c>
      <c r="H266" s="1" t="s">
        <v>132</v>
      </c>
      <c r="I266" s="1" t="s">
        <v>132</v>
      </c>
      <c r="J266" s="1" t="s">
        <v>132</v>
      </c>
      <c r="K266" s="1" t="s">
        <v>132</v>
      </c>
      <c r="L266" s="1" t="s">
        <v>132</v>
      </c>
      <c r="M266" s="1" t="s">
        <v>132</v>
      </c>
      <c r="N266" s="1" t="s">
        <v>132</v>
      </c>
      <c r="O266" s="1" t="s">
        <v>132</v>
      </c>
      <c r="P266" s="1" t="s">
        <v>132</v>
      </c>
      <c r="Q266" s="1" t="s">
        <v>132</v>
      </c>
      <c r="R266" s="1" t="s">
        <v>132</v>
      </c>
      <c r="S266" s="1" t="s">
        <v>132</v>
      </c>
      <c r="T266" s="1" t="s">
        <v>132</v>
      </c>
      <c r="U266" s="1" t="s">
        <v>132</v>
      </c>
      <c r="V266" s="1" t="s">
        <v>132</v>
      </c>
      <c r="W266" s="1" t="s">
        <v>132</v>
      </c>
      <c r="X266" s="1" t="s">
        <v>132</v>
      </c>
      <c r="Y266" s="1" t="s">
        <v>132</v>
      </c>
      <c r="Z266" s="1" t="s">
        <v>132</v>
      </c>
      <c r="AA266" s="1" t="s">
        <v>132</v>
      </c>
      <c r="AB266" s="1" t="s">
        <v>132</v>
      </c>
      <c r="AC266" s="1" t="s">
        <v>132</v>
      </c>
      <c r="AD266" s="1" t="s">
        <v>132</v>
      </c>
      <c r="AE266" s="1" t="s">
        <v>132</v>
      </c>
      <c r="AF266" s="1" t="s">
        <v>132</v>
      </c>
      <c r="AG266" s="1" t="s">
        <v>132</v>
      </c>
      <c r="AH266" s="1" t="s">
        <v>132</v>
      </c>
      <c r="AI266" s="1" t="s">
        <v>132</v>
      </c>
      <c r="AJ266" s="1" t="s">
        <v>132</v>
      </c>
      <c r="AK266" s="1" t="s">
        <v>132</v>
      </c>
      <c r="AL266" s="1" t="s">
        <v>132</v>
      </c>
      <c r="AM266" s="1" t="s">
        <v>132</v>
      </c>
      <c r="AN266" s="1" t="s">
        <v>132</v>
      </c>
    </row>
    <row r="267" ht="15.75" customHeight="1">
      <c r="A267" s="1" t="s">
        <v>43182</v>
      </c>
      <c r="B267" s="1" t="s">
        <v>43203</v>
      </c>
      <c r="C267" s="1" t="s">
        <v>11434</v>
      </c>
      <c r="D267" s="1" t="s">
        <v>132</v>
      </c>
      <c r="E267" s="1" t="s">
        <v>132</v>
      </c>
      <c r="F267" s="1" t="s">
        <v>132</v>
      </c>
      <c r="G267" s="1" t="s">
        <v>132</v>
      </c>
      <c r="H267" s="1" t="s">
        <v>132</v>
      </c>
      <c r="I267" s="1" t="s">
        <v>132</v>
      </c>
      <c r="J267" s="1" t="s">
        <v>132</v>
      </c>
      <c r="K267" s="1" t="s">
        <v>132</v>
      </c>
      <c r="L267" s="1" t="s">
        <v>132</v>
      </c>
      <c r="M267" s="1" t="s">
        <v>132</v>
      </c>
      <c r="N267" s="1" t="s">
        <v>132</v>
      </c>
      <c r="O267" s="1" t="s">
        <v>132</v>
      </c>
      <c r="P267" s="1" t="s">
        <v>132</v>
      </c>
      <c r="Q267" s="1" t="s">
        <v>132</v>
      </c>
      <c r="R267" s="1" t="s">
        <v>132</v>
      </c>
      <c r="S267" s="1" t="s">
        <v>132</v>
      </c>
      <c r="T267" s="1" t="s">
        <v>132</v>
      </c>
      <c r="U267" s="1" t="s">
        <v>132</v>
      </c>
      <c r="V267" s="1" t="s">
        <v>132</v>
      </c>
      <c r="W267" s="1" t="s">
        <v>132</v>
      </c>
      <c r="X267" s="1" t="s">
        <v>132</v>
      </c>
      <c r="Y267" s="1" t="s">
        <v>132</v>
      </c>
      <c r="Z267" s="1" t="s">
        <v>132</v>
      </c>
      <c r="AA267" s="1" t="s">
        <v>132</v>
      </c>
      <c r="AB267" s="1" t="s">
        <v>132</v>
      </c>
      <c r="AC267" s="1" t="s">
        <v>132</v>
      </c>
      <c r="AD267" s="1" t="s">
        <v>132</v>
      </c>
      <c r="AE267" s="1" t="s">
        <v>132</v>
      </c>
      <c r="AF267" s="1" t="s">
        <v>132</v>
      </c>
      <c r="AG267" s="1" t="s">
        <v>132</v>
      </c>
      <c r="AH267" s="1" t="s">
        <v>132</v>
      </c>
      <c r="AI267" s="1" t="s">
        <v>132</v>
      </c>
      <c r="AJ267" s="1" t="s">
        <v>132</v>
      </c>
      <c r="AK267" s="1" t="s">
        <v>132</v>
      </c>
      <c r="AL267" s="1" t="s">
        <v>132</v>
      </c>
      <c r="AM267" s="1" t="s">
        <v>132</v>
      </c>
      <c r="AN267" s="1" t="s">
        <v>132</v>
      </c>
    </row>
    <row r="268" ht="15.75" customHeight="1">
      <c r="A268" s="1" t="s">
        <v>127</v>
      </c>
      <c r="B268" s="1" t="s">
        <v>5718</v>
      </c>
      <c r="C268" s="1" t="s">
        <v>5719</v>
      </c>
      <c r="D268" s="8" t="s">
        <v>5720</v>
      </c>
      <c r="E268" s="1" t="s">
        <v>5721</v>
      </c>
      <c r="F268" s="1" t="s">
        <v>132</v>
      </c>
      <c r="G268" s="1" t="s">
        <v>5722</v>
      </c>
      <c r="H268" s="1" t="s">
        <v>5723</v>
      </c>
      <c r="I268" s="1" t="s">
        <v>5724</v>
      </c>
      <c r="J268" s="1" t="s">
        <v>5725</v>
      </c>
      <c r="K268" s="1" t="s">
        <v>5726</v>
      </c>
      <c r="L268" s="1" t="s">
        <v>5727</v>
      </c>
      <c r="M268" s="1" t="s">
        <v>5728</v>
      </c>
      <c r="N268" s="1" t="s">
        <v>132</v>
      </c>
      <c r="O268" s="1" t="s">
        <v>5729</v>
      </c>
      <c r="P268" s="1" t="s">
        <v>5730</v>
      </c>
      <c r="Q268" s="1" t="s">
        <v>132</v>
      </c>
      <c r="R268" s="1" t="s">
        <v>5731</v>
      </c>
      <c r="S268" s="1" t="s">
        <v>5732</v>
      </c>
      <c r="T268" s="8" t="s">
        <v>5733</v>
      </c>
      <c r="U268" s="1" t="s">
        <v>5734</v>
      </c>
      <c r="V268" s="1" t="s">
        <v>5735</v>
      </c>
      <c r="W268" s="1" t="s">
        <v>5736</v>
      </c>
      <c r="X268" s="1" t="s">
        <v>5737</v>
      </c>
      <c r="Y268" s="1" t="s">
        <v>5738</v>
      </c>
      <c r="Z268" s="1" t="s">
        <v>5739</v>
      </c>
      <c r="AA268" s="1" t="s">
        <v>5740</v>
      </c>
      <c r="AB268" s="1" t="s">
        <v>5741</v>
      </c>
      <c r="AC268" s="1" t="s">
        <v>5742</v>
      </c>
      <c r="AD268" s="1" t="s">
        <v>5743</v>
      </c>
      <c r="AE268" s="1" t="s">
        <v>5744</v>
      </c>
      <c r="AF268" s="1" t="s">
        <v>5745</v>
      </c>
      <c r="AG268" s="1" t="s">
        <v>5746</v>
      </c>
      <c r="AH268" s="1" t="s">
        <v>5747</v>
      </c>
      <c r="AI268" s="1" t="s">
        <v>5748</v>
      </c>
      <c r="AJ268" s="1" t="s">
        <v>132</v>
      </c>
      <c r="AK268" s="1" t="s">
        <v>5749</v>
      </c>
      <c r="AL268" s="1" t="s">
        <v>5750</v>
      </c>
      <c r="AM268" s="1" t="s">
        <v>132</v>
      </c>
      <c r="AN268" s="1" t="s">
        <v>132</v>
      </c>
    </row>
    <row r="269" ht="15.75" customHeight="1">
      <c r="A269" s="1" t="s">
        <v>43182</v>
      </c>
      <c r="B269" s="1" t="s">
        <v>43204</v>
      </c>
      <c r="C269" s="1" t="s">
        <v>43205</v>
      </c>
      <c r="D269" s="1" t="s">
        <v>132</v>
      </c>
      <c r="E269" s="1" t="s">
        <v>132</v>
      </c>
      <c r="F269" s="1" t="s">
        <v>132</v>
      </c>
      <c r="G269" s="1" t="s">
        <v>132</v>
      </c>
      <c r="H269" s="1" t="s">
        <v>132</v>
      </c>
      <c r="I269" s="1" t="s">
        <v>132</v>
      </c>
      <c r="J269" s="1" t="s">
        <v>132</v>
      </c>
      <c r="K269" s="1" t="s">
        <v>132</v>
      </c>
      <c r="L269" s="1" t="s">
        <v>132</v>
      </c>
      <c r="M269" s="1" t="s">
        <v>132</v>
      </c>
      <c r="N269" s="1" t="s">
        <v>132</v>
      </c>
      <c r="O269" s="1" t="s">
        <v>132</v>
      </c>
      <c r="P269" s="1" t="s">
        <v>132</v>
      </c>
      <c r="Q269" s="1" t="s">
        <v>132</v>
      </c>
      <c r="R269" s="1" t="s">
        <v>132</v>
      </c>
      <c r="S269" s="1" t="s">
        <v>132</v>
      </c>
      <c r="T269" s="1" t="s">
        <v>132</v>
      </c>
      <c r="U269" s="1" t="s">
        <v>132</v>
      </c>
      <c r="V269" s="1" t="s">
        <v>132</v>
      </c>
      <c r="W269" s="1" t="s">
        <v>132</v>
      </c>
      <c r="X269" s="1" t="s">
        <v>132</v>
      </c>
      <c r="Y269" s="1" t="s">
        <v>132</v>
      </c>
      <c r="Z269" s="1" t="s">
        <v>132</v>
      </c>
      <c r="AA269" s="1" t="s">
        <v>132</v>
      </c>
      <c r="AB269" s="1" t="s">
        <v>132</v>
      </c>
      <c r="AC269" s="1" t="s">
        <v>132</v>
      </c>
      <c r="AD269" s="1" t="s">
        <v>132</v>
      </c>
      <c r="AE269" s="1" t="s">
        <v>132</v>
      </c>
      <c r="AF269" s="1" t="s">
        <v>132</v>
      </c>
      <c r="AG269" s="1" t="s">
        <v>132</v>
      </c>
      <c r="AH269" s="1" t="s">
        <v>132</v>
      </c>
      <c r="AI269" s="1" t="s">
        <v>132</v>
      </c>
      <c r="AJ269" s="1" t="s">
        <v>132</v>
      </c>
      <c r="AK269" s="1" t="s">
        <v>132</v>
      </c>
      <c r="AL269" s="1" t="s">
        <v>132</v>
      </c>
      <c r="AM269" s="1" t="s">
        <v>132</v>
      </c>
      <c r="AN269" s="1" t="s">
        <v>132</v>
      </c>
    </row>
    <row r="270" ht="15.75" customHeight="1">
      <c r="A270" s="1" t="s">
        <v>127</v>
      </c>
      <c r="B270" s="1" t="s">
        <v>5751</v>
      </c>
      <c r="C270" s="1" t="s">
        <v>5752</v>
      </c>
      <c r="D270" s="8" t="s">
        <v>5753</v>
      </c>
      <c r="E270" s="1" t="s">
        <v>5754</v>
      </c>
      <c r="F270" s="1" t="s">
        <v>132</v>
      </c>
      <c r="G270" s="1" t="s">
        <v>5755</v>
      </c>
      <c r="H270" s="1" t="s">
        <v>5756</v>
      </c>
      <c r="I270" s="1" t="s">
        <v>5757</v>
      </c>
      <c r="J270" s="1" t="s">
        <v>5758</v>
      </c>
      <c r="K270" s="1" t="s">
        <v>5752</v>
      </c>
      <c r="L270" s="1" t="s">
        <v>5759</v>
      </c>
      <c r="M270" s="1" t="s">
        <v>5760</v>
      </c>
      <c r="N270" s="1" t="s">
        <v>132</v>
      </c>
      <c r="O270" s="1" t="s">
        <v>5761</v>
      </c>
      <c r="P270" s="1" t="s">
        <v>5752</v>
      </c>
      <c r="Q270" s="1" t="s">
        <v>132</v>
      </c>
      <c r="R270" s="1" t="s">
        <v>5762</v>
      </c>
      <c r="S270" s="1" t="s">
        <v>5763</v>
      </c>
      <c r="T270" s="8" t="s">
        <v>5764</v>
      </c>
      <c r="U270" s="1" t="s">
        <v>5765</v>
      </c>
      <c r="V270" s="1" t="s">
        <v>5766</v>
      </c>
      <c r="W270" s="1" t="s">
        <v>5762</v>
      </c>
      <c r="X270" s="1" t="s">
        <v>5767</v>
      </c>
      <c r="Y270" s="1" t="s">
        <v>5768</v>
      </c>
      <c r="Z270" s="1" t="s">
        <v>5769</v>
      </c>
      <c r="AA270" s="1" t="s">
        <v>5770</v>
      </c>
      <c r="AB270" s="1" t="s">
        <v>5771</v>
      </c>
      <c r="AC270" s="1" t="s">
        <v>5772</v>
      </c>
      <c r="AD270" s="1" t="s">
        <v>5773</v>
      </c>
      <c r="AE270" s="1" t="s">
        <v>5755</v>
      </c>
      <c r="AF270" s="1" t="s">
        <v>5774</v>
      </c>
      <c r="AG270" s="1" t="s">
        <v>5775</v>
      </c>
      <c r="AH270" s="1" t="s">
        <v>5776</v>
      </c>
      <c r="AI270" s="1" t="s">
        <v>5777</v>
      </c>
      <c r="AJ270" s="1" t="s">
        <v>132</v>
      </c>
      <c r="AK270" s="1" t="s">
        <v>5778</v>
      </c>
      <c r="AL270" s="1" t="s">
        <v>5779</v>
      </c>
      <c r="AM270" s="1" t="s">
        <v>5780</v>
      </c>
      <c r="AN270" s="1" t="s">
        <v>5780</v>
      </c>
    </row>
    <row r="271" ht="15.75" customHeight="1">
      <c r="A271" s="1" t="s">
        <v>38</v>
      </c>
      <c r="B271" s="1" t="s">
        <v>5781</v>
      </c>
      <c r="C271" s="1" t="s">
        <v>5782</v>
      </c>
      <c r="D271" s="8" t="s">
        <v>5783</v>
      </c>
      <c r="E271" s="1" t="s">
        <v>5784</v>
      </c>
      <c r="F271" s="1" t="s">
        <v>5785</v>
      </c>
      <c r="G271" s="1" t="s">
        <v>132</v>
      </c>
      <c r="H271" s="1" t="s">
        <v>132</v>
      </c>
      <c r="I271" s="1" t="s">
        <v>5786</v>
      </c>
      <c r="J271" s="1" t="s">
        <v>132</v>
      </c>
      <c r="K271" s="1" t="s">
        <v>5787</v>
      </c>
      <c r="L271" s="1" t="s">
        <v>132</v>
      </c>
      <c r="M271" s="1" t="s">
        <v>5788</v>
      </c>
      <c r="N271" s="1" t="s">
        <v>5789</v>
      </c>
      <c r="O271" s="1" t="s">
        <v>132</v>
      </c>
      <c r="P271" s="1" t="s">
        <v>5790</v>
      </c>
      <c r="Q271" s="1" t="s">
        <v>5791</v>
      </c>
      <c r="R271" s="1" t="s">
        <v>132</v>
      </c>
      <c r="S271" s="1" t="s">
        <v>5792</v>
      </c>
      <c r="T271" s="1" t="s">
        <v>132</v>
      </c>
      <c r="U271" s="1" t="s">
        <v>5793</v>
      </c>
      <c r="V271" s="1" t="s">
        <v>5794</v>
      </c>
      <c r="W271" s="1" t="s">
        <v>132</v>
      </c>
      <c r="X271" s="1" t="s">
        <v>5795</v>
      </c>
      <c r="Y271" s="1" t="s">
        <v>132</v>
      </c>
      <c r="Z271" s="1" t="s">
        <v>5796</v>
      </c>
      <c r="AA271" s="1" t="s">
        <v>5797</v>
      </c>
      <c r="AB271" s="1" t="s">
        <v>132</v>
      </c>
      <c r="AC271" s="1" t="s">
        <v>5798</v>
      </c>
      <c r="AD271" s="1" t="s">
        <v>132</v>
      </c>
      <c r="AE271" s="1" t="s">
        <v>132</v>
      </c>
      <c r="AF271" s="1" t="s">
        <v>5799</v>
      </c>
      <c r="AG271" s="1" t="s">
        <v>5800</v>
      </c>
      <c r="AH271" s="1" t="s">
        <v>132</v>
      </c>
      <c r="AI271" s="1" t="s">
        <v>132</v>
      </c>
      <c r="AJ271" s="1" t="s">
        <v>5801</v>
      </c>
      <c r="AK271" s="1" t="s">
        <v>5802</v>
      </c>
      <c r="AL271" s="1" t="s">
        <v>132</v>
      </c>
      <c r="AM271" s="1" t="s">
        <v>5803</v>
      </c>
      <c r="AN271" s="1" t="s">
        <v>5803</v>
      </c>
    </row>
    <row r="272" ht="15.75" customHeight="1">
      <c r="A272" s="1" t="s">
        <v>38</v>
      </c>
      <c r="B272" s="1" t="s">
        <v>5804</v>
      </c>
      <c r="C272" s="1" t="s">
        <v>5805</v>
      </c>
      <c r="D272" s="1" t="s">
        <v>132</v>
      </c>
      <c r="E272" s="1" t="s">
        <v>132</v>
      </c>
      <c r="F272" s="1" t="s">
        <v>132</v>
      </c>
      <c r="G272" s="1" t="s">
        <v>132</v>
      </c>
      <c r="H272" s="1" t="s">
        <v>132</v>
      </c>
      <c r="I272" s="1" t="s">
        <v>132</v>
      </c>
      <c r="J272" s="1" t="s">
        <v>132</v>
      </c>
      <c r="K272" s="1" t="s">
        <v>132</v>
      </c>
      <c r="L272" s="1" t="s">
        <v>132</v>
      </c>
      <c r="M272" s="1" t="s">
        <v>132</v>
      </c>
      <c r="N272" s="1" t="s">
        <v>132</v>
      </c>
      <c r="O272" s="1" t="s">
        <v>132</v>
      </c>
      <c r="P272" s="1" t="s">
        <v>132</v>
      </c>
      <c r="Q272" s="1" t="s">
        <v>132</v>
      </c>
      <c r="R272" s="1" t="s">
        <v>132</v>
      </c>
      <c r="S272" s="1" t="s">
        <v>132</v>
      </c>
      <c r="T272" s="1" t="s">
        <v>132</v>
      </c>
      <c r="U272" s="1" t="s">
        <v>132</v>
      </c>
      <c r="V272" s="1" t="s">
        <v>132</v>
      </c>
      <c r="W272" s="1" t="s">
        <v>132</v>
      </c>
      <c r="X272" s="1" t="s">
        <v>132</v>
      </c>
      <c r="Y272" s="1" t="s">
        <v>132</v>
      </c>
      <c r="Z272" s="1" t="s">
        <v>132</v>
      </c>
      <c r="AA272" s="1" t="s">
        <v>132</v>
      </c>
      <c r="AB272" s="1" t="s">
        <v>132</v>
      </c>
      <c r="AC272" s="1" t="s">
        <v>132</v>
      </c>
      <c r="AD272" s="1" t="s">
        <v>132</v>
      </c>
      <c r="AE272" s="1" t="s">
        <v>132</v>
      </c>
      <c r="AF272" s="1" t="s">
        <v>132</v>
      </c>
      <c r="AG272" s="1" t="s">
        <v>132</v>
      </c>
      <c r="AH272" s="1" t="s">
        <v>132</v>
      </c>
      <c r="AI272" s="1" t="s">
        <v>132</v>
      </c>
      <c r="AJ272" s="1" t="s">
        <v>132</v>
      </c>
      <c r="AK272" s="1" t="s">
        <v>132</v>
      </c>
      <c r="AL272" s="1" t="s">
        <v>132</v>
      </c>
      <c r="AM272" s="1" t="s">
        <v>132</v>
      </c>
      <c r="AN272" s="1" t="s">
        <v>132</v>
      </c>
    </row>
    <row r="273" ht="15.75" customHeight="1">
      <c r="A273" s="1" t="s">
        <v>38</v>
      </c>
      <c r="B273" s="1" t="s">
        <v>5806</v>
      </c>
      <c r="C273" s="1" t="s">
        <v>5807</v>
      </c>
      <c r="D273" s="8" t="s">
        <v>5808</v>
      </c>
      <c r="E273" s="1" t="s">
        <v>5809</v>
      </c>
      <c r="F273" s="1" t="s">
        <v>5810</v>
      </c>
      <c r="G273" s="1" t="s">
        <v>132</v>
      </c>
      <c r="H273" s="1" t="s">
        <v>132</v>
      </c>
      <c r="I273" s="1" t="s">
        <v>5811</v>
      </c>
      <c r="J273" s="1" t="s">
        <v>132</v>
      </c>
      <c r="K273" s="1" t="s">
        <v>5812</v>
      </c>
      <c r="L273" s="1" t="s">
        <v>132</v>
      </c>
      <c r="M273" s="1" t="s">
        <v>5813</v>
      </c>
      <c r="N273" s="1" t="s">
        <v>5814</v>
      </c>
      <c r="O273" s="1" t="s">
        <v>132</v>
      </c>
      <c r="P273" s="1" t="s">
        <v>5815</v>
      </c>
      <c r="Q273" s="1" t="s">
        <v>5816</v>
      </c>
      <c r="R273" s="1" t="s">
        <v>132</v>
      </c>
      <c r="S273" s="1" t="s">
        <v>5817</v>
      </c>
      <c r="T273" s="1" t="s">
        <v>132</v>
      </c>
      <c r="U273" s="1" t="s">
        <v>5818</v>
      </c>
      <c r="V273" s="1" t="s">
        <v>5819</v>
      </c>
      <c r="W273" s="1" t="s">
        <v>132</v>
      </c>
      <c r="X273" s="1" t="s">
        <v>5820</v>
      </c>
      <c r="Y273" s="1" t="s">
        <v>132</v>
      </c>
      <c r="Z273" s="1" t="s">
        <v>5821</v>
      </c>
      <c r="AA273" s="1" t="s">
        <v>5822</v>
      </c>
      <c r="AB273" s="1" t="s">
        <v>132</v>
      </c>
      <c r="AC273" s="1" t="s">
        <v>5823</v>
      </c>
      <c r="AD273" s="1" t="s">
        <v>5824</v>
      </c>
      <c r="AE273" s="1" t="s">
        <v>132</v>
      </c>
      <c r="AF273" s="1" t="s">
        <v>5825</v>
      </c>
      <c r="AG273" s="1" t="s">
        <v>5826</v>
      </c>
      <c r="AH273" s="1" t="s">
        <v>132</v>
      </c>
      <c r="AI273" s="1" t="s">
        <v>132</v>
      </c>
      <c r="AJ273" s="1" t="s">
        <v>5827</v>
      </c>
      <c r="AK273" s="1" t="s">
        <v>5828</v>
      </c>
      <c r="AL273" s="1" t="s">
        <v>132</v>
      </c>
      <c r="AM273" s="1" t="s">
        <v>5829</v>
      </c>
      <c r="AN273" s="1" t="s">
        <v>5829</v>
      </c>
    </row>
    <row r="274" ht="15.75" customHeight="1">
      <c r="A274" s="1" t="s">
        <v>5830</v>
      </c>
      <c r="B274" s="1" t="s">
        <v>5831</v>
      </c>
      <c r="C274" s="1" t="s">
        <v>5832</v>
      </c>
      <c r="D274" s="1" t="s">
        <v>132</v>
      </c>
      <c r="E274" s="1" t="s">
        <v>132</v>
      </c>
      <c r="F274" s="1" t="s">
        <v>132</v>
      </c>
      <c r="G274" s="1" t="s">
        <v>132</v>
      </c>
      <c r="H274" s="1" t="s">
        <v>5833</v>
      </c>
      <c r="I274" s="1" t="s">
        <v>5834</v>
      </c>
      <c r="J274" s="1" t="s">
        <v>132</v>
      </c>
      <c r="K274" s="1" t="s">
        <v>5835</v>
      </c>
      <c r="L274" s="1" t="s">
        <v>5836</v>
      </c>
      <c r="M274" s="1" t="s">
        <v>5837</v>
      </c>
      <c r="N274" s="1" t="s">
        <v>132</v>
      </c>
      <c r="O274" s="1" t="s">
        <v>132</v>
      </c>
      <c r="P274" s="1" t="s">
        <v>5838</v>
      </c>
      <c r="Q274" s="1" t="s">
        <v>132</v>
      </c>
      <c r="R274" s="1" t="s">
        <v>5839</v>
      </c>
      <c r="S274" s="1" t="s">
        <v>5840</v>
      </c>
      <c r="T274" s="1" t="s">
        <v>132</v>
      </c>
      <c r="U274" s="1" t="s">
        <v>5841</v>
      </c>
      <c r="V274" s="1" t="s">
        <v>5842</v>
      </c>
      <c r="W274" s="1" t="s">
        <v>5843</v>
      </c>
      <c r="X274" s="1" t="s">
        <v>5844</v>
      </c>
      <c r="Y274" s="1" t="s">
        <v>5845</v>
      </c>
      <c r="Z274" s="1" t="s">
        <v>5846</v>
      </c>
      <c r="AA274" s="1" t="s">
        <v>5847</v>
      </c>
      <c r="AB274" s="1" t="s">
        <v>132</v>
      </c>
      <c r="AC274" s="1" t="s">
        <v>5848</v>
      </c>
      <c r="AD274" s="1" t="s">
        <v>132</v>
      </c>
      <c r="AE274" s="1" t="s">
        <v>132</v>
      </c>
      <c r="AF274" s="1" t="s">
        <v>5849</v>
      </c>
      <c r="AG274" s="1" t="s">
        <v>5850</v>
      </c>
      <c r="AH274" s="1" t="s">
        <v>132</v>
      </c>
      <c r="AI274" s="1" t="s">
        <v>5851</v>
      </c>
      <c r="AJ274" s="1" t="s">
        <v>132</v>
      </c>
      <c r="AK274" s="1" t="s">
        <v>132</v>
      </c>
      <c r="AL274" s="1" t="s">
        <v>5852</v>
      </c>
      <c r="AM274" s="1" t="s">
        <v>132</v>
      </c>
      <c r="AN274" s="1" t="s">
        <v>132</v>
      </c>
    </row>
    <row r="275" ht="15.75" customHeight="1">
      <c r="A275" s="1" t="s">
        <v>38</v>
      </c>
      <c r="B275" s="1" t="s">
        <v>5853</v>
      </c>
      <c r="C275" s="1" t="s">
        <v>5854</v>
      </c>
      <c r="D275" s="1" t="s">
        <v>132</v>
      </c>
      <c r="E275" s="1" t="s">
        <v>5855</v>
      </c>
      <c r="F275" s="1" t="s">
        <v>5856</v>
      </c>
      <c r="G275" s="1" t="s">
        <v>132</v>
      </c>
      <c r="H275" s="1" t="s">
        <v>132</v>
      </c>
      <c r="I275" s="1" t="s">
        <v>5857</v>
      </c>
      <c r="J275" s="1" t="s">
        <v>132</v>
      </c>
      <c r="K275" s="1" t="s">
        <v>5858</v>
      </c>
      <c r="L275" s="1" t="s">
        <v>132</v>
      </c>
      <c r="M275" s="1" t="s">
        <v>5859</v>
      </c>
      <c r="N275" s="1" t="s">
        <v>5860</v>
      </c>
      <c r="O275" s="1" t="s">
        <v>132</v>
      </c>
      <c r="P275" s="1" t="s">
        <v>5861</v>
      </c>
      <c r="Q275" s="1" t="s">
        <v>132</v>
      </c>
      <c r="R275" s="1" t="s">
        <v>132</v>
      </c>
      <c r="S275" s="1" t="s">
        <v>5862</v>
      </c>
      <c r="T275" s="1" t="s">
        <v>132</v>
      </c>
      <c r="U275" s="1" t="s">
        <v>5863</v>
      </c>
      <c r="V275" s="1" t="s">
        <v>132</v>
      </c>
      <c r="W275" s="1" t="s">
        <v>132</v>
      </c>
      <c r="X275" s="1" t="s">
        <v>5864</v>
      </c>
      <c r="Y275" s="1" t="s">
        <v>132</v>
      </c>
      <c r="Z275" s="1" t="s">
        <v>5865</v>
      </c>
      <c r="AA275" s="1" t="s">
        <v>132</v>
      </c>
      <c r="AB275" s="1" t="s">
        <v>132</v>
      </c>
      <c r="AC275" s="1" t="s">
        <v>5866</v>
      </c>
      <c r="AD275" s="1" t="s">
        <v>132</v>
      </c>
      <c r="AE275" s="1" t="s">
        <v>132</v>
      </c>
      <c r="AF275" s="1" t="s">
        <v>5867</v>
      </c>
      <c r="AG275" s="1" t="s">
        <v>132</v>
      </c>
      <c r="AH275" s="1" t="s">
        <v>132</v>
      </c>
      <c r="AI275" s="1" t="s">
        <v>132</v>
      </c>
      <c r="AJ275" s="1" t="s">
        <v>5868</v>
      </c>
      <c r="AK275" s="1" t="s">
        <v>132</v>
      </c>
      <c r="AL275" s="1" t="s">
        <v>132</v>
      </c>
      <c r="AM275" s="1" t="s">
        <v>132</v>
      </c>
      <c r="AN275" s="1" t="s">
        <v>132</v>
      </c>
    </row>
    <row r="276" ht="15.75" customHeight="1">
      <c r="A276" s="1" t="s">
        <v>127</v>
      </c>
      <c r="B276" s="1" t="s">
        <v>5869</v>
      </c>
      <c r="C276" s="1" t="s">
        <v>5870</v>
      </c>
      <c r="D276" s="8" t="s">
        <v>5871</v>
      </c>
      <c r="E276" s="1" t="s">
        <v>5872</v>
      </c>
      <c r="F276" s="1" t="s">
        <v>132</v>
      </c>
      <c r="G276" s="1" t="s">
        <v>5873</v>
      </c>
      <c r="H276" s="1" t="s">
        <v>5874</v>
      </c>
      <c r="I276" s="1" t="s">
        <v>5875</v>
      </c>
      <c r="J276" s="1" t="s">
        <v>5876</v>
      </c>
      <c r="K276" s="1" t="s">
        <v>5877</v>
      </c>
      <c r="L276" s="1" t="s">
        <v>5878</v>
      </c>
      <c r="M276" s="1" t="s">
        <v>5870</v>
      </c>
      <c r="N276" s="1" t="s">
        <v>132</v>
      </c>
      <c r="O276" s="1" t="s">
        <v>5879</v>
      </c>
      <c r="P276" s="1" t="s">
        <v>5880</v>
      </c>
      <c r="Q276" s="1" t="s">
        <v>132</v>
      </c>
      <c r="R276" s="1" t="s">
        <v>5881</v>
      </c>
      <c r="S276" s="1" t="s">
        <v>5882</v>
      </c>
      <c r="T276" s="8" t="s">
        <v>5883</v>
      </c>
      <c r="U276" s="1" t="s">
        <v>5884</v>
      </c>
      <c r="V276" s="1" t="s">
        <v>5885</v>
      </c>
      <c r="W276" s="1" t="s">
        <v>5886</v>
      </c>
      <c r="X276" s="1" t="s">
        <v>5887</v>
      </c>
      <c r="Y276" s="1" t="s">
        <v>5874</v>
      </c>
      <c r="Z276" s="1" t="s">
        <v>5888</v>
      </c>
      <c r="AA276" s="1" t="s">
        <v>5889</v>
      </c>
      <c r="AB276" s="1" t="s">
        <v>5890</v>
      </c>
      <c r="AC276" s="1" t="s">
        <v>5872</v>
      </c>
      <c r="AD276" s="1" t="s">
        <v>5891</v>
      </c>
      <c r="AE276" s="1" t="s">
        <v>5892</v>
      </c>
      <c r="AF276" s="1" t="s">
        <v>5893</v>
      </c>
      <c r="AG276" s="1" t="s">
        <v>5894</v>
      </c>
      <c r="AH276" s="1" t="s">
        <v>5895</v>
      </c>
      <c r="AI276" s="1" t="s">
        <v>5896</v>
      </c>
      <c r="AJ276" s="1" t="s">
        <v>132</v>
      </c>
      <c r="AK276" s="1" t="s">
        <v>5897</v>
      </c>
      <c r="AL276" s="1" t="s">
        <v>5898</v>
      </c>
      <c r="AM276" s="1" t="s">
        <v>5899</v>
      </c>
      <c r="AN276" s="1" t="s">
        <v>5899</v>
      </c>
    </row>
    <row r="277" ht="15.75" customHeight="1">
      <c r="A277" s="1" t="s">
        <v>38</v>
      </c>
      <c r="B277" s="1" t="s">
        <v>5900</v>
      </c>
      <c r="C277" s="1" t="s">
        <v>5901</v>
      </c>
      <c r="D277" s="1" t="s">
        <v>132</v>
      </c>
      <c r="E277" s="1" t="s">
        <v>5902</v>
      </c>
      <c r="F277" s="1" t="s">
        <v>5903</v>
      </c>
      <c r="G277" s="1" t="s">
        <v>132</v>
      </c>
      <c r="H277" s="1" t="s">
        <v>132</v>
      </c>
      <c r="I277" s="1" t="s">
        <v>5904</v>
      </c>
      <c r="J277" s="1" t="s">
        <v>132</v>
      </c>
      <c r="K277" s="1" t="s">
        <v>5905</v>
      </c>
      <c r="L277" s="1" t="s">
        <v>132</v>
      </c>
      <c r="M277" s="1" t="s">
        <v>5906</v>
      </c>
      <c r="N277" s="1" t="s">
        <v>5907</v>
      </c>
      <c r="O277" s="1" t="s">
        <v>132</v>
      </c>
      <c r="P277" s="1" t="s">
        <v>5908</v>
      </c>
      <c r="Q277" s="1" t="s">
        <v>132</v>
      </c>
      <c r="R277" s="1" t="s">
        <v>132</v>
      </c>
      <c r="S277" s="1" t="s">
        <v>5909</v>
      </c>
      <c r="T277" s="1" t="s">
        <v>132</v>
      </c>
      <c r="U277" s="1" t="s">
        <v>132</v>
      </c>
      <c r="V277" s="1" t="s">
        <v>132</v>
      </c>
      <c r="W277" s="1" t="s">
        <v>132</v>
      </c>
      <c r="X277" s="1" t="s">
        <v>5910</v>
      </c>
      <c r="Y277" s="1" t="s">
        <v>132</v>
      </c>
      <c r="Z277" s="1" t="s">
        <v>5911</v>
      </c>
      <c r="AA277" s="1" t="s">
        <v>132</v>
      </c>
      <c r="AB277" s="1" t="s">
        <v>132</v>
      </c>
      <c r="AC277" s="1" t="s">
        <v>5912</v>
      </c>
      <c r="AD277" s="1" t="s">
        <v>132</v>
      </c>
      <c r="AE277" s="1" t="s">
        <v>132</v>
      </c>
      <c r="AF277" s="1" t="s">
        <v>132</v>
      </c>
      <c r="AG277" s="1" t="s">
        <v>132</v>
      </c>
      <c r="AH277" s="1" t="s">
        <v>132</v>
      </c>
      <c r="AI277" s="1" t="s">
        <v>132</v>
      </c>
      <c r="AJ277" s="1" t="s">
        <v>132</v>
      </c>
      <c r="AK277" s="1" t="s">
        <v>132</v>
      </c>
      <c r="AL277" s="1" t="s">
        <v>132</v>
      </c>
      <c r="AM277" s="1" t="s">
        <v>132</v>
      </c>
      <c r="AN277" s="1" t="s">
        <v>132</v>
      </c>
    </row>
    <row r="278" ht="15.75" customHeight="1">
      <c r="A278" s="1" t="s">
        <v>127</v>
      </c>
      <c r="B278" s="1" t="s">
        <v>5913</v>
      </c>
      <c r="C278" s="1" t="s">
        <v>5079</v>
      </c>
      <c r="D278" s="8" t="s">
        <v>5914</v>
      </c>
      <c r="E278" s="1" t="s">
        <v>5915</v>
      </c>
      <c r="F278" s="1" t="s">
        <v>132</v>
      </c>
      <c r="G278" s="1" t="s">
        <v>5916</v>
      </c>
      <c r="H278" s="1" t="s">
        <v>5917</v>
      </c>
      <c r="I278" s="1" t="s">
        <v>5916</v>
      </c>
      <c r="J278" s="1" t="s">
        <v>5918</v>
      </c>
      <c r="K278" s="1" t="s">
        <v>5919</v>
      </c>
      <c r="L278" s="1" t="s">
        <v>5920</v>
      </c>
      <c r="M278" s="1" t="s">
        <v>5079</v>
      </c>
      <c r="N278" s="1" t="s">
        <v>132</v>
      </c>
      <c r="O278" s="1" t="s">
        <v>5921</v>
      </c>
      <c r="P278" s="1" t="s">
        <v>5922</v>
      </c>
      <c r="Q278" s="1" t="s">
        <v>132</v>
      </c>
      <c r="R278" s="1" t="s">
        <v>5923</v>
      </c>
      <c r="S278" s="1" t="s">
        <v>5924</v>
      </c>
      <c r="T278" s="8" t="s">
        <v>5925</v>
      </c>
      <c r="U278" s="1" t="s">
        <v>5926</v>
      </c>
      <c r="V278" s="1" t="s">
        <v>5927</v>
      </c>
      <c r="W278" s="1" t="s">
        <v>5928</v>
      </c>
      <c r="X278" s="1" t="s">
        <v>5916</v>
      </c>
      <c r="Y278" s="1" t="s">
        <v>5917</v>
      </c>
      <c r="Z278" s="1" t="s">
        <v>5924</v>
      </c>
      <c r="AA278" s="1" t="s">
        <v>5924</v>
      </c>
      <c r="AB278" s="1" t="s">
        <v>5924</v>
      </c>
      <c r="AC278" s="1" t="s">
        <v>5915</v>
      </c>
      <c r="AD278" s="1" t="s">
        <v>5922</v>
      </c>
      <c r="AE278" s="1" t="s">
        <v>5916</v>
      </c>
      <c r="AF278" s="1" t="s">
        <v>5916</v>
      </c>
      <c r="AG278" s="1" t="s">
        <v>5916</v>
      </c>
      <c r="AH278" s="1" t="s">
        <v>5929</v>
      </c>
      <c r="AI278" s="1" t="s">
        <v>5930</v>
      </c>
      <c r="AJ278" s="1" t="s">
        <v>132</v>
      </c>
      <c r="AK278" s="1" t="s">
        <v>5931</v>
      </c>
      <c r="AL278" s="1" t="s">
        <v>5932</v>
      </c>
      <c r="AM278" s="1" t="s">
        <v>5933</v>
      </c>
      <c r="AN278" s="1" t="s">
        <v>5933</v>
      </c>
    </row>
    <row r="279" ht="15.75" customHeight="1">
      <c r="A279" s="1" t="s">
        <v>38</v>
      </c>
      <c r="B279" s="1" t="s">
        <v>5934</v>
      </c>
      <c r="C279" s="1" t="s">
        <v>5935</v>
      </c>
      <c r="D279" s="8" t="s">
        <v>5936</v>
      </c>
      <c r="E279" s="1" t="s">
        <v>5937</v>
      </c>
      <c r="F279" s="1" t="s">
        <v>5938</v>
      </c>
      <c r="G279" s="1" t="s">
        <v>132</v>
      </c>
      <c r="H279" s="1" t="s">
        <v>132</v>
      </c>
      <c r="I279" s="1" t="s">
        <v>5939</v>
      </c>
      <c r="J279" s="1" t="s">
        <v>132</v>
      </c>
      <c r="K279" s="1" t="s">
        <v>5940</v>
      </c>
      <c r="L279" s="1" t="s">
        <v>132</v>
      </c>
      <c r="M279" s="1" t="s">
        <v>5941</v>
      </c>
      <c r="N279" s="1" t="s">
        <v>5942</v>
      </c>
      <c r="O279" s="1" t="s">
        <v>132</v>
      </c>
      <c r="P279" s="1" t="s">
        <v>5943</v>
      </c>
      <c r="Q279" s="1" t="s">
        <v>5935</v>
      </c>
      <c r="R279" s="1" t="s">
        <v>132</v>
      </c>
      <c r="S279" s="1" t="s">
        <v>5944</v>
      </c>
      <c r="T279" s="1" t="s">
        <v>132</v>
      </c>
      <c r="U279" s="1" t="s">
        <v>5945</v>
      </c>
      <c r="V279" s="1" t="s">
        <v>5946</v>
      </c>
      <c r="W279" s="1" t="s">
        <v>132</v>
      </c>
      <c r="X279" s="1" t="s">
        <v>5947</v>
      </c>
      <c r="Y279" s="1" t="s">
        <v>132</v>
      </c>
      <c r="Z279" s="1" t="s">
        <v>5948</v>
      </c>
      <c r="AA279" s="1" t="s">
        <v>5949</v>
      </c>
      <c r="AB279" s="1" t="s">
        <v>132</v>
      </c>
      <c r="AC279" s="1" t="s">
        <v>5950</v>
      </c>
      <c r="AD279" s="1" t="s">
        <v>5951</v>
      </c>
      <c r="AE279" s="1" t="s">
        <v>132</v>
      </c>
      <c r="AF279" s="1" t="s">
        <v>5952</v>
      </c>
      <c r="AG279" s="1" t="s">
        <v>5953</v>
      </c>
      <c r="AH279" s="1" t="s">
        <v>132</v>
      </c>
      <c r="AI279" s="1" t="s">
        <v>132</v>
      </c>
      <c r="AJ279" s="1" t="s">
        <v>5954</v>
      </c>
      <c r="AK279" s="1" t="s">
        <v>5955</v>
      </c>
      <c r="AL279" s="1" t="s">
        <v>132</v>
      </c>
      <c r="AM279" s="1" t="s">
        <v>5956</v>
      </c>
      <c r="AN279" s="1" t="s">
        <v>5956</v>
      </c>
    </row>
    <row r="280" ht="15.75" customHeight="1">
      <c r="A280" s="1" t="s">
        <v>38</v>
      </c>
      <c r="B280" s="1" t="s">
        <v>5957</v>
      </c>
      <c r="C280" s="1" t="s">
        <v>5958</v>
      </c>
      <c r="D280" s="8" t="s">
        <v>5959</v>
      </c>
      <c r="E280" s="1" t="s">
        <v>5958</v>
      </c>
      <c r="F280" s="1" t="s">
        <v>5958</v>
      </c>
      <c r="G280" s="1" t="s">
        <v>132</v>
      </c>
      <c r="H280" s="1" t="s">
        <v>132</v>
      </c>
      <c r="I280" s="1" t="s">
        <v>5958</v>
      </c>
      <c r="J280" s="1" t="s">
        <v>132</v>
      </c>
      <c r="K280" s="1" t="s">
        <v>5958</v>
      </c>
      <c r="L280" s="1" t="s">
        <v>132</v>
      </c>
      <c r="M280" s="1" t="s">
        <v>5958</v>
      </c>
      <c r="N280" s="1" t="s">
        <v>5958</v>
      </c>
      <c r="O280" s="1" t="s">
        <v>132</v>
      </c>
      <c r="P280" s="1" t="s">
        <v>5958</v>
      </c>
      <c r="Q280" s="1" t="s">
        <v>5958</v>
      </c>
      <c r="R280" s="1" t="s">
        <v>132</v>
      </c>
      <c r="S280" s="1" t="s">
        <v>5958</v>
      </c>
      <c r="T280" s="1" t="s">
        <v>132</v>
      </c>
      <c r="U280" s="1" t="s">
        <v>5958</v>
      </c>
      <c r="V280" s="1" t="s">
        <v>5958</v>
      </c>
      <c r="W280" s="1" t="s">
        <v>132</v>
      </c>
      <c r="X280" s="1" t="s">
        <v>5958</v>
      </c>
      <c r="Y280" s="1" t="s">
        <v>132</v>
      </c>
      <c r="Z280" s="1" t="s">
        <v>5958</v>
      </c>
      <c r="AA280" s="1" t="s">
        <v>5958</v>
      </c>
      <c r="AB280" s="1" t="s">
        <v>132</v>
      </c>
      <c r="AC280" s="1" t="s">
        <v>5958</v>
      </c>
      <c r="AD280" s="1" t="s">
        <v>5958</v>
      </c>
      <c r="AE280" s="1" t="s">
        <v>132</v>
      </c>
      <c r="AF280" s="1" t="s">
        <v>5960</v>
      </c>
      <c r="AG280" s="1" t="s">
        <v>5958</v>
      </c>
      <c r="AH280" s="1" t="s">
        <v>132</v>
      </c>
      <c r="AI280" s="1" t="s">
        <v>132</v>
      </c>
      <c r="AJ280" s="1" t="s">
        <v>5958</v>
      </c>
      <c r="AK280" s="1" t="s">
        <v>5958</v>
      </c>
      <c r="AL280" s="1" t="s">
        <v>132</v>
      </c>
      <c r="AM280" s="1" t="s">
        <v>5958</v>
      </c>
      <c r="AN280" s="1" t="s">
        <v>5958</v>
      </c>
    </row>
    <row r="281" ht="15.75" customHeight="1">
      <c r="A281" s="1" t="s">
        <v>127</v>
      </c>
      <c r="B281" s="1" t="s">
        <v>5961</v>
      </c>
      <c r="C281" s="1" t="s">
        <v>5962</v>
      </c>
      <c r="D281" s="8" t="s">
        <v>5963</v>
      </c>
      <c r="E281" s="1" t="s">
        <v>5964</v>
      </c>
      <c r="F281" s="1" t="s">
        <v>132</v>
      </c>
      <c r="G281" s="1" t="s">
        <v>5965</v>
      </c>
      <c r="H281" s="1" t="s">
        <v>5966</v>
      </c>
      <c r="I281" s="1" t="s">
        <v>5967</v>
      </c>
      <c r="J281" s="1" t="s">
        <v>5968</v>
      </c>
      <c r="K281" s="1" t="s">
        <v>5969</v>
      </c>
      <c r="L281" s="1" t="s">
        <v>5970</v>
      </c>
      <c r="M281" s="1" t="s">
        <v>5971</v>
      </c>
      <c r="N281" s="1" t="s">
        <v>132</v>
      </c>
      <c r="O281" s="1" t="s">
        <v>5972</v>
      </c>
      <c r="P281" s="1" t="s">
        <v>5962</v>
      </c>
      <c r="Q281" s="1" t="s">
        <v>132</v>
      </c>
      <c r="R281" s="1" t="s">
        <v>5973</v>
      </c>
      <c r="S281" s="1" t="s">
        <v>5974</v>
      </c>
      <c r="T281" s="8" t="s">
        <v>5975</v>
      </c>
      <c r="U281" s="1" t="s">
        <v>5976</v>
      </c>
      <c r="V281" s="1" t="s">
        <v>5977</v>
      </c>
      <c r="W281" s="1" t="s">
        <v>5978</v>
      </c>
      <c r="X281" s="1" t="s">
        <v>5962</v>
      </c>
      <c r="Y281" s="1" t="s">
        <v>5979</v>
      </c>
      <c r="Z281" s="1" t="s">
        <v>5980</v>
      </c>
      <c r="AA281" s="1" t="s">
        <v>5981</v>
      </c>
      <c r="AB281" s="1" t="s">
        <v>5982</v>
      </c>
      <c r="AC281" s="1" t="s">
        <v>5983</v>
      </c>
      <c r="AD281" s="1" t="s">
        <v>5984</v>
      </c>
      <c r="AE281" s="1" t="s">
        <v>5985</v>
      </c>
      <c r="AF281" s="1" t="s">
        <v>5986</v>
      </c>
      <c r="AG281" s="1" t="s">
        <v>5987</v>
      </c>
      <c r="AH281" s="1" t="s">
        <v>5988</v>
      </c>
      <c r="AI281" s="1" t="s">
        <v>5989</v>
      </c>
      <c r="AJ281" s="1" t="s">
        <v>132</v>
      </c>
      <c r="AK281" s="1" t="s">
        <v>5990</v>
      </c>
      <c r="AL281" s="1" t="s">
        <v>5991</v>
      </c>
      <c r="AM281" s="1" t="s">
        <v>132</v>
      </c>
      <c r="AN281" s="1" t="s">
        <v>132</v>
      </c>
    </row>
    <row r="282" ht="15.75" customHeight="1">
      <c r="A282" s="1" t="s">
        <v>127</v>
      </c>
      <c r="B282" s="1" t="s">
        <v>5992</v>
      </c>
      <c r="C282" s="1" t="s">
        <v>5993</v>
      </c>
      <c r="D282" s="8" t="s">
        <v>5994</v>
      </c>
      <c r="E282" s="1" t="s">
        <v>5995</v>
      </c>
      <c r="F282" s="1" t="s">
        <v>132</v>
      </c>
      <c r="G282" s="1" t="s">
        <v>5996</v>
      </c>
      <c r="H282" s="1" t="s">
        <v>5997</v>
      </c>
      <c r="I282" s="1" t="s">
        <v>5998</v>
      </c>
      <c r="J282" s="1" t="s">
        <v>5999</v>
      </c>
      <c r="K282" s="1" t="s">
        <v>6000</v>
      </c>
      <c r="L282" s="1" t="s">
        <v>6001</v>
      </c>
      <c r="M282" s="1" t="s">
        <v>6002</v>
      </c>
      <c r="N282" s="1" t="s">
        <v>132</v>
      </c>
      <c r="O282" s="1" t="s">
        <v>6003</v>
      </c>
      <c r="P282" s="1" t="s">
        <v>6004</v>
      </c>
      <c r="Q282" s="1" t="s">
        <v>132</v>
      </c>
      <c r="R282" s="1" t="s">
        <v>6005</v>
      </c>
      <c r="S282" s="1" t="s">
        <v>6006</v>
      </c>
      <c r="T282" s="8" t="s">
        <v>6007</v>
      </c>
      <c r="U282" s="1" t="s">
        <v>6008</v>
      </c>
      <c r="V282" s="1" t="s">
        <v>6009</v>
      </c>
      <c r="W282" s="1" t="s">
        <v>6005</v>
      </c>
      <c r="X282" s="1" t="s">
        <v>6010</v>
      </c>
      <c r="Y282" s="1" t="s">
        <v>6011</v>
      </c>
      <c r="Z282" s="1" t="s">
        <v>6012</v>
      </c>
      <c r="AA282" s="1" t="s">
        <v>6013</v>
      </c>
      <c r="AB282" s="1" t="s">
        <v>6014</v>
      </c>
      <c r="AC282" s="1" t="s">
        <v>6015</v>
      </c>
      <c r="AD282" s="1" t="s">
        <v>6016</v>
      </c>
      <c r="AE282" s="1" t="s">
        <v>5996</v>
      </c>
      <c r="AF282" s="1" t="s">
        <v>6017</v>
      </c>
      <c r="AG282" s="1" t="s">
        <v>5997</v>
      </c>
      <c r="AH282" s="1" t="s">
        <v>6018</v>
      </c>
      <c r="AI282" s="1" t="s">
        <v>6019</v>
      </c>
      <c r="AJ282" s="1" t="s">
        <v>132</v>
      </c>
      <c r="AK282" s="1" t="s">
        <v>6020</v>
      </c>
      <c r="AL282" s="1" t="s">
        <v>6021</v>
      </c>
      <c r="AM282" s="1" t="s">
        <v>6022</v>
      </c>
      <c r="AN282" s="1" t="s">
        <v>6022</v>
      </c>
    </row>
    <row r="283" ht="15.75" customHeight="1">
      <c r="A283" s="1" t="s">
        <v>127</v>
      </c>
      <c r="B283" s="1" t="s">
        <v>6023</v>
      </c>
      <c r="C283" s="1" t="s">
        <v>6024</v>
      </c>
      <c r="D283" s="8" t="s">
        <v>6025</v>
      </c>
      <c r="E283" s="1" t="s">
        <v>6026</v>
      </c>
      <c r="F283" s="1" t="s">
        <v>132</v>
      </c>
      <c r="G283" s="1" t="s">
        <v>6027</v>
      </c>
      <c r="H283" s="1" t="s">
        <v>6028</v>
      </c>
      <c r="I283" s="1" t="s">
        <v>6029</v>
      </c>
      <c r="J283" s="1" t="s">
        <v>6030</v>
      </c>
      <c r="K283" s="1" t="s">
        <v>6031</v>
      </c>
      <c r="L283" s="1" t="s">
        <v>6032</v>
      </c>
      <c r="M283" s="1" t="s">
        <v>6033</v>
      </c>
      <c r="N283" s="1" t="s">
        <v>132</v>
      </c>
      <c r="O283" s="1" t="s">
        <v>6034</v>
      </c>
      <c r="P283" s="1" t="s">
        <v>6024</v>
      </c>
      <c r="Q283" s="1" t="s">
        <v>132</v>
      </c>
      <c r="R283" s="1" t="s">
        <v>6035</v>
      </c>
      <c r="S283" s="1" t="s">
        <v>6036</v>
      </c>
      <c r="T283" s="8" t="s">
        <v>6037</v>
      </c>
      <c r="U283" s="1" t="s">
        <v>6038</v>
      </c>
      <c r="V283" s="1" t="s">
        <v>6039</v>
      </c>
      <c r="W283" s="1" t="s">
        <v>6040</v>
      </c>
      <c r="X283" s="1" t="s">
        <v>6024</v>
      </c>
      <c r="Y283" s="1" t="s">
        <v>6041</v>
      </c>
      <c r="Z283" s="1" t="s">
        <v>6042</v>
      </c>
      <c r="AA283" s="1" t="s">
        <v>6043</v>
      </c>
      <c r="AB283" s="1" t="s">
        <v>6044</v>
      </c>
      <c r="AC283" s="1" t="s">
        <v>6045</v>
      </c>
      <c r="AD283" s="1" t="s">
        <v>6046</v>
      </c>
      <c r="AE283" s="1" t="s">
        <v>6047</v>
      </c>
      <c r="AF283" s="1" t="s">
        <v>6048</v>
      </c>
      <c r="AG283" s="1" t="s">
        <v>6049</v>
      </c>
      <c r="AH283" s="1" t="s">
        <v>6050</v>
      </c>
      <c r="AI283" s="1" t="s">
        <v>6051</v>
      </c>
      <c r="AJ283" s="1" t="s">
        <v>132</v>
      </c>
      <c r="AK283" s="1" t="s">
        <v>6052</v>
      </c>
      <c r="AL283" s="1" t="s">
        <v>6053</v>
      </c>
      <c r="AM283" s="1" t="s">
        <v>132</v>
      </c>
      <c r="AN283" s="1" t="s">
        <v>132</v>
      </c>
    </row>
    <row r="284" ht="15.75" customHeight="1">
      <c r="A284" s="1" t="s">
        <v>38</v>
      </c>
      <c r="B284" s="1" t="s">
        <v>6054</v>
      </c>
      <c r="C284" s="1" t="s">
        <v>6055</v>
      </c>
      <c r="D284" s="1" t="s">
        <v>132</v>
      </c>
      <c r="E284" s="1" t="s">
        <v>6056</v>
      </c>
      <c r="F284" s="1" t="s">
        <v>6057</v>
      </c>
      <c r="G284" s="1" t="s">
        <v>132</v>
      </c>
      <c r="H284" s="1" t="s">
        <v>132</v>
      </c>
      <c r="I284" s="1" t="s">
        <v>6058</v>
      </c>
      <c r="J284" s="1" t="s">
        <v>132</v>
      </c>
      <c r="K284" s="1" t="s">
        <v>6059</v>
      </c>
      <c r="L284" s="1" t="s">
        <v>132</v>
      </c>
      <c r="M284" s="1" t="s">
        <v>6060</v>
      </c>
      <c r="N284" s="1" t="s">
        <v>6061</v>
      </c>
      <c r="O284" s="1" t="s">
        <v>132</v>
      </c>
      <c r="P284" s="1" t="s">
        <v>6062</v>
      </c>
      <c r="Q284" s="1" t="s">
        <v>132</v>
      </c>
      <c r="R284" s="1" t="s">
        <v>132</v>
      </c>
      <c r="S284" s="1" t="s">
        <v>6063</v>
      </c>
      <c r="T284" s="1" t="s">
        <v>132</v>
      </c>
      <c r="U284" s="1" t="s">
        <v>6064</v>
      </c>
      <c r="V284" s="1" t="s">
        <v>6065</v>
      </c>
      <c r="W284" s="1" t="s">
        <v>132</v>
      </c>
      <c r="X284" s="1" t="s">
        <v>6066</v>
      </c>
      <c r="Y284" s="1" t="s">
        <v>132</v>
      </c>
      <c r="Z284" s="1" t="s">
        <v>6067</v>
      </c>
      <c r="AA284" s="1" t="s">
        <v>6068</v>
      </c>
      <c r="AB284" s="1" t="s">
        <v>132</v>
      </c>
      <c r="AC284" s="1" t="s">
        <v>6069</v>
      </c>
      <c r="AD284" s="1" t="s">
        <v>132</v>
      </c>
      <c r="AE284" s="1" t="s">
        <v>132</v>
      </c>
      <c r="AF284" s="1" t="s">
        <v>6070</v>
      </c>
      <c r="AG284" s="1" t="s">
        <v>6071</v>
      </c>
      <c r="AH284" s="1" t="s">
        <v>132</v>
      </c>
      <c r="AI284" s="1" t="s">
        <v>132</v>
      </c>
      <c r="AJ284" s="1" t="s">
        <v>6072</v>
      </c>
      <c r="AK284" s="1" t="s">
        <v>132</v>
      </c>
      <c r="AL284" s="1" t="s">
        <v>132</v>
      </c>
      <c r="AM284" s="1" t="s">
        <v>6073</v>
      </c>
      <c r="AN284" s="1" t="s">
        <v>6073</v>
      </c>
    </row>
    <row r="285" ht="15.75" customHeight="1">
      <c r="A285" s="1" t="s">
        <v>127</v>
      </c>
      <c r="B285" s="1" t="s">
        <v>6074</v>
      </c>
      <c r="C285" s="1" t="s">
        <v>6075</v>
      </c>
      <c r="D285" s="8" t="s">
        <v>6076</v>
      </c>
      <c r="E285" s="1" t="s">
        <v>6077</v>
      </c>
      <c r="F285" s="1" t="s">
        <v>132</v>
      </c>
      <c r="G285" s="1" t="s">
        <v>6078</v>
      </c>
      <c r="H285" s="1" t="s">
        <v>6079</v>
      </c>
      <c r="I285" s="1" t="s">
        <v>6080</v>
      </c>
      <c r="J285" s="1" t="s">
        <v>6081</v>
      </c>
      <c r="K285" s="1" t="s">
        <v>6082</v>
      </c>
      <c r="L285" s="1" t="s">
        <v>6083</v>
      </c>
      <c r="M285" s="1" t="s">
        <v>6084</v>
      </c>
      <c r="N285" s="1" t="s">
        <v>132</v>
      </c>
      <c r="O285" s="1" t="s">
        <v>6085</v>
      </c>
      <c r="P285" s="1" t="s">
        <v>6075</v>
      </c>
      <c r="Q285" s="1" t="s">
        <v>132</v>
      </c>
      <c r="R285" s="1" t="s">
        <v>6086</v>
      </c>
      <c r="S285" s="1" t="s">
        <v>6087</v>
      </c>
      <c r="T285" s="8" t="s">
        <v>6088</v>
      </c>
      <c r="U285" s="1" t="s">
        <v>6089</v>
      </c>
      <c r="V285" s="1" t="s">
        <v>6090</v>
      </c>
      <c r="W285" s="1" t="s">
        <v>6091</v>
      </c>
      <c r="X285" s="1" t="s">
        <v>6075</v>
      </c>
      <c r="Y285" s="1" t="s">
        <v>6092</v>
      </c>
      <c r="Z285" s="1" t="s">
        <v>6093</v>
      </c>
      <c r="AA285" s="1" t="s">
        <v>6094</v>
      </c>
      <c r="AB285" s="1" t="s">
        <v>6095</v>
      </c>
      <c r="AC285" s="1" t="s">
        <v>6096</v>
      </c>
      <c r="AD285" s="1" t="s">
        <v>6097</v>
      </c>
      <c r="AE285" s="1" t="s">
        <v>6098</v>
      </c>
      <c r="AF285" s="1" t="s">
        <v>6099</v>
      </c>
      <c r="AG285" s="1" t="s">
        <v>6100</v>
      </c>
      <c r="AH285" s="1" t="s">
        <v>6101</v>
      </c>
      <c r="AI285" s="1" t="s">
        <v>6102</v>
      </c>
      <c r="AJ285" s="1" t="s">
        <v>132</v>
      </c>
      <c r="AK285" s="1" t="s">
        <v>6103</v>
      </c>
      <c r="AL285" s="1" t="s">
        <v>6104</v>
      </c>
      <c r="AM285" s="1" t="s">
        <v>132</v>
      </c>
      <c r="AN285" s="1" t="s">
        <v>132</v>
      </c>
    </row>
    <row r="286" ht="15.75" customHeight="1">
      <c r="A286" s="1" t="s">
        <v>127</v>
      </c>
      <c r="B286" s="1" t="s">
        <v>6105</v>
      </c>
      <c r="C286" s="1" t="s">
        <v>6106</v>
      </c>
      <c r="D286" s="8" t="s">
        <v>6107</v>
      </c>
      <c r="E286" s="1" t="s">
        <v>6108</v>
      </c>
      <c r="F286" s="1" t="s">
        <v>132</v>
      </c>
      <c r="G286" s="1" t="s">
        <v>6109</v>
      </c>
      <c r="H286" s="1" t="s">
        <v>6110</v>
      </c>
      <c r="I286" s="1" t="s">
        <v>6111</v>
      </c>
      <c r="J286" s="1" t="s">
        <v>6112</v>
      </c>
      <c r="K286" s="1" t="s">
        <v>6113</v>
      </c>
      <c r="L286" s="1" t="s">
        <v>6114</v>
      </c>
      <c r="M286" s="1" t="s">
        <v>6115</v>
      </c>
      <c r="N286" s="1" t="s">
        <v>132</v>
      </c>
      <c r="O286" s="1" t="s">
        <v>6116</v>
      </c>
      <c r="P286" s="1" t="s">
        <v>6117</v>
      </c>
      <c r="Q286" s="1" t="s">
        <v>132</v>
      </c>
      <c r="R286" s="1" t="s">
        <v>6118</v>
      </c>
      <c r="S286" s="1" t="s">
        <v>6119</v>
      </c>
      <c r="T286" s="8" t="s">
        <v>6120</v>
      </c>
      <c r="U286" s="1" t="s">
        <v>6121</v>
      </c>
      <c r="V286" s="1" t="s">
        <v>6122</v>
      </c>
      <c r="W286" s="1" t="s">
        <v>6123</v>
      </c>
      <c r="X286" s="1" t="s">
        <v>6124</v>
      </c>
      <c r="Y286" s="1" t="s">
        <v>6125</v>
      </c>
      <c r="Z286" s="1" t="s">
        <v>6126</v>
      </c>
      <c r="AA286" s="1" t="s">
        <v>6127</v>
      </c>
      <c r="AB286" s="1" t="s">
        <v>6128</v>
      </c>
      <c r="AC286" s="1" t="s">
        <v>6129</v>
      </c>
      <c r="AD286" s="1" t="s">
        <v>6130</v>
      </c>
      <c r="AE286" s="1" t="s">
        <v>6131</v>
      </c>
      <c r="AF286" s="1" t="s">
        <v>6132</v>
      </c>
      <c r="AG286" s="1" t="s">
        <v>6133</v>
      </c>
      <c r="AH286" s="1" t="s">
        <v>6134</v>
      </c>
      <c r="AI286" s="1" t="s">
        <v>6135</v>
      </c>
      <c r="AJ286" s="1" t="s">
        <v>132</v>
      </c>
      <c r="AK286" s="1" t="s">
        <v>6136</v>
      </c>
      <c r="AL286" s="1" t="s">
        <v>6137</v>
      </c>
      <c r="AM286" s="1" t="s">
        <v>6138</v>
      </c>
      <c r="AN286" s="1" t="s">
        <v>6138</v>
      </c>
    </row>
    <row r="287" ht="15.75" customHeight="1">
      <c r="A287" s="1" t="s">
        <v>38</v>
      </c>
      <c r="B287" s="1" t="s">
        <v>6139</v>
      </c>
      <c r="C287" s="1" t="s">
        <v>6140</v>
      </c>
      <c r="D287" s="1" t="s">
        <v>132</v>
      </c>
      <c r="E287" s="1" t="s">
        <v>132</v>
      </c>
      <c r="F287" s="1" t="s">
        <v>132</v>
      </c>
      <c r="G287" s="1" t="s">
        <v>132</v>
      </c>
      <c r="H287" s="1" t="s">
        <v>132</v>
      </c>
      <c r="I287" s="1" t="s">
        <v>6141</v>
      </c>
      <c r="J287" s="1" t="s">
        <v>132</v>
      </c>
      <c r="K287" s="1" t="s">
        <v>6142</v>
      </c>
      <c r="L287" s="1" t="s">
        <v>132</v>
      </c>
      <c r="M287" s="1" t="s">
        <v>6143</v>
      </c>
      <c r="N287" s="1" t="s">
        <v>132</v>
      </c>
      <c r="O287" s="1" t="s">
        <v>132</v>
      </c>
      <c r="P287" s="1" t="s">
        <v>6140</v>
      </c>
      <c r="Q287" s="1" t="s">
        <v>132</v>
      </c>
      <c r="R287" s="1" t="s">
        <v>132</v>
      </c>
      <c r="S287" s="1" t="s">
        <v>132</v>
      </c>
      <c r="T287" s="1" t="s">
        <v>132</v>
      </c>
      <c r="U287" s="1" t="s">
        <v>132</v>
      </c>
      <c r="V287" s="1" t="s">
        <v>132</v>
      </c>
      <c r="W287" s="1" t="s">
        <v>132</v>
      </c>
      <c r="X287" s="1" t="s">
        <v>132</v>
      </c>
      <c r="Y287" s="1" t="s">
        <v>132</v>
      </c>
      <c r="Z287" s="1" t="s">
        <v>132</v>
      </c>
      <c r="AA287" s="1" t="s">
        <v>132</v>
      </c>
      <c r="AB287" s="1" t="s">
        <v>132</v>
      </c>
      <c r="AC287" s="1" t="s">
        <v>6144</v>
      </c>
      <c r="AD287" s="1" t="s">
        <v>132</v>
      </c>
      <c r="AE287" s="1" t="s">
        <v>132</v>
      </c>
      <c r="AF287" s="1" t="s">
        <v>6145</v>
      </c>
      <c r="AG287" s="1" t="s">
        <v>132</v>
      </c>
      <c r="AH287" s="1" t="s">
        <v>132</v>
      </c>
      <c r="AI287" s="1" t="s">
        <v>132</v>
      </c>
      <c r="AJ287" s="1" t="s">
        <v>132</v>
      </c>
      <c r="AK287" s="1" t="s">
        <v>132</v>
      </c>
      <c r="AL287" s="1" t="s">
        <v>132</v>
      </c>
      <c r="AM287" s="1" t="s">
        <v>132</v>
      </c>
      <c r="AN287" s="1" t="s">
        <v>132</v>
      </c>
    </row>
    <row r="288" ht="15.75" customHeight="1">
      <c r="A288" s="1" t="s">
        <v>38</v>
      </c>
      <c r="B288" s="1" t="s">
        <v>6146</v>
      </c>
      <c r="C288" s="1" t="s">
        <v>6147</v>
      </c>
      <c r="D288" s="1" t="s">
        <v>132</v>
      </c>
      <c r="E288" s="1" t="s">
        <v>132</v>
      </c>
      <c r="F288" s="1" t="s">
        <v>132</v>
      </c>
      <c r="G288" s="1" t="s">
        <v>132</v>
      </c>
      <c r="H288" s="1" t="s">
        <v>132</v>
      </c>
      <c r="I288" s="1" t="s">
        <v>6147</v>
      </c>
      <c r="J288" s="1" t="s">
        <v>132</v>
      </c>
      <c r="K288" s="1" t="s">
        <v>6147</v>
      </c>
      <c r="L288" s="1" t="s">
        <v>132</v>
      </c>
      <c r="M288" s="1" t="s">
        <v>6147</v>
      </c>
      <c r="N288" s="1" t="s">
        <v>132</v>
      </c>
      <c r="O288" s="1" t="s">
        <v>132</v>
      </c>
      <c r="P288" s="1" t="s">
        <v>6147</v>
      </c>
      <c r="Q288" s="1" t="s">
        <v>132</v>
      </c>
      <c r="R288" s="1" t="s">
        <v>132</v>
      </c>
      <c r="S288" s="1" t="s">
        <v>132</v>
      </c>
      <c r="T288" s="1" t="s">
        <v>132</v>
      </c>
      <c r="U288" s="1" t="s">
        <v>132</v>
      </c>
      <c r="V288" s="1" t="s">
        <v>132</v>
      </c>
      <c r="W288" s="1" t="s">
        <v>132</v>
      </c>
      <c r="X288" s="1" t="s">
        <v>132</v>
      </c>
      <c r="Y288" s="1" t="s">
        <v>132</v>
      </c>
      <c r="Z288" s="1" t="s">
        <v>132</v>
      </c>
      <c r="AA288" s="1" t="s">
        <v>132</v>
      </c>
      <c r="AB288" s="1" t="s">
        <v>132</v>
      </c>
      <c r="AC288" s="1" t="s">
        <v>6148</v>
      </c>
      <c r="AD288" s="1" t="s">
        <v>132</v>
      </c>
      <c r="AE288" s="1" t="s">
        <v>132</v>
      </c>
      <c r="AF288" s="1" t="s">
        <v>6149</v>
      </c>
      <c r="AG288" s="1" t="s">
        <v>132</v>
      </c>
      <c r="AH288" s="1" t="s">
        <v>132</v>
      </c>
      <c r="AI288" s="1" t="s">
        <v>132</v>
      </c>
      <c r="AJ288" s="1" t="s">
        <v>132</v>
      </c>
      <c r="AK288" s="1" t="s">
        <v>132</v>
      </c>
      <c r="AL288" s="1" t="s">
        <v>132</v>
      </c>
      <c r="AM288" s="1" t="s">
        <v>132</v>
      </c>
      <c r="AN288" s="1" t="s">
        <v>132</v>
      </c>
    </row>
    <row r="289" ht="15.75" customHeight="1">
      <c r="A289" s="1" t="s">
        <v>127</v>
      </c>
      <c r="B289" s="1" t="s">
        <v>6150</v>
      </c>
      <c r="C289" s="1" t="s">
        <v>6151</v>
      </c>
      <c r="D289" s="8" t="s">
        <v>6152</v>
      </c>
      <c r="E289" s="1" t="s">
        <v>6153</v>
      </c>
      <c r="F289" s="1" t="s">
        <v>132</v>
      </c>
      <c r="G289" s="1" t="s">
        <v>6154</v>
      </c>
      <c r="H289" s="1" t="s">
        <v>6155</v>
      </c>
      <c r="I289" s="1" t="s">
        <v>6156</v>
      </c>
      <c r="J289" s="1" t="s">
        <v>6157</v>
      </c>
      <c r="K289" s="1" t="s">
        <v>6158</v>
      </c>
      <c r="L289" s="1" t="s">
        <v>6159</v>
      </c>
      <c r="M289" s="1" t="s">
        <v>6160</v>
      </c>
      <c r="N289" s="1" t="s">
        <v>132</v>
      </c>
      <c r="O289" s="1" t="s">
        <v>6161</v>
      </c>
      <c r="P289" s="1" t="s">
        <v>6162</v>
      </c>
      <c r="Q289" s="1" t="s">
        <v>132</v>
      </c>
      <c r="R289" s="1" t="s">
        <v>6163</v>
      </c>
      <c r="S289" s="1" t="s">
        <v>6164</v>
      </c>
      <c r="T289" s="8" t="s">
        <v>6165</v>
      </c>
      <c r="U289" s="1" t="s">
        <v>6166</v>
      </c>
      <c r="V289" s="1" t="s">
        <v>6167</v>
      </c>
      <c r="W289" s="1" t="s">
        <v>6168</v>
      </c>
      <c r="X289" s="1" t="s">
        <v>6169</v>
      </c>
      <c r="Y289" s="1" t="s">
        <v>6170</v>
      </c>
      <c r="Z289" s="1" t="s">
        <v>6171</v>
      </c>
      <c r="AA289" s="1" t="s">
        <v>6172</v>
      </c>
      <c r="AB289" s="1" t="s">
        <v>6173</v>
      </c>
      <c r="AC289" s="1" t="s">
        <v>6174</v>
      </c>
      <c r="AD289" s="1" t="s">
        <v>6175</v>
      </c>
      <c r="AE289" s="1" t="s">
        <v>6176</v>
      </c>
      <c r="AF289" s="1" t="s">
        <v>6177</v>
      </c>
      <c r="AG289" s="1" t="s">
        <v>6178</v>
      </c>
      <c r="AH289" s="1" t="s">
        <v>6179</v>
      </c>
      <c r="AI289" s="1" t="s">
        <v>6180</v>
      </c>
      <c r="AJ289" s="1" t="s">
        <v>132</v>
      </c>
      <c r="AK289" s="1" t="s">
        <v>6181</v>
      </c>
      <c r="AL289" s="1" t="s">
        <v>6182</v>
      </c>
      <c r="AM289" s="1" t="s">
        <v>132</v>
      </c>
      <c r="AN289" s="1" t="s">
        <v>132</v>
      </c>
    </row>
    <row r="290" ht="15.75" customHeight="1">
      <c r="A290" s="1" t="s">
        <v>127</v>
      </c>
      <c r="B290" s="1" t="s">
        <v>6183</v>
      </c>
      <c r="C290" s="1" t="s">
        <v>6184</v>
      </c>
      <c r="D290" s="8" t="s">
        <v>6185</v>
      </c>
      <c r="E290" s="1" t="s">
        <v>6186</v>
      </c>
      <c r="F290" s="1" t="s">
        <v>132</v>
      </c>
      <c r="G290" s="1" t="s">
        <v>6187</v>
      </c>
      <c r="H290" s="1" t="s">
        <v>6188</v>
      </c>
      <c r="I290" s="1" t="s">
        <v>6184</v>
      </c>
      <c r="J290" s="1" t="s">
        <v>6189</v>
      </c>
      <c r="K290" s="1" t="s">
        <v>6190</v>
      </c>
      <c r="L290" s="1" t="s">
        <v>6191</v>
      </c>
      <c r="M290" s="1" t="s">
        <v>6184</v>
      </c>
      <c r="N290" s="1" t="s">
        <v>132</v>
      </c>
      <c r="O290" s="1" t="s">
        <v>6192</v>
      </c>
      <c r="P290" s="1" t="s">
        <v>6184</v>
      </c>
      <c r="Q290" s="1" t="s">
        <v>132</v>
      </c>
      <c r="R290" s="1" t="s">
        <v>6193</v>
      </c>
      <c r="S290" s="1" t="s">
        <v>6184</v>
      </c>
      <c r="T290" s="8" t="s">
        <v>6194</v>
      </c>
      <c r="U290" s="1" t="s">
        <v>6195</v>
      </c>
      <c r="V290" s="1" t="s">
        <v>6196</v>
      </c>
      <c r="W290" s="1" t="s">
        <v>6193</v>
      </c>
      <c r="X290" s="1" t="s">
        <v>6197</v>
      </c>
      <c r="Y290" s="1" t="s">
        <v>6198</v>
      </c>
      <c r="Z290" s="1" t="s">
        <v>6199</v>
      </c>
      <c r="AA290" s="1" t="s">
        <v>6200</v>
      </c>
      <c r="AB290" s="1" t="s">
        <v>6201</v>
      </c>
      <c r="AC290" s="1" t="s">
        <v>6202</v>
      </c>
      <c r="AD290" s="1" t="s">
        <v>6203</v>
      </c>
      <c r="AE290" s="1" t="s">
        <v>6184</v>
      </c>
      <c r="AF290" s="1" t="s">
        <v>6184</v>
      </c>
      <c r="AG290" s="1" t="s">
        <v>6204</v>
      </c>
      <c r="AH290" s="1" t="s">
        <v>6205</v>
      </c>
      <c r="AI290" s="1" t="s">
        <v>6206</v>
      </c>
      <c r="AJ290" s="1" t="s">
        <v>132</v>
      </c>
      <c r="AK290" s="1" t="s">
        <v>6207</v>
      </c>
      <c r="AL290" s="1" t="s">
        <v>6208</v>
      </c>
      <c r="AM290" s="1" t="s">
        <v>6209</v>
      </c>
      <c r="AN290" s="1" t="s">
        <v>6209</v>
      </c>
    </row>
    <row r="291" ht="15.75" customHeight="1">
      <c r="A291" s="1" t="s">
        <v>38</v>
      </c>
      <c r="B291" s="1" t="s">
        <v>6210</v>
      </c>
      <c r="C291" s="1" t="s">
        <v>6211</v>
      </c>
      <c r="D291" s="8" t="s">
        <v>6212</v>
      </c>
      <c r="E291" s="1" t="s">
        <v>6213</v>
      </c>
      <c r="F291" s="1" t="s">
        <v>6214</v>
      </c>
      <c r="G291" s="1" t="s">
        <v>132</v>
      </c>
      <c r="H291" s="1" t="s">
        <v>132</v>
      </c>
      <c r="I291" s="1" t="s">
        <v>6215</v>
      </c>
      <c r="J291" s="1" t="s">
        <v>132</v>
      </c>
      <c r="K291" s="1" t="s">
        <v>6216</v>
      </c>
      <c r="L291" s="1" t="s">
        <v>132</v>
      </c>
      <c r="M291" s="1" t="s">
        <v>6217</v>
      </c>
      <c r="N291" s="1" t="s">
        <v>6218</v>
      </c>
      <c r="O291" s="1" t="s">
        <v>132</v>
      </c>
      <c r="P291" s="1" t="s">
        <v>6219</v>
      </c>
      <c r="Q291" s="1" t="s">
        <v>6220</v>
      </c>
      <c r="R291" s="1" t="s">
        <v>132</v>
      </c>
      <c r="S291" s="1" t="s">
        <v>6221</v>
      </c>
      <c r="T291" s="1" t="s">
        <v>132</v>
      </c>
      <c r="U291" s="1" t="s">
        <v>6222</v>
      </c>
      <c r="V291" s="1" t="s">
        <v>6223</v>
      </c>
      <c r="W291" s="1" t="s">
        <v>132</v>
      </c>
      <c r="X291" s="1" t="s">
        <v>6224</v>
      </c>
      <c r="Y291" s="1" t="s">
        <v>132</v>
      </c>
      <c r="Z291" s="1" t="s">
        <v>6225</v>
      </c>
      <c r="AA291" s="1" t="s">
        <v>6226</v>
      </c>
      <c r="AB291" s="1" t="s">
        <v>132</v>
      </c>
      <c r="AC291" s="1" t="s">
        <v>6227</v>
      </c>
      <c r="AD291" s="1" t="s">
        <v>6228</v>
      </c>
      <c r="AE291" s="1" t="s">
        <v>132</v>
      </c>
      <c r="AF291" s="1" t="s">
        <v>6229</v>
      </c>
      <c r="AG291" s="1" t="s">
        <v>6230</v>
      </c>
      <c r="AH291" s="1" t="s">
        <v>132</v>
      </c>
      <c r="AI291" s="1" t="s">
        <v>132</v>
      </c>
      <c r="AJ291" s="1" t="s">
        <v>6231</v>
      </c>
      <c r="AK291" s="1" t="s">
        <v>6232</v>
      </c>
      <c r="AL291" s="1" t="s">
        <v>132</v>
      </c>
      <c r="AM291" s="1" t="s">
        <v>6233</v>
      </c>
      <c r="AN291" s="1" t="s">
        <v>6233</v>
      </c>
    </row>
    <row r="292" ht="15.75" customHeight="1">
      <c r="A292" s="1" t="s">
        <v>38</v>
      </c>
      <c r="B292" s="1" t="s">
        <v>6234</v>
      </c>
      <c r="C292" s="1" t="s">
        <v>6235</v>
      </c>
      <c r="D292" s="1" t="s">
        <v>132</v>
      </c>
      <c r="E292" s="1" t="s">
        <v>6236</v>
      </c>
      <c r="F292" s="1" t="s">
        <v>132</v>
      </c>
      <c r="G292" s="1" t="s">
        <v>132</v>
      </c>
      <c r="H292" s="1" t="s">
        <v>132</v>
      </c>
      <c r="I292" s="1" t="s">
        <v>6237</v>
      </c>
      <c r="J292" s="1" t="s">
        <v>132</v>
      </c>
      <c r="K292" s="1" t="s">
        <v>6238</v>
      </c>
      <c r="L292" s="1" t="s">
        <v>132</v>
      </c>
      <c r="M292" s="1" t="s">
        <v>6239</v>
      </c>
      <c r="N292" s="1" t="s">
        <v>6240</v>
      </c>
      <c r="O292" s="1" t="s">
        <v>132</v>
      </c>
      <c r="P292" s="1" t="s">
        <v>6241</v>
      </c>
      <c r="Q292" s="1" t="s">
        <v>132</v>
      </c>
      <c r="R292" s="1" t="s">
        <v>132</v>
      </c>
      <c r="S292" s="1" t="s">
        <v>6242</v>
      </c>
      <c r="T292" s="1" t="s">
        <v>132</v>
      </c>
      <c r="U292" s="1" t="s">
        <v>132</v>
      </c>
      <c r="V292" s="1" t="s">
        <v>132</v>
      </c>
      <c r="W292" s="1" t="s">
        <v>132</v>
      </c>
      <c r="X292" s="1" t="s">
        <v>6243</v>
      </c>
      <c r="Y292" s="1" t="s">
        <v>132</v>
      </c>
      <c r="Z292" s="1" t="s">
        <v>6244</v>
      </c>
      <c r="AA292" s="1" t="s">
        <v>132</v>
      </c>
      <c r="AB292" s="1" t="s">
        <v>132</v>
      </c>
      <c r="AC292" s="1" t="s">
        <v>132</v>
      </c>
      <c r="AD292" s="1" t="s">
        <v>132</v>
      </c>
      <c r="AE292" s="1" t="s">
        <v>132</v>
      </c>
      <c r="AF292" s="1" t="s">
        <v>132</v>
      </c>
      <c r="AG292" s="1" t="s">
        <v>132</v>
      </c>
      <c r="AH292" s="1" t="s">
        <v>132</v>
      </c>
      <c r="AI292" s="1" t="s">
        <v>132</v>
      </c>
      <c r="AJ292" s="1" t="s">
        <v>132</v>
      </c>
      <c r="AK292" s="1" t="s">
        <v>132</v>
      </c>
      <c r="AL292" s="1" t="s">
        <v>132</v>
      </c>
      <c r="AM292" s="1" t="s">
        <v>132</v>
      </c>
      <c r="AN292" s="1" t="s">
        <v>132</v>
      </c>
    </row>
    <row r="293" ht="15.75" customHeight="1">
      <c r="A293" s="1" t="s">
        <v>38</v>
      </c>
      <c r="B293" s="1" t="s">
        <v>6245</v>
      </c>
      <c r="C293" s="1" t="s">
        <v>6246</v>
      </c>
      <c r="D293" s="8" t="s">
        <v>6247</v>
      </c>
      <c r="E293" s="1" t="s">
        <v>6248</v>
      </c>
      <c r="F293" s="1" t="s">
        <v>6249</v>
      </c>
      <c r="G293" s="1" t="s">
        <v>132</v>
      </c>
      <c r="H293" s="1" t="s">
        <v>132</v>
      </c>
      <c r="I293" s="1" t="s">
        <v>6246</v>
      </c>
      <c r="J293" s="1" t="s">
        <v>132</v>
      </c>
      <c r="K293" s="1" t="s">
        <v>6250</v>
      </c>
      <c r="L293" s="1" t="s">
        <v>132</v>
      </c>
      <c r="M293" s="1" t="s">
        <v>6251</v>
      </c>
      <c r="N293" s="1" t="s">
        <v>6250</v>
      </c>
      <c r="O293" s="1" t="s">
        <v>132</v>
      </c>
      <c r="P293" s="1" t="s">
        <v>6252</v>
      </c>
      <c r="Q293" s="1" t="s">
        <v>6246</v>
      </c>
      <c r="R293" s="1" t="s">
        <v>132</v>
      </c>
      <c r="S293" s="1" t="s">
        <v>6246</v>
      </c>
      <c r="T293" s="1" t="s">
        <v>132</v>
      </c>
      <c r="U293" s="1" t="s">
        <v>6253</v>
      </c>
      <c r="V293" s="1" t="s">
        <v>6254</v>
      </c>
      <c r="W293" s="1" t="s">
        <v>132</v>
      </c>
      <c r="X293" s="1" t="s">
        <v>6246</v>
      </c>
      <c r="Y293" s="1" t="s">
        <v>132</v>
      </c>
      <c r="Z293" s="1" t="s">
        <v>6255</v>
      </c>
      <c r="AA293" s="1" t="s">
        <v>6246</v>
      </c>
      <c r="AB293" s="1" t="s">
        <v>132</v>
      </c>
      <c r="AC293" s="1" t="s">
        <v>6256</v>
      </c>
      <c r="AD293" s="1" t="s">
        <v>6246</v>
      </c>
      <c r="AE293" s="1" t="s">
        <v>132</v>
      </c>
      <c r="AF293" s="1" t="s">
        <v>6257</v>
      </c>
      <c r="AG293" s="1" t="s">
        <v>6246</v>
      </c>
      <c r="AH293" s="1" t="s">
        <v>132</v>
      </c>
      <c r="AI293" s="1" t="s">
        <v>132</v>
      </c>
      <c r="AJ293" s="1" t="s">
        <v>6258</v>
      </c>
      <c r="AK293" s="1" t="s">
        <v>6259</v>
      </c>
      <c r="AL293" s="1" t="s">
        <v>132</v>
      </c>
      <c r="AM293" s="1" t="s">
        <v>3943</v>
      </c>
      <c r="AN293" s="1" t="s">
        <v>3943</v>
      </c>
    </row>
    <row r="294" ht="15.75" customHeight="1">
      <c r="A294" s="1" t="s">
        <v>127</v>
      </c>
      <c r="B294" s="1" t="s">
        <v>6260</v>
      </c>
      <c r="C294" s="1" t="s">
        <v>5447</v>
      </c>
      <c r="D294" s="8" t="s">
        <v>5448</v>
      </c>
      <c r="E294" s="1" t="s">
        <v>5449</v>
      </c>
      <c r="F294" s="1" t="s">
        <v>132</v>
      </c>
      <c r="G294" s="1" t="s">
        <v>5450</v>
      </c>
      <c r="H294" s="1" t="s">
        <v>5451</v>
      </c>
      <c r="I294" s="1" t="s">
        <v>5452</v>
      </c>
      <c r="J294" s="1" t="s">
        <v>5453</v>
      </c>
      <c r="K294" s="1" t="s">
        <v>5454</v>
      </c>
      <c r="L294" s="1" t="s">
        <v>5455</v>
      </c>
      <c r="M294" s="1" t="s">
        <v>5456</v>
      </c>
      <c r="N294" s="1" t="s">
        <v>132</v>
      </c>
      <c r="O294" s="1" t="s">
        <v>5457</v>
      </c>
      <c r="P294" s="1" t="s">
        <v>5458</v>
      </c>
      <c r="Q294" s="1" t="s">
        <v>132</v>
      </c>
      <c r="R294" s="1" t="s">
        <v>5459</v>
      </c>
      <c r="S294" s="1" t="s">
        <v>5460</v>
      </c>
      <c r="T294" s="8" t="s">
        <v>6261</v>
      </c>
      <c r="U294" s="1" t="s">
        <v>5462</v>
      </c>
      <c r="V294" s="1" t="s">
        <v>5463</v>
      </c>
      <c r="W294" s="1" t="s">
        <v>5459</v>
      </c>
      <c r="X294" s="1" t="s">
        <v>5464</v>
      </c>
      <c r="Y294" s="1" t="s">
        <v>5465</v>
      </c>
      <c r="Z294" s="1" t="s">
        <v>5466</v>
      </c>
      <c r="AA294" s="1" t="s">
        <v>5454</v>
      </c>
      <c r="AB294" s="1" t="s">
        <v>5467</v>
      </c>
      <c r="AC294" s="1" t="s">
        <v>5468</v>
      </c>
      <c r="AD294" s="1" t="s">
        <v>5469</v>
      </c>
      <c r="AE294" s="1" t="s">
        <v>5470</v>
      </c>
      <c r="AF294" s="1" t="s">
        <v>5471</v>
      </c>
      <c r="AG294" s="1" t="s">
        <v>5472</v>
      </c>
      <c r="AH294" s="1" t="s">
        <v>5473</v>
      </c>
      <c r="AI294" s="1" t="s">
        <v>6262</v>
      </c>
      <c r="AJ294" s="1" t="s">
        <v>132</v>
      </c>
      <c r="AK294" s="1" t="s">
        <v>5475</v>
      </c>
      <c r="AL294" s="1" t="s">
        <v>5476</v>
      </c>
      <c r="AM294" s="1" t="s">
        <v>5477</v>
      </c>
      <c r="AN294" s="1" t="s">
        <v>5477</v>
      </c>
    </row>
    <row r="295" ht="15.75" customHeight="1">
      <c r="A295" s="1" t="s">
        <v>127</v>
      </c>
      <c r="B295" s="1" t="s">
        <v>6263</v>
      </c>
      <c r="C295" s="1" t="s">
        <v>6264</v>
      </c>
      <c r="D295" s="8" t="s">
        <v>6265</v>
      </c>
      <c r="E295" s="1" t="s">
        <v>6266</v>
      </c>
      <c r="F295" s="1" t="s">
        <v>132</v>
      </c>
      <c r="G295" s="1" t="s">
        <v>6267</v>
      </c>
      <c r="H295" s="1" t="s">
        <v>6264</v>
      </c>
      <c r="I295" s="1" t="s">
        <v>6264</v>
      </c>
      <c r="J295" s="1" t="s">
        <v>6264</v>
      </c>
      <c r="K295" s="1" t="s">
        <v>6268</v>
      </c>
      <c r="L295" s="1" t="s">
        <v>6264</v>
      </c>
      <c r="M295" s="1" t="s">
        <v>6264</v>
      </c>
      <c r="N295" s="1" t="s">
        <v>132</v>
      </c>
      <c r="O295" s="1" t="s">
        <v>6269</v>
      </c>
      <c r="P295" s="1" t="s">
        <v>6264</v>
      </c>
      <c r="Q295" s="1" t="s">
        <v>132</v>
      </c>
      <c r="R295" s="1" t="s">
        <v>6270</v>
      </c>
      <c r="S295" s="1" t="s">
        <v>6264</v>
      </c>
      <c r="T295" s="8" t="s">
        <v>1709</v>
      </c>
      <c r="U295" s="1" t="s">
        <v>6271</v>
      </c>
      <c r="V295" s="1" t="s">
        <v>6272</v>
      </c>
      <c r="W295" s="1" t="s">
        <v>6270</v>
      </c>
      <c r="X295" s="1" t="s">
        <v>6264</v>
      </c>
      <c r="Y295" s="1" t="s">
        <v>6273</v>
      </c>
      <c r="Z295" s="1" t="s">
        <v>6264</v>
      </c>
      <c r="AA295" s="1" t="s">
        <v>6264</v>
      </c>
      <c r="AB295" s="1" t="s">
        <v>6264</v>
      </c>
      <c r="AC295" s="1" t="s">
        <v>6266</v>
      </c>
      <c r="AD295" s="1" t="s">
        <v>6274</v>
      </c>
      <c r="AE295" s="1" t="s">
        <v>6275</v>
      </c>
      <c r="AF295" s="1" t="s">
        <v>6264</v>
      </c>
      <c r="AG295" s="1" t="s">
        <v>6276</v>
      </c>
      <c r="AH295" s="1" t="s">
        <v>6277</v>
      </c>
      <c r="AI295" s="1" t="s">
        <v>6278</v>
      </c>
      <c r="AJ295" s="1" t="s">
        <v>132</v>
      </c>
      <c r="AK295" s="1" t="s">
        <v>6279</v>
      </c>
      <c r="AL295" s="1" t="s">
        <v>6280</v>
      </c>
      <c r="AM295" s="1" t="s">
        <v>6281</v>
      </c>
      <c r="AN295" s="1" t="s">
        <v>6281</v>
      </c>
    </row>
    <row r="296" ht="15.75" customHeight="1">
      <c r="A296" s="1" t="s">
        <v>127</v>
      </c>
      <c r="B296" s="1" t="s">
        <v>6282</v>
      </c>
      <c r="C296" s="1" t="s">
        <v>6283</v>
      </c>
      <c r="D296" s="8" t="s">
        <v>6284</v>
      </c>
      <c r="E296" s="1" t="s">
        <v>6285</v>
      </c>
      <c r="F296" s="1" t="s">
        <v>132</v>
      </c>
      <c r="G296" s="1" t="s">
        <v>6286</v>
      </c>
      <c r="H296" s="1" t="s">
        <v>6287</v>
      </c>
      <c r="I296" s="1" t="s">
        <v>6288</v>
      </c>
      <c r="J296" s="1" t="s">
        <v>6289</v>
      </c>
      <c r="K296" s="1" t="s">
        <v>6290</v>
      </c>
      <c r="L296" s="1" t="s">
        <v>6291</v>
      </c>
      <c r="M296" s="1" t="s">
        <v>6292</v>
      </c>
      <c r="N296" s="1" t="s">
        <v>132</v>
      </c>
      <c r="O296" s="1" t="s">
        <v>6293</v>
      </c>
      <c r="P296" s="1" t="s">
        <v>6294</v>
      </c>
      <c r="Q296" s="1" t="s">
        <v>132</v>
      </c>
      <c r="R296" s="1" t="s">
        <v>6295</v>
      </c>
      <c r="S296" s="1" t="s">
        <v>6296</v>
      </c>
      <c r="T296" s="8" t="s">
        <v>6297</v>
      </c>
      <c r="U296" s="1" t="s">
        <v>6298</v>
      </c>
      <c r="V296" s="1" t="s">
        <v>6299</v>
      </c>
      <c r="W296" s="1" t="s">
        <v>6300</v>
      </c>
      <c r="X296" s="1" t="s">
        <v>6301</v>
      </c>
      <c r="Y296" s="1" t="s">
        <v>6302</v>
      </c>
      <c r="Z296" s="1" t="s">
        <v>6303</v>
      </c>
      <c r="AA296" s="1" t="s">
        <v>6304</v>
      </c>
      <c r="AB296" s="1" t="s">
        <v>6305</v>
      </c>
      <c r="AC296" s="1" t="s">
        <v>6306</v>
      </c>
      <c r="AD296" s="1" t="s">
        <v>6307</v>
      </c>
      <c r="AE296" s="1" t="s">
        <v>6283</v>
      </c>
      <c r="AF296" s="1" t="s">
        <v>6308</v>
      </c>
      <c r="AG296" s="1" t="s">
        <v>6309</v>
      </c>
      <c r="AH296" s="1" t="s">
        <v>6310</v>
      </c>
      <c r="AI296" s="1" t="s">
        <v>6311</v>
      </c>
      <c r="AJ296" s="1" t="s">
        <v>132</v>
      </c>
      <c r="AK296" s="1" t="s">
        <v>6312</v>
      </c>
      <c r="AL296" s="1" t="s">
        <v>6313</v>
      </c>
      <c r="AM296" s="1" t="s">
        <v>6314</v>
      </c>
      <c r="AN296" s="1" t="s">
        <v>6314</v>
      </c>
    </row>
    <row r="297" ht="15.75" customHeight="1">
      <c r="A297" s="1" t="s">
        <v>38</v>
      </c>
      <c r="B297" s="1" t="s">
        <v>6315</v>
      </c>
      <c r="C297" s="1" t="s">
        <v>6316</v>
      </c>
      <c r="D297" s="1" t="s">
        <v>132</v>
      </c>
      <c r="E297" s="1" t="s">
        <v>6317</v>
      </c>
      <c r="F297" s="1" t="s">
        <v>6318</v>
      </c>
      <c r="G297" s="1" t="s">
        <v>132</v>
      </c>
      <c r="H297" s="1" t="s">
        <v>132</v>
      </c>
      <c r="I297" s="1" t="s">
        <v>6316</v>
      </c>
      <c r="J297" s="1" t="s">
        <v>132</v>
      </c>
      <c r="K297" s="1" t="s">
        <v>6319</v>
      </c>
      <c r="L297" s="1" t="s">
        <v>132</v>
      </c>
      <c r="M297" s="1" t="s">
        <v>6320</v>
      </c>
      <c r="N297" s="1" t="s">
        <v>6321</v>
      </c>
      <c r="O297" s="1" t="s">
        <v>132</v>
      </c>
      <c r="P297" s="1" t="s">
        <v>6322</v>
      </c>
      <c r="Q297" s="1" t="s">
        <v>132</v>
      </c>
      <c r="R297" s="1" t="s">
        <v>132</v>
      </c>
      <c r="S297" s="1" t="s">
        <v>6323</v>
      </c>
      <c r="T297" s="1" t="s">
        <v>132</v>
      </c>
      <c r="U297" s="1" t="s">
        <v>132</v>
      </c>
      <c r="V297" s="1" t="s">
        <v>132</v>
      </c>
      <c r="W297" s="1" t="s">
        <v>132</v>
      </c>
      <c r="X297" s="1" t="s">
        <v>6324</v>
      </c>
      <c r="Y297" s="1" t="s">
        <v>132</v>
      </c>
      <c r="Z297" s="1" t="s">
        <v>6325</v>
      </c>
      <c r="AA297" s="1" t="s">
        <v>132</v>
      </c>
      <c r="AB297" s="1" t="s">
        <v>132</v>
      </c>
      <c r="AC297" s="1" t="s">
        <v>132</v>
      </c>
      <c r="AD297" s="1" t="s">
        <v>132</v>
      </c>
      <c r="AE297" s="1" t="s">
        <v>132</v>
      </c>
      <c r="AF297" s="1" t="s">
        <v>6326</v>
      </c>
      <c r="AG297" s="1" t="s">
        <v>132</v>
      </c>
      <c r="AH297" s="1" t="s">
        <v>132</v>
      </c>
      <c r="AI297" s="1" t="s">
        <v>132</v>
      </c>
      <c r="AJ297" s="1" t="s">
        <v>132</v>
      </c>
      <c r="AK297" s="1" t="s">
        <v>132</v>
      </c>
      <c r="AL297" s="1" t="s">
        <v>132</v>
      </c>
      <c r="AM297" s="1" t="s">
        <v>132</v>
      </c>
      <c r="AN297" s="1" t="s">
        <v>132</v>
      </c>
    </row>
    <row r="298" ht="15.75" customHeight="1">
      <c r="A298" s="1" t="s">
        <v>38</v>
      </c>
      <c r="B298" s="1" t="s">
        <v>6327</v>
      </c>
      <c r="C298" s="1" t="s">
        <v>6328</v>
      </c>
      <c r="D298" s="8" t="s">
        <v>6329</v>
      </c>
      <c r="E298" s="1" t="s">
        <v>6330</v>
      </c>
      <c r="F298" s="1" t="s">
        <v>6331</v>
      </c>
      <c r="G298" s="1" t="s">
        <v>132</v>
      </c>
      <c r="H298" s="1" t="s">
        <v>132</v>
      </c>
      <c r="I298" s="1" t="s">
        <v>6332</v>
      </c>
      <c r="J298" s="1" t="s">
        <v>132</v>
      </c>
      <c r="K298" s="1" t="s">
        <v>6333</v>
      </c>
      <c r="L298" s="1" t="s">
        <v>132</v>
      </c>
      <c r="M298" s="1" t="s">
        <v>6334</v>
      </c>
      <c r="N298" s="1" t="s">
        <v>6335</v>
      </c>
      <c r="O298" s="1" t="s">
        <v>132</v>
      </c>
      <c r="P298" s="1" t="s">
        <v>6336</v>
      </c>
      <c r="Q298" s="1" t="s">
        <v>132</v>
      </c>
      <c r="R298" s="1" t="s">
        <v>132</v>
      </c>
      <c r="S298" s="1" t="s">
        <v>6337</v>
      </c>
      <c r="T298" s="1" t="s">
        <v>132</v>
      </c>
      <c r="U298" s="1" t="s">
        <v>6338</v>
      </c>
      <c r="V298" s="1" t="s">
        <v>6339</v>
      </c>
      <c r="W298" s="1" t="s">
        <v>132</v>
      </c>
      <c r="X298" s="1" t="s">
        <v>6340</v>
      </c>
      <c r="Y298" s="1" t="s">
        <v>132</v>
      </c>
      <c r="Z298" s="1" t="s">
        <v>6341</v>
      </c>
      <c r="AA298" s="1" t="s">
        <v>6342</v>
      </c>
      <c r="AB298" s="1" t="s">
        <v>132</v>
      </c>
      <c r="AC298" s="1" t="s">
        <v>6343</v>
      </c>
      <c r="AD298" s="1" t="s">
        <v>132</v>
      </c>
      <c r="AE298" s="1" t="s">
        <v>132</v>
      </c>
      <c r="AF298" s="1" t="s">
        <v>6344</v>
      </c>
      <c r="AG298" s="1" t="s">
        <v>6345</v>
      </c>
      <c r="AH298" s="1" t="s">
        <v>132</v>
      </c>
      <c r="AI298" s="1" t="s">
        <v>132</v>
      </c>
      <c r="AJ298" s="1" t="s">
        <v>6346</v>
      </c>
      <c r="AK298" s="1" t="s">
        <v>132</v>
      </c>
      <c r="AL298" s="1" t="s">
        <v>132</v>
      </c>
      <c r="AM298" s="1" t="s">
        <v>6347</v>
      </c>
      <c r="AN298" s="1" t="s">
        <v>6347</v>
      </c>
    </row>
    <row r="299" ht="15.75" customHeight="1">
      <c r="A299" s="1" t="s">
        <v>38</v>
      </c>
      <c r="B299" s="1" t="s">
        <v>6348</v>
      </c>
      <c r="C299" s="1" t="s">
        <v>6349</v>
      </c>
      <c r="D299" s="1" t="s">
        <v>132</v>
      </c>
      <c r="E299" s="1" t="s">
        <v>132</v>
      </c>
      <c r="F299" s="1" t="s">
        <v>132</v>
      </c>
      <c r="G299" s="1" t="s">
        <v>132</v>
      </c>
      <c r="H299" s="1" t="s">
        <v>132</v>
      </c>
      <c r="I299" s="1" t="s">
        <v>6349</v>
      </c>
      <c r="J299" s="1" t="s">
        <v>132</v>
      </c>
      <c r="K299" s="1" t="s">
        <v>6349</v>
      </c>
      <c r="L299" s="1" t="s">
        <v>132</v>
      </c>
      <c r="M299" s="1" t="s">
        <v>6349</v>
      </c>
      <c r="N299" s="1" t="s">
        <v>132</v>
      </c>
      <c r="O299" s="1" t="s">
        <v>132</v>
      </c>
      <c r="P299" s="1" t="s">
        <v>6349</v>
      </c>
      <c r="Q299" s="1" t="s">
        <v>132</v>
      </c>
      <c r="R299" s="1" t="s">
        <v>132</v>
      </c>
      <c r="S299" s="1" t="s">
        <v>132</v>
      </c>
      <c r="T299" s="1" t="s">
        <v>132</v>
      </c>
      <c r="U299" s="1" t="s">
        <v>132</v>
      </c>
      <c r="V299" s="1" t="s">
        <v>132</v>
      </c>
      <c r="W299" s="1" t="s">
        <v>132</v>
      </c>
      <c r="X299" s="1" t="s">
        <v>132</v>
      </c>
      <c r="Y299" s="1" t="s">
        <v>132</v>
      </c>
      <c r="Z299" s="1" t="s">
        <v>132</v>
      </c>
      <c r="AA299" s="1" t="s">
        <v>132</v>
      </c>
      <c r="AB299" s="1" t="s">
        <v>132</v>
      </c>
      <c r="AC299" s="1" t="s">
        <v>6350</v>
      </c>
      <c r="AD299" s="1" t="s">
        <v>132</v>
      </c>
      <c r="AE299" s="1" t="s">
        <v>132</v>
      </c>
      <c r="AF299" s="1" t="s">
        <v>6351</v>
      </c>
      <c r="AG299" s="1" t="s">
        <v>132</v>
      </c>
      <c r="AH299" s="1" t="s">
        <v>132</v>
      </c>
      <c r="AI299" s="1" t="s">
        <v>132</v>
      </c>
      <c r="AJ299" s="1" t="s">
        <v>132</v>
      </c>
      <c r="AK299" s="1" t="s">
        <v>132</v>
      </c>
      <c r="AL299" s="1" t="s">
        <v>132</v>
      </c>
      <c r="AM299" s="1" t="s">
        <v>132</v>
      </c>
      <c r="AN299" s="1" t="s">
        <v>132</v>
      </c>
    </row>
    <row r="300" ht="15.75" customHeight="1">
      <c r="A300" s="1" t="s">
        <v>38</v>
      </c>
      <c r="B300" s="1" t="s">
        <v>6352</v>
      </c>
      <c r="C300" s="1" t="s">
        <v>6353</v>
      </c>
      <c r="D300" s="1" t="s">
        <v>132</v>
      </c>
      <c r="E300" s="1" t="s">
        <v>132</v>
      </c>
      <c r="F300" s="1" t="s">
        <v>132</v>
      </c>
      <c r="G300" s="1" t="s">
        <v>132</v>
      </c>
      <c r="H300" s="1" t="s">
        <v>132</v>
      </c>
      <c r="I300" s="1" t="s">
        <v>6354</v>
      </c>
      <c r="J300" s="1" t="s">
        <v>132</v>
      </c>
      <c r="K300" s="1" t="s">
        <v>6355</v>
      </c>
      <c r="L300" s="1" t="s">
        <v>132</v>
      </c>
      <c r="M300" s="1" t="s">
        <v>6356</v>
      </c>
      <c r="N300" s="1" t="s">
        <v>132</v>
      </c>
      <c r="O300" s="1" t="s">
        <v>132</v>
      </c>
      <c r="P300" s="1" t="s">
        <v>6357</v>
      </c>
      <c r="Q300" s="1" t="s">
        <v>132</v>
      </c>
      <c r="R300" s="1" t="s">
        <v>132</v>
      </c>
      <c r="S300" s="1" t="s">
        <v>132</v>
      </c>
      <c r="T300" s="1" t="s">
        <v>132</v>
      </c>
      <c r="U300" s="1" t="s">
        <v>132</v>
      </c>
      <c r="V300" s="1" t="s">
        <v>132</v>
      </c>
      <c r="W300" s="1" t="s">
        <v>132</v>
      </c>
      <c r="X300" s="1" t="s">
        <v>132</v>
      </c>
      <c r="Y300" s="1" t="s">
        <v>132</v>
      </c>
      <c r="Z300" s="1" t="s">
        <v>132</v>
      </c>
      <c r="AA300" s="1" t="s">
        <v>132</v>
      </c>
      <c r="AB300" s="1" t="s">
        <v>132</v>
      </c>
      <c r="AC300" s="1" t="s">
        <v>6358</v>
      </c>
      <c r="AD300" s="1" t="s">
        <v>132</v>
      </c>
      <c r="AE300" s="1" t="s">
        <v>132</v>
      </c>
      <c r="AF300" s="1" t="s">
        <v>6359</v>
      </c>
      <c r="AG300" s="1" t="s">
        <v>132</v>
      </c>
      <c r="AH300" s="1" t="s">
        <v>132</v>
      </c>
      <c r="AI300" s="1" t="s">
        <v>132</v>
      </c>
      <c r="AJ300" s="1" t="s">
        <v>132</v>
      </c>
      <c r="AK300" s="1" t="s">
        <v>132</v>
      </c>
      <c r="AL300" s="1" t="s">
        <v>132</v>
      </c>
      <c r="AM300" s="1" t="s">
        <v>132</v>
      </c>
      <c r="AN300" s="1" t="s">
        <v>132</v>
      </c>
    </row>
    <row r="301" ht="15.75" customHeight="1">
      <c r="A301" s="1" t="s">
        <v>38</v>
      </c>
      <c r="B301" s="1" t="s">
        <v>6361</v>
      </c>
      <c r="C301" s="1" t="s">
        <v>6362</v>
      </c>
      <c r="D301" s="1" t="s">
        <v>132</v>
      </c>
      <c r="E301" s="1" t="s">
        <v>132</v>
      </c>
      <c r="F301" s="1" t="s">
        <v>132</v>
      </c>
      <c r="G301" s="1" t="s">
        <v>132</v>
      </c>
      <c r="H301" s="1" t="s">
        <v>132</v>
      </c>
      <c r="I301" s="1" t="s">
        <v>6362</v>
      </c>
      <c r="J301" s="1" t="s">
        <v>132</v>
      </c>
      <c r="K301" s="1" t="s">
        <v>6362</v>
      </c>
      <c r="L301" s="1" t="s">
        <v>132</v>
      </c>
      <c r="M301" s="1" t="s">
        <v>6362</v>
      </c>
      <c r="N301" s="1" t="s">
        <v>132</v>
      </c>
      <c r="O301" s="1" t="s">
        <v>132</v>
      </c>
      <c r="P301" s="1" t="s">
        <v>6362</v>
      </c>
      <c r="Q301" s="1" t="s">
        <v>132</v>
      </c>
      <c r="R301" s="1" t="s">
        <v>132</v>
      </c>
      <c r="S301" s="1" t="s">
        <v>132</v>
      </c>
      <c r="T301" s="1" t="s">
        <v>132</v>
      </c>
      <c r="U301" s="1" t="s">
        <v>132</v>
      </c>
      <c r="V301" s="1" t="s">
        <v>132</v>
      </c>
      <c r="W301" s="1" t="s">
        <v>132</v>
      </c>
      <c r="X301" s="1" t="s">
        <v>132</v>
      </c>
      <c r="Y301" s="1" t="s">
        <v>132</v>
      </c>
      <c r="Z301" s="1" t="s">
        <v>132</v>
      </c>
      <c r="AA301" s="1" t="s">
        <v>132</v>
      </c>
      <c r="AB301" s="1" t="s">
        <v>132</v>
      </c>
      <c r="AC301" s="1" t="s">
        <v>6363</v>
      </c>
      <c r="AD301" s="1" t="s">
        <v>132</v>
      </c>
      <c r="AE301" s="1" t="s">
        <v>132</v>
      </c>
      <c r="AF301" s="1" t="s">
        <v>6362</v>
      </c>
      <c r="AG301" s="1" t="s">
        <v>132</v>
      </c>
      <c r="AH301" s="1" t="s">
        <v>132</v>
      </c>
      <c r="AI301" s="1" t="s">
        <v>132</v>
      </c>
      <c r="AJ301" s="1" t="s">
        <v>132</v>
      </c>
      <c r="AK301" s="1" t="s">
        <v>132</v>
      </c>
      <c r="AL301" s="1" t="s">
        <v>132</v>
      </c>
      <c r="AM301" s="1" t="s">
        <v>132</v>
      </c>
      <c r="AN301" s="1" t="s">
        <v>132</v>
      </c>
    </row>
    <row r="302" ht="15.75" customHeight="1">
      <c r="A302" s="1" t="s">
        <v>38</v>
      </c>
      <c r="B302" s="1" t="s">
        <v>6364</v>
      </c>
      <c r="C302" s="1" t="s">
        <v>6365</v>
      </c>
      <c r="D302" s="8" t="s">
        <v>6366</v>
      </c>
      <c r="E302" s="1" t="s">
        <v>6367</v>
      </c>
      <c r="F302" s="1" t="s">
        <v>6368</v>
      </c>
      <c r="G302" s="1" t="s">
        <v>132</v>
      </c>
      <c r="H302" s="1" t="s">
        <v>132</v>
      </c>
      <c r="I302" s="1" t="s">
        <v>6369</v>
      </c>
      <c r="J302" s="1" t="s">
        <v>132</v>
      </c>
      <c r="K302" s="1" t="s">
        <v>6370</v>
      </c>
      <c r="L302" s="1" t="s">
        <v>132</v>
      </c>
      <c r="M302" s="1" t="s">
        <v>6371</v>
      </c>
      <c r="N302" s="1" t="s">
        <v>6372</v>
      </c>
      <c r="O302" s="1" t="s">
        <v>132</v>
      </c>
      <c r="P302" s="1" t="s">
        <v>6373</v>
      </c>
      <c r="Q302" s="1" t="s">
        <v>6374</v>
      </c>
      <c r="R302" s="1" t="s">
        <v>132</v>
      </c>
      <c r="S302" s="1" t="s">
        <v>6375</v>
      </c>
      <c r="T302" s="1" t="s">
        <v>132</v>
      </c>
      <c r="U302" s="1" t="s">
        <v>6376</v>
      </c>
      <c r="V302" s="1" t="s">
        <v>6377</v>
      </c>
      <c r="W302" s="1" t="s">
        <v>132</v>
      </c>
      <c r="X302" s="1" t="s">
        <v>6378</v>
      </c>
      <c r="Y302" s="1" t="s">
        <v>132</v>
      </c>
      <c r="Z302" s="1" t="s">
        <v>6379</v>
      </c>
      <c r="AA302" s="1" t="s">
        <v>6380</v>
      </c>
      <c r="AB302" s="1" t="s">
        <v>132</v>
      </c>
      <c r="AC302" s="1" t="s">
        <v>6381</v>
      </c>
      <c r="AD302" s="1" t="s">
        <v>6382</v>
      </c>
      <c r="AE302" s="1" t="s">
        <v>132</v>
      </c>
      <c r="AF302" s="1" t="s">
        <v>6383</v>
      </c>
      <c r="AG302" s="1" t="s">
        <v>6384</v>
      </c>
      <c r="AH302" s="1" t="s">
        <v>132</v>
      </c>
      <c r="AI302" s="1" t="s">
        <v>132</v>
      </c>
      <c r="AJ302" s="1" t="s">
        <v>6385</v>
      </c>
      <c r="AK302" s="1" t="s">
        <v>6386</v>
      </c>
      <c r="AL302" s="1" t="s">
        <v>132</v>
      </c>
      <c r="AM302" s="1" t="s">
        <v>6387</v>
      </c>
      <c r="AN302" s="1" t="s">
        <v>6387</v>
      </c>
    </row>
    <row r="303" ht="15.75" customHeight="1">
      <c r="A303" s="1" t="s">
        <v>127</v>
      </c>
      <c r="B303" s="1" t="s">
        <v>6388</v>
      </c>
      <c r="C303" s="1" t="s">
        <v>6389</v>
      </c>
      <c r="D303" s="8" t="s">
        <v>6390</v>
      </c>
      <c r="E303" s="1" t="s">
        <v>6391</v>
      </c>
      <c r="F303" s="1" t="s">
        <v>132</v>
      </c>
      <c r="G303" s="1" t="s">
        <v>6392</v>
      </c>
      <c r="H303" s="1" t="s">
        <v>6393</v>
      </c>
      <c r="I303" s="1" t="s">
        <v>6394</v>
      </c>
      <c r="J303" s="1" t="s">
        <v>6395</v>
      </c>
      <c r="K303" s="1" t="s">
        <v>6396</v>
      </c>
      <c r="L303" s="1" t="s">
        <v>6397</v>
      </c>
      <c r="M303" s="1" t="s">
        <v>6398</v>
      </c>
      <c r="N303" s="1" t="s">
        <v>132</v>
      </c>
      <c r="O303" s="1" t="s">
        <v>6399</v>
      </c>
      <c r="P303" s="1" t="s">
        <v>6400</v>
      </c>
      <c r="Q303" s="1" t="s">
        <v>132</v>
      </c>
      <c r="R303" s="1" t="s">
        <v>6401</v>
      </c>
      <c r="S303" s="1" t="s">
        <v>6402</v>
      </c>
      <c r="T303" s="8" t="s">
        <v>6403</v>
      </c>
      <c r="U303" s="1" t="s">
        <v>6404</v>
      </c>
      <c r="V303" s="1" t="s">
        <v>6405</v>
      </c>
      <c r="W303" s="1" t="s">
        <v>6401</v>
      </c>
      <c r="X303" s="1" t="s">
        <v>6406</v>
      </c>
      <c r="Y303" s="1" t="s">
        <v>6407</v>
      </c>
      <c r="Z303" s="1" t="s">
        <v>6408</v>
      </c>
      <c r="AA303" s="1" t="s">
        <v>6396</v>
      </c>
      <c r="AB303" s="1" t="s">
        <v>6409</v>
      </c>
      <c r="AC303" s="1" t="s">
        <v>6410</v>
      </c>
      <c r="AD303" s="1" t="s">
        <v>6392</v>
      </c>
      <c r="AE303" s="1" t="s">
        <v>6411</v>
      </c>
      <c r="AF303" s="1" t="s">
        <v>6411</v>
      </c>
      <c r="AG303" s="1" t="s">
        <v>6412</v>
      </c>
      <c r="AH303" s="1" t="s">
        <v>6413</v>
      </c>
      <c r="AI303" s="1" t="s">
        <v>6414</v>
      </c>
      <c r="AJ303" s="1" t="s">
        <v>132</v>
      </c>
      <c r="AK303" s="1" t="s">
        <v>6415</v>
      </c>
      <c r="AL303" s="1" t="s">
        <v>6416</v>
      </c>
      <c r="AM303" s="1" t="s">
        <v>6417</v>
      </c>
      <c r="AN303" s="1" t="s">
        <v>6417</v>
      </c>
    </row>
    <row r="304" ht="15.75" customHeight="1">
      <c r="A304" s="1" t="s">
        <v>38</v>
      </c>
      <c r="B304" s="1" t="s">
        <v>6418</v>
      </c>
      <c r="C304" s="1" t="s">
        <v>6419</v>
      </c>
      <c r="D304" s="1" t="s">
        <v>132</v>
      </c>
      <c r="E304" s="1" t="s">
        <v>132</v>
      </c>
      <c r="F304" s="1" t="s">
        <v>132</v>
      </c>
      <c r="G304" s="1" t="s">
        <v>132</v>
      </c>
      <c r="H304" s="1" t="s">
        <v>132</v>
      </c>
      <c r="I304" s="1" t="s">
        <v>6420</v>
      </c>
      <c r="J304" s="1" t="s">
        <v>132</v>
      </c>
      <c r="K304" s="1" t="s">
        <v>6419</v>
      </c>
      <c r="L304" s="1" t="s">
        <v>132</v>
      </c>
      <c r="M304" s="1" t="s">
        <v>6419</v>
      </c>
      <c r="N304" s="1" t="s">
        <v>132</v>
      </c>
      <c r="O304" s="1" t="s">
        <v>132</v>
      </c>
      <c r="P304" s="1" t="s">
        <v>6419</v>
      </c>
      <c r="Q304" s="1" t="s">
        <v>132</v>
      </c>
      <c r="R304" s="1" t="s">
        <v>132</v>
      </c>
      <c r="S304" s="1" t="s">
        <v>132</v>
      </c>
      <c r="T304" s="1" t="s">
        <v>132</v>
      </c>
      <c r="U304" s="1" t="s">
        <v>132</v>
      </c>
      <c r="V304" s="1" t="s">
        <v>132</v>
      </c>
      <c r="W304" s="1" t="s">
        <v>132</v>
      </c>
      <c r="X304" s="1" t="s">
        <v>132</v>
      </c>
      <c r="Y304" s="1" t="s">
        <v>132</v>
      </c>
      <c r="Z304" s="1" t="s">
        <v>132</v>
      </c>
      <c r="AA304" s="1" t="s">
        <v>132</v>
      </c>
      <c r="AB304" s="1" t="s">
        <v>132</v>
      </c>
      <c r="AC304" s="1" t="s">
        <v>6421</v>
      </c>
      <c r="AD304" s="1" t="s">
        <v>132</v>
      </c>
      <c r="AE304" s="1" t="s">
        <v>132</v>
      </c>
      <c r="AF304" s="1" t="s">
        <v>6422</v>
      </c>
      <c r="AG304" s="1" t="s">
        <v>132</v>
      </c>
      <c r="AH304" s="1" t="s">
        <v>132</v>
      </c>
      <c r="AI304" s="1" t="s">
        <v>132</v>
      </c>
      <c r="AJ304" s="1" t="s">
        <v>132</v>
      </c>
      <c r="AK304" s="1" t="s">
        <v>132</v>
      </c>
      <c r="AL304" s="1" t="s">
        <v>132</v>
      </c>
      <c r="AM304" s="1" t="s">
        <v>132</v>
      </c>
      <c r="AN304" s="1" t="s">
        <v>132</v>
      </c>
    </row>
    <row r="305" ht="15.75" customHeight="1">
      <c r="A305" s="1" t="s">
        <v>127</v>
      </c>
      <c r="B305" s="1" t="s">
        <v>6423</v>
      </c>
      <c r="C305" s="1" t="s">
        <v>6424</v>
      </c>
      <c r="D305" s="8" t="s">
        <v>6425</v>
      </c>
      <c r="E305" s="1" t="s">
        <v>6426</v>
      </c>
      <c r="F305" s="1" t="s">
        <v>132</v>
      </c>
      <c r="G305" s="1" t="s">
        <v>6427</v>
      </c>
      <c r="H305" s="1" t="s">
        <v>6428</v>
      </c>
      <c r="I305" s="1" t="s">
        <v>6429</v>
      </c>
      <c r="J305" s="1" t="s">
        <v>6430</v>
      </c>
      <c r="K305" s="1" t="s">
        <v>6431</v>
      </c>
      <c r="L305" s="1" t="s">
        <v>6432</v>
      </c>
      <c r="M305" s="1" t="s">
        <v>6433</v>
      </c>
      <c r="N305" s="1" t="s">
        <v>132</v>
      </c>
      <c r="O305" s="1" t="s">
        <v>6434</v>
      </c>
      <c r="P305" s="1" t="s">
        <v>6435</v>
      </c>
      <c r="Q305" s="1" t="s">
        <v>132</v>
      </c>
      <c r="R305" s="1" t="s">
        <v>6436</v>
      </c>
      <c r="S305" s="1" t="s">
        <v>6437</v>
      </c>
      <c r="T305" s="8" t="s">
        <v>6438</v>
      </c>
      <c r="U305" s="1" t="s">
        <v>6439</v>
      </c>
      <c r="V305" s="1" t="s">
        <v>6440</v>
      </c>
      <c r="W305" s="1" t="s">
        <v>6436</v>
      </c>
      <c r="X305" s="1" t="s">
        <v>6441</v>
      </c>
      <c r="Y305" s="1" t="s">
        <v>6442</v>
      </c>
      <c r="Z305" s="1" t="s">
        <v>6443</v>
      </c>
      <c r="AA305" s="1" t="s">
        <v>6444</v>
      </c>
      <c r="AB305" s="1" t="s">
        <v>6431</v>
      </c>
      <c r="AC305" s="1" t="s">
        <v>6445</v>
      </c>
      <c r="AD305" s="1" t="s">
        <v>6446</v>
      </c>
      <c r="AE305" s="1" t="s">
        <v>6424</v>
      </c>
      <c r="AF305" s="1" t="s">
        <v>6447</v>
      </c>
      <c r="AG305" s="1" t="s">
        <v>6424</v>
      </c>
      <c r="AH305" s="1" t="s">
        <v>6448</v>
      </c>
      <c r="AI305" s="1" t="s">
        <v>6449</v>
      </c>
      <c r="AJ305" s="1" t="s">
        <v>132</v>
      </c>
      <c r="AK305" s="1" t="s">
        <v>6450</v>
      </c>
      <c r="AL305" s="1" t="s">
        <v>6451</v>
      </c>
      <c r="AM305" s="1" t="s">
        <v>132</v>
      </c>
      <c r="AN305" s="1" t="s">
        <v>132</v>
      </c>
    </row>
    <row r="306" ht="15.75" customHeight="1">
      <c r="A306" s="1" t="s">
        <v>38</v>
      </c>
      <c r="B306" s="1" t="s">
        <v>6452</v>
      </c>
      <c r="C306" s="1" t="s">
        <v>6453</v>
      </c>
      <c r="D306" s="8" t="s">
        <v>6454</v>
      </c>
      <c r="E306" s="1" t="s">
        <v>6455</v>
      </c>
      <c r="F306" s="1" t="s">
        <v>6456</v>
      </c>
      <c r="G306" s="1" t="s">
        <v>132</v>
      </c>
      <c r="H306" s="1" t="s">
        <v>132</v>
      </c>
      <c r="I306" s="1" t="s">
        <v>6457</v>
      </c>
      <c r="J306" s="1" t="s">
        <v>132</v>
      </c>
      <c r="K306" s="1" t="s">
        <v>6458</v>
      </c>
      <c r="L306" s="1" t="s">
        <v>132</v>
      </c>
      <c r="M306" s="1" t="s">
        <v>6459</v>
      </c>
      <c r="N306" s="1" t="s">
        <v>6460</v>
      </c>
      <c r="O306" s="1" t="s">
        <v>132</v>
      </c>
      <c r="P306" s="1" t="s">
        <v>6461</v>
      </c>
      <c r="Q306" s="1" t="s">
        <v>6462</v>
      </c>
      <c r="R306" s="1" t="s">
        <v>132</v>
      </c>
      <c r="S306" s="1" t="s">
        <v>6463</v>
      </c>
      <c r="T306" s="1" t="s">
        <v>132</v>
      </c>
      <c r="U306" s="1" t="s">
        <v>6464</v>
      </c>
      <c r="V306" s="1" t="s">
        <v>6465</v>
      </c>
      <c r="W306" s="1" t="s">
        <v>132</v>
      </c>
      <c r="X306" s="1" t="s">
        <v>6466</v>
      </c>
      <c r="Y306" s="1" t="s">
        <v>132</v>
      </c>
      <c r="Z306" s="1" t="s">
        <v>6467</v>
      </c>
      <c r="AA306" s="1" t="s">
        <v>6468</v>
      </c>
      <c r="AB306" s="1" t="s">
        <v>132</v>
      </c>
      <c r="AC306" s="1" t="s">
        <v>6469</v>
      </c>
      <c r="AD306" s="1" t="s">
        <v>6470</v>
      </c>
      <c r="AE306" s="1" t="s">
        <v>132</v>
      </c>
      <c r="AF306" s="1" t="s">
        <v>6471</v>
      </c>
      <c r="AG306" s="1" t="s">
        <v>6472</v>
      </c>
      <c r="AH306" s="1" t="s">
        <v>132</v>
      </c>
      <c r="AI306" s="1" t="s">
        <v>132</v>
      </c>
      <c r="AJ306" s="1" t="s">
        <v>6473</v>
      </c>
      <c r="AK306" s="1" t="s">
        <v>6474</v>
      </c>
      <c r="AL306" s="1" t="s">
        <v>132</v>
      </c>
      <c r="AM306" s="1" t="s">
        <v>6475</v>
      </c>
      <c r="AN306" s="1" t="s">
        <v>6475</v>
      </c>
    </row>
    <row r="307" ht="15.75" customHeight="1">
      <c r="A307" s="1" t="s">
        <v>127</v>
      </c>
      <c r="B307" s="1" t="s">
        <v>6476</v>
      </c>
      <c r="C307" s="1" t="s">
        <v>6477</v>
      </c>
      <c r="D307" s="1" t="s">
        <v>132</v>
      </c>
      <c r="E307" s="1" t="s">
        <v>132</v>
      </c>
      <c r="F307" s="1" t="s">
        <v>132</v>
      </c>
      <c r="G307" s="1" t="s">
        <v>132</v>
      </c>
      <c r="H307" s="1" t="s">
        <v>6478</v>
      </c>
      <c r="I307" s="1" t="s">
        <v>6479</v>
      </c>
      <c r="J307" s="1" t="s">
        <v>132</v>
      </c>
      <c r="K307" s="1" t="s">
        <v>6480</v>
      </c>
      <c r="L307" s="1" t="s">
        <v>6481</v>
      </c>
      <c r="M307" s="1" t="s">
        <v>43206</v>
      </c>
      <c r="N307" s="1" t="s">
        <v>132</v>
      </c>
      <c r="O307" s="1" t="s">
        <v>132</v>
      </c>
      <c r="P307" s="1" t="s">
        <v>6483</v>
      </c>
      <c r="Q307" s="1" t="s">
        <v>132</v>
      </c>
      <c r="R307" s="1" t="s">
        <v>6484</v>
      </c>
      <c r="S307" s="1" t="s">
        <v>43207</v>
      </c>
      <c r="T307" s="1" t="s">
        <v>132</v>
      </c>
      <c r="U307" s="1" t="s">
        <v>6486</v>
      </c>
      <c r="V307" s="1" t="s">
        <v>6487</v>
      </c>
      <c r="W307" s="1" t="s">
        <v>6488</v>
      </c>
      <c r="X307" s="1" t="s">
        <v>6489</v>
      </c>
      <c r="Y307" s="1" t="s">
        <v>6490</v>
      </c>
      <c r="Z307" s="1" t="s">
        <v>6491</v>
      </c>
      <c r="AA307" s="1" t="s">
        <v>6492</v>
      </c>
      <c r="AB307" s="1" t="s">
        <v>132</v>
      </c>
      <c r="AC307" s="1" t="s">
        <v>6493</v>
      </c>
      <c r="AD307" s="1" t="s">
        <v>132</v>
      </c>
      <c r="AE307" s="1" t="s">
        <v>132</v>
      </c>
      <c r="AF307" s="1" t="s">
        <v>6494</v>
      </c>
      <c r="AG307" s="1" t="s">
        <v>6495</v>
      </c>
      <c r="AH307" s="1" t="s">
        <v>132</v>
      </c>
      <c r="AI307" s="1" t="s">
        <v>6496</v>
      </c>
      <c r="AJ307" s="1" t="s">
        <v>132</v>
      </c>
      <c r="AK307" s="1" t="s">
        <v>132</v>
      </c>
      <c r="AL307" s="1" t="s">
        <v>6497</v>
      </c>
      <c r="AM307" s="1" t="s">
        <v>132</v>
      </c>
      <c r="AN307" s="1" t="s">
        <v>132</v>
      </c>
    </row>
    <row r="308" ht="15.75" customHeight="1">
      <c r="A308" s="1" t="s">
        <v>38</v>
      </c>
      <c r="B308" s="1" t="s">
        <v>6498</v>
      </c>
      <c r="C308" s="1" t="s">
        <v>6499</v>
      </c>
      <c r="D308" s="8" t="s">
        <v>6500</v>
      </c>
      <c r="E308" s="1" t="s">
        <v>6501</v>
      </c>
      <c r="F308" s="1" t="s">
        <v>6502</v>
      </c>
      <c r="G308" s="1" t="s">
        <v>132</v>
      </c>
      <c r="H308" s="1" t="s">
        <v>132</v>
      </c>
      <c r="I308" s="1" t="s">
        <v>6503</v>
      </c>
      <c r="J308" s="1" t="s">
        <v>132</v>
      </c>
      <c r="K308" s="1" t="s">
        <v>6504</v>
      </c>
      <c r="L308" s="1" t="s">
        <v>132</v>
      </c>
      <c r="M308" s="1" t="s">
        <v>6505</v>
      </c>
      <c r="N308" s="1" t="s">
        <v>6506</v>
      </c>
      <c r="O308" s="1" t="s">
        <v>132</v>
      </c>
      <c r="P308" s="1" t="s">
        <v>6507</v>
      </c>
      <c r="Q308" s="1" t="s">
        <v>6508</v>
      </c>
      <c r="R308" s="1" t="s">
        <v>132</v>
      </c>
      <c r="S308" s="1" t="s">
        <v>6509</v>
      </c>
      <c r="T308" s="1" t="s">
        <v>132</v>
      </c>
      <c r="U308" s="1" t="s">
        <v>6510</v>
      </c>
      <c r="V308" s="1" t="s">
        <v>6511</v>
      </c>
      <c r="W308" s="1" t="s">
        <v>132</v>
      </c>
      <c r="X308" s="1" t="s">
        <v>6512</v>
      </c>
      <c r="Y308" s="1" t="s">
        <v>132</v>
      </c>
      <c r="Z308" s="1" t="s">
        <v>6513</v>
      </c>
      <c r="AA308" s="1" t="s">
        <v>6514</v>
      </c>
      <c r="AB308" s="1" t="s">
        <v>132</v>
      </c>
      <c r="AC308" s="1" t="s">
        <v>6515</v>
      </c>
      <c r="AD308" s="1" t="s">
        <v>2894</v>
      </c>
      <c r="AE308" s="1" t="s">
        <v>132</v>
      </c>
      <c r="AF308" s="1" t="s">
        <v>6516</v>
      </c>
      <c r="AG308" s="1" t="s">
        <v>6517</v>
      </c>
      <c r="AH308" s="1" t="s">
        <v>132</v>
      </c>
      <c r="AI308" s="1" t="s">
        <v>132</v>
      </c>
      <c r="AJ308" s="1" t="s">
        <v>6518</v>
      </c>
      <c r="AK308" s="1" t="s">
        <v>6519</v>
      </c>
      <c r="AL308" s="1" t="s">
        <v>132</v>
      </c>
      <c r="AM308" s="1" t="s">
        <v>6520</v>
      </c>
      <c r="AN308" s="1" t="s">
        <v>6520</v>
      </c>
    </row>
    <row r="309" ht="15.75" customHeight="1">
      <c r="A309" s="1" t="s">
        <v>38</v>
      </c>
      <c r="B309" s="1" t="s">
        <v>6521</v>
      </c>
      <c r="C309" s="1" t="s">
        <v>6522</v>
      </c>
      <c r="D309" s="8" t="s">
        <v>6523</v>
      </c>
      <c r="E309" s="1" t="s">
        <v>6524</v>
      </c>
      <c r="F309" s="1" t="s">
        <v>6525</v>
      </c>
      <c r="G309" s="1" t="s">
        <v>132</v>
      </c>
      <c r="H309" s="1" t="s">
        <v>132</v>
      </c>
      <c r="I309" s="1" t="s">
        <v>6526</v>
      </c>
      <c r="J309" s="1" t="s">
        <v>132</v>
      </c>
      <c r="K309" s="1" t="s">
        <v>6527</v>
      </c>
      <c r="L309" s="1" t="s">
        <v>132</v>
      </c>
      <c r="M309" s="1" t="s">
        <v>6528</v>
      </c>
      <c r="N309" s="1" t="s">
        <v>6529</v>
      </c>
      <c r="O309" s="1" t="s">
        <v>132</v>
      </c>
      <c r="P309" s="1" t="s">
        <v>6530</v>
      </c>
      <c r="Q309" s="1" t="s">
        <v>6531</v>
      </c>
      <c r="R309" s="1" t="s">
        <v>132</v>
      </c>
      <c r="S309" s="1" t="s">
        <v>6532</v>
      </c>
      <c r="T309" s="1" t="s">
        <v>132</v>
      </c>
      <c r="U309" s="1" t="s">
        <v>6533</v>
      </c>
      <c r="V309" s="1" t="s">
        <v>6534</v>
      </c>
      <c r="W309" s="1" t="s">
        <v>132</v>
      </c>
      <c r="X309" s="1" t="s">
        <v>6535</v>
      </c>
      <c r="Y309" s="1" t="s">
        <v>132</v>
      </c>
      <c r="Z309" s="1" t="s">
        <v>6536</v>
      </c>
      <c r="AA309" s="1" t="s">
        <v>6537</v>
      </c>
      <c r="AB309" s="1" t="s">
        <v>132</v>
      </c>
      <c r="AC309" s="1" t="s">
        <v>6538</v>
      </c>
      <c r="AD309" s="1" t="s">
        <v>132</v>
      </c>
      <c r="AE309" s="1" t="s">
        <v>132</v>
      </c>
      <c r="AF309" s="1" t="s">
        <v>6524</v>
      </c>
      <c r="AG309" s="1" t="s">
        <v>6539</v>
      </c>
      <c r="AH309" s="1" t="s">
        <v>132</v>
      </c>
      <c r="AI309" s="1" t="s">
        <v>132</v>
      </c>
      <c r="AJ309" s="1" t="s">
        <v>6540</v>
      </c>
      <c r="AK309" s="1" t="s">
        <v>132</v>
      </c>
      <c r="AL309" s="1" t="s">
        <v>132</v>
      </c>
      <c r="AM309" s="1" t="s">
        <v>6541</v>
      </c>
      <c r="AN309" s="1" t="s">
        <v>6541</v>
      </c>
    </row>
    <row r="310" ht="15.75" customHeight="1">
      <c r="A310" s="1" t="s">
        <v>38</v>
      </c>
      <c r="B310" s="1" t="s">
        <v>6542</v>
      </c>
      <c r="C310" s="1" t="s">
        <v>6543</v>
      </c>
      <c r="D310" s="8" t="s">
        <v>6544</v>
      </c>
      <c r="E310" s="1" t="s">
        <v>6545</v>
      </c>
      <c r="F310" s="1" t="s">
        <v>6546</v>
      </c>
      <c r="G310" s="1" t="s">
        <v>132</v>
      </c>
      <c r="H310" s="1" t="s">
        <v>132</v>
      </c>
      <c r="I310" s="1" t="s">
        <v>6547</v>
      </c>
      <c r="J310" s="1" t="s">
        <v>132</v>
      </c>
      <c r="K310" s="1" t="s">
        <v>6548</v>
      </c>
      <c r="L310" s="1" t="s">
        <v>132</v>
      </c>
      <c r="M310" s="1" t="s">
        <v>6549</v>
      </c>
      <c r="N310" s="1" t="s">
        <v>6550</v>
      </c>
      <c r="O310" s="1" t="s">
        <v>132</v>
      </c>
      <c r="P310" s="1" t="s">
        <v>6551</v>
      </c>
      <c r="Q310" s="1" t="s">
        <v>132</v>
      </c>
      <c r="R310" s="1" t="s">
        <v>132</v>
      </c>
      <c r="S310" s="1" t="s">
        <v>6552</v>
      </c>
      <c r="T310" s="1" t="s">
        <v>132</v>
      </c>
      <c r="U310" s="1" t="s">
        <v>6553</v>
      </c>
      <c r="V310" s="1" t="s">
        <v>132</v>
      </c>
      <c r="W310" s="1" t="s">
        <v>132</v>
      </c>
      <c r="X310" s="1" t="s">
        <v>6554</v>
      </c>
      <c r="Y310" s="1" t="s">
        <v>132</v>
      </c>
      <c r="Z310" s="1" t="s">
        <v>6555</v>
      </c>
      <c r="AA310" s="1" t="s">
        <v>132</v>
      </c>
      <c r="AB310" s="1" t="s">
        <v>132</v>
      </c>
      <c r="AC310" s="1" t="s">
        <v>6556</v>
      </c>
      <c r="AD310" s="1" t="s">
        <v>132</v>
      </c>
      <c r="AE310" s="1" t="s">
        <v>132</v>
      </c>
      <c r="AF310" s="1" t="s">
        <v>132</v>
      </c>
      <c r="AG310" s="1" t="s">
        <v>132</v>
      </c>
      <c r="AH310" s="1" t="s">
        <v>132</v>
      </c>
      <c r="AI310" s="1" t="s">
        <v>132</v>
      </c>
      <c r="AJ310" s="1" t="s">
        <v>132</v>
      </c>
      <c r="AK310" s="1" t="s">
        <v>132</v>
      </c>
      <c r="AL310" s="1" t="s">
        <v>132</v>
      </c>
      <c r="AM310" s="1" t="s">
        <v>132</v>
      </c>
      <c r="AN310" s="1" t="s">
        <v>132</v>
      </c>
    </row>
    <row r="311" ht="15.75" customHeight="1">
      <c r="A311" s="1" t="s">
        <v>127</v>
      </c>
      <c r="B311" s="1" t="s">
        <v>6557</v>
      </c>
      <c r="C311" s="1" t="s">
        <v>6558</v>
      </c>
      <c r="D311" s="8" t="s">
        <v>6559</v>
      </c>
      <c r="E311" s="1" t="s">
        <v>6560</v>
      </c>
      <c r="F311" s="1" t="s">
        <v>132</v>
      </c>
      <c r="G311" s="1" t="s">
        <v>6561</v>
      </c>
      <c r="H311" s="1" t="s">
        <v>6562</v>
      </c>
      <c r="I311" s="1" t="s">
        <v>6558</v>
      </c>
      <c r="J311" s="1" t="s">
        <v>6563</v>
      </c>
      <c r="K311" s="1" t="s">
        <v>6564</v>
      </c>
      <c r="L311" s="1" t="s">
        <v>6561</v>
      </c>
      <c r="M311" s="1" t="s">
        <v>6558</v>
      </c>
      <c r="N311" s="1" t="s">
        <v>132</v>
      </c>
      <c r="O311" s="1" t="s">
        <v>6565</v>
      </c>
      <c r="P311" s="1" t="s">
        <v>6561</v>
      </c>
      <c r="Q311" s="1" t="s">
        <v>132</v>
      </c>
      <c r="R311" s="1" t="s">
        <v>6558</v>
      </c>
      <c r="S311" s="1" t="s">
        <v>6564</v>
      </c>
      <c r="T311" s="8" t="s">
        <v>6566</v>
      </c>
      <c r="U311" s="1" t="s">
        <v>6567</v>
      </c>
      <c r="V311" s="1" t="s">
        <v>6568</v>
      </c>
      <c r="W311" s="1" t="s">
        <v>6558</v>
      </c>
      <c r="X311" s="1" t="s">
        <v>6558</v>
      </c>
      <c r="Y311" s="1" t="s">
        <v>6561</v>
      </c>
      <c r="Z311" s="1" t="s">
        <v>6569</v>
      </c>
      <c r="AA311" s="1" t="s">
        <v>6561</v>
      </c>
      <c r="AB311" s="1" t="s">
        <v>6570</v>
      </c>
      <c r="AC311" s="1" t="s">
        <v>6560</v>
      </c>
      <c r="AD311" s="1" t="s">
        <v>6561</v>
      </c>
      <c r="AE311" s="1" t="s">
        <v>6561</v>
      </c>
      <c r="AF311" s="1" t="s">
        <v>6561</v>
      </c>
      <c r="AG311" s="1" t="s">
        <v>6561</v>
      </c>
      <c r="AH311" s="1" t="s">
        <v>6571</v>
      </c>
      <c r="AI311" s="1" t="s">
        <v>6562</v>
      </c>
      <c r="AJ311" s="1" t="s">
        <v>132</v>
      </c>
      <c r="AK311" s="1" t="s">
        <v>6572</v>
      </c>
      <c r="AL311" s="1" t="s">
        <v>6573</v>
      </c>
      <c r="AM311" s="1" t="s">
        <v>6574</v>
      </c>
      <c r="AN311" s="1" t="s">
        <v>6574</v>
      </c>
    </row>
    <row r="312" ht="15.75" customHeight="1">
      <c r="A312" s="1" t="s">
        <v>127</v>
      </c>
      <c r="B312" s="1" t="s">
        <v>6575</v>
      </c>
      <c r="C312" s="1" t="s">
        <v>6576</v>
      </c>
      <c r="D312" s="8" t="s">
        <v>6577</v>
      </c>
      <c r="E312" s="1" t="s">
        <v>6578</v>
      </c>
      <c r="F312" s="1" t="s">
        <v>132</v>
      </c>
      <c r="G312" s="1" t="s">
        <v>6579</v>
      </c>
      <c r="H312" s="1" t="s">
        <v>6580</v>
      </c>
      <c r="I312" s="1" t="s">
        <v>6581</v>
      </c>
      <c r="J312" s="1" t="s">
        <v>6582</v>
      </c>
      <c r="K312" s="1" t="s">
        <v>6583</v>
      </c>
      <c r="L312" s="1" t="s">
        <v>6584</v>
      </c>
      <c r="M312" s="1" t="s">
        <v>6585</v>
      </c>
      <c r="N312" s="1" t="s">
        <v>132</v>
      </c>
      <c r="O312" s="1" t="s">
        <v>6586</v>
      </c>
      <c r="P312" s="1" t="s">
        <v>6587</v>
      </c>
      <c r="Q312" s="1" t="s">
        <v>132</v>
      </c>
      <c r="R312" s="1" t="s">
        <v>6588</v>
      </c>
      <c r="S312" s="1" t="s">
        <v>6589</v>
      </c>
      <c r="T312" s="8" t="s">
        <v>6590</v>
      </c>
      <c r="U312" s="1" t="s">
        <v>6591</v>
      </c>
      <c r="V312" s="1" t="s">
        <v>6592</v>
      </c>
      <c r="W312" s="1" t="s">
        <v>6588</v>
      </c>
      <c r="X312" s="1" t="s">
        <v>6593</v>
      </c>
      <c r="Y312" s="1" t="s">
        <v>6594</v>
      </c>
      <c r="Z312" s="1" t="s">
        <v>6595</v>
      </c>
      <c r="AA312" s="1" t="s">
        <v>6596</v>
      </c>
      <c r="AB312" s="1" t="s">
        <v>6597</v>
      </c>
      <c r="AC312" s="1" t="s">
        <v>6598</v>
      </c>
      <c r="AD312" s="1" t="s">
        <v>6599</v>
      </c>
      <c r="AE312" s="1" t="s">
        <v>6600</v>
      </c>
      <c r="AF312" s="1" t="s">
        <v>6600</v>
      </c>
      <c r="AG312" s="1" t="s">
        <v>6601</v>
      </c>
      <c r="AH312" s="1" t="s">
        <v>6602</v>
      </c>
      <c r="AI312" s="1" t="s">
        <v>6603</v>
      </c>
      <c r="AJ312" s="1" t="s">
        <v>132</v>
      </c>
      <c r="AK312" s="1" t="s">
        <v>6604</v>
      </c>
      <c r="AL312" s="1" t="s">
        <v>6605</v>
      </c>
      <c r="AM312" s="1" t="s">
        <v>6606</v>
      </c>
      <c r="AN312" s="1" t="s">
        <v>6606</v>
      </c>
    </row>
    <row r="313" ht="15.75" customHeight="1">
      <c r="A313" s="1" t="s">
        <v>38</v>
      </c>
      <c r="B313" s="1" t="s">
        <v>6607</v>
      </c>
      <c r="C313" s="1" t="s">
        <v>6608</v>
      </c>
      <c r="D313" s="1" t="s">
        <v>132</v>
      </c>
      <c r="E313" s="1" t="s">
        <v>132</v>
      </c>
      <c r="F313" s="1" t="s">
        <v>132</v>
      </c>
      <c r="G313" s="1" t="s">
        <v>132</v>
      </c>
      <c r="H313" s="1" t="s">
        <v>132</v>
      </c>
      <c r="I313" s="1" t="s">
        <v>6609</v>
      </c>
      <c r="J313" s="1" t="s">
        <v>132</v>
      </c>
      <c r="K313" s="1" t="s">
        <v>6610</v>
      </c>
      <c r="L313" s="1" t="s">
        <v>132</v>
      </c>
      <c r="M313" s="1" t="s">
        <v>6611</v>
      </c>
      <c r="N313" s="1" t="s">
        <v>132</v>
      </c>
      <c r="O313" s="1" t="s">
        <v>132</v>
      </c>
      <c r="P313" s="1" t="s">
        <v>6612</v>
      </c>
      <c r="Q313" s="1" t="s">
        <v>132</v>
      </c>
      <c r="R313" s="1" t="s">
        <v>132</v>
      </c>
      <c r="S313" s="1" t="s">
        <v>132</v>
      </c>
      <c r="T313" s="1" t="s">
        <v>132</v>
      </c>
      <c r="U313" s="1" t="s">
        <v>132</v>
      </c>
      <c r="V313" s="1" t="s">
        <v>132</v>
      </c>
      <c r="W313" s="1" t="s">
        <v>132</v>
      </c>
      <c r="X313" s="1" t="s">
        <v>132</v>
      </c>
      <c r="Y313" s="1" t="s">
        <v>132</v>
      </c>
      <c r="Z313" s="1" t="s">
        <v>132</v>
      </c>
      <c r="AA313" s="1" t="s">
        <v>132</v>
      </c>
      <c r="AB313" s="1" t="s">
        <v>132</v>
      </c>
      <c r="AC313" s="1" t="s">
        <v>6613</v>
      </c>
      <c r="AD313" s="1" t="s">
        <v>132</v>
      </c>
      <c r="AE313" s="1" t="s">
        <v>132</v>
      </c>
      <c r="AF313" s="1" t="s">
        <v>6614</v>
      </c>
      <c r="AG313" s="1" t="s">
        <v>132</v>
      </c>
      <c r="AH313" s="1" t="s">
        <v>132</v>
      </c>
      <c r="AI313" s="1" t="s">
        <v>132</v>
      </c>
      <c r="AJ313" s="1" t="s">
        <v>132</v>
      </c>
      <c r="AK313" s="1" t="s">
        <v>132</v>
      </c>
      <c r="AL313" s="1" t="s">
        <v>132</v>
      </c>
      <c r="AM313" s="1" t="s">
        <v>132</v>
      </c>
      <c r="AN313" s="1" t="s">
        <v>132</v>
      </c>
    </row>
    <row r="314" ht="15.75" customHeight="1">
      <c r="A314" s="1" t="s">
        <v>4051</v>
      </c>
      <c r="B314" s="1" t="s">
        <v>6615</v>
      </c>
      <c r="C314" s="1" t="s">
        <v>6616</v>
      </c>
      <c r="D314" s="8" t="s">
        <v>6617</v>
      </c>
      <c r="E314" s="1" t="s">
        <v>6618</v>
      </c>
      <c r="F314" s="1" t="s">
        <v>132</v>
      </c>
      <c r="G314" s="1" t="s">
        <v>6619</v>
      </c>
      <c r="H314" s="1" t="s">
        <v>6620</v>
      </c>
      <c r="I314" s="1" t="s">
        <v>132</v>
      </c>
      <c r="J314" s="1" t="s">
        <v>6621</v>
      </c>
      <c r="K314" s="1" t="s">
        <v>6622</v>
      </c>
      <c r="L314" s="1" t="s">
        <v>6623</v>
      </c>
      <c r="M314" s="1" t="s">
        <v>6624</v>
      </c>
      <c r="N314" s="1" t="s">
        <v>132</v>
      </c>
      <c r="O314" s="1" t="s">
        <v>6625</v>
      </c>
      <c r="P314" s="1" t="s">
        <v>6626</v>
      </c>
      <c r="Q314" s="1" t="s">
        <v>132</v>
      </c>
      <c r="R314" s="1" t="s">
        <v>6627</v>
      </c>
      <c r="S314" s="1" t="s">
        <v>43208</v>
      </c>
      <c r="T314" s="8" t="s">
        <v>6629</v>
      </c>
      <c r="U314" s="1" t="s">
        <v>6630</v>
      </c>
      <c r="V314" s="1" t="s">
        <v>6631</v>
      </c>
      <c r="W314" s="1" t="s">
        <v>6632</v>
      </c>
      <c r="X314" s="1" t="s">
        <v>6633</v>
      </c>
      <c r="Y314" s="1" t="s">
        <v>6634</v>
      </c>
      <c r="Z314" s="13" t="s">
        <v>6635</v>
      </c>
      <c r="AA314" s="1" t="s">
        <v>6636</v>
      </c>
      <c r="AB314" s="1" t="s">
        <v>6637</v>
      </c>
      <c r="AC314" s="1" t="s">
        <v>6638</v>
      </c>
      <c r="AD314" s="1" t="s">
        <v>6639</v>
      </c>
      <c r="AE314" s="1" t="s">
        <v>6640</v>
      </c>
      <c r="AF314" s="1" t="s">
        <v>132</v>
      </c>
      <c r="AG314" s="1" t="s">
        <v>6641</v>
      </c>
      <c r="AH314" s="1" t="s">
        <v>6642</v>
      </c>
      <c r="AI314" s="1" t="s">
        <v>6643</v>
      </c>
      <c r="AJ314" s="1" t="s">
        <v>132</v>
      </c>
      <c r="AK314" s="1" t="s">
        <v>6644</v>
      </c>
      <c r="AL314" s="14" t="s">
        <v>6645</v>
      </c>
      <c r="AM314" s="1" t="s">
        <v>132</v>
      </c>
      <c r="AN314" s="1" t="s">
        <v>132</v>
      </c>
    </row>
    <row r="315" ht="15.75" customHeight="1">
      <c r="A315" s="1" t="s">
        <v>127</v>
      </c>
      <c r="B315" s="1" t="s">
        <v>6646</v>
      </c>
      <c r="C315" s="1" t="s">
        <v>6647</v>
      </c>
      <c r="D315" s="8" t="s">
        <v>6648</v>
      </c>
      <c r="E315" s="1" t="s">
        <v>6649</v>
      </c>
      <c r="F315" s="1" t="s">
        <v>132</v>
      </c>
      <c r="G315" s="1" t="s">
        <v>6650</v>
      </c>
      <c r="H315" s="1" t="s">
        <v>6651</v>
      </c>
      <c r="I315" s="1" t="s">
        <v>6652</v>
      </c>
      <c r="J315" s="1" t="s">
        <v>6653</v>
      </c>
      <c r="K315" s="1" t="s">
        <v>6654</v>
      </c>
      <c r="L315" s="1" t="s">
        <v>6655</v>
      </c>
      <c r="M315" s="1" t="s">
        <v>6647</v>
      </c>
      <c r="N315" s="1" t="s">
        <v>132</v>
      </c>
      <c r="O315" s="1" t="s">
        <v>6656</v>
      </c>
      <c r="P315" s="1" t="s">
        <v>6657</v>
      </c>
      <c r="Q315" s="1" t="s">
        <v>132</v>
      </c>
      <c r="R315" s="1" t="s">
        <v>6658</v>
      </c>
      <c r="S315" s="1" t="s">
        <v>6654</v>
      </c>
      <c r="T315" s="8" t="s">
        <v>6659</v>
      </c>
      <c r="U315" s="1" t="s">
        <v>6660</v>
      </c>
      <c r="V315" s="1" t="s">
        <v>6661</v>
      </c>
      <c r="W315" s="1" t="s">
        <v>6658</v>
      </c>
      <c r="X315" s="1" t="s">
        <v>6647</v>
      </c>
      <c r="Y315" s="1" t="s">
        <v>6662</v>
      </c>
      <c r="Z315" s="1" t="s">
        <v>6663</v>
      </c>
      <c r="AA315" s="1" t="s">
        <v>6654</v>
      </c>
      <c r="AB315" s="1" t="s">
        <v>6647</v>
      </c>
      <c r="AC315" s="1" t="s">
        <v>6664</v>
      </c>
      <c r="AD315" s="1" t="s">
        <v>6650</v>
      </c>
      <c r="AE315" s="1" t="s">
        <v>6647</v>
      </c>
      <c r="AF315" s="1" t="s">
        <v>6650</v>
      </c>
      <c r="AG315" s="1" t="s">
        <v>6665</v>
      </c>
      <c r="AH315" s="1" t="s">
        <v>6666</v>
      </c>
      <c r="AI315" s="1" t="s">
        <v>6667</v>
      </c>
      <c r="AJ315" s="1" t="s">
        <v>132</v>
      </c>
      <c r="AK315" s="1" t="s">
        <v>6668</v>
      </c>
      <c r="AL315" s="1" t="s">
        <v>6669</v>
      </c>
      <c r="AM315" s="1" t="s">
        <v>132</v>
      </c>
      <c r="AN315" s="1" t="s">
        <v>132</v>
      </c>
    </row>
    <row r="316" ht="15.75" customHeight="1">
      <c r="A316" s="1" t="s">
        <v>43182</v>
      </c>
      <c r="B316" s="1" t="s">
        <v>43209</v>
      </c>
      <c r="C316" s="1" t="s">
        <v>43210</v>
      </c>
      <c r="D316" s="1" t="s">
        <v>132</v>
      </c>
      <c r="E316" s="1" t="s">
        <v>132</v>
      </c>
      <c r="F316" s="1" t="s">
        <v>132</v>
      </c>
      <c r="G316" s="1" t="s">
        <v>132</v>
      </c>
      <c r="H316" s="1" t="s">
        <v>132</v>
      </c>
      <c r="I316" s="1" t="s">
        <v>132</v>
      </c>
      <c r="J316" s="1" t="s">
        <v>132</v>
      </c>
      <c r="K316" s="1" t="s">
        <v>132</v>
      </c>
      <c r="L316" s="1" t="s">
        <v>132</v>
      </c>
      <c r="M316" s="1" t="s">
        <v>132</v>
      </c>
      <c r="N316" s="1" t="s">
        <v>132</v>
      </c>
      <c r="O316" s="1" t="s">
        <v>132</v>
      </c>
      <c r="P316" s="1" t="s">
        <v>132</v>
      </c>
      <c r="Q316" s="1" t="s">
        <v>132</v>
      </c>
      <c r="R316" s="1" t="s">
        <v>132</v>
      </c>
      <c r="S316" s="1" t="s">
        <v>132</v>
      </c>
      <c r="T316" s="1" t="s">
        <v>132</v>
      </c>
      <c r="U316" s="1" t="s">
        <v>132</v>
      </c>
      <c r="V316" s="1" t="s">
        <v>132</v>
      </c>
      <c r="W316" s="1" t="s">
        <v>132</v>
      </c>
      <c r="X316" s="1" t="s">
        <v>132</v>
      </c>
      <c r="Y316" s="1" t="s">
        <v>132</v>
      </c>
      <c r="Z316" s="1" t="s">
        <v>132</v>
      </c>
      <c r="AA316" s="1" t="s">
        <v>132</v>
      </c>
      <c r="AB316" s="1" t="s">
        <v>132</v>
      </c>
      <c r="AC316" s="1" t="s">
        <v>132</v>
      </c>
      <c r="AD316" s="1" t="s">
        <v>132</v>
      </c>
      <c r="AE316" s="1" t="s">
        <v>132</v>
      </c>
      <c r="AF316" s="1" t="s">
        <v>132</v>
      </c>
      <c r="AG316" s="1" t="s">
        <v>132</v>
      </c>
      <c r="AH316" s="1" t="s">
        <v>132</v>
      </c>
      <c r="AI316" s="1" t="s">
        <v>132</v>
      </c>
      <c r="AJ316" s="1" t="s">
        <v>132</v>
      </c>
      <c r="AK316" s="1" t="s">
        <v>132</v>
      </c>
      <c r="AL316" s="1" t="s">
        <v>132</v>
      </c>
      <c r="AM316" s="1" t="s">
        <v>132</v>
      </c>
      <c r="AN316" s="1" t="s">
        <v>132</v>
      </c>
    </row>
    <row r="317" ht="15.75" customHeight="1">
      <c r="A317" s="1" t="s">
        <v>38</v>
      </c>
      <c r="B317" s="1" t="s">
        <v>6670</v>
      </c>
      <c r="C317" s="1" t="s">
        <v>6671</v>
      </c>
      <c r="D317" s="1" t="s">
        <v>132</v>
      </c>
      <c r="E317" s="1" t="s">
        <v>132</v>
      </c>
      <c r="F317" s="1" t="s">
        <v>132</v>
      </c>
      <c r="G317" s="1" t="s">
        <v>132</v>
      </c>
      <c r="H317" s="1" t="s">
        <v>132</v>
      </c>
      <c r="I317" s="1" t="s">
        <v>6672</v>
      </c>
      <c r="J317" s="1" t="s">
        <v>132</v>
      </c>
      <c r="K317" s="1" t="s">
        <v>6673</v>
      </c>
      <c r="L317" s="1" t="s">
        <v>132</v>
      </c>
      <c r="M317" s="1" t="s">
        <v>6671</v>
      </c>
      <c r="N317" s="1" t="s">
        <v>132</v>
      </c>
      <c r="O317" s="1" t="s">
        <v>132</v>
      </c>
      <c r="P317" s="1" t="s">
        <v>6671</v>
      </c>
      <c r="Q317" s="1" t="s">
        <v>132</v>
      </c>
      <c r="R317" s="1" t="s">
        <v>132</v>
      </c>
      <c r="S317" s="1" t="s">
        <v>132</v>
      </c>
      <c r="T317" s="1" t="s">
        <v>132</v>
      </c>
      <c r="U317" s="1" t="s">
        <v>132</v>
      </c>
      <c r="V317" s="1" t="s">
        <v>132</v>
      </c>
      <c r="W317" s="1" t="s">
        <v>132</v>
      </c>
      <c r="X317" s="1" t="s">
        <v>132</v>
      </c>
      <c r="Y317" s="1" t="s">
        <v>132</v>
      </c>
      <c r="Z317" s="1" t="s">
        <v>132</v>
      </c>
      <c r="AA317" s="1" t="s">
        <v>132</v>
      </c>
      <c r="AB317" s="1" t="s">
        <v>132</v>
      </c>
      <c r="AC317" s="1" t="s">
        <v>6674</v>
      </c>
      <c r="AD317" s="1" t="s">
        <v>132</v>
      </c>
      <c r="AE317" s="1" t="s">
        <v>132</v>
      </c>
      <c r="AF317" s="1" t="s">
        <v>6675</v>
      </c>
      <c r="AG317" s="1" t="s">
        <v>132</v>
      </c>
      <c r="AH317" s="1" t="s">
        <v>132</v>
      </c>
      <c r="AI317" s="1" t="s">
        <v>132</v>
      </c>
      <c r="AJ317" s="1" t="s">
        <v>132</v>
      </c>
      <c r="AK317" s="1" t="s">
        <v>132</v>
      </c>
      <c r="AL317" s="1" t="s">
        <v>132</v>
      </c>
      <c r="AM317" s="1" t="s">
        <v>132</v>
      </c>
      <c r="AN317" s="1" t="s">
        <v>132</v>
      </c>
    </row>
    <row r="318" ht="15.75" customHeight="1">
      <c r="A318" s="1" t="s">
        <v>127</v>
      </c>
      <c r="B318" s="1" t="s">
        <v>6676</v>
      </c>
      <c r="C318" s="1" t="s">
        <v>1928</v>
      </c>
      <c r="D318" s="8" t="s">
        <v>6677</v>
      </c>
      <c r="E318" s="1" t="s">
        <v>6678</v>
      </c>
      <c r="F318" s="1" t="s">
        <v>132</v>
      </c>
      <c r="G318" s="1" t="s">
        <v>6679</v>
      </c>
      <c r="H318" s="1" t="s">
        <v>6680</v>
      </c>
      <c r="I318" s="1" t="s">
        <v>1928</v>
      </c>
      <c r="J318" s="1" t="s">
        <v>6681</v>
      </c>
      <c r="K318" s="1" t="s">
        <v>6682</v>
      </c>
      <c r="L318" s="1" t="s">
        <v>6683</v>
      </c>
      <c r="M318" s="1" t="s">
        <v>6684</v>
      </c>
      <c r="N318" s="1" t="s">
        <v>132</v>
      </c>
      <c r="O318" s="1" t="s">
        <v>6685</v>
      </c>
      <c r="P318" s="1" t="s">
        <v>6686</v>
      </c>
      <c r="Q318" s="1" t="s">
        <v>132</v>
      </c>
      <c r="R318" s="1" t="s">
        <v>6687</v>
      </c>
      <c r="S318" s="1" t="s">
        <v>6688</v>
      </c>
      <c r="T318" s="8" t="s">
        <v>6689</v>
      </c>
      <c r="U318" s="1" t="s">
        <v>6690</v>
      </c>
      <c r="V318" s="1" t="s">
        <v>6691</v>
      </c>
      <c r="W318" s="1" t="s">
        <v>6692</v>
      </c>
      <c r="X318" s="1" t="s">
        <v>1928</v>
      </c>
      <c r="Y318" s="1" t="s">
        <v>3467</v>
      </c>
      <c r="Z318" s="1" t="s">
        <v>6693</v>
      </c>
      <c r="AA318" s="1" t="s">
        <v>6694</v>
      </c>
      <c r="AB318" s="1" t="s">
        <v>6695</v>
      </c>
      <c r="AC318" s="1" t="s">
        <v>6696</v>
      </c>
      <c r="AD318" s="1" t="s">
        <v>6697</v>
      </c>
      <c r="AE318" s="1" t="s">
        <v>6698</v>
      </c>
      <c r="AF318" s="1" t="s">
        <v>6698</v>
      </c>
      <c r="AG318" s="1" t="s">
        <v>6699</v>
      </c>
      <c r="AH318" s="1" t="s">
        <v>6700</v>
      </c>
      <c r="AI318" s="1" t="s">
        <v>6701</v>
      </c>
      <c r="AJ318" s="1" t="s">
        <v>132</v>
      </c>
      <c r="AK318" s="1" t="s">
        <v>6702</v>
      </c>
      <c r="AL318" s="1" t="s">
        <v>6703</v>
      </c>
      <c r="AM318" s="1" t="s">
        <v>132</v>
      </c>
      <c r="AN318" s="1" t="s">
        <v>132</v>
      </c>
    </row>
    <row r="319" ht="15.75" customHeight="1">
      <c r="A319" s="1" t="s">
        <v>127</v>
      </c>
      <c r="B319" s="1" t="s">
        <v>6704</v>
      </c>
      <c r="C319" s="1" t="s">
        <v>6705</v>
      </c>
      <c r="D319" s="8" t="s">
        <v>6706</v>
      </c>
      <c r="E319" s="1" t="s">
        <v>6707</v>
      </c>
      <c r="F319" s="1" t="s">
        <v>132</v>
      </c>
      <c r="G319" s="1" t="s">
        <v>6708</v>
      </c>
      <c r="H319" s="1" t="s">
        <v>6709</v>
      </c>
      <c r="I319" s="1" t="s">
        <v>6710</v>
      </c>
      <c r="J319" s="1" t="s">
        <v>6711</v>
      </c>
      <c r="K319" s="1" t="s">
        <v>6712</v>
      </c>
      <c r="L319" s="1" t="s">
        <v>6713</v>
      </c>
      <c r="M319" s="1" t="s">
        <v>6714</v>
      </c>
      <c r="N319" s="1" t="s">
        <v>132</v>
      </c>
      <c r="O319" s="1" t="s">
        <v>6715</v>
      </c>
      <c r="P319" s="1" t="s">
        <v>6716</v>
      </c>
      <c r="Q319" s="1" t="s">
        <v>132</v>
      </c>
      <c r="R319" s="1" t="s">
        <v>6717</v>
      </c>
      <c r="S319" s="1" t="s">
        <v>6718</v>
      </c>
      <c r="T319" s="8" t="s">
        <v>6719</v>
      </c>
      <c r="U319" s="1" t="s">
        <v>6720</v>
      </c>
      <c r="V319" s="1" t="s">
        <v>6721</v>
      </c>
      <c r="W319" s="1" t="s">
        <v>6717</v>
      </c>
      <c r="X319" s="1" t="s">
        <v>6722</v>
      </c>
      <c r="Y319" s="1" t="s">
        <v>6723</v>
      </c>
      <c r="Z319" s="1" t="s">
        <v>6724</v>
      </c>
      <c r="AA319" s="1" t="s">
        <v>6725</v>
      </c>
      <c r="AB319" s="1" t="s">
        <v>6726</v>
      </c>
      <c r="AC319" s="1" t="s">
        <v>6727</v>
      </c>
      <c r="AD319" s="1" t="s">
        <v>6728</v>
      </c>
      <c r="AE319" s="1" t="s">
        <v>6729</v>
      </c>
      <c r="AF319" s="1" t="s">
        <v>6730</v>
      </c>
      <c r="AG319" s="1" t="s">
        <v>6731</v>
      </c>
      <c r="AH319" s="1" t="s">
        <v>6732</v>
      </c>
      <c r="AI319" s="1" t="s">
        <v>6733</v>
      </c>
      <c r="AJ319" s="1" t="s">
        <v>132</v>
      </c>
      <c r="AK319" s="1" t="s">
        <v>6734</v>
      </c>
      <c r="AL319" s="1" t="s">
        <v>6735</v>
      </c>
      <c r="AM319" s="1" t="s">
        <v>132</v>
      </c>
      <c r="AN319" s="1" t="s">
        <v>132</v>
      </c>
    </row>
    <row r="320" ht="15.75" customHeight="1">
      <c r="A320" s="1" t="s">
        <v>38</v>
      </c>
      <c r="B320" s="1" t="s">
        <v>6736</v>
      </c>
      <c r="C320" s="1" t="s">
        <v>6737</v>
      </c>
      <c r="D320" s="8" t="s">
        <v>6738</v>
      </c>
      <c r="E320" s="1" t="s">
        <v>6739</v>
      </c>
      <c r="F320" s="1" t="s">
        <v>6740</v>
      </c>
      <c r="G320" s="1" t="s">
        <v>132</v>
      </c>
      <c r="H320" s="1" t="s">
        <v>132</v>
      </c>
      <c r="I320" s="1" t="s">
        <v>6741</v>
      </c>
      <c r="J320" s="1" t="s">
        <v>132</v>
      </c>
      <c r="K320" s="1" t="s">
        <v>6737</v>
      </c>
      <c r="L320" s="1" t="s">
        <v>132</v>
      </c>
      <c r="M320" s="1" t="s">
        <v>6742</v>
      </c>
      <c r="N320" s="1" t="s">
        <v>6743</v>
      </c>
      <c r="O320" s="1" t="s">
        <v>132</v>
      </c>
      <c r="P320" s="1" t="s">
        <v>6744</v>
      </c>
      <c r="Q320" s="1" t="s">
        <v>132</v>
      </c>
      <c r="R320" s="1" t="s">
        <v>132</v>
      </c>
      <c r="S320" s="1" t="s">
        <v>6745</v>
      </c>
      <c r="T320" s="1" t="s">
        <v>132</v>
      </c>
      <c r="U320" s="1" t="s">
        <v>6746</v>
      </c>
      <c r="V320" s="1" t="s">
        <v>6747</v>
      </c>
      <c r="W320" s="1" t="s">
        <v>132</v>
      </c>
      <c r="X320" s="1" t="s">
        <v>6748</v>
      </c>
      <c r="Y320" s="1" t="s">
        <v>132</v>
      </c>
      <c r="Z320" s="1" t="s">
        <v>6749</v>
      </c>
      <c r="AA320" s="1" t="s">
        <v>6750</v>
      </c>
      <c r="AB320" s="1" t="s">
        <v>132</v>
      </c>
      <c r="AC320" s="1" t="s">
        <v>6751</v>
      </c>
      <c r="AD320" s="1" t="s">
        <v>132</v>
      </c>
      <c r="AE320" s="1" t="s">
        <v>132</v>
      </c>
      <c r="AF320" s="1" t="s">
        <v>6752</v>
      </c>
      <c r="AG320" s="1" t="s">
        <v>6753</v>
      </c>
      <c r="AH320" s="1" t="s">
        <v>132</v>
      </c>
      <c r="AI320" s="1" t="s">
        <v>132</v>
      </c>
      <c r="AJ320" s="1" t="s">
        <v>6754</v>
      </c>
      <c r="AK320" s="1" t="s">
        <v>6755</v>
      </c>
      <c r="AL320" s="1" t="s">
        <v>132</v>
      </c>
      <c r="AM320" s="1" t="s">
        <v>6756</v>
      </c>
      <c r="AN320" s="1" t="s">
        <v>6756</v>
      </c>
    </row>
    <row r="321" ht="15.75" customHeight="1">
      <c r="A321" s="1" t="s">
        <v>127</v>
      </c>
      <c r="B321" s="1" t="s">
        <v>6757</v>
      </c>
      <c r="C321" s="1" t="s">
        <v>6758</v>
      </c>
      <c r="D321" s="8" t="s">
        <v>6759</v>
      </c>
      <c r="E321" s="1" t="s">
        <v>6760</v>
      </c>
      <c r="F321" s="1" t="s">
        <v>132</v>
      </c>
      <c r="G321" s="1" t="s">
        <v>6761</v>
      </c>
      <c r="H321" s="1" t="s">
        <v>6762</v>
      </c>
      <c r="I321" s="1" t="s">
        <v>6763</v>
      </c>
      <c r="J321" s="1" t="s">
        <v>6764</v>
      </c>
      <c r="K321" s="1" t="s">
        <v>6765</v>
      </c>
      <c r="L321" s="1" t="s">
        <v>6766</v>
      </c>
      <c r="M321" s="1" t="s">
        <v>6767</v>
      </c>
      <c r="N321" s="1" t="s">
        <v>132</v>
      </c>
      <c r="O321" s="1" t="s">
        <v>6768</v>
      </c>
      <c r="P321" s="1" t="s">
        <v>6769</v>
      </c>
      <c r="Q321" s="1" t="s">
        <v>132</v>
      </c>
      <c r="R321" s="1" t="s">
        <v>6770</v>
      </c>
      <c r="S321" s="1" t="s">
        <v>6771</v>
      </c>
      <c r="T321" s="8" t="s">
        <v>6772</v>
      </c>
      <c r="U321" s="1" t="s">
        <v>6773</v>
      </c>
      <c r="V321" s="1" t="s">
        <v>6774</v>
      </c>
      <c r="W321" s="1" t="s">
        <v>6775</v>
      </c>
      <c r="X321" s="1" t="s">
        <v>6776</v>
      </c>
      <c r="Y321" s="1" t="s">
        <v>6777</v>
      </c>
      <c r="Z321" s="1" t="s">
        <v>6778</v>
      </c>
      <c r="AA321" s="1" t="s">
        <v>6779</v>
      </c>
      <c r="AB321" s="1" t="s">
        <v>6780</v>
      </c>
      <c r="AC321" s="1" t="s">
        <v>6781</v>
      </c>
      <c r="AD321" s="1" t="s">
        <v>6782</v>
      </c>
      <c r="AE321" s="1" t="s">
        <v>6783</v>
      </c>
      <c r="AF321" s="1" t="s">
        <v>6784</v>
      </c>
      <c r="AG321" s="1" t="s">
        <v>6785</v>
      </c>
      <c r="AH321" s="1" t="s">
        <v>6786</v>
      </c>
      <c r="AI321" s="1" t="s">
        <v>6787</v>
      </c>
      <c r="AJ321" s="1" t="s">
        <v>132</v>
      </c>
      <c r="AK321" s="1" t="s">
        <v>6788</v>
      </c>
      <c r="AL321" s="1" t="s">
        <v>6789</v>
      </c>
      <c r="AM321" s="1" t="s">
        <v>132</v>
      </c>
      <c r="AN321" s="1" t="s">
        <v>132</v>
      </c>
    </row>
    <row r="322" ht="15.75" customHeight="1">
      <c r="A322" s="1" t="s">
        <v>38</v>
      </c>
      <c r="B322" s="1" t="s">
        <v>6790</v>
      </c>
      <c r="C322" s="1" t="s">
        <v>6791</v>
      </c>
      <c r="D322" s="8" t="s">
        <v>6792</v>
      </c>
      <c r="E322" s="1" t="s">
        <v>6793</v>
      </c>
      <c r="F322" s="1" t="s">
        <v>6794</v>
      </c>
      <c r="G322" s="1" t="s">
        <v>132</v>
      </c>
      <c r="H322" s="1" t="s">
        <v>132</v>
      </c>
      <c r="I322" s="1" t="s">
        <v>6795</v>
      </c>
      <c r="J322" s="1" t="s">
        <v>132</v>
      </c>
      <c r="K322" s="1" t="s">
        <v>6796</v>
      </c>
      <c r="L322" s="1" t="s">
        <v>132</v>
      </c>
      <c r="M322" s="1" t="s">
        <v>6797</v>
      </c>
      <c r="N322" s="1" t="s">
        <v>6798</v>
      </c>
      <c r="O322" s="1" t="s">
        <v>132</v>
      </c>
      <c r="P322" s="1" t="s">
        <v>6799</v>
      </c>
      <c r="Q322" s="1" t="s">
        <v>132</v>
      </c>
      <c r="R322" s="1" t="s">
        <v>132</v>
      </c>
      <c r="S322" s="1" t="s">
        <v>6800</v>
      </c>
      <c r="T322" s="1" t="s">
        <v>132</v>
      </c>
      <c r="U322" s="1" t="s">
        <v>6801</v>
      </c>
      <c r="V322" s="1" t="s">
        <v>132</v>
      </c>
      <c r="W322" s="1" t="s">
        <v>132</v>
      </c>
      <c r="X322" s="1" t="s">
        <v>6802</v>
      </c>
      <c r="Y322" s="1" t="s">
        <v>132</v>
      </c>
      <c r="Z322" s="1" t="s">
        <v>6803</v>
      </c>
      <c r="AA322" s="1" t="s">
        <v>6804</v>
      </c>
      <c r="AB322" s="1" t="s">
        <v>132</v>
      </c>
      <c r="AC322" s="1" t="s">
        <v>6805</v>
      </c>
      <c r="AD322" s="1" t="s">
        <v>132</v>
      </c>
      <c r="AE322" s="1" t="s">
        <v>132</v>
      </c>
      <c r="AF322" s="1" t="s">
        <v>6806</v>
      </c>
      <c r="AG322" s="1" t="s">
        <v>132</v>
      </c>
      <c r="AH322" s="1" t="s">
        <v>132</v>
      </c>
      <c r="AI322" s="1" t="s">
        <v>132</v>
      </c>
      <c r="AJ322" s="1" t="s">
        <v>132</v>
      </c>
      <c r="AK322" s="1" t="s">
        <v>132</v>
      </c>
      <c r="AL322" s="1" t="s">
        <v>132</v>
      </c>
      <c r="AM322" s="1" t="s">
        <v>132</v>
      </c>
      <c r="AN322" s="1" t="s">
        <v>132</v>
      </c>
    </row>
    <row r="323" ht="15.75" customHeight="1">
      <c r="A323" s="1" t="s">
        <v>127</v>
      </c>
      <c r="B323" s="1" t="s">
        <v>6807</v>
      </c>
      <c r="C323" s="1" t="s">
        <v>6808</v>
      </c>
      <c r="D323" s="8" t="s">
        <v>6809</v>
      </c>
      <c r="E323" s="1" t="s">
        <v>6810</v>
      </c>
      <c r="F323" s="1" t="s">
        <v>132</v>
      </c>
      <c r="G323" s="1" t="s">
        <v>6808</v>
      </c>
      <c r="H323" s="1" t="s">
        <v>6808</v>
      </c>
      <c r="I323" s="1" t="s">
        <v>6808</v>
      </c>
      <c r="J323" s="1" t="s">
        <v>6811</v>
      </c>
      <c r="K323" s="1" t="s">
        <v>6812</v>
      </c>
      <c r="L323" s="1" t="s">
        <v>6808</v>
      </c>
      <c r="M323" s="1" t="s">
        <v>6808</v>
      </c>
      <c r="N323" s="1" t="s">
        <v>132</v>
      </c>
      <c r="O323" s="1" t="s">
        <v>6813</v>
      </c>
      <c r="P323" s="1" t="s">
        <v>6814</v>
      </c>
      <c r="Q323" s="1" t="s">
        <v>132</v>
      </c>
      <c r="R323" s="1" t="s">
        <v>6808</v>
      </c>
      <c r="S323" s="1" t="s">
        <v>6815</v>
      </c>
      <c r="T323" s="8" t="s">
        <v>6816</v>
      </c>
      <c r="U323" s="1" t="s">
        <v>6817</v>
      </c>
      <c r="V323" s="1" t="s">
        <v>6818</v>
      </c>
      <c r="W323" s="1" t="s">
        <v>6808</v>
      </c>
      <c r="X323" s="1" t="s">
        <v>6808</v>
      </c>
      <c r="Y323" s="1" t="s">
        <v>6808</v>
      </c>
      <c r="Z323" s="1" t="s">
        <v>6819</v>
      </c>
      <c r="AA323" s="1" t="s">
        <v>6820</v>
      </c>
      <c r="AB323" s="1" t="s">
        <v>6821</v>
      </c>
      <c r="AC323" s="1" t="s">
        <v>6822</v>
      </c>
      <c r="AD323" s="1" t="s">
        <v>6823</v>
      </c>
      <c r="AE323" s="1" t="s">
        <v>6824</v>
      </c>
      <c r="AF323" s="1" t="s">
        <v>6825</v>
      </c>
      <c r="AG323" s="1" t="s">
        <v>6808</v>
      </c>
      <c r="AH323" s="1" t="s">
        <v>6826</v>
      </c>
      <c r="AI323" s="1" t="s">
        <v>6827</v>
      </c>
      <c r="AJ323" s="1" t="s">
        <v>132</v>
      </c>
      <c r="AK323" s="1" t="s">
        <v>6828</v>
      </c>
      <c r="AL323" s="1" t="s">
        <v>6829</v>
      </c>
      <c r="AM323" s="1" t="s">
        <v>6830</v>
      </c>
      <c r="AN323" s="1" t="s">
        <v>6830</v>
      </c>
    </row>
    <row r="324" ht="15.75" customHeight="1">
      <c r="A324" s="1" t="s">
        <v>127</v>
      </c>
      <c r="B324" s="1" t="s">
        <v>6831</v>
      </c>
      <c r="C324" s="1" t="s">
        <v>6832</v>
      </c>
      <c r="D324" s="8" t="s">
        <v>6833</v>
      </c>
      <c r="E324" s="1" t="s">
        <v>6834</v>
      </c>
      <c r="F324" s="1" t="s">
        <v>132</v>
      </c>
      <c r="G324" s="1" t="s">
        <v>6835</v>
      </c>
      <c r="H324" s="1" t="s">
        <v>6836</v>
      </c>
      <c r="I324" s="1" t="s">
        <v>6837</v>
      </c>
      <c r="J324" s="1" t="s">
        <v>6838</v>
      </c>
      <c r="K324" s="1" t="s">
        <v>6839</v>
      </c>
      <c r="L324" s="1" t="s">
        <v>6840</v>
      </c>
      <c r="M324" s="1" t="s">
        <v>6841</v>
      </c>
      <c r="N324" s="1" t="s">
        <v>132</v>
      </c>
      <c r="O324" s="1" t="s">
        <v>6842</v>
      </c>
      <c r="P324" s="1" t="s">
        <v>6832</v>
      </c>
      <c r="Q324" s="1" t="s">
        <v>132</v>
      </c>
      <c r="R324" s="1" t="s">
        <v>6843</v>
      </c>
      <c r="S324" s="1" t="s">
        <v>6844</v>
      </c>
      <c r="T324" s="8" t="s">
        <v>6845</v>
      </c>
      <c r="U324" s="1" t="s">
        <v>6846</v>
      </c>
      <c r="V324" s="1" t="s">
        <v>6847</v>
      </c>
      <c r="W324" s="1" t="s">
        <v>6848</v>
      </c>
      <c r="X324" s="1" t="s">
        <v>6849</v>
      </c>
      <c r="Y324" s="1" t="s">
        <v>6850</v>
      </c>
      <c r="Z324" s="1" t="s">
        <v>6851</v>
      </c>
      <c r="AA324" s="1" t="s">
        <v>6852</v>
      </c>
      <c r="AB324" s="1" t="s">
        <v>6853</v>
      </c>
      <c r="AC324" s="1" t="s">
        <v>6854</v>
      </c>
      <c r="AD324" s="1" t="s">
        <v>6855</v>
      </c>
      <c r="AE324" s="1" t="s">
        <v>6856</v>
      </c>
      <c r="AF324" s="1" t="s">
        <v>6857</v>
      </c>
      <c r="AG324" s="1" t="s">
        <v>6858</v>
      </c>
      <c r="AH324" s="1" t="s">
        <v>6859</v>
      </c>
      <c r="AI324" s="1" t="s">
        <v>6860</v>
      </c>
      <c r="AJ324" s="1" t="s">
        <v>132</v>
      </c>
      <c r="AK324" s="1" t="s">
        <v>6861</v>
      </c>
      <c r="AL324" s="1" t="s">
        <v>6862</v>
      </c>
      <c r="AM324" s="1" t="s">
        <v>6863</v>
      </c>
      <c r="AN324" s="1" t="s">
        <v>6863</v>
      </c>
    </row>
    <row r="325" ht="15.75" customHeight="1">
      <c r="A325" s="1" t="s">
        <v>127</v>
      </c>
      <c r="B325" s="1" t="s">
        <v>6864</v>
      </c>
      <c r="C325" s="1" t="s">
        <v>5199</v>
      </c>
      <c r="D325" s="8" t="s">
        <v>6865</v>
      </c>
      <c r="E325" s="1" t="s">
        <v>5200</v>
      </c>
      <c r="F325" s="1" t="s">
        <v>132</v>
      </c>
      <c r="G325" s="1" t="s">
        <v>6866</v>
      </c>
      <c r="H325" s="1" t="s">
        <v>6867</v>
      </c>
      <c r="I325" s="1" t="s">
        <v>6868</v>
      </c>
      <c r="J325" s="1" t="s">
        <v>6869</v>
      </c>
      <c r="K325" s="1" t="s">
        <v>5201</v>
      </c>
      <c r="L325" s="1" t="s">
        <v>6870</v>
      </c>
      <c r="M325" s="1" t="s">
        <v>5204</v>
      </c>
      <c r="N325" s="1" t="s">
        <v>132</v>
      </c>
      <c r="O325" s="1" t="s">
        <v>6871</v>
      </c>
      <c r="P325" s="1" t="s">
        <v>6872</v>
      </c>
      <c r="Q325" s="1" t="s">
        <v>132</v>
      </c>
      <c r="R325" s="1" t="s">
        <v>6873</v>
      </c>
      <c r="S325" s="1" t="s">
        <v>6874</v>
      </c>
      <c r="T325" s="8" t="s">
        <v>3826</v>
      </c>
      <c r="U325" s="1" t="s">
        <v>6875</v>
      </c>
      <c r="V325" s="1" t="s">
        <v>6876</v>
      </c>
      <c r="W325" s="1" t="s">
        <v>6877</v>
      </c>
      <c r="X325" s="1" t="s">
        <v>43211</v>
      </c>
      <c r="Y325" s="1" t="s">
        <v>6867</v>
      </c>
      <c r="Z325" s="1" t="s">
        <v>5209</v>
      </c>
      <c r="AA325" s="1" t="s">
        <v>5210</v>
      </c>
      <c r="AB325" s="1" t="s">
        <v>6878</v>
      </c>
      <c r="AC325" s="1" t="s">
        <v>6879</v>
      </c>
      <c r="AD325" s="1" t="s">
        <v>6880</v>
      </c>
      <c r="AE325" s="1" t="s">
        <v>6881</v>
      </c>
      <c r="AF325" s="1" t="s">
        <v>6882</v>
      </c>
      <c r="AG325" s="1" t="s">
        <v>6883</v>
      </c>
      <c r="AH325" s="1" t="s">
        <v>6884</v>
      </c>
      <c r="AI325" s="1" t="s">
        <v>6885</v>
      </c>
      <c r="AJ325" s="1" t="s">
        <v>132</v>
      </c>
      <c r="AK325" s="1" t="s">
        <v>6886</v>
      </c>
      <c r="AL325" s="1" t="s">
        <v>6887</v>
      </c>
      <c r="AM325" s="1" t="s">
        <v>6888</v>
      </c>
      <c r="AN325" s="1" t="s">
        <v>6888</v>
      </c>
    </row>
    <row r="326" ht="15.75" customHeight="1">
      <c r="A326" s="1" t="s">
        <v>127</v>
      </c>
      <c r="B326" s="1" t="s">
        <v>6889</v>
      </c>
      <c r="C326" s="1" t="s">
        <v>6890</v>
      </c>
      <c r="D326" s="8" t="s">
        <v>6891</v>
      </c>
      <c r="E326" s="1" t="s">
        <v>6892</v>
      </c>
      <c r="F326" s="1" t="s">
        <v>132</v>
      </c>
      <c r="G326" s="1" t="s">
        <v>6893</v>
      </c>
      <c r="H326" s="1" t="s">
        <v>6894</v>
      </c>
      <c r="I326" s="1" t="s">
        <v>6895</v>
      </c>
      <c r="J326" s="1" t="s">
        <v>6896</v>
      </c>
      <c r="K326" s="1" t="s">
        <v>6897</v>
      </c>
      <c r="L326" s="1" t="s">
        <v>6898</v>
      </c>
      <c r="M326" s="1" t="s">
        <v>6899</v>
      </c>
      <c r="N326" s="1" t="s">
        <v>132</v>
      </c>
      <c r="O326" s="1" t="s">
        <v>6900</v>
      </c>
      <c r="P326" s="1" t="s">
        <v>6901</v>
      </c>
      <c r="Q326" s="1" t="s">
        <v>132</v>
      </c>
      <c r="R326" s="1" t="s">
        <v>6902</v>
      </c>
      <c r="S326" s="1" t="s">
        <v>6903</v>
      </c>
      <c r="T326" s="8" t="s">
        <v>6904</v>
      </c>
      <c r="U326" s="1" t="s">
        <v>6905</v>
      </c>
      <c r="V326" s="1" t="s">
        <v>6906</v>
      </c>
      <c r="W326" s="1" t="s">
        <v>6907</v>
      </c>
      <c r="X326" s="1" t="s">
        <v>6908</v>
      </c>
      <c r="Y326" s="1" t="s">
        <v>6909</v>
      </c>
      <c r="Z326" s="1" t="s">
        <v>6910</v>
      </c>
      <c r="AA326" s="1" t="s">
        <v>6911</v>
      </c>
      <c r="AB326" s="1" t="s">
        <v>6912</v>
      </c>
      <c r="AC326" s="1" t="s">
        <v>6913</v>
      </c>
      <c r="AD326" s="1" t="s">
        <v>6914</v>
      </c>
      <c r="AE326" s="1" t="s">
        <v>6915</v>
      </c>
      <c r="AF326" s="1" t="s">
        <v>6916</v>
      </c>
      <c r="AG326" s="1" t="s">
        <v>6917</v>
      </c>
      <c r="AH326" s="1" t="s">
        <v>6918</v>
      </c>
      <c r="AI326" s="1" t="s">
        <v>6919</v>
      </c>
      <c r="AJ326" s="1" t="s">
        <v>132</v>
      </c>
      <c r="AK326" s="1" t="s">
        <v>6920</v>
      </c>
      <c r="AL326" s="1" t="s">
        <v>6921</v>
      </c>
      <c r="AM326" s="1" t="s">
        <v>6922</v>
      </c>
      <c r="AN326" s="1" t="s">
        <v>6922</v>
      </c>
    </row>
    <row r="327" ht="15.75" customHeight="1">
      <c r="A327" s="1" t="s">
        <v>127</v>
      </c>
      <c r="B327" s="1" t="s">
        <v>6923</v>
      </c>
      <c r="C327" s="1" t="s">
        <v>6924</v>
      </c>
      <c r="D327" s="8" t="s">
        <v>6925</v>
      </c>
      <c r="E327" s="1" t="s">
        <v>6926</v>
      </c>
      <c r="F327" s="1" t="s">
        <v>132</v>
      </c>
      <c r="G327" s="1" t="s">
        <v>6927</v>
      </c>
      <c r="H327" s="1" t="s">
        <v>6928</v>
      </c>
      <c r="I327" s="1" t="s">
        <v>6929</v>
      </c>
      <c r="J327" s="1" t="s">
        <v>6930</v>
      </c>
      <c r="K327" s="1" t="s">
        <v>6931</v>
      </c>
      <c r="L327" s="1" t="s">
        <v>6932</v>
      </c>
      <c r="M327" s="1" t="s">
        <v>6933</v>
      </c>
      <c r="N327" s="1" t="s">
        <v>132</v>
      </c>
      <c r="O327" s="1" t="s">
        <v>6934</v>
      </c>
      <c r="P327" s="1" t="s">
        <v>6935</v>
      </c>
      <c r="Q327" s="1" t="s">
        <v>132</v>
      </c>
      <c r="R327" s="1" t="s">
        <v>6936</v>
      </c>
      <c r="S327" s="1" t="s">
        <v>6937</v>
      </c>
      <c r="T327" s="8" t="s">
        <v>6938</v>
      </c>
      <c r="U327" s="1" t="s">
        <v>6939</v>
      </c>
      <c r="V327" s="1" t="s">
        <v>6940</v>
      </c>
      <c r="W327" s="1" t="s">
        <v>6941</v>
      </c>
      <c r="X327" s="1" t="s">
        <v>6942</v>
      </c>
      <c r="Y327" s="1" t="s">
        <v>6943</v>
      </c>
      <c r="Z327" s="1" t="s">
        <v>6944</v>
      </c>
      <c r="AA327" s="1" t="s">
        <v>6945</v>
      </c>
      <c r="AB327" s="1" t="s">
        <v>6946</v>
      </c>
      <c r="AC327" s="1" t="s">
        <v>6947</v>
      </c>
      <c r="AD327" s="1" t="s">
        <v>6948</v>
      </c>
      <c r="AE327" s="1" t="s">
        <v>6949</v>
      </c>
      <c r="AF327" s="1" t="s">
        <v>6950</v>
      </c>
      <c r="AG327" s="1" t="s">
        <v>6951</v>
      </c>
      <c r="AH327" s="1" t="s">
        <v>6952</v>
      </c>
      <c r="AI327" s="1" t="s">
        <v>6953</v>
      </c>
      <c r="AJ327" s="1" t="s">
        <v>132</v>
      </c>
      <c r="AK327" s="1" t="s">
        <v>6954</v>
      </c>
      <c r="AL327" s="1" t="s">
        <v>6955</v>
      </c>
      <c r="AM327" s="1" t="s">
        <v>6956</v>
      </c>
      <c r="AN327" s="1" t="s">
        <v>6956</v>
      </c>
    </row>
    <row r="328" ht="15.75" customHeight="1">
      <c r="A328" s="1" t="s">
        <v>127</v>
      </c>
      <c r="B328" s="1" t="s">
        <v>6957</v>
      </c>
      <c r="C328" s="1" t="s">
        <v>6958</v>
      </c>
      <c r="D328" s="8" t="s">
        <v>6959</v>
      </c>
      <c r="E328" s="1" t="s">
        <v>6960</v>
      </c>
      <c r="F328" s="1" t="s">
        <v>132</v>
      </c>
      <c r="G328" s="1" t="s">
        <v>6961</v>
      </c>
      <c r="H328" s="1" t="s">
        <v>6962</v>
      </c>
      <c r="I328" s="1" t="s">
        <v>6958</v>
      </c>
      <c r="J328" s="1" t="s">
        <v>6958</v>
      </c>
      <c r="K328" s="1" t="s">
        <v>6958</v>
      </c>
      <c r="L328" s="1" t="s">
        <v>6963</v>
      </c>
      <c r="M328" s="1" t="s">
        <v>6964</v>
      </c>
      <c r="N328" s="1" t="s">
        <v>132</v>
      </c>
      <c r="O328" s="1" t="s">
        <v>6965</v>
      </c>
      <c r="P328" s="1" t="s">
        <v>6958</v>
      </c>
      <c r="Q328" s="1" t="s">
        <v>132</v>
      </c>
      <c r="R328" s="1" t="s">
        <v>6966</v>
      </c>
      <c r="S328" s="1" t="s">
        <v>6958</v>
      </c>
      <c r="T328" s="8" t="s">
        <v>6967</v>
      </c>
      <c r="U328" s="1" t="s">
        <v>6968</v>
      </c>
      <c r="V328" s="1" t="s">
        <v>6969</v>
      </c>
      <c r="W328" s="1" t="s">
        <v>6966</v>
      </c>
      <c r="X328" s="1" t="s">
        <v>6958</v>
      </c>
      <c r="Y328" s="1" t="s">
        <v>6970</v>
      </c>
      <c r="Z328" s="1" t="s">
        <v>6958</v>
      </c>
      <c r="AA328" s="1" t="s">
        <v>6971</v>
      </c>
      <c r="AB328" s="1" t="s">
        <v>6972</v>
      </c>
      <c r="AC328" s="1" t="s">
        <v>6973</v>
      </c>
      <c r="AD328" s="1" t="s">
        <v>6974</v>
      </c>
      <c r="AE328" s="1" t="s">
        <v>6975</v>
      </c>
      <c r="AF328" s="1" t="s">
        <v>6958</v>
      </c>
      <c r="AG328" s="1" t="s">
        <v>6976</v>
      </c>
      <c r="AH328" s="1" t="s">
        <v>6958</v>
      </c>
      <c r="AI328" s="1" t="s">
        <v>6977</v>
      </c>
      <c r="AJ328" s="1" t="s">
        <v>132</v>
      </c>
      <c r="AK328" s="1" t="s">
        <v>6978</v>
      </c>
      <c r="AL328" s="1" t="s">
        <v>6979</v>
      </c>
      <c r="AM328" s="1" t="s">
        <v>6980</v>
      </c>
      <c r="AN328" s="1" t="s">
        <v>6980</v>
      </c>
    </row>
    <row r="329" ht="15.75" customHeight="1">
      <c r="A329" s="1" t="s">
        <v>127</v>
      </c>
      <c r="B329" s="1" t="s">
        <v>6981</v>
      </c>
      <c r="C329" s="1" t="s">
        <v>6982</v>
      </c>
      <c r="D329" s="8" t="s">
        <v>6983</v>
      </c>
      <c r="E329" s="1" t="s">
        <v>6984</v>
      </c>
      <c r="F329" s="1" t="s">
        <v>132</v>
      </c>
      <c r="G329" s="1" t="s">
        <v>6985</v>
      </c>
      <c r="H329" s="1" t="s">
        <v>6986</v>
      </c>
      <c r="I329" s="1" t="s">
        <v>6987</v>
      </c>
      <c r="J329" s="1" t="s">
        <v>6988</v>
      </c>
      <c r="K329" s="1" t="s">
        <v>6989</v>
      </c>
      <c r="L329" s="1" t="s">
        <v>6990</v>
      </c>
      <c r="M329" s="1" t="s">
        <v>6991</v>
      </c>
      <c r="N329" s="1" t="s">
        <v>132</v>
      </c>
      <c r="O329" s="1" t="s">
        <v>6992</v>
      </c>
      <c r="P329" s="1" t="s">
        <v>6993</v>
      </c>
      <c r="Q329" s="1" t="s">
        <v>132</v>
      </c>
      <c r="R329" s="1" t="s">
        <v>6994</v>
      </c>
      <c r="S329" s="1" t="s">
        <v>6995</v>
      </c>
      <c r="T329" s="8" t="s">
        <v>6996</v>
      </c>
      <c r="U329" s="1" t="s">
        <v>6997</v>
      </c>
      <c r="V329" s="1" t="s">
        <v>6998</v>
      </c>
      <c r="W329" s="1" t="s">
        <v>6994</v>
      </c>
      <c r="X329" s="1" t="s">
        <v>6999</v>
      </c>
      <c r="Y329" s="1" t="s">
        <v>6986</v>
      </c>
      <c r="Z329" s="1" t="s">
        <v>7000</v>
      </c>
      <c r="AA329" s="1" t="s">
        <v>7001</v>
      </c>
      <c r="AB329" s="1" t="s">
        <v>7002</v>
      </c>
      <c r="AC329" s="1" t="s">
        <v>7003</v>
      </c>
      <c r="AD329" s="1" t="s">
        <v>7004</v>
      </c>
      <c r="AE329" s="1" t="s">
        <v>7005</v>
      </c>
      <c r="AF329" s="1" t="s">
        <v>7005</v>
      </c>
      <c r="AG329" s="1" t="s">
        <v>7006</v>
      </c>
      <c r="AH329" s="1" t="s">
        <v>7007</v>
      </c>
      <c r="AI329" s="1" t="s">
        <v>7008</v>
      </c>
      <c r="AJ329" s="1" t="s">
        <v>132</v>
      </c>
      <c r="AK329" s="1" t="s">
        <v>7009</v>
      </c>
      <c r="AL329" s="1" t="s">
        <v>7010</v>
      </c>
      <c r="AM329" s="1" t="s">
        <v>7011</v>
      </c>
      <c r="AN329" s="1" t="s">
        <v>7011</v>
      </c>
    </row>
    <row r="330" ht="15.75" customHeight="1">
      <c r="A330" s="1" t="s">
        <v>127</v>
      </c>
      <c r="B330" s="1" t="s">
        <v>7012</v>
      </c>
      <c r="C330" s="1" t="s">
        <v>7013</v>
      </c>
      <c r="D330" s="8" t="s">
        <v>7014</v>
      </c>
      <c r="E330" s="1" t="s">
        <v>7015</v>
      </c>
      <c r="F330" s="1" t="s">
        <v>132</v>
      </c>
      <c r="G330" s="1" t="s">
        <v>7016</v>
      </c>
      <c r="H330" s="1" t="s">
        <v>7013</v>
      </c>
      <c r="I330" s="1" t="s">
        <v>7013</v>
      </c>
      <c r="J330" s="1" t="s">
        <v>7013</v>
      </c>
      <c r="K330" s="1" t="s">
        <v>7013</v>
      </c>
      <c r="L330" s="1" t="s">
        <v>7017</v>
      </c>
      <c r="M330" s="1" t="s">
        <v>7013</v>
      </c>
      <c r="N330" s="1" t="s">
        <v>132</v>
      </c>
      <c r="O330" s="1" t="s">
        <v>7018</v>
      </c>
      <c r="P330" s="1" t="s">
        <v>7013</v>
      </c>
      <c r="Q330" s="1" t="s">
        <v>132</v>
      </c>
      <c r="R330" s="1" t="s">
        <v>7019</v>
      </c>
      <c r="S330" s="1" t="s">
        <v>7013</v>
      </c>
      <c r="T330" s="8" t="s">
        <v>7020</v>
      </c>
      <c r="U330" s="1" t="s">
        <v>7021</v>
      </c>
      <c r="V330" s="1" t="s">
        <v>7022</v>
      </c>
      <c r="W330" s="1" t="s">
        <v>7019</v>
      </c>
      <c r="X330" s="1" t="s">
        <v>7013</v>
      </c>
      <c r="Y330" s="1" t="s">
        <v>7013</v>
      </c>
      <c r="Z330" s="1" t="s">
        <v>7023</v>
      </c>
      <c r="AA330" s="1" t="s">
        <v>7013</v>
      </c>
      <c r="AB330" s="1" t="s">
        <v>7024</v>
      </c>
      <c r="AC330" s="1" t="s">
        <v>7025</v>
      </c>
      <c r="AD330" s="1" t="s">
        <v>7026</v>
      </c>
      <c r="AE330" s="1" t="s">
        <v>7027</v>
      </c>
      <c r="AF330" s="1" t="s">
        <v>7013</v>
      </c>
      <c r="AG330" s="1" t="s">
        <v>7028</v>
      </c>
      <c r="AH330" s="1" t="s">
        <v>7029</v>
      </c>
      <c r="AI330" s="1" t="s">
        <v>7030</v>
      </c>
      <c r="AJ330" s="1" t="s">
        <v>132</v>
      </c>
      <c r="AK330" s="1" t="s">
        <v>7031</v>
      </c>
      <c r="AL330" s="1" t="s">
        <v>7032</v>
      </c>
      <c r="AM330" s="1" t="s">
        <v>7033</v>
      </c>
      <c r="AN330" s="1" t="s">
        <v>7033</v>
      </c>
    </row>
    <row r="331" ht="15.75" customHeight="1">
      <c r="A331" s="1" t="s">
        <v>38</v>
      </c>
      <c r="B331" s="1" t="s">
        <v>7034</v>
      </c>
      <c r="C331" s="1" t="s">
        <v>7035</v>
      </c>
      <c r="D331" s="1" t="s">
        <v>132</v>
      </c>
      <c r="E331" s="1" t="s">
        <v>132</v>
      </c>
      <c r="F331" s="1" t="s">
        <v>132</v>
      </c>
      <c r="G331" s="1" t="s">
        <v>132</v>
      </c>
      <c r="H331" s="1" t="s">
        <v>132</v>
      </c>
      <c r="I331" s="1" t="s">
        <v>7035</v>
      </c>
      <c r="J331" s="1" t="s">
        <v>132</v>
      </c>
      <c r="K331" s="1" t="s">
        <v>7036</v>
      </c>
      <c r="L331" s="1" t="s">
        <v>132</v>
      </c>
      <c r="M331" s="1" t="s">
        <v>7035</v>
      </c>
      <c r="N331" s="1" t="s">
        <v>132</v>
      </c>
      <c r="O331" s="1" t="s">
        <v>132</v>
      </c>
      <c r="P331" s="1" t="s">
        <v>7035</v>
      </c>
      <c r="Q331" s="1" t="s">
        <v>132</v>
      </c>
      <c r="R331" s="1" t="s">
        <v>132</v>
      </c>
      <c r="S331" s="1" t="s">
        <v>132</v>
      </c>
      <c r="T331" s="1" t="s">
        <v>132</v>
      </c>
      <c r="U331" s="1" t="s">
        <v>132</v>
      </c>
      <c r="V331" s="1" t="s">
        <v>132</v>
      </c>
      <c r="W331" s="1" t="s">
        <v>132</v>
      </c>
      <c r="X331" s="1" t="s">
        <v>132</v>
      </c>
      <c r="Y331" s="1" t="s">
        <v>132</v>
      </c>
      <c r="Z331" s="1" t="s">
        <v>132</v>
      </c>
      <c r="AA331" s="1" t="s">
        <v>132</v>
      </c>
      <c r="AB331" s="1" t="s">
        <v>132</v>
      </c>
      <c r="AC331" s="1" t="s">
        <v>7037</v>
      </c>
      <c r="AD331" s="1" t="s">
        <v>132</v>
      </c>
      <c r="AE331" s="1" t="s">
        <v>132</v>
      </c>
      <c r="AF331" s="1" t="s">
        <v>7038</v>
      </c>
      <c r="AG331" s="1" t="s">
        <v>132</v>
      </c>
      <c r="AH331" s="1" t="s">
        <v>132</v>
      </c>
      <c r="AI331" s="1" t="s">
        <v>132</v>
      </c>
      <c r="AJ331" s="1" t="s">
        <v>132</v>
      </c>
      <c r="AK331" s="1" t="s">
        <v>132</v>
      </c>
      <c r="AL331" s="1" t="s">
        <v>132</v>
      </c>
      <c r="AM331" s="1" t="s">
        <v>132</v>
      </c>
      <c r="AN331" s="1" t="s">
        <v>132</v>
      </c>
    </row>
    <row r="332" ht="15.75" customHeight="1">
      <c r="A332" s="1" t="s">
        <v>38</v>
      </c>
      <c r="B332" s="1" t="s">
        <v>7039</v>
      </c>
      <c r="C332" s="1" t="s">
        <v>7040</v>
      </c>
      <c r="D332" s="1" t="s">
        <v>132</v>
      </c>
      <c r="E332" s="1" t="s">
        <v>132</v>
      </c>
      <c r="F332" s="1" t="s">
        <v>132</v>
      </c>
      <c r="G332" s="1" t="s">
        <v>132</v>
      </c>
      <c r="H332" s="1" t="s">
        <v>132</v>
      </c>
      <c r="I332" s="1" t="s">
        <v>7041</v>
      </c>
      <c r="J332" s="1" t="s">
        <v>132</v>
      </c>
      <c r="K332" s="1" t="s">
        <v>7040</v>
      </c>
      <c r="L332" s="1" t="s">
        <v>132</v>
      </c>
      <c r="M332" s="1" t="s">
        <v>7042</v>
      </c>
      <c r="N332" s="1" t="s">
        <v>132</v>
      </c>
      <c r="O332" s="1" t="s">
        <v>132</v>
      </c>
      <c r="P332" s="1" t="s">
        <v>7040</v>
      </c>
      <c r="Q332" s="1" t="s">
        <v>132</v>
      </c>
      <c r="R332" s="1" t="s">
        <v>132</v>
      </c>
      <c r="S332" s="1" t="s">
        <v>132</v>
      </c>
      <c r="T332" s="1" t="s">
        <v>132</v>
      </c>
      <c r="U332" s="1" t="s">
        <v>132</v>
      </c>
      <c r="V332" s="1" t="s">
        <v>132</v>
      </c>
      <c r="W332" s="1" t="s">
        <v>132</v>
      </c>
      <c r="X332" s="1" t="s">
        <v>132</v>
      </c>
      <c r="Y332" s="1" t="s">
        <v>132</v>
      </c>
      <c r="Z332" s="1" t="s">
        <v>132</v>
      </c>
      <c r="AA332" s="1" t="s">
        <v>132</v>
      </c>
      <c r="AB332" s="1" t="s">
        <v>132</v>
      </c>
      <c r="AC332" s="1" t="s">
        <v>7043</v>
      </c>
      <c r="AD332" s="1" t="s">
        <v>132</v>
      </c>
      <c r="AE332" s="1" t="s">
        <v>132</v>
      </c>
      <c r="AF332" s="1" t="s">
        <v>7044</v>
      </c>
      <c r="AG332" s="1" t="s">
        <v>132</v>
      </c>
      <c r="AH332" s="1" t="s">
        <v>132</v>
      </c>
      <c r="AI332" s="1" t="s">
        <v>132</v>
      </c>
      <c r="AJ332" s="1" t="s">
        <v>132</v>
      </c>
      <c r="AK332" s="1" t="s">
        <v>132</v>
      </c>
      <c r="AL332" s="1" t="s">
        <v>132</v>
      </c>
      <c r="AM332" s="1" t="s">
        <v>132</v>
      </c>
      <c r="AN332" s="1" t="s">
        <v>132</v>
      </c>
    </row>
    <row r="333" ht="15.75" customHeight="1">
      <c r="A333" s="1" t="s">
        <v>127</v>
      </c>
      <c r="B333" s="1" t="s">
        <v>7045</v>
      </c>
      <c r="C333" s="1" t="s">
        <v>132</v>
      </c>
      <c r="D333" s="8" t="s">
        <v>7046</v>
      </c>
      <c r="E333" s="1" t="s">
        <v>132</v>
      </c>
      <c r="F333" s="1" t="s">
        <v>132</v>
      </c>
      <c r="G333" s="1" t="s">
        <v>132</v>
      </c>
      <c r="H333" s="1" t="s">
        <v>132</v>
      </c>
      <c r="I333" s="1" t="s">
        <v>132</v>
      </c>
      <c r="J333" s="1" t="s">
        <v>132</v>
      </c>
      <c r="K333" s="1" t="s">
        <v>132</v>
      </c>
      <c r="L333" s="1" t="s">
        <v>132</v>
      </c>
      <c r="M333" s="1" t="s">
        <v>132</v>
      </c>
      <c r="N333" s="1" t="s">
        <v>132</v>
      </c>
      <c r="O333" s="1" t="s">
        <v>132</v>
      </c>
      <c r="P333" s="1" t="s">
        <v>132</v>
      </c>
      <c r="Q333" s="1" t="s">
        <v>132</v>
      </c>
      <c r="R333" s="1" t="s">
        <v>132</v>
      </c>
      <c r="S333" s="1" t="s">
        <v>132</v>
      </c>
      <c r="T333" s="1" t="s">
        <v>132</v>
      </c>
      <c r="U333" s="1" t="s">
        <v>132</v>
      </c>
      <c r="V333" s="1" t="s">
        <v>7047</v>
      </c>
      <c r="W333" s="1" t="s">
        <v>132</v>
      </c>
      <c r="X333" s="1" t="s">
        <v>132</v>
      </c>
      <c r="Y333" s="1" t="s">
        <v>132</v>
      </c>
      <c r="Z333" s="1" t="s">
        <v>132</v>
      </c>
      <c r="AA333" s="1" t="s">
        <v>132</v>
      </c>
      <c r="AB333" s="1" t="s">
        <v>132</v>
      </c>
      <c r="AC333" s="1" t="s">
        <v>132</v>
      </c>
      <c r="AD333" s="1" t="s">
        <v>132</v>
      </c>
      <c r="AE333" s="1" t="s">
        <v>132</v>
      </c>
      <c r="AF333" s="1" t="s">
        <v>132</v>
      </c>
      <c r="AG333" s="1" t="s">
        <v>132</v>
      </c>
      <c r="AH333" s="1" t="s">
        <v>132</v>
      </c>
      <c r="AI333" s="1" t="s">
        <v>132</v>
      </c>
      <c r="AJ333" s="1" t="s">
        <v>132</v>
      </c>
      <c r="AK333" s="1" t="s">
        <v>132</v>
      </c>
      <c r="AL333" s="1" t="s">
        <v>132</v>
      </c>
      <c r="AM333" s="1" t="s">
        <v>132</v>
      </c>
      <c r="AN333" s="1" t="s">
        <v>132</v>
      </c>
    </row>
    <row r="334" ht="15.75" customHeight="1">
      <c r="A334" s="1" t="s">
        <v>127</v>
      </c>
      <c r="B334" s="1" t="s">
        <v>7048</v>
      </c>
      <c r="C334" s="1" t="s">
        <v>7049</v>
      </c>
      <c r="D334" s="8" t="s">
        <v>7050</v>
      </c>
      <c r="E334" s="1" t="s">
        <v>7051</v>
      </c>
      <c r="F334" s="1" t="s">
        <v>132</v>
      </c>
      <c r="G334" s="1" t="s">
        <v>7052</v>
      </c>
      <c r="H334" s="1" t="s">
        <v>7053</v>
      </c>
      <c r="I334" s="1" t="s">
        <v>7054</v>
      </c>
      <c r="J334" s="1" t="s">
        <v>7055</v>
      </c>
      <c r="K334" s="1" t="s">
        <v>7056</v>
      </c>
      <c r="L334" s="1" t="s">
        <v>7057</v>
      </c>
      <c r="M334" s="1" t="s">
        <v>7058</v>
      </c>
      <c r="N334" s="1" t="s">
        <v>132</v>
      </c>
      <c r="O334" s="1" t="s">
        <v>7059</v>
      </c>
      <c r="P334" s="1" t="s">
        <v>7060</v>
      </c>
      <c r="Q334" s="1" t="s">
        <v>132</v>
      </c>
      <c r="R334" s="1" t="s">
        <v>7061</v>
      </c>
      <c r="S334" s="1" t="s">
        <v>7062</v>
      </c>
      <c r="T334" s="8" t="s">
        <v>7063</v>
      </c>
      <c r="U334" s="1" t="s">
        <v>7064</v>
      </c>
      <c r="V334" s="1" t="s">
        <v>7065</v>
      </c>
      <c r="W334" s="1" t="s">
        <v>7066</v>
      </c>
      <c r="X334" s="1" t="s">
        <v>7067</v>
      </c>
      <c r="Y334" s="1" t="s">
        <v>7068</v>
      </c>
      <c r="Z334" s="1" t="s">
        <v>7069</v>
      </c>
      <c r="AA334" s="1" t="s">
        <v>7070</v>
      </c>
      <c r="AB334" s="1" t="s">
        <v>7071</v>
      </c>
      <c r="AC334" s="1" t="s">
        <v>7072</v>
      </c>
      <c r="AD334" s="1" t="s">
        <v>7073</v>
      </c>
      <c r="AE334" s="1" t="s">
        <v>7074</v>
      </c>
      <c r="AF334" s="1" t="s">
        <v>7075</v>
      </c>
      <c r="AG334" s="1" t="s">
        <v>7076</v>
      </c>
      <c r="AH334" s="1" t="s">
        <v>7077</v>
      </c>
      <c r="AI334" s="1" t="s">
        <v>7078</v>
      </c>
      <c r="AJ334" s="1" t="s">
        <v>132</v>
      </c>
      <c r="AK334" s="1" t="s">
        <v>7079</v>
      </c>
      <c r="AL334" s="1" t="s">
        <v>7080</v>
      </c>
      <c r="AM334" s="1" t="s">
        <v>132</v>
      </c>
      <c r="AN334" s="1" t="s">
        <v>132</v>
      </c>
    </row>
    <row r="335" ht="15.75" customHeight="1">
      <c r="A335" s="1" t="s">
        <v>38</v>
      </c>
      <c r="B335" s="1" t="s">
        <v>7081</v>
      </c>
      <c r="C335" s="1" t="s">
        <v>7082</v>
      </c>
      <c r="D335" s="8" t="s">
        <v>3038</v>
      </c>
      <c r="E335" s="1" t="s">
        <v>7083</v>
      </c>
      <c r="F335" s="1" t="s">
        <v>7084</v>
      </c>
      <c r="G335" s="1" t="s">
        <v>132</v>
      </c>
      <c r="H335" s="1" t="s">
        <v>132</v>
      </c>
      <c r="I335" s="1" t="s">
        <v>7085</v>
      </c>
      <c r="J335" s="1" t="s">
        <v>132</v>
      </c>
      <c r="K335" s="1" t="s">
        <v>7086</v>
      </c>
      <c r="L335" s="1" t="s">
        <v>132</v>
      </c>
      <c r="M335" s="1" t="s">
        <v>7087</v>
      </c>
      <c r="N335" s="1" t="s">
        <v>7086</v>
      </c>
      <c r="O335" s="1" t="s">
        <v>132</v>
      </c>
      <c r="P335" s="1" t="s">
        <v>7088</v>
      </c>
      <c r="Q335" s="1" t="s">
        <v>7089</v>
      </c>
      <c r="R335" s="1" t="s">
        <v>132</v>
      </c>
      <c r="S335" s="1" t="s">
        <v>7090</v>
      </c>
      <c r="T335" s="1" t="s">
        <v>132</v>
      </c>
      <c r="U335" s="1" t="s">
        <v>7091</v>
      </c>
      <c r="V335" s="1" t="s">
        <v>7092</v>
      </c>
      <c r="W335" s="1" t="s">
        <v>132</v>
      </c>
      <c r="X335" s="1" t="s">
        <v>7093</v>
      </c>
      <c r="Y335" s="1" t="s">
        <v>132</v>
      </c>
      <c r="Z335" s="1" t="s">
        <v>7094</v>
      </c>
      <c r="AA335" s="1" t="s">
        <v>7086</v>
      </c>
      <c r="AB335" s="1" t="s">
        <v>132</v>
      </c>
      <c r="AC335" s="1" t="s">
        <v>3053</v>
      </c>
      <c r="AD335" s="1" t="s">
        <v>7095</v>
      </c>
      <c r="AE335" s="1" t="s">
        <v>132</v>
      </c>
      <c r="AF335" s="1" t="s">
        <v>7096</v>
      </c>
      <c r="AG335" s="1" t="s">
        <v>7097</v>
      </c>
      <c r="AH335" s="1" t="s">
        <v>132</v>
      </c>
      <c r="AI335" s="1" t="s">
        <v>132</v>
      </c>
      <c r="AJ335" s="1" t="s">
        <v>7098</v>
      </c>
      <c r="AK335" s="1" t="s">
        <v>7099</v>
      </c>
      <c r="AL335" s="1" t="s">
        <v>132</v>
      </c>
      <c r="AM335" s="1" t="s">
        <v>7100</v>
      </c>
      <c r="AN335" s="1" t="s">
        <v>7100</v>
      </c>
    </row>
    <row r="336" ht="15.75" customHeight="1">
      <c r="A336" s="1" t="s">
        <v>38</v>
      </c>
      <c r="B336" s="1" t="s">
        <v>7101</v>
      </c>
      <c r="C336" s="1" t="s">
        <v>7102</v>
      </c>
      <c r="D336" s="8" t="s">
        <v>7103</v>
      </c>
      <c r="E336" s="1" t="s">
        <v>7104</v>
      </c>
      <c r="F336" s="1" t="s">
        <v>7105</v>
      </c>
      <c r="G336" s="1" t="s">
        <v>132</v>
      </c>
      <c r="H336" s="1" t="s">
        <v>132</v>
      </c>
      <c r="I336" s="1" t="s">
        <v>7106</v>
      </c>
      <c r="J336" s="1" t="s">
        <v>132</v>
      </c>
      <c r="K336" s="1" t="s">
        <v>7107</v>
      </c>
      <c r="L336" s="1" t="s">
        <v>132</v>
      </c>
      <c r="M336" s="1" t="s">
        <v>7108</v>
      </c>
      <c r="N336" s="1" t="s">
        <v>7109</v>
      </c>
      <c r="O336" s="1" t="s">
        <v>132</v>
      </c>
      <c r="P336" s="1" t="s">
        <v>7110</v>
      </c>
      <c r="Q336" s="1" t="s">
        <v>132</v>
      </c>
      <c r="R336" s="1" t="s">
        <v>132</v>
      </c>
      <c r="S336" s="1" t="s">
        <v>7111</v>
      </c>
      <c r="T336" s="1" t="s">
        <v>132</v>
      </c>
      <c r="U336" s="1" t="s">
        <v>7112</v>
      </c>
      <c r="V336" s="1" t="s">
        <v>7113</v>
      </c>
      <c r="W336" s="1" t="s">
        <v>132</v>
      </c>
      <c r="X336" s="1" t="s">
        <v>7114</v>
      </c>
      <c r="Y336" s="1" t="s">
        <v>132</v>
      </c>
      <c r="Z336" s="1" t="s">
        <v>7115</v>
      </c>
      <c r="AA336" s="1" t="s">
        <v>7116</v>
      </c>
      <c r="AB336" s="1" t="s">
        <v>132</v>
      </c>
      <c r="AC336" s="1" t="s">
        <v>7117</v>
      </c>
      <c r="AD336" s="1" t="s">
        <v>7118</v>
      </c>
      <c r="AE336" s="1" t="s">
        <v>132</v>
      </c>
      <c r="AF336" s="1" t="s">
        <v>7104</v>
      </c>
      <c r="AG336" s="1" t="s">
        <v>7119</v>
      </c>
      <c r="AH336" s="1" t="s">
        <v>132</v>
      </c>
      <c r="AI336" s="1" t="s">
        <v>132</v>
      </c>
      <c r="AJ336" s="1" t="s">
        <v>7120</v>
      </c>
      <c r="AK336" s="1" t="s">
        <v>7121</v>
      </c>
      <c r="AL336" s="1" t="s">
        <v>132</v>
      </c>
      <c r="AM336" s="1" t="s">
        <v>7122</v>
      </c>
      <c r="AN336" s="1" t="s">
        <v>7122</v>
      </c>
    </row>
    <row r="337" ht="15.75" customHeight="1">
      <c r="A337" s="1" t="s">
        <v>38</v>
      </c>
      <c r="B337" s="1" t="s">
        <v>7123</v>
      </c>
      <c r="C337" s="1" t="s">
        <v>7124</v>
      </c>
      <c r="D337" s="1" t="s">
        <v>132</v>
      </c>
      <c r="E337" s="1" t="s">
        <v>132</v>
      </c>
      <c r="F337" s="1" t="s">
        <v>132</v>
      </c>
      <c r="G337" s="1" t="s">
        <v>132</v>
      </c>
      <c r="H337" s="1" t="s">
        <v>132</v>
      </c>
      <c r="I337" s="1" t="s">
        <v>7125</v>
      </c>
      <c r="J337" s="1" t="s">
        <v>132</v>
      </c>
      <c r="K337" s="1" t="s">
        <v>7126</v>
      </c>
      <c r="L337" s="1" t="s">
        <v>132</v>
      </c>
      <c r="M337" s="1" t="s">
        <v>7127</v>
      </c>
      <c r="N337" s="1" t="s">
        <v>132</v>
      </c>
      <c r="O337" s="1" t="s">
        <v>132</v>
      </c>
      <c r="P337" s="1" t="s">
        <v>7128</v>
      </c>
      <c r="Q337" s="1" t="s">
        <v>132</v>
      </c>
      <c r="R337" s="1" t="s">
        <v>132</v>
      </c>
      <c r="S337" s="1" t="s">
        <v>132</v>
      </c>
      <c r="T337" s="1" t="s">
        <v>132</v>
      </c>
      <c r="U337" s="1" t="s">
        <v>132</v>
      </c>
      <c r="V337" s="1" t="s">
        <v>132</v>
      </c>
      <c r="W337" s="1" t="s">
        <v>132</v>
      </c>
      <c r="X337" s="1" t="s">
        <v>132</v>
      </c>
      <c r="Y337" s="1" t="s">
        <v>132</v>
      </c>
      <c r="Z337" s="1" t="s">
        <v>132</v>
      </c>
      <c r="AA337" s="1" t="s">
        <v>132</v>
      </c>
      <c r="AB337" s="1" t="s">
        <v>132</v>
      </c>
      <c r="AC337" s="1" t="s">
        <v>7130</v>
      </c>
      <c r="AD337" s="1" t="s">
        <v>132</v>
      </c>
      <c r="AE337" s="1" t="s">
        <v>132</v>
      </c>
      <c r="AF337" s="1" t="s">
        <v>7131</v>
      </c>
      <c r="AG337" s="1" t="s">
        <v>132</v>
      </c>
      <c r="AH337" s="1" t="s">
        <v>132</v>
      </c>
      <c r="AI337" s="1" t="s">
        <v>132</v>
      </c>
      <c r="AJ337" s="1" t="s">
        <v>132</v>
      </c>
      <c r="AK337" s="1" t="s">
        <v>132</v>
      </c>
      <c r="AL337" s="1" t="s">
        <v>132</v>
      </c>
      <c r="AM337" s="1" t="s">
        <v>132</v>
      </c>
      <c r="AN337" s="1" t="s">
        <v>132</v>
      </c>
    </row>
    <row r="338" ht="15.75" customHeight="1">
      <c r="A338" s="1" t="s">
        <v>38</v>
      </c>
      <c r="B338" s="1" t="s">
        <v>7132</v>
      </c>
      <c r="C338" s="1" t="s">
        <v>7133</v>
      </c>
      <c r="D338" s="8" t="s">
        <v>7134</v>
      </c>
      <c r="E338" s="1" t="s">
        <v>7135</v>
      </c>
      <c r="F338" s="1" t="s">
        <v>7136</v>
      </c>
      <c r="G338" s="1" t="s">
        <v>132</v>
      </c>
      <c r="H338" s="1" t="s">
        <v>132</v>
      </c>
      <c r="I338" s="1" t="s">
        <v>7137</v>
      </c>
      <c r="J338" s="1" t="s">
        <v>132</v>
      </c>
      <c r="K338" s="1" t="s">
        <v>7138</v>
      </c>
      <c r="L338" s="1" t="s">
        <v>132</v>
      </c>
      <c r="M338" s="1" t="s">
        <v>7139</v>
      </c>
      <c r="N338" s="1" t="s">
        <v>7140</v>
      </c>
      <c r="O338" s="1" t="s">
        <v>132</v>
      </c>
      <c r="P338" s="1" t="s">
        <v>7141</v>
      </c>
      <c r="Q338" s="1" t="s">
        <v>7142</v>
      </c>
      <c r="R338" s="1" t="s">
        <v>132</v>
      </c>
      <c r="S338" s="1" t="s">
        <v>7143</v>
      </c>
      <c r="T338" s="1" t="s">
        <v>132</v>
      </c>
      <c r="U338" s="1" t="s">
        <v>7144</v>
      </c>
      <c r="V338" s="1" t="s">
        <v>7145</v>
      </c>
      <c r="W338" s="1" t="s">
        <v>132</v>
      </c>
      <c r="X338" s="1" t="s">
        <v>7146</v>
      </c>
      <c r="Y338" s="1" t="s">
        <v>132</v>
      </c>
      <c r="Z338" s="1" t="s">
        <v>7147</v>
      </c>
      <c r="AA338" s="1" t="s">
        <v>7148</v>
      </c>
      <c r="AB338" s="1" t="s">
        <v>132</v>
      </c>
      <c r="AC338" s="1" t="s">
        <v>7149</v>
      </c>
      <c r="AD338" s="1" t="s">
        <v>7150</v>
      </c>
      <c r="AE338" s="1" t="s">
        <v>132</v>
      </c>
      <c r="AF338" s="1" t="s">
        <v>7151</v>
      </c>
      <c r="AG338" s="1" t="s">
        <v>7152</v>
      </c>
      <c r="AH338" s="1" t="s">
        <v>132</v>
      </c>
      <c r="AI338" s="1" t="s">
        <v>132</v>
      </c>
      <c r="AJ338" s="1" t="s">
        <v>7153</v>
      </c>
      <c r="AK338" s="1" t="s">
        <v>7154</v>
      </c>
      <c r="AL338" s="1" t="s">
        <v>132</v>
      </c>
      <c r="AM338" s="1" t="s">
        <v>7155</v>
      </c>
      <c r="AN338" s="1" t="s">
        <v>7155</v>
      </c>
    </row>
    <row r="339" ht="15.75" customHeight="1">
      <c r="A339" s="1" t="s">
        <v>127</v>
      </c>
      <c r="B339" s="1" t="s">
        <v>7156</v>
      </c>
      <c r="C339" s="1" t="s">
        <v>7157</v>
      </c>
      <c r="D339" s="8" t="s">
        <v>7158</v>
      </c>
      <c r="E339" s="1" t="s">
        <v>7159</v>
      </c>
      <c r="F339" s="1" t="s">
        <v>132</v>
      </c>
      <c r="G339" s="1" t="s">
        <v>7160</v>
      </c>
      <c r="H339" s="1" t="s">
        <v>7161</v>
      </c>
      <c r="I339" s="1" t="s">
        <v>7162</v>
      </c>
      <c r="J339" s="1" t="s">
        <v>7163</v>
      </c>
      <c r="K339" s="1" t="s">
        <v>7157</v>
      </c>
      <c r="L339" s="1" t="s">
        <v>7164</v>
      </c>
      <c r="M339" s="1" t="s">
        <v>7165</v>
      </c>
      <c r="N339" s="1" t="s">
        <v>132</v>
      </c>
      <c r="O339" s="1" t="s">
        <v>7166</v>
      </c>
      <c r="P339" s="1" t="s">
        <v>7157</v>
      </c>
      <c r="Q339" s="1" t="s">
        <v>132</v>
      </c>
      <c r="R339" s="1" t="s">
        <v>7167</v>
      </c>
      <c r="S339" s="1" t="s">
        <v>7168</v>
      </c>
      <c r="T339" s="8" t="s">
        <v>7169</v>
      </c>
      <c r="U339" s="1" t="s">
        <v>7170</v>
      </c>
      <c r="V339" s="1" t="s">
        <v>7171</v>
      </c>
      <c r="W339" s="1" t="s">
        <v>7172</v>
      </c>
      <c r="X339" s="1" t="s">
        <v>7173</v>
      </c>
      <c r="Y339" s="1" t="s">
        <v>7174</v>
      </c>
      <c r="Z339" s="1" t="s">
        <v>7175</v>
      </c>
      <c r="AA339" s="1" t="s">
        <v>7176</v>
      </c>
      <c r="AB339" s="1" t="s">
        <v>7177</v>
      </c>
      <c r="AC339" s="1" t="s">
        <v>7178</v>
      </c>
      <c r="AD339" s="1" t="s">
        <v>7179</v>
      </c>
      <c r="AE339" s="1" t="s">
        <v>7160</v>
      </c>
      <c r="AF339" s="1" t="s">
        <v>7157</v>
      </c>
      <c r="AG339" s="1" t="s">
        <v>7180</v>
      </c>
      <c r="AH339" s="1" t="s">
        <v>7181</v>
      </c>
      <c r="AI339" s="1" t="s">
        <v>7182</v>
      </c>
      <c r="AJ339" s="1" t="s">
        <v>132</v>
      </c>
      <c r="AK339" s="1" t="s">
        <v>7183</v>
      </c>
      <c r="AL339" s="1" t="s">
        <v>7184</v>
      </c>
      <c r="AM339" s="1" t="s">
        <v>7185</v>
      </c>
      <c r="AN339" s="1" t="s">
        <v>7185</v>
      </c>
    </row>
    <row r="340" ht="15.75" customHeight="1">
      <c r="A340" s="1" t="s">
        <v>38</v>
      </c>
      <c r="B340" s="1" t="s">
        <v>7186</v>
      </c>
      <c r="C340" s="1" t="s">
        <v>7187</v>
      </c>
      <c r="D340" s="1" t="s">
        <v>132</v>
      </c>
      <c r="E340" s="1" t="s">
        <v>132</v>
      </c>
      <c r="F340" s="1" t="s">
        <v>132</v>
      </c>
      <c r="G340" s="1" t="s">
        <v>132</v>
      </c>
      <c r="H340" s="1" t="s">
        <v>132</v>
      </c>
      <c r="I340" s="1" t="s">
        <v>7187</v>
      </c>
      <c r="J340" s="1" t="s">
        <v>132</v>
      </c>
      <c r="K340" s="1" t="s">
        <v>7187</v>
      </c>
      <c r="L340" s="1" t="s">
        <v>132</v>
      </c>
      <c r="M340" s="1" t="s">
        <v>7187</v>
      </c>
      <c r="N340" s="1" t="s">
        <v>132</v>
      </c>
      <c r="O340" s="1" t="s">
        <v>132</v>
      </c>
      <c r="P340" s="1" t="s">
        <v>7187</v>
      </c>
      <c r="Q340" s="1" t="s">
        <v>132</v>
      </c>
      <c r="R340" s="1" t="s">
        <v>132</v>
      </c>
      <c r="S340" s="1" t="s">
        <v>132</v>
      </c>
      <c r="T340" s="1" t="s">
        <v>132</v>
      </c>
      <c r="U340" s="1" t="s">
        <v>132</v>
      </c>
      <c r="V340" s="1" t="s">
        <v>132</v>
      </c>
      <c r="W340" s="1" t="s">
        <v>132</v>
      </c>
      <c r="X340" s="1" t="s">
        <v>132</v>
      </c>
      <c r="Y340" s="1" t="s">
        <v>132</v>
      </c>
      <c r="Z340" s="1" t="s">
        <v>132</v>
      </c>
      <c r="AA340" s="1" t="s">
        <v>132</v>
      </c>
      <c r="AB340" s="1" t="s">
        <v>132</v>
      </c>
      <c r="AC340" s="1" t="s">
        <v>7188</v>
      </c>
      <c r="AD340" s="1" t="s">
        <v>132</v>
      </c>
      <c r="AE340" s="1" t="s">
        <v>132</v>
      </c>
      <c r="AF340" s="1" t="s">
        <v>7187</v>
      </c>
      <c r="AG340" s="1" t="s">
        <v>132</v>
      </c>
      <c r="AH340" s="1" t="s">
        <v>132</v>
      </c>
      <c r="AI340" s="1" t="s">
        <v>132</v>
      </c>
      <c r="AJ340" s="1" t="s">
        <v>132</v>
      </c>
      <c r="AK340" s="1" t="s">
        <v>132</v>
      </c>
      <c r="AL340" s="1" t="s">
        <v>132</v>
      </c>
      <c r="AM340" s="1" t="s">
        <v>132</v>
      </c>
      <c r="AN340" s="1" t="s">
        <v>132</v>
      </c>
    </row>
    <row r="341" ht="15.75" customHeight="1">
      <c r="A341" s="1" t="s">
        <v>38</v>
      </c>
      <c r="B341" s="1" t="s">
        <v>7189</v>
      </c>
      <c r="C341" s="1" t="s">
        <v>7190</v>
      </c>
      <c r="D341" s="8" t="s">
        <v>7191</v>
      </c>
      <c r="E341" s="1" t="s">
        <v>7192</v>
      </c>
      <c r="F341" s="1" t="s">
        <v>7193</v>
      </c>
      <c r="G341" s="1" t="s">
        <v>132</v>
      </c>
      <c r="H341" s="1" t="s">
        <v>132</v>
      </c>
      <c r="I341" s="1" t="s">
        <v>7194</v>
      </c>
      <c r="J341" s="1" t="s">
        <v>132</v>
      </c>
      <c r="K341" s="1" t="s">
        <v>7195</v>
      </c>
      <c r="L341" s="1" t="s">
        <v>132</v>
      </c>
      <c r="M341" s="1" t="s">
        <v>7190</v>
      </c>
      <c r="N341" s="1" t="s">
        <v>7195</v>
      </c>
      <c r="O341" s="1" t="s">
        <v>132</v>
      </c>
      <c r="P341" s="1" t="s">
        <v>7196</v>
      </c>
      <c r="Q341" s="1" t="s">
        <v>7197</v>
      </c>
      <c r="R341" s="1" t="s">
        <v>132</v>
      </c>
      <c r="S341" s="1" t="s">
        <v>7198</v>
      </c>
      <c r="T341" s="1" t="s">
        <v>132</v>
      </c>
      <c r="U341" s="1" t="s">
        <v>7199</v>
      </c>
      <c r="V341" s="1" t="s">
        <v>7200</v>
      </c>
      <c r="W341" s="1" t="s">
        <v>132</v>
      </c>
      <c r="X341" s="1" t="s">
        <v>7201</v>
      </c>
      <c r="Y341" s="1" t="s">
        <v>132</v>
      </c>
      <c r="Z341" s="1" t="s">
        <v>7202</v>
      </c>
      <c r="AA341" s="1" t="s">
        <v>7195</v>
      </c>
      <c r="AB341" s="1" t="s">
        <v>132</v>
      </c>
      <c r="AC341" s="1" t="s">
        <v>7203</v>
      </c>
      <c r="AD341" s="1" t="s">
        <v>7202</v>
      </c>
      <c r="AE341" s="1" t="s">
        <v>132</v>
      </c>
      <c r="AF341" s="1" t="s">
        <v>7192</v>
      </c>
      <c r="AG341" s="1" t="s">
        <v>7204</v>
      </c>
      <c r="AH341" s="1" t="s">
        <v>132</v>
      </c>
      <c r="AI341" s="1" t="s">
        <v>132</v>
      </c>
      <c r="AJ341" s="1" t="s">
        <v>7192</v>
      </c>
      <c r="AK341" s="1" t="s">
        <v>7205</v>
      </c>
      <c r="AL341" s="1" t="s">
        <v>132</v>
      </c>
      <c r="AM341" s="1" t="s">
        <v>7206</v>
      </c>
      <c r="AN341" s="1" t="s">
        <v>7206</v>
      </c>
    </row>
    <row r="342" ht="15.75" customHeight="1">
      <c r="A342" s="1" t="s">
        <v>127</v>
      </c>
      <c r="B342" s="1" t="s">
        <v>7207</v>
      </c>
      <c r="C342" s="1" t="s">
        <v>7208</v>
      </c>
      <c r="D342" s="8" t="s">
        <v>7209</v>
      </c>
      <c r="E342" s="1" t="s">
        <v>7210</v>
      </c>
      <c r="F342" s="1" t="s">
        <v>132</v>
      </c>
      <c r="G342" s="1" t="s">
        <v>7211</v>
      </c>
      <c r="H342" s="1" t="s">
        <v>7212</v>
      </c>
      <c r="I342" s="1" t="s">
        <v>7213</v>
      </c>
      <c r="J342" s="1" t="s">
        <v>7214</v>
      </c>
      <c r="K342" s="1" t="s">
        <v>7215</v>
      </c>
      <c r="L342" s="1" t="s">
        <v>7216</v>
      </c>
      <c r="M342" s="1" t="s">
        <v>7217</v>
      </c>
      <c r="N342" s="1" t="s">
        <v>132</v>
      </c>
      <c r="O342" s="1" t="s">
        <v>7218</v>
      </c>
      <c r="P342" s="1" t="s">
        <v>7219</v>
      </c>
      <c r="Q342" s="1" t="s">
        <v>132</v>
      </c>
      <c r="R342" s="1" t="s">
        <v>7220</v>
      </c>
      <c r="S342" s="1" t="s">
        <v>7221</v>
      </c>
      <c r="T342" s="8" t="s">
        <v>7222</v>
      </c>
      <c r="U342" s="1" t="s">
        <v>7223</v>
      </c>
      <c r="V342" s="1" t="s">
        <v>7224</v>
      </c>
      <c r="W342" s="1" t="s">
        <v>7225</v>
      </c>
      <c r="X342" s="1" t="s">
        <v>7226</v>
      </c>
      <c r="Y342" s="1" t="s">
        <v>7227</v>
      </c>
      <c r="Z342" s="1" t="s">
        <v>7228</v>
      </c>
      <c r="AA342" s="1" t="s">
        <v>7229</v>
      </c>
      <c r="AB342" s="1" t="s">
        <v>7230</v>
      </c>
      <c r="AC342" s="1" t="s">
        <v>7231</v>
      </c>
      <c r="AD342" s="1" t="s">
        <v>7232</v>
      </c>
      <c r="AE342" s="1" t="s">
        <v>7233</v>
      </c>
      <c r="AF342" s="1" t="s">
        <v>7234</v>
      </c>
      <c r="AG342" s="1" t="s">
        <v>7235</v>
      </c>
      <c r="AH342" s="1" t="s">
        <v>7236</v>
      </c>
      <c r="AI342" s="1" t="s">
        <v>7237</v>
      </c>
      <c r="AJ342" s="1" t="s">
        <v>132</v>
      </c>
      <c r="AK342" s="1" t="s">
        <v>7238</v>
      </c>
      <c r="AL342" s="1" t="s">
        <v>7239</v>
      </c>
      <c r="AM342" s="1" t="s">
        <v>132</v>
      </c>
      <c r="AN342" s="1" t="s">
        <v>132</v>
      </c>
    </row>
    <row r="343" ht="15.75" customHeight="1">
      <c r="A343" s="1" t="s">
        <v>38</v>
      </c>
      <c r="B343" s="1" t="s">
        <v>7240</v>
      </c>
      <c r="C343" s="1" t="s">
        <v>7241</v>
      </c>
      <c r="D343" s="8" t="s">
        <v>7242</v>
      </c>
      <c r="E343" s="1" t="s">
        <v>7243</v>
      </c>
      <c r="F343" s="1" t="s">
        <v>7244</v>
      </c>
      <c r="G343" s="1" t="s">
        <v>132</v>
      </c>
      <c r="H343" s="1" t="s">
        <v>132</v>
      </c>
      <c r="I343" s="1" t="s">
        <v>7245</v>
      </c>
      <c r="J343" s="1" t="s">
        <v>132</v>
      </c>
      <c r="K343" s="1" t="s">
        <v>7246</v>
      </c>
      <c r="L343" s="1" t="s">
        <v>132</v>
      </c>
      <c r="M343" s="1" t="s">
        <v>7247</v>
      </c>
      <c r="N343" s="1" t="s">
        <v>7248</v>
      </c>
      <c r="O343" s="1" t="s">
        <v>132</v>
      </c>
      <c r="P343" s="1" t="s">
        <v>7249</v>
      </c>
      <c r="Q343" s="1" t="s">
        <v>7250</v>
      </c>
      <c r="R343" s="1" t="s">
        <v>132</v>
      </c>
      <c r="S343" s="1" t="s">
        <v>7251</v>
      </c>
      <c r="T343" s="1" t="s">
        <v>132</v>
      </c>
      <c r="U343" s="1" t="s">
        <v>7252</v>
      </c>
      <c r="V343" s="1" t="s">
        <v>7253</v>
      </c>
      <c r="W343" s="1" t="s">
        <v>132</v>
      </c>
      <c r="X343" s="1" t="s">
        <v>7254</v>
      </c>
      <c r="Y343" s="1" t="s">
        <v>132</v>
      </c>
      <c r="Z343" s="1" t="s">
        <v>7255</v>
      </c>
      <c r="AA343" s="1" t="s">
        <v>7256</v>
      </c>
      <c r="AB343" s="1" t="s">
        <v>132</v>
      </c>
      <c r="AC343" s="1" t="s">
        <v>7257</v>
      </c>
      <c r="AD343" s="1" t="s">
        <v>7258</v>
      </c>
      <c r="AE343" s="1" t="s">
        <v>132</v>
      </c>
      <c r="AF343" s="1" t="s">
        <v>7259</v>
      </c>
      <c r="AG343" s="1" t="s">
        <v>7260</v>
      </c>
      <c r="AH343" s="1" t="s">
        <v>132</v>
      </c>
      <c r="AI343" s="1" t="s">
        <v>132</v>
      </c>
      <c r="AJ343" s="1" t="s">
        <v>7261</v>
      </c>
      <c r="AK343" s="1" t="s">
        <v>7262</v>
      </c>
      <c r="AL343" s="1" t="s">
        <v>132</v>
      </c>
      <c r="AM343" s="1" t="s">
        <v>7263</v>
      </c>
      <c r="AN343" s="1" t="s">
        <v>7263</v>
      </c>
    </row>
    <row r="344" ht="15.75" customHeight="1">
      <c r="A344" s="1" t="s">
        <v>127</v>
      </c>
      <c r="B344" s="1" t="s">
        <v>7264</v>
      </c>
      <c r="C344" s="1" t="s">
        <v>7265</v>
      </c>
      <c r="D344" s="8" t="s">
        <v>7266</v>
      </c>
      <c r="E344" s="1" t="s">
        <v>7267</v>
      </c>
      <c r="F344" s="1" t="s">
        <v>132</v>
      </c>
      <c r="G344" s="1" t="s">
        <v>7268</v>
      </c>
      <c r="H344" s="1" t="s">
        <v>7269</v>
      </c>
      <c r="I344" s="1" t="s">
        <v>7270</v>
      </c>
      <c r="J344" s="1" t="s">
        <v>7271</v>
      </c>
      <c r="K344" s="1" t="s">
        <v>7272</v>
      </c>
      <c r="L344" s="1" t="s">
        <v>7273</v>
      </c>
      <c r="M344" s="1" t="s">
        <v>7274</v>
      </c>
      <c r="N344" s="1" t="s">
        <v>132</v>
      </c>
      <c r="O344" s="1" t="s">
        <v>7275</v>
      </c>
      <c r="P344" s="1" t="s">
        <v>7276</v>
      </c>
      <c r="Q344" s="1" t="s">
        <v>132</v>
      </c>
      <c r="R344" s="1" t="s">
        <v>7277</v>
      </c>
      <c r="S344" s="1" t="s">
        <v>7278</v>
      </c>
      <c r="T344" s="8" t="s">
        <v>7279</v>
      </c>
      <c r="U344" s="1" t="s">
        <v>7280</v>
      </c>
      <c r="V344" s="1" t="s">
        <v>7281</v>
      </c>
      <c r="W344" s="1" t="s">
        <v>7277</v>
      </c>
      <c r="X344" s="1" t="s">
        <v>7282</v>
      </c>
      <c r="Y344" s="1" t="s">
        <v>7283</v>
      </c>
      <c r="Z344" s="1" t="s">
        <v>7284</v>
      </c>
      <c r="AA344" s="1" t="s">
        <v>7285</v>
      </c>
      <c r="AB344" s="1" t="s">
        <v>7286</v>
      </c>
      <c r="AC344" s="1" t="s">
        <v>7287</v>
      </c>
      <c r="AD344" s="1" t="s">
        <v>7288</v>
      </c>
      <c r="AE344" s="1" t="s">
        <v>7289</v>
      </c>
      <c r="AF344" s="1" t="s">
        <v>7290</v>
      </c>
      <c r="AG344" s="1" t="s">
        <v>7291</v>
      </c>
      <c r="AH344" s="1" t="s">
        <v>7292</v>
      </c>
      <c r="AI344" s="1" t="s">
        <v>7293</v>
      </c>
      <c r="AJ344" s="1" t="s">
        <v>132</v>
      </c>
      <c r="AK344" s="1" t="s">
        <v>7294</v>
      </c>
      <c r="AL344" s="1" t="s">
        <v>7295</v>
      </c>
      <c r="AM344" s="1" t="s">
        <v>7296</v>
      </c>
      <c r="AN344" s="1" t="s">
        <v>7296</v>
      </c>
    </row>
    <row r="345" ht="15.75" customHeight="1">
      <c r="A345" s="1" t="s">
        <v>38</v>
      </c>
      <c r="B345" s="1" t="s">
        <v>7297</v>
      </c>
      <c r="C345" s="1" t="s">
        <v>7298</v>
      </c>
      <c r="D345" s="1" t="s">
        <v>132</v>
      </c>
      <c r="E345" s="1" t="s">
        <v>132</v>
      </c>
      <c r="F345" s="1" t="s">
        <v>132</v>
      </c>
      <c r="G345" s="1" t="s">
        <v>132</v>
      </c>
      <c r="H345" s="1" t="s">
        <v>132</v>
      </c>
      <c r="I345" s="1" t="s">
        <v>7298</v>
      </c>
      <c r="J345" s="1" t="s">
        <v>132</v>
      </c>
      <c r="K345" s="1" t="s">
        <v>7299</v>
      </c>
      <c r="L345" s="1" t="s">
        <v>132</v>
      </c>
      <c r="M345" s="1" t="s">
        <v>7300</v>
      </c>
      <c r="N345" s="1" t="s">
        <v>132</v>
      </c>
      <c r="O345" s="1" t="s">
        <v>132</v>
      </c>
      <c r="P345" s="1" t="s">
        <v>7298</v>
      </c>
      <c r="Q345" s="1" t="s">
        <v>132</v>
      </c>
      <c r="R345" s="1" t="s">
        <v>132</v>
      </c>
      <c r="S345" s="1" t="s">
        <v>132</v>
      </c>
      <c r="T345" s="1" t="s">
        <v>132</v>
      </c>
      <c r="U345" s="1" t="s">
        <v>132</v>
      </c>
      <c r="V345" s="1" t="s">
        <v>132</v>
      </c>
      <c r="W345" s="1" t="s">
        <v>132</v>
      </c>
      <c r="X345" s="1" t="s">
        <v>132</v>
      </c>
      <c r="Y345" s="1" t="s">
        <v>132</v>
      </c>
      <c r="Z345" s="1" t="s">
        <v>132</v>
      </c>
      <c r="AA345" s="1" t="s">
        <v>132</v>
      </c>
      <c r="AB345" s="1" t="s">
        <v>132</v>
      </c>
      <c r="AC345" s="1" t="s">
        <v>7301</v>
      </c>
      <c r="AD345" s="1" t="s">
        <v>132</v>
      </c>
      <c r="AE345" s="1" t="s">
        <v>132</v>
      </c>
      <c r="AF345" s="1" t="s">
        <v>7302</v>
      </c>
      <c r="AG345" s="1" t="s">
        <v>132</v>
      </c>
      <c r="AH345" s="1" t="s">
        <v>132</v>
      </c>
      <c r="AI345" s="1" t="s">
        <v>132</v>
      </c>
      <c r="AJ345" s="1" t="s">
        <v>132</v>
      </c>
      <c r="AK345" s="1" t="s">
        <v>132</v>
      </c>
      <c r="AL345" s="1" t="s">
        <v>132</v>
      </c>
      <c r="AM345" s="1" t="s">
        <v>132</v>
      </c>
      <c r="AN345" s="1" t="s">
        <v>132</v>
      </c>
    </row>
    <row r="346" ht="15.75" customHeight="1">
      <c r="A346" s="1" t="s">
        <v>38</v>
      </c>
      <c r="B346" s="1" t="s">
        <v>7303</v>
      </c>
      <c r="C346" s="1" t="s">
        <v>7304</v>
      </c>
      <c r="D346" s="1" t="s">
        <v>132</v>
      </c>
      <c r="E346" s="1" t="s">
        <v>7305</v>
      </c>
      <c r="F346" s="1" t="s">
        <v>7306</v>
      </c>
      <c r="G346" s="1" t="s">
        <v>132</v>
      </c>
      <c r="H346" s="1" t="s">
        <v>132</v>
      </c>
      <c r="I346" s="1" t="s">
        <v>7307</v>
      </c>
      <c r="J346" s="1" t="s">
        <v>132</v>
      </c>
      <c r="K346" s="1" t="s">
        <v>7308</v>
      </c>
      <c r="L346" s="1" t="s">
        <v>132</v>
      </c>
      <c r="M346" s="1" t="s">
        <v>7309</v>
      </c>
      <c r="N346" s="1" t="s">
        <v>7310</v>
      </c>
      <c r="O346" s="1" t="s">
        <v>132</v>
      </c>
      <c r="P346" s="1" t="s">
        <v>7311</v>
      </c>
      <c r="Q346" s="1" t="s">
        <v>132</v>
      </c>
      <c r="R346" s="1" t="s">
        <v>132</v>
      </c>
      <c r="S346" s="1" t="s">
        <v>7312</v>
      </c>
      <c r="T346" s="1" t="s">
        <v>132</v>
      </c>
      <c r="U346" s="1" t="s">
        <v>7313</v>
      </c>
      <c r="V346" s="1" t="s">
        <v>132</v>
      </c>
      <c r="W346" s="1" t="s">
        <v>132</v>
      </c>
      <c r="X346" s="1" t="s">
        <v>7314</v>
      </c>
      <c r="Y346" s="1" t="s">
        <v>132</v>
      </c>
      <c r="Z346" s="1" t="s">
        <v>7315</v>
      </c>
      <c r="AA346" s="1" t="s">
        <v>132</v>
      </c>
      <c r="AB346" s="1" t="s">
        <v>132</v>
      </c>
      <c r="AC346" s="1" t="s">
        <v>7316</v>
      </c>
      <c r="AD346" s="1" t="s">
        <v>132</v>
      </c>
      <c r="AE346" s="1" t="s">
        <v>132</v>
      </c>
      <c r="AF346" s="1" t="s">
        <v>7317</v>
      </c>
      <c r="AG346" s="1" t="s">
        <v>132</v>
      </c>
      <c r="AH346" s="1" t="s">
        <v>132</v>
      </c>
      <c r="AI346" s="1" t="s">
        <v>132</v>
      </c>
      <c r="AJ346" s="1" t="s">
        <v>7318</v>
      </c>
      <c r="AK346" s="1" t="s">
        <v>132</v>
      </c>
      <c r="AL346" s="1" t="s">
        <v>132</v>
      </c>
      <c r="AM346" s="1" t="s">
        <v>132</v>
      </c>
      <c r="AN346" s="1" t="s">
        <v>132</v>
      </c>
    </row>
    <row r="347" ht="15.75" customHeight="1">
      <c r="A347" s="1" t="s">
        <v>127</v>
      </c>
      <c r="B347" s="1" t="s">
        <v>7319</v>
      </c>
      <c r="C347" s="1" t="s">
        <v>7320</v>
      </c>
      <c r="D347" s="8" t="s">
        <v>7321</v>
      </c>
      <c r="E347" s="1" t="s">
        <v>7322</v>
      </c>
      <c r="F347" s="1" t="s">
        <v>132</v>
      </c>
      <c r="G347" s="1" t="s">
        <v>7323</v>
      </c>
      <c r="H347" s="1" t="s">
        <v>7324</v>
      </c>
      <c r="I347" s="1" t="s">
        <v>7325</v>
      </c>
      <c r="J347" s="1" t="s">
        <v>7326</v>
      </c>
      <c r="K347" s="1" t="s">
        <v>7327</v>
      </c>
      <c r="L347" s="1" t="s">
        <v>7328</v>
      </c>
      <c r="M347" s="1" t="s">
        <v>7329</v>
      </c>
      <c r="N347" s="1" t="s">
        <v>132</v>
      </c>
      <c r="O347" s="1" t="s">
        <v>7330</v>
      </c>
      <c r="P347" s="1" t="s">
        <v>7331</v>
      </c>
      <c r="Q347" s="1" t="s">
        <v>132</v>
      </c>
      <c r="R347" s="1" t="s">
        <v>7332</v>
      </c>
      <c r="S347" s="1" t="s">
        <v>7333</v>
      </c>
      <c r="T347" s="8" t="s">
        <v>7334</v>
      </c>
      <c r="U347" s="1" t="s">
        <v>7335</v>
      </c>
      <c r="V347" s="1" t="s">
        <v>7336</v>
      </c>
      <c r="W347" s="1" t="s">
        <v>7332</v>
      </c>
      <c r="X347" s="1" t="s">
        <v>7337</v>
      </c>
      <c r="Y347" s="1" t="s">
        <v>7338</v>
      </c>
      <c r="Z347" s="1" t="s">
        <v>7339</v>
      </c>
      <c r="AA347" s="1" t="s">
        <v>7327</v>
      </c>
      <c r="AB347" s="1" t="s">
        <v>7340</v>
      </c>
      <c r="AC347" s="1" t="s">
        <v>7341</v>
      </c>
      <c r="AD347" s="1" t="s">
        <v>7342</v>
      </c>
      <c r="AE347" s="1" t="s">
        <v>7343</v>
      </c>
      <c r="AF347" s="1" t="s">
        <v>7343</v>
      </c>
      <c r="AG347" s="1" t="s">
        <v>7344</v>
      </c>
      <c r="AH347" s="1" t="s">
        <v>7345</v>
      </c>
      <c r="AI347" s="1" t="s">
        <v>5613</v>
      </c>
      <c r="AJ347" s="1" t="s">
        <v>132</v>
      </c>
      <c r="AK347" s="1" t="s">
        <v>7346</v>
      </c>
      <c r="AL347" s="1" t="s">
        <v>7347</v>
      </c>
      <c r="AM347" s="1" t="s">
        <v>7348</v>
      </c>
      <c r="AN347" s="1" t="s">
        <v>7348</v>
      </c>
    </row>
    <row r="348" ht="15.75" customHeight="1">
      <c r="A348" s="1" t="s">
        <v>38</v>
      </c>
      <c r="B348" s="1" t="s">
        <v>7349</v>
      </c>
      <c r="C348" s="1" t="s">
        <v>7350</v>
      </c>
      <c r="D348" s="1" t="s">
        <v>132</v>
      </c>
      <c r="E348" s="1" t="s">
        <v>7351</v>
      </c>
      <c r="F348" s="1" t="s">
        <v>132</v>
      </c>
      <c r="G348" s="1" t="s">
        <v>132</v>
      </c>
      <c r="H348" s="1" t="s">
        <v>132</v>
      </c>
      <c r="I348" s="1" t="s">
        <v>7352</v>
      </c>
      <c r="J348" s="1" t="s">
        <v>132</v>
      </c>
      <c r="K348" s="1" t="s">
        <v>7353</v>
      </c>
      <c r="L348" s="1" t="s">
        <v>132</v>
      </c>
      <c r="M348" s="1" t="s">
        <v>7354</v>
      </c>
      <c r="N348" s="1" t="s">
        <v>7355</v>
      </c>
      <c r="O348" s="1" t="s">
        <v>132</v>
      </c>
      <c r="P348" s="1" t="s">
        <v>7356</v>
      </c>
      <c r="Q348" s="1" t="s">
        <v>132</v>
      </c>
      <c r="R348" s="1" t="s">
        <v>132</v>
      </c>
      <c r="S348" s="1" t="s">
        <v>7357</v>
      </c>
      <c r="T348" s="1" t="s">
        <v>132</v>
      </c>
      <c r="U348" s="1" t="s">
        <v>132</v>
      </c>
      <c r="V348" s="1" t="s">
        <v>132</v>
      </c>
      <c r="W348" s="1" t="s">
        <v>132</v>
      </c>
      <c r="X348" s="1" t="s">
        <v>7358</v>
      </c>
      <c r="Y348" s="1" t="s">
        <v>132</v>
      </c>
      <c r="Z348" s="1" t="s">
        <v>7359</v>
      </c>
      <c r="AA348" s="1" t="s">
        <v>132</v>
      </c>
      <c r="AB348" s="1" t="s">
        <v>132</v>
      </c>
      <c r="AC348" s="1" t="s">
        <v>132</v>
      </c>
      <c r="AD348" s="1" t="s">
        <v>132</v>
      </c>
      <c r="AE348" s="1" t="s">
        <v>132</v>
      </c>
      <c r="AF348" s="1" t="s">
        <v>132</v>
      </c>
      <c r="AG348" s="1" t="s">
        <v>132</v>
      </c>
      <c r="AH348" s="1" t="s">
        <v>132</v>
      </c>
      <c r="AI348" s="1" t="s">
        <v>132</v>
      </c>
      <c r="AJ348" s="1" t="s">
        <v>132</v>
      </c>
      <c r="AK348" s="1" t="s">
        <v>132</v>
      </c>
      <c r="AL348" s="1" t="s">
        <v>132</v>
      </c>
      <c r="AM348" s="1" t="s">
        <v>132</v>
      </c>
      <c r="AN348" s="1" t="s">
        <v>132</v>
      </c>
    </row>
    <row r="349" ht="15.75" customHeight="1">
      <c r="A349" s="1" t="s">
        <v>127</v>
      </c>
      <c r="B349" s="1" t="s">
        <v>7360</v>
      </c>
      <c r="C349" s="1" t="s">
        <v>7361</v>
      </c>
      <c r="D349" s="8" t="s">
        <v>7362</v>
      </c>
      <c r="E349" s="1" t="s">
        <v>7363</v>
      </c>
      <c r="F349" s="1" t="s">
        <v>132</v>
      </c>
      <c r="G349" s="1" t="s">
        <v>7364</v>
      </c>
      <c r="H349" s="1" t="s">
        <v>7365</v>
      </c>
      <c r="I349" s="1" t="s">
        <v>7366</v>
      </c>
      <c r="J349" s="1" t="s">
        <v>7367</v>
      </c>
      <c r="K349" s="1" t="s">
        <v>7368</v>
      </c>
      <c r="L349" s="1" t="s">
        <v>7369</v>
      </c>
      <c r="M349" s="1" t="s">
        <v>7370</v>
      </c>
      <c r="N349" s="1" t="s">
        <v>132</v>
      </c>
      <c r="O349" s="1" t="s">
        <v>7371</v>
      </c>
      <c r="P349" s="1" t="s">
        <v>7361</v>
      </c>
      <c r="Q349" s="1" t="s">
        <v>132</v>
      </c>
      <c r="R349" s="1" t="s">
        <v>7372</v>
      </c>
      <c r="S349" s="1" t="s">
        <v>7373</v>
      </c>
      <c r="T349" s="8" t="s">
        <v>7374</v>
      </c>
      <c r="U349" s="1" t="s">
        <v>7375</v>
      </c>
      <c r="V349" s="1" t="s">
        <v>7376</v>
      </c>
      <c r="W349" s="1" t="s">
        <v>7377</v>
      </c>
      <c r="X349" s="1" t="s">
        <v>7378</v>
      </c>
      <c r="Y349" s="1" t="s">
        <v>7379</v>
      </c>
      <c r="Z349" s="1" t="s">
        <v>7380</v>
      </c>
      <c r="AA349" s="1" t="s">
        <v>7381</v>
      </c>
      <c r="AB349" s="1" t="s">
        <v>7382</v>
      </c>
      <c r="AC349" s="1" t="s">
        <v>7383</v>
      </c>
      <c r="AD349" s="1" t="s">
        <v>7384</v>
      </c>
      <c r="AE349" s="1" t="s">
        <v>7385</v>
      </c>
      <c r="AF349" s="1" t="s">
        <v>7386</v>
      </c>
      <c r="AG349" s="1" t="s">
        <v>7387</v>
      </c>
      <c r="AH349" s="1" t="s">
        <v>7388</v>
      </c>
      <c r="AI349" s="1" t="s">
        <v>7389</v>
      </c>
      <c r="AJ349" s="1" t="s">
        <v>132</v>
      </c>
      <c r="AK349" s="1" t="s">
        <v>7390</v>
      </c>
      <c r="AL349" s="1" t="s">
        <v>7391</v>
      </c>
      <c r="AM349" s="1" t="s">
        <v>132</v>
      </c>
      <c r="AN349" s="1" t="s">
        <v>132</v>
      </c>
    </row>
    <row r="350" ht="15.75" customHeight="1">
      <c r="A350" s="1" t="s">
        <v>38</v>
      </c>
      <c r="B350" s="1" t="s">
        <v>7392</v>
      </c>
      <c r="C350" s="1" t="s">
        <v>7393</v>
      </c>
      <c r="D350" s="8" t="s">
        <v>7394</v>
      </c>
      <c r="E350" s="1" t="s">
        <v>7395</v>
      </c>
      <c r="F350" s="1" t="s">
        <v>7396</v>
      </c>
      <c r="G350" s="1" t="s">
        <v>132</v>
      </c>
      <c r="H350" s="1" t="s">
        <v>132</v>
      </c>
      <c r="I350" s="1" t="s">
        <v>7397</v>
      </c>
      <c r="J350" s="1" t="s">
        <v>132</v>
      </c>
      <c r="K350" s="1" t="s">
        <v>7398</v>
      </c>
      <c r="L350" s="1" t="s">
        <v>132</v>
      </c>
      <c r="M350" s="1" t="s">
        <v>7399</v>
      </c>
      <c r="N350" s="1" t="s">
        <v>7400</v>
      </c>
      <c r="O350" s="1" t="s">
        <v>132</v>
      </c>
      <c r="P350" s="1" t="s">
        <v>7401</v>
      </c>
      <c r="Q350" s="1" t="s">
        <v>132</v>
      </c>
      <c r="R350" s="1" t="s">
        <v>132</v>
      </c>
      <c r="S350" s="1" t="s">
        <v>7402</v>
      </c>
      <c r="T350" s="1" t="s">
        <v>132</v>
      </c>
      <c r="U350" s="1" t="s">
        <v>7403</v>
      </c>
      <c r="V350" s="1" t="s">
        <v>7404</v>
      </c>
      <c r="W350" s="1" t="s">
        <v>132</v>
      </c>
      <c r="X350" s="1" t="s">
        <v>7405</v>
      </c>
      <c r="Y350" s="1" t="s">
        <v>132</v>
      </c>
      <c r="Z350" s="1" t="s">
        <v>7406</v>
      </c>
      <c r="AA350" s="1" t="s">
        <v>7407</v>
      </c>
      <c r="AB350" s="1" t="s">
        <v>132</v>
      </c>
      <c r="AC350" s="1" t="s">
        <v>7408</v>
      </c>
      <c r="AD350" s="1" t="s">
        <v>132</v>
      </c>
      <c r="AE350" s="1" t="s">
        <v>132</v>
      </c>
      <c r="AF350" s="1" t="s">
        <v>7409</v>
      </c>
      <c r="AG350" s="1" t="s">
        <v>7410</v>
      </c>
      <c r="AH350" s="1" t="s">
        <v>132</v>
      </c>
      <c r="AI350" s="1" t="s">
        <v>132</v>
      </c>
      <c r="AJ350" s="1" t="s">
        <v>7411</v>
      </c>
      <c r="AK350" s="1" t="s">
        <v>7412</v>
      </c>
      <c r="AL350" s="1" t="s">
        <v>132</v>
      </c>
      <c r="AM350" s="1" t="s">
        <v>7413</v>
      </c>
      <c r="AN350" s="1" t="s">
        <v>7413</v>
      </c>
    </row>
    <row r="351" ht="15.75" customHeight="1">
      <c r="A351" s="1" t="s">
        <v>127</v>
      </c>
      <c r="B351" s="1" t="s">
        <v>7414</v>
      </c>
      <c r="C351" s="1" t="s">
        <v>7415</v>
      </c>
      <c r="D351" s="8" t="s">
        <v>7416</v>
      </c>
      <c r="E351" s="1" t="s">
        <v>7417</v>
      </c>
      <c r="F351" s="1" t="s">
        <v>132</v>
      </c>
      <c r="G351" s="1" t="s">
        <v>7418</v>
      </c>
      <c r="H351" s="1" t="s">
        <v>7419</v>
      </c>
      <c r="I351" s="1" t="s">
        <v>7420</v>
      </c>
      <c r="J351" s="1" t="s">
        <v>7421</v>
      </c>
      <c r="K351" s="1" t="s">
        <v>7422</v>
      </c>
      <c r="L351" s="1" t="s">
        <v>7423</v>
      </c>
      <c r="M351" s="1" t="s">
        <v>7424</v>
      </c>
      <c r="N351" s="1" t="s">
        <v>132</v>
      </c>
      <c r="O351" s="1" t="s">
        <v>7425</v>
      </c>
      <c r="P351" s="1" t="s">
        <v>7426</v>
      </c>
      <c r="Q351" s="1" t="s">
        <v>132</v>
      </c>
      <c r="R351" s="1" t="s">
        <v>7427</v>
      </c>
      <c r="S351" s="1" t="s">
        <v>7428</v>
      </c>
      <c r="T351" s="8" t="s">
        <v>7429</v>
      </c>
      <c r="U351" s="1" t="s">
        <v>7430</v>
      </c>
      <c r="V351" s="1" t="s">
        <v>7431</v>
      </c>
      <c r="W351" s="1" t="s">
        <v>7432</v>
      </c>
      <c r="X351" s="1" t="s">
        <v>7433</v>
      </c>
      <c r="Y351" s="1" t="s">
        <v>7434</v>
      </c>
      <c r="Z351" s="1" t="s">
        <v>7435</v>
      </c>
      <c r="AA351" s="1" t="s">
        <v>7436</v>
      </c>
      <c r="AB351" s="1" t="s">
        <v>7437</v>
      </c>
      <c r="AC351" s="1" t="s">
        <v>7438</v>
      </c>
      <c r="AD351" s="1" t="s">
        <v>7439</v>
      </c>
      <c r="AE351" s="1" t="s">
        <v>7440</v>
      </c>
      <c r="AF351" s="1" t="s">
        <v>7441</v>
      </c>
      <c r="AG351" s="1" t="s">
        <v>7442</v>
      </c>
      <c r="AH351" s="1" t="s">
        <v>7443</v>
      </c>
      <c r="AI351" s="1" t="s">
        <v>7444</v>
      </c>
      <c r="AJ351" s="1" t="s">
        <v>132</v>
      </c>
      <c r="AK351" s="1" t="s">
        <v>7445</v>
      </c>
      <c r="AL351" s="1" t="s">
        <v>7446</v>
      </c>
      <c r="AM351" s="1" t="s">
        <v>7447</v>
      </c>
      <c r="AN351" s="1" t="s">
        <v>7447</v>
      </c>
    </row>
    <row r="352" ht="15.75" customHeight="1">
      <c r="A352" s="1" t="s">
        <v>127</v>
      </c>
      <c r="B352" s="1" t="s">
        <v>7448</v>
      </c>
      <c r="C352" s="1" t="s">
        <v>7449</v>
      </c>
      <c r="D352" s="8" t="s">
        <v>7450</v>
      </c>
      <c r="E352" s="1" t="s">
        <v>7451</v>
      </c>
      <c r="F352" s="1" t="s">
        <v>132</v>
      </c>
      <c r="G352" s="1" t="s">
        <v>7452</v>
      </c>
      <c r="H352" s="1" t="s">
        <v>7453</v>
      </c>
      <c r="I352" s="1" t="s">
        <v>7454</v>
      </c>
      <c r="J352" s="1" t="s">
        <v>7455</v>
      </c>
      <c r="K352" s="1" t="s">
        <v>7456</v>
      </c>
      <c r="L352" s="1" t="s">
        <v>7457</v>
      </c>
      <c r="M352" s="1" t="s">
        <v>7458</v>
      </c>
      <c r="N352" s="1" t="s">
        <v>132</v>
      </c>
      <c r="O352" s="1" t="s">
        <v>7459</v>
      </c>
      <c r="P352" s="1" t="s">
        <v>7460</v>
      </c>
      <c r="Q352" s="1" t="s">
        <v>132</v>
      </c>
      <c r="R352" s="1" t="s">
        <v>7461</v>
      </c>
      <c r="S352" s="1" t="s">
        <v>7462</v>
      </c>
      <c r="T352" s="8" t="s">
        <v>7463</v>
      </c>
      <c r="U352" s="1" t="s">
        <v>7464</v>
      </c>
      <c r="V352" s="1" t="s">
        <v>7465</v>
      </c>
      <c r="W352" s="1" t="s">
        <v>7466</v>
      </c>
      <c r="X352" s="1" t="s">
        <v>7467</v>
      </c>
      <c r="Y352" s="1" t="s">
        <v>7468</v>
      </c>
      <c r="Z352" s="1" t="s">
        <v>7469</v>
      </c>
      <c r="AA352" s="1" t="s">
        <v>7470</v>
      </c>
      <c r="AB352" s="1" t="s">
        <v>7471</v>
      </c>
      <c r="AC352" s="1" t="s">
        <v>7472</v>
      </c>
      <c r="AD352" s="1" t="s">
        <v>7473</v>
      </c>
      <c r="AE352" s="1" t="s">
        <v>7474</v>
      </c>
      <c r="AF352" s="1" t="s">
        <v>7475</v>
      </c>
      <c r="AG352" s="1" t="s">
        <v>7476</v>
      </c>
      <c r="AH352" s="1" t="s">
        <v>7477</v>
      </c>
      <c r="AI352" s="1" t="s">
        <v>7478</v>
      </c>
      <c r="AJ352" s="1" t="s">
        <v>132</v>
      </c>
      <c r="AK352" s="1" t="s">
        <v>7479</v>
      </c>
      <c r="AL352" s="1" t="s">
        <v>7480</v>
      </c>
      <c r="AM352" s="1" t="s">
        <v>132</v>
      </c>
      <c r="AN352" s="1" t="s">
        <v>132</v>
      </c>
    </row>
    <row r="353" ht="15.75" customHeight="1">
      <c r="A353" s="1" t="s">
        <v>127</v>
      </c>
      <c r="B353" s="1" t="s">
        <v>7481</v>
      </c>
      <c r="C353" s="1" t="s">
        <v>7482</v>
      </c>
      <c r="D353" s="8" t="s">
        <v>7483</v>
      </c>
      <c r="E353" s="1" t="s">
        <v>7484</v>
      </c>
      <c r="F353" s="1" t="s">
        <v>132</v>
      </c>
      <c r="G353" s="1" t="s">
        <v>7485</v>
      </c>
      <c r="H353" s="1" t="s">
        <v>7486</v>
      </c>
      <c r="I353" s="1" t="s">
        <v>7487</v>
      </c>
      <c r="J353" s="1" t="s">
        <v>7488</v>
      </c>
      <c r="K353" s="1" t="s">
        <v>7489</v>
      </c>
      <c r="L353" s="1" t="s">
        <v>7490</v>
      </c>
      <c r="M353" s="1" t="s">
        <v>7491</v>
      </c>
      <c r="N353" s="1" t="s">
        <v>132</v>
      </c>
      <c r="O353" s="1" t="s">
        <v>7492</v>
      </c>
      <c r="P353" s="1" t="s">
        <v>7493</v>
      </c>
      <c r="Q353" s="1" t="s">
        <v>132</v>
      </c>
      <c r="R353" s="1" t="s">
        <v>7494</v>
      </c>
      <c r="S353" s="1" t="s">
        <v>7495</v>
      </c>
      <c r="T353" s="8" t="s">
        <v>7496</v>
      </c>
      <c r="U353" s="1" t="s">
        <v>7497</v>
      </c>
      <c r="V353" s="1" t="s">
        <v>7498</v>
      </c>
      <c r="W353" s="1" t="s">
        <v>7499</v>
      </c>
      <c r="X353" s="1" t="s">
        <v>7500</v>
      </c>
      <c r="Y353" s="1" t="s">
        <v>7501</v>
      </c>
      <c r="Z353" s="1" t="s">
        <v>7502</v>
      </c>
      <c r="AA353" s="1" t="s">
        <v>7503</v>
      </c>
      <c r="AB353" s="1" t="s">
        <v>7504</v>
      </c>
      <c r="AC353" s="1" t="s">
        <v>7505</v>
      </c>
      <c r="AD353" s="1" t="s">
        <v>7506</v>
      </c>
      <c r="AE353" s="1" t="s">
        <v>7507</v>
      </c>
      <c r="AF353" s="1" t="s">
        <v>7508</v>
      </c>
      <c r="AG353" s="1" t="s">
        <v>7509</v>
      </c>
      <c r="AH353" s="1" t="s">
        <v>7510</v>
      </c>
      <c r="AI353" s="1" t="s">
        <v>7511</v>
      </c>
      <c r="AJ353" s="1" t="s">
        <v>132</v>
      </c>
      <c r="AK353" s="1" t="s">
        <v>7512</v>
      </c>
      <c r="AL353" s="1" t="s">
        <v>7513</v>
      </c>
      <c r="AM353" s="1" t="s">
        <v>7514</v>
      </c>
      <c r="AN353" s="1" t="s">
        <v>7514</v>
      </c>
    </row>
    <row r="354" ht="15.75" customHeight="1">
      <c r="A354" s="1" t="s">
        <v>127</v>
      </c>
      <c r="B354" s="1" t="s">
        <v>7515</v>
      </c>
      <c r="C354" s="1" t="s">
        <v>7516</v>
      </c>
      <c r="D354" s="8" t="s">
        <v>7517</v>
      </c>
      <c r="E354" s="1" t="s">
        <v>7518</v>
      </c>
      <c r="F354" s="1" t="s">
        <v>132</v>
      </c>
      <c r="G354" s="1" t="s">
        <v>7519</v>
      </c>
      <c r="H354" s="1" t="s">
        <v>7520</v>
      </c>
      <c r="I354" s="1" t="s">
        <v>7521</v>
      </c>
      <c r="J354" s="1" t="s">
        <v>7522</v>
      </c>
      <c r="K354" s="1" t="s">
        <v>7523</v>
      </c>
      <c r="L354" s="1" t="s">
        <v>7524</v>
      </c>
      <c r="M354" s="1" t="s">
        <v>7525</v>
      </c>
      <c r="N354" s="1" t="s">
        <v>132</v>
      </c>
      <c r="O354" s="1" t="s">
        <v>7526</v>
      </c>
      <c r="P354" s="1" t="s">
        <v>7527</v>
      </c>
      <c r="Q354" s="1" t="s">
        <v>132</v>
      </c>
      <c r="R354" s="1" t="s">
        <v>7528</v>
      </c>
      <c r="S354" s="1" t="s">
        <v>7529</v>
      </c>
      <c r="T354" s="8" t="s">
        <v>7530</v>
      </c>
      <c r="U354" s="1" t="s">
        <v>7531</v>
      </c>
      <c r="V354" s="1" t="s">
        <v>7532</v>
      </c>
      <c r="W354" s="1" t="s">
        <v>7533</v>
      </c>
      <c r="X354" s="1" t="s">
        <v>7534</v>
      </c>
      <c r="Y354" s="1" t="s">
        <v>7535</v>
      </c>
      <c r="Z354" s="1" t="s">
        <v>7536</v>
      </c>
      <c r="AA354" s="1" t="s">
        <v>7537</v>
      </c>
      <c r="AB354" s="1" t="s">
        <v>7538</v>
      </c>
      <c r="AC354" s="1" t="s">
        <v>7539</v>
      </c>
      <c r="AD354" s="1" t="s">
        <v>7540</v>
      </c>
      <c r="AE354" s="1" t="s">
        <v>7541</v>
      </c>
      <c r="AF354" s="1" t="s">
        <v>7542</v>
      </c>
      <c r="AG354" s="1" t="s">
        <v>7520</v>
      </c>
      <c r="AH354" s="1" t="s">
        <v>7543</v>
      </c>
      <c r="AI354" s="1" t="s">
        <v>7544</v>
      </c>
      <c r="AJ354" s="1" t="s">
        <v>132</v>
      </c>
      <c r="AK354" s="1" t="s">
        <v>7545</v>
      </c>
      <c r="AL354" s="1" t="s">
        <v>7546</v>
      </c>
      <c r="AM354" s="1" t="s">
        <v>7547</v>
      </c>
      <c r="AN354" s="1" t="s">
        <v>7547</v>
      </c>
    </row>
    <row r="355" ht="15.75" customHeight="1">
      <c r="A355" s="1" t="s">
        <v>127</v>
      </c>
      <c r="B355" s="1" t="s">
        <v>7548</v>
      </c>
      <c r="C355" s="1" t="s">
        <v>7549</v>
      </c>
      <c r="D355" s="8" t="s">
        <v>7550</v>
      </c>
      <c r="E355" s="1" t="s">
        <v>7551</v>
      </c>
      <c r="F355" s="1" t="s">
        <v>132</v>
      </c>
      <c r="G355" s="1" t="s">
        <v>7552</v>
      </c>
      <c r="H355" s="1" t="s">
        <v>7553</v>
      </c>
      <c r="I355" s="1" t="s">
        <v>7549</v>
      </c>
      <c r="J355" s="1" t="s">
        <v>7554</v>
      </c>
      <c r="K355" s="1" t="s">
        <v>7549</v>
      </c>
      <c r="L355" s="1" t="s">
        <v>7555</v>
      </c>
      <c r="M355" s="1" t="s">
        <v>7556</v>
      </c>
      <c r="N355" s="1" t="s">
        <v>132</v>
      </c>
      <c r="O355" s="1" t="s">
        <v>7557</v>
      </c>
      <c r="P355" s="1" t="s">
        <v>7549</v>
      </c>
      <c r="Q355" s="1" t="s">
        <v>132</v>
      </c>
      <c r="R355" s="1" t="s">
        <v>7558</v>
      </c>
      <c r="S355" s="1" t="s">
        <v>7549</v>
      </c>
      <c r="T355" s="8" t="s">
        <v>7559</v>
      </c>
      <c r="U355" s="1" t="s">
        <v>7560</v>
      </c>
      <c r="V355" s="1" t="s">
        <v>7561</v>
      </c>
      <c r="W355" s="1" t="s">
        <v>7562</v>
      </c>
      <c r="X355" s="1" t="s">
        <v>7549</v>
      </c>
      <c r="Y355" s="1" t="s">
        <v>7563</v>
      </c>
      <c r="Z355" s="1" t="s">
        <v>7549</v>
      </c>
      <c r="AA355" s="1" t="s">
        <v>7564</v>
      </c>
      <c r="AB355" s="1" t="s">
        <v>7565</v>
      </c>
      <c r="AC355" s="1" t="s">
        <v>7566</v>
      </c>
      <c r="AD355" s="1" t="s">
        <v>7567</v>
      </c>
      <c r="AE355" s="1" t="s">
        <v>7568</v>
      </c>
      <c r="AF355" s="1" t="s">
        <v>7549</v>
      </c>
      <c r="AG355" s="1" t="s">
        <v>7569</v>
      </c>
      <c r="AH355" s="1" t="s">
        <v>7570</v>
      </c>
      <c r="AI355" s="1" t="s">
        <v>7571</v>
      </c>
      <c r="AJ355" s="1" t="s">
        <v>132</v>
      </c>
      <c r="AK355" s="1" t="s">
        <v>7572</v>
      </c>
      <c r="AL355" s="1" t="s">
        <v>7573</v>
      </c>
      <c r="AM355" s="1" t="s">
        <v>7574</v>
      </c>
      <c r="AN355" s="1" t="s">
        <v>7574</v>
      </c>
    </row>
    <row r="356" ht="15.75" customHeight="1">
      <c r="A356" s="1" t="s">
        <v>38</v>
      </c>
      <c r="B356" s="1" t="s">
        <v>7575</v>
      </c>
      <c r="C356" s="1" t="s">
        <v>7576</v>
      </c>
      <c r="D356" s="8" t="s">
        <v>7577</v>
      </c>
      <c r="E356" s="1" t="s">
        <v>7578</v>
      </c>
      <c r="F356" s="1" t="s">
        <v>7579</v>
      </c>
      <c r="G356" s="1" t="s">
        <v>132</v>
      </c>
      <c r="H356" s="1" t="s">
        <v>132</v>
      </c>
      <c r="I356" s="1" t="s">
        <v>7580</v>
      </c>
      <c r="J356" s="1" t="s">
        <v>132</v>
      </c>
      <c r="K356" s="1" t="s">
        <v>7581</v>
      </c>
      <c r="L356" s="1" t="s">
        <v>132</v>
      </c>
      <c r="M356" s="1" t="s">
        <v>7582</v>
      </c>
      <c r="N356" s="1" t="s">
        <v>7583</v>
      </c>
      <c r="O356" s="1" t="s">
        <v>132</v>
      </c>
      <c r="P356" s="1" t="s">
        <v>7584</v>
      </c>
      <c r="Q356" s="1" t="s">
        <v>7585</v>
      </c>
      <c r="R356" s="1" t="s">
        <v>132</v>
      </c>
      <c r="S356" s="1" t="s">
        <v>7586</v>
      </c>
      <c r="T356" s="1" t="s">
        <v>132</v>
      </c>
      <c r="U356" s="1" t="s">
        <v>7587</v>
      </c>
      <c r="V356" s="1" t="s">
        <v>7588</v>
      </c>
      <c r="W356" s="1" t="s">
        <v>132</v>
      </c>
      <c r="X356" s="1" t="s">
        <v>7589</v>
      </c>
      <c r="Y356" s="1" t="s">
        <v>132</v>
      </c>
      <c r="Z356" s="1" t="s">
        <v>7590</v>
      </c>
      <c r="AA356" s="1" t="s">
        <v>7591</v>
      </c>
      <c r="AB356" s="1" t="s">
        <v>132</v>
      </c>
      <c r="AC356" s="1" t="s">
        <v>7592</v>
      </c>
      <c r="AD356" s="1" t="s">
        <v>7593</v>
      </c>
      <c r="AE356" s="1" t="s">
        <v>132</v>
      </c>
      <c r="AF356" s="1" t="s">
        <v>7594</v>
      </c>
      <c r="AG356" s="1" t="s">
        <v>7595</v>
      </c>
      <c r="AH356" s="1" t="s">
        <v>132</v>
      </c>
      <c r="AI356" s="1" t="s">
        <v>132</v>
      </c>
      <c r="AJ356" s="1" t="s">
        <v>7596</v>
      </c>
      <c r="AK356" s="1" t="s">
        <v>7597</v>
      </c>
      <c r="AL356" s="1" t="s">
        <v>132</v>
      </c>
      <c r="AM356" s="1" t="s">
        <v>7598</v>
      </c>
      <c r="AN356" s="1" t="s">
        <v>7598</v>
      </c>
    </row>
    <row r="357" ht="15.75" customHeight="1">
      <c r="A357" s="1" t="s">
        <v>38</v>
      </c>
      <c r="B357" s="1" t="s">
        <v>7599</v>
      </c>
      <c r="C357" s="1" t="s">
        <v>7600</v>
      </c>
      <c r="D357" s="1" t="s">
        <v>132</v>
      </c>
      <c r="E357" s="1" t="s">
        <v>132</v>
      </c>
      <c r="F357" s="1" t="s">
        <v>132</v>
      </c>
      <c r="G357" s="1" t="s">
        <v>132</v>
      </c>
      <c r="H357" s="1" t="s">
        <v>132</v>
      </c>
      <c r="I357" s="1" t="s">
        <v>7601</v>
      </c>
      <c r="J357" s="1" t="s">
        <v>132</v>
      </c>
      <c r="K357" s="1" t="s">
        <v>7601</v>
      </c>
      <c r="L357" s="1" t="s">
        <v>132</v>
      </c>
      <c r="M357" s="1" t="s">
        <v>7600</v>
      </c>
      <c r="N357" s="1" t="s">
        <v>132</v>
      </c>
      <c r="O357" s="1" t="s">
        <v>132</v>
      </c>
      <c r="P357" s="1" t="s">
        <v>7600</v>
      </c>
      <c r="Q357" s="1" t="s">
        <v>132</v>
      </c>
      <c r="R357" s="1" t="s">
        <v>132</v>
      </c>
      <c r="S357" s="1" t="s">
        <v>132</v>
      </c>
      <c r="T357" s="1" t="s">
        <v>132</v>
      </c>
      <c r="U357" s="1" t="s">
        <v>132</v>
      </c>
      <c r="V357" s="1" t="s">
        <v>132</v>
      </c>
      <c r="W357" s="1" t="s">
        <v>132</v>
      </c>
      <c r="X357" s="1" t="s">
        <v>132</v>
      </c>
      <c r="Y357" s="1" t="s">
        <v>132</v>
      </c>
      <c r="Z357" s="1" t="s">
        <v>132</v>
      </c>
      <c r="AA357" s="1" t="s">
        <v>132</v>
      </c>
      <c r="AB357" s="1" t="s">
        <v>132</v>
      </c>
      <c r="AC357" s="1" t="s">
        <v>7602</v>
      </c>
      <c r="AD357" s="1" t="s">
        <v>132</v>
      </c>
      <c r="AE357" s="1" t="s">
        <v>132</v>
      </c>
      <c r="AF357" s="1" t="s">
        <v>7603</v>
      </c>
      <c r="AG357" s="1" t="s">
        <v>132</v>
      </c>
      <c r="AH357" s="1" t="s">
        <v>132</v>
      </c>
      <c r="AI357" s="1" t="s">
        <v>132</v>
      </c>
      <c r="AJ357" s="1" t="s">
        <v>132</v>
      </c>
      <c r="AK357" s="1" t="s">
        <v>132</v>
      </c>
      <c r="AL357" s="1" t="s">
        <v>132</v>
      </c>
      <c r="AM357" s="1" t="s">
        <v>132</v>
      </c>
      <c r="AN357" s="1" t="s">
        <v>132</v>
      </c>
    </row>
    <row r="358" ht="15.75" customHeight="1">
      <c r="A358" s="1" t="s">
        <v>38</v>
      </c>
      <c r="B358" s="1" t="s">
        <v>7604</v>
      </c>
      <c r="C358" s="1" t="s">
        <v>7605</v>
      </c>
      <c r="D358" s="1" t="s">
        <v>132</v>
      </c>
      <c r="E358" s="1" t="s">
        <v>132</v>
      </c>
      <c r="F358" s="1" t="s">
        <v>132</v>
      </c>
      <c r="G358" s="1" t="s">
        <v>132</v>
      </c>
      <c r="H358" s="1" t="s">
        <v>132</v>
      </c>
      <c r="I358" s="1" t="s">
        <v>7606</v>
      </c>
      <c r="J358" s="1" t="s">
        <v>132</v>
      </c>
      <c r="K358" s="1" t="s">
        <v>7607</v>
      </c>
      <c r="L358" s="1" t="s">
        <v>132</v>
      </c>
      <c r="M358" s="1" t="s">
        <v>7608</v>
      </c>
      <c r="N358" s="1" t="s">
        <v>132</v>
      </c>
      <c r="O358" s="1" t="s">
        <v>132</v>
      </c>
      <c r="P358" s="1" t="s">
        <v>7605</v>
      </c>
      <c r="Q358" s="1" t="s">
        <v>132</v>
      </c>
      <c r="R358" s="1" t="s">
        <v>132</v>
      </c>
      <c r="S358" s="1" t="s">
        <v>132</v>
      </c>
      <c r="T358" s="1" t="s">
        <v>132</v>
      </c>
      <c r="U358" s="1" t="s">
        <v>132</v>
      </c>
      <c r="V358" s="1" t="s">
        <v>132</v>
      </c>
      <c r="W358" s="1" t="s">
        <v>132</v>
      </c>
      <c r="X358" s="1" t="s">
        <v>132</v>
      </c>
      <c r="Y358" s="1" t="s">
        <v>132</v>
      </c>
      <c r="Z358" s="1" t="s">
        <v>132</v>
      </c>
      <c r="AA358" s="1" t="s">
        <v>132</v>
      </c>
      <c r="AB358" s="1" t="s">
        <v>132</v>
      </c>
      <c r="AC358" s="1" t="s">
        <v>7609</v>
      </c>
      <c r="AD358" s="1" t="s">
        <v>132</v>
      </c>
      <c r="AE358" s="1" t="s">
        <v>132</v>
      </c>
      <c r="AF358" s="1" t="s">
        <v>7610</v>
      </c>
      <c r="AG358" s="1" t="s">
        <v>132</v>
      </c>
      <c r="AH358" s="1" t="s">
        <v>132</v>
      </c>
      <c r="AI358" s="1" t="s">
        <v>132</v>
      </c>
      <c r="AJ358" s="1" t="s">
        <v>132</v>
      </c>
      <c r="AK358" s="1" t="s">
        <v>132</v>
      </c>
      <c r="AL358" s="1" t="s">
        <v>132</v>
      </c>
      <c r="AM358" s="1" t="s">
        <v>132</v>
      </c>
      <c r="AN358" s="1" t="s">
        <v>132</v>
      </c>
    </row>
    <row r="359" ht="15.75" customHeight="1">
      <c r="A359" s="1" t="s">
        <v>127</v>
      </c>
      <c r="B359" s="1" t="s">
        <v>7611</v>
      </c>
      <c r="C359" s="1" t="s">
        <v>7612</v>
      </c>
      <c r="D359" s="8" t="s">
        <v>7613</v>
      </c>
      <c r="E359" s="1" t="s">
        <v>7614</v>
      </c>
      <c r="F359" s="1" t="s">
        <v>132</v>
      </c>
      <c r="G359" s="1" t="s">
        <v>7615</v>
      </c>
      <c r="H359" s="1" t="s">
        <v>7616</v>
      </c>
      <c r="I359" s="1" t="s">
        <v>7617</v>
      </c>
      <c r="J359" s="1" t="s">
        <v>7618</v>
      </c>
      <c r="K359" s="1" t="s">
        <v>7619</v>
      </c>
      <c r="L359" s="1" t="s">
        <v>7620</v>
      </c>
      <c r="M359" s="1" t="s">
        <v>7621</v>
      </c>
      <c r="N359" s="1" t="s">
        <v>132</v>
      </c>
      <c r="O359" s="1" t="s">
        <v>7622</v>
      </c>
      <c r="P359" s="1" t="s">
        <v>7623</v>
      </c>
      <c r="Q359" s="1" t="s">
        <v>132</v>
      </c>
      <c r="R359" s="1" t="s">
        <v>7624</v>
      </c>
      <c r="S359" s="1" t="s">
        <v>7625</v>
      </c>
      <c r="T359" s="8" t="s">
        <v>7626</v>
      </c>
      <c r="U359" s="1" t="s">
        <v>7627</v>
      </c>
      <c r="V359" s="1" t="s">
        <v>7628</v>
      </c>
      <c r="W359" s="1" t="s">
        <v>7629</v>
      </c>
      <c r="X359" s="1" t="s">
        <v>7630</v>
      </c>
      <c r="Y359" s="1" t="s">
        <v>7631</v>
      </c>
      <c r="Z359" s="1" t="s">
        <v>7632</v>
      </c>
      <c r="AA359" s="1" t="s">
        <v>7633</v>
      </c>
      <c r="AB359" s="1" t="s">
        <v>7634</v>
      </c>
      <c r="AC359" s="1" t="s">
        <v>7635</v>
      </c>
      <c r="AD359" s="1" t="s">
        <v>7636</v>
      </c>
      <c r="AE359" s="1" t="s">
        <v>7637</v>
      </c>
      <c r="AF359" s="1" t="s">
        <v>7638</v>
      </c>
      <c r="AG359" s="1" t="s">
        <v>7639</v>
      </c>
      <c r="AH359" s="1" t="s">
        <v>7640</v>
      </c>
      <c r="AI359" s="1" t="s">
        <v>7641</v>
      </c>
      <c r="AJ359" s="1" t="s">
        <v>132</v>
      </c>
      <c r="AK359" s="1" t="s">
        <v>7642</v>
      </c>
      <c r="AL359" s="1" t="s">
        <v>7643</v>
      </c>
      <c r="AM359" s="1" t="s">
        <v>7644</v>
      </c>
      <c r="AN359" s="1" t="s">
        <v>7644</v>
      </c>
    </row>
    <row r="360" ht="15.75" customHeight="1">
      <c r="A360" s="1" t="s">
        <v>38</v>
      </c>
      <c r="B360" s="1" t="s">
        <v>7645</v>
      </c>
      <c r="C360" s="1" t="s">
        <v>7646</v>
      </c>
      <c r="D360" s="1" t="s">
        <v>132</v>
      </c>
      <c r="E360" s="1" t="s">
        <v>132</v>
      </c>
      <c r="F360" s="1" t="s">
        <v>132</v>
      </c>
      <c r="G360" s="1" t="s">
        <v>132</v>
      </c>
      <c r="H360" s="1" t="s">
        <v>132</v>
      </c>
      <c r="I360" s="1" t="s">
        <v>7646</v>
      </c>
      <c r="J360" s="1" t="s">
        <v>132</v>
      </c>
      <c r="K360" s="1" t="s">
        <v>7647</v>
      </c>
      <c r="L360" s="1" t="s">
        <v>132</v>
      </c>
      <c r="M360" s="1" t="s">
        <v>7648</v>
      </c>
      <c r="N360" s="1" t="s">
        <v>132</v>
      </c>
      <c r="O360" s="1" t="s">
        <v>132</v>
      </c>
      <c r="P360" s="1" t="s">
        <v>7646</v>
      </c>
      <c r="Q360" s="1" t="s">
        <v>132</v>
      </c>
      <c r="R360" s="1" t="s">
        <v>132</v>
      </c>
      <c r="S360" s="1" t="s">
        <v>132</v>
      </c>
      <c r="T360" s="1" t="s">
        <v>132</v>
      </c>
      <c r="U360" s="1" t="s">
        <v>132</v>
      </c>
      <c r="V360" s="1" t="s">
        <v>132</v>
      </c>
      <c r="W360" s="1" t="s">
        <v>132</v>
      </c>
      <c r="X360" s="1" t="s">
        <v>132</v>
      </c>
      <c r="Y360" s="1" t="s">
        <v>132</v>
      </c>
      <c r="Z360" s="1" t="s">
        <v>132</v>
      </c>
      <c r="AA360" s="1" t="s">
        <v>132</v>
      </c>
      <c r="AB360" s="1" t="s">
        <v>132</v>
      </c>
      <c r="AC360" s="1" t="s">
        <v>7649</v>
      </c>
      <c r="AD360" s="1" t="s">
        <v>132</v>
      </c>
      <c r="AE360" s="1" t="s">
        <v>132</v>
      </c>
      <c r="AF360" s="1" t="s">
        <v>7650</v>
      </c>
      <c r="AG360" s="1" t="s">
        <v>132</v>
      </c>
      <c r="AH360" s="1" t="s">
        <v>132</v>
      </c>
      <c r="AI360" s="1" t="s">
        <v>132</v>
      </c>
      <c r="AJ360" s="1" t="s">
        <v>132</v>
      </c>
      <c r="AK360" s="1" t="s">
        <v>132</v>
      </c>
      <c r="AL360" s="1" t="s">
        <v>132</v>
      </c>
      <c r="AM360" s="1" t="s">
        <v>132</v>
      </c>
      <c r="AN360" s="1" t="s">
        <v>132</v>
      </c>
    </row>
    <row r="361" ht="15.75" customHeight="1">
      <c r="A361" s="1" t="s">
        <v>38</v>
      </c>
      <c r="B361" s="1" t="s">
        <v>7651</v>
      </c>
      <c r="C361" s="1" t="s">
        <v>7652</v>
      </c>
      <c r="D361" s="1" t="s">
        <v>132</v>
      </c>
      <c r="E361" s="1" t="s">
        <v>132</v>
      </c>
      <c r="F361" s="1" t="s">
        <v>132</v>
      </c>
      <c r="G361" s="1" t="s">
        <v>132</v>
      </c>
      <c r="H361" s="1" t="s">
        <v>132</v>
      </c>
      <c r="I361" s="1" t="s">
        <v>7653</v>
      </c>
      <c r="J361" s="1" t="s">
        <v>132</v>
      </c>
      <c r="K361" s="1" t="s">
        <v>7654</v>
      </c>
      <c r="L361" s="1" t="s">
        <v>132</v>
      </c>
      <c r="M361" s="1" t="s">
        <v>7655</v>
      </c>
      <c r="N361" s="1" t="s">
        <v>132</v>
      </c>
      <c r="O361" s="1" t="s">
        <v>132</v>
      </c>
      <c r="P361" s="1" t="s">
        <v>7652</v>
      </c>
      <c r="Q361" s="1" t="s">
        <v>132</v>
      </c>
      <c r="R361" s="1" t="s">
        <v>132</v>
      </c>
      <c r="S361" s="1" t="s">
        <v>132</v>
      </c>
      <c r="T361" s="1" t="s">
        <v>132</v>
      </c>
      <c r="U361" s="1" t="s">
        <v>132</v>
      </c>
      <c r="V361" s="1" t="s">
        <v>132</v>
      </c>
      <c r="W361" s="1" t="s">
        <v>132</v>
      </c>
      <c r="X361" s="1" t="s">
        <v>132</v>
      </c>
      <c r="Y361" s="1" t="s">
        <v>132</v>
      </c>
      <c r="Z361" s="1" t="s">
        <v>132</v>
      </c>
      <c r="AA361" s="1" t="s">
        <v>132</v>
      </c>
      <c r="AB361" s="1" t="s">
        <v>132</v>
      </c>
      <c r="AC361" s="1" t="s">
        <v>7656</v>
      </c>
      <c r="AD361" s="1" t="s">
        <v>132</v>
      </c>
      <c r="AE361" s="1" t="s">
        <v>132</v>
      </c>
      <c r="AF361" s="1" t="s">
        <v>7657</v>
      </c>
      <c r="AG361" s="1" t="s">
        <v>132</v>
      </c>
      <c r="AH361" s="1" t="s">
        <v>132</v>
      </c>
      <c r="AI361" s="1" t="s">
        <v>132</v>
      </c>
      <c r="AJ361" s="1" t="s">
        <v>132</v>
      </c>
      <c r="AK361" s="1" t="s">
        <v>132</v>
      </c>
      <c r="AL361" s="1" t="s">
        <v>132</v>
      </c>
      <c r="AM361" s="1" t="s">
        <v>132</v>
      </c>
      <c r="AN361" s="1" t="s">
        <v>132</v>
      </c>
    </row>
    <row r="362" ht="15.75" customHeight="1">
      <c r="A362" s="1" t="s">
        <v>38</v>
      </c>
      <c r="B362" s="1" t="s">
        <v>7658</v>
      </c>
      <c r="C362" s="1" t="s">
        <v>7659</v>
      </c>
      <c r="D362" s="1" t="s">
        <v>132</v>
      </c>
      <c r="E362" s="1" t="s">
        <v>7660</v>
      </c>
      <c r="F362" s="1" t="s">
        <v>7661</v>
      </c>
      <c r="G362" s="1" t="s">
        <v>132</v>
      </c>
      <c r="H362" s="1" t="s">
        <v>132</v>
      </c>
      <c r="I362" s="1" t="s">
        <v>7662</v>
      </c>
      <c r="J362" s="1" t="s">
        <v>132</v>
      </c>
      <c r="K362" s="1" t="s">
        <v>7663</v>
      </c>
      <c r="L362" s="1" t="s">
        <v>132</v>
      </c>
      <c r="M362" s="1" t="s">
        <v>7664</v>
      </c>
      <c r="N362" s="1" t="s">
        <v>7665</v>
      </c>
      <c r="O362" s="1" t="s">
        <v>132</v>
      </c>
      <c r="P362" s="1" t="s">
        <v>7666</v>
      </c>
      <c r="Q362" s="1" t="s">
        <v>132</v>
      </c>
      <c r="R362" s="1" t="s">
        <v>132</v>
      </c>
      <c r="S362" s="1" t="s">
        <v>7667</v>
      </c>
      <c r="T362" s="1" t="s">
        <v>132</v>
      </c>
      <c r="U362" s="1" t="s">
        <v>7668</v>
      </c>
      <c r="V362" s="1" t="s">
        <v>132</v>
      </c>
      <c r="W362" s="1" t="s">
        <v>132</v>
      </c>
      <c r="X362" s="1" t="s">
        <v>7669</v>
      </c>
      <c r="Y362" s="1" t="s">
        <v>132</v>
      </c>
      <c r="Z362" s="1" t="s">
        <v>7670</v>
      </c>
      <c r="AA362" s="1" t="s">
        <v>132</v>
      </c>
      <c r="AB362" s="1" t="s">
        <v>132</v>
      </c>
      <c r="AC362" s="1" t="s">
        <v>132</v>
      </c>
      <c r="AD362" s="1" t="s">
        <v>132</v>
      </c>
      <c r="AE362" s="1" t="s">
        <v>132</v>
      </c>
      <c r="AF362" s="1" t="s">
        <v>132</v>
      </c>
      <c r="AG362" s="1" t="s">
        <v>132</v>
      </c>
      <c r="AH362" s="1" t="s">
        <v>132</v>
      </c>
      <c r="AI362" s="1" t="s">
        <v>132</v>
      </c>
      <c r="AJ362" s="1" t="s">
        <v>132</v>
      </c>
      <c r="AK362" s="1" t="s">
        <v>132</v>
      </c>
      <c r="AL362" s="1" t="s">
        <v>132</v>
      </c>
      <c r="AM362" s="1" t="s">
        <v>132</v>
      </c>
      <c r="AN362" s="1" t="s">
        <v>132</v>
      </c>
    </row>
    <row r="363" ht="15.75" customHeight="1">
      <c r="A363" s="1" t="s">
        <v>38</v>
      </c>
      <c r="B363" s="1" t="s">
        <v>7671</v>
      </c>
      <c r="C363" s="1" t="s">
        <v>7672</v>
      </c>
      <c r="D363" s="1" t="s">
        <v>132</v>
      </c>
      <c r="E363" s="1" t="s">
        <v>132</v>
      </c>
      <c r="F363" s="1" t="s">
        <v>132</v>
      </c>
      <c r="G363" s="1" t="s">
        <v>132</v>
      </c>
      <c r="H363" s="1" t="s">
        <v>132</v>
      </c>
      <c r="I363" s="1" t="s">
        <v>7672</v>
      </c>
      <c r="J363" s="1" t="s">
        <v>132</v>
      </c>
      <c r="K363" s="1" t="s">
        <v>7672</v>
      </c>
      <c r="L363" s="1" t="s">
        <v>132</v>
      </c>
      <c r="M363" s="1" t="s">
        <v>7672</v>
      </c>
      <c r="N363" s="1" t="s">
        <v>132</v>
      </c>
      <c r="O363" s="1" t="s">
        <v>132</v>
      </c>
      <c r="P363" s="1" t="s">
        <v>7672</v>
      </c>
      <c r="Q363" s="1" t="s">
        <v>132</v>
      </c>
      <c r="R363" s="1" t="s">
        <v>132</v>
      </c>
      <c r="S363" s="1" t="s">
        <v>132</v>
      </c>
      <c r="T363" s="1" t="s">
        <v>132</v>
      </c>
      <c r="U363" s="1" t="s">
        <v>132</v>
      </c>
      <c r="V363" s="1" t="s">
        <v>132</v>
      </c>
      <c r="W363" s="1" t="s">
        <v>132</v>
      </c>
      <c r="X363" s="1" t="s">
        <v>132</v>
      </c>
      <c r="Y363" s="1" t="s">
        <v>132</v>
      </c>
      <c r="Z363" s="1" t="s">
        <v>132</v>
      </c>
      <c r="AA363" s="1" t="s">
        <v>132</v>
      </c>
      <c r="AB363" s="1" t="s">
        <v>132</v>
      </c>
      <c r="AC363" s="1" t="s">
        <v>7673</v>
      </c>
      <c r="AD363" s="1" t="s">
        <v>132</v>
      </c>
      <c r="AE363" s="1" t="s">
        <v>132</v>
      </c>
      <c r="AF363" s="1" t="s">
        <v>7672</v>
      </c>
      <c r="AG363" s="1" t="s">
        <v>132</v>
      </c>
      <c r="AH363" s="1" t="s">
        <v>132</v>
      </c>
      <c r="AI363" s="1" t="s">
        <v>132</v>
      </c>
      <c r="AJ363" s="1" t="s">
        <v>132</v>
      </c>
      <c r="AK363" s="1" t="s">
        <v>132</v>
      </c>
      <c r="AL363" s="1" t="s">
        <v>132</v>
      </c>
      <c r="AM363" s="1" t="s">
        <v>132</v>
      </c>
      <c r="AN363" s="1" t="s">
        <v>132</v>
      </c>
    </row>
    <row r="364" ht="15.75" customHeight="1">
      <c r="A364" s="1" t="s">
        <v>38</v>
      </c>
      <c r="B364" s="1" t="s">
        <v>7674</v>
      </c>
      <c r="C364" s="1" t="s">
        <v>7675</v>
      </c>
      <c r="D364" s="8" t="s">
        <v>7676</v>
      </c>
      <c r="E364" s="1" t="s">
        <v>7677</v>
      </c>
      <c r="F364" s="1" t="s">
        <v>7678</v>
      </c>
      <c r="G364" s="1" t="s">
        <v>132</v>
      </c>
      <c r="H364" s="1" t="s">
        <v>132</v>
      </c>
      <c r="I364" s="1" t="s">
        <v>7679</v>
      </c>
      <c r="J364" s="1" t="s">
        <v>132</v>
      </c>
      <c r="K364" s="1" t="s">
        <v>7680</v>
      </c>
      <c r="L364" s="1" t="s">
        <v>132</v>
      </c>
      <c r="M364" s="1" t="s">
        <v>7681</v>
      </c>
      <c r="N364" s="1" t="s">
        <v>7682</v>
      </c>
      <c r="O364" s="1" t="s">
        <v>132</v>
      </c>
      <c r="P364" s="1" t="s">
        <v>7683</v>
      </c>
      <c r="Q364" s="1" t="s">
        <v>7684</v>
      </c>
      <c r="R364" s="1" t="s">
        <v>132</v>
      </c>
      <c r="S364" s="1" t="s">
        <v>7685</v>
      </c>
      <c r="T364" s="1" t="s">
        <v>132</v>
      </c>
      <c r="U364" s="1" t="s">
        <v>7686</v>
      </c>
      <c r="V364" s="1" t="s">
        <v>7687</v>
      </c>
      <c r="W364" s="1" t="s">
        <v>132</v>
      </c>
      <c r="X364" s="1" t="s">
        <v>7688</v>
      </c>
      <c r="Y364" s="1" t="s">
        <v>132</v>
      </c>
      <c r="Z364" s="1" t="s">
        <v>7689</v>
      </c>
      <c r="AA364" s="1" t="s">
        <v>7690</v>
      </c>
      <c r="AB364" s="1" t="s">
        <v>132</v>
      </c>
      <c r="AC364" s="1" t="s">
        <v>43212</v>
      </c>
      <c r="AD364" s="1" t="s">
        <v>7692</v>
      </c>
      <c r="AE364" s="1" t="s">
        <v>132</v>
      </c>
      <c r="AF364" s="1" t="s">
        <v>7693</v>
      </c>
      <c r="AG364" s="1" t="s">
        <v>7694</v>
      </c>
      <c r="AH364" s="1" t="s">
        <v>132</v>
      </c>
      <c r="AI364" s="1" t="s">
        <v>132</v>
      </c>
      <c r="AJ364" s="1" t="s">
        <v>7695</v>
      </c>
      <c r="AK364" s="1" t="s">
        <v>7696</v>
      </c>
      <c r="AL364" s="1" t="s">
        <v>132</v>
      </c>
      <c r="AM364" s="1" t="s">
        <v>7697</v>
      </c>
      <c r="AN364" s="1" t="s">
        <v>7697</v>
      </c>
    </row>
    <row r="365" ht="15.75" customHeight="1">
      <c r="A365" s="1" t="s">
        <v>38</v>
      </c>
      <c r="B365" s="1" t="s">
        <v>7698</v>
      </c>
      <c r="C365" s="1" t="s">
        <v>7699</v>
      </c>
      <c r="D365" s="8" t="s">
        <v>7700</v>
      </c>
      <c r="E365" s="1" t="s">
        <v>7701</v>
      </c>
      <c r="F365" s="1" t="s">
        <v>7702</v>
      </c>
      <c r="G365" s="1" t="s">
        <v>132</v>
      </c>
      <c r="H365" s="1" t="s">
        <v>132</v>
      </c>
      <c r="I365" s="1" t="s">
        <v>7703</v>
      </c>
      <c r="J365" s="1" t="s">
        <v>132</v>
      </c>
      <c r="K365" s="1" t="s">
        <v>7704</v>
      </c>
      <c r="L365" s="1" t="s">
        <v>132</v>
      </c>
      <c r="M365" s="1" t="s">
        <v>7705</v>
      </c>
      <c r="N365" s="1" t="s">
        <v>7706</v>
      </c>
      <c r="O365" s="1" t="s">
        <v>132</v>
      </c>
      <c r="P365" s="1" t="s">
        <v>7703</v>
      </c>
      <c r="Q365" s="1" t="s">
        <v>132</v>
      </c>
      <c r="R365" s="1" t="s">
        <v>132</v>
      </c>
      <c r="S365" s="1" t="s">
        <v>7707</v>
      </c>
      <c r="T365" s="1" t="s">
        <v>132</v>
      </c>
      <c r="U365" s="1" t="s">
        <v>7708</v>
      </c>
      <c r="V365" s="1" t="s">
        <v>7709</v>
      </c>
      <c r="W365" s="1" t="s">
        <v>132</v>
      </c>
      <c r="X365" s="1" t="s">
        <v>7710</v>
      </c>
      <c r="Y365" s="1" t="s">
        <v>132</v>
      </c>
      <c r="Z365" s="1" t="s">
        <v>7711</v>
      </c>
      <c r="AA365" s="1" t="s">
        <v>7712</v>
      </c>
      <c r="AB365" s="1" t="s">
        <v>132</v>
      </c>
      <c r="AC365" s="1" t="s">
        <v>7713</v>
      </c>
      <c r="AD365" s="1" t="s">
        <v>132</v>
      </c>
      <c r="AE365" s="1" t="s">
        <v>132</v>
      </c>
      <c r="AF365" s="1" t="s">
        <v>7714</v>
      </c>
      <c r="AG365" s="1" t="s">
        <v>7703</v>
      </c>
      <c r="AH365" s="1" t="s">
        <v>132</v>
      </c>
      <c r="AI365" s="1" t="s">
        <v>132</v>
      </c>
      <c r="AJ365" s="1" t="s">
        <v>7715</v>
      </c>
      <c r="AK365" s="1" t="s">
        <v>132</v>
      </c>
      <c r="AL365" s="1" t="s">
        <v>132</v>
      </c>
      <c r="AM365" s="1" t="s">
        <v>7716</v>
      </c>
      <c r="AN365" s="1" t="s">
        <v>7716</v>
      </c>
    </row>
    <row r="366" ht="15.75" customHeight="1">
      <c r="A366" s="1" t="s">
        <v>127</v>
      </c>
      <c r="B366" s="1" t="s">
        <v>7717</v>
      </c>
      <c r="C366" s="1" t="s">
        <v>7718</v>
      </c>
      <c r="D366" s="8" t="s">
        <v>7719</v>
      </c>
      <c r="E366" s="1" t="s">
        <v>43213</v>
      </c>
      <c r="F366" s="1" t="s">
        <v>132</v>
      </c>
      <c r="G366" s="1" t="s">
        <v>7721</v>
      </c>
      <c r="H366" s="1" t="s">
        <v>7722</v>
      </c>
      <c r="I366" s="1" t="s">
        <v>7718</v>
      </c>
      <c r="J366" s="1" t="s">
        <v>7723</v>
      </c>
      <c r="K366" s="1" t="s">
        <v>7718</v>
      </c>
      <c r="L366" s="1" t="s">
        <v>7724</v>
      </c>
      <c r="M366" s="1" t="s">
        <v>7725</v>
      </c>
      <c r="N366" s="1" t="s">
        <v>132</v>
      </c>
      <c r="O366" s="1" t="s">
        <v>7726</v>
      </c>
      <c r="P366" s="1" t="s">
        <v>7727</v>
      </c>
      <c r="Q366" s="1" t="s">
        <v>132</v>
      </c>
      <c r="R366" s="1" t="s">
        <v>7728</v>
      </c>
      <c r="S366" s="1" t="s">
        <v>7729</v>
      </c>
      <c r="T366" s="8" t="s">
        <v>7730</v>
      </c>
      <c r="U366" s="1" t="s">
        <v>7731</v>
      </c>
      <c r="V366" s="1" t="s">
        <v>7718</v>
      </c>
      <c r="W366" s="1" t="s">
        <v>7732</v>
      </c>
      <c r="X366" s="1" t="s">
        <v>7733</v>
      </c>
      <c r="Y366" s="1" t="s">
        <v>7722</v>
      </c>
      <c r="Z366" s="1" t="s">
        <v>7734</v>
      </c>
      <c r="AA366" s="1" t="s">
        <v>7735</v>
      </c>
      <c r="AB366" s="1" t="s">
        <v>43214</v>
      </c>
      <c r="AC366" s="1" t="s">
        <v>7736</v>
      </c>
      <c r="AD366" s="1" t="s">
        <v>7737</v>
      </c>
      <c r="AE366" s="1" t="s">
        <v>7738</v>
      </c>
      <c r="AF366" s="1" t="s">
        <v>7739</v>
      </c>
      <c r="AG366" s="1" t="s">
        <v>43215</v>
      </c>
      <c r="AH366" s="1" t="s">
        <v>7741</v>
      </c>
      <c r="AI366" s="1" t="s">
        <v>7742</v>
      </c>
      <c r="AJ366" s="1" t="s">
        <v>132</v>
      </c>
      <c r="AK366" s="1" t="s">
        <v>7743</v>
      </c>
      <c r="AL366" s="1" t="s">
        <v>7744</v>
      </c>
      <c r="AM366" s="1" t="s">
        <v>7745</v>
      </c>
      <c r="AN366" s="1" t="s">
        <v>7745</v>
      </c>
    </row>
    <row r="367" ht="15.75" customHeight="1">
      <c r="A367" s="1" t="s">
        <v>38</v>
      </c>
      <c r="B367" s="1" t="s">
        <v>7746</v>
      </c>
      <c r="C367" s="1" t="s">
        <v>1641</v>
      </c>
      <c r="D367" s="1" t="s">
        <v>132</v>
      </c>
      <c r="E367" s="1" t="s">
        <v>1642</v>
      </c>
      <c r="F367" s="1" t="s">
        <v>132</v>
      </c>
      <c r="G367" s="1" t="s">
        <v>132</v>
      </c>
      <c r="H367" s="1" t="s">
        <v>132</v>
      </c>
      <c r="I367" s="1" t="s">
        <v>1643</v>
      </c>
      <c r="J367" s="1" t="s">
        <v>132</v>
      </c>
      <c r="K367" s="1" t="s">
        <v>1644</v>
      </c>
      <c r="L367" s="1" t="s">
        <v>132</v>
      </c>
      <c r="M367" s="1" t="s">
        <v>1641</v>
      </c>
      <c r="N367" s="1" t="s">
        <v>1645</v>
      </c>
      <c r="O367" s="1" t="s">
        <v>132</v>
      </c>
      <c r="P367" s="1" t="s">
        <v>1646</v>
      </c>
      <c r="Q367" s="1" t="s">
        <v>132</v>
      </c>
      <c r="R367" s="1" t="s">
        <v>132</v>
      </c>
      <c r="S367" s="1" t="s">
        <v>1647</v>
      </c>
      <c r="T367" s="1" t="s">
        <v>132</v>
      </c>
      <c r="U367" s="1" t="s">
        <v>132</v>
      </c>
      <c r="V367" s="1" t="s">
        <v>132</v>
      </c>
      <c r="W367" s="1" t="s">
        <v>132</v>
      </c>
      <c r="X367" s="1" t="s">
        <v>1648</v>
      </c>
      <c r="Y367" s="1" t="s">
        <v>132</v>
      </c>
      <c r="Z367" s="1" t="s">
        <v>1649</v>
      </c>
      <c r="AA367" s="1" t="s">
        <v>132</v>
      </c>
      <c r="AB367" s="1" t="s">
        <v>132</v>
      </c>
      <c r="AC367" s="1" t="s">
        <v>132</v>
      </c>
      <c r="AD367" s="1" t="s">
        <v>132</v>
      </c>
      <c r="AE367" s="1" t="s">
        <v>132</v>
      </c>
      <c r="AF367" s="1" t="s">
        <v>1650</v>
      </c>
      <c r="AG367" s="1" t="s">
        <v>132</v>
      </c>
      <c r="AH367" s="1" t="s">
        <v>132</v>
      </c>
      <c r="AI367" s="1" t="s">
        <v>132</v>
      </c>
      <c r="AJ367" s="1" t="s">
        <v>132</v>
      </c>
      <c r="AK367" s="1" t="s">
        <v>132</v>
      </c>
      <c r="AL367" s="1" t="s">
        <v>132</v>
      </c>
      <c r="AM367" s="1" t="s">
        <v>132</v>
      </c>
      <c r="AN367" s="1" t="s">
        <v>132</v>
      </c>
    </row>
    <row r="368" ht="15.75" customHeight="1">
      <c r="A368" s="1" t="s">
        <v>38</v>
      </c>
      <c r="B368" s="1" t="s">
        <v>7747</v>
      </c>
      <c r="C368" s="1" t="s">
        <v>7748</v>
      </c>
      <c r="D368" s="1" t="s">
        <v>132</v>
      </c>
      <c r="E368" s="1" t="s">
        <v>7749</v>
      </c>
      <c r="F368" s="1" t="s">
        <v>7750</v>
      </c>
      <c r="G368" s="1" t="s">
        <v>132</v>
      </c>
      <c r="H368" s="1" t="s">
        <v>132</v>
      </c>
      <c r="I368" s="1" t="s">
        <v>7751</v>
      </c>
      <c r="J368" s="1" t="s">
        <v>132</v>
      </c>
      <c r="K368" s="1" t="s">
        <v>7752</v>
      </c>
      <c r="L368" s="1" t="s">
        <v>132</v>
      </c>
      <c r="M368" s="1" t="s">
        <v>7753</v>
      </c>
      <c r="N368" s="1" t="s">
        <v>7754</v>
      </c>
      <c r="O368" s="1" t="s">
        <v>132</v>
      </c>
      <c r="P368" s="1" t="s">
        <v>7755</v>
      </c>
      <c r="Q368" s="1" t="s">
        <v>132</v>
      </c>
      <c r="R368" s="1" t="s">
        <v>132</v>
      </c>
      <c r="S368" s="1" t="s">
        <v>7756</v>
      </c>
      <c r="T368" s="1" t="s">
        <v>132</v>
      </c>
      <c r="U368" s="1" t="s">
        <v>7757</v>
      </c>
      <c r="V368" s="1" t="s">
        <v>132</v>
      </c>
      <c r="W368" s="1" t="s">
        <v>132</v>
      </c>
      <c r="X368" s="1" t="s">
        <v>7758</v>
      </c>
      <c r="Y368" s="1" t="s">
        <v>132</v>
      </c>
      <c r="Z368" s="1" t="s">
        <v>7759</v>
      </c>
      <c r="AA368" s="1" t="s">
        <v>132</v>
      </c>
      <c r="AB368" s="1" t="s">
        <v>132</v>
      </c>
      <c r="AC368" s="1" t="s">
        <v>132</v>
      </c>
      <c r="AD368" s="1" t="s">
        <v>132</v>
      </c>
      <c r="AE368" s="1" t="s">
        <v>132</v>
      </c>
      <c r="AF368" s="1" t="s">
        <v>132</v>
      </c>
      <c r="AG368" s="1" t="s">
        <v>132</v>
      </c>
      <c r="AH368" s="1" t="s">
        <v>132</v>
      </c>
      <c r="AI368" s="1" t="s">
        <v>132</v>
      </c>
      <c r="AJ368" s="1" t="s">
        <v>132</v>
      </c>
      <c r="AK368" s="1" t="s">
        <v>132</v>
      </c>
      <c r="AL368" s="1" t="s">
        <v>132</v>
      </c>
      <c r="AM368" s="1" t="s">
        <v>7760</v>
      </c>
      <c r="AN368" s="1" t="s">
        <v>7760</v>
      </c>
    </row>
    <row r="369" ht="15.75" customHeight="1">
      <c r="A369" s="1" t="s">
        <v>127</v>
      </c>
      <c r="B369" s="1" t="s">
        <v>7761</v>
      </c>
      <c r="C369" s="1" t="s">
        <v>7762</v>
      </c>
      <c r="D369" s="8" t="s">
        <v>7763</v>
      </c>
      <c r="E369" s="1" t="s">
        <v>7764</v>
      </c>
      <c r="F369" s="1" t="s">
        <v>132</v>
      </c>
      <c r="G369" s="1" t="s">
        <v>7765</v>
      </c>
      <c r="H369" s="1" t="s">
        <v>7766</v>
      </c>
      <c r="I369" s="1" t="s">
        <v>7767</v>
      </c>
      <c r="J369" s="1" t="s">
        <v>7768</v>
      </c>
      <c r="K369" s="1" t="s">
        <v>7769</v>
      </c>
      <c r="L369" s="1" t="s">
        <v>7770</v>
      </c>
      <c r="M369" s="1" t="s">
        <v>7771</v>
      </c>
      <c r="N369" s="1" t="s">
        <v>132</v>
      </c>
      <c r="O369" s="1" t="s">
        <v>7772</v>
      </c>
      <c r="P369" s="1" t="s">
        <v>7773</v>
      </c>
      <c r="Q369" s="1" t="s">
        <v>132</v>
      </c>
      <c r="R369" s="1" t="s">
        <v>7774</v>
      </c>
      <c r="S369" s="1" t="s">
        <v>7775</v>
      </c>
      <c r="T369" s="8" t="s">
        <v>7776</v>
      </c>
      <c r="U369" s="1" t="s">
        <v>7777</v>
      </c>
      <c r="V369" s="1" t="s">
        <v>7778</v>
      </c>
      <c r="W369" s="1" t="s">
        <v>7774</v>
      </c>
      <c r="X369" s="1" t="s">
        <v>7779</v>
      </c>
      <c r="Y369" s="1" t="s">
        <v>7780</v>
      </c>
      <c r="Z369" s="1" t="s">
        <v>7781</v>
      </c>
      <c r="AA369" s="1" t="s">
        <v>7782</v>
      </c>
      <c r="AB369" s="1" t="s">
        <v>7783</v>
      </c>
      <c r="AC369" s="1" t="s">
        <v>7784</v>
      </c>
      <c r="AD369" s="1" t="s">
        <v>7785</v>
      </c>
      <c r="AE369" s="1" t="s">
        <v>7786</v>
      </c>
      <c r="AF369" s="1" t="s">
        <v>7786</v>
      </c>
      <c r="AG369" s="1" t="s">
        <v>7787</v>
      </c>
      <c r="AH369" s="1" t="s">
        <v>7788</v>
      </c>
      <c r="AI369" s="1" t="s">
        <v>7789</v>
      </c>
      <c r="AJ369" s="1" t="s">
        <v>132</v>
      </c>
      <c r="AK369" s="1" t="s">
        <v>7790</v>
      </c>
      <c r="AL369" s="1" t="s">
        <v>7791</v>
      </c>
      <c r="AM369" s="1" t="s">
        <v>7792</v>
      </c>
      <c r="AN369" s="1" t="s">
        <v>7792</v>
      </c>
    </row>
    <row r="370" ht="15.75" customHeight="1">
      <c r="A370" s="1" t="s">
        <v>38</v>
      </c>
      <c r="B370" s="1" t="s">
        <v>7793</v>
      </c>
      <c r="C370" s="1" t="s">
        <v>7794</v>
      </c>
      <c r="D370" s="1" t="s">
        <v>132</v>
      </c>
      <c r="E370" s="1" t="s">
        <v>7795</v>
      </c>
      <c r="F370" s="1" t="s">
        <v>132</v>
      </c>
      <c r="G370" s="1" t="s">
        <v>132</v>
      </c>
      <c r="H370" s="1" t="s">
        <v>132</v>
      </c>
      <c r="I370" s="1" t="s">
        <v>7796</v>
      </c>
      <c r="J370" s="1" t="s">
        <v>132</v>
      </c>
      <c r="K370" s="1" t="s">
        <v>7797</v>
      </c>
      <c r="L370" s="1" t="s">
        <v>132</v>
      </c>
      <c r="M370" s="1" t="s">
        <v>132</v>
      </c>
      <c r="N370" s="1" t="s">
        <v>7798</v>
      </c>
      <c r="O370" s="1" t="s">
        <v>132</v>
      </c>
      <c r="P370" s="1" t="s">
        <v>7799</v>
      </c>
      <c r="Q370" s="1" t="s">
        <v>132</v>
      </c>
      <c r="R370" s="1" t="s">
        <v>132</v>
      </c>
      <c r="S370" s="1" t="s">
        <v>7800</v>
      </c>
      <c r="T370" s="1" t="s">
        <v>132</v>
      </c>
      <c r="U370" s="1" t="s">
        <v>132</v>
      </c>
      <c r="V370" s="1" t="s">
        <v>132</v>
      </c>
      <c r="W370" s="1" t="s">
        <v>132</v>
      </c>
      <c r="X370" s="1" t="s">
        <v>7801</v>
      </c>
      <c r="Y370" s="1" t="s">
        <v>132</v>
      </c>
      <c r="Z370" s="1" t="s">
        <v>7802</v>
      </c>
      <c r="AA370" s="1" t="s">
        <v>132</v>
      </c>
      <c r="AB370" s="1" t="s">
        <v>132</v>
      </c>
      <c r="AC370" s="1" t="s">
        <v>132</v>
      </c>
      <c r="AD370" s="1" t="s">
        <v>132</v>
      </c>
      <c r="AE370" s="1" t="s">
        <v>132</v>
      </c>
      <c r="AF370" s="1" t="s">
        <v>132</v>
      </c>
      <c r="AG370" s="1" t="s">
        <v>132</v>
      </c>
      <c r="AH370" s="1" t="s">
        <v>132</v>
      </c>
      <c r="AI370" s="1" t="s">
        <v>132</v>
      </c>
      <c r="AJ370" s="1" t="s">
        <v>132</v>
      </c>
      <c r="AK370" s="1" t="s">
        <v>132</v>
      </c>
      <c r="AL370" s="1" t="s">
        <v>132</v>
      </c>
      <c r="AM370" s="1" t="s">
        <v>132</v>
      </c>
      <c r="AN370" s="1" t="s">
        <v>132</v>
      </c>
    </row>
    <row r="371" ht="15.75" customHeight="1">
      <c r="A371" s="1" t="s">
        <v>38</v>
      </c>
      <c r="B371" s="1" t="s">
        <v>7803</v>
      </c>
      <c r="C371" s="1" t="s">
        <v>7804</v>
      </c>
      <c r="D371" s="8" t="s">
        <v>7805</v>
      </c>
      <c r="E371" s="1" t="s">
        <v>7806</v>
      </c>
      <c r="F371" s="1" t="s">
        <v>7807</v>
      </c>
      <c r="G371" s="1" t="s">
        <v>132</v>
      </c>
      <c r="H371" s="1" t="s">
        <v>132</v>
      </c>
      <c r="I371" s="1" t="s">
        <v>7808</v>
      </c>
      <c r="J371" s="1" t="s">
        <v>132</v>
      </c>
      <c r="K371" s="1" t="s">
        <v>7809</v>
      </c>
      <c r="L371" s="1" t="s">
        <v>132</v>
      </c>
      <c r="M371" s="1" t="s">
        <v>7810</v>
      </c>
      <c r="N371" s="1" t="s">
        <v>7811</v>
      </c>
      <c r="O371" s="1" t="s">
        <v>132</v>
      </c>
      <c r="P371" s="1" t="s">
        <v>7812</v>
      </c>
      <c r="Q371" s="1" t="s">
        <v>7813</v>
      </c>
      <c r="R371" s="1" t="s">
        <v>132</v>
      </c>
      <c r="S371" s="1" t="s">
        <v>7814</v>
      </c>
      <c r="T371" s="1" t="s">
        <v>132</v>
      </c>
      <c r="U371" s="1" t="s">
        <v>7815</v>
      </c>
      <c r="V371" s="1" t="s">
        <v>7816</v>
      </c>
      <c r="W371" s="1" t="s">
        <v>132</v>
      </c>
      <c r="X371" s="1" t="s">
        <v>7817</v>
      </c>
      <c r="Y371" s="1" t="s">
        <v>132</v>
      </c>
      <c r="Z371" s="1" t="s">
        <v>7818</v>
      </c>
      <c r="AA371" s="1" t="s">
        <v>7819</v>
      </c>
      <c r="AB371" s="1" t="s">
        <v>132</v>
      </c>
      <c r="AC371" s="1" t="s">
        <v>7820</v>
      </c>
      <c r="AD371" s="1" t="s">
        <v>7821</v>
      </c>
      <c r="AE371" s="1" t="s">
        <v>132</v>
      </c>
      <c r="AF371" s="1" t="s">
        <v>7822</v>
      </c>
      <c r="AG371" s="1" t="s">
        <v>7823</v>
      </c>
      <c r="AH371" s="1" t="s">
        <v>132</v>
      </c>
      <c r="AI371" s="1" t="s">
        <v>132</v>
      </c>
      <c r="AJ371" s="1" t="s">
        <v>7825</v>
      </c>
      <c r="AK371" s="1" t="s">
        <v>7826</v>
      </c>
      <c r="AL371" s="1" t="s">
        <v>132</v>
      </c>
      <c r="AM371" s="1" t="s">
        <v>7827</v>
      </c>
      <c r="AN371" s="1" t="s">
        <v>7827</v>
      </c>
    </row>
    <row r="372" ht="15.75" customHeight="1">
      <c r="A372" s="1" t="s">
        <v>127</v>
      </c>
      <c r="B372" s="1" t="s">
        <v>7828</v>
      </c>
      <c r="C372" s="1" t="s">
        <v>7829</v>
      </c>
      <c r="D372" s="8" t="s">
        <v>7830</v>
      </c>
      <c r="E372" s="1" t="s">
        <v>7831</v>
      </c>
      <c r="F372" s="1" t="s">
        <v>132</v>
      </c>
      <c r="G372" s="1" t="s">
        <v>7832</v>
      </c>
      <c r="H372" s="1" t="s">
        <v>7833</v>
      </c>
      <c r="I372" s="1" t="s">
        <v>7834</v>
      </c>
      <c r="J372" s="1" t="s">
        <v>7835</v>
      </c>
      <c r="K372" s="1" t="s">
        <v>7836</v>
      </c>
      <c r="L372" s="1" t="s">
        <v>7837</v>
      </c>
      <c r="M372" s="1" t="s">
        <v>7838</v>
      </c>
      <c r="N372" s="1" t="s">
        <v>132</v>
      </c>
      <c r="O372" s="1" t="s">
        <v>7839</v>
      </c>
      <c r="P372" s="1" t="s">
        <v>5111</v>
      </c>
      <c r="Q372" s="1" t="s">
        <v>132</v>
      </c>
      <c r="R372" s="1" t="s">
        <v>7840</v>
      </c>
      <c r="S372" s="1" t="s">
        <v>7841</v>
      </c>
      <c r="T372" s="8" t="s">
        <v>7842</v>
      </c>
      <c r="U372" s="1" t="s">
        <v>7843</v>
      </c>
      <c r="V372" s="1" t="s">
        <v>7844</v>
      </c>
      <c r="W372" s="1" t="s">
        <v>7840</v>
      </c>
      <c r="X372" s="1" t="s">
        <v>7845</v>
      </c>
      <c r="Y372" s="1" t="s">
        <v>7846</v>
      </c>
      <c r="Z372" s="1" t="s">
        <v>7847</v>
      </c>
      <c r="AA372" s="1" t="s">
        <v>7848</v>
      </c>
      <c r="AB372" s="1" t="s">
        <v>7849</v>
      </c>
      <c r="AC372" s="1" t="s">
        <v>7850</v>
      </c>
      <c r="AD372" s="1" t="s">
        <v>7851</v>
      </c>
      <c r="AE372" s="1" t="s">
        <v>7852</v>
      </c>
      <c r="AF372" s="1" t="s">
        <v>7853</v>
      </c>
      <c r="AG372" s="1" t="s">
        <v>7854</v>
      </c>
      <c r="AH372" s="1" t="s">
        <v>7855</v>
      </c>
      <c r="AI372" s="1" t="s">
        <v>7856</v>
      </c>
      <c r="AJ372" s="1" t="s">
        <v>132</v>
      </c>
      <c r="AK372" s="1" t="s">
        <v>7857</v>
      </c>
      <c r="AL372" s="1" t="s">
        <v>7858</v>
      </c>
      <c r="AM372" s="1" t="s">
        <v>7859</v>
      </c>
      <c r="AN372" s="1" t="s">
        <v>7859</v>
      </c>
    </row>
    <row r="373" ht="15.75" customHeight="1">
      <c r="A373" s="1" t="s">
        <v>127</v>
      </c>
      <c r="B373" s="1" t="s">
        <v>7860</v>
      </c>
      <c r="C373" s="1" t="s">
        <v>7861</v>
      </c>
      <c r="D373" s="8" t="s">
        <v>7862</v>
      </c>
      <c r="E373" s="1" t="s">
        <v>7863</v>
      </c>
      <c r="F373" s="1" t="s">
        <v>132</v>
      </c>
      <c r="G373" s="1" t="s">
        <v>7864</v>
      </c>
      <c r="H373" s="1" t="s">
        <v>7865</v>
      </c>
      <c r="I373" s="1" t="s">
        <v>7866</v>
      </c>
      <c r="J373" s="1" t="s">
        <v>7867</v>
      </c>
      <c r="K373" s="1" t="s">
        <v>7868</v>
      </c>
      <c r="L373" s="1" t="s">
        <v>7869</v>
      </c>
      <c r="M373" s="1" t="s">
        <v>7870</v>
      </c>
      <c r="N373" s="1" t="s">
        <v>132</v>
      </c>
      <c r="O373" s="1" t="s">
        <v>7871</v>
      </c>
      <c r="P373" s="1" t="s">
        <v>7872</v>
      </c>
      <c r="Q373" s="1" t="s">
        <v>132</v>
      </c>
      <c r="R373" s="1" t="s">
        <v>7873</v>
      </c>
      <c r="S373" s="1" t="s">
        <v>7874</v>
      </c>
      <c r="T373" s="8" t="s">
        <v>7875</v>
      </c>
      <c r="U373" s="1" t="s">
        <v>7876</v>
      </c>
      <c r="V373" s="1" t="s">
        <v>7877</v>
      </c>
      <c r="W373" s="1" t="s">
        <v>7878</v>
      </c>
      <c r="X373" s="1" t="s">
        <v>7879</v>
      </c>
      <c r="Y373" s="1" t="s">
        <v>7880</v>
      </c>
      <c r="Z373" s="1" t="s">
        <v>7881</v>
      </c>
      <c r="AA373" s="1" t="s">
        <v>7882</v>
      </c>
      <c r="AB373" s="1" t="s">
        <v>7883</v>
      </c>
      <c r="AC373" s="1" t="s">
        <v>7884</v>
      </c>
      <c r="AD373" s="1" t="s">
        <v>7885</v>
      </c>
      <c r="AE373" s="1" t="s">
        <v>7886</v>
      </c>
      <c r="AF373" s="1" t="s">
        <v>7887</v>
      </c>
      <c r="AG373" s="1" t="s">
        <v>7888</v>
      </c>
      <c r="AH373" s="1" t="s">
        <v>7889</v>
      </c>
      <c r="AI373" s="1" t="s">
        <v>7890</v>
      </c>
      <c r="AJ373" s="1" t="s">
        <v>132</v>
      </c>
      <c r="AK373" s="1" t="s">
        <v>7891</v>
      </c>
      <c r="AL373" s="1" t="s">
        <v>7892</v>
      </c>
      <c r="AM373" s="1" t="s">
        <v>132</v>
      </c>
      <c r="AN373" s="1" t="s">
        <v>132</v>
      </c>
    </row>
    <row r="374" ht="15.75" customHeight="1">
      <c r="A374" s="1" t="s">
        <v>38</v>
      </c>
      <c r="B374" s="1" t="s">
        <v>7893</v>
      </c>
      <c r="C374" s="1" t="s">
        <v>7894</v>
      </c>
      <c r="D374" s="1" t="s">
        <v>132</v>
      </c>
      <c r="E374" s="1" t="s">
        <v>7895</v>
      </c>
      <c r="F374" s="1" t="s">
        <v>7896</v>
      </c>
      <c r="G374" s="1" t="s">
        <v>132</v>
      </c>
      <c r="H374" s="1" t="s">
        <v>132</v>
      </c>
      <c r="I374" s="1" t="s">
        <v>7897</v>
      </c>
      <c r="J374" s="1" t="s">
        <v>132</v>
      </c>
      <c r="K374" s="1" t="s">
        <v>7898</v>
      </c>
      <c r="L374" s="1" t="s">
        <v>132</v>
      </c>
      <c r="M374" s="1" t="s">
        <v>7898</v>
      </c>
      <c r="N374" s="1" t="s">
        <v>7898</v>
      </c>
      <c r="O374" s="1" t="s">
        <v>132</v>
      </c>
      <c r="P374" s="1" t="s">
        <v>7899</v>
      </c>
      <c r="Q374" s="1" t="s">
        <v>132</v>
      </c>
      <c r="R374" s="1" t="s">
        <v>132</v>
      </c>
      <c r="S374" s="1" t="s">
        <v>7898</v>
      </c>
      <c r="T374" s="1" t="s">
        <v>132</v>
      </c>
      <c r="U374" s="1" t="s">
        <v>7900</v>
      </c>
      <c r="V374" s="1" t="s">
        <v>132</v>
      </c>
      <c r="W374" s="1" t="s">
        <v>132</v>
      </c>
      <c r="X374" s="1" t="s">
        <v>7901</v>
      </c>
      <c r="Y374" s="1" t="s">
        <v>132</v>
      </c>
      <c r="Z374" s="1" t="s">
        <v>7902</v>
      </c>
      <c r="AA374" s="1" t="s">
        <v>132</v>
      </c>
      <c r="AB374" s="1" t="s">
        <v>132</v>
      </c>
      <c r="AC374" s="1" t="s">
        <v>7903</v>
      </c>
      <c r="AD374" s="1" t="s">
        <v>132</v>
      </c>
      <c r="AE374" s="1" t="s">
        <v>132</v>
      </c>
      <c r="AF374" s="1" t="s">
        <v>132</v>
      </c>
      <c r="AG374" s="1" t="s">
        <v>132</v>
      </c>
      <c r="AH374" s="1" t="s">
        <v>132</v>
      </c>
      <c r="AI374" s="1" t="s">
        <v>132</v>
      </c>
      <c r="AJ374" s="1" t="s">
        <v>132</v>
      </c>
      <c r="AK374" s="1" t="s">
        <v>132</v>
      </c>
      <c r="AL374" s="1" t="s">
        <v>132</v>
      </c>
      <c r="AM374" s="1" t="s">
        <v>7900</v>
      </c>
      <c r="AN374" s="1" t="s">
        <v>7900</v>
      </c>
    </row>
    <row r="375" ht="15.75" customHeight="1">
      <c r="A375" s="1" t="s">
        <v>38</v>
      </c>
      <c r="B375" s="1" t="s">
        <v>7904</v>
      </c>
      <c r="C375" s="1" t="s">
        <v>7905</v>
      </c>
      <c r="D375" s="8" t="s">
        <v>7906</v>
      </c>
      <c r="E375" s="1" t="s">
        <v>7907</v>
      </c>
      <c r="F375" s="1" t="s">
        <v>7908</v>
      </c>
      <c r="G375" s="1" t="s">
        <v>132</v>
      </c>
      <c r="H375" s="1" t="s">
        <v>132</v>
      </c>
      <c r="I375" s="1" t="s">
        <v>7909</v>
      </c>
      <c r="J375" s="1" t="s">
        <v>132</v>
      </c>
      <c r="K375" s="1" t="s">
        <v>7910</v>
      </c>
      <c r="L375" s="1" t="s">
        <v>132</v>
      </c>
      <c r="M375" s="1" t="s">
        <v>7911</v>
      </c>
      <c r="N375" s="1" t="s">
        <v>7912</v>
      </c>
      <c r="O375" s="1" t="s">
        <v>132</v>
      </c>
      <c r="P375" s="1" t="s">
        <v>7913</v>
      </c>
      <c r="Q375" s="1" t="s">
        <v>7914</v>
      </c>
      <c r="R375" s="1" t="s">
        <v>132</v>
      </c>
      <c r="S375" s="1" t="s">
        <v>7915</v>
      </c>
      <c r="T375" s="1" t="s">
        <v>132</v>
      </c>
      <c r="U375" s="1" t="s">
        <v>7916</v>
      </c>
      <c r="V375" s="1" t="s">
        <v>7917</v>
      </c>
      <c r="W375" s="1" t="s">
        <v>132</v>
      </c>
      <c r="X375" s="1" t="s">
        <v>7918</v>
      </c>
      <c r="Y375" s="1" t="s">
        <v>132</v>
      </c>
      <c r="Z375" s="1" t="s">
        <v>7919</v>
      </c>
      <c r="AA375" s="1" t="s">
        <v>7920</v>
      </c>
      <c r="AB375" s="1" t="s">
        <v>132</v>
      </c>
      <c r="AC375" s="1" t="s">
        <v>7921</v>
      </c>
      <c r="AD375" s="1" t="s">
        <v>7922</v>
      </c>
      <c r="AE375" s="1" t="s">
        <v>132</v>
      </c>
      <c r="AF375" s="1" t="s">
        <v>7923</v>
      </c>
      <c r="AG375" s="1" t="s">
        <v>7924</v>
      </c>
      <c r="AH375" s="1" t="s">
        <v>132</v>
      </c>
      <c r="AI375" s="1" t="s">
        <v>132</v>
      </c>
      <c r="AJ375" s="1" t="s">
        <v>7925</v>
      </c>
      <c r="AK375" s="1" t="s">
        <v>7926</v>
      </c>
      <c r="AL375" s="1" t="s">
        <v>132</v>
      </c>
      <c r="AM375" s="1" t="s">
        <v>7927</v>
      </c>
      <c r="AN375" s="1" t="s">
        <v>7927</v>
      </c>
    </row>
    <row r="376" ht="15.75" customHeight="1">
      <c r="A376" s="1" t="s">
        <v>127</v>
      </c>
      <c r="B376" s="1" t="s">
        <v>7928</v>
      </c>
      <c r="C376" s="1" t="s">
        <v>7929</v>
      </c>
      <c r="D376" s="8" t="s">
        <v>7930</v>
      </c>
      <c r="E376" s="1" t="s">
        <v>7931</v>
      </c>
      <c r="F376" s="1" t="s">
        <v>132</v>
      </c>
      <c r="G376" s="1" t="s">
        <v>7932</v>
      </c>
      <c r="H376" s="1" t="s">
        <v>7933</v>
      </c>
      <c r="I376" s="1" t="s">
        <v>7934</v>
      </c>
      <c r="J376" s="1" t="s">
        <v>7935</v>
      </c>
      <c r="K376" s="1" t="s">
        <v>7936</v>
      </c>
      <c r="L376" s="1" t="s">
        <v>7937</v>
      </c>
      <c r="M376" s="1" t="s">
        <v>7938</v>
      </c>
      <c r="N376" s="1" t="s">
        <v>132</v>
      </c>
      <c r="O376" s="1" t="s">
        <v>7939</v>
      </c>
      <c r="P376" s="1" t="s">
        <v>7940</v>
      </c>
      <c r="Q376" s="1" t="s">
        <v>132</v>
      </c>
      <c r="R376" s="1" t="s">
        <v>7941</v>
      </c>
      <c r="S376" s="1" t="s">
        <v>7942</v>
      </c>
      <c r="T376" s="8" t="s">
        <v>7943</v>
      </c>
      <c r="U376" s="1" t="s">
        <v>7944</v>
      </c>
      <c r="V376" s="1" t="s">
        <v>7945</v>
      </c>
      <c r="W376" s="1" t="s">
        <v>7941</v>
      </c>
      <c r="X376" s="1" t="s">
        <v>7946</v>
      </c>
      <c r="Y376" s="1" t="s">
        <v>7947</v>
      </c>
      <c r="Z376" s="1" t="s">
        <v>7948</v>
      </c>
      <c r="AA376" s="1" t="s">
        <v>7949</v>
      </c>
      <c r="AB376" s="1" t="s">
        <v>7950</v>
      </c>
      <c r="AC376" s="1" t="s">
        <v>7951</v>
      </c>
      <c r="AD376" s="1" t="s">
        <v>7952</v>
      </c>
      <c r="AE376" s="1" t="s">
        <v>7953</v>
      </c>
      <c r="AF376" s="1" t="s">
        <v>7954</v>
      </c>
      <c r="AG376" s="1" t="s">
        <v>7955</v>
      </c>
      <c r="AH376" s="1" t="s">
        <v>7956</v>
      </c>
      <c r="AI376" s="1" t="s">
        <v>7957</v>
      </c>
      <c r="AJ376" s="1" t="s">
        <v>132</v>
      </c>
      <c r="AK376" s="1" t="s">
        <v>7958</v>
      </c>
      <c r="AL376" s="1" t="s">
        <v>7959</v>
      </c>
      <c r="AM376" s="1" t="s">
        <v>132</v>
      </c>
      <c r="AN376" s="1" t="s">
        <v>132</v>
      </c>
    </row>
    <row r="377" ht="15.75" customHeight="1">
      <c r="A377" s="1" t="s">
        <v>38</v>
      </c>
      <c r="B377" s="1" t="s">
        <v>7960</v>
      </c>
      <c r="C377" s="1" t="s">
        <v>7961</v>
      </c>
      <c r="D377" s="1" t="s">
        <v>132</v>
      </c>
      <c r="E377" s="1" t="s">
        <v>7962</v>
      </c>
      <c r="F377" s="1" t="s">
        <v>7963</v>
      </c>
      <c r="G377" s="1" t="s">
        <v>132</v>
      </c>
      <c r="H377" s="1" t="s">
        <v>132</v>
      </c>
      <c r="I377" s="1" t="s">
        <v>7964</v>
      </c>
      <c r="J377" s="1" t="s">
        <v>132</v>
      </c>
      <c r="K377" s="1" t="s">
        <v>7965</v>
      </c>
      <c r="L377" s="1" t="s">
        <v>132</v>
      </c>
      <c r="M377" s="1" t="s">
        <v>7966</v>
      </c>
      <c r="N377" s="1" t="s">
        <v>7967</v>
      </c>
      <c r="O377" s="1" t="s">
        <v>132</v>
      </c>
      <c r="P377" s="1" t="s">
        <v>7968</v>
      </c>
      <c r="Q377" s="1" t="s">
        <v>132</v>
      </c>
      <c r="R377" s="1" t="s">
        <v>132</v>
      </c>
      <c r="S377" s="1" t="s">
        <v>7969</v>
      </c>
      <c r="T377" s="1" t="s">
        <v>132</v>
      </c>
      <c r="U377" s="1" t="s">
        <v>7970</v>
      </c>
      <c r="V377" s="1" t="s">
        <v>7971</v>
      </c>
      <c r="W377" s="1" t="s">
        <v>132</v>
      </c>
      <c r="X377" s="1" t="s">
        <v>7972</v>
      </c>
      <c r="Y377" s="1" t="s">
        <v>132</v>
      </c>
      <c r="Z377" s="17" t="s">
        <v>7973</v>
      </c>
      <c r="AA377" s="1" t="s">
        <v>7974</v>
      </c>
      <c r="AB377" s="1" t="s">
        <v>132</v>
      </c>
      <c r="AC377" s="1" t="s">
        <v>7975</v>
      </c>
      <c r="AD377" s="1" t="s">
        <v>132</v>
      </c>
      <c r="AE377" s="1" t="s">
        <v>132</v>
      </c>
      <c r="AF377" s="1" t="s">
        <v>7976</v>
      </c>
      <c r="AG377" s="1" t="s">
        <v>7977</v>
      </c>
      <c r="AH377" s="1" t="s">
        <v>132</v>
      </c>
      <c r="AI377" s="1" t="s">
        <v>132</v>
      </c>
      <c r="AJ377" s="1" t="s">
        <v>7978</v>
      </c>
      <c r="AK377" s="1" t="s">
        <v>7979</v>
      </c>
      <c r="AL377" s="1" t="s">
        <v>132</v>
      </c>
      <c r="AM377" s="1" t="s">
        <v>7980</v>
      </c>
      <c r="AN377" s="1" t="s">
        <v>7980</v>
      </c>
    </row>
    <row r="378" ht="15.75" customHeight="1">
      <c r="A378" s="1" t="s">
        <v>127</v>
      </c>
      <c r="B378" s="1" t="s">
        <v>7981</v>
      </c>
      <c r="C378" s="1" t="s">
        <v>7982</v>
      </c>
      <c r="D378" s="8" t="s">
        <v>7983</v>
      </c>
      <c r="E378" s="1" t="s">
        <v>7984</v>
      </c>
      <c r="F378" s="1" t="s">
        <v>132</v>
      </c>
      <c r="G378" s="1" t="s">
        <v>7985</v>
      </c>
      <c r="H378" s="1" t="s">
        <v>7986</v>
      </c>
      <c r="I378" s="1" t="s">
        <v>132</v>
      </c>
      <c r="J378" s="1" t="s">
        <v>7987</v>
      </c>
      <c r="K378" s="1" t="s">
        <v>7988</v>
      </c>
      <c r="L378" s="1" t="s">
        <v>7989</v>
      </c>
      <c r="M378" s="1" t="s">
        <v>43216</v>
      </c>
      <c r="N378" s="1" t="s">
        <v>132</v>
      </c>
      <c r="O378" s="1" t="s">
        <v>7991</v>
      </c>
      <c r="P378" s="1" t="s">
        <v>7992</v>
      </c>
      <c r="Q378" s="1" t="s">
        <v>132</v>
      </c>
      <c r="R378" s="1" t="s">
        <v>7993</v>
      </c>
      <c r="S378" s="1" t="s">
        <v>43217</v>
      </c>
      <c r="T378" s="8" t="s">
        <v>7995</v>
      </c>
      <c r="U378" s="1" t="s">
        <v>7996</v>
      </c>
      <c r="V378" s="1" t="s">
        <v>7997</v>
      </c>
      <c r="W378" s="1" t="s">
        <v>7998</v>
      </c>
      <c r="X378" s="1" t="s">
        <v>7999</v>
      </c>
      <c r="Y378" s="1" t="s">
        <v>8000</v>
      </c>
      <c r="Z378" s="11" t="s">
        <v>8001</v>
      </c>
      <c r="AA378" s="1" t="s">
        <v>8002</v>
      </c>
      <c r="AB378" s="1" t="s">
        <v>8003</v>
      </c>
      <c r="AC378" s="1" t="s">
        <v>132</v>
      </c>
      <c r="AD378" s="1" t="s">
        <v>8004</v>
      </c>
      <c r="AE378" s="1" t="s">
        <v>8005</v>
      </c>
      <c r="AF378" s="1" t="s">
        <v>132</v>
      </c>
      <c r="AG378" s="1" t="s">
        <v>8006</v>
      </c>
      <c r="AH378" s="1" t="s">
        <v>8007</v>
      </c>
      <c r="AI378" s="1" t="s">
        <v>8008</v>
      </c>
      <c r="AJ378" s="1" t="s">
        <v>132</v>
      </c>
      <c r="AK378" s="1" t="s">
        <v>8009</v>
      </c>
      <c r="AL378" s="14" t="s">
        <v>8010</v>
      </c>
      <c r="AM378" s="1" t="s">
        <v>132</v>
      </c>
      <c r="AN378" s="1" t="s">
        <v>132</v>
      </c>
    </row>
    <row r="379" ht="15.75" customHeight="1">
      <c r="A379" s="1" t="s">
        <v>38</v>
      </c>
      <c r="B379" s="1" t="s">
        <v>8011</v>
      </c>
      <c r="C379" s="1" t="s">
        <v>8012</v>
      </c>
      <c r="D379" s="8" t="s">
        <v>8013</v>
      </c>
      <c r="E379" s="1" t="s">
        <v>8014</v>
      </c>
      <c r="F379" s="1" t="s">
        <v>8015</v>
      </c>
      <c r="G379" s="1" t="s">
        <v>132</v>
      </c>
      <c r="H379" s="1" t="s">
        <v>132</v>
      </c>
      <c r="I379" s="1" t="s">
        <v>8016</v>
      </c>
      <c r="J379" s="1" t="s">
        <v>132</v>
      </c>
      <c r="K379" s="1" t="s">
        <v>8017</v>
      </c>
      <c r="L379" s="1" t="s">
        <v>132</v>
      </c>
      <c r="M379" s="1" t="s">
        <v>8018</v>
      </c>
      <c r="N379" s="1" t="s">
        <v>8019</v>
      </c>
      <c r="O379" s="1" t="s">
        <v>132</v>
      </c>
      <c r="P379" s="1" t="s">
        <v>8020</v>
      </c>
      <c r="Q379" s="1" t="s">
        <v>8021</v>
      </c>
      <c r="R379" s="1" t="s">
        <v>132</v>
      </c>
      <c r="S379" s="1" t="s">
        <v>8022</v>
      </c>
      <c r="T379" s="1" t="s">
        <v>132</v>
      </c>
      <c r="U379" s="1" t="s">
        <v>8023</v>
      </c>
      <c r="V379" s="1" t="s">
        <v>8024</v>
      </c>
      <c r="W379" s="1" t="s">
        <v>132</v>
      </c>
      <c r="X379" s="1" t="s">
        <v>8025</v>
      </c>
      <c r="Y379" s="1" t="s">
        <v>132</v>
      </c>
      <c r="Z379" s="1" t="s">
        <v>8026</v>
      </c>
      <c r="AA379" s="1" t="s">
        <v>8027</v>
      </c>
      <c r="AB379" s="1" t="s">
        <v>132</v>
      </c>
      <c r="AC379" s="1" t="s">
        <v>8028</v>
      </c>
      <c r="AD379" s="1" t="s">
        <v>8029</v>
      </c>
      <c r="AE379" s="1" t="s">
        <v>132</v>
      </c>
      <c r="AF379" s="1" t="s">
        <v>8030</v>
      </c>
      <c r="AG379" s="1" t="s">
        <v>8031</v>
      </c>
      <c r="AH379" s="1" t="s">
        <v>132</v>
      </c>
      <c r="AI379" s="1" t="s">
        <v>132</v>
      </c>
      <c r="AJ379" s="1" t="s">
        <v>8032</v>
      </c>
      <c r="AK379" s="1" t="s">
        <v>8033</v>
      </c>
      <c r="AL379" s="1" t="s">
        <v>132</v>
      </c>
      <c r="AM379" s="1" t="s">
        <v>8034</v>
      </c>
      <c r="AN379" s="1" t="s">
        <v>8034</v>
      </c>
    </row>
    <row r="380" ht="15.75" customHeight="1">
      <c r="A380" s="1" t="s">
        <v>127</v>
      </c>
      <c r="B380" s="1" t="s">
        <v>8035</v>
      </c>
      <c r="C380" s="1" t="s">
        <v>8036</v>
      </c>
      <c r="D380" s="8" t="s">
        <v>8037</v>
      </c>
      <c r="E380" s="1" t="s">
        <v>8038</v>
      </c>
      <c r="F380" s="1" t="s">
        <v>132</v>
      </c>
      <c r="G380" s="1" t="s">
        <v>8039</v>
      </c>
      <c r="H380" s="1" t="s">
        <v>8040</v>
      </c>
      <c r="I380" s="1" t="s">
        <v>8041</v>
      </c>
      <c r="J380" s="1" t="s">
        <v>8042</v>
      </c>
      <c r="K380" s="1" t="s">
        <v>8043</v>
      </c>
      <c r="L380" s="1" t="s">
        <v>8044</v>
      </c>
      <c r="M380" s="1" t="s">
        <v>8045</v>
      </c>
      <c r="N380" s="1" t="s">
        <v>132</v>
      </c>
      <c r="O380" s="1" t="s">
        <v>8046</v>
      </c>
      <c r="P380" s="1" t="s">
        <v>8036</v>
      </c>
      <c r="Q380" s="1" t="s">
        <v>132</v>
      </c>
      <c r="R380" s="1" t="s">
        <v>8047</v>
      </c>
      <c r="S380" s="1" t="s">
        <v>8036</v>
      </c>
      <c r="T380" s="8" t="s">
        <v>8048</v>
      </c>
      <c r="U380" s="1" t="s">
        <v>8049</v>
      </c>
      <c r="V380" s="1" t="s">
        <v>8050</v>
      </c>
      <c r="W380" s="1" t="s">
        <v>8051</v>
      </c>
      <c r="X380" s="1" t="s">
        <v>8052</v>
      </c>
      <c r="Y380" s="1" t="s">
        <v>8053</v>
      </c>
      <c r="Z380" s="1" t="s">
        <v>8054</v>
      </c>
      <c r="AA380" s="1" t="s">
        <v>8055</v>
      </c>
      <c r="AB380" s="1" t="s">
        <v>8056</v>
      </c>
      <c r="AC380" s="1" t="s">
        <v>8057</v>
      </c>
      <c r="AD380" s="1" t="s">
        <v>8058</v>
      </c>
      <c r="AE380" s="1" t="s">
        <v>8059</v>
      </c>
      <c r="AF380" s="1" t="s">
        <v>8060</v>
      </c>
      <c r="AG380" s="1" t="s">
        <v>8061</v>
      </c>
      <c r="AH380" s="1" t="s">
        <v>8062</v>
      </c>
      <c r="AI380" s="1" t="s">
        <v>8063</v>
      </c>
      <c r="AJ380" s="1" t="s">
        <v>132</v>
      </c>
      <c r="AK380" s="1" t="s">
        <v>8064</v>
      </c>
      <c r="AL380" s="1" t="s">
        <v>8065</v>
      </c>
      <c r="AM380" s="1" t="s">
        <v>132</v>
      </c>
      <c r="AN380" s="1" t="s">
        <v>132</v>
      </c>
    </row>
    <row r="381" ht="15.75" customHeight="1">
      <c r="A381" s="1" t="s">
        <v>38</v>
      </c>
      <c r="B381" s="1" t="s">
        <v>8066</v>
      </c>
      <c r="C381" s="1" t="s">
        <v>8067</v>
      </c>
      <c r="D381" s="8" t="s">
        <v>8068</v>
      </c>
      <c r="E381" s="1" t="s">
        <v>8069</v>
      </c>
      <c r="F381" s="1" t="s">
        <v>8070</v>
      </c>
      <c r="G381" s="1" t="s">
        <v>132</v>
      </c>
      <c r="H381" s="1" t="s">
        <v>132</v>
      </c>
      <c r="I381" s="1" t="s">
        <v>8071</v>
      </c>
      <c r="J381" s="1" t="s">
        <v>132</v>
      </c>
      <c r="K381" s="1" t="s">
        <v>8072</v>
      </c>
      <c r="L381" s="1" t="s">
        <v>132</v>
      </c>
      <c r="M381" s="1" t="s">
        <v>8073</v>
      </c>
      <c r="N381" s="1" t="s">
        <v>8074</v>
      </c>
      <c r="O381" s="1" t="s">
        <v>132</v>
      </c>
      <c r="P381" s="1" t="s">
        <v>8075</v>
      </c>
      <c r="Q381" s="1" t="s">
        <v>132</v>
      </c>
      <c r="R381" s="1" t="s">
        <v>132</v>
      </c>
      <c r="S381" s="1" t="s">
        <v>8076</v>
      </c>
      <c r="T381" s="1" t="s">
        <v>132</v>
      </c>
      <c r="U381" s="1" t="s">
        <v>8077</v>
      </c>
      <c r="V381" s="1" t="s">
        <v>8078</v>
      </c>
      <c r="W381" s="1" t="s">
        <v>132</v>
      </c>
      <c r="X381" s="1" t="s">
        <v>8079</v>
      </c>
      <c r="Y381" s="1" t="s">
        <v>132</v>
      </c>
      <c r="Z381" s="1" t="s">
        <v>8080</v>
      </c>
      <c r="AA381" s="1" t="s">
        <v>8081</v>
      </c>
      <c r="AB381" s="1" t="s">
        <v>132</v>
      </c>
      <c r="AC381" s="1" t="s">
        <v>8082</v>
      </c>
      <c r="AD381" s="1" t="s">
        <v>8083</v>
      </c>
      <c r="AE381" s="1" t="s">
        <v>132</v>
      </c>
      <c r="AF381" s="1" t="s">
        <v>8084</v>
      </c>
      <c r="AG381" s="1" t="s">
        <v>8085</v>
      </c>
      <c r="AH381" s="1" t="s">
        <v>132</v>
      </c>
      <c r="AI381" s="1" t="s">
        <v>132</v>
      </c>
      <c r="AJ381" s="1" t="s">
        <v>8086</v>
      </c>
      <c r="AK381" s="1" t="s">
        <v>8087</v>
      </c>
      <c r="AL381" s="1" t="s">
        <v>132</v>
      </c>
      <c r="AM381" s="1" t="s">
        <v>8088</v>
      </c>
      <c r="AN381" s="1" t="s">
        <v>8088</v>
      </c>
    </row>
    <row r="382" ht="15.75" customHeight="1">
      <c r="A382" s="1" t="s">
        <v>127</v>
      </c>
      <c r="B382" s="1" t="s">
        <v>8089</v>
      </c>
      <c r="C382" s="1" t="s">
        <v>6389</v>
      </c>
      <c r="D382" s="8" t="s">
        <v>6390</v>
      </c>
      <c r="E382" s="1" t="s">
        <v>6391</v>
      </c>
      <c r="F382" s="1" t="s">
        <v>132</v>
      </c>
      <c r="G382" s="1" t="s">
        <v>6392</v>
      </c>
      <c r="H382" s="1" t="s">
        <v>6393</v>
      </c>
      <c r="I382" s="1" t="s">
        <v>6394</v>
      </c>
      <c r="J382" s="1" t="s">
        <v>6395</v>
      </c>
      <c r="K382" s="1" t="s">
        <v>6396</v>
      </c>
      <c r="L382" s="1" t="s">
        <v>6397</v>
      </c>
      <c r="M382" s="1" t="s">
        <v>6398</v>
      </c>
      <c r="N382" s="1" t="s">
        <v>132</v>
      </c>
      <c r="O382" s="1" t="s">
        <v>6399</v>
      </c>
      <c r="P382" s="1" t="s">
        <v>6400</v>
      </c>
      <c r="Q382" s="1" t="s">
        <v>132</v>
      </c>
      <c r="R382" s="1" t="s">
        <v>6401</v>
      </c>
      <c r="S382" s="1" t="s">
        <v>6402</v>
      </c>
      <c r="T382" s="8" t="s">
        <v>6403</v>
      </c>
      <c r="U382" s="1" t="s">
        <v>8090</v>
      </c>
      <c r="V382" s="1" t="s">
        <v>6405</v>
      </c>
      <c r="W382" s="1" t="s">
        <v>6401</v>
      </c>
      <c r="X382" s="1" t="s">
        <v>6406</v>
      </c>
      <c r="Y382" s="1" t="s">
        <v>6407</v>
      </c>
      <c r="Z382" s="1" t="s">
        <v>6408</v>
      </c>
      <c r="AA382" s="1" t="s">
        <v>6396</v>
      </c>
      <c r="AB382" s="1" t="s">
        <v>6409</v>
      </c>
      <c r="AC382" s="1" t="s">
        <v>6410</v>
      </c>
      <c r="AD382" s="1" t="s">
        <v>6392</v>
      </c>
      <c r="AE382" s="1" t="s">
        <v>6411</v>
      </c>
      <c r="AF382" s="1" t="s">
        <v>6411</v>
      </c>
      <c r="AG382" s="1" t="s">
        <v>6412</v>
      </c>
      <c r="AH382" s="1" t="s">
        <v>6413</v>
      </c>
      <c r="AI382" s="1" t="s">
        <v>6414</v>
      </c>
      <c r="AJ382" s="1" t="s">
        <v>132</v>
      </c>
      <c r="AK382" s="1" t="s">
        <v>6415</v>
      </c>
      <c r="AL382" s="1" t="s">
        <v>6416</v>
      </c>
      <c r="AM382" s="1" t="s">
        <v>6417</v>
      </c>
      <c r="AN382" s="1" t="s">
        <v>6417</v>
      </c>
    </row>
    <row r="383" ht="15.75" customHeight="1">
      <c r="A383" s="1" t="s">
        <v>127</v>
      </c>
      <c r="B383" s="1" t="s">
        <v>8091</v>
      </c>
      <c r="C383" s="1" t="s">
        <v>8092</v>
      </c>
      <c r="D383" s="8" t="s">
        <v>8093</v>
      </c>
      <c r="E383" s="1" t="s">
        <v>8094</v>
      </c>
      <c r="F383" s="1" t="s">
        <v>132</v>
      </c>
      <c r="G383" s="1" t="s">
        <v>8095</v>
      </c>
      <c r="H383" s="1" t="s">
        <v>8096</v>
      </c>
      <c r="I383" s="1" t="s">
        <v>8097</v>
      </c>
      <c r="J383" s="1" t="s">
        <v>8098</v>
      </c>
      <c r="K383" s="1" t="s">
        <v>8099</v>
      </c>
      <c r="L383" s="1" t="s">
        <v>8100</v>
      </c>
      <c r="M383" s="1" t="s">
        <v>8101</v>
      </c>
      <c r="N383" s="1" t="s">
        <v>132</v>
      </c>
      <c r="O383" s="1" t="s">
        <v>8102</v>
      </c>
      <c r="P383" s="1" t="s">
        <v>8103</v>
      </c>
      <c r="Q383" s="1" t="s">
        <v>132</v>
      </c>
      <c r="R383" s="1" t="s">
        <v>8104</v>
      </c>
      <c r="S383" s="1" t="s">
        <v>8105</v>
      </c>
      <c r="T383" s="8" t="s">
        <v>8106</v>
      </c>
      <c r="U383" s="1" t="s">
        <v>8107</v>
      </c>
      <c r="V383" s="1" t="s">
        <v>8108</v>
      </c>
      <c r="W383" s="1" t="s">
        <v>8104</v>
      </c>
      <c r="X383" s="1" t="s">
        <v>8109</v>
      </c>
      <c r="Y383" s="1" t="s">
        <v>8110</v>
      </c>
      <c r="Z383" s="1" t="s">
        <v>8111</v>
      </c>
      <c r="AA383" s="1" t="s">
        <v>8112</v>
      </c>
      <c r="AB383" s="1" t="s">
        <v>8113</v>
      </c>
      <c r="AC383" s="1" t="s">
        <v>8114</v>
      </c>
      <c r="AD383" s="1" t="s">
        <v>8115</v>
      </c>
      <c r="AE383" s="1" t="s">
        <v>8116</v>
      </c>
      <c r="AF383" s="1" t="s">
        <v>8117</v>
      </c>
      <c r="AG383" s="1" t="s">
        <v>8118</v>
      </c>
      <c r="AH383" s="1" t="s">
        <v>8119</v>
      </c>
      <c r="AI383" s="1" t="s">
        <v>8120</v>
      </c>
      <c r="AJ383" s="1" t="s">
        <v>132</v>
      </c>
      <c r="AK383" s="1" t="s">
        <v>8121</v>
      </c>
      <c r="AL383" s="1" t="s">
        <v>8122</v>
      </c>
      <c r="AM383" s="1" t="s">
        <v>8123</v>
      </c>
      <c r="AN383" s="1" t="s">
        <v>8123</v>
      </c>
    </row>
    <row r="384" ht="15.75" customHeight="1">
      <c r="A384" s="1" t="s">
        <v>38</v>
      </c>
      <c r="B384" s="1" t="s">
        <v>8124</v>
      </c>
      <c r="C384" s="1" t="s">
        <v>8125</v>
      </c>
      <c r="D384" s="8" t="s">
        <v>8126</v>
      </c>
      <c r="E384" s="1" t="s">
        <v>8127</v>
      </c>
      <c r="F384" s="1" t="s">
        <v>8128</v>
      </c>
      <c r="G384" s="1" t="s">
        <v>132</v>
      </c>
      <c r="H384" s="1" t="s">
        <v>132</v>
      </c>
      <c r="I384" s="1" t="s">
        <v>8129</v>
      </c>
      <c r="J384" s="1" t="s">
        <v>132</v>
      </c>
      <c r="K384" s="1" t="s">
        <v>8130</v>
      </c>
      <c r="L384" s="1" t="s">
        <v>132</v>
      </c>
      <c r="M384" s="1" t="s">
        <v>8131</v>
      </c>
      <c r="N384" s="1" t="s">
        <v>8132</v>
      </c>
      <c r="O384" s="1" t="s">
        <v>132</v>
      </c>
      <c r="P384" s="1" t="s">
        <v>8133</v>
      </c>
      <c r="Q384" s="1" t="s">
        <v>132</v>
      </c>
      <c r="R384" s="1" t="s">
        <v>132</v>
      </c>
      <c r="S384" s="1" t="s">
        <v>8134</v>
      </c>
      <c r="T384" s="1" t="s">
        <v>132</v>
      </c>
      <c r="U384" s="1" t="s">
        <v>8135</v>
      </c>
      <c r="V384" s="1" t="s">
        <v>8136</v>
      </c>
      <c r="W384" s="1" t="s">
        <v>132</v>
      </c>
      <c r="X384" s="1" t="s">
        <v>8137</v>
      </c>
      <c r="Y384" s="1" t="s">
        <v>132</v>
      </c>
      <c r="Z384" s="1" t="s">
        <v>8138</v>
      </c>
      <c r="AA384" s="1" t="s">
        <v>8139</v>
      </c>
      <c r="AB384" s="1" t="s">
        <v>132</v>
      </c>
      <c r="AC384" s="1" t="s">
        <v>8140</v>
      </c>
      <c r="AD384" s="1" t="s">
        <v>132</v>
      </c>
      <c r="AE384" s="1" t="s">
        <v>132</v>
      </c>
      <c r="AF384" s="1" t="s">
        <v>8141</v>
      </c>
      <c r="AG384" s="1" t="s">
        <v>8142</v>
      </c>
      <c r="AH384" s="1" t="s">
        <v>132</v>
      </c>
      <c r="AI384" s="1" t="s">
        <v>132</v>
      </c>
      <c r="AJ384" s="1" t="s">
        <v>8143</v>
      </c>
      <c r="AK384" s="1" t="s">
        <v>132</v>
      </c>
      <c r="AL384" s="1" t="s">
        <v>132</v>
      </c>
      <c r="AM384" s="1" t="s">
        <v>8144</v>
      </c>
      <c r="AN384" s="1" t="s">
        <v>8144</v>
      </c>
    </row>
    <row r="385" ht="15.75" customHeight="1">
      <c r="A385" s="1" t="s">
        <v>127</v>
      </c>
      <c r="B385" s="1" t="s">
        <v>8145</v>
      </c>
      <c r="C385" s="1" t="s">
        <v>8146</v>
      </c>
      <c r="D385" s="1" t="s">
        <v>8147</v>
      </c>
      <c r="E385" s="1" t="s">
        <v>8146</v>
      </c>
      <c r="F385" s="1" t="s">
        <v>8147</v>
      </c>
      <c r="G385" s="1" t="s">
        <v>132</v>
      </c>
      <c r="H385" s="1" t="s">
        <v>8148</v>
      </c>
      <c r="I385" s="1" t="s">
        <v>8149</v>
      </c>
      <c r="J385" s="1" t="s">
        <v>132</v>
      </c>
      <c r="K385" s="1" t="s">
        <v>8150</v>
      </c>
      <c r="L385" s="1" t="s">
        <v>8151</v>
      </c>
      <c r="M385" s="1" t="s">
        <v>8152</v>
      </c>
      <c r="N385" s="1" t="s">
        <v>8153</v>
      </c>
      <c r="O385" s="1" t="s">
        <v>8154</v>
      </c>
      <c r="P385" s="1" t="s">
        <v>8155</v>
      </c>
      <c r="Q385" s="1" t="s">
        <v>8156</v>
      </c>
      <c r="R385" s="1" t="s">
        <v>8154</v>
      </c>
      <c r="S385" s="1" t="s">
        <v>8156</v>
      </c>
      <c r="T385" s="1" t="s">
        <v>132</v>
      </c>
      <c r="U385" s="1" t="s">
        <v>8157</v>
      </c>
      <c r="V385" s="1" t="s">
        <v>8158</v>
      </c>
      <c r="W385" s="1" t="s">
        <v>8159</v>
      </c>
      <c r="X385" s="1" t="s">
        <v>8147</v>
      </c>
      <c r="Y385" s="1" t="s">
        <v>8160</v>
      </c>
      <c r="Z385" s="1" t="s">
        <v>8161</v>
      </c>
      <c r="AA385" s="1" t="s">
        <v>8162</v>
      </c>
      <c r="AB385" s="1" t="s">
        <v>132</v>
      </c>
      <c r="AC385" s="1" t="s">
        <v>8153</v>
      </c>
      <c r="AD385" s="1" t="s">
        <v>132</v>
      </c>
      <c r="AE385" s="1" t="s">
        <v>132</v>
      </c>
      <c r="AF385" s="1" t="s">
        <v>8163</v>
      </c>
      <c r="AG385" s="1" t="s">
        <v>8164</v>
      </c>
      <c r="AH385" s="1" t="s">
        <v>132</v>
      </c>
      <c r="AI385" s="1" t="s">
        <v>8165</v>
      </c>
      <c r="AJ385" s="1" t="s">
        <v>132</v>
      </c>
      <c r="AK385" s="1" t="s">
        <v>132</v>
      </c>
      <c r="AL385" s="1" t="s">
        <v>8166</v>
      </c>
      <c r="AM385" s="1" t="s">
        <v>132</v>
      </c>
      <c r="AN385" s="1" t="s">
        <v>132</v>
      </c>
    </row>
    <row r="386" ht="15.75" customHeight="1">
      <c r="A386" s="1" t="s">
        <v>127</v>
      </c>
      <c r="B386" s="1" t="s">
        <v>8167</v>
      </c>
      <c r="C386" s="1" t="s">
        <v>8168</v>
      </c>
      <c r="D386" s="8" t="s">
        <v>8169</v>
      </c>
      <c r="E386" s="1" t="s">
        <v>8170</v>
      </c>
      <c r="F386" s="1" t="s">
        <v>132</v>
      </c>
      <c r="G386" s="1" t="s">
        <v>8171</v>
      </c>
      <c r="H386" s="1" t="s">
        <v>8172</v>
      </c>
      <c r="I386" s="1" t="s">
        <v>8173</v>
      </c>
      <c r="J386" s="1" t="s">
        <v>8174</v>
      </c>
      <c r="K386" s="1" t="s">
        <v>8175</v>
      </c>
      <c r="L386" s="1" t="s">
        <v>8176</v>
      </c>
      <c r="M386" s="1" t="s">
        <v>8168</v>
      </c>
      <c r="N386" s="1" t="s">
        <v>132</v>
      </c>
      <c r="O386" s="1" t="s">
        <v>8177</v>
      </c>
      <c r="P386" s="1" t="s">
        <v>8168</v>
      </c>
      <c r="Q386" s="1" t="s">
        <v>132</v>
      </c>
      <c r="R386" s="1" t="s">
        <v>8178</v>
      </c>
      <c r="S386" s="1" t="s">
        <v>8179</v>
      </c>
      <c r="T386" s="8" t="s">
        <v>8180</v>
      </c>
      <c r="U386" s="1" t="s">
        <v>8181</v>
      </c>
      <c r="V386" s="1" t="s">
        <v>8182</v>
      </c>
      <c r="W386" s="1" t="s">
        <v>8183</v>
      </c>
      <c r="X386" s="1" t="s">
        <v>8184</v>
      </c>
      <c r="Y386" s="1" t="s">
        <v>8185</v>
      </c>
      <c r="Z386" s="1" t="s">
        <v>8186</v>
      </c>
      <c r="AA386" s="1" t="s">
        <v>8187</v>
      </c>
      <c r="AB386" s="1" t="s">
        <v>8188</v>
      </c>
      <c r="AC386" s="1" t="s">
        <v>8189</v>
      </c>
      <c r="AD386" s="1" t="s">
        <v>8171</v>
      </c>
      <c r="AE386" s="1" t="s">
        <v>8190</v>
      </c>
      <c r="AF386" s="1" t="s">
        <v>8117</v>
      </c>
      <c r="AG386" s="1" t="s">
        <v>8191</v>
      </c>
      <c r="AH386" s="1" t="s">
        <v>8192</v>
      </c>
      <c r="AI386" s="1" t="s">
        <v>8193</v>
      </c>
      <c r="AJ386" s="1" t="s">
        <v>132</v>
      </c>
      <c r="AK386" s="1" t="s">
        <v>8194</v>
      </c>
      <c r="AL386" s="1" t="s">
        <v>8195</v>
      </c>
      <c r="AM386" s="1" t="s">
        <v>8196</v>
      </c>
      <c r="AN386" s="1" t="s">
        <v>8196</v>
      </c>
    </row>
    <row r="387" ht="15.75" customHeight="1">
      <c r="A387" s="1" t="s">
        <v>38</v>
      </c>
      <c r="B387" s="1" t="s">
        <v>8197</v>
      </c>
      <c r="C387" s="1" t="s">
        <v>8198</v>
      </c>
      <c r="D387" s="1" t="s">
        <v>132</v>
      </c>
      <c r="E387" s="1" t="s">
        <v>132</v>
      </c>
      <c r="F387" s="1" t="s">
        <v>132</v>
      </c>
      <c r="G387" s="1" t="s">
        <v>132</v>
      </c>
      <c r="H387" s="1" t="s">
        <v>132</v>
      </c>
      <c r="I387" s="1" t="s">
        <v>8199</v>
      </c>
      <c r="J387" s="1" t="s">
        <v>132</v>
      </c>
      <c r="K387" s="1" t="s">
        <v>8200</v>
      </c>
      <c r="L387" s="1" t="s">
        <v>132</v>
      </c>
      <c r="M387" s="1" t="s">
        <v>8201</v>
      </c>
      <c r="N387" s="1" t="s">
        <v>132</v>
      </c>
      <c r="O387" s="1" t="s">
        <v>132</v>
      </c>
      <c r="P387" s="1" t="s">
        <v>8202</v>
      </c>
      <c r="Q387" s="1" t="s">
        <v>132</v>
      </c>
      <c r="R387" s="1" t="s">
        <v>132</v>
      </c>
      <c r="S387" s="1" t="s">
        <v>132</v>
      </c>
      <c r="T387" s="1" t="s">
        <v>132</v>
      </c>
      <c r="U387" s="1" t="s">
        <v>132</v>
      </c>
      <c r="V387" s="1" t="s">
        <v>132</v>
      </c>
      <c r="W387" s="1" t="s">
        <v>132</v>
      </c>
      <c r="X387" s="1" t="s">
        <v>132</v>
      </c>
      <c r="Y387" s="1" t="s">
        <v>132</v>
      </c>
      <c r="Z387" s="1" t="s">
        <v>132</v>
      </c>
      <c r="AA387" s="1" t="s">
        <v>132</v>
      </c>
      <c r="AB387" s="1" t="s">
        <v>132</v>
      </c>
      <c r="AC387" s="1" t="s">
        <v>8203</v>
      </c>
      <c r="AD387" s="1" t="s">
        <v>132</v>
      </c>
      <c r="AE387" s="1" t="s">
        <v>132</v>
      </c>
      <c r="AF387" s="1" t="s">
        <v>8204</v>
      </c>
      <c r="AG387" s="1" t="s">
        <v>132</v>
      </c>
      <c r="AH387" s="1" t="s">
        <v>132</v>
      </c>
      <c r="AI387" s="1" t="s">
        <v>132</v>
      </c>
      <c r="AJ387" s="1" t="s">
        <v>132</v>
      </c>
      <c r="AK387" s="1" t="s">
        <v>132</v>
      </c>
      <c r="AL387" s="1" t="s">
        <v>132</v>
      </c>
      <c r="AM387" s="1" t="s">
        <v>132</v>
      </c>
      <c r="AN387" s="1" t="s">
        <v>132</v>
      </c>
    </row>
    <row r="388" ht="15.75" customHeight="1">
      <c r="A388" s="1" t="s">
        <v>38</v>
      </c>
      <c r="B388" s="1" t="s">
        <v>8205</v>
      </c>
      <c r="C388" s="1" t="s">
        <v>8206</v>
      </c>
      <c r="D388" s="8" t="s">
        <v>8207</v>
      </c>
      <c r="E388" s="1" t="s">
        <v>8208</v>
      </c>
      <c r="F388" s="1" t="s">
        <v>8209</v>
      </c>
      <c r="G388" s="1" t="s">
        <v>132</v>
      </c>
      <c r="H388" s="1" t="s">
        <v>132</v>
      </c>
      <c r="I388" s="1" t="s">
        <v>8210</v>
      </c>
      <c r="J388" s="1" t="s">
        <v>132</v>
      </c>
      <c r="K388" s="1" t="s">
        <v>8211</v>
      </c>
      <c r="L388" s="1" t="s">
        <v>132</v>
      </c>
      <c r="M388" s="1" t="s">
        <v>8212</v>
      </c>
      <c r="N388" s="1" t="s">
        <v>8213</v>
      </c>
      <c r="O388" s="1" t="s">
        <v>132</v>
      </c>
      <c r="P388" s="1" t="s">
        <v>8214</v>
      </c>
      <c r="Q388" s="1" t="s">
        <v>8215</v>
      </c>
      <c r="R388" s="1" t="s">
        <v>132</v>
      </c>
      <c r="S388" s="1" t="s">
        <v>8216</v>
      </c>
      <c r="T388" s="1" t="s">
        <v>132</v>
      </c>
      <c r="U388" s="1" t="s">
        <v>8217</v>
      </c>
      <c r="V388" s="1" t="s">
        <v>8218</v>
      </c>
      <c r="W388" s="1" t="s">
        <v>132</v>
      </c>
      <c r="X388" s="1" t="s">
        <v>8219</v>
      </c>
      <c r="Y388" s="1" t="s">
        <v>132</v>
      </c>
      <c r="Z388" s="1" t="s">
        <v>8220</v>
      </c>
      <c r="AA388" s="1" t="s">
        <v>8221</v>
      </c>
      <c r="AB388" s="1" t="s">
        <v>132</v>
      </c>
      <c r="AC388" s="1" t="s">
        <v>8222</v>
      </c>
      <c r="AD388" s="1" t="s">
        <v>132</v>
      </c>
      <c r="AE388" s="1" t="s">
        <v>132</v>
      </c>
      <c r="AF388" s="1" t="s">
        <v>8223</v>
      </c>
      <c r="AG388" s="1" t="s">
        <v>8224</v>
      </c>
      <c r="AH388" s="1" t="s">
        <v>132</v>
      </c>
      <c r="AI388" s="1" t="s">
        <v>132</v>
      </c>
      <c r="AJ388" s="1" t="s">
        <v>8225</v>
      </c>
      <c r="AK388" s="1" t="s">
        <v>132</v>
      </c>
      <c r="AL388" s="1" t="s">
        <v>132</v>
      </c>
      <c r="AM388" s="1" t="s">
        <v>8226</v>
      </c>
      <c r="AN388" s="1" t="s">
        <v>8226</v>
      </c>
    </row>
    <row r="389" ht="15.75" customHeight="1">
      <c r="A389" s="1" t="s">
        <v>38</v>
      </c>
      <c r="B389" s="1" t="s">
        <v>8227</v>
      </c>
      <c r="C389" s="1" t="s">
        <v>8228</v>
      </c>
      <c r="D389" s="1" t="s">
        <v>132</v>
      </c>
      <c r="E389" s="1" t="s">
        <v>8229</v>
      </c>
      <c r="F389" s="1" t="s">
        <v>8230</v>
      </c>
      <c r="G389" s="1" t="s">
        <v>132</v>
      </c>
      <c r="H389" s="1" t="s">
        <v>132</v>
      </c>
      <c r="I389" s="1" t="s">
        <v>8231</v>
      </c>
      <c r="J389" s="1" t="s">
        <v>132</v>
      </c>
      <c r="K389" s="1" t="s">
        <v>8232</v>
      </c>
      <c r="L389" s="1" t="s">
        <v>132</v>
      </c>
      <c r="M389" s="1" t="s">
        <v>8233</v>
      </c>
      <c r="N389" s="1" t="s">
        <v>8234</v>
      </c>
      <c r="O389" s="1" t="s">
        <v>132</v>
      </c>
      <c r="P389" s="1" t="s">
        <v>8235</v>
      </c>
      <c r="Q389" s="1" t="s">
        <v>132</v>
      </c>
      <c r="R389" s="1" t="s">
        <v>132</v>
      </c>
      <c r="S389" s="1" t="s">
        <v>8236</v>
      </c>
      <c r="T389" s="1" t="s">
        <v>132</v>
      </c>
      <c r="U389" s="1" t="s">
        <v>8237</v>
      </c>
      <c r="V389" s="1" t="s">
        <v>132</v>
      </c>
      <c r="W389" s="1" t="s">
        <v>132</v>
      </c>
      <c r="X389" s="1" t="s">
        <v>8238</v>
      </c>
      <c r="Y389" s="1" t="s">
        <v>132</v>
      </c>
      <c r="Z389" s="1" t="s">
        <v>8239</v>
      </c>
      <c r="AA389" s="1" t="s">
        <v>132</v>
      </c>
      <c r="AB389" s="1" t="s">
        <v>132</v>
      </c>
      <c r="AC389" s="1" t="s">
        <v>8240</v>
      </c>
      <c r="AD389" s="1" t="s">
        <v>132</v>
      </c>
      <c r="AE389" s="1" t="s">
        <v>132</v>
      </c>
      <c r="AF389" s="1" t="s">
        <v>8241</v>
      </c>
      <c r="AG389" s="1" t="s">
        <v>8242</v>
      </c>
      <c r="AH389" s="1" t="s">
        <v>132</v>
      </c>
      <c r="AI389" s="1" t="s">
        <v>132</v>
      </c>
      <c r="AJ389" s="1" t="s">
        <v>8243</v>
      </c>
      <c r="AK389" s="1" t="s">
        <v>132</v>
      </c>
      <c r="AL389" s="1" t="s">
        <v>132</v>
      </c>
      <c r="AM389" s="1" t="s">
        <v>8244</v>
      </c>
      <c r="AN389" s="1" t="s">
        <v>8244</v>
      </c>
    </row>
    <row r="390" ht="15.75" customHeight="1">
      <c r="A390" s="1" t="s">
        <v>127</v>
      </c>
      <c r="B390" s="1" t="s">
        <v>8245</v>
      </c>
      <c r="C390" s="1" t="s">
        <v>8246</v>
      </c>
      <c r="D390" s="8" t="s">
        <v>8247</v>
      </c>
      <c r="E390" s="1" t="s">
        <v>8248</v>
      </c>
      <c r="F390" s="1" t="s">
        <v>132</v>
      </c>
      <c r="G390" s="1" t="s">
        <v>8249</v>
      </c>
      <c r="H390" s="1" t="s">
        <v>8250</v>
      </c>
      <c r="I390" s="1" t="s">
        <v>8251</v>
      </c>
      <c r="J390" s="1" t="s">
        <v>8252</v>
      </c>
      <c r="K390" s="1" t="s">
        <v>8253</v>
      </c>
      <c r="L390" s="1" t="s">
        <v>8254</v>
      </c>
      <c r="M390" s="1" t="s">
        <v>8255</v>
      </c>
      <c r="N390" s="1" t="s">
        <v>132</v>
      </c>
      <c r="O390" s="1" t="s">
        <v>8256</v>
      </c>
      <c r="P390" s="1" t="s">
        <v>8257</v>
      </c>
      <c r="Q390" s="1" t="s">
        <v>132</v>
      </c>
      <c r="R390" s="1" t="s">
        <v>8258</v>
      </c>
      <c r="S390" s="1" t="s">
        <v>8259</v>
      </c>
      <c r="T390" s="8" t="s">
        <v>8260</v>
      </c>
      <c r="U390" s="1" t="s">
        <v>8261</v>
      </c>
      <c r="V390" s="1" t="s">
        <v>8262</v>
      </c>
      <c r="W390" s="1" t="s">
        <v>8263</v>
      </c>
      <c r="X390" s="1" t="s">
        <v>8264</v>
      </c>
      <c r="Y390" s="1" t="s">
        <v>8265</v>
      </c>
      <c r="Z390" s="1" t="s">
        <v>8266</v>
      </c>
      <c r="AA390" s="1" t="s">
        <v>8267</v>
      </c>
      <c r="AB390" s="1" t="s">
        <v>8268</v>
      </c>
      <c r="AC390" s="1" t="s">
        <v>8269</v>
      </c>
      <c r="AD390" s="1" t="s">
        <v>8270</v>
      </c>
      <c r="AE390" s="1" t="s">
        <v>8271</v>
      </c>
      <c r="AF390" s="1" t="s">
        <v>8272</v>
      </c>
      <c r="AG390" s="1" t="s">
        <v>8273</v>
      </c>
      <c r="AH390" s="1" t="s">
        <v>8274</v>
      </c>
      <c r="AI390" s="1" t="s">
        <v>8275</v>
      </c>
      <c r="AJ390" s="1" t="s">
        <v>132</v>
      </c>
      <c r="AK390" s="1" t="s">
        <v>8276</v>
      </c>
      <c r="AL390" s="1" t="s">
        <v>8277</v>
      </c>
      <c r="AM390" s="1" t="s">
        <v>132</v>
      </c>
      <c r="AN390" s="1" t="s">
        <v>132</v>
      </c>
    </row>
    <row r="391" ht="15.75" customHeight="1">
      <c r="A391" s="1" t="s">
        <v>38</v>
      </c>
      <c r="B391" s="1" t="s">
        <v>8278</v>
      </c>
      <c r="C391" s="1" t="s">
        <v>8279</v>
      </c>
      <c r="D391" s="1" t="s">
        <v>132</v>
      </c>
      <c r="E391" s="1" t="s">
        <v>8280</v>
      </c>
      <c r="F391" s="1" t="s">
        <v>8281</v>
      </c>
      <c r="G391" s="1" t="s">
        <v>132</v>
      </c>
      <c r="H391" s="1" t="s">
        <v>132</v>
      </c>
      <c r="I391" s="1" t="s">
        <v>8282</v>
      </c>
      <c r="J391" s="1" t="s">
        <v>132</v>
      </c>
      <c r="K391" s="1" t="s">
        <v>8283</v>
      </c>
      <c r="L391" s="1" t="s">
        <v>132</v>
      </c>
      <c r="M391" s="1" t="s">
        <v>8284</v>
      </c>
      <c r="N391" s="1" t="s">
        <v>8283</v>
      </c>
      <c r="O391" s="1" t="s">
        <v>132</v>
      </c>
      <c r="P391" s="1" t="s">
        <v>8285</v>
      </c>
      <c r="Q391" s="1" t="s">
        <v>132</v>
      </c>
      <c r="R391" s="1" t="s">
        <v>132</v>
      </c>
      <c r="S391" s="1" t="s">
        <v>8286</v>
      </c>
      <c r="T391" s="1" t="s">
        <v>132</v>
      </c>
      <c r="U391" s="1" t="s">
        <v>132</v>
      </c>
      <c r="V391" s="1" t="s">
        <v>132</v>
      </c>
      <c r="W391" s="1" t="s">
        <v>132</v>
      </c>
      <c r="X391" s="1" t="s">
        <v>8287</v>
      </c>
      <c r="Y391" s="1" t="s">
        <v>132</v>
      </c>
      <c r="Z391" s="1" t="s">
        <v>8288</v>
      </c>
      <c r="AA391" s="1" t="s">
        <v>8289</v>
      </c>
      <c r="AB391" s="1" t="s">
        <v>132</v>
      </c>
      <c r="AC391" s="1" t="s">
        <v>8280</v>
      </c>
      <c r="AD391" s="1" t="s">
        <v>132</v>
      </c>
      <c r="AE391" s="1" t="s">
        <v>132</v>
      </c>
      <c r="AF391" s="1" t="s">
        <v>8280</v>
      </c>
      <c r="AG391" s="1" t="s">
        <v>132</v>
      </c>
      <c r="AH391" s="1" t="s">
        <v>132</v>
      </c>
      <c r="AI391" s="1" t="s">
        <v>132</v>
      </c>
      <c r="AJ391" s="1" t="s">
        <v>132</v>
      </c>
      <c r="AK391" s="1" t="s">
        <v>132</v>
      </c>
      <c r="AL391" s="1" t="s">
        <v>132</v>
      </c>
      <c r="AM391" s="1" t="s">
        <v>132</v>
      </c>
      <c r="AN391" s="1" t="s">
        <v>132</v>
      </c>
    </row>
    <row r="392" ht="15.75" customHeight="1">
      <c r="A392" s="1" t="s">
        <v>38</v>
      </c>
      <c r="B392" s="1" t="s">
        <v>8290</v>
      </c>
      <c r="C392" s="1" t="s">
        <v>8291</v>
      </c>
      <c r="D392" s="8" t="s">
        <v>8292</v>
      </c>
      <c r="E392" s="1" t="s">
        <v>8293</v>
      </c>
      <c r="F392" s="1" t="s">
        <v>8294</v>
      </c>
      <c r="G392" s="1" t="s">
        <v>132</v>
      </c>
      <c r="H392" s="1" t="s">
        <v>132</v>
      </c>
      <c r="I392" s="1" t="s">
        <v>8295</v>
      </c>
      <c r="J392" s="1" t="s">
        <v>132</v>
      </c>
      <c r="K392" s="1" t="s">
        <v>8296</v>
      </c>
      <c r="L392" s="1" t="s">
        <v>132</v>
      </c>
      <c r="M392" s="1" t="s">
        <v>4836</v>
      </c>
      <c r="N392" s="1" t="s">
        <v>8297</v>
      </c>
      <c r="O392" s="1" t="s">
        <v>132</v>
      </c>
      <c r="P392" s="1" t="s">
        <v>8298</v>
      </c>
      <c r="Q392" s="1" t="s">
        <v>8299</v>
      </c>
      <c r="R392" s="1" t="s">
        <v>132</v>
      </c>
      <c r="S392" s="1" t="s">
        <v>4846</v>
      </c>
      <c r="T392" s="1" t="s">
        <v>132</v>
      </c>
      <c r="U392" s="1" t="s">
        <v>8300</v>
      </c>
      <c r="V392" s="1" t="s">
        <v>3211</v>
      </c>
      <c r="W392" s="1" t="s">
        <v>132</v>
      </c>
      <c r="X392" s="1" t="s">
        <v>8301</v>
      </c>
      <c r="Y392" s="1" t="s">
        <v>132</v>
      </c>
      <c r="Z392" s="1" t="s">
        <v>8302</v>
      </c>
      <c r="AA392" s="1" t="s">
        <v>8303</v>
      </c>
      <c r="AB392" s="1" t="s">
        <v>132</v>
      </c>
      <c r="AC392" s="1" t="s">
        <v>8293</v>
      </c>
      <c r="AD392" s="1" t="s">
        <v>8304</v>
      </c>
      <c r="AE392" s="1" t="s">
        <v>132</v>
      </c>
      <c r="AF392" s="1" t="s">
        <v>8305</v>
      </c>
      <c r="AG392" s="1" t="s">
        <v>4836</v>
      </c>
      <c r="AH392" s="1" t="s">
        <v>132</v>
      </c>
      <c r="AI392" s="1" t="s">
        <v>132</v>
      </c>
      <c r="AJ392" s="1" t="s">
        <v>8306</v>
      </c>
      <c r="AK392" s="1" t="s">
        <v>4860</v>
      </c>
      <c r="AL392" s="1" t="s">
        <v>132</v>
      </c>
      <c r="AM392" s="1" t="s">
        <v>8300</v>
      </c>
      <c r="AN392" s="1" t="s">
        <v>8300</v>
      </c>
    </row>
    <row r="393" ht="15.75" customHeight="1">
      <c r="A393" s="1" t="s">
        <v>127</v>
      </c>
      <c r="B393" s="1" t="s">
        <v>8307</v>
      </c>
      <c r="C393" s="1" t="s">
        <v>8308</v>
      </c>
      <c r="D393" s="8" t="s">
        <v>8309</v>
      </c>
      <c r="E393" s="1" t="s">
        <v>8310</v>
      </c>
      <c r="F393" s="1" t="s">
        <v>132</v>
      </c>
      <c r="G393" s="1" t="s">
        <v>8311</v>
      </c>
      <c r="H393" s="1" t="s">
        <v>8312</v>
      </c>
      <c r="I393" s="1" t="s">
        <v>8313</v>
      </c>
      <c r="J393" s="1" t="s">
        <v>8314</v>
      </c>
      <c r="K393" s="1" t="s">
        <v>8315</v>
      </c>
      <c r="L393" s="1" t="s">
        <v>8316</v>
      </c>
      <c r="M393" s="1" t="s">
        <v>8317</v>
      </c>
      <c r="N393" s="1" t="s">
        <v>132</v>
      </c>
      <c r="O393" s="1" t="s">
        <v>8318</v>
      </c>
      <c r="P393" s="1" t="s">
        <v>8319</v>
      </c>
      <c r="Q393" s="1" t="s">
        <v>132</v>
      </c>
      <c r="R393" s="1" t="s">
        <v>8320</v>
      </c>
      <c r="S393" s="1" t="s">
        <v>8321</v>
      </c>
      <c r="T393" s="8" t="s">
        <v>8322</v>
      </c>
      <c r="U393" s="1" t="s">
        <v>8308</v>
      </c>
      <c r="V393" s="1" t="s">
        <v>8323</v>
      </c>
      <c r="W393" s="1" t="s">
        <v>8320</v>
      </c>
      <c r="X393" s="1" t="s">
        <v>8324</v>
      </c>
      <c r="Y393" s="1" t="s">
        <v>8325</v>
      </c>
      <c r="Z393" s="1" t="s">
        <v>8326</v>
      </c>
      <c r="AA393" s="1" t="s">
        <v>8327</v>
      </c>
      <c r="AB393" s="1" t="s">
        <v>8328</v>
      </c>
      <c r="AC393" s="1" t="s">
        <v>8329</v>
      </c>
      <c r="AD393" s="1" t="s">
        <v>8330</v>
      </c>
      <c r="AE393" s="1" t="s">
        <v>8331</v>
      </c>
      <c r="AF393" s="1" t="s">
        <v>8332</v>
      </c>
      <c r="AG393" s="1" t="s">
        <v>8333</v>
      </c>
      <c r="AH393" s="1" t="s">
        <v>8334</v>
      </c>
      <c r="AI393" s="1" t="s">
        <v>8335</v>
      </c>
      <c r="AJ393" s="1" t="s">
        <v>132</v>
      </c>
      <c r="AK393" s="1" t="s">
        <v>8336</v>
      </c>
      <c r="AL393" s="1" t="s">
        <v>8337</v>
      </c>
      <c r="AM393" s="1" t="s">
        <v>132</v>
      </c>
      <c r="AN393" s="1" t="s">
        <v>132</v>
      </c>
    </row>
    <row r="394" ht="15.75" customHeight="1">
      <c r="A394" s="1" t="s">
        <v>38</v>
      </c>
      <c r="B394" s="1" t="s">
        <v>8338</v>
      </c>
      <c r="C394" s="1" t="s">
        <v>8339</v>
      </c>
      <c r="D394" s="1" t="s">
        <v>132</v>
      </c>
      <c r="E394" s="1" t="s">
        <v>8340</v>
      </c>
      <c r="F394" s="1" t="s">
        <v>8341</v>
      </c>
      <c r="G394" s="1" t="s">
        <v>132</v>
      </c>
      <c r="H394" s="1" t="s">
        <v>132</v>
      </c>
      <c r="I394" s="1" t="s">
        <v>8342</v>
      </c>
      <c r="J394" s="1" t="s">
        <v>132</v>
      </c>
      <c r="K394" s="1" t="s">
        <v>8343</v>
      </c>
      <c r="L394" s="1" t="s">
        <v>132</v>
      </c>
      <c r="M394" s="1" t="s">
        <v>8344</v>
      </c>
      <c r="N394" s="1" t="s">
        <v>8345</v>
      </c>
      <c r="O394" s="1" t="s">
        <v>132</v>
      </c>
      <c r="P394" s="1" t="s">
        <v>8346</v>
      </c>
      <c r="Q394" s="1" t="s">
        <v>132</v>
      </c>
      <c r="R394" s="1" t="s">
        <v>132</v>
      </c>
      <c r="S394" s="1" t="s">
        <v>8347</v>
      </c>
      <c r="T394" s="1" t="s">
        <v>132</v>
      </c>
      <c r="U394" s="1" t="s">
        <v>132</v>
      </c>
      <c r="V394" s="1" t="s">
        <v>132</v>
      </c>
      <c r="W394" s="1" t="s">
        <v>132</v>
      </c>
      <c r="X394" s="1" t="s">
        <v>8348</v>
      </c>
      <c r="Y394" s="1" t="s">
        <v>132</v>
      </c>
      <c r="Z394" s="1" t="s">
        <v>8349</v>
      </c>
      <c r="AA394" s="1" t="s">
        <v>132</v>
      </c>
      <c r="AB394" s="1" t="s">
        <v>132</v>
      </c>
      <c r="AC394" s="1" t="s">
        <v>132</v>
      </c>
      <c r="AD394" s="1" t="s">
        <v>132</v>
      </c>
      <c r="AE394" s="1" t="s">
        <v>132</v>
      </c>
      <c r="AF394" s="1" t="s">
        <v>132</v>
      </c>
      <c r="AG394" s="1" t="s">
        <v>132</v>
      </c>
      <c r="AH394" s="1" t="s">
        <v>132</v>
      </c>
      <c r="AI394" s="1" t="s">
        <v>132</v>
      </c>
      <c r="AJ394" s="1" t="s">
        <v>132</v>
      </c>
      <c r="AK394" s="1" t="s">
        <v>132</v>
      </c>
      <c r="AL394" s="1" t="s">
        <v>132</v>
      </c>
      <c r="AM394" s="1" t="s">
        <v>132</v>
      </c>
      <c r="AN394" s="1" t="s">
        <v>132</v>
      </c>
    </row>
    <row r="395" ht="15.75" customHeight="1">
      <c r="A395" s="1" t="s">
        <v>127</v>
      </c>
      <c r="B395" s="1" t="s">
        <v>8350</v>
      </c>
      <c r="C395" s="1" t="s">
        <v>8351</v>
      </c>
      <c r="D395" s="8" t="s">
        <v>8352</v>
      </c>
      <c r="E395" s="1" t="s">
        <v>8353</v>
      </c>
      <c r="F395" s="1" t="s">
        <v>132</v>
      </c>
      <c r="G395" s="1" t="s">
        <v>8354</v>
      </c>
      <c r="H395" s="1" t="s">
        <v>8355</v>
      </c>
      <c r="I395" s="1" t="s">
        <v>8356</v>
      </c>
      <c r="J395" s="1" t="s">
        <v>8357</v>
      </c>
      <c r="K395" s="1" t="s">
        <v>8358</v>
      </c>
      <c r="L395" s="1" t="s">
        <v>8359</v>
      </c>
      <c r="M395" s="1" t="s">
        <v>8360</v>
      </c>
      <c r="N395" s="1" t="s">
        <v>132</v>
      </c>
      <c r="O395" s="1" t="s">
        <v>8361</v>
      </c>
      <c r="P395" s="1" t="s">
        <v>8362</v>
      </c>
      <c r="Q395" s="1" t="s">
        <v>132</v>
      </c>
      <c r="R395" s="1" t="s">
        <v>8363</v>
      </c>
      <c r="S395" s="1" t="s">
        <v>8364</v>
      </c>
      <c r="T395" s="8" t="s">
        <v>8365</v>
      </c>
      <c r="U395" s="1" t="s">
        <v>8366</v>
      </c>
      <c r="V395" s="1" t="s">
        <v>8367</v>
      </c>
      <c r="W395" s="1" t="s">
        <v>8368</v>
      </c>
      <c r="X395" s="1" t="s">
        <v>8369</v>
      </c>
      <c r="Y395" s="1" t="s">
        <v>8370</v>
      </c>
      <c r="Z395" s="1" t="s">
        <v>8371</v>
      </c>
      <c r="AA395" s="1" t="s">
        <v>8372</v>
      </c>
      <c r="AB395" s="1" t="s">
        <v>8373</v>
      </c>
      <c r="AC395" s="1" t="s">
        <v>8374</v>
      </c>
      <c r="AD395" s="1" t="s">
        <v>8375</v>
      </c>
      <c r="AE395" s="1" t="s">
        <v>132</v>
      </c>
      <c r="AF395" s="1" t="s">
        <v>8376</v>
      </c>
      <c r="AG395" s="1" t="s">
        <v>8355</v>
      </c>
      <c r="AH395" s="1" t="s">
        <v>8377</v>
      </c>
      <c r="AI395" s="1" t="s">
        <v>8378</v>
      </c>
      <c r="AJ395" s="1" t="s">
        <v>132</v>
      </c>
      <c r="AK395" s="1" t="s">
        <v>8379</v>
      </c>
      <c r="AL395" s="1" t="s">
        <v>8380</v>
      </c>
      <c r="AM395" s="1" t="s">
        <v>132</v>
      </c>
      <c r="AN395" s="1" t="s">
        <v>132</v>
      </c>
    </row>
    <row r="396" ht="15.75" customHeight="1">
      <c r="A396" s="1" t="s">
        <v>38</v>
      </c>
      <c r="B396" s="1" t="s">
        <v>8381</v>
      </c>
      <c r="C396" s="1" t="s">
        <v>8382</v>
      </c>
      <c r="D396" s="1" t="s">
        <v>132</v>
      </c>
      <c r="E396" s="1" t="s">
        <v>8383</v>
      </c>
      <c r="F396" s="1" t="s">
        <v>132</v>
      </c>
      <c r="G396" s="1" t="s">
        <v>132</v>
      </c>
      <c r="H396" s="1" t="s">
        <v>132</v>
      </c>
      <c r="I396" s="1" t="s">
        <v>8384</v>
      </c>
      <c r="J396" s="1" t="s">
        <v>132</v>
      </c>
      <c r="K396" s="1" t="s">
        <v>8385</v>
      </c>
      <c r="L396" s="1" t="s">
        <v>132</v>
      </c>
      <c r="M396" s="1" t="s">
        <v>8386</v>
      </c>
      <c r="N396" s="1" t="s">
        <v>8387</v>
      </c>
      <c r="O396" s="1" t="s">
        <v>132</v>
      </c>
      <c r="P396" s="1" t="s">
        <v>8388</v>
      </c>
      <c r="Q396" s="1" t="s">
        <v>132</v>
      </c>
      <c r="R396" s="1" t="s">
        <v>132</v>
      </c>
      <c r="S396" s="1" t="s">
        <v>8389</v>
      </c>
      <c r="T396" s="1" t="s">
        <v>132</v>
      </c>
      <c r="U396" s="1" t="s">
        <v>132</v>
      </c>
      <c r="V396" s="1" t="s">
        <v>132</v>
      </c>
      <c r="W396" s="1" t="s">
        <v>132</v>
      </c>
      <c r="X396" s="1" t="s">
        <v>8390</v>
      </c>
      <c r="Y396" s="1" t="s">
        <v>132</v>
      </c>
      <c r="Z396" s="1" t="s">
        <v>8391</v>
      </c>
      <c r="AA396" s="1" t="s">
        <v>132</v>
      </c>
      <c r="AB396" s="1" t="s">
        <v>132</v>
      </c>
      <c r="AC396" s="1" t="s">
        <v>132</v>
      </c>
      <c r="AD396" s="1" t="s">
        <v>132</v>
      </c>
      <c r="AE396" s="1" t="s">
        <v>132</v>
      </c>
      <c r="AF396" s="1" t="s">
        <v>132</v>
      </c>
      <c r="AG396" s="1" t="s">
        <v>132</v>
      </c>
      <c r="AH396" s="1" t="s">
        <v>132</v>
      </c>
      <c r="AI396" s="1" t="s">
        <v>132</v>
      </c>
      <c r="AJ396" s="1" t="s">
        <v>132</v>
      </c>
      <c r="AK396" s="1" t="s">
        <v>132</v>
      </c>
      <c r="AL396" s="1" t="s">
        <v>132</v>
      </c>
      <c r="AM396" s="1" t="s">
        <v>132</v>
      </c>
      <c r="AN396" s="1" t="s">
        <v>132</v>
      </c>
    </row>
    <row r="397" ht="15.75" customHeight="1">
      <c r="A397" s="1" t="s">
        <v>38</v>
      </c>
      <c r="B397" s="1" t="s">
        <v>8392</v>
      </c>
      <c r="C397" s="1" t="s">
        <v>8393</v>
      </c>
      <c r="D397" s="8" t="s">
        <v>8394</v>
      </c>
      <c r="E397" s="1" t="s">
        <v>8395</v>
      </c>
      <c r="F397" s="1" t="s">
        <v>8396</v>
      </c>
      <c r="G397" s="1" t="s">
        <v>132</v>
      </c>
      <c r="H397" s="1" t="s">
        <v>132</v>
      </c>
      <c r="I397" s="1" t="s">
        <v>8397</v>
      </c>
      <c r="J397" s="1" t="s">
        <v>132</v>
      </c>
      <c r="K397" s="1" t="s">
        <v>8398</v>
      </c>
      <c r="L397" s="1" t="s">
        <v>132</v>
      </c>
      <c r="M397" s="1" t="s">
        <v>8399</v>
      </c>
      <c r="N397" s="1" t="s">
        <v>8400</v>
      </c>
      <c r="O397" s="1" t="s">
        <v>132</v>
      </c>
      <c r="P397" s="1" t="s">
        <v>8401</v>
      </c>
      <c r="Q397" s="1" t="s">
        <v>132</v>
      </c>
      <c r="R397" s="1" t="s">
        <v>132</v>
      </c>
      <c r="S397" s="1" t="s">
        <v>8402</v>
      </c>
      <c r="T397" s="1" t="s">
        <v>132</v>
      </c>
      <c r="U397" s="1" t="s">
        <v>8403</v>
      </c>
      <c r="V397" s="1" t="s">
        <v>8404</v>
      </c>
      <c r="W397" s="1" t="s">
        <v>132</v>
      </c>
      <c r="X397" s="1" t="s">
        <v>8405</v>
      </c>
      <c r="Y397" s="1" t="s">
        <v>132</v>
      </c>
      <c r="Z397" s="1" t="s">
        <v>8406</v>
      </c>
      <c r="AA397" s="1" t="s">
        <v>8407</v>
      </c>
      <c r="AB397" s="1" t="s">
        <v>132</v>
      </c>
      <c r="AC397" s="1" t="s">
        <v>8408</v>
      </c>
      <c r="AD397" s="1" t="s">
        <v>132</v>
      </c>
      <c r="AE397" s="1" t="s">
        <v>132</v>
      </c>
      <c r="AF397" s="1" t="s">
        <v>8409</v>
      </c>
      <c r="AG397" s="1" t="s">
        <v>8410</v>
      </c>
      <c r="AH397" s="1" t="s">
        <v>132</v>
      </c>
      <c r="AI397" s="1" t="s">
        <v>132</v>
      </c>
      <c r="AJ397" s="1" t="s">
        <v>8411</v>
      </c>
      <c r="AK397" s="1" t="s">
        <v>132</v>
      </c>
      <c r="AL397" s="1" t="s">
        <v>132</v>
      </c>
      <c r="AM397" s="1" t="s">
        <v>8412</v>
      </c>
      <c r="AN397" s="1" t="s">
        <v>8412</v>
      </c>
    </row>
    <row r="398" ht="15.75" customHeight="1">
      <c r="A398" s="1" t="s">
        <v>38</v>
      </c>
      <c r="B398" s="1" t="s">
        <v>8413</v>
      </c>
      <c r="C398" s="1" t="s">
        <v>8414</v>
      </c>
      <c r="D398" s="1" t="s">
        <v>132</v>
      </c>
      <c r="E398" s="1" t="s">
        <v>8415</v>
      </c>
      <c r="F398" s="1" t="s">
        <v>8416</v>
      </c>
      <c r="G398" s="1" t="s">
        <v>132</v>
      </c>
      <c r="H398" s="1" t="s">
        <v>132</v>
      </c>
      <c r="I398" s="1" t="s">
        <v>8417</v>
      </c>
      <c r="J398" s="1" t="s">
        <v>132</v>
      </c>
      <c r="K398" s="1" t="s">
        <v>8418</v>
      </c>
      <c r="L398" s="1" t="s">
        <v>132</v>
      </c>
      <c r="M398" s="1" t="s">
        <v>8419</v>
      </c>
      <c r="N398" s="1" t="s">
        <v>8420</v>
      </c>
      <c r="O398" s="1" t="s">
        <v>132</v>
      </c>
      <c r="P398" s="1" t="s">
        <v>8421</v>
      </c>
      <c r="Q398" s="1" t="s">
        <v>132</v>
      </c>
      <c r="R398" s="1" t="s">
        <v>132</v>
      </c>
      <c r="S398" s="1" t="s">
        <v>8422</v>
      </c>
      <c r="T398" s="1" t="s">
        <v>132</v>
      </c>
      <c r="U398" s="1" t="s">
        <v>132</v>
      </c>
      <c r="V398" s="1" t="s">
        <v>132</v>
      </c>
      <c r="W398" s="1" t="s">
        <v>132</v>
      </c>
      <c r="X398" s="1" t="s">
        <v>8423</v>
      </c>
      <c r="Y398" s="1" t="s">
        <v>132</v>
      </c>
      <c r="Z398" s="1" t="s">
        <v>8424</v>
      </c>
      <c r="AA398" s="1" t="s">
        <v>132</v>
      </c>
      <c r="AB398" s="1" t="s">
        <v>132</v>
      </c>
      <c r="AC398" s="1" t="s">
        <v>132</v>
      </c>
      <c r="AD398" s="1" t="s">
        <v>132</v>
      </c>
      <c r="AE398" s="1" t="s">
        <v>132</v>
      </c>
      <c r="AF398" s="1" t="s">
        <v>132</v>
      </c>
      <c r="AG398" s="1" t="s">
        <v>132</v>
      </c>
      <c r="AH398" s="1" t="s">
        <v>132</v>
      </c>
      <c r="AI398" s="1" t="s">
        <v>132</v>
      </c>
      <c r="AJ398" s="1" t="s">
        <v>132</v>
      </c>
      <c r="AK398" s="1" t="s">
        <v>132</v>
      </c>
      <c r="AL398" s="1" t="s">
        <v>132</v>
      </c>
      <c r="AM398" s="1" t="s">
        <v>132</v>
      </c>
      <c r="AN398" s="1" t="s">
        <v>132</v>
      </c>
    </row>
    <row r="399" ht="15.75" customHeight="1">
      <c r="A399" s="1" t="s">
        <v>38</v>
      </c>
      <c r="B399" s="1" t="s">
        <v>8425</v>
      </c>
      <c r="C399" s="1" t="s">
        <v>8426</v>
      </c>
      <c r="D399" s="8" t="s">
        <v>8427</v>
      </c>
      <c r="E399" s="1" t="s">
        <v>8428</v>
      </c>
      <c r="F399" s="1" t="s">
        <v>8429</v>
      </c>
      <c r="G399" s="1" t="s">
        <v>132</v>
      </c>
      <c r="H399" s="1" t="s">
        <v>132</v>
      </c>
      <c r="I399" s="1" t="s">
        <v>8430</v>
      </c>
      <c r="J399" s="1" t="s">
        <v>132</v>
      </c>
      <c r="K399" s="1" t="s">
        <v>8431</v>
      </c>
      <c r="L399" s="1" t="s">
        <v>132</v>
      </c>
      <c r="M399" s="1" t="s">
        <v>8432</v>
      </c>
      <c r="N399" s="1" t="s">
        <v>8433</v>
      </c>
      <c r="O399" s="1" t="s">
        <v>132</v>
      </c>
      <c r="P399" s="1" t="s">
        <v>8434</v>
      </c>
      <c r="Q399" s="1" t="s">
        <v>132</v>
      </c>
      <c r="R399" s="1" t="s">
        <v>132</v>
      </c>
      <c r="S399" s="1" t="s">
        <v>8435</v>
      </c>
      <c r="T399" s="1" t="s">
        <v>132</v>
      </c>
      <c r="U399" s="1" t="s">
        <v>8436</v>
      </c>
      <c r="V399" s="1" t="s">
        <v>132</v>
      </c>
      <c r="W399" s="1" t="s">
        <v>132</v>
      </c>
      <c r="X399" s="1" t="s">
        <v>8437</v>
      </c>
      <c r="Y399" s="1" t="s">
        <v>132</v>
      </c>
      <c r="Z399" s="1" t="s">
        <v>8438</v>
      </c>
      <c r="AA399" s="1" t="s">
        <v>132</v>
      </c>
      <c r="AB399" s="1" t="s">
        <v>132</v>
      </c>
      <c r="AC399" s="1" t="s">
        <v>8439</v>
      </c>
      <c r="AD399" s="1" t="s">
        <v>132</v>
      </c>
      <c r="AE399" s="1" t="s">
        <v>132</v>
      </c>
      <c r="AF399" s="1" t="s">
        <v>8440</v>
      </c>
      <c r="AG399" s="1" t="s">
        <v>132</v>
      </c>
      <c r="AH399" s="1" t="s">
        <v>132</v>
      </c>
      <c r="AI399" s="1" t="s">
        <v>132</v>
      </c>
      <c r="AJ399" s="1" t="s">
        <v>8441</v>
      </c>
      <c r="AK399" s="1" t="s">
        <v>132</v>
      </c>
      <c r="AL399" s="1" t="s">
        <v>132</v>
      </c>
      <c r="AM399" s="1" t="s">
        <v>132</v>
      </c>
      <c r="AN399" s="1" t="s">
        <v>132</v>
      </c>
    </row>
    <row r="400" ht="15.75" customHeight="1">
      <c r="A400" s="1" t="s">
        <v>127</v>
      </c>
      <c r="B400" s="1" t="s">
        <v>8442</v>
      </c>
      <c r="C400" s="1" t="s">
        <v>4418</v>
      </c>
      <c r="D400" s="8" t="s">
        <v>4419</v>
      </c>
      <c r="E400" s="1" t="s">
        <v>4420</v>
      </c>
      <c r="F400" s="1" t="s">
        <v>132</v>
      </c>
      <c r="G400" s="1" t="s">
        <v>4421</v>
      </c>
      <c r="H400" s="1" t="s">
        <v>4422</v>
      </c>
      <c r="I400" s="1" t="s">
        <v>4423</v>
      </c>
      <c r="J400" s="1" t="s">
        <v>4424</v>
      </c>
      <c r="K400" s="1" t="s">
        <v>4425</v>
      </c>
      <c r="L400" s="1" t="s">
        <v>4426</v>
      </c>
      <c r="M400" s="1" t="s">
        <v>4427</v>
      </c>
      <c r="N400" s="1" t="s">
        <v>132</v>
      </c>
      <c r="O400" s="1" t="s">
        <v>4428</v>
      </c>
      <c r="P400" s="1" t="s">
        <v>4429</v>
      </c>
      <c r="Q400" s="1" t="s">
        <v>132</v>
      </c>
      <c r="R400" s="1" t="s">
        <v>4430</v>
      </c>
      <c r="S400" s="1" t="s">
        <v>4431</v>
      </c>
      <c r="T400" s="8" t="s">
        <v>4432</v>
      </c>
      <c r="U400" s="1" t="s">
        <v>4433</v>
      </c>
      <c r="V400" s="1" t="s">
        <v>4434</v>
      </c>
      <c r="W400" s="1" t="s">
        <v>4430</v>
      </c>
      <c r="X400" s="1" t="s">
        <v>4435</v>
      </c>
      <c r="Y400" s="1" t="s">
        <v>4436</v>
      </c>
      <c r="Z400" s="1" t="s">
        <v>4437</v>
      </c>
      <c r="AA400" s="1" t="s">
        <v>4438</v>
      </c>
      <c r="AB400" s="1" t="s">
        <v>4439</v>
      </c>
      <c r="AC400" s="1" t="s">
        <v>4440</v>
      </c>
      <c r="AD400" s="1" t="s">
        <v>4421</v>
      </c>
      <c r="AE400" s="1" t="s">
        <v>132</v>
      </c>
      <c r="AF400" s="1" t="s">
        <v>4442</v>
      </c>
      <c r="AG400" s="1" t="s">
        <v>4422</v>
      </c>
      <c r="AH400" s="1" t="s">
        <v>4443</v>
      </c>
      <c r="AI400" s="1" t="s">
        <v>8443</v>
      </c>
      <c r="AJ400" s="1" t="s">
        <v>132</v>
      </c>
      <c r="AK400" s="1" t="s">
        <v>4445</v>
      </c>
      <c r="AL400" s="1" t="s">
        <v>4446</v>
      </c>
      <c r="AM400" s="1" t="s">
        <v>4447</v>
      </c>
      <c r="AN400" s="1" t="s">
        <v>4447</v>
      </c>
    </row>
    <row r="401" ht="15.75" customHeight="1">
      <c r="A401" s="1" t="s">
        <v>38</v>
      </c>
      <c r="B401" s="1" t="s">
        <v>8444</v>
      </c>
      <c r="C401" s="1" t="s">
        <v>8445</v>
      </c>
      <c r="D401" s="8" t="s">
        <v>8446</v>
      </c>
      <c r="E401" s="1" t="s">
        <v>8447</v>
      </c>
      <c r="F401" s="1" t="s">
        <v>8448</v>
      </c>
      <c r="G401" s="1" t="s">
        <v>132</v>
      </c>
      <c r="H401" s="1" t="s">
        <v>132</v>
      </c>
      <c r="I401" s="1" t="s">
        <v>8449</v>
      </c>
      <c r="J401" s="1" t="s">
        <v>132</v>
      </c>
      <c r="K401" s="1" t="s">
        <v>8450</v>
      </c>
      <c r="L401" s="1" t="s">
        <v>132</v>
      </c>
      <c r="M401" s="1" t="s">
        <v>8451</v>
      </c>
      <c r="N401" s="1" t="s">
        <v>8452</v>
      </c>
      <c r="O401" s="1" t="s">
        <v>132</v>
      </c>
      <c r="P401" s="1" t="s">
        <v>8453</v>
      </c>
      <c r="Q401" s="1" t="s">
        <v>132</v>
      </c>
      <c r="R401" s="1" t="s">
        <v>132</v>
      </c>
      <c r="S401" s="1" t="s">
        <v>8454</v>
      </c>
      <c r="T401" s="1" t="s">
        <v>132</v>
      </c>
      <c r="U401" s="1" t="s">
        <v>132</v>
      </c>
      <c r="V401" s="1" t="s">
        <v>132</v>
      </c>
      <c r="W401" s="1" t="s">
        <v>132</v>
      </c>
      <c r="X401" s="1" t="s">
        <v>8455</v>
      </c>
      <c r="Y401" s="1" t="s">
        <v>132</v>
      </c>
      <c r="Z401" s="1" t="s">
        <v>8456</v>
      </c>
      <c r="AA401" s="1" t="s">
        <v>132</v>
      </c>
      <c r="AB401" s="1" t="s">
        <v>132</v>
      </c>
      <c r="AC401" s="1" t="s">
        <v>8457</v>
      </c>
      <c r="AD401" s="1" t="s">
        <v>132</v>
      </c>
      <c r="AE401" s="1" t="s">
        <v>132</v>
      </c>
      <c r="AF401" s="1" t="s">
        <v>8458</v>
      </c>
      <c r="AG401" s="1" t="s">
        <v>132</v>
      </c>
      <c r="AH401" s="1" t="s">
        <v>132</v>
      </c>
      <c r="AI401" s="1" t="s">
        <v>132</v>
      </c>
      <c r="AJ401" s="1" t="s">
        <v>132</v>
      </c>
      <c r="AK401" s="1" t="s">
        <v>132</v>
      </c>
      <c r="AL401" s="1" t="s">
        <v>132</v>
      </c>
      <c r="AM401" s="1" t="s">
        <v>132</v>
      </c>
      <c r="AN401" s="1" t="s">
        <v>132</v>
      </c>
    </row>
    <row r="402" ht="15.75" customHeight="1">
      <c r="A402" s="1" t="s">
        <v>38</v>
      </c>
      <c r="B402" s="1" t="s">
        <v>8459</v>
      </c>
      <c r="C402" s="1" t="s">
        <v>8460</v>
      </c>
      <c r="D402" s="1" t="s">
        <v>132</v>
      </c>
      <c r="E402" s="1" t="s">
        <v>132</v>
      </c>
      <c r="F402" s="1" t="s">
        <v>132</v>
      </c>
      <c r="G402" s="1" t="s">
        <v>132</v>
      </c>
      <c r="H402" s="1" t="s">
        <v>132</v>
      </c>
      <c r="I402" s="1" t="s">
        <v>8461</v>
      </c>
      <c r="J402" s="1" t="s">
        <v>132</v>
      </c>
      <c r="K402" s="1" t="s">
        <v>8462</v>
      </c>
      <c r="L402" s="1" t="s">
        <v>132</v>
      </c>
      <c r="M402" s="1" t="s">
        <v>8463</v>
      </c>
      <c r="N402" s="1" t="s">
        <v>132</v>
      </c>
      <c r="O402" s="1" t="s">
        <v>132</v>
      </c>
      <c r="P402" s="1" t="s">
        <v>8460</v>
      </c>
      <c r="Q402" s="1" t="s">
        <v>132</v>
      </c>
      <c r="R402" s="1" t="s">
        <v>132</v>
      </c>
      <c r="S402" s="1" t="s">
        <v>132</v>
      </c>
      <c r="T402" s="1" t="s">
        <v>132</v>
      </c>
      <c r="U402" s="1" t="s">
        <v>132</v>
      </c>
      <c r="V402" s="1" t="s">
        <v>132</v>
      </c>
      <c r="W402" s="1" t="s">
        <v>132</v>
      </c>
      <c r="X402" s="1" t="s">
        <v>132</v>
      </c>
      <c r="Y402" s="1" t="s">
        <v>132</v>
      </c>
      <c r="Z402" s="1" t="s">
        <v>132</v>
      </c>
      <c r="AA402" s="1" t="s">
        <v>132</v>
      </c>
      <c r="AB402" s="1" t="s">
        <v>132</v>
      </c>
      <c r="AC402" s="1" t="s">
        <v>8464</v>
      </c>
      <c r="AD402" s="1" t="s">
        <v>132</v>
      </c>
      <c r="AE402" s="1" t="s">
        <v>132</v>
      </c>
      <c r="AF402" s="1" t="s">
        <v>8465</v>
      </c>
      <c r="AG402" s="1" t="s">
        <v>132</v>
      </c>
      <c r="AH402" s="1" t="s">
        <v>132</v>
      </c>
      <c r="AI402" s="1" t="s">
        <v>132</v>
      </c>
      <c r="AJ402" s="1" t="s">
        <v>132</v>
      </c>
      <c r="AK402" s="1" t="s">
        <v>132</v>
      </c>
      <c r="AL402" s="1" t="s">
        <v>132</v>
      </c>
      <c r="AM402" s="1" t="s">
        <v>132</v>
      </c>
      <c r="AN402" s="1" t="s">
        <v>132</v>
      </c>
    </row>
    <row r="403" ht="15.75" customHeight="1">
      <c r="A403" s="1" t="s">
        <v>127</v>
      </c>
      <c r="B403" s="1" t="s">
        <v>8466</v>
      </c>
      <c r="C403" s="1" t="s">
        <v>8467</v>
      </c>
      <c r="D403" s="8" t="s">
        <v>8468</v>
      </c>
      <c r="E403" s="1" t="s">
        <v>8469</v>
      </c>
      <c r="F403" s="1" t="s">
        <v>132</v>
      </c>
      <c r="G403" s="1" t="s">
        <v>8470</v>
      </c>
      <c r="H403" s="1" t="s">
        <v>8471</v>
      </c>
      <c r="I403" s="1" t="s">
        <v>8472</v>
      </c>
      <c r="J403" s="1" t="s">
        <v>8473</v>
      </c>
      <c r="K403" s="1" t="s">
        <v>8474</v>
      </c>
      <c r="L403" s="1" t="s">
        <v>8475</v>
      </c>
      <c r="M403" s="1" t="s">
        <v>8476</v>
      </c>
      <c r="N403" s="1" t="s">
        <v>132</v>
      </c>
      <c r="O403" s="1" t="s">
        <v>8477</v>
      </c>
      <c r="P403" s="1" t="s">
        <v>8478</v>
      </c>
      <c r="Q403" s="1" t="s">
        <v>132</v>
      </c>
      <c r="R403" s="1" t="s">
        <v>8479</v>
      </c>
      <c r="S403" s="1" t="s">
        <v>8480</v>
      </c>
      <c r="T403" s="8" t="s">
        <v>8481</v>
      </c>
      <c r="U403" s="1" t="s">
        <v>8482</v>
      </c>
      <c r="V403" s="1" t="s">
        <v>8483</v>
      </c>
      <c r="W403" s="1" t="s">
        <v>8484</v>
      </c>
      <c r="X403" s="1" t="s">
        <v>8485</v>
      </c>
      <c r="Y403" s="1" t="s">
        <v>8471</v>
      </c>
      <c r="Z403" s="1" t="s">
        <v>8486</v>
      </c>
      <c r="AA403" s="1" t="s">
        <v>8487</v>
      </c>
      <c r="AB403" s="1" t="s">
        <v>8488</v>
      </c>
      <c r="AC403" s="1" t="s">
        <v>8489</v>
      </c>
      <c r="AD403" s="1" t="s">
        <v>8490</v>
      </c>
      <c r="AE403" s="1" t="s">
        <v>132</v>
      </c>
      <c r="AF403" s="1" t="s">
        <v>8491</v>
      </c>
      <c r="AG403" s="1" t="s">
        <v>8492</v>
      </c>
      <c r="AH403" s="1" t="s">
        <v>8493</v>
      </c>
      <c r="AI403" s="1" t="s">
        <v>8494</v>
      </c>
      <c r="AJ403" s="1" t="s">
        <v>132</v>
      </c>
      <c r="AK403" s="1" t="s">
        <v>8495</v>
      </c>
      <c r="AL403" s="1" t="s">
        <v>8496</v>
      </c>
      <c r="AM403" s="1" t="s">
        <v>132</v>
      </c>
      <c r="AN403" s="1" t="s">
        <v>132</v>
      </c>
    </row>
    <row r="404" ht="15.75" customHeight="1">
      <c r="A404" s="1" t="s">
        <v>127</v>
      </c>
      <c r="B404" s="1" t="s">
        <v>8497</v>
      </c>
      <c r="C404" s="1" t="s">
        <v>8498</v>
      </c>
      <c r="D404" s="8" t="s">
        <v>8499</v>
      </c>
      <c r="E404" s="1" t="s">
        <v>8500</v>
      </c>
      <c r="F404" s="1" t="s">
        <v>132</v>
      </c>
      <c r="G404" s="1" t="s">
        <v>8501</v>
      </c>
      <c r="H404" s="1" t="s">
        <v>8502</v>
      </c>
      <c r="I404" s="1" t="s">
        <v>8503</v>
      </c>
      <c r="J404" s="1" t="s">
        <v>8504</v>
      </c>
      <c r="K404" s="1" t="s">
        <v>8505</v>
      </c>
      <c r="L404" s="1" t="s">
        <v>8506</v>
      </c>
      <c r="M404" s="1" t="s">
        <v>8507</v>
      </c>
      <c r="N404" s="1" t="s">
        <v>132</v>
      </c>
      <c r="O404" s="1" t="s">
        <v>8508</v>
      </c>
      <c r="P404" s="1" t="s">
        <v>8509</v>
      </c>
      <c r="Q404" s="1" t="s">
        <v>132</v>
      </c>
      <c r="R404" s="1" t="s">
        <v>8510</v>
      </c>
      <c r="S404" s="1" t="s">
        <v>8511</v>
      </c>
      <c r="T404" s="8" t="s">
        <v>8512</v>
      </c>
      <c r="U404" s="1" t="s">
        <v>8513</v>
      </c>
      <c r="V404" s="1" t="s">
        <v>8514</v>
      </c>
      <c r="W404" s="1" t="s">
        <v>8515</v>
      </c>
      <c r="X404" s="1" t="s">
        <v>8516</v>
      </c>
      <c r="Y404" s="1" t="s">
        <v>8517</v>
      </c>
      <c r="Z404" s="1" t="s">
        <v>8518</v>
      </c>
      <c r="AA404" s="1" t="s">
        <v>8519</v>
      </c>
      <c r="AB404" s="1" t="s">
        <v>8520</v>
      </c>
      <c r="AC404" s="1" t="s">
        <v>8521</v>
      </c>
      <c r="AD404" s="1" t="s">
        <v>8522</v>
      </c>
      <c r="AE404" s="1" t="s">
        <v>132</v>
      </c>
      <c r="AF404" s="1" t="s">
        <v>8523</v>
      </c>
      <c r="AG404" s="1" t="s">
        <v>8524</v>
      </c>
      <c r="AH404" s="1" t="s">
        <v>8525</v>
      </c>
      <c r="AI404" s="1" t="s">
        <v>8526</v>
      </c>
      <c r="AJ404" s="1" t="s">
        <v>132</v>
      </c>
      <c r="AK404" s="1" t="s">
        <v>8527</v>
      </c>
      <c r="AL404" s="1" t="s">
        <v>132</v>
      </c>
      <c r="AM404" s="1" t="s">
        <v>132</v>
      </c>
      <c r="AN404" s="1" t="s">
        <v>132</v>
      </c>
    </row>
    <row r="405" ht="15.75" customHeight="1">
      <c r="A405" s="1" t="s">
        <v>8528</v>
      </c>
      <c r="B405" s="1" t="s">
        <v>8529</v>
      </c>
      <c r="C405" s="1" t="s">
        <v>8530</v>
      </c>
      <c r="D405" s="8" t="s">
        <v>8531</v>
      </c>
      <c r="E405" s="1" t="s">
        <v>8532</v>
      </c>
      <c r="F405" s="1" t="s">
        <v>132</v>
      </c>
      <c r="G405" s="1" t="s">
        <v>8533</v>
      </c>
      <c r="H405" s="1" t="s">
        <v>8534</v>
      </c>
      <c r="I405" s="1" t="s">
        <v>132</v>
      </c>
      <c r="J405" s="1" t="s">
        <v>8535</v>
      </c>
      <c r="K405" s="1" t="s">
        <v>132</v>
      </c>
      <c r="L405" s="1" t="s">
        <v>8536</v>
      </c>
      <c r="M405" s="1" t="s">
        <v>8537</v>
      </c>
      <c r="N405" s="1" t="s">
        <v>132</v>
      </c>
      <c r="O405" s="1" t="s">
        <v>8538</v>
      </c>
      <c r="P405" s="1" t="s">
        <v>8539</v>
      </c>
      <c r="Q405" s="1" t="s">
        <v>132</v>
      </c>
      <c r="R405" s="1" t="s">
        <v>8540</v>
      </c>
      <c r="S405" s="1" t="s">
        <v>8541</v>
      </c>
      <c r="T405" s="8" t="s">
        <v>8542</v>
      </c>
      <c r="U405" s="1" t="s">
        <v>8530</v>
      </c>
      <c r="V405" s="1" t="s">
        <v>8543</v>
      </c>
      <c r="W405" s="1" t="s">
        <v>8530</v>
      </c>
      <c r="X405" s="1" t="s">
        <v>8530</v>
      </c>
      <c r="Y405" s="1" t="s">
        <v>8544</v>
      </c>
      <c r="Z405" s="11" t="s">
        <v>8530</v>
      </c>
      <c r="AA405" s="1" t="s">
        <v>8545</v>
      </c>
      <c r="AB405" s="1" t="s">
        <v>8533</v>
      </c>
      <c r="AC405" s="1" t="s">
        <v>132</v>
      </c>
      <c r="AD405" s="1" t="s">
        <v>8533</v>
      </c>
      <c r="AE405" s="1" t="s">
        <v>8546</v>
      </c>
      <c r="AF405" s="1" t="s">
        <v>132</v>
      </c>
      <c r="AG405" s="1" t="s">
        <v>8530</v>
      </c>
      <c r="AH405" s="1" t="s">
        <v>8547</v>
      </c>
      <c r="AI405" s="1" t="s">
        <v>8548</v>
      </c>
      <c r="AJ405" s="1" t="s">
        <v>132</v>
      </c>
      <c r="AK405" s="1" t="s">
        <v>8549</v>
      </c>
      <c r="AL405" s="14" t="s">
        <v>8550</v>
      </c>
      <c r="AM405" s="1" t="s">
        <v>132</v>
      </c>
      <c r="AN405" s="1" t="s">
        <v>132</v>
      </c>
    </row>
    <row r="406" ht="15.75" customHeight="1">
      <c r="A406" s="1" t="s">
        <v>127</v>
      </c>
      <c r="B406" s="1" t="s">
        <v>8551</v>
      </c>
      <c r="C406" s="1" t="s">
        <v>8552</v>
      </c>
      <c r="D406" s="8" t="s">
        <v>8553</v>
      </c>
      <c r="E406" s="1" t="s">
        <v>8554</v>
      </c>
      <c r="F406" s="1" t="s">
        <v>132</v>
      </c>
      <c r="G406" s="1" t="s">
        <v>8555</v>
      </c>
      <c r="H406" s="1" t="s">
        <v>8556</v>
      </c>
      <c r="I406" s="1" t="s">
        <v>8557</v>
      </c>
      <c r="J406" s="1" t="s">
        <v>8558</v>
      </c>
      <c r="K406" s="13" t="s">
        <v>8559</v>
      </c>
      <c r="L406" s="1" t="s">
        <v>8560</v>
      </c>
      <c r="M406" s="1" t="s">
        <v>8561</v>
      </c>
      <c r="N406" s="1" t="s">
        <v>132</v>
      </c>
      <c r="O406" s="1" t="s">
        <v>8562</v>
      </c>
      <c r="P406" s="13" t="s">
        <v>8563</v>
      </c>
      <c r="Q406" s="1" t="s">
        <v>132</v>
      </c>
      <c r="R406" s="1" t="s">
        <v>8564</v>
      </c>
      <c r="S406" s="1" t="s">
        <v>8565</v>
      </c>
      <c r="T406" s="8" t="s">
        <v>8566</v>
      </c>
      <c r="U406" s="1" t="s">
        <v>8567</v>
      </c>
      <c r="V406" s="1" t="s">
        <v>8568</v>
      </c>
      <c r="W406" s="1" t="s">
        <v>8564</v>
      </c>
      <c r="X406" s="1" t="s">
        <v>8569</v>
      </c>
      <c r="Y406" s="1" t="s">
        <v>8556</v>
      </c>
      <c r="Z406" s="1" t="s">
        <v>8563</v>
      </c>
      <c r="AA406" s="13" t="s">
        <v>8559</v>
      </c>
      <c r="AB406" s="1" t="s">
        <v>8570</v>
      </c>
      <c r="AC406" s="1" t="s">
        <v>8571</v>
      </c>
      <c r="AD406" s="1" t="s">
        <v>8572</v>
      </c>
      <c r="AE406" s="1" t="s">
        <v>8573</v>
      </c>
      <c r="AF406" s="13" t="s">
        <v>8563</v>
      </c>
      <c r="AG406" s="1" t="s">
        <v>8574</v>
      </c>
      <c r="AH406" s="1" t="s">
        <v>8575</v>
      </c>
      <c r="AI406" s="1" t="s">
        <v>8576</v>
      </c>
      <c r="AJ406" s="1" t="s">
        <v>132</v>
      </c>
      <c r="AK406" s="1" t="s">
        <v>8577</v>
      </c>
      <c r="AL406" s="1" t="s">
        <v>8578</v>
      </c>
      <c r="AM406" s="1" t="s">
        <v>8579</v>
      </c>
      <c r="AN406" s="1" t="s">
        <v>8579</v>
      </c>
    </row>
    <row r="407" ht="15.75" customHeight="1">
      <c r="A407" s="1" t="s">
        <v>127</v>
      </c>
      <c r="B407" s="1" t="s">
        <v>8580</v>
      </c>
      <c r="C407" s="1" t="s">
        <v>8581</v>
      </c>
      <c r="D407" s="8" t="s">
        <v>8582</v>
      </c>
      <c r="E407" s="1" t="s">
        <v>8583</v>
      </c>
      <c r="F407" s="1" t="s">
        <v>132</v>
      </c>
      <c r="G407" s="1" t="s">
        <v>8584</v>
      </c>
      <c r="H407" s="1" t="s">
        <v>8585</v>
      </c>
      <c r="I407" s="1" t="s">
        <v>8586</v>
      </c>
      <c r="J407" s="1" t="s">
        <v>8587</v>
      </c>
      <c r="K407" s="1" t="s">
        <v>8588</v>
      </c>
      <c r="L407" s="1" t="s">
        <v>8589</v>
      </c>
      <c r="M407" s="1" t="s">
        <v>8590</v>
      </c>
      <c r="N407" s="1" t="s">
        <v>132</v>
      </c>
      <c r="O407" s="1" t="s">
        <v>8591</v>
      </c>
      <c r="P407" s="1" t="s">
        <v>8592</v>
      </c>
      <c r="Q407" s="1" t="s">
        <v>132</v>
      </c>
      <c r="R407" s="1" t="s">
        <v>8593</v>
      </c>
      <c r="S407" s="1" t="s">
        <v>8594</v>
      </c>
      <c r="T407" s="8" t="s">
        <v>8595</v>
      </c>
      <c r="U407" s="1" t="s">
        <v>8596</v>
      </c>
      <c r="V407" s="1" t="s">
        <v>8597</v>
      </c>
      <c r="W407" s="1" t="s">
        <v>8598</v>
      </c>
      <c r="X407" s="1" t="s">
        <v>8599</v>
      </c>
      <c r="Y407" s="1" t="s">
        <v>8600</v>
      </c>
      <c r="Z407" s="1" t="s">
        <v>8601</v>
      </c>
      <c r="AA407" s="1" t="s">
        <v>8602</v>
      </c>
      <c r="AB407" s="1" t="s">
        <v>8603</v>
      </c>
      <c r="AC407" s="1" t="s">
        <v>8604</v>
      </c>
      <c r="AD407" s="1" t="s">
        <v>8605</v>
      </c>
      <c r="AE407" s="1" t="s">
        <v>8606</v>
      </c>
      <c r="AF407" s="1" t="s">
        <v>8607</v>
      </c>
      <c r="AG407" s="1" t="s">
        <v>8608</v>
      </c>
      <c r="AH407" s="1" t="s">
        <v>8609</v>
      </c>
      <c r="AI407" s="1" t="s">
        <v>8610</v>
      </c>
      <c r="AJ407" s="1" t="s">
        <v>132</v>
      </c>
      <c r="AK407" s="1" t="s">
        <v>8611</v>
      </c>
      <c r="AL407" s="1" t="s">
        <v>8612</v>
      </c>
      <c r="AM407" s="1" t="s">
        <v>132</v>
      </c>
      <c r="AN407" s="1" t="s">
        <v>132</v>
      </c>
    </row>
    <row r="408" ht="15.75" customHeight="1">
      <c r="A408" s="1" t="s">
        <v>38</v>
      </c>
      <c r="B408" s="1" t="s">
        <v>8613</v>
      </c>
      <c r="C408" s="1" t="s">
        <v>8614</v>
      </c>
      <c r="D408" s="1" t="s">
        <v>132</v>
      </c>
      <c r="E408" s="1" t="s">
        <v>8615</v>
      </c>
      <c r="F408" s="1" t="s">
        <v>132</v>
      </c>
      <c r="G408" s="1" t="s">
        <v>132</v>
      </c>
      <c r="H408" s="1" t="s">
        <v>132</v>
      </c>
      <c r="I408" s="1" t="s">
        <v>8616</v>
      </c>
      <c r="J408" s="1" t="s">
        <v>132</v>
      </c>
      <c r="K408" s="1" t="s">
        <v>8617</v>
      </c>
      <c r="L408" s="1" t="s">
        <v>132</v>
      </c>
      <c r="M408" s="1" t="s">
        <v>132</v>
      </c>
      <c r="N408" s="1" t="s">
        <v>8618</v>
      </c>
      <c r="O408" s="1" t="s">
        <v>132</v>
      </c>
      <c r="P408" s="1" t="s">
        <v>8619</v>
      </c>
      <c r="Q408" s="1" t="s">
        <v>132</v>
      </c>
      <c r="R408" s="1" t="s">
        <v>132</v>
      </c>
      <c r="S408" s="1" t="s">
        <v>8620</v>
      </c>
      <c r="T408" s="1" t="s">
        <v>132</v>
      </c>
      <c r="U408" s="1" t="s">
        <v>132</v>
      </c>
      <c r="V408" s="1" t="s">
        <v>132</v>
      </c>
      <c r="W408" s="1" t="s">
        <v>132</v>
      </c>
      <c r="X408" s="1" t="s">
        <v>8621</v>
      </c>
      <c r="Y408" s="1" t="s">
        <v>132</v>
      </c>
      <c r="Z408" s="1" t="s">
        <v>8622</v>
      </c>
      <c r="AA408" s="1" t="s">
        <v>132</v>
      </c>
      <c r="AB408" s="1" t="s">
        <v>132</v>
      </c>
      <c r="AC408" s="1" t="s">
        <v>132</v>
      </c>
      <c r="AD408" s="1" t="s">
        <v>132</v>
      </c>
      <c r="AE408" s="1" t="s">
        <v>132</v>
      </c>
      <c r="AF408" s="1" t="s">
        <v>132</v>
      </c>
      <c r="AG408" s="1" t="s">
        <v>132</v>
      </c>
      <c r="AH408" s="1" t="s">
        <v>132</v>
      </c>
      <c r="AI408" s="1" t="s">
        <v>132</v>
      </c>
      <c r="AJ408" s="1" t="s">
        <v>132</v>
      </c>
      <c r="AK408" s="1" t="s">
        <v>132</v>
      </c>
      <c r="AL408" s="1" t="s">
        <v>132</v>
      </c>
      <c r="AM408" s="1" t="s">
        <v>132</v>
      </c>
      <c r="AN408" s="1" t="s">
        <v>132</v>
      </c>
    </row>
    <row r="409" ht="15.75" customHeight="1">
      <c r="A409" s="1" t="s">
        <v>127</v>
      </c>
      <c r="B409" s="1" t="s">
        <v>8623</v>
      </c>
      <c r="C409" s="1" t="s">
        <v>8624</v>
      </c>
      <c r="D409" s="8" t="s">
        <v>8625</v>
      </c>
      <c r="E409" s="1" t="s">
        <v>8626</v>
      </c>
      <c r="F409" s="1" t="s">
        <v>132</v>
      </c>
      <c r="G409" s="1" t="s">
        <v>8627</v>
      </c>
      <c r="H409" s="1" t="s">
        <v>8628</v>
      </c>
      <c r="I409" s="1" t="s">
        <v>8629</v>
      </c>
      <c r="J409" s="1" t="s">
        <v>8630</v>
      </c>
      <c r="K409" s="1" t="s">
        <v>8631</v>
      </c>
      <c r="L409" s="1" t="s">
        <v>8632</v>
      </c>
      <c r="M409" s="1" t="s">
        <v>8633</v>
      </c>
      <c r="N409" s="1" t="s">
        <v>132</v>
      </c>
      <c r="O409" s="1" t="s">
        <v>8634</v>
      </c>
      <c r="P409" s="1" t="s">
        <v>8631</v>
      </c>
      <c r="Q409" s="1" t="s">
        <v>132</v>
      </c>
      <c r="R409" s="1" t="s">
        <v>8635</v>
      </c>
      <c r="S409" s="1" t="s">
        <v>8636</v>
      </c>
      <c r="T409" s="8" t="s">
        <v>8637</v>
      </c>
      <c r="U409" s="1" t="s">
        <v>8638</v>
      </c>
      <c r="V409" s="1" t="s">
        <v>8639</v>
      </c>
      <c r="W409" s="1" t="s">
        <v>8640</v>
      </c>
      <c r="X409" s="1" t="s">
        <v>8641</v>
      </c>
      <c r="Y409" s="1" t="s">
        <v>8642</v>
      </c>
      <c r="Z409" s="1" t="s">
        <v>8643</v>
      </c>
      <c r="AA409" s="1" t="s">
        <v>8644</v>
      </c>
      <c r="AB409" s="1" t="s">
        <v>8645</v>
      </c>
      <c r="AC409" s="1" t="s">
        <v>8646</v>
      </c>
      <c r="AD409" s="1" t="s">
        <v>8647</v>
      </c>
      <c r="AE409" s="1" t="s">
        <v>8648</v>
      </c>
      <c r="AF409" s="1" t="s">
        <v>8649</v>
      </c>
      <c r="AG409" s="1" t="s">
        <v>8650</v>
      </c>
      <c r="AH409" s="1" t="s">
        <v>8651</v>
      </c>
      <c r="AI409" s="1" t="s">
        <v>8652</v>
      </c>
      <c r="AJ409" s="1" t="s">
        <v>132</v>
      </c>
      <c r="AK409" s="1" t="s">
        <v>8653</v>
      </c>
      <c r="AL409" s="1" t="s">
        <v>8654</v>
      </c>
      <c r="AM409" s="1" t="s">
        <v>8655</v>
      </c>
      <c r="AN409" s="1" t="s">
        <v>8655</v>
      </c>
    </row>
    <row r="410" ht="15.75" customHeight="1">
      <c r="A410" s="1" t="s">
        <v>38</v>
      </c>
      <c r="B410" s="1" t="s">
        <v>8656</v>
      </c>
      <c r="C410" s="1" t="s">
        <v>8657</v>
      </c>
      <c r="D410" s="1" t="s">
        <v>132</v>
      </c>
      <c r="E410" s="1" t="s">
        <v>132</v>
      </c>
      <c r="F410" s="1" t="s">
        <v>132</v>
      </c>
      <c r="G410" s="1" t="s">
        <v>132</v>
      </c>
      <c r="H410" s="1" t="s">
        <v>132</v>
      </c>
      <c r="I410" s="1" t="s">
        <v>8658</v>
      </c>
      <c r="J410" s="1" t="s">
        <v>132</v>
      </c>
      <c r="K410" s="1" t="s">
        <v>8659</v>
      </c>
      <c r="L410" s="1" t="s">
        <v>132</v>
      </c>
      <c r="M410" s="1" t="s">
        <v>8660</v>
      </c>
      <c r="N410" s="1" t="s">
        <v>132</v>
      </c>
      <c r="O410" s="1" t="s">
        <v>132</v>
      </c>
      <c r="P410" s="1" t="s">
        <v>8657</v>
      </c>
      <c r="Q410" s="1" t="s">
        <v>132</v>
      </c>
      <c r="R410" s="1" t="s">
        <v>132</v>
      </c>
      <c r="S410" s="1" t="s">
        <v>132</v>
      </c>
      <c r="T410" s="1" t="s">
        <v>132</v>
      </c>
      <c r="U410" s="1" t="s">
        <v>132</v>
      </c>
      <c r="V410" s="1" t="s">
        <v>132</v>
      </c>
      <c r="W410" s="1" t="s">
        <v>132</v>
      </c>
      <c r="X410" s="1" t="s">
        <v>132</v>
      </c>
      <c r="Y410" s="1" t="s">
        <v>132</v>
      </c>
      <c r="Z410" s="1" t="s">
        <v>132</v>
      </c>
      <c r="AA410" s="1" t="s">
        <v>132</v>
      </c>
      <c r="AB410" s="1" t="s">
        <v>132</v>
      </c>
      <c r="AC410" s="1" t="s">
        <v>8661</v>
      </c>
      <c r="AD410" s="1" t="s">
        <v>132</v>
      </c>
      <c r="AE410" s="1" t="s">
        <v>132</v>
      </c>
      <c r="AF410" s="1" t="s">
        <v>8662</v>
      </c>
      <c r="AG410" s="1" t="s">
        <v>132</v>
      </c>
      <c r="AH410" s="1" t="s">
        <v>132</v>
      </c>
      <c r="AI410" s="1" t="s">
        <v>132</v>
      </c>
      <c r="AJ410" s="1" t="s">
        <v>132</v>
      </c>
      <c r="AK410" s="1" t="s">
        <v>132</v>
      </c>
      <c r="AL410" s="1" t="s">
        <v>132</v>
      </c>
      <c r="AM410" s="1" t="s">
        <v>132</v>
      </c>
      <c r="AN410" s="1" t="s">
        <v>132</v>
      </c>
    </row>
    <row r="411" ht="15.75" customHeight="1">
      <c r="A411" s="1" t="s">
        <v>127</v>
      </c>
      <c r="B411" s="1" t="s">
        <v>8663</v>
      </c>
      <c r="C411" s="1" t="s">
        <v>8664</v>
      </c>
      <c r="D411" s="8" t="s">
        <v>8665</v>
      </c>
      <c r="E411" s="1" t="s">
        <v>8666</v>
      </c>
      <c r="F411" s="1" t="s">
        <v>132</v>
      </c>
      <c r="G411" s="1" t="s">
        <v>8667</v>
      </c>
      <c r="H411" s="1" t="s">
        <v>8668</v>
      </c>
      <c r="I411" s="1" t="s">
        <v>8669</v>
      </c>
      <c r="J411" s="1" t="s">
        <v>8670</v>
      </c>
      <c r="K411" s="1" t="s">
        <v>8664</v>
      </c>
      <c r="L411" s="1" t="s">
        <v>8671</v>
      </c>
      <c r="M411" s="1" t="s">
        <v>8664</v>
      </c>
      <c r="N411" s="1" t="s">
        <v>132</v>
      </c>
      <c r="O411" s="1" t="s">
        <v>8672</v>
      </c>
      <c r="P411" s="1" t="s">
        <v>8664</v>
      </c>
      <c r="Q411" s="1" t="s">
        <v>132</v>
      </c>
      <c r="R411" s="1" t="s">
        <v>8673</v>
      </c>
      <c r="S411" s="1" t="s">
        <v>8674</v>
      </c>
      <c r="T411" s="8" t="s">
        <v>8675</v>
      </c>
      <c r="U411" s="1" t="s">
        <v>8676</v>
      </c>
      <c r="V411" s="1" t="s">
        <v>8677</v>
      </c>
      <c r="W411" s="1" t="s">
        <v>8678</v>
      </c>
      <c r="X411" s="1" t="s">
        <v>8679</v>
      </c>
      <c r="Y411" s="1" t="s">
        <v>8668</v>
      </c>
      <c r="Z411" s="1" t="s">
        <v>8680</v>
      </c>
      <c r="AA411" s="1" t="s">
        <v>8681</v>
      </c>
      <c r="AB411" s="1" t="s">
        <v>8682</v>
      </c>
      <c r="AC411" s="1" t="s">
        <v>8683</v>
      </c>
      <c r="AD411" s="1" t="s">
        <v>8684</v>
      </c>
      <c r="AE411" s="1" t="s">
        <v>8667</v>
      </c>
      <c r="AF411" s="1" t="s">
        <v>8664</v>
      </c>
      <c r="AG411" s="1" t="s">
        <v>8685</v>
      </c>
      <c r="AH411" s="1" t="s">
        <v>8686</v>
      </c>
      <c r="AI411" s="1" t="s">
        <v>8687</v>
      </c>
      <c r="AJ411" s="1" t="s">
        <v>132</v>
      </c>
      <c r="AK411" s="1" t="s">
        <v>8688</v>
      </c>
      <c r="AL411" s="1" t="s">
        <v>8689</v>
      </c>
      <c r="AM411" s="1" t="s">
        <v>8690</v>
      </c>
      <c r="AN411" s="1" t="s">
        <v>8690</v>
      </c>
    </row>
    <row r="412" ht="15.75" customHeight="1">
      <c r="A412" s="1" t="s">
        <v>127</v>
      </c>
      <c r="B412" s="1" t="s">
        <v>8691</v>
      </c>
      <c r="C412" s="1" t="s">
        <v>8692</v>
      </c>
      <c r="D412" s="8" t="s">
        <v>8693</v>
      </c>
      <c r="E412" s="1" t="s">
        <v>8694</v>
      </c>
      <c r="F412" s="1" t="s">
        <v>132</v>
      </c>
      <c r="G412" s="1" t="s">
        <v>8695</v>
      </c>
      <c r="H412" s="1" t="s">
        <v>8696</v>
      </c>
      <c r="I412" s="1" t="s">
        <v>8697</v>
      </c>
      <c r="J412" s="1" t="s">
        <v>8698</v>
      </c>
      <c r="K412" s="1" t="s">
        <v>8699</v>
      </c>
      <c r="L412" s="1" t="s">
        <v>8700</v>
      </c>
      <c r="M412" s="1" t="s">
        <v>8701</v>
      </c>
      <c r="N412" s="1" t="s">
        <v>132</v>
      </c>
      <c r="O412" s="1" t="s">
        <v>8702</v>
      </c>
      <c r="P412" s="1" t="s">
        <v>8703</v>
      </c>
      <c r="Q412" s="1" t="s">
        <v>132</v>
      </c>
      <c r="R412" s="1" t="s">
        <v>8704</v>
      </c>
      <c r="S412" s="1" t="s">
        <v>8705</v>
      </c>
      <c r="T412" s="8" t="s">
        <v>8706</v>
      </c>
      <c r="U412" s="1" t="s">
        <v>8707</v>
      </c>
      <c r="V412" s="1" t="s">
        <v>8708</v>
      </c>
      <c r="W412" s="1" t="s">
        <v>8704</v>
      </c>
      <c r="X412" s="1" t="s">
        <v>8709</v>
      </c>
      <c r="Y412" s="1" t="s">
        <v>8696</v>
      </c>
      <c r="Z412" s="1" t="s">
        <v>8695</v>
      </c>
      <c r="AA412" s="1" t="s">
        <v>8710</v>
      </c>
      <c r="AB412" s="1" t="s">
        <v>8711</v>
      </c>
      <c r="AC412" s="1" t="s">
        <v>8694</v>
      </c>
      <c r="AD412" s="1" t="s">
        <v>8712</v>
      </c>
      <c r="AE412" s="1" t="s">
        <v>8713</v>
      </c>
      <c r="AF412" s="1" t="s">
        <v>8713</v>
      </c>
      <c r="AG412" s="1" t="s">
        <v>8696</v>
      </c>
      <c r="AH412" s="1" t="s">
        <v>8714</v>
      </c>
      <c r="AI412" s="1" t="s">
        <v>8715</v>
      </c>
      <c r="AJ412" s="1" t="s">
        <v>132</v>
      </c>
      <c r="AK412" s="1" t="s">
        <v>8716</v>
      </c>
      <c r="AL412" s="1" t="s">
        <v>8717</v>
      </c>
      <c r="AM412" s="1" t="s">
        <v>8718</v>
      </c>
      <c r="AN412" s="1" t="s">
        <v>8718</v>
      </c>
    </row>
    <row r="413" ht="15.75" customHeight="1">
      <c r="A413" s="1" t="s">
        <v>38</v>
      </c>
      <c r="B413" s="1" t="s">
        <v>8719</v>
      </c>
      <c r="C413" s="1" t="s">
        <v>8720</v>
      </c>
      <c r="D413" s="8" t="s">
        <v>8721</v>
      </c>
      <c r="E413" s="1" t="s">
        <v>8722</v>
      </c>
      <c r="F413" s="1" t="s">
        <v>8723</v>
      </c>
      <c r="G413" s="1" t="s">
        <v>132</v>
      </c>
      <c r="H413" s="1" t="s">
        <v>132</v>
      </c>
      <c r="I413" s="1" t="s">
        <v>8724</v>
      </c>
      <c r="J413" s="1" t="s">
        <v>132</v>
      </c>
      <c r="K413" s="1" t="s">
        <v>8725</v>
      </c>
      <c r="L413" s="1" t="s">
        <v>132</v>
      </c>
      <c r="M413" s="1" t="s">
        <v>8726</v>
      </c>
      <c r="N413" s="1" t="s">
        <v>8727</v>
      </c>
      <c r="O413" s="1" t="s">
        <v>132</v>
      </c>
      <c r="P413" s="1" t="s">
        <v>8728</v>
      </c>
      <c r="Q413" s="1" t="s">
        <v>8729</v>
      </c>
      <c r="R413" s="1" t="s">
        <v>132</v>
      </c>
      <c r="S413" s="1" t="s">
        <v>8730</v>
      </c>
      <c r="T413" s="1" t="s">
        <v>132</v>
      </c>
      <c r="U413" s="1" t="s">
        <v>8731</v>
      </c>
      <c r="V413" s="1" t="s">
        <v>8732</v>
      </c>
      <c r="W413" s="1" t="s">
        <v>132</v>
      </c>
      <c r="X413" s="1" t="s">
        <v>8733</v>
      </c>
      <c r="Y413" s="1" t="s">
        <v>132</v>
      </c>
      <c r="Z413" s="1" t="s">
        <v>8734</v>
      </c>
      <c r="AA413" s="1" t="s">
        <v>8735</v>
      </c>
      <c r="AB413" s="1" t="s">
        <v>132</v>
      </c>
      <c r="AC413" s="1" t="s">
        <v>8736</v>
      </c>
      <c r="AD413" s="1" t="s">
        <v>8737</v>
      </c>
      <c r="AE413" s="1" t="s">
        <v>132</v>
      </c>
      <c r="AF413" s="1" t="s">
        <v>8738</v>
      </c>
      <c r="AG413" s="1" t="s">
        <v>8739</v>
      </c>
      <c r="AH413" s="1" t="s">
        <v>132</v>
      </c>
      <c r="AI413" s="1" t="s">
        <v>132</v>
      </c>
      <c r="AJ413" s="1" t="s">
        <v>8740</v>
      </c>
      <c r="AK413" s="1" t="s">
        <v>8741</v>
      </c>
      <c r="AL413" s="1" t="s">
        <v>132</v>
      </c>
      <c r="AM413" s="1" t="s">
        <v>8742</v>
      </c>
      <c r="AN413" s="1" t="s">
        <v>8742</v>
      </c>
    </row>
    <row r="414" ht="15.75" customHeight="1">
      <c r="A414" s="1" t="s">
        <v>38</v>
      </c>
      <c r="B414" s="1" t="s">
        <v>8743</v>
      </c>
      <c r="C414" s="1" t="s">
        <v>3004</v>
      </c>
      <c r="D414" s="8" t="s">
        <v>3005</v>
      </c>
      <c r="E414" s="1" t="s">
        <v>3006</v>
      </c>
      <c r="F414" s="1" t="s">
        <v>8744</v>
      </c>
      <c r="G414" s="1" t="s">
        <v>132</v>
      </c>
      <c r="H414" s="1" t="s">
        <v>132</v>
      </c>
      <c r="I414" s="1" t="s">
        <v>3009</v>
      </c>
      <c r="J414" s="1" t="s">
        <v>132</v>
      </c>
      <c r="K414" s="1" t="s">
        <v>3011</v>
      </c>
      <c r="L414" s="1" t="s">
        <v>132</v>
      </c>
      <c r="M414" s="1" t="s">
        <v>3013</v>
      </c>
      <c r="N414" s="1" t="s">
        <v>8745</v>
      </c>
      <c r="O414" s="1" t="s">
        <v>132</v>
      </c>
      <c r="P414" s="1" t="s">
        <v>3015</v>
      </c>
      <c r="Q414" s="1" t="s">
        <v>3016</v>
      </c>
      <c r="R414" s="1" t="s">
        <v>132</v>
      </c>
      <c r="S414" s="1" t="s">
        <v>3017</v>
      </c>
      <c r="T414" s="1" t="s">
        <v>132</v>
      </c>
      <c r="U414" s="1" t="s">
        <v>3019</v>
      </c>
      <c r="V414" s="1" t="s">
        <v>3020</v>
      </c>
      <c r="W414" s="1" t="s">
        <v>132</v>
      </c>
      <c r="X414" s="1" t="s">
        <v>3022</v>
      </c>
      <c r="Y414" s="1" t="s">
        <v>132</v>
      </c>
      <c r="Z414" s="1" t="s">
        <v>3024</v>
      </c>
      <c r="AA414" s="1" t="s">
        <v>8746</v>
      </c>
      <c r="AB414" s="1" t="s">
        <v>132</v>
      </c>
      <c r="AC414" s="1" t="s">
        <v>3006</v>
      </c>
      <c r="AD414" s="1" t="s">
        <v>3027</v>
      </c>
      <c r="AE414" s="1" t="s">
        <v>132</v>
      </c>
      <c r="AF414" s="1" t="s">
        <v>8747</v>
      </c>
      <c r="AG414" s="1" t="s">
        <v>3030</v>
      </c>
      <c r="AH414" s="1" t="s">
        <v>132</v>
      </c>
      <c r="AI414" s="1" t="s">
        <v>132</v>
      </c>
      <c r="AJ414" s="1" t="s">
        <v>8748</v>
      </c>
      <c r="AK414" s="1" t="s">
        <v>3033</v>
      </c>
      <c r="AL414" s="1" t="s">
        <v>132</v>
      </c>
      <c r="AM414" s="1" t="s">
        <v>3019</v>
      </c>
      <c r="AN414" s="1" t="s">
        <v>3019</v>
      </c>
    </row>
    <row r="415" ht="15.75" customHeight="1">
      <c r="A415" s="1" t="s">
        <v>38</v>
      </c>
      <c r="B415" s="1" t="s">
        <v>8749</v>
      </c>
      <c r="C415" s="1" t="s">
        <v>8750</v>
      </c>
      <c r="D415" s="1" t="s">
        <v>132</v>
      </c>
      <c r="E415" s="1" t="s">
        <v>8751</v>
      </c>
      <c r="F415" s="1" t="s">
        <v>8752</v>
      </c>
      <c r="G415" s="1" t="s">
        <v>132</v>
      </c>
      <c r="H415" s="1" t="s">
        <v>132</v>
      </c>
      <c r="I415" s="1" t="s">
        <v>8755</v>
      </c>
      <c r="J415" s="1" t="s">
        <v>132</v>
      </c>
      <c r="K415" s="1" t="s">
        <v>8756</v>
      </c>
      <c r="L415" s="1" t="s">
        <v>132</v>
      </c>
      <c r="M415" s="1" t="s">
        <v>8758</v>
      </c>
      <c r="N415" s="1" t="s">
        <v>8759</v>
      </c>
      <c r="O415" s="1" t="s">
        <v>132</v>
      </c>
      <c r="P415" s="1" t="s">
        <v>8760</v>
      </c>
      <c r="Q415" s="1" t="s">
        <v>132</v>
      </c>
      <c r="R415" s="1" t="s">
        <v>132</v>
      </c>
      <c r="S415" s="1" t="s">
        <v>8762</v>
      </c>
      <c r="T415" s="1" t="s">
        <v>132</v>
      </c>
      <c r="U415" s="1" t="s">
        <v>8763</v>
      </c>
      <c r="V415" s="1" t="s">
        <v>8764</v>
      </c>
      <c r="W415" s="1" t="s">
        <v>132</v>
      </c>
      <c r="X415" s="1" t="s">
        <v>8766</v>
      </c>
      <c r="Y415" s="1" t="s">
        <v>132</v>
      </c>
      <c r="Z415" s="1" t="s">
        <v>8768</v>
      </c>
      <c r="AA415" s="1" t="s">
        <v>8769</v>
      </c>
      <c r="AB415" s="1" t="s">
        <v>132</v>
      </c>
      <c r="AC415" s="1" t="s">
        <v>8771</v>
      </c>
      <c r="AD415" s="1" t="s">
        <v>132</v>
      </c>
      <c r="AE415" s="1" t="s">
        <v>132</v>
      </c>
      <c r="AF415" s="1" t="s">
        <v>8773</v>
      </c>
      <c r="AG415" s="1" t="s">
        <v>8774</v>
      </c>
      <c r="AH415" s="1" t="s">
        <v>132</v>
      </c>
      <c r="AI415" s="1" t="s">
        <v>132</v>
      </c>
      <c r="AJ415" s="1" t="s">
        <v>8776</v>
      </c>
      <c r="AK415" s="1" t="s">
        <v>132</v>
      </c>
      <c r="AL415" s="1" t="s">
        <v>132</v>
      </c>
      <c r="AM415" s="1" t="s">
        <v>8777</v>
      </c>
      <c r="AN415" s="1" t="s">
        <v>8777</v>
      </c>
    </row>
    <row r="416" ht="15.75" customHeight="1">
      <c r="A416" s="1" t="s">
        <v>127</v>
      </c>
      <c r="B416" s="1" t="s">
        <v>8778</v>
      </c>
      <c r="C416" s="1" t="s">
        <v>8779</v>
      </c>
      <c r="D416" s="8" t="s">
        <v>8780</v>
      </c>
      <c r="E416" s="1" t="s">
        <v>8781</v>
      </c>
      <c r="F416" s="1" t="s">
        <v>132</v>
      </c>
      <c r="G416" s="1" t="s">
        <v>8782</v>
      </c>
      <c r="H416" s="1" t="s">
        <v>8783</v>
      </c>
      <c r="I416" s="1" t="s">
        <v>8784</v>
      </c>
      <c r="J416" s="1" t="s">
        <v>8785</v>
      </c>
      <c r="K416" s="1" t="s">
        <v>8786</v>
      </c>
      <c r="L416" s="1" t="s">
        <v>8787</v>
      </c>
      <c r="M416" s="1" t="s">
        <v>8788</v>
      </c>
      <c r="N416" s="1" t="s">
        <v>132</v>
      </c>
      <c r="O416" s="1" t="s">
        <v>8789</v>
      </c>
      <c r="P416" s="1" t="s">
        <v>8790</v>
      </c>
      <c r="Q416" s="1" t="s">
        <v>132</v>
      </c>
      <c r="R416" s="1" t="s">
        <v>8791</v>
      </c>
      <c r="S416" s="1" t="s">
        <v>8792</v>
      </c>
      <c r="T416" s="8" t="s">
        <v>8793</v>
      </c>
      <c r="U416" s="1" t="s">
        <v>8794</v>
      </c>
      <c r="V416" s="1" t="s">
        <v>8795</v>
      </c>
      <c r="W416" s="1" t="s">
        <v>8791</v>
      </c>
      <c r="X416" s="1" t="s">
        <v>8779</v>
      </c>
      <c r="Y416" s="1" t="s">
        <v>8796</v>
      </c>
      <c r="Z416" s="1" t="s">
        <v>8797</v>
      </c>
      <c r="AA416" s="1" t="s">
        <v>8798</v>
      </c>
      <c r="AB416" s="1" t="s">
        <v>8799</v>
      </c>
      <c r="AC416" s="1" t="s">
        <v>8800</v>
      </c>
      <c r="AD416" s="1" t="s">
        <v>8801</v>
      </c>
      <c r="AE416" s="1" t="s">
        <v>8802</v>
      </c>
      <c r="AF416" s="1" t="s">
        <v>8803</v>
      </c>
      <c r="AG416" s="1" t="s">
        <v>8804</v>
      </c>
      <c r="AH416" s="1" t="s">
        <v>8805</v>
      </c>
      <c r="AI416" s="1" t="s">
        <v>8806</v>
      </c>
      <c r="AJ416" s="1" t="s">
        <v>132</v>
      </c>
      <c r="AK416" s="1" t="s">
        <v>8807</v>
      </c>
      <c r="AL416" s="1" t="s">
        <v>1266</v>
      </c>
      <c r="AM416" s="1" t="s">
        <v>132</v>
      </c>
      <c r="AN416" s="1" t="s">
        <v>132</v>
      </c>
    </row>
    <row r="417" ht="15.75" customHeight="1">
      <c r="A417" s="1" t="s">
        <v>38</v>
      </c>
      <c r="B417" s="1" t="s">
        <v>8808</v>
      </c>
      <c r="C417" s="1" t="s">
        <v>3004</v>
      </c>
      <c r="D417" s="8" t="s">
        <v>8809</v>
      </c>
      <c r="E417" s="1" t="s">
        <v>3006</v>
      </c>
      <c r="F417" s="1" t="s">
        <v>8810</v>
      </c>
      <c r="G417" s="1" t="s">
        <v>132</v>
      </c>
      <c r="H417" s="1" t="s">
        <v>132</v>
      </c>
      <c r="I417" s="1" t="s">
        <v>3009</v>
      </c>
      <c r="J417" s="1" t="s">
        <v>132</v>
      </c>
      <c r="K417" s="1" t="s">
        <v>3011</v>
      </c>
      <c r="L417" s="1" t="s">
        <v>132</v>
      </c>
      <c r="M417" s="1" t="s">
        <v>3013</v>
      </c>
      <c r="N417" s="1" t="s">
        <v>8745</v>
      </c>
      <c r="O417" s="1" t="s">
        <v>132</v>
      </c>
      <c r="P417" s="1" t="s">
        <v>3015</v>
      </c>
      <c r="Q417" s="1" t="s">
        <v>3016</v>
      </c>
      <c r="R417" s="1" t="s">
        <v>132</v>
      </c>
      <c r="S417" s="1" t="s">
        <v>3017</v>
      </c>
      <c r="T417" s="1" t="s">
        <v>132</v>
      </c>
      <c r="U417" s="1" t="s">
        <v>3019</v>
      </c>
      <c r="V417" s="1" t="s">
        <v>3020</v>
      </c>
      <c r="W417" s="1" t="s">
        <v>132</v>
      </c>
      <c r="X417" s="1" t="s">
        <v>3022</v>
      </c>
      <c r="Y417" s="1" t="s">
        <v>132</v>
      </c>
      <c r="Z417" s="1" t="s">
        <v>3024</v>
      </c>
      <c r="AA417" s="1" t="s">
        <v>8746</v>
      </c>
      <c r="AB417" s="1" t="s">
        <v>132</v>
      </c>
      <c r="AC417" s="1" t="s">
        <v>3006</v>
      </c>
      <c r="AD417" s="1" t="s">
        <v>3027</v>
      </c>
      <c r="AE417" s="1" t="s">
        <v>132</v>
      </c>
      <c r="AF417" s="1" t="s">
        <v>8747</v>
      </c>
      <c r="AG417" s="1" t="s">
        <v>3030</v>
      </c>
      <c r="AH417" s="1" t="s">
        <v>132</v>
      </c>
      <c r="AI417" s="1" t="s">
        <v>132</v>
      </c>
      <c r="AJ417" s="1" t="s">
        <v>8748</v>
      </c>
      <c r="AK417" s="1" t="s">
        <v>3033</v>
      </c>
      <c r="AL417" s="1" t="s">
        <v>132</v>
      </c>
      <c r="AM417" s="1" t="s">
        <v>8811</v>
      </c>
      <c r="AN417" s="1" t="s">
        <v>8811</v>
      </c>
    </row>
    <row r="418" ht="15.75" customHeight="1">
      <c r="A418" s="1" t="s">
        <v>127</v>
      </c>
      <c r="B418" s="1" t="s">
        <v>8812</v>
      </c>
      <c r="C418" s="1" t="s">
        <v>8813</v>
      </c>
      <c r="D418" s="8" t="s">
        <v>8814</v>
      </c>
      <c r="E418" s="1" t="s">
        <v>8815</v>
      </c>
      <c r="F418" s="1" t="s">
        <v>132</v>
      </c>
      <c r="G418" s="1" t="s">
        <v>8816</v>
      </c>
      <c r="H418" s="1" t="s">
        <v>8817</v>
      </c>
      <c r="I418" s="1" t="s">
        <v>8818</v>
      </c>
      <c r="J418" s="1" t="s">
        <v>8819</v>
      </c>
      <c r="K418" s="1" t="s">
        <v>8820</v>
      </c>
      <c r="L418" s="1" t="s">
        <v>8821</v>
      </c>
      <c r="M418" s="1" t="s">
        <v>8813</v>
      </c>
      <c r="N418" s="1" t="s">
        <v>132</v>
      </c>
      <c r="O418" s="1" t="s">
        <v>8822</v>
      </c>
      <c r="P418" s="1" t="s">
        <v>8823</v>
      </c>
      <c r="Q418" s="1" t="s">
        <v>132</v>
      </c>
      <c r="R418" s="1" t="s">
        <v>8824</v>
      </c>
      <c r="S418" s="1" t="s">
        <v>8825</v>
      </c>
      <c r="T418" s="8" t="s">
        <v>8826</v>
      </c>
      <c r="U418" s="1" t="s">
        <v>8827</v>
      </c>
      <c r="V418" s="1" t="s">
        <v>8828</v>
      </c>
      <c r="W418" s="1" t="s">
        <v>8829</v>
      </c>
      <c r="X418" s="1" t="s">
        <v>8813</v>
      </c>
      <c r="Y418" s="1" t="s">
        <v>8830</v>
      </c>
      <c r="Z418" s="1" t="s">
        <v>8831</v>
      </c>
      <c r="AA418" s="1" t="s">
        <v>8832</v>
      </c>
      <c r="AB418" s="1" t="s">
        <v>8833</v>
      </c>
      <c r="AC418" s="1" t="s">
        <v>8834</v>
      </c>
      <c r="AD418" s="1" t="s">
        <v>8835</v>
      </c>
      <c r="AE418" s="1" t="s">
        <v>8836</v>
      </c>
      <c r="AF418" s="1" t="s">
        <v>8837</v>
      </c>
      <c r="AG418" s="1" t="s">
        <v>8838</v>
      </c>
      <c r="AH418" s="1" t="s">
        <v>8839</v>
      </c>
      <c r="AI418" s="1" t="s">
        <v>8840</v>
      </c>
      <c r="AJ418" s="1" t="s">
        <v>132</v>
      </c>
      <c r="AK418" s="1" t="s">
        <v>8841</v>
      </c>
      <c r="AL418" s="1" t="s">
        <v>8842</v>
      </c>
      <c r="AM418" s="1" t="s">
        <v>132</v>
      </c>
      <c r="AN418" s="1" t="s">
        <v>132</v>
      </c>
    </row>
    <row r="419" ht="15.75" customHeight="1">
      <c r="A419" s="1" t="s">
        <v>38</v>
      </c>
      <c r="B419" s="1" t="s">
        <v>8843</v>
      </c>
      <c r="C419" s="1" t="s">
        <v>8844</v>
      </c>
      <c r="D419" s="8" t="s">
        <v>8845</v>
      </c>
      <c r="E419" s="1" t="s">
        <v>8846</v>
      </c>
      <c r="F419" s="1" t="s">
        <v>8847</v>
      </c>
      <c r="G419" s="1" t="s">
        <v>132</v>
      </c>
      <c r="H419" s="1" t="s">
        <v>132</v>
      </c>
      <c r="I419" s="1" t="s">
        <v>8848</v>
      </c>
      <c r="J419" s="1" t="s">
        <v>132</v>
      </c>
      <c r="K419" s="1" t="s">
        <v>8849</v>
      </c>
      <c r="L419" s="1" t="s">
        <v>132</v>
      </c>
      <c r="M419" s="1" t="s">
        <v>8850</v>
      </c>
      <c r="N419" s="1" t="s">
        <v>8851</v>
      </c>
      <c r="O419" s="1" t="s">
        <v>132</v>
      </c>
      <c r="P419" s="1" t="s">
        <v>8852</v>
      </c>
      <c r="Q419" s="1" t="s">
        <v>132</v>
      </c>
      <c r="R419" s="1" t="s">
        <v>132</v>
      </c>
      <c r="S419" s="1" t="s">
        <v>8853</v>
      </c>
      <c r="T419" s="1" t="s">
        <v>132</v>
      </c>
      <c r="U419" s="1" t="s">
        <v>8854</v>
      </c>
      <c r="V419" s="1" t="s">
        <v>8855</v>
      </c>
      <c r="W419" s="1" t="s">
        <v>132</v>
      </c>
      <c r="X419" s="1" t="s">
        <v>8856</v>
      </c>
      <c r="Y419" s="1" t="s">
        <v>132</v>
      </c>
      <c r="Z419" s="1" t="s">
        <v>8857</v>
      </c>
      <c r="AA419" s="1" t="s">
        <v>8858</v>
      </c>
      <c r="AB419" s="1" t="s">
        <v>132</v>
      </c>
      <c r="AC419" s="1" t="s">
        <v>8859</v>
      </c>
      <c r="AD419" s="1" t="s">
        <v>132</v>
      </c>
      <c r="AE419" s="1" t="s">
        <v>132</v>
      </c>
      <c r="AF419" s="1" t="s">
        <v>8860</v>
      </c>
      <c r="AG419" s="1" t="s">
        <v>8861</v>
      </c>
      <c r="AH419" s="1" t="s">
        <v>132</v>
      </c>
      <c r="AI419" s="1" t="s">
        <v>132</v>
      </c>
      <c r="AJ419" s="1" t="s">
        <v>8862</v>
      </c>
      <c r="AK419" s="1" t="s">
        <v>8863</v>
      </c>
      <c r="AL419" s="1" t="s">
        <v>132</v>
      </c>
      <c r="AM419" s="1" t="s">
        <v>8864</v>
      </c>
      <c r="AN419" s="1" t="s">
        <v>8864</v>
      </c>
    </row>
    <row r="420" ht="15.75" customHeight="1">
      <c r="A420" s="1" t="s">
        <v>38</v>
      </c>
      <c r="B420" s="1" t="s">
        <v>8865</v>
      </c>
      <c r="C420" s="1" t="s">
        <v>8866</v>
      </c>
      <c r="D420" s="8" t="s">
        <v>8867</v>
      </c>
      <c r="E420" s="1" t="s">
        <v>8868</v>
      </c>
      <c r="F420" s="1" t="s">
        <v>8869</v>
      </c>
      <c r="G420" s="1" t="s">
        <v>132</v>
      </c>
      <c r="H420" s="1" t="s">
        <v>132</v>
      </c>
      <c r="I420" s="1" t="s">
        <v>8870</v>
      </c>
      <c r="J420" s="1" t="s">
        <v>132</v>
      </c>
      <c r="K420" s="1" t="s">
        <v>8871</v>
      </c>
      <c r="L420" s="1" t="s">
        <v>132</v>
      </c>
      <c r="M420" s="1" t="s">
        <v>8872</v>
      </c>
      <c r="N420" s="1" t="s">
        <v>8873</v>
      </c>
      <c r="O420" s="1" t="s">
        <v>132</v>
      </c>
      <c r="P420" s="1" t="s">
        <v>8874</v>
      </c>
      <c r="Q420" s="1" t="s">
        <v>132</v>
      </c>
      <c r="R420" s="1" t="s">
        <v>132</v>
      </c>
      <c r="S420" s="1" t="s">
        <v>8875</v>
      </c>
      <c r="T420" s="1" t="s">
        <v>132</v>
      </c>
      <c r="U420" s="1" t="s">
        <v>8876</v>
      </c>
      <c r="V420" s="1" t="s">
        <v>8877</v>
      </c>
      <c r="W420" s="1" t="s">
        <v>132</v>
      </c>
      <c r="X420" s="1" t="s">
        <v>8878</v>
      </c>
      <c r="Y420" s="1" t="s">
        <v>132</v>
      </c>
      <c r="Z420" s="1" t="s">
        <v>8879</v>
      </c>
      <c r="AA420" s="1" t="s">
        <v>8880</v>
      </c>
      <c r="AB420" s="1" t="s">
        <v>132</v>
      </c>
      <c r="AC420" s="1" t="s">
        <v>8881</v>
      </c>
      <c r="AD420" s="1" t="s">
        <v>132</v>
      </c>
      <c r="AE420" s="1" t="s">
        <v>132</v>
      </c>
      <c r="AF420" s="1" t="s">
        <v>8882</v>
      </c>
      <c r="AG420" s="1" t="s">
        <v>8883</v>
      </c>
      <c r="AH420" s="1" t="s">
        <v>132</v>
      </c>
      <c r="AI420" s="1" t="s">
        <v>132</v>
      </c>
      <c r="AJ420" s="1" t="s">
        <v>8884</v>
      </c>
      <c r="AK420" s="1" t="s">
        <v>132</v>
      </c>
      <c r="AL420" s="1" t="s">
        <v>132</v>
      </c>
      <c r="AM420" s="1" t="s">
        <v>8885</v>
      </c>
      <c r="AN420" s="1" t="s">
        <v>8885</v>
      </c>
    </row>
    <row r="421" ht="15.75" customHeight="1">
      <c r="A421" s="1" t="s">
        <v>127</v>
      </c>
      <c r="B421" s="1" t="s">
        <v>8886</v>
      </c>
      <c r="C421" s="1" t="s">
        <v>8887</v>
      </c>
      <c r="D421" s="8" t="s">
        <v>8888</v>
      </c>
      <c r="E421" s="1" t="s">
        <v>8889</v>
      </c>
      <c r="F421" s="1" t="s">
        <v>132</v>
      </c>
      <c r="G421" s="1" t="s">
        <v>8890</v>
      </c>
      <c r="H421" s="1" t="s">
        <v>8891</v>
      </c>
      <c r="I421" s="1" t="s">
        <v>8892</v>
      </c>
      <c r="J421" s="1" t="s">
        <v>8893</v>
      </c>
      <c r="K421" s="1" t="s">
        <v>8894</v>
      </c>
      <c r="L421" s="1" t="s">
        <v>8895</v>
      </c>
      <c r="M421" s="1" t="s">
        <v>8896</v>
      </c>
      <c r="N421" s="1" t="s">
        <v>132</v>
      </c>
      <c r="O421" s="1" t="s">
        <v>8897</v>
      </c>
      <c r="P421" s="1" t="s">
        <v>8898</v>
      </c>
      <c r="Q421" s="1" t="s">
        <v>132</v>
      </c>
      <c r="R421" s="1" t="s">
        <v>8899</v>
      </c>
      <c r="S421" s="1" t="s">
        <v>8900</v>
      </c>
      <c r="T421" s="8" t="s">
        <v>8901</v>
      </c>
      <c r="U421" s="1" t="s">
        <v>8902</v>
      </c>
      <c r="V421" s="1" t="s">
        <v>8903</v>
      </c>
      <c r="W421" s="1" t="s">
        <v>8899</v>
      </c>
      <c r="X421" s="1" t="s">
        <v>8904</v>
      </c>
      <c r="Y421" s="1" t="s">
        <v>8891</v>
      </c>
      <c r="Z421" s="1" t="s">
        <v>8905</v>
      </c>
      <c r="AA421" s="1" t="s">
        <v>8906</v>
      </c>
      <c r="AB421" s="1" t="s">
        <v>8907</v>
      </c>
      <c r="AC421" s="1" t="s">
        <v>8908</v>
      </c>
      <c r="AD421" s="1" t="s">
        <v>8909</v>
      </c>
      <c r="AE421" s="1" t="s">
        <v>8910</v>
      </c>
      <c r="AF421" s="1" t="s">
        <v>8911</v>
      </c>
      <c r="AG421" s="1" t="s">
        <v>8891</v>
      </c>
      <c r="AH421" s="1" t="s">
        <v>8912</v>
      </c>
      <c r="AI421" s="1" t="s">
        <v>8913</v>
      </c>
      <c r="AJ421" s="1" t="s">
        <v>132</v>
      </c>
      <c r="AK421" s="1" t="s">
        <v>8914</v>
      </c>
      <c r="AL421" s="1" t="s">
        <v>8915</v>
      </c>
      <c r="AM421" s="1" t="s">
        <v>8916</v>
      </c>
      <c r="AN421" s="1" t="s">
        <v>8916</v>
      </c>
    </row>
    <row r="422" ht="15.75" customHeight="1">
      <c r="A422" s="1" t="s">
        <v>127</v>
      </c>
      <c r="B422" s="1" t="s">
        <v>8917</v>
      </c>
      <c r="C422" s="1" t="s">
        <v>8918</v>
      </c>
      <c r="D422" s="8" t="s">
        <v>8919</v>
      </c>
      <c r="E422" s="1" t="s">
        <v>8920</v>
      </c>
      <c r="F422" s="1" t="s">
        <v>132</v>
      </c>
      <c r="G422" s="1" t="s">
        <v>8921</v>
      </c>
      <c r="H422" s="1" t="s">
        <v>8922</v>
      </c>
      <c r="I422" s="1" t="s">
        <v>8923</v>
      </c>
      <c r="J422" s="1" t="s">
        <v>8924</v>
      </c>
      <c r="K422" s="1" t="s">
        <v>8925</v>
      </c>
      <c r="L422" s="1" t="s">
        <v>8926</v>
      </c>
      <c r="M422" s="1" t="s">
        <v>8927</v>
      </c>
      <c r="N422" s="1" t="s">
        <v>132</v>
      </c>
      <c r="O422" s="1" t="s">
        <v>8928</v>
      </c>
      <c r="P422" s="1" t="s">
        <v>8929</v>
      </c>
      <c r="Q422" s="1" t="s">
        <v>132</v>
      </c>
      <c r="R422" s="1" t="s">
        <v>8930</v>
      </c>
      <c r="S422" s="1" t="s">
        <v>8931</v>
      </c>
      <c r="T422" s="8" t="s">
        <v>8932</v>
      </c>
      <c r="U422" s="1" t="s">
        <v>8933</v>
      </c>
      <c r="V422" s="1" t="s">
        <v>8934</v>
      </c>
      <c r="W422" s="1" t="s">
        <v>8935</v>
      </c>
      <c r="X422" s="1" t="s">
        <v>8936</v>
      </c>
      <c r="Y422" s="1" t="s">
        <v>8937</v>
      </c>
      <c r="Z422" s="1" t="s">
        <v>8938</v>
      </c>
      <c r="AA422" s="1" t="s">
        <v>8939</v>
      </c>
      <c r="AB422" s="1" t="s">
        <v>8940</v>
      </c>
      <c r="AC422" s="1" t="s">
        <v>8941</v>
      </c>
      <c r="AD422" s="1" t="s">
        <v>8942</v>
      </c>
      <c r="AE422" s="1" t="s">
        <v>8943</v>
      </c>
      <c r="AF422" s="1" t="s">
        <v>8944</v>
      </c>
      <c r="AG422" s="1" t="s">
        <v>8945</v>
      </c>
      <c r="AH422" s="1" t="s">
        <v>8946</v>
      </c>
      <c r="AI422" s="1" t="s">
        <v>8947</v>
      </c>
      <c r="AJ422" s="1" t="s">
        <v>132</v>
      </c>
      <c r="AK422" s="1" t="s">
        <v>5897</v>
      </c>
      <c r="AL422" s="1" t="s">
        <v>8948</v>
      </c>
      <c r="AM422" s="1" t="s">
        <v>8949</v>
      </c>
      <c r="AN422" s="1" t="s">
        <v>8949</v>
      </c>
    </row>
    <row r="423" ht="15.75" customHeight="1">
      <c r="A423" s="1" t="s">
        <v>43182</v>
      </c>
      <c r="B423" s="1" t="s">
        <v>43218</v>
      </c>
      <c r="C423" s="1" t="s">
        <v>43219</v>
      </c>
      <c r="D423" s="1" t="s">
        <v>132</v>
      </c>
      <c r="E423" s="1" t="s">
        <v>132</v>
      </c>
      <c r="F423" s="1" t="s">
        <v>132</v>
      </c>
      <c r="G423" s="1" t="s">
        <v>132</v>
      </c>
      <c r="H423" s="1" t="s">
        <v>132</v>
      </c>
      <c r="I423" s="1" t="s">
        <v>132</v>
      </c>
      <c r="J423" s="1" t="s">
        <v>132</v>
      </c>
      <c r="K423" s="1" t="s">
        <v>132</v>
      </c>
      <c r="L423" s="1" t="s">
        <v>132</v>
      </c>
      <c r="M423" s="1" t="s">
        <v>132</v>
      </c>
      <c r="N423" s="1" t="s">
        <v>132</v>
      </c>
      <c r="O423" s="1" t="s">
        <v>132</v>
      </c>
      <c r="P423" s="1" t="s">
        <v>132</v>
      </c>
      <c r="Q423" s="1" t="s">
        <v>132</v>
      </c>
      <c r="R423" s="1" t="s">
        <v>132</v>
      </c>
      <c r="S423" s="1" t="s">
        <v>132</v>
      </c>
      <c r="T423" s="1" t="s">
        <v>132</v>
      </c>
      <c r="U423" s="1" t="s">
        <v>132</v>
      </c>
      <c r="V423" s="1" t="s">
        <v>132</v>
      </c>
      <c r="W423" s="1" t="s">
        <v>132</v>
      </c>
      <c r="X423" s="1" t="s">
        <v>132</v>
      </c>
      <c r="Y423" s="1" t="s">
        <v>132</v>
      </c>
      <c r="Z423" s="1" t="s">
        <v>132</v>
      </c>
      <c r="AA423" s="1" t="s">
        <v>132</v>
      </c>
      <c r="AB423" s="1" t="s">
        <v>132</v>
      </c>
      <c r="AC423" s="1" t="s">
        <v>132</v>
      </c>
      <c r="AD423" s="1" t="s">
        <v>132</v>
      </c>
      <c r="AE423" s="1" t="s">
        <v>132</v>
      </c>
      <c r="AF423" s="1" t="s">
        <v>132</v>
      </c>
      <c r="AG423" s="1" t="s">
        <v>132</v>
      </c>
      <c r="AH423" s="1" t="s">
        <v>132</v>
      </c>
      <c r="AI423" s="1" t="s">
        <v>132</v>
      </c>
      <c r="AJ423" s="1" t="s">
        <v>132</v>
      </c>
      <c r="AK423" s="1" t="s">
        <v>132</v>
      </c>
      <c r="AL423" s="1" t="s">
        <v>132</v>
      </c>
      <c r="AM423" s="1" t="s">
        <v>132</v>
      </c>
      <c r="AN423" s="1" t="s">
        <v>132</v>
      </c>
    </row>
    <row r="424" ht="15.75" customHeight="1">
      <c r="A424" s="1" t="s">
        <v>43182</v>
      </c>
      <c r="B424" s="1" t="s">
        <v>43220</v>
      </c>
      <c r="C424" s="1" t="s">
        <v>43221</v>
      </c>
      <c r="D424" s="1" t="s">
        <v>132</v>
      </c>
      <c r="E424" s="1" t="s">
        <v>132</v>
      </c>
      <c r="F424" s="1" t="s">
        <v>132</v>
      </c>
      <c r="G424" s="1" t="s">
        <v>132</v>
      </c>
      <c r="H424" s="1" t="s">
        <v>132</v>
      </c>
      <c r="I424" s="1" t="s">
        <v>132</v>
      </c>
      <c r="J424" s="1" t="s">
        <v>132</v>
      </c>
      <c r="K424" s="1" t="s">
        <v>132</v>
      </c>
      <c r="L424" s="1" t="s">
        <v>132</v>
      </c>
      <c r="M424" s="1" t="s">
        <v>132</v>
      </c>
      <c r="N424" s="1" t="s">
        <v>132</v>
      </c>
      <c r="O424" s="1" t="s">
        <v>132</v>
      </c>
      <c r="P424" s="1" t="s">
        <v>132</v>
      </c>
      <c r="Q424" s="1" t="s">
        <v>132</v>
      </c>
      <c r="R424" s="1" t="s">
        <v>132</v>
      </c>
      <c r="S424" s="1" t="s">
        <v>132</v>
      </c>
      <c r="T424" s="1" t="s">
        <v>132</v>
      </c>
      <c r="U424" s="1" t="s">
        <v>132</v>
      </c>
      <c r="V424" s="1" t="s">
        <v>132</v>
      </c>
      <c r="W424" s="1" t="s">
        <v>132</v>
      </c>
      <c r="X424" s="1" t="s">
        <v>132</v>
      </c>
      <c r="Y424" s="1" t="s">
        <v>132</v>
      </c>
      <c r="Z424" s="1" t="s">
        <v>132</v>
      </c>
      <c r="AA424" s="1" t="s">
        <v>132</v>
      </c>
      <c r="AB424" s="1" t="s">
        <v>132</v>
      </c>
      <c r="AC424" s="1" t="s">
        <v>132</v>
      </c>
      <c r="AD424" s="1" t="s">
        <v>132</v>
      </c>
      <c r="AE424" s="1" t="s">
        <v>132</v>
      </c>
      <c r="AF424" s="1" t="s">
        <v>132</v>
      </c>
      <c r="AG424" s="1" t="s">
        <v>132</v>
      </c>
      <c r="AH424" s="1" t="s">
        <v>132</v>
      </c>
      <c r="AI424" s="1" t="s">
        <v>132</v>
      </c>
      <c r="AJ424" s="1" t="s">
        <v>132</v>
      </c>
      <c r="AK424" s="1" t="s">
        <v>132</v>
      </c>
      <c r="AL424" s="1" t="s">
        <v>132</v>
      </c>
      <c r="AM424" s="1" t="s">
        <v>132</v>
      </c>
      <c r="AN424" s="1" t="s">
        <v>132</v>
      </c>
    </row>
    <row r="425" ht="15.75" customHeight="1">
      <c r="A425" s="1" t="s">
        <v>43182</v>
      </c>
      <c r="B425" s="1" t="s">
        <v>43222</v>
      </c>
      <c r="C425" s="1" t="s">
        <v>43223</v>
      </c>
      <c r="D425" s="1" t="s">
        <v>132</v>
      </c>
      <c r="E425" s="1" t="s">
        <v>132</v>
      </c>
      <c r="F425" s="1" t="s">
        <v>132</v>
      </c>
      <c r="G425" s="1" t="s">
        <v>132</v>
      </c>
      <c r="H425" s="1" t="s">
        <v>132</v>
      </c>
      <c r="I425" s="1" t="s">
        <v>132</v>
      </c>
      <c r="J425" s="1" t="s">
        <v>132</v>
      </c>
      <c r="K425" s="1" t="s">
        <v>132</v>
      </c>
      <c r="L425" s="1" t="s">
        <v>132</v>
      </c>
      <c r="M425" s="1" t="s">
        <v>132</v>
      </c>
      <c r="N425" s="1" t="s">
        <v>132</v>
      </c>
      <c r="O425" s="1" t="s">
        <v>132</v>
      </c>
      <c r="P425" s="1" t="s">
        <v>132</v>
      </c>
      <c r="Q425" s="1" t="s">
        <v>132</v>
      </c>
      <c r="R425" s="1" t="s">
        <v>132</v>
      </c>
      <c r="S425" s="1" t="s">
        <v>132</v>
      </c>
      <c r="T425" s="1" t="s">
        <v>132</v>
      </c>
      <c r="U425" s="1" t="s">
        <v>132</v>
      </c>
      <c r="V425" s="1" t="s">
        <v>132</v>
      </c>
      <c r="W425" s="1" t="s">
        <v>132</v>
      </c>
      <c r="X425" s="1" t="s">
        <v>132</v>
      </c>
      <c r="Y425" s="1" t="s">
        <v>132</v>
      </c>
      <c r="Z425" s="1" t="s">
        <v>132</v>
      </c>
      <c r="AA425" s="1" t="s">
        <v>132</v>
      </c>
      <c r="AB425" s="1" t="s">
        <v>132</v>
      </c>
      <c r="AC425" s="1" t="s">
        <v>132</v>
      </c>
      <c r="AD425" s="1" t="s">
        <v>132</v>
      </c>
      <c r="AE425" s="1" t="s">
        <v>132</v>
      </c>
      <c r="AF425" s="1" t="s">
        <v>132</v>
      </c>
      <c r="AG425" s="1" t="s">
        <v>132</v>
      </c>
      <c r="AH425" s="1" t="s">
        <v>132</v>
      </c>
      <c r="AI425" s="1" t="s">
        <v>132</v>
      </c>
      <c r="AJ425" s="1" t="s">
        <v>132</v>
      </c>
      <c r="AK425" s="1" t="s">
        <v>132</v>
      </c>
      <c r="AL425" s="1" t="s">
        <v>132</v>
      </c>
      <c r="AM425" s="1" t="s">
        <v>132</v>
      </c>
      <c r="AN425" s="1" t="s">
        <v>132</v>
      </c>
    </row>
    <row r="426" ht="15.75" customHeight="1">
      <c r="A426" s="1" t="s">
        <v>38</v>
      </c>
      <c r="B426" s="1" t="s">
        <v>8950</v>
      </c>
      <c r="C426" s="1" t="s">
        <v>8951</v>
      </c>
      <c r="D426" s="1" t="s">
        <v>132</v>
      </c>
      <c r="E426" s="1" t="s">
        <v>8952</v>
      </c>
      <c r="F426" s="1" t="s">
        <v>8953</v>
      </c>
      <c r="G426" s="1" t="s">
        <v>132</v>
      </c>
      <c r="H426" s="1" t="s">
        <v>132</v>
      </c>
      <c r="I426" s="1" t="s">
        <v>8954</v>
      </c>
      <c r="J426" s="1" t="s">
        <v>132</v>
      </c>
      <c r="K426" s="1" t="s">
        <v>8955</v>
      </c>
      <c r="L426" s="1" t="s">
        <v>132</v>
      </c>
      <c r="M426" s="1" t="s">
        <v>8956</v>
      </c>
      <c r="N426" s="1" t="s">
        <v>8957</v>
      </c>
      <c r="O426" s="1" t="s">
        <v>132</v>
      </c>
      <c r="P426" s="1" t="s">
        <v>8958</v>
      </c>
      <c r="Q426" s="1" t="s">
        <v>132</v>
      </c>
      <c r="R426" s="1" t="s">
        <v>132</v>
      </c>
      <c r="S426" s="1" t="s">
        <v>8959</v>
      </c>
      <c r="T426" s="1" t="s">
        <v>132</v>
      </c>
      <c r="U426" s="1" t="s">
        <v>132</v>
      </c>
      <c r="V426" s="1" t="s">
        <v>132</v>
      </c>
      <c r="W426" s="1" t="s">
        <v>132</v>
      </c>
      <c r="X426" s="1" t="s">
        <v>8960</v>
      </c>
      <c r="Y426" s="1" t="s">
        <v>132</v>
      </c>
      <c r="Z426" s="1" t="s">
        <v>8961</v>
      </c>
      <c r="AA426" s="1" t="s">
        <v>132</v>
      </c>
      <c r="AB426" s="1" t="s">
        <v>132</v>
      </c>
      <c r="AC426" s="1" t="s">
        <v>132</v>
      </c>
      <c r="AD426" s="1" t="s">
        <v>132</v>
      </c>
      <c r="AE426" s="1" t="s">
        <v>132</v>
      </c>
      <c r="AF426" s="1" t="s">
        <v>8962</v>
      </c>
      <c r="AG426" s="1" t="s">
        <v>132</v>
      </c>
      <c r="AH426" s="1" t="s">
        <v>132</v>
      </c>
      <c r="AI426" s="1" t="s">
        <v>132</v>
      </c>
      <c r="AJ426" s="1" t="s">
        <v>132</v>
      </c>
      <c r="AK426" s="1" t="s">
        <v>132</v>
      </c>
      <c r="AL426" s="1" t="s">
        <v>132</v>
      </c>
      <c r="AM426" s="1" t="s">
        <v>132</v>
      </c>
      <c r="AN426" s="1" t="s">
        <v>132</v>
      </c>
    </row>
    <row r="427" ht="15.75" customHeight="1">
      <c r="A427" s="1" t="s">
        <v>43182</v>
      </c>
      <c r="B427" s="1" t="s">
        <v>43224</v>
      </c>
      <c r="C427" s="1" t="s">
        <v>43225</v>
      </c>
      <c r="D427" s="1" t="s">
        <v>132</v>
      </c>
      <c r="E427" s="1" t="s">
        <v>132</v>
      </c>
      <c r="F427" s="1" t="s">
        <v>132</v>
      </c>
      <c r="G427" s="1" t="s">
        <v>132</v>
      </c>
      <c r="H427" s="1" t="s">
        <v>132</v>
      </c>
      <c r="I427" s="1" t="s">
        <v>132</v>
      </c>
      <c r="J427" s="1" t="s">
        <v>132</v>
      </c>
      <c r="K427" s="1" t="s">
        <v>132</v>
      </c>
      <c r="L427" s="1" t="s">
        <v>132</v>
      </c>
      <c r="M427" s="1" t="s">
        <v>132</v>
      </c>
      <c r="N427" s="1" t="s">
        <v>132</v>
      </c>
      <c r="O427" s="1" t="s">
        <v>132</v>
      </c>
      <c r="P427" s="1" t="s">
        <v>132</v>
      </c>
      <c r="Q427" s="1" t="s">
        <v>132</v>
      </c>
      <c r="R427" s="1" t="s">
        <v>132</v>
      </c>
      <c r="S427" s="1" t="s">
        <v>132</v>
      </c>
      <c r="T427" s="1" t="s">
        <v>132</v>
      </c>
      <c r="U427" s="1" t="s">
        <v>132</v>
      </c>
      <c r="V427" s="1" t="s">
        <v>132</v>
      </c>
      <c r="W427" s="1" t="s">
        <v>132</v>
      </c>
      <c r="X427" s="1" t="s">
        <v>132</v>
      </c>
      <c r="Y427" s="1" t="s">
        <v>132</v>
      </c>
      <c r="Z427" s="1" t="s">
        <v>132</v>
      </c>
      <c r="AA427" s="1" t="s">
        <v>132</v>
      </c>
      <c r="AB427" s="1" t="s">
        <v>132</v>
      </c>
      <c r="AC427" s="1" t="s">
        <v>132</v>
      </c>
      <c r="AD427" s="1" t="s">
        <v>132</v>
      </c>
      <c r="AE427" s="1" t="s">
        <v>132</v>
      </c>
      <c r="AF427" s="1" t="s">
        <v>132</v>
      </c>
      <c r="AG427" s="1" t="s">
        <v>132</v>
      </c>
      <c r="AH427" s="1" t="s">
        <v>132</v>
      </c>
      <c r="AI427" s="1" t="s">
        <v>132</v>
      </c>
      <c r="AJ427" s="1" t="s">
        <v>132</v>
      </c>
      <c r="AK427" s="1" t="s">
        <v>132</v>
      </c>
      <c r="AL427" s="1" t="s">
        <v>132</v>
      </c>
      <c r="AM427" s="1" t="s">
        <v>132</v>
      </c>
      <c r="AN427" s="1" t="s">
        <v>132</v>
      </c>
    </row>
    <row r="428" ht="15.75" customHeight="1">
      <c r="A428" s="1" t="s">
        <v>38</v>
      </c>
      <c r="B428" s="1" t="s">
        <v>8963</v>
      </c>
      <c r="C428" s="1" t="s">
        <v>8964</v>
      </c>
      <c r="D428" s="8" t="s">
        <v>8965</v>
      </c>
      <c r="E428" s="1" t="s">
        <v>8966</v>
      </c>
      <c r="F428" s="1" t="s">
        <v>8967</v>
      </c>
      <c r="G428" s="1" t="s">
        <v>132</v>
      </c>
      <c r="H428" s="1" t="s">
        <v>132</v>
      </c>
      <c r="I428" s="1" t="s">
        <v>8968</v>
      </c>
      <c r="J428" s="1" t="s">
        <v>132</v>
      </c>
      <c r="K428" s="1" t="s">
        <v>8969</v>
      </c>
      <c r="L428" s="1" t="s">
        <v>132</v>
      </c>
      <c r="M428" s="1" t="s">
        <v>8970</v>
      </c>
      <c r="N428" s="1" t="s">
        <v>8971</v>
      </c>
      <c r="O428" s="1" t="s">
        <v>132</v>
      </c>
      <c r="P428" s="1" t="s">
        <v>8972</v>
      </c>
      <c r="Q428" s="1" t="s">
        <v>132</v>
      </c>
      <c r="R428" s="1" t="s">
        <v>132</v>
      </c>
      <c r="S428" s="1" t="s">
        <v>8973</v>
      </c>
      <c r="T428" s="1" t="s">
        <v>132</v>
      </c>
      <c r="U428" s="1" t="s">
        <v>8974</v>
      </c>
      <c r="V428" s="1" t="s">
        <v>8975</v>
      </c>
      <c r="W428" s="1" t="s">
        <v>132</v>
      </c>
      <c r="X428" s="1" t="s">
        <v>8976</v>
      </c>
      <c r="Y428" s="1" t="s">
        <v>132</v>
      </c>
      <c r="Z428" s="1" t="s">
        <v>8977</v>
      </c>
      <c r="AA428" s="1" t="s">
        <v>8978</v>
      </c>
      <c r="AB428" s="1" t="s">
        <v>132</v>
      </c>
      <c r="AC428" s="1" t="s">
        <v>8979</v>
      </c>
      <c r="AD428" s="1" t="s">
        <v>132</v>
      </c>
      <c r="AE428" s="1" t="s">
        <v>132</v>
      </c>
      <c r="AF428" s="1" t="s">
        <v>8980</v>
      </c>
      <c r="AG428" s="1" t="s">
        <v>8981</v>
      </c>
      <c r="AH428" s="1" t="s">
        <v>132</v>
      </c>
      <c r="AI428" s="1" t="s">
        <v>132</v>
      </c>
      <c r="AJ428" s="1" t="s">
        <v>8982</v>
      </c>
      <c r="AK428" s="1" t="s">
        <v>8983</v>
      </c>
      <c r="AL428" s="1" t="s">
        <v>132</v>
      </c>
      <c r="AM428" s="1" t="s">
        <v>8984</v>
      </c>
      <c r="AN428" s="1" t="s">
        <v>8984</v>
      </c>
    </row>
    <row r="429" ht="15.75" customHeight="1">
      <c r="A429" s="1" t="s">
        <v>38</v>
      </c>
      <c r="B429" s="1" t="s">
        <v>8985</v>
      </c>
      <c r="C429" s="1" t="s">
        <v>8986</v>
      </c>
      <c r="D429" s="1" t="s">
        <v>132</v>
      </c>
      <c r="E429" s="1" t="s">
        <v>132</v>
      </c>
      <c r="F429" s="1" t="s">
        <v>132</v>
      </c>
      <c r="G429" s="1" t="s">
        <v>132</v>
      </c>
      <c r="H429" s="1" t="s">
        <v>132</v>
      </c>
      <c r="I429" s="1" t="s">
        <v>8987</v>
      </c>
      <c r="J429" s="1" t="s">
        <v>132</v>
      </c>
      <c r="K429" s="1" t="s">
        <v>8988</v>
      </c>
      <c r="L429" s="1" t="s">
        <v>132</v>
      </c>
      <c r="M429" s="1" t="s">
        <v>8989</v>
      </c>
      <c r="N429" s="1" t="s">
        <v>132</v>
      </c>
      <c r="O429" s="1" t="s">
        <v>132</v>
      </c>
      <c r="P429" s="1" t="s">
        <v>8986</v>
      </c>
      <c r="Q429" s="1" t="s">
        <v>132</v>
      </c>
      <c r="R429" s="1" t="s">
        <v>132</v>
      </c>
      <c r="S429" s="1" t="s">
        <v>132</v>
      </c>
      <c r="T429" s="1" t="s">
        <v>132</v>
      </c>
      <c r="U429" s="1" t="s">
        <v>132</v>
      </c>
      <c r="V429" s="1" t="s">
        <v>132</v>
      </c>
      <c r="W429" s="1" t="s">
        <v>132</v>
      </c>
      <c r="X429" s="1" t="s">
        <v>132</v>
      </c>
      <c r="Y429" s="1" t="s">
        <v>132</v>
      </c>
      <c r="Z429" s="1" t="s">
        <v>132</v>
      </c>
      <c r="AA429" s="1" t="s">
        <v>132</v>
      </c>
      <c r="AB429" s="1" t="s">
        <v>132</v>
      </c>
      <c r="AC429" s="1" t="s">
        <v>8991</v>
      </c>
      <c r="AD429" s="1" t="s">
        <v>132</v>
      </c>
      <c r="AE429" s="1" t="s">
        <v>132</v>
      </c>
      <c r="AF429" s="1" t="s">
        <v>8992</v>
      </c>
      <c r="AG429" s="1" t="s">
        <v>132</v>
      </c>
      <c r="AH429" s="1" t="s">
        <v>132</v>
      </c>
      <c r="AI429" s="1" t="s">
        <v>132</v>
      </c>
      <c r="AJ429" s="1" t="s">
        <v>132</v>
      </c>
      <c r="AK429" s="1" t="s">
        <v>132</v>
      </c>
      <c r="AL429" s="1" t="s">
        <v>132</v>
      </c>
      <c r="AM429" s="1" t="s">
        <v>132</v>
      </c>
      <c r="AN429" s="1" t="s">
        <v>132</v>
      </c>
    </row>
    <row r="430" ht="15.75" customHeight="1">
      <c r="A430" s="1" t="s">
        <v>38</v>
      </c>
      <c r="B430" s="1" t="s">
        <v>8993</v>
      </c>
      <c r="C430" s="1" t="s">
        <v>8994</v>
      </c>
      <c r="D430" s="1" t="s">
        <v>132</v>
      </c>
      <c r="E430" s="1" t="s">
        <v>132</v>
      </c>
      <c r="F430" s="1" t="s">
        <v>132</v>
      </c>
      <c r="G430" s="1" t="s">
        <v>132</v>
      </c>
      <c r="H430" s="1" t="s">
        <v>132</v>
      </c>
      <c r="I430" s="1" t="s">
        <v>8994</v>
      </c>
      <c r="J430" s="1" t="s">
        <v>132</v>
      </c>
      <c r="K430" s="1" t="s">
        <v>8994</v>
      </c>
      <c r="L430" s="1" t="s">
        <v>132</v>
      </c>
      <c r="M430" s="1" t="s">
        <v>8994</v>
      </c>
      <c r="N430" s="1" t="s">
        <v>132</v>
      </c>
      <c r="O430" s="1" t="s">
        <v>132</v>
      </c>
      <c r="P430" s="1" t="s">
        <v>8994</v>
      </c>
      <c r="Q430" s="1" t="s">
        <v>132</v>
      </c>
      <c r="R430" s="1" t="s">
        <v>132</v>
      </c>
      <c r="S430" s="1" t="s">
        <v>132</v>
      </c>
      <c r="T430" s="1" t="s">
        <v>132</v>
      </c>
      <c r="U430" s="1" t="s">
        <v>132</v>
      </c>
      <c r="V430" s="1" t="s">
        <v>132</v>
      </c>
      <c r="W430" s="1" t="s">
        <v>132</v>
      </c>
      <c r="X430" s="1" t="s">
        <v>132</v>
      </c>
      <c r="Y430" s="1" t="s">
        <v>132</v>
      </c>
      <c r="Z430" s="1" t="s">
        <v>132</v>
      </c>
      <c r="AA430" s="1" t="s">
        <v>132</v>
      </c>
      <c r="AB430" s="1" t="s">
        <v>132</v>
      </c>
      <c r="AC430" s="1" t="s">
        <v>8995</v>
      </c>
      <c r="AD430" s="1" t="s">
        <v>132</v>
      </c>
      <c r="AE430" s="1" t="s">
        <v>132</v>
      </c>
      <c r="AF430" s="1" t="s">
        <v>8994</v>
      </c>
      <c r="AG430" s="1" t="s">
        <v>132</v>
      </c>
      <c r="AH430" s="1" t="s">
        <v>132</v>
      </c>
      <c r="AI430" s="1" t="s">
        <v>132</v>
      </c>
      <c r="AJ430" s="1" t="s">
        <v>132</v>
      </c>
      <c r="AK430" s="1" t="s">
        <v>132</v>
      </c>
      <c r="AL430" s="1" t="s">
        <v>132</v>
      </c>
      <c r="AM430" s="1" t="s">
        <v>132</v>
      </c>
      <c r="AN430" s="1" t="s">
        <v>132</v>
      </c>
    </row>
    <row r="431" ht="15.75" customHeight="1">
      <c r="A431" s="1" t="s">
        <v>127</v>
      </c>
      <c r="B431" s="1" t="s">
        <v>8996</v>
      </c>
      <c r="C431" s="1" t="s">
        <v>8997</v>
      </c>
      <c r="D431" s="8" t="s">
        <v>8998</v>
      </c>
      <c r="E431" s="1" t="s">
        <v>8999</v>
      </c>
      <c r="F431" s="1" t="s">
        <v>132</v>
      </c>
      <c r="G431" s="1" t="s">
        <v>9000</v>
      </c>
      <c r="H431" s="1" t="s">
        <v>9001</v>
      </c>
      <c r="I431" s="1" t="s">
        <v>8997</v>
      </c>
      <c r="J431" s="1" t="s">
        <v>9002</v>
      </c>
      <c r="K431" s="1" t="s">
        <v>9003</v>
      </c>
      <c r="L431" s="1" t="s">
        <v>9004</v>
      </c>
      <c r="M431" s="1" t="s">
        <v>9005</v>
      </c>
      <c r="N431" s="1" t="s">
        <v>132</v>
      </c>
      <c r="O431" s="1" t="s">
        <v>9006</v>
      </c>
      <c r="P431" s="1" t="s">
        <v>9007</v>
      </c>
      <c r="Q431" s="1" t="s">
        <v>132</v>
      </c>
      <c r="R431" s="1" t="s">
        <v>9008</v>
      </c>
      <c r="S431" s="1" t="s">
        <v>9009</v>
      </c>
      <c r="T431" s="8" t="s">
        <v>9010</v>
      </c>
      <c r="U431" s="1" t="s">
        <v>9011</v>
      </c>
      <c r="V431" s="1" t="s">
        <v>9012</v>
      </c>
      <c r="W431" s="1" t="s">
        <v>9008</v>
      </c>
      <c r="X431" s="1" t="s">
        <v>9013</v>
      </c>
      <c r="Y431" s="1" t="s">
        <v>9001</v>
      </c>
      <c r="Z431" s="1" t="s">
        <v>9014</v>
      </c>
      <c r="AA431" s="1" t="s">
        <v>9009</v>
      </c>
      <c r="AB431" s="1" t="s">
        <v>9015</v>
      </c>
      <c r="AC431" s="1" t="s">
        <v>9016</v>
      </c>
      <c r="AD431" s="1" t="s">
        <v>9017</v>
      </c>
      <c r="AE431" s="1" t="s">
        <v>9018</v>
      </c>
      <c r="AF431" s="1" t="s">
        <v>9018</v>
      </c>
      <c r="AG431" s="1" t="s">
        <v>9019</v>
      </c>
      <c r="AH431" s="1" t="s">
        <v>9020</v>
      </c>
      <c r="AI431" s="1" t="s">
        <v>9021</v>
      </c>
      <c r="AJ431" s="1" t="s">
        <v>132</v>
      </c>
      <c r="AK431" s="1" t="s">
        <v>9022</v>
      </c>
      <c r="AL431" s="1" t="s">
        <v>9023</v>
      </c>
      <c r="AM431" s="1" t="s">
        <v>9024</v>
      </c>
      <c r="AN431" s="1" t="s">
        <v>9024</v>
      </c>
    </row>
    <row r="432" ht="15.75" customHeight="1">
      <c r="A432" s="1" t="s">
        <v>38</v>
      </c>
      <c r="B432" s="1" t="s">
        <v>9025</v>
      </c>
      <c r="C432" s="1" t="s">
        <v>9026</v>
      </c>
      <c r="D432" s="8" t="s">
        <v>9027</v>
      </c>
      <c r="E432" s="1" t="s">
        <v>9028</v>
      </c>
      <c r="F432" s="1" t="s">
        <v>9029</v>
      </c>
      <c r="G432" s="1" t="s">
        <v>132</v>
      </c>
      <c r="H432" s="1" t="s">
        <v>132</v>
      </c>
      <c r="I432" s="1" t="s">
        <v>9030</v>
      </c>
      <c r="J432" s="1" t="s">
        <v>132</v>
      </c>
      <c r="K432" s="1" t="s">
        <v>9031</v>
      </c>
      <c r="L432" s="1" t="s">
        <v>132</v>
      </c>
      <c r="M432" s="1" t="s">
        <v>9032</v>
      </c>
      <c r="N432" s="1" t="s">
        <v>9033</v>
      </c>
      <c r="O432" s="1" t="s">
        <v>132</v>
      </c>
      <c r="P432" s="1" t="s">
        <v>9034</v>
      </c>
      <c r="Q432" s="1" t="s">
        <v>132</v>
      </c>
      <c r="R432" s="1" t="s">
        <v>132</v>
      </c>
      <c r="S432" s="1" t="s">
        <v>9035</v>
      </c>
      <c r="T432" s="1" t="s">
        <v>132</v>
      </c>
      <c r="U432" s="1" t="s">
        <v>9036</v>
      </c>
      <c r="V432" s="1" t="s">
        <v>9037</v>
      </c>
      <c r="W432" s="1" t="s">
        <v>132</v>
      </c>
      <c r="X432" s="1" t="s">
        <v>9038</v>
      </c>
      <c r="Y432" s="1" t="s">
        <v>132</v>
      </c>
      <c r="Z432" s="1" t="s">
        <v>9039</v>
      </c>
      <c r="AA432" s="1" t="s">
        <v>9040</v>
      </c>
      <c r="AB432" s="1" t="s">
        <v>132</v>
      </c>
      <c r="AC432" s="1" t="s">
        <v>9041</v>
      </c>
      <c r="AD432" s="1" t="s">
        <v>9042</v>
      </c>
      <c r="AE432" s="1" t="s">
        <v>132</v>
      </c>
      <c r="AF432" s="1" t="s">
        <v>9043</v>
      </c>
      <c r="AG432" s="1" t="s">
        <v>9044</v>
      </c>
      <c r="AH432" s="1" t="s">
        <v>132</v>
      </c>
      <c r="AI432" s="1" t="s">
        <v>132</v>
      </c>
      <c r="AJ432" s="1" t="s">
        <v>9045</v>
      </c>
      <c r="AK432" s="1" t="s">
        <v>9046</v>
      </c>
      <c r="AL432" s="1" t="s">
        <v>132</v>
      </c>
      <c r="AM432" s="1" t="s">
        <v>9047</v>
      </c>
      <c r="AN432" s="1" t="s">
        <v>9047</v>
      </c>
    </row>
    <row r="433" ht="15.75" customHeight="1">
      <c r="A433" s="1" t="s">
        <v>127</v>
      </c>
      <c r="B433" s="1" t="s">
        <v>9048</v>
      </c>
      <c r="C433" s="1" t="s">
        <v>6396</v>
      </c>
      <c r="D433" s="8" t="s">
        <v>9049</v>
      </c>
      <c r="E433" s="1" t="s">
        <v>9050</v>
      </c>
      <c r="F433" s="1" t="s">
        <v>132</v>
      </c>
      <c r="G433" s="1" t="s">
        <v>9051</v>
      </c>
      <c r="H433" s="1" t="s">
        <v>6393</v>
      </c>
      <c r="I433" s="1" t="s">
        <v>6396</v>
      </c>
      <c r="J433" s="1" t="s">
        <v>9052</v>
      </c>
      <c r="K433" s="1" t="s">
        <v>6396</v>
      </c>
      <c r="L433" s="1" t="s">
        <v>6396</v>
      </c>
      <c r="M433" s="1" t="s">
        <v>6396</v>
      </c>
      <c r="N433" s="1" t="s">
        <v>132</v>
      </c>
      <c r="O433" s="1" t="s">
        <v>9053</v>
      </c>
      <c r="P433" s="1" t="s">
        <v>6396</v>
      </c>
      <c r="Q433" s="1" t="s">
        <v>132</v>
      </c>
      <c r="R433" s="1" t="s">
        <v>6396</v>
      </c>
      <c r="S433" s="1" t="s">
        <v>6402</v>
      </c>
      <c r="T433" s="8" t="s">
        <v>9054</v>
      </c>
      <c r="U433" s="1" t="s">
        <v>6396</v>
      </c>
      <c r="V433" s="1" t="s">
        <v>6396</v>
      </c>
      <c r="W433" s="1" t="s">
        <v>6396</v>
      </c>
      <c r="X433" s="1" t="s">
        <v>6396</v>
      </c>
      <c r="Y433" s="1" t="s">
        <v>6396</v>
      </c>
      <c r="Z433" s="1" t="s">
        <v>6396</v>
      </c>
      <c r="AA433" s="1" t="s">
        <v>6396</v>
      </c>
      <c r="AB433" s="1" t="s">
        <v>6409</v>
      </c>
      <c r="AC433" s="1" t="s">
        <v>6396</v>
      </c>
      <c r="AD433" s="1" t="s">
        <v>6392</v>
      </c>
      <c r="AE433" s="1" t="s">
        <v>9055</v>
      </c>
      <c r="AF433" s="1" t="s">
        <v>6396</v>
      </c>
      <c r="AG433" s="1" t="s">
        <v>6396</v>
      </c>
      <c r="AH433" s="1" t="s">
        <v>6396</v>
      </c>
      <c r="AI433" s="1" t="s">
        <v>9056</v>
      </c>
      <c r="AJ433" s="1" t="s">
        <v>132</v>
      </c>
      <c r="AK433" s="1" t="s">
        <v>9057</v>
      </c>
      <c r="AL433" s="1" t="s">
        <v>9058</v>
      </c>
      <c r="AM433" s="1" t="s">
        <v>9059</v>
      </c>
      <c r="AN433" s="1" t="s">
        <v>9059</v>
      </c>
    </row>
    <row r="434" ht="15.75" customHeight="1">
      <c r="A434" s="1" t="s">
        <v>38</v>
      </c>
      <c r="B434" s="1" t="s">
        <v>9060</v>
      </c>
      <c r="C434" s="1" t="s">
        <v>9061</v>
      </c>
      <c r="D434" s="1" t="s">
        <v>132</v>
      </c>
      <c r="E434" s="1" t="s">
        <v>132</v>
      </c>
      <c r="F434" s="1" t="s">
        <v>132</v>
      </c>
      <c r="G434" s="1" t="s">
        <v>132</v>
      </c>
      <c r="H434" s="1" t="s">
        <v>132</v>
      </c>
      <c r="I434" s="1" t="s">
        <v>9062</v>
      </c>
      <c r="J434" s="1" t="s">
        <v>132</v>
      </c>
      <c r="K434" s="1" t="s">
        <v>9063</v>
      </c>
      <c r="L434" s="1" t="s">
        <v>132</v>
      </c>
      <c r="M434" s="1" t="s">
        <v>9064</v>
      </c>
      <c r="N434" s="1" t="s">
        <v>132</v>
      </c>
      <c r="O434" s="1" t="s">
        <v>132</v>
      </c>
      <c r="P434" s="1" t="s">
        <v>9061</v>
      </c>
      <c r="Q434" s="1" t="s">
        <v>132</v>
      </c>
      <c r="R434" s="1" t="s">
        <v>132</v>
      </c>
      <c r="S434" s="1" t="s">
        <v>132</v>
      </c>
      <c r="T434" s="1" t="s">
        <v>132</v>
      </c>
      <c r="U434" s="1" t="s">
        <v>132</v>
      </c>
      <c r="V434" s="1" t="s">
        <v>132</v>
      </c>
      <c r="W434" s="1" t="s">
        <v>132</v>
      </c>
      <c r="X434" s="1" t="s">
        <v>132</v>
      </c>
      <c r="Y434" s="1" t="s">
        <v>132</v>
      </c>
      <c r="Z434" s="1" t="s">
        <v>132</v>
      </c>
      <c r="AA434" s="1" t="s">
        <v>132</v>
      </c>
      <c r="AB434" s="1" t="s">
        <v>132</v>
      </c>
      <c r="AC434" s="1" t="s">
        <v>9065</v>
      </c>
      <c r="AD434" s="1" t="s">
        <v>132</v>
      </c>
      <c r="AE434" s="1" t="s">
        <v>132</v>
      </c>
      <c r="AF434" s="1" t="s">
        <v>9062</v>
      </c>
      <c r="AG434" s="1" t="s">
        <v>132</v>
      </c>
      <c r="AH434" s="1" t="s">
        <v>132</v>
      </c>
      <c r="AI434" s="1" t="s">
        <v>132</v>
      </c>
      <c r="AJ434" s="1" t="s">
        <v>132</v>
      </c>
      <c r="AK434" s="1" t="s">
        <v>132</v>
      </c>
      <c r="AL434" s="1" t="s">
        <v>132</v>
      </c>
      <c r="AM434" s="1" t="s">
        <v>132</v>
      </c>
      <c r="AN434" s="1" t="s">
        <v>132</v>
      </c>
    </row>
    <row r="435" ht="15.75" customHeight="1">
      <c r="A435" s="1" t="s">
        <v>38</v>
      </c>
      <c r="B435" s="1" t="s">
        <v>9066</v>
      </c>
      <c r="C435" s="1" t="s">
        <v>9067</v>
      </c>
      <c r="D435" s="1" t="s">
        <v>132</v>
      </c>
      <c r="E435" s="1" t="s">
        <v>132</v>
      </c>
      <c r="F435" s="1" t="s">
        <v>132</v>
      </c>
      <c r="G435" s="1" t="s">
        <v>132</v>
      </c>
      <c r="H435" s="1" t="s">
        <v>132</v>
      </c>
      <c r="I435" s="1" t="s">
        <v>9067</v>
      </c>
      <c r="J435" s="1" t="s">
        <v>132</v>
      </c>
      <c r="K435" s="1" t="s">
        <v>9067</v>
      </c>
      <c r="L435" s="1" t="s">
        <v>132</v>
      </c>
      <c r="M435" s="1" t="s">
        <v>9068</v>
      </c>
      <c r="N435" s="1" t="s">
        <v>132</v>
      </c>
      <c r="O435" s="1" t="s">
        <v>132</v>
      </c>
      <c r="P435" s="1" t="s">
        <v>9067</v>
      </c>
      <c r="Q435" s="1" t="s">
        <v>132</v>
      </c>
      <c r="R435" s="1" t="s">
        <v>132</v>
      </c>
      <c r="S435" s="1" t="s">
        <v>132</v>
      </c>
      <c r="T435" s="1" t="s">
        <v>132</v>
      </c>
      <c r="U435" s="1" t="s">
        <v>132</v>
      </c>
      <c r="V435" s="1" t="s">
        <v>132</v>
      </c>
      <c r="W435" s="1" t="s">
        <v>132</v>
      </c>
      <c r="X435" s="1" t="s">
        <v>132</v>
      </c>
      <c r="Y435" s="1" t="s">
        <v>132</v>
      </c>
      <c r="Z435" s="1" t="s">
        <v>132</v>
      </c>
      <c r="AA435" s="1" t="s">
        <v>132</v>
      </c>
      <c r="AB435" s="1" t="s">
        <v>132</v>
      </c>
      <c r="AC435" s="1" t="s">
        <v>9069</v>
      </c>
      <c r="AD435" s="1" t="s">
        <v>132</v>
      </c>
      <c r="AE435" s="1" t="s">
        <v>132</v>
      </c>
      <c r="AF435" s="1" t="s">
        <v>9067</v>
      </c>
      <c r="AG435" s="1" t="s">
        <v>132</v>
      </c>
      <c r="AH435" s="1" t="s">
        <v>132</v>
      </c>
      <c r="AI435" s="1" t="s">
        <v>132</v>
      </c>
      <c r="AJ435" s="1" t="s">
        <v>132</v>
      </c>
      <c r="AK435" s="1" t="s">
        <v>132</v>
      </c>
      <c r="AL435" s="1" t="s">
        <v>132</v>
      </c>
      <c r="AM435" s="1" t="s">
        <v>132</v>
      </c>
      <c r="AN435" s="1" t="s">
        <v>132</v>
      </c>
    </row>
    <row r="436" ht="15.75" customHeight="1">
      <c r="A436" s="1" t="s">
        <v>38</v>
      </c>
      <c r="B436" s="1" t="s">
        <v>9070</v>
      </c>
      <c r="C436" s="1" t="s">
        <v>9071</v>
      </c>
      <c r="D436" s="8" t="s">
        <v>9072</v>
      </c>
      <c r="E436" s="1" t="s">
        <v>9073</v>
      </c>
      <c r="F436" s="1" t="s">
        <v>9074</v>
      </c>
      <c r="G436" s="1" t="s">
        <v>132</v>
      </c>
      <c r="H436" s="1" t="s">
        <v>132</v>
      </c>
      <c r="I436" s="1" t="s">
        <v>9071</v>
      </c>
      <c r="J436" s="1" t="s">
        <v>132</v>
      </c>
      <c r="K436" s="1" t="s">
        <v>9071</v>
      </c>
      <c r="L436" s="1" t="s">
        <v>132</v>
      </c>
      <c r="M436" s="1" t="s">
        <v>9075</v>
      </c>
      <c r="N436" s="1" t="s">
        <v>9076</v>
      </c>
      <c r="O436" s="1" t="s">
        <v>132</v>
      </c>
      <c r="P436" s="1" t="s">
        <v>9071</v>
      </c>
      <c r="Q436" s="1" t="s">
        <v>9071</v>
      </c>
      <c r="R436" s="1" t="s">
        <v>132</v>
      </c>
      <c r="S436" s="1" t="s">
        <v>9071</v>
      </c>
      <c r="T436" s="1" t="s">
        <v>132</v>
      </c>
      <c r="U436" s="1" t="s">
        <v>9077</v>
      </c>
      <c r="V436" s="1" t="s">
        <v>9071</v>
      </c>
      <c r="W436" s="1" t="s">
        <v>132</v>
      </c>
      <c r="X436" s="1" t="s">
        <v>9071</v>
      </c>
      <c r="Y436" s="1" t="s">
        <v>132</v>
      </c>
      <c r="Z436" s="1" t="s">
        <v>9071</v>
      </c>
      <c r="AA436" s="1" t="s">
        <v>9071</v>
      </c>
      <c r="AB436" s="1" t="s">
        <v>132</v>
      </c>
      <c r="AC436" s="1" t="s">
        <v>9078</v>
      </c>
      <c r="AD436" s="1" t="s">
        <v>9071</v>
      </c>
      <c r="AE436" s="1" t="s">
        <v>132</v>
      </c>
      <c r="AF436" s="1" t="s">
        <v>9079</v>
      </c>
      <c r="AG436" s="1" t="s">
        <v>9071</v>
      </c>
      <c r="AH436" s="1" t="s">
        <v>132</v>
      </c>
      <c r="AI436" s="1" t="s">
        <v>132</v>
      </c>
      <c r="AJ436" s="1" t="s">
        <v>9080</v>
      </c>
      <c r="AK436" s="1" t="s">
        <v>9071</v>
      </c>
      <c r="AL436" s="1" t="s">
        <v>132</v>
      </c>
      <c r="AM436" s="1" t="s">
        <v>9081</v>
      </c>
      <c r="AN436" s="1" t="s">
        <v>9081</v>
      </c>
    </row>
    <row r="437" ht="15.75" customHeight="1">
      <c r="A437" s="1" t="s">
        <v>127</v>
      </c>
      <c r="B437" s="1" t="s">
        <v>9082</v>
      </c>
      <c r="C437" s="1" t="s">
        <v>9083</v>
      </c>
      <c r="D437" s="8" t="s">
        <v>9084</v>
      </c>
      <c r="E437" s="1" t="s">
        <v>9085</v>
      </c>
      <c r="F437" s="1" t="s">
        <v>132</v>
      </c>
      <c r="G437" s="1" t="s">
        <v>9086</v>
      </c>
      <c r="H437" s="1" t="s">
        <v>9087</v>
      </c>
      <c r="I437" s="1" t="s">
        <v>9088</v>
      </c>
      <c r="J437" s="1" t="s">
        <v>9089</v>
      </c>
      <c r="K437" s="1" t="s">
        <v>9090</v>
      </c>
      <c r="L437" s="1" t="s">
        <v>9091</v>
      </c>
      <c r="M437" s="1" t="s">
        <v>9092</v>
      </c>
      <c r="N437" s="1" t="s">
        <v>132</v>
      </c>
      <c r="O437" s="1" t="s">
        <v>9093</v>
      </c>
      <c r="P437" s="1" t="s">
        <v>9094</v>
      </c>
      <c r="Q437" s="1" t="s">
        <v>132</v>
      </c>
      <c r="R437" s="1" t="s">
        <v>9095</v>
      </c>
      <c r="S437" s="1" t="s">
        <v>9096</v>
      </c>
      <c r="T437" s="8" t="s">
        <v>9097</v>
      </c>
      <c r="U437" s="1" t="s">
        <v>9098</v>
      </c>
      <c r="V437" s="1" t="s">
        <v>9099</v>
      </c>
      <c r="W437" s="1" t="s">
        <v>9100</v>
      </c>
      <c r="X437" s="1" t="s">
        <v>9101</v>
      </c>
      <c r="Y437" s="1" t="s">
        <v>9102</v>
      </c>
      <c r="Z437" s="1" t="s">
        <v>9103</v>
      </c>
      <c r="AA437" s="1" t="s">
        <v>9104</v>
      </c>
      <c r="AB437" s="1" t="s">
        <v>9105</v>
      </c>
      <c r="AC437" s="1" t="s">
        <v>3551</v>
      </c>
      <c r="AD437" s="1" t="s">
        <v>9106</v>
      </c>
      <c r="AE437" s="1" t="s">
        <v>9107</v>
      </c>
      <c r="AF437" s="1" t="s">
        <v>9108</v>
      </c>
      <c r="AG437" s="1" t="s">
        <v>9109</v>
      </c>
      <c r="AH437" s="1" t="s">
        <v>9110</v>
      </c>
      <c r="AI437" s="1" t="s">
        <v>9111</v>
      </c>
      <c r="AJ437" s="1" t="s">
        <v>132</v>
      </c>
      <c r="AK437" s="1" t="s">
        <v>9112</v>
      </c>
      <c r="AL437" s="1" t="s">
        <v>9113</v>
      </c>
      <c r="AM437" s="1" t="s">
        <v>9114</v>
      </c>
      <c r="AN437" s="1" t="s">
        <v>9114</v>
      </c>
    </row>
    <row r="438" ht="15.75" customHeight="1">
      <c r="A438" s="1" t="s">
        <v>38</v>
      </c>
      <c r="B438" s="1" t="s">
        <v>9115</v>
      </c>
      <c r="C438" s="1" t="s">
        <v>9116</v>
      </c>
      <c r="D438" s="8" t="s">
        <v>9117</v>
      </c>
      <c r="E438" s="1" t="s">
        <v>9118</v>
      </c>
      <c r="F438" s="1" t="s">
        <v>9119</v>
      </c>
      <c r="G438" s="1" t="s">
        <v>132</v>
      </c>
      <c r="H438" s="1" t="s">
        <v>132</v>
      </c>
      <c r="I438" s="1" t="s">
        <v>9120</v>
      </c>
      <c r="J438" s="1" t="s">
        <v>132</v>
      </c>
      <c r="K438" s="1" t="s">
        <v>9121</v>
      </c>
      <c r="L438" s="1" t="s">
        <v>132</v>
      </c>
      <c r="M438" s="1" t="s">
        <v>9122</v>
      </c>
      <c r="N438" s="1" t="s">
        <v>9123</v>
      </c>
      <c r="O438" s="1" t="s">
        <v>132</v>
      </c>
      <c r="P438" s="1" t="s">
        <v>9124</v>
      </c>
      <c r="Q438" s="1" t="s">
        <v>9125</v>
      </c>
      <c r="R438" s="1" t="s">
        <v>132</v>
      </c>
      <c r="S438" s="1" t="s">
        <v>9126</v>
      </c>
      <c r="T438" s="1" t="s">
        <v>132</v>
      </c>
      <c r="U438" s="1" t="s">
        <v>9127</v>
      </c>
      <c r="V438" s="1" t="s">
        <v>9128</v>
      </c>
      <c r="W438" s="1" t="s">
        <v>132</v>
      </c>
      <c r="X438" s="1" t="s">
        <v>9129</v>
      </c>
      <c r="Y438" s="1" t="s">
        <v>132</v>
      </c>
      <c r="Z438" s="1" t="s">
        <v>9130</v>
      </c>
      <c r="AA438" s="1" t="s">
        <v>9131</v>
      </c>
      <c r="AB438" s="1" t="s">
        <v>132</v>
      </c>
      <c r="AC438" s="1" t="s">
        <v>9132</v>
      </c>
      <c r="AD438" s="1" t="s">
        <v>9133</v>
      </c>
      <c r="AE438" s="1" t="s">
        <v>132</v>
      </c>
      <c r="AF438" s="1" t="s">
        <v>9134</v>
      </c>
      <c r="AG438" s="1" t="s">
        <v>9135</v>
      </c>
      <c r="AH438" s="1" t="s">
        <v>132</v>
      </c>
      <c r="AI438" s="1" t="s">
        <v>132</v>
      </c>
      <c r="AJ438" s="1" t="s">
        <v>9136</v>
      </c>
      <c r="AK438" s="1" t="s">
        <v>9137</v>
      </c>
      <c r="AL438" s="1" t="s">
        <v>132</v>
      </c>
      <c r="AM438" s="1" t="s">
        <v>9138</v>
      </c>
      <c r="AN438" s="1" t="s">
        <v>9138</v>
      </c>
    </row>
    <row r="439" ht="15.75" customHeight="1">
      <c r="A439" s="1" t="s">
        <v>127</v>
      </c>
      <c r="B439" s="1" t="s">
        <v>9139</v>
      </c>
      <c r="C439" s="1" t="s">
        <v>9140</v>
      </c>
      <c r="D439" s="8" t="s">
        <v>9141</v>
      </c>
      <c r="E439" s="1" t="s">
        <v>9142</v>
      </c>
      <c r="F439" s="1" t="s">
        <v>132</v>
      </c>
      <c r="G439" s="1" t="s">
        <v>9143</v>
      </c>
      <c r="H439" s="1" t="s">
        <v>9144</v>
      </c>
      <c r="I439" s="1" t="s">
        <v>9145</v>
      </c>
      <c r="J439" s="1" t="s">
        <v>9146</v>
      </c>
      <c r="K439" s="1" t="s">
        <v>9147</v>
      </c>
      <c r="L439" s="1" t="s">
        <v>9148</v>
      </c>
      <c r="M439" s="1" t="s">
        <v>9149</v>
      </c>
      <c r="N439" s="1" t="s">
        <v>132</v>
      </c>
      <c r="O439" s="1" t="s">
        <v>9150</v>
      </c>
      <c r="P439" s="1" t="s">
        <v>9151</v>
      </c>
      <c r="Q439" s="1" t="s">
        <v>132</v>
      </c>
      <c r="R439" s="1" t="s">
        <v>9152</v>
      </c>
      <c r="S439" s="1" t="s">
        <v>9153</v>
      </c>
      <c r="T439" s="8" t="s">
        <v>9154</v>
      </c>
      <c r="U439" s="1" t="s">
        <v>9155</v>
      </c>
      <c r="V439" s="1" t="s">
        <v>9156</v>
      </c>
      <c r="W439" s="1" t="s">
        <v>9152</v>
      </c>
      <c r="X439" s="1" t="s">
        <v>9144</v>
      </c>
      <c r="Y439" s="1" t="s">
        <v>9144</v>
      </c>
      <c r="Z439" s="1" t="s">
        <v>9157</v>
      </c>
      <c r="AA439" s="1" t="s">
        <v>9158</v>
      </c>
      <c r="AB439" s="1" t="s">
        <v>9159</v>
      </c>
      <c r="AC439" s="1" t="s">
        <v>9160</v>
      </c>
      <c r="AD439" s="1" t="s">
        <v>9143</v>
      </c>
      <c r="AE439" s="1" t="s">
        <v>9161</v>
      </c>
      <c r="AF439" s="1" t="s">
        <v>9162</v>
      </c>
      <c r="AG439" s="1" t="s">
        <v>9163</v>
      </c>
      <c r="AH439" s="1" t="s">
        <v>9164</v>
      </c>
      <c r="AI439" s="1" t="s">
        <v>9165</v>
      </c>
      <c r="AJ439" s="1" t="s">
        <v>132</v>
      </c>
      <c r="AK439" s="1" t="s">
        <v>9166</v>
      </c>
      <c r="AL439" s="1" t="s">
        <v>9167</v>
      </c>
      <c r="AM439" s="1" t="s">
        <v>9168</v>
      </c>
      <c r="AN439" s="1" t="s">
        <v>9168</v>
      </c>
    </row>
    <row r="440" ht="15.75" customHeight="1">
      <c r="A440" s="1" t="s">
        <v>38</v>
      </c>
      <c r="B440" s="1" t="s">
        <v>9169</v>
      </c>
      <c r="C440" s="1" t="s">
        <v>9170</v>
      </c>
      <c r="D440" s="1" t="s">
        <v>132</v>
      </c>
      <c r="E440" s="1" t="s">
        <v>132</v>
      </c>
      <c r="F440" s="1" t="s">
        <v>132</v>
      </c>
      <c r="G440" s="1" t="s">
        <v>132</v>
      </c>
      <c r="H440" s="1" t="s">
        <v>132</v>
      </c>
      <c r="I440" s="1" t="s">
        <v>9171</v>
      </c>
      <c r="J440" s="1" t="s">
        <v>132</v>
      </c>
      <c r="K440" s="1" t="s">
        <v>9172</v>
      </c>
      <c r="L440" s="1" t="s">
        <v>132</v>
      </c>
      <c r="M440" s="1" t="s">
        <v>9173</v>
      </c>
      <c r="N440" s="1" t="s">
        <v>132</v>
      </c>
      <c r="O440" s="1" t="s">
        <v>132</v>
      </c>
      <c r="P440" s="1" t="s">
        <v>9170</v>
      </c>
      <c r="Q440" s="1" t="s">
        <v>132</v>
      </c>
      <c r="R440" s="1" t="s">
        <v>132</v>
      </c>
      <c r="S440" s="1" t="s">
        <v>132</v>
      </c>
      <c r="T440" s="1" t="s">
        <v>132</v>
      </c>
      <c r="U440" s="1" t="s">
        <v>132</v>
      </c>
      <c r="V440" s="1" t="s">
        <v>132</v>
      </c>
      <c r="W440" s="1" t="s">
        <v>132</v>
      </c>
      <c r="X440" s="1" t="s">
        <v>132</v>
      </c>
      <c r="Y440" s="1" t="s">
        <v>132</v>
      </c>
      <c r="Z440" s="1" t="s">
        <v>132</v>
      </c>
      <c r="AA440" s="1" t="s">
        <v>132</v>
      </c>
      <c r="AB440" s="1" t="s">
        <v>132</v>
      </c>
      <c r="AC440" s="1" t="s">
        <v>9174</v>
      </c>
      <c r="AD440" s="1" t="s">
        <v>132</v>
      </c>
      <c r="AE440" s="1" t="s">
        <v>132</v>
      </c>
      <c r="AF440" s="1" t="s">
        <v>9175</v>
      </c>
      <c r="AG440" s="1" t="s">
        <v>132</v>
      </c>
      <c r="AH440" s="1" t="s">
        <v>132</v>
      </c>
      <c r="AI440" s="1" t="s">
        <v>132</v>
      </c>
      <c r="AJ440" s="1" t="s">
        <v>132</v>
      </c>
      <c r="AK440" s="1" t="s">
        <v>132</v>
      </c>
      <c r="AL440" s="1" t="s">
        <v>132</v>
      </c>
      <c r="AM440" s="1" t="s">
        <v>132</v>
      </c>
      <c r="AN440" s="1" t="s">
        <v>132</v>
      </c>
    </row>
    <row r="441" ht="15.75" customHeight="1">
      <c r="A441" s="1" t="s">
        <v>127</v>
      </c>
      <c r="B441" s="1" t="s">
        <v>9176</v>
      </c>
      <c r="C441" s="1" t="s">
        <v>9177</v>
      </c>
      <c r="D441" s="8" t="s">
        <v>9178</v>
      </c>
      <c r="E441" s="1" t="s">
        <v>9179</v>
      </c>
      <c r="F441" s="1" t="s">
        <v>132</v>
      </c>
      <c r="G441" s="1" t="s">
        <v>9180</v>
      </c>
      <c r="H441" s="1" t="s">
        <v>9181</v>
      </c>
      <c r="I441" s="1" t="s">
        <v>9182</v>
      </c>
      <c r="J441" s="1" t="s">
        <v>9183</v>
      </c>
      <c r="K441" s="1" t="s">
        <v>9184</v>
      </c>
      <c r="L441" s="1" t="s">
        <v>9185</v>
      </c>
      <c r="M441" s="1" t="s">
        <v>9186</v>
      </c>
      <c r="N441" s="1" t="s">
        <v>132</v>
      </c>
      <c r="O441" s="1" t="s">
        <v>9187</v>
      </c>
      <c r="P441" s="1" t="s">
        <v>9188</v>
      </c>
      <c r="Q441" s="1" t="s">
        <v>132</v>
      </c>
      <c r="R441" s="1" t="s">
        <v>9189</v>
      </c>
      <c r="S441" s="1" t="s">
        <v>9190</v>
      </c>
      <c r="T441" s="8" t="s">
        <v>9191</v>
      </c>
      <c r="U441" s="1" t="s">
        <v>9192</v>
      </c>
      <c r="V441" s="1" t="s">
        <v>9193</v>
      </c>
      <c r="W441" s="1" t="s">
        <v>9194</v>
      </c>
      <c r="X441" s="1" t="s">
        <v>9195</v>
      </c>
      <c r="Y441" s="1" t="s">
        <v>9181</v>
      </c>
      <c r="Z441" s="1" t="s">
        <v>9196</v>
      </c>
      <c r="AA441" s="1" t="s">
        <v>9184</v>
      </c>
      <c r="AB441" s="1" t="s">
        <v>9197</v>
      </c>
      <c r="AC441" s="1" t="s">
        <v>9198</v>
      </c>
      <c r="AD441" s="1" t="s">
        <v>9199</v>
      </c>
      <c r="AE441" s="1" t="s">
        <v>9200</v>
      </c>
      <c r="AF441" s="1" t="s">
        <v>9201</v>
      </c>
      <c r="AG441" s="1" t="s">
        <v>9202</v>
      </c>
      <c r="AH441" s="1" t="s">
        <v>9203</v>
      </c>
      <c r="AI441" s="1" t="s">
        <v>9204</v>
      </c>
      <c r="AJ441" s="1" t="s">
        <v>132</v>
      </c>
      <c r="AK441" s="1" t="s">
        <v>9205</v>
      </c>
      <c r="AL441" s="1" t="s">
        <v>9206</v>
      </c>
      <c r="AM441" s="1" t="s">
        <v>9207</v>
      </c>
      <c r="AN441" s="1" t="s">
        <v>9207</v>
      </c>
    </row>
    <row r="442" ht="15.75" customHeight="1">
      <c r="A442" s="1" t="s">
        <v>38</v>
      </c>
      <c r="B442" s="1" t="s">
        <v>9208</v>
      </c>
      <c r="C442" s="1" t="s">
        <v>9209</v>
      </c>
      <c r="D442" s="1" t="s">
        <v>132</v>
      </c>
      <c r="E442" s="1" t="s">
        <v>132</v>
      </c>
      <c r="F442" s="1" t="s">
        <v>132</v>
      </c>
      <c r="G442" s="1" t="s">
        <v>132</v>
      </c>
      <c r="H442" s="1" t="s">
        <v>132</v>
      </c>
      <c r="I442" s="1" t="s">
        <v>9210</v>
      </c>
      <c r="J442" s="1" t="s">
        <v>132</v>
      </c>
      <c r="K442" s="1" t="s">
        <v>9211</v>
      </c>
      <c r="L442" s="1" t="s">
        <v>132</v>
      </c>
      <c r="M442" s="1" t="s">
        <v>9209</v>
      </c>
      <c r="N442" s="1" t="s">
        <v>132</v>
      </c>
      <c r="O442" s="1" t="s">
        <v>132</v>
      </c>
      <c r="P442" s="1" t="s">
        <v>9209</v>
      </c>
      <c r="Q442" s="1" t="s">
        <v>132</v>
      </c>
      <c r="R442" s="1" t="s">
        <v>132</v>
      </c>
      <c r="S442" s="1" t="s">
        <v>132</v>
      </c>
      <c r="T442" s="1" t="s">
        <v>132</v>
      </c>
      <c r="U442" s="1" t="s">
        <v>132</v>
      </c>
      <c r="V442" s="1" t="s">
        <v>132</v>
      </c>
      <c r="W442" s="1" t="s">
        <v>132</v>
      </c>
      <c r="X442" s="1" t="s">
        <v>132</v>
      </c>
      <c r="Y442" s="1" t="s">
        <v>132</v>
      </c>
      <c r="Z442" s="1" t="s">
        <v>132</v>
      </c>
      <c r="AA442" s="1" t="s">
        <v>132</v>
      </c>
      <c r="AB442" s="1" t="s">
        <v>132</v>
      </c>
      <c r="AC442" s="1" t="s">
        <v>9212</v>
      </c>
      <c r="AD442" s="1" t="s">
        <v>132</v>
      </c>
      <c r="AE442" s="1" t="s">
        <v>132</v>
      </c>
      <c r="AF442" s="1" t="s">
        <v>9213</v>
      </c>
      <c r="AG442" s="1" t="s">
        <v>132</v>
      </c>
      <c r="AH442" s="1" t="s">
        <v>132</v>
      </c>
      <c r="AI442" s="1" t="s">
        <v>132</v>
      </c>
      <c r="AJ442" s="1" t="s">
        <v>132</v>
      </c>
      <c r="AK442" s="1" t="s">
        <v>132</v>
      </c>
      <c r="AL442" s="1" t="s">
        <v>132</v>
      </c>
      <c r="AM442" s="1" t="s">
        <v>132</v>
      </c>
      <c r="AN442" s="1" t="s">
        <v>132</v>
      </c>
    </row>
    <row r="443" ht="15.75" customHeight="1">
      <c r="A443" s="1" t="s">
        <v>38</v>
      </c>
      <c r="B443" s="1" t="s">
        <v>9214</v>
      </c>
      <c r="C443" s="1" t="s">
        <v>9215</v>
      </c>
      <c r="D443" s="8" t="s">
        <v>9216</v>
      </c>
      <c r="E443" s="1" t="s">
        <v>9217</v>
      </c>
      <c r="F443" s="1" t="s">
        <v>9218</v>
      </c>
      <c r="G443" s="1" t="s">
        <v>132</v>
      </c>
      <c r="H443" s="1" t="s">
        <v>132</v>
      </c>
      <c r="I443" s="1" t="s">
        <v>9219</v>
      </c>
      <c r="J443" s="1" t="s">
        <v>132</v>
      </c>
      <c r="K443" s="1" t="s">
        <v>9220</v>
      </c>
      <c r="L443" s="1" t="s">
        <v>132</v>
      </c>
      <c r="M443" s="1" t="s">
        <v>9221</v>
      </c>
      <c r="N443" s="1" t="s">
        <v>9222</v>
      </c>
      <c r="O443" s="1" t="s">
        <v>132</v>
      </c>
      <c r="P443" s="1" t="s">
        <v>9223</v>
      </c>
      <c r="Q443" s="1" t="s">
        <v>132</v>
      </c>
      <c r="R443" s="1" t="s">
        <v>132</v>
      </c>
      <c r="S443" s="1" t="s">
        <v>9224</v>
      </c>
      <c r="T443" s="1" t="s">
        <v>132</v>
      </c>
      <c r="U443" s="1" t="s">
        <v>9225</v>
      </c>
      <c r="V443" s="1" t="s">
        <v>132</v>
      </c>
      <c r="W443" s="1" t="s">
        <v>132</v>
      </c>
      <c r="X443" s="1" t="s">
        <v>9226</v>
      </c>
      <c r="Y443" s="1" t="s">
        <v>132</v>
      </c>
      <c r="Z443" s="1" t="s">
        <v>9227</v>
      </c>
      <c r="AA443" s="1" t="s">
        <v>9228</v>
      </c>
      <c r="AB443" s="1" t="s">
        <v>132</v>
      </c>
      <c r="AC443" s="1" t="s">
        <v>9229</v>
      </c>
      <c r="AD443" s="1" t="s">
        <v>132</v>
      </c>
      <c r="AE443" s="1" t="s">
        <v>132</v>
      </c>
      <c r="AF443" s="1" t="s">
        <v>9230</v>
      </c>
      <c r="AG443" s="1" t="s">
        <v>132</v>
      </c>
      <c r="AH443" s="1" t="s">
        <v>132</v>
      </c>
      <c r="AI443" s="1" t="s">
        <v>132</v>
      </c>
      <c r="AJ443" s="1" t="s">
        <v>132</v>
      </c>
      <c r="AK443" s="1" t="s">
        <v>132</v>
      </c>
      <c r="AL443" s="1" t="s">
        <v>132</v>
      </c>
      <c r="AM443" s="1" t="s">
        <v>132</v>
      </c>
      <c r="AN443" s="1" t="s">
        <v>132</v>
      </c>
    </row>
    <row r="444" ht="15.75" customHeight="1">
      <c r="A444" s="1" t="s">
        <v>38</v>
      </c>
      <c r="B444" s="1" t="s">
        <v>9231</v>
      </c>
      <c r="C444" s="1" t="s">
        <v>9232</v>
      </c>
      <c r="D444" s="1" t="s">
        <v>132</v>
      </c>
      <c r="E444" s="1" t="s">
        <v>132</v>
      </c>
      <c r="F444" s="1" t="s">
        <v>132</v>
      </c>
      <c r="G444" s="1" t="s">
        <v>132</v>
      </c>
      <c r="H444" s="1" t="s">
        <v>132</v>
      </c>
      <c r="I444" s="1" t="s">
        <v>9233</v>
      </c>
      <c r="J444" s="1" t="s">
        <v>132</v>
      </c>
      <c r="K444" s="1" t="s">
        <v>9234</v>
      </c>
      <c r="L444" s="1" t="s">
        <v>132</v>
      </c>
      <c r="M444" s="1" t="s">
        <v>9235</v>
      </c>
      <c r="N444" s="1" t="s">
        <v>132</v>
      </c>
      <c r="O444" s="1" t="s">
        <v>132</v>
      </c>
      <c r="P444" s="1" t="s">
        <v>9232</v>
      </c>
      <c r="Q444" s="1" t="s">
        <v>132</v>
      </c>
      <c r="R444" s="1" t="s">
        <v>132</v>
      </c>
      <c r="S444" s="1" t="s">
        <v>132</v>
      </c>
      <c r="T444" s="1" t="s">
        <v>132</v>
      </c>
      <c r="U444" s="1" t="s">
        <v>132</v>
      </c>
      <c r="V444" s="1" t="s">
        <v>132</v>
      </c>
      <c r="W444" s="1" t="s">
        <v>132</v>
      </c>
      <c r="X444" s="1" t="s">
        <v>132</v>
      </c>
      <c r="Y444" s="1" t="s">
        <v>132</v>
      </c>
      <c r="Z444" s="1" t="s">
        <v>132</v>
      </c>
      <c r="AA444" s="1" t="s">
        <v>132</v>
      </c>
      <c r="AB444" s="1" t="s">
        <v>132</v>
      </c>
      <c r="AC444" s="1" t="s">
        <v>9236</v>
      </c>
      <c r="AD444" s="1" t="s">
        <v>132</v>
      </c>
      <c r="AE444" s="1" t="s">
        <v>132</v>
      </c>
      <c r="AF444" s="1" t="s">
        <v>9237</v>
      </c>
      <c r="AG444" s="1" t="s">
        <v>132</v>
      </c>
      <c r="AH444" s="1" t="s">
        <v>132</v>
      </c>
      <c r="AI444" s="1" t="s">
        <v>132</v>
      </c>
      <c r="AJ444" s="1" t="s">
        <v>132</v>
      </c>
      <c r="AK444" s="1" t="s">
        <v>132</v>
      </c>
      <c r="AL444" s="1" t="s">
        <v>132</v>
      </c>
      <c r="AM444" s="1" t="s">
        <v>132</v>
      </c>
      <c r="AN444" s="1" t="s">
        <v>132</v>
      </c>
    </row>
    <row r="445" ht="15.75" customHeight="1">
      <c r="A445" s="1" t="s">
        <v>127</v>
      </c>
      <c r="B445" s="1" t="s">
        <v>9238</v>
      </c>
      <c r="C445" s="1" t="s">
        <v>9239</v>
      </c>
      <c r="D445" s="8" t="s">
        <v>9240</v>
      </c>
      <c r="E445" s="1" t="s">
        <v>9241</v>
      </c>
      <c r="F445" s="1" t="s">
        <v>132</v>
      </c>
      <c r="G445" s="1" t="s">
        <v>9242</v>
      </c>
      <c r="H445" s="1" t="s">
        <v>9243</v>
      </c>
      <c r="I445" s="1" t="s">
        <v>9244</v>
      </c>
      <c r="J445" s="1" t="s">
        <v>9245</v>
      </c>
      <c r="K445" s="1" t="s">
        <v>9246</v>
      </c>
      <c r="L445" s="1" t="s">
        <v>9247</v>
      </c>
      <c r="M445" s="1" t="s">
        <v>9248</v>
      </c>
      <c r="N445" s="1" t="s">
        <v>132</v>
      </c>
      <c r="O445" s="1" t="s">
        <v>9249</v>
      </c>
      <c r="P445" s="1" t="s">
        <v>9250</v>
      </c>
      <c r="Q445" s="1" t="s">
        <v>132</v>
      </c>
      <c r="R445" s="1" t="s">
        <v>9251</v>
      </c>
      <c r="S445" s="1" t="s">
        <v>9252</v>
      </c>
      <c r="T445" s="8" t="s">
        <v>9253</v>
      </c>
      <c r="U445" s="1" t="s">
        <v>9254</v>
      </c>
      <c r="V445" s="1" t="s">
        <v>9255</v>
      </c>
      <c r="W445" s="1" t="s">
        <v>9251</v>
      </c>
      <c r="X445" s="1" t="s">
        <v>9244</v>
      </c>
      <c r="Y445" s="1" t="s">
        <v>9244</v>
      </c>
      <c r="Z445" s="1" t="s">
        <v>9256</v>
      </c>
      <c r="AA445" s="1" t="s">
        <v>9257</v>
      </c>
      <c r="AB445" s="1" t="s">
        <v>9258</v>
      </c>
      <c r="AC445" s="1" t="s">
        <v>9259</v>
      </c>
      <c r="AD445" s="1" t="s">
        <v>9242</v>
      </c>
      <c r="AE445" s="1" t="s">
        <v>9260</v>
      </c>
      <c r="AF445" s="1" t="s">
        <v>9260</v>
      </c>
      <c r="AG445" s="1" t="s">
        <v>9243</v>
      </c>
      <c r="AH445" s="1" t="s">
        <v>9261</v>
      </c>
      <c r="AI445" s="1" t="s">
        <v>9262</v>
      </c>
      <c r="AJ445" s="1" t="s">
        <v>132</v>
      </c>
      <c r="AK445" s="1" t="s">
        <v>9263</v>
      </c>
      <c r="AL445" s="1" t="s">
        <v>9264</v>
      </c>
      <c r="AM445" s="1" t="s">
        <v>9265</v>
      </c>
      <c r="AN445" s="1" t="s">
        <v>9265</v>
      </c>
    </row>
    <row r="446" ht="15.75" customHeight="1">
      <c r="A446" s="1" t="s">
        <v>38</v>
      </c>
      <c r="B446" s="1" t="s">
        <v>9266</v>
      </c>
      <c r="C446" s="1" t="s">
        <v>9267</v>
      </c>
      <c r="D446" s="1" t="s">
        <v>132</v>
      </c>
      <c r="E446" s="1" t="s">
        <v>9268</v>
      </c>
      <c r="F446" s="1" t="s">
        <v>132</v>
      </c>
      <c r="G446" s="1" t="s">
        <v>132</v>
      </c>
      <c r="H446" s="1" t="s">
        <v>132</v>
      </c>
      <c r="I446" s="1" t="s">
        <v>9269</v>
      </c>
      <c r="J446" s="1" t="s">
        <v>132</v>
      </c>
      <c r="K446" s="1" t="s">
        <v>9270</v>
      </c>
      <c r="L446" s="1" t="s">
        <v>132</v>
      </c>
      <c r="M446" s="1" t="s">
        <v>9271</v>
      </c>
      <c r="N446" s="1" t="s">
        <v>9272</v>
      </c>
      <c r="O446" s="1" t="s">
        <v>132</v>
      </c>
      <c r="P446" s="1" t="s">
        <v>9273</v>
      </c>
      <c r="Q446" s="1" t="s">
        <v>132</v>
      </c>
      <c r="R446" s="1" t="s">
        <v>132</v>
      </c>
      <c r="S446" s="1" t="s">
        <v>9274</v>
      </c>
      <c r="T446" s="1" t="s">
        <v>132</v>
      </c>
      <c r="U446" s="1" t="s">
        <v>132</v>
      </c>
      <c r="V446" s="1" t="s">
        <v>132</v>
      </c>
      <c r="W446" s="1" t="s">
        <v>132</v>
      </c>
      <c r="X446" s="1" t="s">
        <v>9275</v>
      </c>
      <c r="Y446" s="1" t="s">
        <v>132</v>
      </c>
      <c r="Z446" s="1" t="s">
        <v>9276</v>
      </c>
      <c r="AA446" s="1" t="s">
        <v>132</v>
      </c>
      <c r="AB446" s="1" t="s">
        <v>132</v>
      </c>
      <c r="AC446" s="1" t="s">
        <v>132</v>
      </c>
      <c r="AD446" s="1" t="s">
        <v>132</v>
      </c>
      <c r="AE446" s="1" t="s">
        <v>132</v>
      </c>
      <c r="AF446" s="1" t="s">
        <v>132</v>
      </c>
      <c r="AG446" s="1" t="s">
        <v>132</v>
      </c>
      <c r="AH446" s="1" t="s">
        <v>132</v>
      </c>
      <c r="AI446" s="1" t="s">
        <v>132</v>
      </c>
      <c r="AJ446" s="1" t="s">
        <v>132</v>
      </c>
      <c r="AK446" s="1" t="s">
        <v>132</v>
      </c>
      <c r="AL446" s="1" t="s">
        <v>132</v>
      </c>
      <c r="AM446" s="1" t="s">
        <v>132</v>
      </c>
      <c r="AN446" s="1" t="s">
        <v>132</v>
      </c>
    </row>
    <row r="447" ht="15.75" customHeight="1">
      <c r="A447" s="1" t="s">
        <v>38</v>
      </c>
      <c r="B447" s="1" t="s">
        <v>9277</v>
      </c>
      <c r="C447" s="1" t="s">
        <v>9278</v>
      </c>
      <c r="D447" s="1" t="s">
        <v>132</v>
      </c>
      <c r="E447" s="1" t="s">
        <v>9279</v>
      </c>
      <c r="F447" s="1" t="s">
        <v>9280</v>
      </c>
      <c r="G447" s="1" t="s">
        <v>132</v>
      </c>
      <c r="H447" s="1" t="s">
        <v>132</v>
      </c>
      <c r="I447" s="1" t="s">
        <v>9281</v>
      </c>
      <c r="J447" s="1" t="s">
        <v>132</v>
      </c>
      <c r="K447" s="1" t="s">
        <v>9282</v>
      </c>
      <c r="L447" s="1" t="s">
        <v>132</v>
      </c>
      <c r="M447" s="1" t="s">
        <v>9283</v>
      </c>
      <c r="N447" s="1" t="s">
        <v>9284</v>
      </c>
      <c r="O447" s="1" t="s">
        <v>132</v>
      </c>
      <c r="P447" s="1" t="s">
        <v>9285</v>
      </c>
      <c r="Q447" s="1" t="s">
        <v>132</v>
      </c>
      <c r="R447" s="1" t="s">
        <v>132</v>
      </c>
      <c r="S447" s="1" t="s">
        <v>9286</v>
      </c>
      <c r="T447" s="1" t="s">
        <v>132</v>
      </c>
      <c r="U447" s="1" t="s">
        <v>132</v>
      </c>
      <c r="V447" s="1" t="s">
        <v>132</v>
      </c>
      <c r="W447" s="1" t="s">
        <v>132</v>
      </c>
      <c r="X447" s="1" t="s">
        <v>9287</v>
      </c>
      <c r="Y447" s="1" t="s">
        <v>132</v>
      </c>
      <c r="Z447" s="1" t="s">
        <v>9288</v>
      </c>
      <c r="AA447" s="1" t="s">
        <v>132</v>
      </c>
      <c r="AB447" s="1" t="s">
        <v>132</v>
      </c>
      <c r="AC447" s="1" t="s">
        <v>132</v>
      </c>
      <c r="AD447" s="1" t="s">
        <v>132</v>
      </c>
      <c r="AE447" s="1" t="s">
        <v>132</v>
      </c>
      <c r="AF447" s="1" t="s">
        <v>132</v>
      </c>
      <c r="AG447" s="1" t="s">
        <v>132</v>
      </c>
      <c r="AH447" s="1" t="s">
        <v>132</v>
      </c>
      <c r="AI447" s="1" t="s">
        <v>132</v>
      </c>
      <c r="AJ447" s="1" t="s">
        <v>132</v>
      </c>
      <c r="AK447" s="1" t="s">
        <v>132</v>
      </c>
      <c r="AL447" s="1" t="s">
        <v>132</v>
      </c>
      <c r="AM447" s="1" t="s">
        <v>132</v>
      </c>
      <c r="AN447" s="1" t="s">
        <v>132</v>
      </c>
    </row>
    <row r="448" ht="15.75" customHeight="1">
      <c r="A448" s="1" t="s">
        <v>38</v>
      </c>
      <c r="B448" s="1" t="s">
        <v>9289</v>
      </c>
      <c r="C448" s="1" t="s">
        <v>9290</v>
      </c>
      <c r="D448" s="1" t="s">
        <v>132</v>
      </c>
      <c r="E448" s="1" t="s">
        <v>132</v>
      </c>
      <c r="F448" s="1" t="s">
        <v>132</v>
      </c>
      <c r="G448" s="1" t="s">
        <v>132</v>
      </c>
      <c r="H448" s="1" t="s">
        <v>132</v>
      </c>
      <c r="I448" s="1" t="s">
        <v>132</v>
      </c>
      <c r="J448" s="1" t="s">
        <v>132</v>
      </c>
      <c r="K448" s="1" t="s">
        <v>132</v>
      </c>
      <c r="L448" s="1" t="s">
        <v>132</v>
      </c>
      <c r="M448" s="1" t="s">
        <v>132</v>
      </c>
      <c r="N448" s="1" t="s">
        <v>132</v>
      </c>
      <c r="O448" s="1" t="s">
        <v>132</v>
      </c>
      <c r="P448" s="1" t="s">
        <v>132</v>
      </c>
      <c r="Q448" s="1" t="s">
        <v>132</v>
      </c>
      <c r="R448" s="1" t="s">
        <v>132</v>
      </c>
      <c r="S448" s="1" t="s">
        <v>132</v>
      </c>
      <c r="T448" s="1" t="s">
        <v>132</v>
      </c>
      <c r="U448" s="1" t="s">
        <v>132</v>
      </c>
      <c r="V448" s="1" t="s">
        <v>132</v>
      </c>
      <c r="W448" s="1" t="s">
        <v>132</v>
      </c>
      <c r="X448" s="1" t="s">
        <v>132</v>
      </c>
      <c r="Y448" s="1" t="s">
        <v>132</v>
      </c>
      <c r="Z448" s="1" t="s">
        <v>132</v>
      </c>
      <c r="AA448" s="1" t="s">
        <v>132</v>
      </c>
      <c r="AB448" s="1" t="s">
        <v>132</v>
      </c>
      <c r="AC448" s="1" t="s">
        <v>132</v>
      </c>
      <c r="AD448" s="1" t="s">
        <v>132</v>
      </c>
      <c r="AE448" s="1" t="s">
        <v>132</v>
      </c>
      <c r="AF448" s="1" t="s">
        <v>132</v>
      </c>
      <c r="AG448" s="1" t="s">
        <v>132</v>
      </c>
      <c r="AH448" s="1" t="s">
        <v>132</v>
      </c>
      <c r="AI448" s="1" t="s">
        <v>132</v>
      </c>
      <c r="AJ448" s="1" t="s">
        <v>132</v>
      </c>
      <c r="AK448" s="1" t="s">
        <v>132</v>
      </c>
      <c r="AL448" s="1" t="s">
        <v>132</v>
      </c>
      <c r="AM448" s="1" t="s">
        <v>132</v>
      </c>
      <c r="AN448" s="1" t="s">
        <v>132</v>
      </c>
    </row>
    <row r="449" ht="15.75" customHeight="1">
      <c r="A449" s="1" t="s">
        <v>38</v>
      </c>
      <c r="B449" s="1" t="s">
        <v>9291</v>
      </c>
      <c r="C449" s="1" t="s">
        <v>9292</v>
      </c>
      <c r="D449" s="1" t="s">
        <v>132</v>
      </c>
      <c r="E449" s="1" t="s">
        <v>132</v>
      </c>
      <c r="F449" s="1" t="s">
        <v>132</v>
      </c>
      <c r="G449" s="1" t="s">
        <v>132</v>
      </c>
      <c r="H449" s="1" t="s">
        <v>132</v>
      </c>
      <c r="I449" s="1" t="s">
        <v>9292</v>
      </c>
      <c r="J449" s="1" t="s">
        <v>132</v>
      </c>
      <c r="K449" s="1" t="s">
        <v>9292</v>
      </c>
      <c r="L449" s="1" t="s">
        <v>132</v>
      </c>
      <c r="M449" s="1" t="s">
        <v>9292</v>
      </c>
      <c r="N449" s="1" t="s">
        <v>132</v>
      </c>
      <c r="O449" s="1" t="s">
        <v>132</v>
      </c>
      <c r="P449" s="1" t="s">
        <v>9292</v>
      </c>
      <c r="Q449" s="1" t="s">
        <v>132</v>
      </c>
      <c r="R449" s="1" t="s">
        <v>132</v>
      </c>
      <c r="S449" s="1" t="s">
        <v>132</v>
      </c>
      <c r="T449" s="1" t="s">
        <v>132</v>
      </c>
      <c r="U449" s="1" t="s">
        <v>132</v>
      </c>
      <c r="V449" s="1" t="s">
        <v>132</v>
      </c>
      <c r="W449" s="1" t="s">
        <v>132</v>
      </c>
      <c r="X449" s="1" t="s">
        <v>132</v>
      </c>
      <c r="Y449" s="1" t="s">
        <v>132</v>
      </c>
      <c r="Z449" s="1" t="s">
        <v>132</v>
      </c>
      <c r="AA449" s="1" t="s">
        <v>132</v>
      </c>
      <c r="AB449" s="1" t="s">
        <v>132</v>
      </c>
      <c r="AC449" s="1" t="s">
        <v>9293</v>
      </c>
      <c r="AD449" s="1" t="s">
        <v>132</v>
      </c>
      <c r="AE449" s="1" t="s">
        <v>132</v>
      </c>
      <c r="AF449" s="1" t="s">
        <v>9294</v>
      </c>
      <c r="AG449" s="1" t="s">
        <v>132</v>
      </c>
      <c r="AH449" s="1" t="s">
        <v>132</v>
      </c>
      <c r="AI449" s="1" t="s">
        <v>132</v>
      </c>
      <c r="AJ449" s="1" t="s">
        <v>132</v>
      </c>
      <c r="AK449" s="1" t="s">
        <v>132</v>
      </c>
      <c r="AL449" s="1" t="s">
        <v>132</v>
      </c>
      <c r="AM449" s="1" t="s">
        <v>132</v>
      </c>
      <c r="AN449" s="1" t="s">
        <v>132</v>
      </c>
    </row>
    <row r="450" ht="15.75" customHeight="1">
      <c r="A450" s="1" t="s">
        <v>127</v>
      </c>
      <c r="B450" s="1" t="s">
        <v>9295</v>
      </c>
      <c r="C450" s="1" t="s">
        <v>9296</v>
      </c>
      <c r="D450" s="8" t="s">
        <v>9297</v>
      </c>
      <c r="E450" s="1" t="s">
        <v>9298</v>
      </c>
      <c r="F450" s="1" t="s">
        <v>132</v>
      </c>
      <c r="G450" s="1" t="s">
        <v>9299</v>
      </c>
      <c r="H450" s="1" t="s">
        <v>9300</v>
      </c>
      <c r="I450" s="1" t="s">
        <v>9301</v>
      </c>
      <c r="J450" s="1" t="s">
        <v>9302</v>
      </c>
      <c r="K450" s="1" t="s">
        <v>9303</v>
      </c>
      <c r="L450" s="1" t="s">
        <v>9304</v>
      </c>
      <c r="M450" s="1" t="s">
        <v>9305</v>
      </c>
      <c r="N450" s="1" t="s">
        <v>132</v>
      </c>
      <c r="O450" s="1" t="s">
        <v>9306</v>
      </c>
      <c r="P450" s="1" t="s">
        <v>9307</v>
      </c>
      <c r="Q450" s="1" t="s">
        <v>132</v>
      </c>
      <c r="R450" s="1" t="s">
        <v>9308</v>
      </c>
      <c r="S450" s="1" t="s">
        <v>9309</v>
      </c>
      <c r="T450" s="8" t="s">
        <v>9310</v>
      </c>
      <c r="U450" s="1" t="s">
        <v>9311</v>
      </c>
      <c r="V450" s="1" t="s">
        <v>9312</v>
      </c>
      <c r="W450" s="1" t="s">
        <v>9308</v>
      </c>
      <c r="X450" s="1" t="s">
        <v>9313</v>
      </c>
      <c r="Y450" s="1" t="s">
        <v>9300</v>
      </c>
      <c r="Z450" s="1" t="s">
        <v>9314</v>
      </c>
      <c r="AA450" s="1" t="s">
        <v>9315</v>
      </c>
      <c r="AB450" s="1" t="s">
        <v>9316</v>
      </c>
      <c r="AC450" s="1" t="s">
        <v>9317</v>
      </c>
      <c r="AD450" s="1" t="s">
        <v>9318</v>
      </c>
      <c r="AE450" s="1" t="s">
        <v>9319</v>
      </c>
      <c r="AF450" s="1" t="s">
        <v>9320</v>
      </c>
      <c r="AG450" s="1" t="s">
        <v>9321</v>
      </c>
      <c r="AH450" s="1" t="s">
        <v>9322</v>
      </c>
      <c r="AI450" s="1" t="s">
        <v>9323</v>
      </c>
      <c r="AJ450" s="1" t="s">
        <v>132</v>
      </c>
      <c r="AK450" s="1" t="s">
        <v>9324</v>
      </c>
      <c r="AL450" s="1" t="s">
        <v>9325</v>
      </c>
      <c r="AM450" s="1" t="s">
        <v>132</v>
      </c>
      <c r="AN450" s="1" t="s">
        <v>132</v>
      </c>
    </row>
    <row r="451" ht="15.75" customHeight="1">
      <c r="A451" s="1" t="s">
        <v>127</v>
      </c>
      <c r="B451" s="1" t="s">
        <v>9326</v>
      </c>
      <c r="C451" s="1" t="s">
        <v>9327</v>
      </c>
      <c r="D451" s="8" t="s">
        <v>9328</v>
      </c>
      <c r="E451" s="1" t="s">
        <v>9329</v>
      </c>
      <c r="F451" s="1" t="s">
        <v>132</v>
      </c>
      <c r="G451" s="1" t="s">
        <v>9330</v>
      </c>
      <c r="H451" s="1" t="s">
        <v>9331</v>
      </c>
      <c r="I451" s="1" t="s">
        <v>9332</v>
      </c>
      <c r="J451" s="1" t="s">
        <v>9333</v>
      </c>
      <c r="K451" s="1" t="s">
        <v>9334</v>
      </c>
      <c r="L451" s="1" t="s">
        <v>9335</v>
      </c>
      <c r="M451" s="1" t="s">
        <v>9327</v>
      </c>
      <c r="N451" s="1" t="s">
        <v>132</v>
      </c>
      <c r="O451" s="1" t="s">
        <v>9336</v>
      </c>
      <c r="P451" s="1" t="s">
        <v>9327</v>
      </c>
      <c r="Q451" s="1" t="s">
        <v>132</v>
      </c>
      <c r="R451" s="1" t="s">
        <v>9337</v>
      </c>
      <c r="S451" s="1" t="s">
        <v>9338</v>
      </c>
      <c r="T451" s="8" t="s">
        <v>9339</v>
      </c>
      <c r="U451" s="1" t="s">
        <v>9340</v>
      </c>
      <c r="V451" s="1" t="s">
        <v>9341</v>
      </c>
      <c r="W451" s="1" t="s">
        <v>9342</v>
      </c>
      <c r="X451" s="1" t="s">
        <v>9343</v>
      </c>
      <c r="Y451" s="1" t="s">
        <v>9344</v>
      </c>
      <c r="Z451" s="1" t="s">
        <v>9345</v>
      </c>
      <c r="AA451" s="1" t="s">
        <v>9346</v>
      </c>
      <c r="AB451" s="1" t="s">
        <v>9347</v>
      </c>
      <c r="AC451" s="1" t="s">
        <v>9348</v>
      </c>
      <c r="AD451" s="1" t="s">
        <v>9349</v>
      </c>
      <c r="AE451" s="1" t="s">
        <v>9350</v>
      </c>
      <c r="AF451" s="1" t="s">
        <v>9351</v>
      </c>
      <c r="AG451" s="1" t="s">
        <v>9352</v>
      </c>
      <c r="AH451" s="1" t="s">
        <v>9353</v>
      </c>
      <c r="AI451" s="1" t="s">
        <v>9354</v>
      </c>
      <c r="AJ451" s="1" t="s">
        <v>132</v>
      </c>
      <c r="AK451" s="1" t="s">
        <v>9355</v>
      </c>
      <c r="AL451" s="1" t="s">
        <v>9356</v>
      </c>
      <c r="AM451" s="1" t="s">
        <v>132</v>
      </c>
      <c r="AN451" s="1" t="s">
        <v>132</v>
      </c>
    </row>
    <row r="452" ht="15.75" customHeight="1">
      <c r="A452" s="1" t="s">
        <v>127</v>
      </c>
      <c r="B452" s="1" t="s">
        <v>9357</v>
      </c>
      <c r="C452" s="1" t="s">
        <v>9358</v>
      </c>
      <c r="D452" s="8" t="s">
        <v>9359</v>
      </c>
      <c r="E452" s="1" t="s">
        <v>9360</v>
      </c>
      <c r="F452" s="1" t="s">
        <v>132</v>
      </c>
      <c r="G452" s="1" t="s">
        <v>9361</v>
      </c>
      <c r="H452" s="1" t="s">
        <v>9362</v>
      </c>
      <c r="I452" s="1" t="s">
        <v>9363</v>
      </c>
      <c r="J452" s="1" t="s">
        <v>9364</v>
      </c>
      <c r="K452" s="1" t="s">
        <v>9358</v>
      </c>
      <c r="L452" s="1" t="s">
        <v>9365</v>
      </c>
      <c r="M452" s="1" t="s">
        <v>9358</v>
      </c>
      <c r="N452" s="1" t="s">
        <v>132</v>
      </c>
      <c r="O452" s="1" t="s">
        <v>9366</v>
      </c>
      <c r="P452" s="1" t="s">
        <v>9358</v>
      </c>
      <c r="Q452" s="1" t="s">
        <v>132</v>
      </c>
      <c r="R452" s="1" t="s">
        <v>9367</v>
      </c>
      <c r="S452" s="1" t="s">
        <v>9368</v>
      </c>
      <c r="T452" s="8" t="s">
        <v>9369</v>
      </c>
      <c r="U452" s="1" t="s">
        <v>9370</v>
      </c>
      <c r="V452" s="1" t="s">
        <v>9371</v>
      </c>
      <c r="W452" s="1" t="s">
        <v>9372</v>
      </c>
      <c r="X452" s="1" t="s">
        <v>9373</v>
      </c>
      <c r="Y452" s="1" t="s">
        <v>9374</v>
      </c>
      <c r="Z452" s="1" t="s">
        <v>9375</v>
      </c>
      <c r="AA452" s="1" t="s">
        <v>9376</v>
      </c>
      <c r="AB452" s="1" t="s">
        <v>9377</v>
      </c>
      <c r="AC452" s="1" t="s">
        <v>9378</v>
      </c>
      <c r="AD452" s="1" t="s">
        <v>9379</v>
      </c>
      <c r="AE452" s="1" t="s">
        <v>9361</v>
      </c>
      <c r="AF452" s="1" t="s">
        <v>9358</v>
      </c>
      <c r="AG452" s="1" t="s">
        <v>9380</v>
      </c>
      <c r="AH452" s="1" t="s">
        <v>9381</v>
      </c>
      <c r="AI452" s="1" t="s">
        <v>9382</v>
      </c>
      <c r="AJ452" s="1" t="s">
        <v>132</v>
      </c>
      <c r="AK452" s="1" t="s">
        <v>9383</v>
      </c>
      <c r="AL452" s="1" t="s">
        <v>9384</v>
      </c>
      <c r="AM452" s="1" t="s">
        <v>9385</v>
      </c>
      <c r="AN452" s="1" t="s">
        <v>9385</v>
      </c>
    </row>
    <row r="453" ht="15.75" customHeight="1">
      <c r="A453" s="1" t="s">
        <v>127</v>
      </c>
      <c r="B453" s="1" t="s">
        <v>9386</v>
      </c>
      <c r="C453" s="1" t="s">
        <v>9387</v>
      </c>
      <c r="D453" s="8" t="s">
        <v>9388</v>
      </c>
      <c r="E453" s="1" t="s">
        <v>9389</v>
      </c>
      <c r="F453" s="1" t="s">
        <v>132</v>
      </c>
      <c r="G453" s="1" t="s">
        <v>9390</v>
      </c>
      <c r="H453" s="1" t="s">
        <v>9391</v>
      </c>
      <c r="I453" s="1" t="s">
        <v>9392</v>
      </c>
      <c r="J453" s="1" t="s">
        <v>9393</v>
      </c>
      <c r="K453" s="1" t="s">
        <v>9394</v>
      </c>
      <c r="L453" s="1" t="s">
        <v>9395</v>
      </c>
      <c r="M453" s="1" t="s">
        <v>9387</v>
      </c>
      <c r="N453" s="1" t="s">
        <v>132</v>
      </c>
      <c r="O453" s="1" t="s">
        <v>9396</v>
      </c>
      <c r="P453" s="1" t="s">
        <v>9397</v>
      </c>
      <c r="Q453" s="1" t="s">
        <v>132</v>
      </c>
      <c r="R453" s="1" t="s">
        <v>9398</v>
      </c>
      <c r="S453" s="1" t="s">
        <v>9399</v>
      </c>
      <c r="T453" s="8" t="s">
        <v>9400</v>
      </c>
      <c r="U453" s="1" t="s">
        <v>9401</v>
      </c>
      <c r="V453" s="1" t="s">
        <v>9402</v>
      </c>
      <c r="W453" s="1" t="s">
        <v>9403</v>
      </c>
      <c r="X453" s="1" t="s">
        <v>9404</v>
      </c>
      <c r="Y453" s="1" t="s">
        <v>9405</v>
      </c>
      <c r="Z453" s="1" t="s">
        <v>9406</v>
      </c>
      <c r="AA453" s="1" t="s">
        <v>9407</v>
      </c>
      <c r="AB453" s="1" t="s">
        <v>9408</v>
      </c>
      <c r="AC453" s="1" t="s">
        <v>9409</v>
      </c>
      <c r="AD453" s="1" t="s">
        <v>9390</v>
      </c>
      <c r="AE453" s="1" t="s">
        <v>9410</v>
      </c>
      <c r="AF453" s="1" t="s">
        <v>9411</v>
      </c>
      <c r="AG453" s="1" t="s">
        <v>9412</v>
      </c>
      <c r="AH453" s="1" t="s">
        <v>9413</v>
      </c>
      <c r="AI453" s="1" t="s">
        <v>9414</v>
      </c>
      <c r="AJ453" s="1" t="s">
        <v>132</v>
      </c>
      <c r="AK453" s="1" t="s">
        <v>9415</v>
      </c>
      <c r="AL453" s="1" t="s">
        <v>9416</v>
      </c>
      <c r="AM453" s="1" t="s">
        <v>9417</v>
      </c>
      <c r="AN453" s="1" t="s">
        <v>9417</v>
      </c>
    </row>
    <row r="454" ht="15.75" customHeight="1">
      <c r="A454" s="1" t="s">
        <v>38</v>
      </c>
      <c r="B454" s="1" t="s">
        <v>9418</v>
      </c>
      <c r="C454" s="1" t="s">
        <v>9419</v>
      </c>
      <c r="D454" s="1" t="s">
        <v>132</v>
      </c>
      <c r="E454" s="1" t="s">
        <v>132</v>
      </c>
      <c r="F454" s="1" t="s">
        <v>132</v>
      </c>
      <c r="G454" s="1" t="s">
        <v>132</v>
      </c>
      <c r="H454" s="1" t="s">
        <v>132</v>
      </c>
      <c r="I454" s="1" t="s">
        <v>9420</v>
      </c>
      <c r="J454" s="1" t="s">
        <v>132</v>
      </c>
      <c r="K454" s="1" t="s">
        <v>9419</v>
      </c>
      <c r="L454" s="1" t="s">
        <v>132</v>
      </c>
      <c r="M454" s="1" t="s">
        <v>9421</v>
      </c>
      <c r="N454" s="1" t="s">
        <v>132</v>
      </c>
      <c r="O454" s="1" t="s">
        <v>132</v>
      </c>
      <c r="P454" s="1" t="s">
        <v>9419</v>
      </c>
      <c r="Q454" s="1" t="s">
        <v>132</v>
      </c>
      <c r="R454" s="1" t="s">
        <v>132</v>
      </c>
      <c r="S454" s="1" t="s">
        <v>132</v>
      </c>
      <c r="T454" s="1" t="s">
        <v>132</v>
      </c>
      <c r="U454" s="1" t="s">
        <v>132</v>
      </c>
      <c r="V454" s="1" t="s">
        <v>132</v>
      </c>
      <c r="W454" s="1" t="s">
        <v>132</v>
      </c>
      <c r="X454" s="1" t="s">
        <v>132</v>
      </c>
      <c r="Y454" s="1" t="s">
        <v>132</v>
      </c>
      <c r="Z454" s="1" t="s">
        <v>132</v>
      </c>
      <c r="AA454" s="1" t="s">
        <v>132</v>
      </c>
      <c r="AB454" s="1" t="s">
        <v>132</v>
      </c>
      <c r="AC454" s="1" t="s">
        <v>9422</v>
      </c>
      <c r="AD454" s="1" t="s">
        <v>132</v>
      </c>
      <c r="AE454" s="1" t="s">
        <v>132</v>
      </c>
      <c r="AF454" s="1" t="s">
        <v>9423</v>
      </c>
      <c r="AG454" s="1" t="s">
        <v>132</v>
      </c>
      <c r="AH454" s="1" t="s">
        <v>132</v>
      </c>
      <c r="AI454" s="1" t="s">
        <v>132</v>
      </c>
      <c r="AJ454" s="1" t="s">
        <v>132</v>
      </c>
      <c r="AK454" s="1" t="s">
        <v>132</v>
      </c>
      <c r="AL454" s="1" t="s">
        <v>132</v>
      </c>
      <c r="AM454" s="1" t="s">
        <v>132</v>
      </c>
      <c r="AN454" s="1" t="s">
        <v>132</v>
      </c>
    </row>
    <row r="455" ht="15.75" customHeight="1">
      <c r="A455" s="1" t="s">
        <v>127</v>
      </c>
      <c r="B455" s="1" t="s">
        <v>9424</v>
      </c>
      <c r="C455" s="1" t="s">
        <v>9425</v>
      </c>
      <c r="D455" s="8" t="s">
        <v>9426</v>
      </c>
      <c r="E455" s="1" t="s">
        <v>9427</v>
      </c>
      <c r="F455" s="1" t="s">
        <v>132</v>
      </c>
      <c r="G455" s="1" t="s">
        <v>9428</v>
      </c>
      <c r="H455" s="1" t="s">
        <v>9429</v>
      </c>
      <c r="I455" s="1" t="s">
        <v>9430</v>
      </c>
      <c r="J455" s="1" t="s">
        <v>9431</v>
      </c>
      <c r="K455" s="1" t="s">
        <v>9432</v>
      </c>
      <c r="L455" s="1" t="s">
        <v>9433</v>
      </c>
      <c r="M455" s="1" t="s">
        <v>9425</v>
      </c>
      <c r="N455" s="1" t="s">
        <v>132</v>
      </c>
      <c r="O455" s="1" t="s">
        <v>9434</v>
      </c>
      <c r="P455" s="1" t="s">
        <v>9435</v>
      </c>
      <c r="Q455" s="1" t="s">
        <v>132</v>
      </c>
      <c r="R455" s="1" t="s">
        <v>9436</v>
      </c>
      <c r="S455" s="1" t="s">
        <v>9437</v>
      </c>
      <c r="T455" s="8" t="s">
        <v>9438</v>
      </c>
      <c r="U455" s="1" t="s">
        <v>9439</v>
      </c>
      <c r="V455" s="1" t="s">
        <v>9440</v>
      </c>
      <c r="W455" s="1" t="s">
        <v>9441</v>
      </c>
      <c r="X455" s="1" t="s">
        <v>9442</v>
      </c>
      <c r="Y455" s="1" t="s">
        <v>9443</v>
      </c>
      <c r="Z455" s="1" t="s">
        <v>9444</v>
      </c>
      <c r="AA455" s="1" t="s">
        <v>9445</v>
      </c>
      <c r="AB455" s="1" t="s">
        <v>9446</v>
      </c>
      <c r="AC455" s="1" t="s">
        <v>9447</v>
      </c>
      <c r="AD455" s="1" t="s">
        <v>9448</v>
      </c>
      <c r="AE455" s="1" t="s">
        <v>9428</v>
      </c>
      <c r="AF455" s="1" t="s">
        <v>9425</v>
      </c>
      <c r="AG455" s="1" t="s">
        <v>9449</v>
      </c>
      <c r="AH455" s="1" t="s">
        <v>9450</v>
      </c>
      <c r="AI455" s="1" t="s">
        <v>9451</v>
      </c>
      <c r="AJ455" s="1" t="s">
        <v>132</v>
      </c>
      <c r="AK455" s="1" t="s">
        <v>9452</v>
      </c>
      <c r="AL455" s="1" t="s">
        <v>9453</v>
      </c>
      <c r="AM455" s="1" t="s">
        <v>9454</v>
      </c>
      <c r="AN455" s="1" t="s">
        <v>9454</v>
      </c>
    </row>
    <row r="456" ht="15.75" customHeight="1">
      <c r="A456" s="1" t="s">
        <v>127</v>
      </c>
      <c r="B456" s="1" t="s">
        <v>9455</v>
      </c>
      <c r="C456" s="1" t="s">
        <v>9456</v>
      </c>
      <c r="D456" s="8" t="s">
        <v>9457</v>
      </c>
      <c r="E456" s="1" t="s">
        <v>9458</v>
      </c>
      <c r="F456" s="1" t="s">
        <v>132</v>
      </c>
      <c r="G456" s="1" t="s">
        <v>9459</v>
      </c>
      <c r="H456" s="1" t="s">
        <v>9460</v>
      </c>
      <c r="I456" s="1" t="s">
        <v>9461</v>
      </c>
      <c r="J456" s="1" t="s">
        <v>9462</v>
      </c>
      <c r="K456" s="1" t="s">
        <v>9463</v>
      </c>
      <c r="L456" s="1" t="s">
        <v>9464</v>
      </c>
      <c r="M456" s="1" t="s">
        <v>9465</v>
      </c>
      <c r="N456" s="1" t="s">
        <v>132</v>
      </c>
      <c r="O456" s="1" t="s">
        <v>9466</v>
      </c>
      <c r="P456" s="1" t="s">
        <v>9467</v>
      </c>
      <c r="Q456" s="1" t="s">
        <v>132</v>
      </c>
      <c r="R456" s="1" t="s">
        <v>9468</v>
      </c>
      <c r="S456" s="1" t="s">
        <v>9469</v>
      </c>
      <c r="T456" s="8" t="s">
        <v>9470</v>
      </c>
      <c r="U456" s="1" t="s">
        <v>9471</v>
      </c>
      <c r="V456" s="1" t="s">
        <v>9472</v>
      </c>
      <c r="W456" s="1" t="s">
        <v>9468</v>
      </c>
      <c r="X456" s="1" t="s">
        <v>9473</v>
      </c>
      <c r="Y456" s="1" t="s">
        <v>9474</v>
      </c>
      <c r="Z456" s="1" t="s">
        <v>9475</v>
      </c>
      <c r="AA456" s="1" t="s">
        <v>9476</v>
      </c>
      <c r="AB456" s="1" t="s">
        <v>9477</v>
      </c>
      <c r="AC456" s="1" t="s">
        <v>9478</v>
      </c>
      <c r="AD456" s="1" t="s">
        <v>9479</v>
      </c>
      <c r="AE456" s="1" t="s">
        <v>9480</v>
      </c>
      <c r="AF456" s="1" t="s">
        <v>9481</v>
      </c>
      <c r="AG456" s="1" t="s">
        <v>9482</v>
      </c>
      <c r="AH456" s="1" t="s">
        <v>9483</v>
      </c>
      <c r="AI456" s="1" t="s">
        <v>9484</v>
      </c>
      <c r="AJ456" s="1" t="s">
        <v>132</v>
      </c>
      <c r="AK456" s="1" t="s">
        <v>9485</v>
      </c>
      <c r="AL456" s="1" t="s">
        <v>9486</v>
      </c>
      <c r="AM456" s="1" t="s">
        <v>132</v>
      </c>
      <c r="AN456" s="1" t="s">
        <v>132</v>
      </c>
    </row>
    <row r="457" ht="15.75" customHeight="1">
      <c r="A457" s="1" t="s">
        <v>127</v>
      </c>
      <c r="B457" s="1" t="s">
        <v>9487</v>
      </c>
      <c r="C457" s="1" t="s">
        <v>9488</v>
      </c>
      <c r="D457" s="8" t="s">
        <v>9489</v>
      </c>
      <c r="E457" s="1" t="s">
        <v>9329</v>
      </c>
      <c r="F457" s="1" t="s">
        <v>132</v>
      </c>
      <c r="G457" s="1" t="s">
        <v>9490</v>
      </c>
      <c r="H457" s="1" t="s">
        <v>9491</v>
      </c>
      <c r="I457" s="1" t="s">
        <v>9492</v>
      </c>
      <c r="J457" s="1" t="s">
        <v>9333</v>
      </c>
      <c r="K457" s="1" t="s">
        <v>9493</v>
      </c>
      <c r="L457" s="1" t="s">
        <v>9335</v>
      </c>
      <c r="M457" s="1" t="s">
        <v>9488</v>
      </c>
      <c r="N457" s="1" t="s">
        <v>132</v>
      </c>
      <c r="O457" s="1" t="s">
        <v>9494</v>
      </c>
      <c r="P457" s="1" t="s">
        <v>9495</v>
      </c>
      <c r="Q457" s="1" t="s">
        <v>132</v>
      </c>
      <c r="R457" s="1" t="s">
        <v>9496</v>
      </c>
      <c r="S457" s="1" t="s">
        <v>9338</v>
      </c>
      <c r="T457" s="8" t="s">
        <v>9497</v>
      </c>
      <c r="U457" s="1" t="s">
        <v>9488</v>
      </c>
      <c r="V457" s="1" t="s">
        <v>9341</v>
      </c>
      <c r="W457" s="1" t="s">
        <v>9498</v>
      </c>
      <c r="X457" s="1" t="s">
        <v>9499</v>
      </c>
      <c r="Y457" s="1" t="s">
        <v>9500</v>
      </c>
      <c r="Z457" s="1" t="s">
        <v>9501</v>
      </c>
      <c r="AA457" s="1" t="s">
        <v>9502</v>
      </c>
      <c r="AB457" s="1" t="s">
        <v>9503</v>
      </c>
      <c r="AC457" s="1" t="s">
        <v>9504</v>
      </c>
      <c r="AD457" s="1" t="s">
        <v>9505</v>
      </c>
      <c r="AE457" s="1" t="s">
        <v>9350</v>
      </c>
      <c r="AF457" s="1" t="s">
        <v>9506</v>
      </c>
      <c r="AG457" s="1" t="s">
        <v>9507</v>
      </c>
      <c r="AH457" s="1" t="s">
        <v>9353</v>
      </c>
      <c r="AI457" s="1" t="s">
        <v>9508</v>
      </c>
      <c r="AJ457" s="1" t="s">
        <v>132</v>
      </c>
      <c r="AK457" s="1" t="s">
        <v>9509</v>
      </c>
      <c r="AL457" s="1" t="s">
        <v>9510</v>
      </c>
      <c r="AM457" s="1" t="s">
        <v>9511</v>
      </c>
      <c r="AN457" s="1" t="s">
        <v>9511</v>
      </c>
    </row>
    <row r="458" ht="15.75" customHeight="1">
      <c r="A458" s="1" t="s">
        <v>38</v>
      </c>
      <c r="B458" s="1" t="s">
        <v>9512</v>
      </c>
      <c r="C458" s="1" t="s">
        <v>9513</v>
      </c>
      <c r="D458" s="8" t="s">
        <v>6544</v>
      </c>
      <c r="E458" s="1" t="s">
        <v>6545</v>
      </c>
      <c r="F458" s="1" t="s">
        <v>6546</v>
      </c>
      <c r="G458" s="1" t="s">
        <v>132</v>
      </c>
      <c r="H458" s="1" t="s">
        <v>132</v>
      </c>
      <c r="I458" s="1" t="s">
        <v>6547</v>
      </c>
      <c r="J458" s="1" t="s">
        <v>132</v>
      </c>
      <c r="K458" s="1" t="s">
        <v>9514</v>
      </c>
      <c r="L458" s="1" t="s">
        <v>132</v>
      </c>
      <c r="M458" s="1" t="s">
        <v>9515</v>
      </c>
      <c r="N458" s="1" t="s">
        <v>9516</v>
      </c>
      <c r="O458" s="1" t="s">
        <v>132</v>
      </c>
      <c r="P458" s="1" t="s">
        <v>9517</v>
      </c>
      <c r="Q458" s="1" t="s">
        <v>132</v>
      </c>
      <c r="R458" s="1" t="s">
        <v>132</v>
      </c>
      <c r="S458" s="1" t="s">
        <v>9518</v>
      </c>
      <c r="T458" s="1" t="s">
        <v>132</v>
      </c>
      <c r="U458" s="1" t="s">
        <v>6553</v>
      </c>
      <c r="V458" s="1" t="s">
        <v>132</v>
      </c>
      <c r="W458" s="1" t="s">
        <v>132</v>
      </c>
      <c r="X458" s="1" t="s">
        <v>6554</v>
      </c>
      <c r="Y458" s="1" t="s">
        <v>132</v>
      </c>
      <c r="Z458" s="1" t="s">
        <v>6555</v>
      </c>
      <c r="AA458" s="1" t="s">
        <v>132</v>
      </c>
      <c r="AB458" s="1" t="s">
        <v>132</v>
      </c>
      <c r="AC458" s="1" t="s">
        <v>6556</v>
      </c>
      <c r="AD458" s="1" t="s">
        <v>132</v>
      </c>
      <c r="AE458" s="1" t="s">
        <v>132</v>
      </c>
      <c r="AF458" s="1" t="s">
        <v>132</v>
      </c>
      <c r="AG458" s="1" t="s">
        <v>132</v>
      </c>
      <c r="AH458" s="1" t="s">
        <v>132</v>
      </c>
      <c r="AI458" s="1" t="s">
        <v>132</v>
      </c>
      <c r="AJ458" s="1" t="s">
        <v>132</v>
      </c>
      <c r="AK458" s="1" t="s">
        <v>132</v>
      </c>
      <c r="AL458" s="1" t="s">
        <v>132</v>
      </c>
      <c r="AM458" s="1" t="s">
        <v>132</v>
      </c>
      <c r="AN458" s="1" t="s">
        <v>132</v>
      </c>
    </row>
    <row r="459" ht="15.75" customHeight="1">
      <c r="A459" s="1" t="s">
        <v>38</v>
      </c>
      <c r="B459" s="1" t="s">
        <v>9519</v>
      </c>
      <c r="C459" s="1" t="s">
        <v>9520</v>
      </c>
      <c r="D459" s="8" t="s">
        <v>9521</v>
      </c>
      <c r="E459" s="1" t="s">
        <v>9522</v>
      </c>
      <c r="F459" s="1" t="s">
        <v>9523</v>
      </c>
      <c r="G459" s="1" t="s">
        <v>132</v>
      </c>
      <c r="H459" s="1" t="s">
        <v>132</v>
      </c>
      <c r="I459" s="1" t="s">
        <v>9524</v>
      </c>
      <c r="J459" s="1" t="s">
        <v>132</v>
      </c>
      <c r="K459" s="1" t="s">
        <v>9525</v>
      </c>
      <c r="L459" s="1" t="s">
        <v>132</v>
      </c>
      <c r="M459" s="1" t="s">
        <v>9526</v>
      </c>
      <c r="N459" s="1" t="s">
        <v>9525</v>
      </c>
      <c r="O459" s="1" t="s">
        <v>132</v>
      </c>
      <c r="P459" s="1" t="s">
        <v>9527</v>
      </c>
      <c r="Q459" s="1" t="s">
        <v>132</v>
      </c>
      <c r="R459" s="1" t="s">
        <v>132</v>
      </c>
      <c r="S459" s="1" t="s">
        <v>9528</v>
      </c>
      <c r="T459" s="1" t="s">
        <v>132</v>
      </c>
      <c r="U459" s="1" t="s">
        <v>9529</v>
      </c>
      <c r="V459" s="1" t="s">
        <v>9530</v>
      </c>
      <c r="W459" s="1" t="s">
        <v>132</v>
      </c>
      <c r="X459" s="1" t="s">
        <v>9531</v>
      </c>
      <c r="Y459" s="1" t="s">
        <v>132</v>
      </c>
      <c r="Z459" s="1" t="s">
        <v>9532</v>
      </c>
      <c r="AA459" s="1" t="s">
        <v>9525</v>
      </c>
      <c r="AB459" s="1" t="s">
        <v>132</v>
      </c>
      <c r="AC459" s="1" t="s">
        <v>9533</v>
      </c>
      <c r="AD459" s="1" t="s">
        <v>132</v>
      </c>
      <c r="AE459" s="1" t="s">
        <v>132</v>
      </c>
      <c r="AF459" s="1" t="s">
        <v>9534</v>
      </c>
      <c r="AG459" s="1" t="s">
        <v>9535</v>
      </c>
      <c r="AH459" s="1" t="s">
        <v>132</v>
      </c>
      <c r="AI459" s="1" t="s">
        <v>132</v>
      </c>
      <c r="AJ459" s="1" t="s">
        <v>9536</v>
      </c>
      <c r="AK459" s="1" t="s">
        <v>132</v>
      </c>
      <c r="AL459" s="1" t="s">
        <v>132</v>
      </c>
      <c r="AM459" s="1" t="s">
        <v>9537</v>
      </c>
      <c r="AN459" s="1" t="s">
        <v>9537</v>
      </c>
    </row>
    <row r="460" ht="15.75" customHeight="1">
      <c r="A460" s="1" t="s">
        <v>38</v>
      </c>
      <c r="B460" s="1" t="s">
        <v>9538</v>
      </c>
      <c r="C460" s="1" t="s">
        <v>9539</v>
      </c>
      <c r="D460" s="1" t="s">
        <v>132</v>
      </c>
      <c r="E460" s="1" t="s">
        <v>9540</v>
      </c>
      <c r="F460" s="1" t="s">
        <v>132</v>
      </c>
      <c r="G460" s="1" t="s">
        <v>132</v>
      </c>
      <c r="H460" s="1" t="s">
        <v>132</v>
      </c>
      <c r="I460" s="1" t="s">
        <v>9541</v>
      </c>
      <c r="J460" s="1" t="s">
        <v>132</v>
      </c>
      <c r="K460" s="1" t="s">
        <v>9542</v>
      </c>
      <c r="L460" s="1" t="s">
        <v>132</v>
      </c>
      <c r="M460" s="1" t="s">
        <v>132</v>
      </c>
      <c r="N460" s="1" t="s">
        <v>9543</v>
      </c>
      <c r="O460" s="1" t="s">
        <v>132</v>
      </c>
      <c r="P460" s="1" t="s">
        <v>9544</v>
      </c>
      <c r="Q460" s="1" t="s">
        <v>132</v>
      </c>
      <c r="R460" s="1" t="s">
        <v>132</v>
      </c>
      <c r="S460" s="1" t="s">
        <v>9545</v>
      </c>
      <c r="T460" s="1" t="s">
        <v>132</v>
      </c>
      <c r="U460" s="1" t="s">
        <v>132</v>
      </c>
      <c r="V460" s="1" t="s">
        <v>132</v>
      </c>
      <c r="W460" s="1" t="s">
        <v>132</v>
      </c>
      <c r="X460" s="1" t="s">
        <v>9546</v>
      </c>
      <c r="Y460" s="1" t="s">
        <v>132</v>
      </c>
      <c r="Z460" s="1" t="s">
        <v>9547</v>
      </c>
      <c r="AA460" s="1" t="s">
        <v>132</v>
      </c>
      <c r="AB460" s="1" t="s">
        <v>132</v>
      </c>
      <c r="AC460" s="1" t="s">
        <v>132</v>
      </c>
      <c r="AD460" s="1" t="s">
        <v>132</v>
      </c>
      <c r="AE460" s="1" t="s">
        <v>132</v>
      </c>
      <c r="AF460" s="1" t="s">
        <v>132</v>
      </c>
      <c r="AG460" s="1" t="s">
        <v>132</v>
      </c>
      <c r="AH460" s="1" t="s">
        <v>132</v>
      </c>
      <c r="AI460" s="1" t="s">
        <v>132</v>
      </c>
      <c r="AJ460" s="1" t="s">
        <v>132</v>
      </c>
      <c r="AK460" s="1" t="s">
        <v>132</v>
      </c>
      <c r="AL460" s="1" t="s">
        <v>132</v>
      </c>
      <c r="AM460" s="1" t="s">
        <v>132</v>
      </c>
      <c r="AN460" s="1" t="s">
        <v>132</v>
      </c>
    </row>
    <row r="461" ht="15.75" customHeight="1">
      <c r="A461" s="1" t="s">
        <v>127</v>
      </c>
      <c r="B461" s="1" t="s">
        <v>9548</v>
      </c>
      <c r="C461" s="1" t="s">
        <v>9549</v>
      </c>
      <c r="D461" s="8" t="s">
        <v>9550</v>
      </c>
      <c r="E461" s="1" t="s">
        <v>9549</v>
      </c>
      <c r="F461" s="1" t="s">
        <v>132</v>
      </c>
      <c r="G461" s="1" t="s">
        <v>9549</v>
      </c>
      <c r="H461" s="1" t="s">
        <v>9549</v>
      </c>
      <c r="I461" s="1" t="s">
        <v>9549</v>
      </c>
      <c r="J461" s="1" t="s">
        <v>9549</v>
      </c>
      <c r="K461" s="1" t="s">
        <v>9549</v>
      </c>
      <c r="L461" s="1" t="s">
        <v>9551</v>
      </c>
      <c r="M461" s="1" t="s">
        <v>9549</v>
      </c>
      <c r="N461" s="1" t="s">
        <v>132</v>
      </c>
      <c r="O461" s="1" t="s">
        <v>9552</v>
      </c>
      <c r="P461" s="1" t="s">
        <v>9549</v>
      </c>
      <c r="Q461" s="1" t="s">
        <v>132</v>
      </c>
      <c r="R461" s="1" t="s">
        <v>9553</v>
      </c>
      <c r="S461" s="1" t="s">
        <v>9549</v>
      </c>
      <c r="T461" s="8" t="s">
        <v>9554</v>
      </c>
      <c r="U461" s="1" t="s">
        <v>9555</v>
      </c>
      <c r="V461" s="1" t="s">
        <v>9556</v>
      </c>
      <c r="W461" s="1" t="s">
        <v>9553</v>
      </c>
      <c r="X461" s="1" t="s">
        <v>9549</v>
      </c>
      <c r="Y461" s="1" t="s">
        <v>9549</v>
      </c>
      <c r="Z461" s="1" t="s">
        <v>9549</v>
      </c>
      <c r="AA461" s="1" t="s">
        <v>9549</v>
      </c>
      <c r="AB461" s="1" t="s">
        <v>9549</v>
      </c>
      <c r="AC461" s="1" t="s">
        <v>9549</v>
      </c>
      <c r="AD461" s="1" t="s">
        <v>9549</v>
      </c>
      <c r="AE461" s="1" t="s">
        <v>9549</v>
      </c>
      <c r="AF461" s="1" t="s">
        <v>9549</v>
      </c>
      <c r="AG461" s="1" t="s">
        <v>9549</v>
      </c>
      <c r="AH461" s="1" t="s">
        <v>9549</v>
      </c>
      <c r="AI461" s="1" t="s">
        <v>9557</v>
      </c>
      <c r="AJ461" s="1" t="s">
        <v>132</v>
      </c>
      <c r="AK461" s="1" t="s">
        <v>9558</v>
      </c>
      <c r="AL461" s="1" t="s">
        <v>9559</v>
      </c>
      <c r="AM461" s="1" t="s">
        <v>9560</v>
      </c>
      <c r="AN461" s="1" t="s">
        <v>9560</v>
      </c>
    </row>
    <row r="462" ht="15.75" customHeight="1">
      <c r="A462" s="1" t="s">
        <v>127</v>
      </c>
      <c r="B462" s="1" t="s">
        <v>9561</v>
      </c>
      <c r="C462" s="1" t="s">
        <v>132</v>
      </c>
      <c r="D462" s="8" t="s">
        <v>9562</v>
      </c>
      <c r="E462" s="1" t="s">
        <v>132</v>
      </c>
      <c r="F462" s="1" t="s">
        <v>132</v>
      </c>
      <c r="G462" s="1" t="s">
        <v>132</v>
      </c>
      <c r="H462" s="1" t="s">
        <v>132</v>
      </c>
      <c r="I462" s="1" t="s">
        <v>132</v>
      </c>
      <c r="J462" s="1" t="s">
        <v>132</v>
      </c>
      <c r="K462" s="1" t="s">
        <v>132</v>
      </c>
      <c r="L462" s="1" t="s">
        <v>132</v>
      </c>
      <c r="M462" s="1" t="s">
        <v>132</v>
      </c>
      <c r="N462" s="1" t="s">
        <v>132</v>
      </c>
      <c r="O462" s="1" t="s">
        <v>132</v>
      </c>
      <c r="P462" s="1" t="s">
        <v>132</v>
      </c>
      <c r="Q462" s="1" t="s">
        <v>132</v>
      </c>
      <c r="R462" s="1" t="s">
        <v>132</v>
      </c>
      <c r="S462" s="1" t="s">
        <v>132</v>
      </c>
      <c r="T462" s="1" t="s">
        <v>132</v>
      </c>
      <c r="U462" s="1" t="s">
        <v>132</v>
      </c>
      <c r="V462" s="1" t="s">
        <v>7047</v>
      </c>
      <c r="W462" s="1" t="s">
        <v>132</v>
      </c>
      <c r="X462" s="1" t="s">
        <v>132</v>
      </c>
      <c r="Y462" s="1" t="s">
        <v>132</v>
      </c>
      <c r="Z462" s="1" t="s">
        <v>132</v>
      </c>
      <c r="AA462" s="1" t="s">
        <v>132</v>
      </c>
      <c r="AB462" s="1" t="s">
        <v>132</v>
      </c>
      <c r="AC462" s="1" t="s">
        <v>132</v>
      </c>
      <c r="AD462" s="1" t="s">
        <v>132</v>
      </c>
      <c r="AE462" s="1" t="s">
        <v>132</v>
      </c>
      <c r="AF462" s="1" t="s">
        <v>132</v>
      </c>
      <c r="AG462" s="1" t="s">
        <v>132</v>
      </c>
      <c r="AH462" s="1" t="s">
        <v>132</v>
      </c>
      <c r="AI462" s="1" t="s">
        <v>132</v>
      </c>
      <c r="AJ462" s="1" t="s">
        <v>132</v>
      </c>
      <c r="AK462" s="1" t="s">
        <v>132</v>
      </c>
      <c r="AL462" s="1" t="s">
        <v>132</v>
      </c>
      <c r="AM462" s="1" t="s">
        <v>132</v>
      </c>
      <c r="AN462" s="1" t="s">
        <v>132</v>
      </c>
    </row>
    <row r="463" ht="15.75" customHeight="1">
      <c r="A463" s="1" t="s">
        <v>38</v>
      </c>
      <c r="B463" s="1" t="s">
        <v>9563</v>
      </c>
      <c r="C463" s="1" t="s">
        <v>9564</v>
      </c>
      <c r="D463" s="1" t="s">
        <v>132</v>
      </c>
      <c r="E463" s="1" t="s">
        <v>132</v>
      </c>
      <c r="F463" s="1" t="s">
        <v>132</v>
      </c>
      <c r="G463" s="1" t="s">
        <v>132</v>
      </c>
      <c r="H463" s="1" t="s">
        <v>132</v>
      </c>
      <c r="I463" s="1" t="s">
        <v>9565</v>
      </c>
      <c r="J463" s="1" t="s">
        <v>132</v>
      </c>
      <c r="K463" s="1" t="s">
        <v>9564</v>
      </c>
      <c r="L463" s="1" t="s">
        <v>132</v>
      </c>
      <c r="M463" s="1" t="s">
        <v>9566</v>
      </c>
      <c r="N463" s="1" t="s">
        <v>132</v>
      </c>
      <c r="O463" s="1" t="s">
        <v>132</v>
      </c>
      <c r="P463" s="1" t="s">
        <v>9564</v>
      </c>
      <c r="Q463" s="1" t="s">
        <v>132</v>
      </c>
      <c r="R463" s="1" t="s">
        <v>132</v>
      </c>
      <c r="S463" s="1" t="s">
        <v>132</v>
      </c>
      <c r="T463" s="1" t="s">
        <v>132</v>
      </c>
      <c r="U463" s="1" t="s">
        <v>132</v>
      </c>
      <c r="V463" s="1" t="s">
        <v>132</v>
      </c>
      <c r="W463" s="1" t="s">
        <v>132</v>
      </c>
      <c r="X463" s="1" t="s">
        <v>132</v>
      </c>
      <c r="Y463" s="1" t="s">
        <v>132</v>
      </c>
      <c r="Z463" s="1" t="s">
        <v>132</v>
      </c>
      <c r="AA463" s="1" t="s">
        <v>132</v>
      </c>
      <c r="AB463" s="1" t="s">
        <v>132</v>
      </c>
      <c r="AC463" s="1" t="s">
        <v>9567</v>
      </c>
      <c r="AD463" s="1" t="s">
        <v>132</v>
      </c>
      <c r="AE463" s="1" t="s">
        <v>132</v>
      </c>
      <c r="AF463" s="1" t="s">
        <v>9565</v>
      </c>
      <c r="AG463" s="1" t="s">
        <v>132</v>
      </c>
      <c r="AH463" s="1" t="s">
        <v>132</v>
      </c>
      <c r="AI463" s="1" t="s">
        <v>132</v>
      </c>
      <c r="AJ463" s="1" t="s">
        <v>132</v>
      </c>
      <c r="AK463" s="1" t="s">
        <v>132</v>
      </c>
      <c r="AL463" s="1" t="s">
        <v>132</v>
      </c>
      <c r="AM463" s="1" t="s">
        <v>132</v>
      </c>
      <c r="AN463" s="1" t="s">
        <v>132</v>
      </c>
    </row>
    <row r="464" ht="15.75" customHeight="1">
      <c r="A464" s="1" t="s">
        <v>38</v>
      </c>
      <c r="B464" s="1" t="s">
        <v>9568</v>
      </c>
      <c r="C464" s="1" t="s">
        <v>9569</v>
      </c>
      <c r="D464" s="8" t="s">
        <v>9570</v>
      </c>
      <c r="E464" s="1" t="s">
        <v>9571</v>
      </c>
      <c r="F464" s="1" t="s">
        <v>9572</v>
      </c>
      <c r="G464" s="1" t="s">
        <v>132</v>
      </c>
      <c r="H464" s="1" t="s">
        <v>132</v>
      </c>
      <c r="I464" s="1" t="s">
        <v>9573</v>
      </c>
      <c r="J464" s="1" t="s">
        <v>132</v>
      </c>
      <c r="K464" s="1" t="s">
        <v>9574</v>
      </c>
      <c r="L464" s="1" t="s">
        <v>132</v>
      </c>
      <c r="M464" s="1" t="s">
        <v>9575</v>
      </c>
      <c r="N464" s="1" t="s">
        <v>9576</v>
      </c>
      <c r="O464" s="1" t="s">
        <v>132</v>
      </c>
      <c r="P464" s="1" t="s">
        <v>9577</v>
      </c>
      <c r="Q464" s="1" t="s">
        <v>9578</v>
      </c>
      <c r="R464" s="1" t="s">
        <v>132</v>
      </c>
      <c r="S464" s="1" t="s">
        <v>9579</v>
      </c>
      <c r="T464" s="1" t="s">
        <v>132</v>
      </c>
      <c r="U464" s="1" t="s">
        <v>9580</v>
      </c>
      <c r="V464" s="1" t="s">
        <v>9581</v>
      </c>
      <c r="W464" s="1" t="s">
        <v>132</v>
      </c>
      <c r="X464" s="1" t="s">
        <v>9582</v>
      </c>
      <c r="Y464" s="1" t="s">
        <v>132</v>
      </c>
      <c r="Z464" s="1" t="s">
        <v>9583</v>
      </c>
      <c r="AA464" s="1" t="s">
        <v>9584</v>
      </c>
      <c r="AB464" s="1" t="s">
        <v>132</v>
      </c>
      <c r="AC464" s="1" t="s">
        <v>9585</v>
      </c>
      <c r="AD464" s="1" t="s">
        <v>9586</v>
      </c>
      <c r="AE464" s="1" t="s">
        <v>132</v>
      </c>
      <c r="AF464" s="1" t="s">
        <v>9587</v>
      </c>
      <c r="AG464" s="1" t="s">
        <v>9588</v>
      </c>
      <c r="AH464" s="1" t="s">
        <v>132</v>
      </c>
      <c r="AI464" s="1" t="s">
        <v>132</v>
      </c>
      <c r="AJ464" s="1" t="s">
        <v>9589</v>
      </c>
      <c r="AK464" s="1" t="s">
        <v>9590</v>
      </c>
      <c r="AL464" s="1" t="s">
        <v>132</v>
      </c>
      <c r="AM464" s="1" t="s">
        <v>9591</v>
      </c>
      <c r="AN464" s="1" t="s">
        <v>9591</v>
      </c>
    </row>
    <row r="465" ht="15.75" customHeight="1">
      <c r="A465" s="1" t="s">
        <v>38</v>
      </c>
      <c r="B465" s="1" t="s">
        <v>9592</v>
      </c>
      <c r="C465" s="1" t="s">
        <v>9593</v>
      </c>
      <c r="D465" s="1" t="s">
        <v>132</v>
      </c>
      <c r="E465" s="1" t="s">
        <v>132</v>
      </c>
      <c r="F465" s="1" t="s">
        <v>132</v>
      </c>
      <c r="G465" s="1" t="s">
        <v>132</v>
      </c>
      <c r="H465" s="1" t="s">
        <v>132</v>
      </c>
      <c r="I465" s="1" t="s">
        <v>9594</v>
      </c>
      <c r="J465" s="1" t="s">
        <v>132</v>
      </c>
      <c r="K465" s="1" t="s">
        <v>9593</v>
      </c>
      <c r="L465" s="1" t="s">
        <v>132</v>
      </c>
      <c r="M465" s="1" t="s">
        <v>9595</v>
      </c>
      <c r="N465" s="1" t="s">
        <v>132</v>
      </c>
      <c r="O465" s="1" t="s">
        <v>132</v>
      </c>
      <c r="P465" s="1" t="s">
        <v>9593</v>
      </c>
      <c r="Q465" s="1" t="s">
        <v>132</v>
      </c>
      <c r="R465" s="1" t="s">
        <v>132</v>
      </c>
      <c r="S465" s="1" t="s">
        <v>132</v>
      </c>
      <c r="T465" s="1" t="s">
        <v>132</v>
      </c>
      <c r="U465" s="1" t="s">
        <v>132</v>
      </c>
      <c r="V465" s="1" t="s">
        <v>132</v>
      </c>
      <c r="W465" s="1" t="s">
        <v>132</v>
      </c>
      <c r="X465" s="1" t="s">
        <v>132</v>
      </c>
      <c r="Y465" s="1" t="s">
        <v>132</v>
      </c>
      <c r="Z465" s="1" t="s">
        <v>132</v>
      </c>
      <c r="AA465" s="1" t="s">
        <v>132</v>
      </c>
      <c r="AB465" s="1" t="s">
        <v>132</v>
      </c>
      <c r="AC465" s="1" t="s">
        <v>9596</v>
      </c>
      <c r="AD465" s="1" t="s">
        <v>132</v>
      </c>
      <c r="AE465" s="1" t="s">
        <v>132</v>
      </c>
      <c r="AF465" s="1" t="s">
        <v>9593</v>
      </c>
      <c r="AG465" s="1" t="s">
        <v>132</v>
      </c>
      <c r="AH465" s="1" t="s">
        <v>132</v>
      </c>
      <c r="AI465" s="1" t="s">
        <v>132</v>
      </c>
      <c r="AJ465" s="1" t="s">
        <v>132</v>
      </c>
      <c r="AK465" s="1" t="s">
        <v>132</v>
      </c>
      <c r="AL465" s="1" t="s">
        <v>132</v>
      </c>
      <c r="AM465" s="1" t="s">
        <v>132</v>
      </c>
      <c r="AN465" s="1" t="s">
        <v>132</v>
      </c>
    </row>
    <row r="466" ht="15.75" customHeight="1">
      <c r="A466" s="1" t="s">
        <v>127</v>
      </c>
      <c r="B466" s="1" t="s">
        <v>9597</v>
      </c>
      <c r="C466" s="1" t="s">
        <v>9555</v>
      </c>
      <c r="D466" s="8" t="s">
        <v>9598</v>
      </c>
      <c r="E466" s="1" t="s">
        <v>9555</v>
      </c>
      <c r="F466" s="1" t="s">
        <v>132</v>
      </c>
      <c r="G466" s="1" t="s">
        <v>9555</v>
      </c>
      <c r="H466" s="1" t="s">
        <v>9555</v>
      </c>
      <c r="I466" s="1" t="s">
        <v>9555</v>
      </c>
      <c r="J466" s="1" t="s">
        <v>9555</v>
      </c>
      <c r="K466" s="1" t="s">
        <v>9555</v>
      </c>
      <c r="L466" s="1" t="s">
        <v>9555</v>
      </c>
      <c r="M466" s="1" t="s">
        <v>9555</v>
      </c>
      <c r="N466" s="1" t="s">
        <v>132</v>
      </c>
      <c r="O466" s="1" t="s">
        <v>9599</v>
      </c>
      <c r="P466" s="1" t="s">
        <v>9555</v>
      </c>
      <c r="Q466" s="1" t="s">
        <v>132</v>
      </c>
      <c r="R466" s="1" t="s">
        <v>9555</v>
      </c>
      <c r="S466" s="1" t="s">
        <v>9555</v>
      </c>
      <c r="T466" s="8" t="s">
        <v>9600</v>
      </c>
      <c r="U466" s="1" t="s">
        <v>9555</v>
      </c>
      <c r="V466" s="1" t="s">
        <v>9555</v>
      </c>
      <c r="W466" s="1" t="s">
        <v>9555</v>
      </c>
      <c r="X466" s="1" t="s">
        <v>9555</v>
      </c>
      <c r="Y466" s="1" t="s">
        <v>9555</v>
      </c>
      <c r="Z466" s="1" t="s">
        <v>9555</v>
      </c>
      <c r="AA466" s="1" t="s">
        <v>9555</v>
      </c>
      <c r="AB466" s="1" t="s">
        <v>9555</v>
      </c>
      <c r="AC466" s="1" t="s">
        <v>9601</v>
      </c>
      <c r="AD466" s="1" t="s">
        <v>9555</v>
      </c>
      <c r="AE466" s="1" t="s">
        <v>9555</v>
      </c>
      <c r="AF466" s="1" t="s">
        <v>9555</v>
      </c>
      <c r="AG466" s="1" t="s">
        <v>9555</v>
      </c>
      <c r="AH466" s="1" t="s">
        <v>9555</v>
      </c>
      <c r="AI466" s="1" t="s">
        <v>9555</v>
      </c>
      <c r="AJ466" s="1" t="s">
        <v>132</v>
      </c>
      <c r="AK466" s="1" t="s">
        <v>9555</v>
      </c>
      <c r="AL466" s="1" t="s">
        <v>9602</v>
      </c>
      <c r="AM466" s="1" t="s">
        <v>9603</v>
      </c>
      <c r="AN466" s="1" t="s">
        <v>9603</v>
      </c>
    </row>
    <row r="467" ht="15.75" customHeight="1">
      <c r="A467" s="1" t="s">
        <v>127</v>
      </c>
      <c r="B467" s="1" t="s">
        <v>9604</v>
      </c>
      <c r="C467" s="1" t="s">
        <v>9605</v>
      </c>
      <c r="D467" s="8" t="s">
        <v>9606</v>
      </c>
      <c r="E467" s="1" t="s">
        <v>9607</v>
      </c>
      <c r="F467" s="1" t="s">
        <v>132</v>
      </c>
      <c r="G467" s="1" t="s">
        <v>9608</v>
      </c>
      <c r="H467" s="1" t="s">
        <v>9609</v>
      </c>
      <c r="I467" s="1" t="s">
        <v>9610</v>
      </c>
      <c r="J467" s="1" t="s">
        <v>9611</v>
      </c>
      <c r="K467" s="1" t="s">
        <v>9612</v>
      </c>
      <c r="L467" s="1" t="s">
        <v>9613</v>
      </c>
      <c r="M467" s="1" t="s">
        <v>9614</v>
      </c>
      <c r="N467" s="1" t="s">
        <v>132</v>
      </c>
      <c r="O467" s="1" t="s">
        <v>9615</v>
      </c>
      <c r="P467" s="1" t="s">
        <v>9616</v>
      </c>
      <c r="Q467" s="1" t="s">
        <v>132</v>
      </c>
      <c r="R467" s="1" t="s">
        <v>9617</v>
      </c>
      <c r="S467" s="1" t="s">
        <v>9618</v>
      </c>
      <c r="T467" s="8" t="s">
        <v>9619</v>
      </c>
      <c r="U467" s="1" t="s">
        <v>9620</v>
      </c>
      <c r="V467" s="1" t="s">
        <v>9621</v>
      </c>
      <c r="W467" s="1" t="s">
        <v>9622</v>
      </c>
      <c r="X467" s="1" t="s">
        <v>9623</v>
      </c>
      <c r="Y467" s="1" t="s">
        <v>9624</v>
      </c>
      <c r="Z467" s="1" t="s">
        <v>9625</v>
      </c>
      <c r="AA467" s="1" t="s">
        <v>9626</v>
      </c>
      <c r="AB467" s="1" t="s">
        <v>9627</v>
      </c>
      <c r="AC467" s="1" t="s">
        <v>9628</v>
      </c>
      <c r="AD467" s="1" t="s">
        <v>9629</v>
      </c>
      <c r="AE467" s="1" t="s">
        <v>9630</v>
      </c>
      <c r="AF467" s="1" t="s">
        <v>9631</v>
      </c>
      <c r="AG467" s="1" t="s">
        <v>9632</v>
      </c>
      <c r="AH467" s="1" t="s">
        <v>9633</v>
      </c>
      <c r="AI467" s="1" t="s">
        <v>9634</v>
      </c>
      <c r="AJ467" s="1" t="s">
        <v>132</v>
      </c>
      <c r="AK467" s="1" t="s">
        <v>9635</v>
      </c>
      <c r="AL467" s="1" t="s">
        <v>9636</v>
      </c>
      <c r="AM467" s="1" t="s">
        <v>132</v>
      </c>
      <c r="AN467" s="1" t="s">
        <v>132</v>
      </c>
    </row>
    <row r="468" ht="15.75" customHeight="1">
      <c r="A468" s="1" t="s">
        <v>38</v>
      </c>
      <c r="B468" s="1" t="s">
        <v>9637</v>
      </c>
      <c r="C468" s="1" t="s">
        <v>9638</v>
      </c>
      <c r="D468" s="1" t="s">
        <v>132</v>
      </c>
      <c r="E468" s="1" t="s">
        <v>9639</v>
      </c>
      <c r="F468" s="1" t="s">
        <v>9640</v>
      </c>
      <c r="G468" s="1" t="s">
        <v>132</v>
      </c>
      <c r="H468" s="1" t="s">
        <v>132</v>
      </c>
      <c r="I468" s="1" t="s">
        <v>9641</v>
      </c>
      <c r="J468" s="1" t="s">
        <v>132</v>
      </c>
      <c r="K468" s="1" t="s">
        <v>9642</v>
      </c>
      <c r="L468" s="1" t="s">
        <v>132</v>
      </c>
      <c r="M468" s="1" t="s">
        <v>9643</v>
      </c>
      <c r="N468" s="1" t="s">
        <v>9644</v>
      </c>
      <c r="O468" s="1" t="s">
        <v>132</v>
      </c>
      <c r="P468" s="1" t="s">
        <v>9645</v>
      </c>
      <c r="Q468" s="1" t="s">
        <v>132</v>
      </c>
      <c r="R468" s="1" t="s">
        <v>132</v>
      </c>
      <c r="S468" s="1" t="s">
        <v>9646</v>
      </c>
      <c r="T468" s="1" t="s">
        <v>132</v>
      </c>
      <c r="U468" s="1" t="s">
        <v>9647</v>
      </c>
      <c r="V468" s="1" t="s">
        <v>9648</v>
      </c>
      <c r="W468" s="1" t="s">
        <v>132</v>
      </c>
      <c r="X468" s="1" t="s">
        <v>9649</v>
      </c>
      <c r="Y468" s="1" t="s">
        <v>132</v>
      </c>
      <c r="Z468" s="1" t="s">
        <v>9650</v>
      </c>
      <c r="AA468" s="1" t="s">
        <v>132</v>
      </c>
      <c r="AB468" s="1" t="s">
        <v>132</v>
      </c>
      <c r="AC468" s="1" t="s">
        <v>9651</v>
      </c>
      <c r="AD468" s="1" t="s">
        <v>132</v>
      </c>
      <c r="AE468" s="1" t="s">
        <v>132</v>
      </c>
      <c r="AF468" s="1" t="s">
        <v>9652</v>
      </c>
      <c r="AG468" s="1" t="s">
        <v>9653</v>
      </c>
      <c r="AH468" s="1" t="s">
        <v>132</v>
      </c>
      <c r="AI468" s="1" t="s">
        <v>132</v>
      </c>
      <c r="AJ468" s="1" t="s">
        <v>9654</v>
      </c>
      <c r="AK468" s="1" t="s">
        <v>132</v>
      </c>
      <c r="AL468" s="1" t="s">
        <v>132</v>
      </c>
      <c r="AM468" s="1" t="s">
        <v>9655</v>
      </c>
      <c r="AN468" s="1" t="s">
        <v>9655</v>
      </c>
    </row>
    <row r="469" ht="15.75" customHeight="1">
      <c r="A469" s="1" t="s">
        <v>38</v>
      </c>
      <c r="B469" s="1" t="s">
        <v>9656</v>
      </c>
      <c r="C469" s="1" t="s">
        <v>9657</v>
      </c>
      <c r="D469" s="1" t="s">
        <v>132</v>
      </c>
      <c r="E469" s="1" t="s">
        <v>9658</v>
      </c>
      <c r="F469" s="1" t="s">
        <v>9659</v>
      </c>
      <c r="G469" s="1" t="s">
        <v>132</v>
      </c>
      <c r="H469" s="1" t="s">
        <v>132</v>
      </c>
      <c r="I469" s="1" t="s">
        <v>9660</v>
      </c>
      <c r="J469" s="1" t="s">
        <v>132</v>
      </c>
      <c r="K469" s="1" t="s">
        <v>9661</v>
      </c>
      <c r="L469" s="1" t="s">
        <v>132</v>
      </c>
      <c r="M469" s="1" t="s">
        <v>9662</v>
      </c>
      <c r="N469" s="1" t="s">
        <v>9663</v>
      </c>
      <c r="O469" s="1" t="s">
        <v>132</v>
      </c>
      <c r="P469" s="1" t="s">
        <v>9664</v>
      </c>
      <c r="Q469" s="1" t="s">
        <v>132</v>
      </c>
      <c r="R469" s="1" t="s">
        <v>132</v>
      </c>
      <c r="S469" s="1" t="s">
        <v>9665</v>
      </c>
      <c r="T469" s="1" t="s">
        <v>132</v>
      </c>
      <c r="U469" s="1" t="s">
        <v>9666</v>
      </c>
      <c r="V469" s="1" t="s">
        <v>132</v>
      </c>
      <c r="W469" s="1" t="s">
        <v>132</v>
      </c>
      <c r="X469" s="1" t="s">
        <v>9667</v>
      </c>
      <c r="Y469" s="1" t="s">
        <v>132</v>
      </c>
      <c r="Z469" s="1" t="s">
        <v>9668</v>
      </c>
      <c r="AA469" s="1" t="s">
        <v>132</v>
      </c>
      <c r="AB469" s="1" t="s">
        <v>132</v>
      </c>
      <c r="AC469" s="1" t="s">
        <v>132</v>
      </c>
      <c r="AD469" s="1" t="s">
        <v>132</v>
      </c>
      <c r="AE469" s="1" t="s">
        <v>132</v>
      </c>
      <c r="AF469" s="1" t="s">
        <v>9669</v>
      </c>
      <c r="AG469" s="1" t="s">
        <v>132</v>
      </c>
      <c r="AH469" s="1" t="s">
        <v>132</v>
      </c>
      <c r="AI469" s="1" t="s">
        <v>132</v>
      </c>
      <c r="AJ469" s="1" t="s">
        <v>132</v>
      </c>
      <c r="AK469" s="1" t="s">
        <v>132</v>
      </c>
      <c r="AL469" s="1" t="s">
        <v>132</v>
      </c>
      <c r="AM469" s="1" t="s">
        <v>132</v>
      </c>
      <c r="AN469" s="1" t="s">
        <v>132</v>
      </c>
    </row>
    <row r="470" ht="15.75" customHeight="1">
      <c r="A470" s="1" t="s">
        <v>38</v>
      </c>
      <c r="B470" s="1" t="s">
        <v>9670</v>
      </c>
      <c r="C470" s="1" t="s">
        <v>9671</v>
      </c>
      <c r="D470" s="8" t="s">
        <v>9672</v>
      </c>
      <c r="E470" s="1" t="s">
        <v>9673</v>
      </c>
      <c r="F470" s="1" t="s">
        <v>9674</v>
      </c>
      <c r="G470" s="1" t="s">
        <v>132</v>
      </c>
      <c r="H470" s="1" t="s">
        <v>132</v>
      </c>
      <c r="I470" s="1" t="s">
        <v>9675</v>
      </c>
      <c r="J470" s="1" t="s">
        <v>132</v>
      </c>
      <c r="K470" s="1" t="s">
        <v>9676</v>
      </c>
      <c r="L470" s="1" t="s">
        <v>132</v>
      </c>
      <c r="M470" s="1" t="s">
        <v>9677</v>
      </c>
      <c r="N470" s="1" t="s">
        <v>9678</v>
      </c>
      <c r="O470" s="1" t="s">
        <v>132</v>
      </c>
      <c r="P470" s="1" t="s">
        <v>9679</v>
      </c>
      <c r="Q470" s="1" t="s">
        <v>9680</v>
      </c>
      <c r="R470" s="1" t="s">
        <v>132</v>
      </c>
      <c r="S470" s="1" t="s">
        <v>9681</v>
      </c>
      <c r="T470" s="1" t="s">
        <v>132</v>
      </c>
      <c r="U470" s="1" t="s">
        <v>9682</v>
      </c>
      <c r="V470" s="1" t="s">
        <v>9683</v>
      </c>
      <c r="W470" s="1" t="s">
        <v>132</v>
      </c>
      <c r="X470" s="1" t="s">
        <v>9684</v>
      </c>
      <c r="Y470" s="1" t="s">
        <v>132</v>
      </c>
      <c r="Z470" s="1" t="s">
        <v>9685</v>
      </c>
      <c r="AA470" s="1" t="s">
        <v>9686</v>
      </c>
      <c r="AB470" s="1" t="s">
        <v>132</v>
      </c>
      <c r="AC470" s="1" t="s">
        <v>9687</v>
      </c>
      <c r="AD470" s="1" t="s">
        <v>9688</v>
      </c>
      <c r="AE470" s="1" t="s">
        <v>132</v>
      </c>
      <c r="AF470" s="1" t="s">
        <v>9689</v>
      </c>
      <c r="AG470" s="1" t="s">
        <v>9690</v>
      </c>
      <c r="AH470" s="1" t="s">
        <v>132</v>
      </c>
      <c r="AI470" s="1" t="s">
        <v>132</v>
      </c>
      <c r="AJ470" s="1" t="s">
        <v>9691</v>
      </c>
      <c r="AK470" s="1" t="s">
        <v>9692</v>
      </c>
      <c r="AL470" s="1" t="s">
        <v>132</v>
      </c>
      <c r="AM470" s="1" t="s">
        <v>9693</v>
      </c>
      <c r="AN470" s="1" t="s">
        <v>9693</v>
      </c>
    </row>
    <row r="471" ht="15.75" customHeight="1">
      <c r="A471" s="1" t="s">
        <v>127</v>
      </c>
      <c r="B471" s="1" t="s">
        <v>9694</v>
      </c>
      <c r="C471" s="1" t="s">
        <v>9695</v>
      </c>
      <c r="D471" s="8" t="s">
        <v>9696</v>
      </c>
      <c r="E471" s="1" t="s">
        <v>9697</v>
      </c>
      <c r="F471" s="1" t="s">
        <v>132</v>
      </c>
      <c r="G471" s="1" t="s">
        <v>9698</v>
      </c>
      <c r="H471" s="1" t="s">
        <v>9699</v>
      </c>
      <c r="I471" s="1" t="s">
        <v>9700</v>
      </c>
      <c r="J471" s="1" t="s">
        <v>9701</v>
      </c>
      <c r="K471" s="1" t="s">
        <v>9702</v>
      </c>
      <c r="L471" s="1" t="s">
        <v>9703</v>
      </c>
      <c r="M471" s="1" t="s">
        <v>9704</v>
      </c>
      <c r="N471" s="1" t="s">
        <v>132</v>
      </c>
      <c r="O471" s="1" t="s">
        <v>9705</v>
      </c>
      <c r="P471" s="1" t="s">
        <v>9706</v>
      </c>
      <c r="Q471" s="1" t="s">
        <v>132</v>
      </c>
      <c r="R471" s="1" t="s">
        <v>9707</v>
      </c>
      <c r="S471" s="1" t="s">
        <v>9708</v>
      </c>
      <c r="T471" s="8" t="s">
        <v>9709</v>
      </c>
      <c r="U471" s="1" t="s">
        <v>9710</v>
      </c>
      <c r="V471" s="1" t="s">
        <v>9711</v>
      </c>
      <c r="W471" s="1" t="s">
        <v>9712</v>
      </c>
      <c r="X471" s="1" t="s">
        <v>9713</v>
      </c>
      <c r="Y471" s="1" t="s">
        <v>9714</v>
      </c>
      <c r="Z471" s="1" t="s">
        <v>9715</v>
      </c>
      <c r="AA471" s="1" t="s">
        <v>9716</v>
      </c>
      <c r="AB471" s="1" t="s">
        <v>9717</v>
      </c>
      <c r="AC471" s="1" t="s">
        <v>9718</v>
      </c>
      <c r="AD471" s="1" t="s">
        <v>9719</v>
      </c>
      <c r="AE471" s="1" t="s">
        <v>9720</v>
      </c>
      <c r="AF471" s="1" t="s">
        <v>9721</v>
      </c>
      <c r="AG471" s="1" t="s">
        <v>9722</v>
      </c>
      <c r="AH471" s="1" t="s">
        <v>9723</v>
      </c>
      <c r="AI471" s="1" t="s">
        <v>9724</v>
      </c>
      <c r="AJ471" s="1" t="s">
        <v>132</v>
      </c>
      <c r="AK471" s="1" t="s">
        <v>9725</v>
      </c>
      <c r="AL471" s="1" t="s">
        <v>9726</v>
      </c>
      <c r="AM471" s="1" t="s">
        <v>9727</v>
      </c>
      <c r="AN471" s="1" t="s">
        <v>9727</v>
      </c>
    </row>
    <row r="472" ht="15.75" customHeight="1">
      <c r="A472" s="1" t="s">
        <v>127</v>
      </c>
      <c r="B472" s="1" t="s">
        <v>9728</v>
      </c>
      <c r="C472" s="1" t="s">
        <v>9729</v>
      </c>
      <c r="D472" s="8" t="s">
        <v>9730</v>
      </c>
      <c r="E472" s="1" t="s">
        <v>9731</v>
      </c>
      <c r="F472" s="1" t="s">
        <v>132</v>
      </c>
      <c r="G472" s="1" t="s">
        <v>9732</v>
      </c>
      <c r="H472" s="1" t="s">
        <v>9733</v>
      </c>
      <c r="I472" s="1" t="s">
        <v>9734</v>
      </c>
      <c r="J472" s="1" t="s">
        <v>9735</v>
      </c>
      <c r="K472" s="1" t="s">
        <v>9736</v>
      </c>
      <c r="L472" s="1" t="s">
        <v>9737</v>
      </c>
      <c r="M472" s="1" t="s">
        <v>9738</v>
      </c>
      <c r="N472" s="1" t="s">
        <v>132</v>
      </c>
      <c r="O472" s="1" t="s">
        <v>9739</v>
      </c>
      <c r="P472" s="1" t="s">
        <v>9740</v>
      </c>
      <c r="Q472" s="1" t="s">
        <v>132</v>
      </c>
      <c r="R472" s="1" t="s">
        <v>9741</v>
      </c>
      <c r="S472" s="1" t="s">
        <v>9742</v>
      </c>
      <c r="T472" s="8" t="s">
        <v>9743</v>
      </c>
      <c r="U472" s="1" t="s">
        <v>9744</v>
      </c>
      <c r="V472" s="1" t="s">
        <v>9745</v>
      </c>
      <c r="W472" s="1" t="s">
        <v>9746</v>
      </c>
      <c r="X472" s="1" t="s">
        <v>9747</v>
      </c>
      <c r="Y472" s="1" t="s">
        <v>9748</v>
      </c>
      <c r="Z472" s="1" t="s">
        <v>9749</v>
      </c>
      <c r="AA472" s="1" t="s">
        <v>9750</v>
      </c>
      <c r="AB472" s="1" t="s">
        <v>9751</v>
      </c>
      <c r="AC472" s="1" t="s">
        <v>9752</v>
      </c>
      <c r="AD472" s="1" t="s">
        <v>9753</v>
      </c>
      <c r="AE472" s="1" t="s">
        <v>9754</v>
      </c>
      <c r="AF472" s="1" t="s">
        <v>9755</v>
      </c>
      <c r="AG472" s="1" t="s">
        <v>9756</v>
      </c>
      <c r="AH472" s="1" t="s">
        <v>9757</v>
      </c>
      <c r="AI472" s="1" t="s">
        <v>9758</v>
      </c>
      <c r="AJ472" s="1" t="s">
        <v>132</v>
      </c>
      <c r="AK472" s="1" t="s">
        <v>9759</v>
      </c>
      <c r="AL472" s="1" t="s">
        <v>9760</v>
      </c>
      <c r="AM472" s="1" t="s">
        <v>9761</v>
      </c>
      <c r="AN472" s="1" t="s">
        <v>9761</v>
      </c>
    </row>
    <row r="473" ht="15.75" customHeight="1">
      <c r="A473" s="1" t="s">
        <v>38</v>
      </c>
      <c r="B473" s="1" t="s">
        <v>9762</v>
      </c>
      <c r="C473" s="1" t="s">
        <v>9763</v>
      </c>
      <c r="D473" s="8" t="s">
        <v>9764</v>
      </c>
      <c r="E473" s="1" t="s">
        <v>9765</v>
      </c>
      <c r="F473" s="1" t="s">
        <v>9766</v>
      </c>
      <c r="G473" s="1" t="s">
        <v>132</v>
      </c>
      <c r="H473" s="1" t="s">
        <v>132</v>
      </c>
      <c r="I473" s="1" t="s">
        <v>9767</v>
      </c>
      <c r="J473" s="1" t="s">
        <v>132</v>
      </c>
      <c r="K473" s="1" t="s">
        <v>9768</v>
      </c>
      <c r="L473" s="1" t="s">
        <v>132</v>
      </c>
      <c r="M473" s="1" t="s">
        <v>9769</v>
      </c>
      <c r="N473" s="1" t="s">
        <v>9770</v>
      </c>
      <c r="O473" s="1" t="s">
        <v>132</v>
      </c>
      <c r="P473" s="1" t="s">
        <v>9771</v>
      </c>
      <c r="Q473" s="1" t="s">
        <v>132</v>
      </c>
      <c r="R473" s="1" t="s">
        <v>132</v>
      </c>
      <c r="S473" s="1" t="s">
        <v>9772</v>
      </c>
      <c r="T473" s="1" t="s">
        <v>132</v>
      </c>
      <c r="U473" s="1" t="s">
        <v>9773</v>
      </c>
      <c r="V473" s="1" t="s">
        <v>9774</v>
      </c>
      <c r="W473" s="1" t="s">
        <v>132</v>
      </c>
      <c r="X473" s="1" t="s">
        <v>9775</v>
      </c>
      <c r="Y473" s="1" t="s">
        <v>132</v>
      </c>
      <c r="Z473" s="1" t="s">
        <v>9776</v>
      </c>
      <c r="AA473" s="1" t="s">
        <v>132</v>
      </c>
      <c r="AB473" s="1" t="s">
        <v>132</v>
      </c>
      <c r="AC473" s="1" t="s">
        <v>9777</v>
      </c>
      <c r="AD473" s="1" t="s">
        <v>132</v>
      </c>
      <c r="AE473" s="1" t="s">
        <v>132</v>
      </c>
      <c r="AF473" s="1" t="s">
        <v>9778</v>
      </c>
      <c r="AG473" s="1" t="s">
        <v>9779</v>
      </c>
      <c r="AH473" s="1" t="s">
        <v>132</v>
      </c>
      <c r="AI473" s="1" t="s">
        <v>132</v>
      </c>
      <c r="AJ473" s="1" t="s">
        <v>9780</v>
      </c>
      <c r="AK473" s="1" t="s">
        <v>9781</v>
      </c>
      <c r="AL473" s="1" t="s">
        <v>132</v>
      </c>
      <c r="AM473" s="1" t="s">
        <v>9782</v>
      </c>
      <c r="AN473" s="1" t="s">
        <v>9782</v>
      </c>
    </row>
    <row r="474" ht="15.75" customHeight="1">
      <c r="A474" s="1" t="s">
        <v>127</v>
      </c>
      <c r="B474" s="1" t="s">
        <v>9783</v>
      </c>
      <c r="C474" s="1" t="s">
        <v>9784</v>
      </c>
      <c r="D474" s="8" t="s">
        <v>9785</v>
      </c>
      <c r="E474" s="1" t="s">
        <v>9786</v>
      </c>
      <c r="F474" s="1" t="s">
        <v>132</v>
      </c>
      <c r="G474" s="1" t="s">
        <v>9787</v>
      </c>
      <c r="H474" s="1" t="s">
        <v>9784</v>
      </c>
      <c r="I474" s="1" t="s">
        <v>9788</v>
      </c>
      <c r="J474" s="1" t="s">
        <v>9789</v>
      </c>
      <c r="K474" s="1" t="s">
        <v>9784</v>
      </c>
      <c r="L474" s="1" t="s">
        <v>9784</v>
      </c>
      <c r="M474" s="1" t="s">
        <v>9784</v>
      </c>
      <c r="N474" s="1" t="s">
        <v>132</v>
      </c>
      <c r="O474" s="1" t="s">
        <v>9790</v>
      </c>
      <c r="P474" s="1" t="s">
        <v>9791</v>
      </c>
      <c r="Q474" s="1" t="s">
        <v>132</v>
      </c>
      <c r="R474" s="1" t="s">
        <v>9784</v>
      </c>
      <c r="S474" s="1" t="s">
        <v>9792</v>
      </c>
      <c r="T474" s="8" t="s">
        <v>9793</v>
      </c>
      <c r="U474" s="1" t="s">
        <v>9794</v>
      </c>
      <c r="V474" s="1" t="s">
        <v>9795</v>
      </c>
      <c r="W474" s="1" t="s">
        <v>9784</v>
      </c>
      <c r="X474" s="1" t="s">
        <v>9796</v>
      </c>
      <c r="Y474" s="1" t="s">
        <v>9784</v>
      </c>
      <c r="Z474" s="1" t="s">
        <v>9797</v>
      </c>
      <c r="AA474" s="1" t="s">
        <v>9784</v>
      </c>
      <c r="AB474" s="1" t="s">
        <v>9784</v>
      </c>
      <c r="AC474" s="1" t="s">
        <v>9798</v>
      </c>
      <c r="AD474" s="1" t="s">
        <v>9784</v>
      </c>
      <c r="AE474" s="1" t="s">
        <v>9784</v>
      </c>
      <c r="AF474" s="1" t="s">
        <v>9784</v>
      </c>
      <c r="AG474" s="1" t="s">
        <v>9796</v>
      </c>
      <c r="AH474" s="1" t="s">
        <v>9799</v>
      </c>
      <c r="AI474" s="1" t="s">
        <v>9784</v>
      </c>
      <c r="AJ474" s="1" t="s">
        <v>132</v>
      </c>
      <c r="AK474" s="1" t="s">
        <v>9800</v>
      </c>
      <c r="AL474" s="1" t="s">
        <v>9801</v>
      </c>
      <c r="AM474" s="1" t="s">
        <v>132</v>
      </c>
      <c r="AN474" s="1" t="s">
        <v>132</v>
      </c>
    </row>
    <row r="475" ht="15.75" customHeight="1">
      <c r="A475" s="1" t="s">
        <v>38</v>
      </c>
      <c r="B475" s="1" t="s">
        <v>9802</v>
      </c>
      <c r="C475" s="1" t="s">
        <v>9803</v>
      </c>
      <c r="D475" s="8" t="s">
        <v>9804</v>
      </c>
      <c r="E475" s="1" t="s">
        <v>9805</v>
      </c>
      <c r="F475" s="1" t="s">
        <v>9806</v>
      </c>
      <c r="G475" s="1" t="s">
        <v>132</v>
      </c>
      <c r="H475" s="1" t="s">
        <v>132</v>
      </c>
      <c r="I475" s="1" t="s">
        <v>9807</v>
      </c>
      <c r="J475" s="1" t="s">
        <v>132</v>
      </c>
      <c r="K475" s="1" t="s">
        <v>9808</v>
      </c>
      <c r="L475" s="1" t="s">
        <v>132</v>
      </c>
      <c r="M475" s="1" t="s">
        <v>9809</v>
      </c>
      <c r="N475" s="1" t="s">
        <v>9810</v>
      </c>
      <c r="O475" s="1" t="s">
        <v>132</v>
      </c>
      <c r="P475" s="1" t="s">
        <v>9811</v>
      </c>
      <c r="Q475" s="1" t="s">
        <v>9812</v>
      </c>
      <c r="R475" s="1" t="s">
        <v>132</v>
      </c>
      <c r="S475" s="1" t="s">
        <v>9813</v>
      </c>
      <c r="T475" s="1" t="s">
        <v>132</v>
      </c>
      <c r="U475" s="1" t="s">
        <v>9814</v>
      </c>
      <c r="V475" s="1" t="s">
        <v>9815</v>
      </c>
      <c r="W475" s="1" t="s">
        <v>132</v>
      </c>
      <c r="X475" s="1" t="s">
        <v>9816</v>
      </c>
      <c r="Y475" s="1" t="s">
        <v>132</v>
      </c>
      <c r="Z475" s="1" t="s">
        <v>9817</v>
      </c>
      <c r="AA475" s="1" t="s">
        <v>9818</v>
      </c>
      <c r="AB475" s="1" t="s">
        <v>132</v>
      </c>
      <c r="AC475" s="1" t="s">
        <v>9819</v>
      </c>
      <c r="AD475" s="1" t="s">
        <v>9820</v>
      </c>
      <c r="AE475" s="1" t="s">
        <v>132</v>
      </c>
      <c r="AF475" s="1" t="s">
        <v>9821</v>
      </c>
      <c r="AG475" s="1" t="s">
        <v>9822</v>
      </c>
      <c r="AH475" s="1" t="s">
        <v>132</v>
      </c>
      <c r="AI475" s="1" t="s">
        <v>132</v>
      </c>
      <c r="AJ475" s="1" t="s">
        <v>9823</v>
      </c>
      <c r="AK475" s="1" t="s">
        <v>9824</v>
      </c>
      <c r="AL475" s="1" t="s">
        <v>132</v>
      </c>
      <c r="AM475" s="1" t="s">
        <v>9825</v>
      </c>
      <c r="AN475" s="1" t="s">
        <v>9825</v>
      </c>
    </row>
    <row r="476" ht="15.75" customHeight="1">
      <c r="A476" s="1" t="s">
        <v>38</v>
      </c>
      <c r="B476" s="1" t="s">
        <v>9826</v>
      </c>
      <c r="C476" s="1" t="s">
        <v>9827</v>
      </c>
      <c r="D476" s="8" t="s">
        <v>9828</v>
      </c>
      <c r="E476" s="1" t="s">
        <v>9829</v>
      </c>
      <c r="F476" s="1" t="s">
        <v>9830</v>
      </c>
      <c r="G476" s="1" t="s">
        <v>132</v>
      </c>
      <c r="H476" s="1" t="s">
        <v>132</v>
      </c>
      <c r="I476" s="1" t="s">
        <v>9831</v>
      </c>
      <c r="J476" s="1" t="s">
        <v>132</v>
      </c>
      <c r="K476" s="1" t="s">
        <v>9832</v>
      </c>
      <c r="L476" s="1" t="s">
        <v>132</v>
      </c>
      <c r="M476" s="1" t="s">
        <v>9833</v>
      </c>
      <c r="N476" s="1" t="s">
        <v>9834</v>
      </c>
      <c r="O476" s="1" t="s">
        <v>132</v>
      </c>
      <c r="P476" s="1" t="s">
        <v>9835</v>
      </c>
      <c r="Q476" s="1" t="s">
        <v>9836</v>
      </c>
      <c r="R476" s="1" t="s">
        <v>132</v>
      </c>
      <c r="S476" s="1" t="s">
        <v>7667</v>
      </c>
      <c r="T476" s="1" t="s">
        <v>132</v>
      </c>
      <c r="U476" s="1" t="s">
        <v>7668</v>
      </c>
      <c r="V476" s="1" t="s">
        <v>9837</v>
      </c>
      <c r="W476" s="1" t="s">
        <v>132</v>
      </c>
      <c r="X476" s="1" t="s">
        <v>9838</v>
      </c>
      <c r="Y476" s="1" t="s">
        <v>132</v>
      </c>
      <c r="Z476" s="1" t="s">
        <v>9839</v>
      </c>
      <c r="AA476" s="1" t="s">
        <v>9840</v>
      </c>
      <c r="AB476" s="1" t="s">
        <v>132</v>
      </c>
      <c r="AC476" s="1" t="s">
        <v>9841</v>
      </c>
      <c r="AD476" s="1" t="s">
        <v>9842</v>
      </c>
      <c r="AE476" s="1" t="s">
        <v>132</v>
      </c>
      <c r="AF476" s="1" t="s">
        <v>9843</v>
      </c>
      <c r="AG476" s="1" t="s">
        <v>9844</v>
      </c>
      <c r="AH476" s="1" t="s">
        <v>132</v>
      </c>
      <c r="AI476" s="1" t="s">
        <v>132</v>
      </c>
      <c r="AJ476" s="1" t="s">
        <v>9845</v>
      </c>
      <c r="AK476" s="1" t="s">
        <v>9846</v>
      </c>
      <c r="AL476" s="1" t="s">
        <v>132</v>
      </c>
      <c r="AM476" s="1" t="s">
        <v>9847</v>
      </c>
      <c r="AN476" s="1" t="s">
        <v>9847</v>
      </c>
    </row>
    <row r="477" ht="15.75" customHeight="1">
      <c r="A477" s="13" t="s">
        <v>127</v>
      </c>
      <c r="B477" s="1" t="s">
        <v>9848</v>
      </c>
      <c r="C477" s="1" t="s">
        <v>9849</v>
      </c>
      <c r="D477" s="1" t="s">
        <v>132</v>
      </c>
      <c r="E477" s="1" t="s">
        <v>132</v>
      </c>
      <c r="F477" s="1" t="s">
        <v>132</v>
      </c>
      <c r="G477" s="1" t="s">
        <v>132</v>
      </c>
      <c r="H477" s="1" t="s">
        <v>9850</v>
      </c>
      <c r="I477" s="1" t="s">
        <v>9851</v>
      </c>
      <c r="J477" s="1" t="s">
        <v>132</v>
      </c>
      <c r="K477" s="1" t="s">
        <v>9852</v>
      </c>
      <c r="L477" s="1" t="s">
        <v>9853</v>
      </c>
      <c r="M477" s="1" t="s">
        <v>9854</v>
      </c>
      <c r="N477" s="1" t="s">
        <v>132</v>
      </c>
      <c r="O477" s="1" t="s">
        <v>132</v>
      </c>
      <c r="P477" s="1" t="s">
        <v>9855</v>
      </c>
      <c r="Q477" s="1" t="s">
        <v>132</v>
      </c>
      <c r="R477" s="1" t="s">
        <v>9855</v>
      </c>
      <c r="S477" s="1" t="s">
        <v>9856</v>
      </c>
      <c r="T477" s="1" t="s">
        <v>132</v>
      </c>
      <c r="U477" s="1" t="s">
        <v>9857</v>
      </c>
      <c r="V477" s="1" t="s">
        <v>9855</v>
      </c>
      <c r="W477" s="1" t="s">
        <v>9858</v>
      </c>
      <c r="X477" s="1" t="s">
        <v>9855</v>
      </c>
      <c r="Y477" s="1" t="s">
        <v>9859</v>
      </c>
      <c r="Z477" s="1" t="s">
        <v>9860</v>
      </c>
      <c r="AA477" s="1" t="s">
        <v>9861</v>
      </c>
      <c r="AB477" s="1" t="s">
        <v>132</v>
      </c>
      <c r="AC477" s="1" t="s">
        <v>9862</v>
      </c>
      <c r="AD477" s="1" t="s">
        <v>132</v>
      </c>
      <c r="AE477" s="1" t="s">
        <v>132</v>
      </c>
      <c r="AF477" s="1" t="s">
        <v>9863</v>
      </c>
      <c r="AG477" s="1" t="s">
        <v>9864</v>
      </c>
      <c r="AH477" s="1" t="s">
        <v>132</v>
      </c>
      <c r="AI477" s="1" t="s">
        <v>9855</v>
      </c>
      <c r="AJ477" s="1" t="s">
        <v>132</v>
      </c>
      <c r="AK477" s="1" t="s">
        <v>132</v>
      </c>
      <c r="AL477" s="1" t="s">
        <v>9865</v>
      </c>
      <c r="AM477" s="1" t="s">
        <v>132</v>
      </c>
      <c r="AN477" s="1" t="s">
        <v>132</v>
      </c>
    </row>
    <row r="478" ht="15.75" customHeight="1">
      <c r="A478" s="1" t="s">
        <v>38</v>
      </c>
      <c r="B478" s="1" t="s">
        <v>9866</v>
      </c>
      <c r="C478" s="1" t="s">
        <v>9867</v>
      </c>
      <c r="D478" s="8" t="s">
        <v>9868</v>
      </c>
      <c r="E478" s="1" t="s">
        <v>9869</v>
      </c>
      <c r="F478" s="1" t="s">
        <v>9870</v>
      </c>
      <c r="G478" s="1" t="s">
        <v>132</v>
      </c>
      <c r="H478" s="1" t="s">
        <v>132</v>
      </c>
      <c r="I478" s="1" t="s">
        <v>9871</v>
      </c>
      <c r="J478" s="1" t="s">
        <v>132</v>
      </c>
      <c r="K478" s="1" t="s">
        <v>9872</v>
      </c>
      <c r="L478" s="1" t="s">
        <v>132</v>
      </c>
      <c r="M478" s="1" t="s">
        <v>9873</v>
      </c>
      <c r="N478" s="1" t="s">
        <v>9872</v>
      </c>
      <c r="O478" s="1" t="s">
        <v>132</v>
      </c>
      <c r="P478" s="1" t="s">
        <v>9874</v>
      </c>
      <c r="Q478" s="1" t="s">
        <v>132</v>
      </c>
      <c r="R478" s="1" t="s">
        <v>132</v>
      </c>
      <c r="S478" s="1" t="s">
        <v>9875</v>
      </c>
      <c r="T478" s="1" t="s">
        <v>132</v>
      </c>
      <c r="U478" s="1" t="s">
        <v>9876</v>
      </c>
      <c r="V478" s="1" t="s">
        <v>9877</v>
      </c>
      <c r="W478" s="1" t="s">
        <v>132</v>
      </c>
      <c r="X478" s="1" t="s">
        <v>9878</v>
      </c>
      <c r="Y478" s="1" t="s">
        <v>132</v>
      </c>
      <c r="Z478" s="1" t="s">
        <v>9879</v>
      </c>
      <c r="AA478" s="1" t="s">
        <v>9880</v>
      </c>
      <c r="AB478" s="1" t="s">
        <v>132</v>
      </c>
      <c r="AC478" s="1" t="s">
        <v>9881</v>
      </c>
      <c r="AD478" s="1" t="s">
        <v>132</v>
      </c>
      <c r="AE478" s="1" t="s">
        <v>132</v>
      </c>
      <c r="AF478" s="1" t="s">
        <v>9882</v>
      </c>
      <c r="AG478" s="1" t="s">
        <v>9883</v>
      </c>
      <c r="AH478" s="1" t="s">
        <v>132</v>
      </c>
      <c r="AI478" s="1" t="s">
        <v>132</v>
      </c>
      <c r="AJ478" s="1" t="s">
        <v>9884</v>
      </c>
      <c r="AK478" s="1" t="s">
        <v>9885</v>
      </c>
      <c r="AL478" s="1" t="s">
        <v>132</v>
      </c>
      <c r="AM478" s="1" t="s">
        <v>5244</v>
      </c>
      <c r="AN478" s="1" t="s">
        <v>5244</v>
      </c>
    </row>
    <row r="479" ht="15.75" customHeight="1">
      <c r="A479" s="1" t="s">
        <v>127</v>
      </c>
      <c r="B479" s="1" t="s">
        <v>9886</v>
      </c>
      <c r="C479" s="1" t="s">
        <v>9887</v>
      </c>
      <c r="D479" s="8" t="s">
        <v>9888</v>
      </c>
      <c r="E479" s="1" t="s">
        <v>9889</v>
      </c>
      <c r="F479" s="1" t="s">
        <v>132</v>
      </c>
      <c r="G479" s="1" t="s">
        <v>9890</v>
      </c>
      <c r="H479" s="1" t="s">
        <v>9891</v>
      </c>
      <c r="I479" s="1" t="s">
        <v>9892</v>
      </c>
      <c r="J479" s="1" t="s">
        <v>9893</v>
      </c>
      <c r="K479" s="1" t="s">
        <v>9894</v>
      </c>
      <c r="L479" s="1" t="s">
        <v>9895</v>
      </c>
      <c r="M479" s="1" t="s">
        <v>9896</v>
      </c>
      <c r="N479" s="1" t="s">
        <v>132</v>
      </c>
      <c r="O479" s="1" t="s">
        <v>9897</v>
      </c>
      <c r="P479" s="1" t="s">
        <v>9898</v>
      </c>
      <c r="Q479" s="1" t="s">
        <v>132</v>
      </c>
      <c r="R479" s="1" t="s">
        <v>9899</v>
      </c>
      <c r="S479" s="1" t="s">
        <v>9900</v>
      </c>
      <c r="T479" s="8" t="s">
        <v>9901</v>
      </c>
      <c r="U479" s="1" t="s">
        <v>9902</v>
      </c>
      <c r="V479" s="1" t="s">
        <v>9903</v>
      </c>
      <c r="W479" s="1" t="s">
        <v>9904</v>
      </c>
      <c r="X479" s="1" t="s">
        <v>9905</v>
      </c>
      <c r="Y479" s="1" t="s">
        <v>9906</v>
      </c>
      <c r="Z479" s="1" t="s">
        <v>9907</v>
      </c>
      <c r="AA479" s="1" t="s">
        <v>9908</v>
      </c>
      <c r="AB479" s="1" t="s">
        <v>9909</v>
      </c>
      <c r="AC479" s="1" t="s">
        <v>9910</v>
      </c>
      <c r="AD479" s="1" t="s">
        <v>9911</v>
      </c>
      <c r="AE479" s="1" t="s">
        <v>9912</v>
      </c>
      <c r="AF479" s="1" t="s">
        <v>9913</v>
      </c>
      <c r="AG479" s="1" t="s">
        <v>9914</v>
      </c>
      <c r="AH479" s="1" t="s">
        <v>9915</v>
      </c>
      <c r="AI479" s="1" t="s">
        <v>9916</v>
      </c>
      <c r="AJ479" s="1" t="s">
        <v>132</v>
      </c>
      <c r="AK479" s="1" t="s">
        <v>9917</v>
      </c>
      <c r="AL479" s="1" t="s">
        <v>9918</v>
      </c>
      <c r="AM479" s="1" t="s">
        <v>9919</v>
      </c>
      <c r="AN479" s="1" t="s">
        <v>9919</v>
      </c>
    </row>
    <row r="480" ht="15.75" customHeight="1">
      <c r="A480" s="1" t="s">
        <v>38</v>
      </c>
      <c r="B480" s="1" t="s">
        <v>9920</v>
      </c>
      <c r="C480" s="1" t="s">
        <v>9921</v>
      </c>
      <c r="D480" s="8" t="s">
        <v>9922</v>
      </c>
      <c r="E480" s="1" t="s">
        <v>9923</v>
      </c>
      <c r="F480" s="1" t="s">
        <v>9924</v>
      </c>
      <c r="G480" s="1" t="s">
        <v>132</v>
      </c>
      <c r="H480" s="1" t="s">
        <v>132</v>
      </c>
      <c r="I480" s="1" t="s">
        <v>9925</v>
      </c>
      <c r="J480" s="1" t="s">
        <v>132</v>
      </c>
      <c r="K480" s="1" t="s">
        <v>9926</v>
      </c>
      <c r="L480" s="1" t="s">
        <v>132</v>
      </c>
      <c r="M480" s="1" t="s">
        <v>9927</v>
      </c>
      <c r="N480" s="1" t="s">
        <v>9928</v>
      </c>
      <c r="O480" s="1" t="s">
        <v>132</v>
      </c>
      <c r="P480" s="1" t="s">
        <v>9929</v>
      </c>
      <c r="Q480" s="1" t="s">
        <v>132</v>
      </c>
      <c r="R480" s="1" t="s">
        <v>132</v>
      </c>
      <c r="S480" s="1" t="s">
        <v>9930</v>
      </c>
      <c r="T480" s="1" t="s">
        <v>132</v>
      </c>
      <c r="U480" s="1" t="s">
        <v>9931</v>
      </c>
      <c r="V480" s="1" t="s">
        <v>132</v>
      </c>
      <c r="W480" s="1" t="s">
        <v>132</v>
      </c>
      <c r="X480" s="1" t="s">
        <v>9932</v>
      </c>
      <c r="Y480" s="1" t="s">
        <v>132</v>
      </c>
      <c r="Z480" s="1" t="s">
        <v>9933</v>
      </c>
      <c r="AA480" s="1" t="s">
        <v>132</v>
      </c>
      <c r="AB480" s="1" t="s">
        <v>132</v>
      </c>
      <c r="AC480" s="1" t="s">
        <v>9934</v>
      </c>
      <c r="AD480" s="1" t="s">
        <v>132</v>
      </c>
      <c r="AE480" s="1" t="s">
        <v>132</v>
      </c>
      <c r="AF480" s="1" t="s">
        <v>9935</v>
      </c>
      <c r="AG480" s="1" t="s">
        <v>9936</v>
      </c>
      <c r="AH480" s="1" t="s">
        <v>132</v>
      </c>
      <c r="AI480" s="1" t="s">
        <v>132</v>
      </c>
      <c r="AJ480" s="1" t="s">
        <v>9937</v>
      </c>
      <c r="AK480" s="1" t="s">
        <v>132</v>
      </c>
      <c r="AL480" s="1" t="s">
        <v>132</v>
      </c>
      <c r="AM480" s="1" t="s">
        <v>9938</v>
      </c>
      <c r="AN480" s="1" t="s">
        <v>9938</v>
      </c>
    </row>
    <row r="481" ht="15.75" customHeight="1">
      <c r="A481" s="1" t="s">
        <v>127</v>
      </c>
      <c r="B481" s="1" t="s">
        <v>9939</v>
      </c>
      <c r="C481" s="1" t="s">
        <v>3459</v>
      </c>
      <c r="D481" s="8" t="s">
        <v>9940</v>
      </c>
      <c r="E481" s="1" t="s">
        <v>3460</v>
      </c>
      <c r="F481" s="1" t="s">
        <v>132</v>
      </c>
      <c r="G481" s="1" t="s">
        <v>9941</v>
      </c>
      <c r="H481" s="1" t="s">
        <v>3461</v>
      </c>
      <c r="I481" s="1" t="s">
        <v>3461</v>
      </c>
      <c r="J481" s="1" t="s">
        <v>9942</v>
      </c>
      <c r="K481" s="1" t="s">
        <v>3462</v>
      </c>
      <c r="L481" s="1" t="s">
        <v>9943</v>
      </c>
      <c r="M481" s="1" t="s">
        <v>9944</v>
      </c>
      <c r="N481" s="1" t="s">
        <v>132</v>
      </c>
      <c r="O481" s="1" t="s">
        <v>9945</v>
      </c>
      <c r="P481" s="1" t="s">
        <v>3464</v>
      </c>
      <c r="Q481" s="1" t="s">
        <v>132</v>
      </c>
      <c r="R481" s="1" t="s">
        <v>9946</v>
      </c>
      <c r="S481" s="1" t="s">
        <v>3463</v>
      </c>
      <c r="T481" s="8" t="s">
        <v>9947</v>
      </c>
      <c r="U481" s="1" t="s">
        <v>3466</v>
      </c>
      <c r="V481" s="1" t="s">
        <v>9948</v>
      </c>
      <c r="W481" s="1" t="s">
        <v>9946</v>
      </c>
      <c r="X481" s="1" t="s">
        <v>3461</v>
      </c>
      <c r="Y481" s="1" t="s">
        <v>3461</v>
      </c>
      <c r="Z481" s="1" t="s">
        <v>3467</v>
      </c>
      <c r="AA481" s="1" t="s">
        <v>9949</v>
      </c>
      <c r="AB481" s="1" t="s">
        <v>9950</v>
      </c>
      <c r="AC481" s="1" t="s">
        <v>3460</v>
      </c>
      <c r="AD481" s="1" t="s">
        <v>9951</v>
      </c>
      <c r="AE481" s="1" t="s">
        <v>9950</v>
      </c>
      <c r="AF481" s="1" t="s">
        <v>9950</v>
      </c>
      <c r="AG481" s="1" t="s">
        <v>3461</v>
      </c>
      <c r="AH481" s="1" t="s">
        <v>9952</v>
      </c>
      <c r="AI481" s="1" t="s">
        <v>9953</v>
      </c>
      <c r="AJ481" s="1" t="s">
        <v>132</v>
      </c>
      <c r="AK481" s="1" t="s">
        <v>9954</v>
      </c>
      <c r="AL481" s="1" t="s">
        <v>9955</v>
      </c>
      <c r="AM481" s="1" t="s">
        <v>9956</v>
      </c>
      <c r="AN481" s="1" t="s">
        <v>9956</v>
      </c>
    </row>
    <row r="482" ht="15.75" customHeight="1">
      <c r="A482" s="1" t="s">
        <v>38</v>
      </c>
      <c r="B482" s="1" t="s">
        <v>9957</v>
      </c>
      <c r="C482" s="1" t="s">
        <v>9958</v>
      </c>
      <c r="D482" s="8" t="s">
        <v>9959</v>
      </c>
      <c r="E482" s="1" t="s">
        <v>9960</v>
      </c>
      <c r="F482" s="1" t="s">
        <v>9961</v>
      </c>
      <c r="G482" s="1" t="s">
        <v>132</v>
      </c>
      <c r="H482" s="1" t="s">
        <v>132</v>
      </c>
      <c r="I482" s="1" t="s">
        <v>9962</v>
      </c>
      <c r="J482" s="1" t="s">
        <v>132</v>
      </c>
      <c r="K482" s="1" t="s">
        <v>9963</v>
      </c>
      <c r="L482" s="1" t="s">
        <v>132</v>
      </c>
      <c r="M482" s="1" t="s">
        <v>9964</v>
      </c>
      <c r="N482" s="1" t="s">
        <v>9965</v>
      </c>
      <c r="O482" s="1" t="s">
        <v>132</v>
      </c>
      <c r="P482" s="1" t="s">
        <v>9966</v>
      </c>
      <c r="Q482" s="1" t="s">
        <v>9967</v>
      </c>
      <c r="R482" s="1" t="s">
        <v>132</v>
      </c>
      <c r="S482" s="1" t="s">
        <v>9968</v>
      </c>
      <c r="T482" s="1" t="s">
        <v>132</v>
      </c>
      <c r="U482" s="1" t="s">
        <v>9969</v>
      </c>
      <c r="V482" s="1" t="s">
        <v>9970</v>
      </c>
      <c r="W482" s="1" t="s">
        <v>132</v>
      </c>
      <c r="X482" s="1" t="s">
        <v>9971</v>
      </c>
      <c r="Y482" s="1" t="s">
        <v>132</v>
      </c>
      <c r="Z482" s="1" t="s">
        <v>9972</v>
      </c>
      <c r="AA482" s="1" t="s">
        <v>9973</v>
      </c>
      <c r="AB482" s="1" t="s">
        <v>132</v>
      </c>
      <c r="AC482" s="1" t="s">
        <v>9974</v>
      </c>
      <c r="AD482" s="1" t="s">
        <v>9975</v>
      </c>
      <c r="AE482" s="1" t="s">
        <v>132</v>
      </c>
      <c r="AF482" s="1" t="s">
        <v>9976</v>
      </c>
      <c r="AG482" s="1" t="s">
        <v>9977</v>
      </c>
      <c r="AH482" s="1" t="s">
        <v>132</v>
      </c>
      <c r="AI482" s="1" t="s">
        <v>132</v>
      </c>
      <c r="AJ482" s="1" t="s">
        <v>9978</v>
      </c>
      <c r="AK482" s="1" t="s">
        <v>9979</v>
      </c>
      <c r="AL482" s="1" t="s">
        <v>132</v>
      </c>
      <c r="AM482" s="1" t="s">
        <v>9980</v>
      </c>
      <c r="AN482" s="1" t="s">
        <v>9980</v>
      </c>
    </row>
    <row r="483" ht="15.75" customHeight="1">
      <c r="A483" s="1" t="s">
        <v>127</v>
      </c>
      <c r="B483" s="1" t="s">
        <v>9981</v>
      </c>
      <c r="C483" s="1" t="s">
        <v>9982</v>
      </c>
      <c r="D483" s="8" t="s">
        <v>9983</v>
      </c>
      <c r="E483" s="1" t="s">
        <v>9984</v>
      </c>
      <c r="F483" s="1" t="s">
        <v>132</v>
      </c>
      <c r="G483" s="1" t="s">
        <v>9985</v>
      </c>
      <c r="H483" s="1" t="s">
        <v>9986</v>
      </c>
      <c r="I483" s="1" t="s">
        <v>9987</v>
      </c>
      <c r="J483" s="1" t="s">
        <v>9988</v>
      </c>
      <c r="K483" s="1" t="s">
        <v>9989</v>
      </c>
      <c r="L483" s="1" t="s">
        <v>9990</v>
      </c>
      <c r="M483" s="1" t="s">
        <v>9991</v>
      </c>
      <c r="N483" s="1" t="s">
        <v>132</v>
      </c>
      <c r="O483" s="1" t="s">
        <v>9992</v>
      </c>
      <c r="P483" s="1" t="s">
        <v>9993</v>
      </c>
      <c r="Q483" s="1" t="s">
        <v>132</v>
      </c>
      <c r="R483" s="1" t="s">
        <v>9994</v>
      </c>
      <c r="S483" s="1" t="s">
        <v>9995</v>
      </c>
      <c r="T483" s="8" t="s">
        <v>9996</v>
      </c>
      <c r="U483" s="1" t="s">
        <v>9997</v>
      </c>
      <c r="V483" s="1" t="s">
        <v>9998</v>
      </c>
      <c r="W483" s="1" t="s">
        <v>9994</v>
      </c>
      <c r="X483" s="1" t="s">
        <v>9999</v>
      </c>
      <c r="Y483" s="1" t="s">
        <v>10000</v>
      </c>
      <c r="Z483" s="1" t="s">
        <v>10001</v>
      </c>
      <c r="AA483" s="1" t="s">
        <v>9989</v>
      </c>
      <c r="AB483" s="1" t="s">
        <v>10002</v>
      </c>
      <c r="AC483" s="1" t="s">
        <v>10003</v>
      </c>
      <c r="AD483" s="1" t="s">
        <v>10004</v>
      </c>
      <c r="AE483" s="1" t="s">
        <v>10005</v>
      </c>
      <c r="AF483" s="1" t="s">
        <v>10006</v>
      </c>
      <c r="AG483" s="1" t="s">
        <v>10007</v>
      </c>
      <c r="AH483" s="1" t="s">
        <v>10008</v>
      </c>
      <c r="AI483" s="1" t="s">
        <v>10009</v>
      </c>
      <c r="AJ483" s="1" t="s">
        <v>132</v>
      </c>
      <c r="AK483" s="1" t="s">
        <v>10010</v>
      </c>
      <c r="AL483" s="1" t="s">
        <v>10011</v>
      </c>
      <c r="AM483" s="1" t="s">
        <v>132</v>
      </c>
      <c r="AN483" s="1" t="s">
        <v>132</v>
      </c>
    </row>
    <row r="484" ht="15.75" customHeight="1">
      <c r="A484" s="1" t="s">
        <v>38</v>
      </c>
      <c r="B484" s="1" t="s">
        <v>10012</v>
      </c>
      <c r="C484" s="1" t="s">
        <v>10013</v>
      </c>
      <c r="D484" s="1" t="s">
        <v>132</v>
      </c>
      <c r="E484" s="1" t="s">
        <v>10014</v>
      </c>
      <c r="F484" s="1" t="s">
        <v>10015</v>
      </c>
      <c r="G484" s="1" t="s">
        <v>132</v>
      </c>
      <c r="H484" s="1" t="s">
        <v>132</v>
      </c>
      <c r="I484" s="1" t="s">
        <v>10016</v>
      </c>
      <c r="J484" s="1" t="s">
        <v>132</v>
      </c>
      <c r="K484" s="1" t="s">
        <v>10017</v>
      </c>
      <c r="L484" s="1" t="s">
        <v>132</v>
      </c>
      <c r="M484" s="1" t="s">
        <v>10019</v>
      </c>
      <c r="N484" s="1" t="s">
        <v>10020</v>
      </c>
      <c r="O484" s="1" t="s">
        <v>132</v>
      </c>
      <c r="P484" s="1" t="s">
        <v>10021</v>
      </c>
      <c r="Q484" s="1" t="s">
        <v>132</v>
      </c>
      <c r="R484" s="1" t="s">
        <v>132</v>
      </c>
      <c r="S484" s="1" t="s">
        <v>10022</v>
      </c>
      <c r="T484" s="1" t="s">
        <v>132</v>
      </c>
      <c r="U484" s="1" t="s">
        <v>10023</v>
      </c>
      <c r="V484" s="1" t="s">
        <v>10024</v>
      </c>
      <c r="W484" s="1" t="s">
        <v>132</v>
      </c>
      <c r="X484" s="1" t="s">
        <v>10025</v>
      </c>
      <c r="Y484" s="1" t="s">
        <v>132</v>
      </c>
      <c r="Z484" s="1" t="s">
        <v>10027</v>
      </c>
      <c r="AA484" s="1" t="s">
        <v>132</v>
      </c>
      <c r="AB484" s="1" t="s">
        <v>132</v>
      </c>
      <c r="AC484" s="1" t="s">
        <v>10028</v>
      </c>
      <c r="AD484" s="1" t="s">
        <v>132</v>
      </c>
      <c r="AE484" s="1" t="s">
        <v>132</v>
      </c>
      <c r="AF484" s="1" t="s">
        <v>132</v>
      </c>
      <c r="AG484" s="1" t="s">
        <v>10029</v>
      </c>
      <c r="AH484" s="1" t="s">
        <v>132</v>
      </c>
      <c r="AI484" s="1" t="s">
        <v>132</v>
      </c>
      <c r="AJ484" s="1" t="s">
        <v>10031</v>
      </c>
      <c r="AK484" s="1" t="s">
        <v>132</v>
      </c>
      <c r="AL484" s="1" t="s">
        <v>132</v>
      </c>
      <c r="AM484" s="1" t="s">
        <v>10032</v>
      </c>
      <c r="AN484" s="1" t="s">
        <v>10032</v>
      </c>
    </row>
    <row r="485" ht="15.75" customHeight="1">
      <c r="A485" s="1" t="s">
        <v>127</v>
      </c>
      <c r="B485" s="1" t="s">
        <v>10033</v>
      </c>
      <c r="C485" s="1" t="s">
        <v>10034</v>
      </c>
      <c r="D485" s="8" t="s">
        <v>10035</v>
      </c>
      <c r="E485" s="1" t="s">
        <v>10034</v>
      </c>
      <c r="F485" s="1" t="s">
        <v>132</v>
      </c>
      <c r="G485" s="1" t="s">
        <v>10034</v>
      </c>
      <c r="H485" s="1" t="s">
        <v>10034</v>
      </c>
      <c r="I485" s="1" t="s">
        <v>10034</v>
      </c>
      <c r="J485" s="1" t="s">
        <v>10034</v>
      </c>
      <c r="K485" s="1" t="s">
        <v>10034</v>
      </c>
      <c r="L485" s="1" t="s">
        <v>10034</v>
      </c>
      <c r="M485" s="1" t="s">
        <v>10034</v>
      </c>
      <c r="N485" s="1" t="s">
        <v>132</v>
      </c>
      <c r="O485" s="1" t="s">
        <v>10036</v>
      </c>
      <c r="P485" s="1" t="s">
        <v>10034</v>
      </c>
      <c r="Q485" s="1" t="s">
        <v>132</v>
      </c>
      <c r="R485" s="1" t="s">
        <v>10034</v>
      </c>
      <c r="S485" s="1" t="s">
        <v>10034</v>
      </c>
      <c r="T485" s="8" t="s">
        <v>10037</v>
      </c>
      <c r="U485" s="1" t="s">
        <v>10034</v>
      </c>
      <c r="V485" s="1" t="s">
        <v>10034</v>
      </c>
      <c r="W485" s="1" t="s">
        <v>10034</v>
      </c>
      <c r="X485" s="1" t="s">
        <v>10034</v>
      </c>
      <c r="Y485" s="1" t="s">
        <v>10034</v>
      </c>
      <c r="Z485" s="1" t="s">
        <v>10034</v>
      </c>
      <c r="AA485" s="1" t="s">
        <v>10034</v>
      </c>
      <c r="AB485" s="1" t="s">
        <v>10034</v>
      </c>
      <c r="AC485" s="1" t="s">
        <v>10038</v>
      </c>
      <c r="AD485" s="1" t="s">
        <v>10034</v>
      </c>
      <c r="AE485" s="1" t="s">
        <v>10034</v>
      </c>
      <c r="AF485" s="1" t="s">
        <v>10034</v>
      </c>
      <c r="AG485" s="1" t="s">
        <v>10034</v>
      </c>
      <c r="AH485" s="1" t="s">
        <v>10039</v>
      </c>
      <c r="AI485" s="1" t="s">
        <v>10040</v>
      </c>
      <c r="AJ485" s="1" t="s">
        <v>132</v>
      </c>
      <c r="AK485" s="1" t="s">
        <v>10034</v>
      </c>
      <c r="AL485" s="1" t="s">
        <v>10041</v>
      </c>
      <c r="AM485" s="1" t="s">
        <v>10042</v>
      </c>
      <c r="AN485" s="1" t="s">
        <v>10042</v>
      </c>
    </row>
    <row r="486" ht="15.75" customHeight="1">
      <c r="A486" s="1" t="s">
        <v>127</v>
      </c>
      <c r="B486" s="1" t="s">
        <v>10043</v>
      </c>
      <c r="C486" s="1" t="s">
        <v>10044</v>
      </c>
      <c r="D486" s="1" t="s">
        <v>10044</v>
      </c>
      <c r="E486" s="1" t="s">
        <v>10044</v>
      </c>
      <c r="F486" s="1" t="s">
        <v>132</v>
      </c>
      <c r="G486" s="1" t="s">
        <v>10044</v>
      </c>
      <c r="H486" s="1" t="s">
        <v>10044</v>
      </c>
      <c r="I486" s="1" t="s">
        <v>10044</v>
      </c>
      <c r="J486" s="1" t="s">
        <v>10045</v>
      </c>
      <c r="K486" s="1" t="s">
        <v>10044</v>
      </c>
      <c r="L486" s="1" t="s">
        <v>10044</v>
      </c>
      <c r="M486" s="1" t="s">
        <v>10044</v>
      </c>
      <c r="N486" s="1" t="s">
        <v>132</v>
      </c>
      <c r="O486" s="1" t="s">
        <v>10046</v>
      </c>
      <c r="P486" s="1" t="s">
        <v>10044</v>
      </c>
      <c r="Q486" s="1" t="s">
        <v>132</v>
      </c>
      <c r="R486" s="1" t="s">
        <v>10044</v>
      </c>
      <c r="S486" s="1" t="s">
        <v>10047</v>
      </c>
      <c r="T486" s="8" t="s">
        <v>10048</v>
      </c>
      <c r="U486" s="1" t="s">
        <v>10049</v>
      </c>
      <c r="V486" s="1" t="s">
        <v>10050</v>
      </c>
      <c r="W486" s="1" t="s">
        <v>10044</v>
      </c>
      <c r="X486" s="1" t="s">
        <v>10044</v>
      </c>
      <c r="Y486" s="1" t="s">
        <v>10044</v>
      </c>
      <c r="Z486" s="1" t="s">
        <v>10051</v>
      </c>
      <c r="AA486" s="1" t="s">
        <v>10052</v>
      </c>
      <c r="AB486" s="1" t="s">
        <v>10044</v>
      </c>
      <c r="AC486" s="1" t="s">
        <v>10044</v>
      </c>
      <c r="AD486" s="1" t="s">
        <v>10044</v>
      </c>
      <c r="AE486" s="1" t="s">
        <v>10044</v>
      </c>
      <c r="AF486" s="1" t="s">
        <v>10044</v>
      </c>
      <c r="AG486" s="1" t="s">
        <v>10044</v>
      </c>
      <c r="AH486" s="1" t="s">
        <v>10044</v>
      </c>
      <c r="AI486" s="1" t="s">
        <v>10053</v>
      </c>
      <c r="AJ486" s="1" t="s">
        <v>132</v>
      </c>
      <c r="AK486" s="1" t="s">
        <v>10054</v>
      </c>
      <c r="AL486" s="1" t="s">
        <v>10055</v>
      </c>
      <c r="AM486" s="1" t="s">
        <v>10056</v>
      </c>
      <c r="AN486" s="1" t="s">
        <v>10056</v>
      </c>
    </row>
    <row r="487" ht="15.75" customHeight="1">
      <c r="A487" s="1" t="s">
        <v>127</v>
      </c>
      <c r="B487" s="1" t="s">
        <v>10057</v>
      </c>
      <c r="C487" s="1" t="s">
        <v>10058</v>
      </c>
      <c r="D487" s="8" t="s">
        <v>10059</v>
      </c>
      <c r="E487" s="1" t="s">
        <v>10060</v>
      </c>
      <c r="F487" s="1" t="s">
        <v>132</v>
      </c>
      <c r="G487" s="1" t="s">
        <v>10061</v>
      </c>
      <c r="H487" s="1" t="s">
        <v>10062</v>
      </c>
      <c r="I487" s="1" t="s">
        <v>10063</v>
      </c>
      <c r="J487" s="1" t="s">
        <v>10064</v>
      </c>
      <c r="K487" s="1" t="s">
        <v>10065</v>
      </c>
      <c r="L487" s="1" t="s">
        <v>10066</v>
      </c>
      <c r="M487" s="1" t="s">
        <v>10067</v>
      </c>
      <c r="N487" s="1" t="s">
        <v>132</v>
      </c>
      <c r="O487" s="1" t="s">
        <v>10068</v>
      </c>
      <c r="P487" s="1" t="s">
        <v>10069</v>
      </c>
      <c r="Q487" s="1" t="s">
        <v>132</v>
      </c>
      <c r="R487" s="1" t="s">
        <v>10070</v>
      </c>
      <c r="S487" s="1" t="s">
        <v>10071</v>
      </c>
      <c r="T487" s="8" t="s">
        <v>10072</v>
      </c>
      <c r="U487" s="1" t="s">
        <v>10073</v>
      </c>
      <c r="V487" s="1" t="s">
        <v>10074</v>
      </c>
      <c r="W487" s="1" t="s">
        <v>10070</v>
      </c>
      <c r="X487" s="1" t="s">
        <v>10075</v>
      </c>
      <c r="Y487" s="1" t="s">
        <v>10076</v>
      </c>
      <c r="Z487" s="1" t="s">
        <v>10077</v>
      </c>
      <c r="AA487" s="1" t="s">
        <v>10065</v>
      </c>
      <c r="AB487" s="1" t="s">
        <v>10078</v>
      </c>
      <c r="AC487" s="1" t="s">
        <v>10079</v>
      </c>
      <c r="AD487" s="1" t="s">
        <v>10080</v>
      </c>
      <c r="AE487" s="1" t="s">
        <v>10081</v>
      </c>
      <c r="AF487" s="1" t="s">
        <v>10082</v>
      </c>
      <c r="AG487" s="1" t="s">
        <v>10083</v>
      </c>
      <c r="AH487" s="1" t="s">
        <v>10084</v>
      </c>
      <c r="AI487" s="1" t="s">
        <v>10085</v>
      </c>
      <c r="AJ487" s="1" t="s">
        <v>132</v>
      </c>
      <c r="AK487" s="1" t="s">
        <v>10086</v>
      </c>
      <c r="AL487" s="1" t="s">
        <v>10087</v>
      </c>
      <c r="AM487" s="1" t="s">
        <v>10088</v>
      </c>
      <c r="AN487" s="1" t="s">
        <v>10088</v>
      </c>
    </row>
    <row r="488" ht="15.75" customHeight="1">
      <c r="A488" s="1" t="s">
        <v>38</v>
      </c>
      <c r="B488" s="1" t="s">
        <v>10089</v>
      </c>
      <c r="C488" s="1" t="s">
        <v>10090</v>
      </c>
      <c r="D488" s="8" t="s">
        <v>10091</v>
      </c>
      <c r="E488" s="1" t="s">
        <v>10092</v>
      </c>
      <c r="F488" s="1" t="s">
        <v>10093</v>
      </c>
      <c r="G488" s="1" t="s">
        <v>132</v>
      </c>
      <c r="H488" s="1" t="s">
        <v>132</v>
      </c>
      <c r="I488" s="1" t="s">
        <v>10094</v>
      </c>
      <c r="J488" s="1" t="s">
        <v>132</v>
      </c>
      <c r="K488" s="1" t="s">
        <v>10095</v>
      </c>
      <c r="L488" s="1" t="s">
        <v>132</v>
      </c>
      <c r="M488" s="1" t="s">
        <v>10096</v>
      </c>
      <c r="N488" s="1" t="s">
        <v>10097</v>
      </c>
      <c r="O488" s="1" t="s">
        <v>132</v>
      </c>
      <c r="P488" s="1" t="s">
        <v>10098</v>
      </c>
      <c r="Q488" s="1" t="s">
        <v>132</v>
      </c>
      <c r="R488" s="1" t="s">
        <v>132</v>
      </c>
      <c r="S488" s="1" t="s">
        <v>10099</v>
      </c>
      <c r="T488" s="1" t="s">
        <v>132</v>
      </c>
      <c r="U488" s="1" t="s">
        <v>10100</v>
      </c>
      <c r="V488" s="1" t="s">
        <v>10101</v>
      </c>
      <c r="W488" s="1" t="s">
        <v>132</v>
      </c>
      <c r="X488" s="1" t="s">
        <v>10102</v>
      </c>
      <c r="Y488" s="1" t="s">
        <v>132</v>
      </c>
      <c r="Z488" s="1" t="s">
        <v>10103</v>
      </c>
      <c r="AA488" s="1" t="s">
        <v>10104</v>
      </c>
      <c r="AB488" s="1" t="s">
        <v>132</v>
      </c>
      <c r="AC488" s="1" t="s">
        <v>10105</v>
      </c>
      <c r="AD488" s="1" t="s">
        <v>132</v>
      </c>
      <c r="AE488" s="1" t="s">
        <v>132</v>
      </c>
      <c r="AF488" s="1" t="s">
        <v>10106</v>
      </c>
      <c r="AG488" s="1" t="s">
        <v>10107</v>
      </c>
      <c r="AH488" s="1" t="s">
        <v>132</v>
      </c>
      <c r="AI488" s="1" t="s">
        <v>132</v>
      </c>
      <c r="AJ488" s="1" t="s">
        <v>10108</v>
      </c>
      <c r="AK488" s="1" t="s">
        <v>132</v>
      </c>
      <c r="AL488" s="1" t="s">
        <v>132</v>
      </c>
      <c r="AM488" s="1" t="s">
        <v>10109</v>
      </c>
      <c r="AN488" s="1" t="s">
        <v>10109</v>
      </c>
    </row>
    <row r="489" ht="15.75" customHeight="1">
      <c r="A489" s="1" t="s">
        <v>5830</v>
      </c>
      <c r="B489" s="1" t="s">
        <v>10110</v>
      </c>
      <c r="C489" s="1" t="s">
        <v>10111</v>
      </c>
      <c r="D489" s="1" t="s">
        <v>132</v>
      </c>
      <c r="E489" s="1" t="s">
        <v>132</v>
      </c>
      <c r="F489" s="1" t="s">
        <v>132</v>
      </c>
      <c r="G489" s="1" t="s">
        <v>132</v>
      </c>
      <c r="H489" s="1" t="s">
        <v>10112</v>
      </c>
      <c r="I489" s="1" t="s">
        <v>10113</v>
      </c>
      <c r="J489" s="1" t="s">
        <v>132</v>
      </c>
      <c r="K489" s="1" t="s">
        <v>10114</v>
      </c>
      <c r="L489" s="1" t="s">
        <v>10115</v>
      </c>
      <c r="M489" s="1" t="s">
        <v>10116</v>
      </c>
      <c r="N489" s="1" t="s">
        <v>132</v>
      </c>
      <c r="O489" s="1" t="s">
        <v>132</v>
      </c>
      <c r="P489" s="1" t="s">
        <v>10117</v>
      </c>
      <c r="Q489" s="1" t="s">
        <v>132</v>
      </c>
      <c r="R489" s="1" t="s">
        <v>10118</v>
      </c>
      <c r="S489" s="1" t="s">
        <v>10119</v>
      </c>
      <c r="T489" s="1" t="s">
        <v>132</v>
      </c>
      <c r="U489" s="1" t="s">
        <v>10120</v>
      </c>
      <c r="V489" s="1" t="s">
        <v>10121</v>
      </c>
      <c r="W489" s="1" t="s">
        <v>10122</v>
      </c>
      <c r="X489" s="1" t="s">
        <v>10123</v>
      </c>
      <c r="Y489" s="1" t="s">
        <v>10124</v>
      </c>
      <c r="Z489" s="1" t="s">
        <v>10125</v>
      </c>
      <c r="AA489" s="1" t="s">
        <v>10126</v>
      </c>
      <c r="AB489" s="1" t="s">
        <v>132</v>
      </c>
      <c r="AC489" s="1" t="s">
        <v>10127</v>
      </c>
      <c r="AD489" s="1" t="s">
        <v>132</v>
      </c>
      <c r="AE489" s="1" t="s">
        <v>132</v>
      </c>
      <c r="AF489" s="1" t="s">
        <v>10128</v>
      </c>
      <c r="AG489" s="1" t="s">
        <v>132</v>
      </c>
      <c r="AH489" s="1" t="s">
        <v>132</v>
      </c>
      <c r="AI489" s="1" t="s">
        <v>10129</v>
      </c>
      <c r="AJ489" s="1" t="s">
        <v>132</v>
      </c>
      <c r="AK489" s="1" t="s">
        <v>132</v>
      </c>
      <c r="AL489" s="1" t="s">
        <v>10130</v>
      </c>
      <c r="AM489" s="1" t="s">
        <v>132</v>
      </c>
      <c r="AN489" s="1" t="s">
        <v>132</v>
      </c>
    </row>
    <row r="490" ht="15.75" customHeight="1">
      <c r="A490" s="1" t="s">
        <v>127</v>
      </c>
      <c r="B490" s="1" t="s">
        <v>10131</v>
      </c>
      <c r="C490" s="1" t="s">
        <v>10132</v>
      </c>
      <c r="D490" s="8" t="s">
        <v>10133</v>
      </c>
      <c r="E490" s="1" t="s">
        <v>10134</v>
      </c>
      <c r="F490" s="1" t="s">
        <v>132</v>
      </c>
      <c r="G490" s="1" t="s">
        <v>10135</v>
      </c>
      <c r="H490" s="1" t="s">
        <v>10136</v>
      </c>
      <c r="I490" s="1" t="s">
        <v>10137</v>
      </c>
      <c r="J490" s="1" t="s">
        <v>10138</v>
      </c>
      <c r="K490" s="1" t="s">
        <v>10139</v>
      </c>
      <c r="L490" s="1" t="s">
        <v>10140</v>
      </c>
      <c r="M490" s="1" t="s">
        <v>9186</v>
      </c>
      <c r="N490" s="1" t="s">
        <v>132</v>
      </c>
      <c r="O490" s="1" t="s">
        <v>10141</v>
      </c>
      <c r="P490" s="1" t="s">
        <v>10142</v>
      </c>
      <c r="Q490" s="1" t="s">
        <v>132</v>
      </c>
      <c r="R490" s="1" t="s">
        <v>10143</v>
      </c>
      <c r="S490" s="1" t="s">
        <v>10144</v>
      </c>
      <c r="T490" s="8" t="s">
        <v>10145</v>
      </c>
      <c r="U490" s="1" t="s">
        <v>10146</v>
      </c>
      <c r="V490" s="1" t="s">
        <v>10147</v>
      </c>
      <c r="W490" s="1" t="s">
        <v>10143</v>
      </c>
      <c r="X490" s="1" t="s">
        <v>10148</v>
      </c>
      <c r="Y490" s="1" t="s">
        <v>10136</v>
      </c>
      <c r="Z490" s="1" t="s">
        <v>10149</v>
      </c>
      <c r="AA490" s="1" t="s">
        <v>10150</v>
      </c>
      <c r="AB490" s="1" t="s">
        <v>10151</v>
      </c>
      <c r="AC490" s="1" t="s">
        <v>10152</v>
      </c>
      <c r="AD490" s="1" t="s">
        <v>10153</v>
      </c>
      <c r="AE490" s="1" t="s">
        <v>10154</v>
      </c>
      <c r="AF490" s="1" t="s">
        <v>10155</v>
      </c>
      <c r="AG490" s="1" t="s">
        <v>10136</v>
      </c>
      <c r="AH490" s="1" t="s">
        <v>9203</v>
      </c>
      <c r="AI490" s="1" t="s">
        <v>10156</v>
      </c>
      <c r="AJ490" s="1" t="s">
        <v>132</v>
      </c>
      <c r="AK490" s="1" t="s">
        <v>10157</v>
      </c>
      <c r="AL490" s="1" t="s">
        <v>10158</v>
      </c>
      <c r="AM490" s="1" t="s">
        <v>10159</v>
      </c>
      <c r="AN490" s="1" t="s">
        <v>10159</v>
      </c>
    </row>
    <row r="491" ht="15.75" customHeight="1">
      <c r="A491" s="1" t="s">
        <v>127</v>
      </c>
      <c r="B491" s="1" t="s">
        <v>10160</v>
      </c>
      <c r="C491" s="1" t="s">
        <v>10161</v>
      </c>
      <c r="D491" s="8" t="s">
        <v>10162</v>
      </c>
      <c r="E491" s="1" t="s">
        <v>10161</v>
      </c>
      <c r="F491" s="1" t="s">
        <v>132</v>
      </c>
      <c r="G491" s="1" t="s">
        <v>10161</v>
      </c>
      <c r="H491" s="1" t="s">
        <v>10161</v>
      </c>
      <c r="I491" s="1" t="s">
        <v>10161</v>
      </c>
      <c r="J491" s="1" t="s">
        <v>10161</v>
      </c>
      <c r="K491" s="1" t="s">
        <v>10161</v>
      </c>
      <c r="L491" s="1" t="s">
        <v>10161</v>
      </c>
      <c r="M491" s="1" t="s">
        <v>10161</v>
      </c>
      <c r="N491" s="1" t="s">
        <v>132</v>
      </c>
      <c r="O491" s="1" t="s">
        <v>10161</v>
      </c>
      <c r="P491" s="1" t="s">
        <v>10161</v>
      </c>
      <c r="Q491" s="1" t="s">
        <v>132</v>
      </c>
      <c r="R491" s="1" t="s">
        <v>10161</v>
      </c>
      <c r="S491" s="1" t="s">
        <v>10161</v>
      </c>
      <c r="T491" s="1" t="s">
        <v>10161</v>
      </c>
      <c r="U491" s="1" t="s">
        <v>10161</v>
      </c>
      <c r="V491" s="1" t="s">
        <v>10161</v>
      </c>
      <c r="W491" s="1" t="s">
        <v>10161</v>
      </c>
      <c r="X491" s="1" t="s">
        <v>10161</v>
      </c>
      <c r="Y491" s="1" t="s">
        <v>10161</v>
      </c>
      <c r="Z491" s="1" t="s">
        <v>10161</v>
      </c>
      <c r="AA491" s="1" t="s">
        <v>10161</v>
      </c>
      <c r="AB491" s="1" t="s">
        <v>10161</v>
      </c>
      <c r="AC491" s="1" t="s">
        <v>10161</v>
      </c>
      <c r="AD491" s="1" t="s">
        <v>10161</v>
      </c>
      <c r="AE491" s="1" t="s">
        <v>10161</v>
      </c>
      <c r="AF491" s="1" t="s">
        <v>10161</v>
      </c>
      <c r="AG491" s="1" t="s">
        <v>10161</v>
      </c>
      <c r="AH491" s="1" t="s">
        <v>10161</v>
      </c>
      <c r="AI491" s="1" t="s">
        <v>10161</v>
      </c>
      <c r="AJ491" s="1" t="s">
        <v>132</v>
      </c>
      <c r="AK491" s="1" t="s">
        <v>10161</v>
      </c>
      <c r="AL491" s="1" t="s">
        <v>10163</v>
      </c>
      <c r="AM491" s="1" t="s">
        <v>10164</v>
      </c>
      <c r="AN491" s="1" t="s">
        <v>10164</v>
      </c>
    </row>
    <row r="492" ht="15.75" customHeight="1">
      <c r="A492" s="1" t="s">
        <v>127</v>
      </c>
      <c r="B492" s="1" t="s">
        <v>10165</v>
      </c>
      <c r="C492" s="1" t="s">
        <v>10166</v>
      </c>
      <c r="D492" s="8" t="s">
        <v>10167</v>
      </c>
      <c r="E492" s="1" t="s">
        <v>10168</v>
      </c>
      <c r="F492" s="1" t="s">
        <v>132</v>
      </c>
      <c r="G492" s="1" t="s">
        <v>10169</v>
      </c>
      <c r="H492" s="1" t="s">
        <v>10170</v>
      </c>
      <c r="I492" s="1" t="s">
        <v>10171</v>
      </c>
      <c r="J492" s="1" t="s">
        <v>10172</v>
      </c>
      <c r="K492" s="1" t="s">
        <v>10173</v>
      </c>
      <c r="L492" s="1" t="s">
        <v>10174</v>
      </c>
      <c r="M492" s="1" t="s">
        <v>10175</v>
      </c>
      <c r="N492" s="1" t="s">
        <v>132</v>
      </c>
      <c r="O492" s="1" t="s">
        <v>10176</v>
      </c>
      <c r="P492" s="1" t="s">
        <v>10177</v>
      </c>
      <c r="Q492" s="1" t="s">
        <v>132</v>
      </c>
      <c r="R492" s="1" t="s">
        <v>10178</v>
      </c>
      <c r="S492" s="1" t="s">
        <v>10179</v>
      </c>
      <c r="T492" s="8" t="s">
        <v>10180</v>
      </c>
      <c r="U492" s="1" t="s">
        <v>10181</v>
      </c>
      <c r="V492" s="1" t="s">
        <v>10182</v>
      </c>
      <c r="W492" s="1" t="s">
        <v>10178</v>
      </c>
      <c r="X492" s="1" t="s">
        <v>10183</v>
      </c>
      <c r="Y492" s="1" t="s">
        <v>10184</v>
      </c>
      <c r="Z492" s="1" t="s">
        <v>10185</v>
      </c>
      <c r="AA492" s="1" t="s">
        <v>10186</v>
      </c>
      <c r="AB492" s="1" t="s">
        <v>10187</v>
      </c>
      <c r="AC492" s="1" t="s">
        <v>10188</v>
      </c>
      <c r="AD492" s="1" t="s">
        <v>10189</v>
      </c>
      <c r="AE492" s="1" t="s">
        <v>10190</v>
      </c>
      <c r="AF492" s="1" t="s">
        <v>10191</v>
      </c>
      <c r="AG492" s="1" t="s">
        <v>10192</v>
      </c>
      <c r="AH492" s="1" t="s">
        <v>10193</v>
      </c>
      <c r="AI492" s="1" t="s">
        <v>10194</v>
      </c>
      <c r="AJ492" s="1" t="s">
        <v>132</v>
      </c>
      <c r="AK492" s="1" t="s">
        <v>10195</v>
      </c>
      <c r="AL492" s="1" t="s">
        <v>10196</v>
      </c>
      <c r="AM492" s="1" t="s">
        <v>10197</v>
      </c>
      <c r="AN492" s="1" t="s">
        <v>10197</v>
      </c>
    </row>
    <row r="493" ht="15.75" customHeight="1">
      <c r="A493" s="1" t="s">
        <v>127</v>
      </c>
      <c r="B493" s="1" t="s">
        <v>10198</v>
      </c>
      <c r="C493" s="1" t="s">
        <v>10199</v>
      </c>
      <c r="D493" s="8" t="s">
        <v>10200</v>
      </c>
      <c r="E493" s="1" t="s">
        <v>10201</v>
      </c>
      <c r="F493" s="1" t="s">
        <v>132</v>
      </c>
      <c r="G493" s="1" t="s">
        <v>10202</v>
      </c>
      <c r="H493" s="1" t="s">
        <v>10203</v>
      </c>
      <c r="I493" s="1" t="s">
        <v>10204</v>
      </c>
      <c r="J493" s="1" t="s">
        <v>10205</v>
      </c>
      <c r="K493" s="1" t="s">
        <v>10206</v>
      </c>
      <c r="L493" s="1" t="s">
        <v>10207</v>
      </c>
      <c r="M493" s="1" t="s">
        <v>10199</v>
      </c>
      <c r="N493" s="1" t="s">
        <v>132</v>
      </c>
      <c r="O493" s="1" t="s">
        <v>10208</v>
      </c>
      <c r="P493" s="1" t="s">
        <v>10209</v>
      </c>
      <c r="Q493" s="1" t="s">
        <v>132</v>
      </c>
      <c r="R493" s="1" t="s">
        <v>10210</v>
      </c>
      <c r="S493" s="1" t="s">
        <v>10211</v>
      </c>
      <c r="T493" s="8" t="s">
        <v>10212</v>
      </c>
      <c r="U493" s="1" t="s">
        <v>10213</v>
      </c>
      <c r="V493" s="1" t="s">
        <v>10214</v>
      </c>
      <c r="W493" s="1" t="s">
        <v>10210</v>
      </c>
      <c r="X493" s="1" t="s">
        <v>10215</v>
      </c>
      <c r="Y493" s="1" t="s">
        <v>10216</v>
      </c>
      <c r="Z493" s="1" t="s">
        <v>10217</v>
      </c>
      <c r="AA493" s="1" t="s">
        <v>10218</v>
      </c>
      <c r="AB493" s="1" t="s">
        <v>10219</v>
      </c>
      <c r="AC493" s="1" t="s">
        <v>10220</v>
      </c>
      <c r="AD493" s="1" t="s">
        <v>10221</v>
      </c>
      <c r="AE493" s="1" t="s">
        <v>10222</v>
      </c>
      <c r="AF493" s="1" t="s">
        <v>10223</v>
      </c>
      <c r="AG493" s="1" t="s">
        <v>10224</v>
      </c>
      <c r="AH493" s="1" t="s">
        <v>10225</v>
      </c>
      <c r="AI493" s="1" t="s">
        <v>10226</v>
      </c>
      <c r="AJ493" s="1" t="s">
        <v>132</v>
      </c>
      <c r="AK493" s="1" t="s">
        <v>10227</v>
      </c>
      <c r="AL493" s="1" t="s">
        <v>10228</v>
      </c>
      <c r="AM493" s="1" t="s">
        <v>132</v>
      </c>
      <c r="AN493" s="1" t="s">
        <v>132</v>
      </c>
    </row>
    <row r="494" ht="15.75" customHeight="1">
      <c r="A494" s="1" t="s">
        <v>127</v>
      </c>
      <c r="B494" s="1" t="s">
        <v>10229</v>
      </c>
      <c r="C494" s="1" t="s">
        <v>10230</v>
      </c>
      <c r="D494" s="8" t="s">
        <v>10231</v>
      </c>
      <c r="E494" s="1" t="s">
        <v>10232</v>
      </c>
      <c r="F494" s="1" t="s">
        <v>132</v>
      </c>
      <c r="G494" s="1" t="s">
        <v>10233</v>
      </c>
      <c r="H494" s="1" t="s">
        <v>10234</v>
      </c>
      <c r="I494" s="1" t="s">
        <v>10230</v>
      </c>
      <c r="J494" s="1" t="s">
        <v>10230</v>
      </c>
      <c r="K494" s="1" t="s">
        <v>10230</v>
      </c>
      <c r="L494" s="1" t="s">
        <v>10235</v>
      </c>
      <c r="M494" s="1" t="s">
        <v>10236</v>
      </c>
      <c r="N494" s="1" t="s">
        <v>132</v>
      </c>
      <c r="O494" s="1" t="s">
        <v>10237</v>
      </c>
      <c r="P494" s="1" t="s">
        <v>10230</v>
      </c>
      <c r="Q494" s="1" t="s">
        <v>132</v>
      </c>
      <c r="R494" s="1" t="s">
        <v>10238</v>
      </c>
      <c r="S494" s="1" t="s">
        <v>10230</v>
      </c>
      <c r="T494" s="8" t="s">
        <v>10239</v>
      </c>
      <c r="U494" s="1" t="s">
        <v>10240</v>
      </c>
      <c r="V494" s="1" t="s">
        <v>10241</v>
      </c>
      <c r="W494" s="1" t="s">
        <v>10242</v>
      </c>
      <c r="X494" s="1" t="s">
        <v>10230</v>
      </c>
      <c r="Y494" s="1" t="s">
        <v>10243</v>
      </c>
      <c r="Z494" s="1" t="s">
        <v>10230</v>
      </c>
      <c r="AA494" s="1" t="s">
        <v>10244</v>
      </c>
      <c r="AB494" s="1" t="s">
        <v>10245</v>
      </c>
      <c r="AC494" s="1" t="s">
        <v>10246</v>
      </c>
      <c r="AD494" s="1" t="s">
        <v>10247</v>
      </c>
      <c r="AE494" s="1" t="s">
        <v>10248</v>
      </c>
      <c r="AF494" s="1" t="s">
        <v>10230</v>
      </c>
      <c r="AG494" s="1" t="s">
        <v>10249</v>
      </c>
      <c r="AH494" s="1" t="s">
        <v>10250</v>
      </c>
      <c r="AI494" s="1" t="s">
        <v>10251</v>
      </c>
      <c r="AJ494" s="1" t="s">
        <v>132</v>
      </c>
      <c r="AK494" s="1" t="s">
        <v>10252</v>
      </c>
      <c r="AL494" s="1" t="s">
        <v>10253</v>
      </c>
      <c r="AM494" s="1" t="s">
        <v>10254</v>
      </c>
      <c r="AN494" s="1" t="s">
        <v>10254</v>
      </c>
    </row>
    <row r="495" ht="15.75" customHeight="1">
      <c r="A495" s="1" t="s">
        <v>4051</v>
      </c>
      <c r="B495" s="1" t="s">
        <v>10255</v>
      </c>
      <c r="C495" s="1" t="s">
        <v>10256</v>
      </c>
      <c r="D495" s="8" t="s">
        <v>10257</v>
      </c>
      <c r="E495" s="1" t="s">
        <v>10258</v>
      </c>
      <c r="F495" s="1" t="s">
        <v>132</v>
      </c>
      <c r="G495" s="1" t="s">
        <v>10259</v>
      </c>
      <c r="H495" s="1" t="s">
        <v>10260</v>
      </c>
      <c r="I495" s="1" t="s">
        <v>132</v>
      </c>
      <c r="J495" s="1" t="s">
        <v>10261</v>
      </c>
      <c r="K495" s="1" t="s">
        <v>10262</v>
      </c>
      <c r="L495" s="1" t="s">
        <v>10263</v>
      </c>
      <c r="M495" s="1" t="s">
        <v>43226</v>
      </c>
      <c r="N495" s="1" t="s">
        <v>132</v>
      </c>
      <c r="O495" s="1" t="s">
        <v>10265</v>
      </c>
      <c r="P495" s="1" t="s">
        <v>10266</v>
      </c>
      <c r="Q495" s="1" t="s">
        <v>132</v>
      </c>
      <c r="R495" s="1" t="s">
        <v>10267</v>
      </c>
      <c r="S495" s="1" t="s">
        <v>10268</v>
      </c>
      <c r="T495" s="8" t="s">
        <v>10269</v>
      </c>
      <c r="U495" s="1" t="s">
        <v>10270</v>
      </c>
      <c r="V495" s="1" t="s">
        <v>10271</v>
      </c>
      <c r="W495" s="1" t="s">
        <v>10272</v>
      </c>
      <c r="X495" s="1" t="s">
        <v>10273</v>
      </c>
      <c r="Y495" s="1" t="s">
        <v>10274</v>
      </c>
      <c r="Z495" s="11" t="s">
        <v>10275</v>
      </c>
      <c r="AA495" s="1" t="s">
        <v>10276</v>
      </c>
      <c r="AB495" s="1" t="s">
        <v>10277</v>
      </c>
      <c r="AC495" s="1" t="s">
        <v>132</v>
      </c>
      <c r="AD495" s="1" t="s">
        <v>10278</v>
      </c>
      <c r="AE495" s="1" t="s">
        <v>10279</v>
      </c>
      <c r="AF495" s="1" t="s">
        <v>132</v>
      </c>
      <c r="AG495" s="1" t="s">
        <v>10280</v>
      </c>
      <c r="AH495" s="1" t="s">
        <v>10281</v>
      </c>
      <c r="AI495" s="1" t="s">
        <v>10282</v>
      </c>
      <c r="AJ495" s="1" t="s">
        <v>132</v>
      </c>
      <c r="AK495" s="1" t="s">
        <v>10283</v>
      </c>
      <c r="AL495" s="14" t="s">
        <v>10284</v>
      </c>
      <c r="AM495" s="1" t="s">
        <v>132</v>
      </c>
      <c r="AN495" s="1" t="s">
        <v>132</v>
      </c>
    </row>
    <row r="496" ht="15.75" customHeight="1">
      <c r="A496" s="1" t="s">
        <v>127</v>
      </c>
      <c r="B496" s="1" t="s">
        <v>10285</v>
      </c>
      <c r="C496" s="1" t="s">
        <v>10286</v>
      </c>
      <c r="D496" s="8" t="s">
        <v>10287</v>
      </c>
      <c r="E496" s="1" t="s">
        <v>10288</v>
      </c>
      <c r="F496" s="1" t="s">
        <v>132</v>
      </c>
      <c r="G496" s="1" t="s">
        <v>10289</v>
      </c>
      <c r="H496" s="1" t="s">
        <v>10290</v>
      </c>
      <c r="I496" s="1" t="s">
        <v>10291</v>
      </c>
      <c r="J496" s="1" t="s">
        <v>10292</v>
      </c>
      <c r="K496" s="1" t="s">
        <v>10293</v>
      </c>
      <c r="L496" s="1" t="s">
        <v>10294</v>
      </c>
      <c r="M496" s="1" t="s">
        <v>10295</v>
      </c>
      <c r="N496" s="1" t="s">
        <v>132</v>
      </c>
      <c r="O496" s="1" t="s">
        <v>10296</v>
      </c>
      <c r="P496" s="1" t="s">
        <v>10297</v>
      </c>
      <c r="Q496" s="1" t="s">
        <v>132</v>
      </c>
      <c r="R496" s="1" t="s">
        <v>10298</v>
      </c>
      <c r="S496" s="1" t="s">
        <v>10299</v>
      </c>
      <c r="T496" s="8" t="s">
        <v>10300</v>
      </c>
      <c r="U496" s="1" t="s">
        <v>10301</v>
      </c>
      <c r="V496" s="1" t="s">
        <v>10302</v>
      </c>
      <c r="W496" s="1" t="s">
        <v>10298</v>
      </c>
      <c r="X496" s="1" t="s">
        <v>10303</v>
      </c>
      <c r="Y496" s="1" t="s">
        <v>10304</v>
      </c>
      <c r="Z496" s="1" t="s">
        <v>10305</v>
      </c>
      <c r="AA496" s="1" t="s">
        <v>10306</v>
      </c>
      <c r="AB496" s="1" t="s">
        <v>10307</v>
      </c>
      <c r="AC496" s="1" t="s">
        <v>10308</v>
      </c>
      <c r="AD496" s="1" t="s">
        <v>10309</v>
      </c>
      <c r="AE496" s="1" t="s">
        <v>10310</v>
      </c>
      <c r="AF496" s="1" t="s">
        <v>10311</v>
      </c>
      <c r="AG496" s="1" t="s">
        <v>10312</v>
      </c>
      <c r="AH496" s="1" t="s">
        <v>10313</v>
      </c>
      <c r="AI496" s="1" t="s">
        <v>10314</v>
      </c>
      <c r="AJ496" s="1" t="s">
        <v>132</v>
      </c>
      <c r="AK496" s="1" t="s">
        <v>10315</v>
      </c>
      <c r="AL496" s="1" t="s">
        <v>10316</v>
      </c>
      <c r="AM496" s="1" t="s">
        <v>10317</v>
      </c>
      <c r="AN496" s="1" t="s">
        <v>10317</v>
      </c>
    </row>
    <row r="497" ht="15.75" customHeight="1">
      <c r="A497" s="1" t="s">
        <v>38</v>
      </c>
      <c r="B497" s="1" t="s">
        <v>10318</v>
      </c>
      <c r="C497" s="1" t="s">
        <v>10319</v>
      </c>
      <c r="D497" s="8" t="s">
        <v>10320</v>
      </c>
      <c r="E497" s="1" t="s">
        <v>10321</v>
      </c>
      <c r="F497" s="1" t="s">
        <v>10322</v>
      </c>
      <c r="G497" s="1" t="s">
        <v>132</v>
      </c>
      <c r="H497" s="1" t="s">
        <v>132</v>
      </c>
      <c r="I497" s="1" t="s">
        <v>10323</v>
      </c>
      <c r="J497" s="1" t="s">
        <v>132</v>
      </c>
      <c r="K497" s="1" t="s">
        <v>10324</v>
      </c>
      <c r="L497" s="1" t="s">
        <v>132</v>
      </c>
      <c r="M497" s="1" t="s">
        <v>10325</v>
      </c>
      <c r="N497" s="1" t="s">
        <v>10326</v>
      </c>
      <c r="O497" s="1" t="s">
        <v>132</v>
      </c>
      <c r="P497" s="1" t="s">
        <v>10327</v>
      </c>
      <c r="Q497" s="1" t="s">
        <v>10328</v>
      </c>
      <c r="R497" s="1" t="s">
        <v>132</v>
      </c>
      <c r="S497" s="1" t="s">
        <v>10329</v>
      </c>
      <c r="T497" s="1" t="s">
        <v>132</v>
      </c>
      <c r="U497" s="1" t="s">
        <v>10330</v>
      </c>
      <c r="V497" s="1" t="s">
        <v>10331</v>
      </c>
      <c r="W497" s="1" t="s">
        <v>132</v>
      </c>
      <c r="X497" s="1" t="s">
        <v>10332</v>
      </c>
      <c r="Y497" s="1" t="s">
        <v>132</v>
      </c>
      <c r="Z497" s="1" t="s">
        <v>10333</v>
      </c>
      <c r="AA497" s="1" t="s">
        <v>10334</v>
      </c>
      <c r="AB497" s="1" t="s">
        <v>132</v>
      </c>
      <c r="AC497" s="1" t="s">
        <v>10335</v>
      </c>
      <c r="AD497" s="1" t="s">
        <v>10336</v>
      </c>
      <c r="AE497" s="1" t="s">
        <v>132</v>
      </c>
      <c r="AF497" s="1" t="s">
        <v>10337</v>
      </c>
      <c r="AG497" s="1" t="s">
        <v>10338</v>
      </c>
      <c r="AH497" s="1" t="s">
        <v>132</v>
      </c>
      <c r="AI497" s="1" t="s">
        <v>132</v>
      </c>
      <c r="AJ497" s="1" t="s">
        <v>10339</v>
      </c>
      <c r="AK497" s="1" t="s">
        <v>10340</v>
      </c>
      <c r="AL497" s="1" t="s">
        <v>132</v>
      </c>
      <c r="AM497" s="1" t="s">
        <v>10341</v>
      </c>
      <c r="AN497" s="1" t="s">
        <v>10341</v>
      </c>
    </row>
    <row r="498" ht="15.75" customHeight="1">
      <c r="A498" s="1" t="s">
        <v>38</v>
      </c>
      <c r="B498" s="1" t="s">
        <v>10342</v>
      </c>
      <c r="C498" s="1" t="s">
        <v>10343</v>
      </c>
      <c r="D498" s="1" t="s">
        <v>132</v>
      </c>
      <c r="E498" s="1" t="s">
        <v>10344</v>
      </c>
      <c r="F498" s="1" t="s">
        <v>10345</v>
      </c>
      <c r="G498" s="1" t="s">
        <v>132</v>
      </c>
      <c r="H498" s="1" t="s">
        <v>132</v>
      </c>
      <c r="I498" s="1" t="s">
        <v>10346</v>
      </c>
      <c r="J498" s="1" t="s">
        <v>132</v>
      </c>
      <c r="K498" s="1" t="s">
        <v>10347</v>
      </c>
      <c r="L498" s="1" t="s">
        <v>132</v>
      </c>
      <c r="M498" s="1" t="s">
        <v>10348</v>
      </c>
      <c r="N498" s="1" t="s">
        <v>10349</v>
      </c>
      <c r="O498" s="1" t="s">
        <v>132</v>
      </c>
      <c r="P498" s="1" t="s">
        <v>10350</v>
      </c>
      <c r="Q498" s="1" t="s">
        <v>132</v>
      </c>
      <c r="R498" s="1" t="s">
        <v>132</v>
      </c>
      <c r="S498" s="1" t="s">
        <v>10351</v>
      </c>
      <c r="T498" s="1" t="s">
        <v>132</v>
      </c>
      <c r="U498" s="1" t="s">
        <v>10352</v>
      </c>
      <c r="V498" s="1" t="s">
        <v>10353</v>
      </c>
      <c r="W498" s="1" t="s">
        <v>132</v>
      </c>
      <c r="X498" s="1" t="s">
        <v>10354</v>
      </c>
      <c r="Y498" s="1" t="s">
        <v>132</v>
      </c>
      <c r="Z498" s="1" t="s">
        <v>10355</v>
      </c>
      <c r="AA498" s="1" t="s">
        <v>10356</v>
      </c>
      <c r="AB498" s="1" t="s">
        <v>132</v>
      </c>
      <c r="AC498" s="1" t="s">
        <v>10357</v>
      </c>
      <c r="AD498" s="1" t="s">
        <v>132</v>
      </c>
      <c r="AE498" s="1" t="s">
        <v>132</v>
      </c>
      <c r="AF498" s="1" t="s">
        <v>10358</v>
      </c>
      <c r="AG498" s="1" t="s">
        <v>10359</v>
      </c>
      <c r="AH498" s="1" t="s">
        <v>132</v>
      </c>
      <c r="AI498" s="1" t="s">
        <v>132</v>
      </c>
      <c r="AJ498" s="1" t="s">
        <v>10361</v>
      </c>
      <c r="AK498" s="1" t="s">
        <v>10362</v>
      </c>
      <c r="AL498" s="1" t="s">
        <v>132</v>
      </c>
      <c r="AM498" s="1" t="s">
        <v>10363</v>
      </c>
      <c r="AN498" s="1" t="s">
        <v>10363</v>
      </c>
    </row>
    <row r="499" ht="15.75" customHeight="1">
      <c r="A499" s="1" t="s">
        <v>38</v>
      </c>
      <c r="B499" s="1" t="s">
        <v>10364</v>
      </c>
      <c r="C499" s="1" t="s">
        <v>10365</v>
      </c>
      <c r="D499" s="1" t="s">
        <v>132</v>
      </c>
      <c r="E499" s="1" t="s">
        <v>132</v>
      </c>
      <c r="F499" s="1" t="s">
        <v>132</v>
      </c>
      <c r="G499" s="1" t="s">
        <v>132</v>
      </c>
      <c r="H499" s="1" t="s">
        <v>132</v>
      </c>
      <c r="I499" s="1" t="s">
        <v>10365</v>
      </c>
      <c r="J499" s="1" t="s">
        <v>132</v>
      </c>
      <c r="K499" s="1" t="s">
        <v>10365</v>
      </c>
      <c r="L499" s="1" t="s">
        <v>132</v>
      </c>
      <c r="M499" s="1" t="s">
        <v>10365</v>
      </c>
      <c r="N499" s="1" t="s">
        <v>132</v>
      </c>
      <c r="O499" s="1" t="s">
        <v>132</v>
      </c>
      <c r="P499" s="1" t="s">
        <v>10365</v>
      </c>
      <c r="Q499" s="1" t="s">
        <v>132</v>
      </c>
      <c r="R499" s="1" t="s">
        <v>132</v>
      </c>
      <c r="S499" s="1" t="s">
        <v>132</v>
      </c>
      <c r="T499" s="1" t="s">
        <v>132</v>
      </c>
      <c r="U499" s="1" t="s">
        <v>132</v>
      </c>
      <c r="V499" s="1" t="s">
        <v>132</v>
      </c>
      <c r="W499" s="1" t="s">
        <v>132</v>
      </c>
      <c r="X499" s="1" t="s">
        <v>132</v>
      </c>
      <c r="Y499" s="1" t="s">
        <v>132</v>
      </c>
      <c r="Z499" s="1" t="s">
        <v>132</v>
      </c>
      <c r="AA499" s="1" t="s">
        <v>132</v>
      </c>
      <c r="AB499" s="1" t="s">
        <v>132</v>
      </c>
      <c r="AC499" s="1" t="s">
        <v>10366</v>
      </c>
      <c r="AD499" s="1" t="s">
        <v>132</v>
      </c>
      <c r="AE499" s="1" t="s">
        <v>132</v>
      </c>
      <c r="AF499" s="1" t="s">
        <v>10367</v>
      </c>
      <c r="AG499" s="1" t="s">
        <v>132</v>
      </c>
      <c r="AH499" s="1" t="s">
        <v>132</v>
      </c>
      <c r="AI499" s="1" t="s">
        <v>132</v>
      </c>
      <c r="AJ499" s="1" t="s">
        <v>132</v>
      </c>
      <c r="AK499" s="1" t="s">
        <v>132</v>
      </c>
      <c r="AL499" s="1" t="s">
        <v>132</v>
      </c>
      <c r="AM499" s="1" t="s">
        <v>132</v>
      </c>
      <c r="AN499" s="1" t="s">
        <v>132</v>
      </c>
    </row>
    <row r="500" ht="15.75" customHeight="1">
      <c r="A500" s="1" t="s">
        <v>43182</v>
      </c>
      <c r="B500" s="1" t="s">
        <v>43227</v>
      </c>
      <c r="C500" s="1" t="s">
        <v>43228</v>
      </c>
      <c r="D500" s="1" t="s">
        <v>132</v>
      </c>
      <c r="E500" s="1" t="s">
        <v>132</v>
      </c>
      <c r="F500" s="1" t="s">
        <v>132</v>
      </c>
      <c r="G500" s="1" t="s">
        <v>132</v>
      </c>
      <c r="H500" s="1" t="s">
        <v>132</v>
      </c>
      <c r="I500" s="1" t="s">
        <v>132</v>
      </c>
      <c r="J500" s="1" t="s">
        <v>132</v>
      </c>
      <c r="K500" s="1" t="s">
        <v>132</v>
      </c>
      <c r="L500" s="1" t="s">
        <v>132</v>
      </c>
      <c r="M500" s="1" t="s">
        <v>132</v>
      </c>
      <c r="N500" s="1" t="s">
        <v>132</v>
      </c>
      <c r="O500" s="1" t="s">
        <v>132</v>
      </c>
      <c r="P500" s="1" t="s">
        <v>132</v>
      </c>
      <c r="Q500" s="1" t="s">
        <v>132</v>
      </c>
      <c r="R500" s="1" t="s">
        <v>132</v>
      </c>
      <c r="S500" s="1" t="s">
        <v>132</v>
      </c>
      <c r="T500" s="1" t="s">
        <v>132</v>
      </c>
      <c r="U500" s="1" t="s">
        <v>132</v>
      </c>
      <c r="V500" s="1" t="s">
        <v>132</v>
      </c>
      <c r="W500" s="1" t="s">
        <v>132</v>
      </c>
      <c r="X500" s="1" t="s">
        <v>132</v>
      </c>
      <c r="Y500" s="1" t="s">
        <v>132</v>
      </c>
      <c r="Z500" s="1" t="s">
        <v>132</v>
      </c>
      <c r="AA500" s="1" t="s">
        <v>132</v>
      </c>
      <c r="AB500" s="1" t="s">
        <v>132</v>
      </c>
      <c r="AC500" s="1" t="s">
        <v>132</v>
      </c>
      <c r="AD500" s="1" t="s">
        <v>132</v>
      </c>
      <c r="AE500" s="1" t="s">
        <v>132</v>
      </c>
      <c r="AF500" s="1" t="s">
        <v>132</v>
      </c>
      <c r="AG500" s="1" t="s">
        <v>132</v>
      </c>
      <c r="AH500" s="1" t="s">
        <v>132</v>
      </c>
      <c r="AI500" s="1" t="s">
        <v>132</v>
      </c>
      <c r="AJ500" s="1" t="s">
        <v>132</v>
      </c>
      <c r="AK500" s="1" t="s">
        <v>132</v>
      </c>
      <c r="AL500" s="1" t="s">
        <v>132</v>
      </c>
      <c r="AM500" s="1" t="s">
        <v>132</v>
      </c>
      <c r="AN500" s="1" t="s">
        <v>132</v>
      </c>
    </row>
    <row r="501" ht="15.75" customHeight="1">
      <c r="A501" s="1" t="s">
        <v>127</v>
      </c>
      <c r="B501" s="1" t="s">
        <v>10368</v>
      </c>
      <c r="C501" s="1" t="s">
        <v>10369</v>
      </c>
      <c r="D501" s="8" t="s">
        <v>10370</v>
      </c>
      <c r="E501" s="1" t="s">
        <v>10371</v>
      </c>
      <c r="F501" s="1" t="s">
        <v>132</v>
      </c>
      <c r="G501" s="1" t="s">
        <v>8782</v>
      </c>
      <c r="H501" s="1" t="s">
        <v>10372</v>
      </c>
      <c r="I501" s="1" t="s">
        <v>10373</v>
      </c>
      <c r="J501" s="1" t="s">
        <v>10374</v>
      </c>
      <c r="K501" s="1" t="s">
        <v>10375</v>
      </c>
      <c r="L501" s="1" t="s">
        <v>10376</v>
      </c>
      <c r="M501" s="1" t="s">
        <v>10377</v>
      </c>
      <c r="N501" s="1" t="s">
        <v>132</v>
      </c>
      <c r="O501" s="1" t="s">
        <v>10378</v>
      </c>
      <c r="P501" s="1" t="s">
        <v>10379</v>
      </c>
      <c r="Q501" s="1" t="s">
        <v>132</v>
      </c>
      <c r="R501" s="1" t="s">
        <v>10380</v>
      </c>
      <c r="S501" s="1" t="s">
        <v>10381</v>
      </c>
      <c r="T501" s="8" t="s">
        <v>10382</v>
      </c>
      <c r="U501" s="1" t="s">
        <v>10383</v>
      </c>
      <c r="V501" s="1" t="s">
        <v>10384</v>
      </c>
      <c r="W501" s="1" t="s">
        <v>10380</v>
      </c>
      <c r="X501" s="1" t="s">
        <v>10385</v>
      </c>
      <c r="Y501" s="1" t="s">
        <v>10386</v>
      </c>
      <c r="Z501" s="1" t="s">
        <v>1255</v>
      </c>
      <c r="AA501" s="1" t="s">
        <v>10387</v>
      </c>
      <c r="AB501" s="1" t="s">
        <v>10388</v>
      </c>
      <c r="AC501" s="1" t="s">
        <v>8800</v>
      </c>
      <c r="AD501" s="1" t="s">
        <v>8801</v>
      </c>
      <c r="AE501" s="1" t="s">
        <v>10389</v>
      </c>
      <c r="AF501" s="1" t="s">
        <v>8803</v>
      </c>
      <c r="AG501" s="1" t="s">
        <v>10390</v>
      </c>
      <c r="AH501" s="1" t="s">
        <v>10391</v>
      </c>
      <c r="AI501" s="1" t="s">
        <v>10392</v>
      </c>
      <c r="AJ501" s="1" t="s">
        <v>132</v>
      </c>
      <c r="AK501" s="1" t="s">
        <v>10393</v>
      </c>
      <c r="AL501" s="1" t="s">
        <v>10394</v>
      </c>
      <c r="AM501" s="1" t="s">
        <v>10395</v>
      </c>
      <c r="AN501" s="1" t="s">
        <v>10395</v>
      </c>
    </row>
    <row r="502" ht="15.75" customHeight="1">
      <c r="A502" s="1" t="s">
        <v>38</v>
      </c>
      <c r="B502" s="1" t="s">
        <v>10396</v>
      </c>
      <c r="C502" s="1" t="s">
        <v>10397</v>
      </c>
      <c r="D502" s="8" t="s">
        <v>9828</v>
      </c>
      <c r="E502" s="1" t="s">
        <v>9829</v>
      </c>
      <c r="F502" s="1" t="s">
        <v>9830</v>
      </c>
      <c r="G502" s="1" t="s">
        <v>132</v>
      </c>
      <c r="H502" s="1" t="s">
        <v>132</v>
      </c>
      <c r="I502" s="1" t="s">
        <v>9831</v>
      </c>
      <c r="J502" s="1" t="s">
        <v>132</v>
      </c>
      <c r="K502" s="1" t="s">
        <v>10398</v>
      </c>
      <c r="L502" s="1" t="s">
        <v>132</v>
      </c>
      <c r="M502" s="1" t="s">
        <v>10399</v>
      </c>
      <c r="N502" s="1" t="s">
        <v>9834</v>
      </c>
      <c r="O502" s="1" t="s">
        <v>132</v>
      </c>
      <c r="P502" s="1" t="s">
        <v>9835</v>
      </c>
      <c r="Q502" s="1" t="s">
        <v>9836</v>
      </c>
      <c r="R502" s="1" t="s">
        <v>132</v>
      </c>
      <c r="S502" s="1" t="s">
        <v>7667</v>
      </c>
      <c r="T502" s="1" t="s">
        <v>132</v>
      </c>
      <c r="U502" s="1" t="s">
        <v>7668</v>
      </c>
      <c r="V502" s="1" t="s">
        <v>10400</v>
      </c>
      <c r="W502" s="1" t="s">
        <v>132</v>
      </c>
      <c r="X502" s="1" t="s">
        <v>9838</v>
      </c>
      <c r="Y502" s="1" t="s">
        <v>132</v>
      </c>
      <c r="Z502" s="1" t="s">
        <v>9839</v>
      </c>
      <c r="AA502" s="1" t="s">
        <v>9840</v>
      </c>
      <c r="AB502" s="1" t="s">
        <v>132</v>
      </c>
      <c r="AC502" s="1" t="s">
        <v>9841</v>
      </c>
      <c r="AD502" s="1" t="s">
        <v>9842</v>
      </c>
      <c r="AE502" s="1" t="s">
        <v>132</v>
      </c>
      <c r="AF502" s="1" t="s">
        <v>10401</v>
      </c>
      <c r="AG502" s="1" t="s">
        <v>10402</v>
      </c>
      <c r="AH502" s="1" t="s">
        <v>132</v>
      </c>
      <c r="AI502" s="1" t="s">
        <v>132</v>
      </c>
      <c r="AJ502" s="1" t="s">
        <v>9845</v>
      </c>
      <c r="AK502" s="1" t="s">
        <v>9846</v>
      </c>
      <c r="AL502" s="1" t="s">
        <v>132</v>
      </c>
      <c r="AM502" s="1" t="s">
        <v>9847</v>
      </c>
      <c r="AN502" s="1" t="s">
        <v>9847</v>
      </c>
    </row>
    <row r="503" ht="15.75" customHeight="1">
      <c r="A503" s="1" t="s">
        <v>38</v>
      </c>
      <c r="B503" s="1" t="s">
        <v>10403</v>
      </c>
      <c r="C503" s="1" t="s">
        <v>10404</v>
      </c>
      <c r="D503" s="8" t="s">
        <v>10405</v>
      </c>
      <c r="E503" s="1" t="s">
        <v>10406</v>
      </c>
      <c r="F503" s="1" t="s">
        <v>10407</v>
      </c>
      <c r="G503" s="1" t="s">
        <v>132</v>
      </c>
      <c r="H503" s="1" t="s">
        <v>132</v>
      </c>
      <c r="I503" s="1" t="s">
        <v>10408</v>
      </c>
      <c r="J503" s="1" t="s">
        <v>132</v>
      </c>
      <c r="K503" s="1" t="s">
        <v>10409</v>
      </c>
      <c r="L503" s="1" t="s">
        <v>132</v>
      </c>
      <c r="M503" s="1" t="s">
        <v>10410</v>
      </c>
      <c r="N503" s="1" t="s">
        <v>10411</v>
      </c>
      <c r="O503" s="1" t="s">
        <v>132</v>
      </c>
      <c r="P503" s="1" t="s">
        <v>10412</v>
      </c>
      <c r="Q503" s="1" t="s">
        <v>10413</v>
      </c>
      <c r="R503" s="1" t="s">
        <v>132</v>
      </c>
      <c r="S503" s="1" t="s">
        <v>10414</v>
      </c>
      <c r="T503" s="1" t="s">
        <v>132</v>
      </c>
      <c r="U503" s="1" t="s">
        <v>10415</v>
      </c>
      <c r="V503" s="1" t="s">
        <v>10416</v>
      </c>
      <c r="W503" s="1" t="s">
        <v>132</v>
      </c>
      <c r="X503" s="1" t="s">
        <v>10417</v>
      </c>
      <c r="Y503" s="1" t="s">
        <v>132</v>
      </c>
      <c r="Z503" s="1" t="s">
        <v>10418</v>
      </c>
      <c r="AA503" s="1" t="s">
        <v>10419</v>
      </c>
      <c r="AB503" s="1" t="s">
        <v>132</v>
      </c>
      <c r="AC503" s="1" t="s">
        <v>10420</v>
      </c>
      <c r="AD503" s="1" t="s">
        <v>10421</v>
      </c>
      <c r="AE503" s="1" t="s">
        <v>132</v>
      </c>
      <c r="AF503" s="1" t="s">
        <v>10422</v>
      </c>
      <c r="AG503" s="1" t="s">
        <v>10423</v>
      </c>
      <c r="AH503" s="1" t="s">
        <v>132</v>
      </c>
      <c r="AI503" s="1" t="s">
        <v>132</v>
      </c>
      <c r="AJ503" s="1" t="s">
        <v>10424</v>
      </c>
      <c r="AK503" s="1" t="s">
        <v>10425</v>
      </c>
      <c r="AL503" s="1" t="s">
        <v>132</v>
      </c>
      <c r="AM503" s="1" t="s">
        <v>10426</v>
      </c>
      <c r="AN503" s="1" t="s">
        <v>10426</v>
      </c>
    </row>
    <row r="504" ht="15.75" customHeight="1">
      <c r="A504" s="1" t="s">
        <v>38</v>
      </c>
      <c r="B504" s="1" t="s">
        <v>10427</v>
      </c>
      <c r="C504" s="1" t="s">
        <v>10428</v>
      </c>
      <c r="D504" s="1" t="s">
        <v>132</v>
      </c>
      <c r="E504" s="1" t="s">
        <v>10429</v>
      </c>
      <c r="F504" s="1" t="s">
        <v>132</v>
      </c>
      <c r="G504" s="1" t="s">
        <v>132</v>
      </c>
      <c r="H504" s="1" t="s">
        <v>132</v>
      </c>
      <c r="I504" s="1" t="s">
        <v>10430</v>
      </c>
      <c r="J504" s="1" t="s">
        <v>132</v>
      </c>
      <c r="K504" s="1" t="s">
        <v>10431</v>
      </c>
      <c r="L504" s="1" t="s">
        <v>132</v>
      </c>
      <c r="M504" s="1" t="s">
        <v>10432</v>
      </c>
      <c r="N504" s="1" t="s">
        <v>10433</v>
      </c>
      <c r="O504" s="1" t="s">
        <v>132</v>
      </c>
      <c r="P504" s="1" t="s">
        <v>10434</v>
      </c>
      <c r="Q504" s="1" t="s">
        <v>132</v>
      </c>
      <c r="R504" s="1" t="s">
        <v>132</v>
      </c>
      <c r="S504" s="1" t="s">
        <v>10435</v>
      </c>
      <c r="T504" s="1" t="s">
        <v>132</v>
      </c>
      <c r="U504" s="1" t="s">
        <v>132</v>
      </c>
      <c r="V504" s="1" t="s">
        <v>132</v>
      </c>
      <c r="W504" s="1" t="s">
        <v>132</v>
      </c>
      <c r="X504" s="1" t="s">
        <v>10436</v>
      </c>
      <c r="Y504" s="1" t="s">
        <v>132</v>
      </c>
      <c r="Z504" s="1" t="s">
        <v>10437</v>
      </c>
      <c r="AA504" s="1" t="s">
        <v>132</v>
      </c>
      <c r="AB504" s="1" t="s">
        <v>132</v>
      </c>
      <c r="AC504" s="1" t="s">
        <v>132</v>
      </c>
      <c r="AD504" s="1" t="s">
        <v>132</v>
      </c>
      <c r="AE504" s="1" t="s">
        <v>132</v>
      </c>
      <c r="AF504" s="1" t="s">
        <v>10438</v>
      </c>
      <c r="AG504" s="1" t="s">
        <v>132</v>
      </c>
      <c r="AH504" s="1" t="s">
        <v>132</v>
      </c>
      <c r="AI504" s="1" t="s">
        <v>132</v>
      </c>
      <c r="AJ504" s="1" t="s">
        <v>132</v>
      </c>
      <c r="AK504" s="1" t="s">
        <v>132</v>
      </c>
      <c r="AL504" s="1" t="s">
        <v>132</v>
      </c>
      <c r="AM504" s="1" t="s">
        <v>132</v>
      </c>
      <c r="AN504" s="1" t="s">
        <v>132</v>
      </c>
    </row>
    <row r="505" ht="15.75" customHeight="1">
      <c r="A505" s="1" t="s">
        <v>127</v>
      </c>
      <c r="B505" s="1" t="s">
        <v>10439</v>
      </c>
      <c r="C505" s="1" t="s">
        <v>10440</v>
      </c>
      <c r="D505" s="1" t="s">
        <v>10441</v>
      </c>
      <c r="E505" s="1" t="s">
        <v>10440</v>
      </c>
      <c r="F505" s="1" t="s">
        <v>132</v>
      </c>
      <c r="G505" s="1" t="s">
        <v>10440</v>
      </c>
      <c r="H505" s="1" t="s">
        <v>10440</v>
      </c>
      <c r="I505" s="1" t="s">
        <v>10440</v>
      </c>
      <c r="J505" s="1" t="s">
        <v>10440</v>
      </c>
      <c r="K505" s="1" t="s">
        <v>132</v>
      </c>
      <c r="L505" s="1" t="s">
        <v>10440</v>
      </c>
      <c r="M505" s="1" t="s">
        <v>10440</v>
      </c>
      <c r="N505" s="1" t="s">
        <v>132</v>
      </c>
      <c r="O505" s="1" t="s">
        <v>10440</v>
      </c>
      <c r="P505" s="1" t="s">
        <v>10440</v>
      </c>
      <c r="Q505" s="1" t="s">
        <v>132</v>
      </c>
      <c r="R505" s="1" t="s">
        <v>10440</v>
      </c>
      <c r="S505" s="1" t="s">
        <v>10440</v>
      </c>
      <c r="T505" s="1" t="s">
        <v>10440</v>
      </c>
      <c r="U505" s="1" t="s">
        <v>10440</v>
      </c>
      <c r="V505" s="1" t="s">
        <v>10440</v>
      </c>
      <c r="W505" s="1" t="s">
        <v>10440</v>
      </c>
      <c r="X505" s="1" t="s">
        <v>10440</v>
      </c>
      <c r="Y505" s="1" t="s">
        <v>10440</v>
      </c>
      <c r="Z505" s="11" t="s">
        <v>10440</v>
      </c>
      <c r="AA505" s="1" t="s">
        <v>10440</v>
      </c>
      <c r="AB505" s="1" t="s">
        <v>10440</v>
      </c>
      <c r="AC505" s="1" t="s">
        <v>132</v>
      </c>
      <c r="AD505" s="1" t="s">
        <v>10440</v>
      </c>
      <c r="AE505" s="1" t="s">
        <v>10440</v>
      </c>
      <c r="AF505" s="1" t="s">
        <v>132</v>
      </c>
      <c r="AG505" s="1" t="s">
        <v>10440</v>
      </c>
      <c r="AH505" s="1" t="s">
        <v>10440</v>
      </c>
      <c r="AI505" s="1" t="s">
        <v>10442</v>
      </c>
      <c r="AJ505" s="1" t="s">
        <v>132</v>
      </c>
      <c r="AK505" s="1" t="s">
        <v>10440</v>
      </c>
      <c r="AL505" s="1" t="s">
        <v>10440</v>
      </c>
      <c r="AM505" s="1" t="s">
        <v>10443</v>
      </c>
      <c r="AN505" s="1" t="s">
        <v>10443</v>
      </c>
    </row>
    <row r="506" ht="15.75" customHeight="1">
      <c r="A506" s="1" t="s">
        <v>127</v>
      </c>
      <c r="B506" s="1" t="s">
        <v>10444</v>
      </c>
      <c r="C506" s="1" t="s">
        <v>10445</v>
      </c>
      <c r="D506" s="8" t="s">
        <v>10446</v>
      </c>
      <c r="E506" s="1" t="s">
        <v>10447</v>
      </c>
      <c r="F506" s="1" t="s">
        <v>132</v>
      </c>
      <c r="G506" s="1" t="s">
        <v>10448</v>
      </c>
      <c r="H506" s="1" t="s">
        <v>10449</v>
      </c>
      <c r="I506" s="1" t="s">
        <v>10450</v>
      </c>
      <c r="J506" s="1" t="s">
        <v>10451</v>
      </c>
      <c r="K506" s="1" t="s">
        <v>10452</v>
      </c>
      <c r="L506" s="1" t="s">
        <v>10453</v>
      </c>
      <c r="M506" s="1" t="s">
        <v>10454</v>
      </c>
      <c r="N506" s="1" t="s">
        <v>132</v>
      </c>
      <c r="O506" s="1" t="s">
        <v>10455</v>
      </c>
      <c r="P506" s="1" t="s">
        <v>10456</v>
      </c>
      <c r="Q506" s="1" t="s">
        <v>132</v>
      </c>
      <c r="R506" s="1" t="s">
        <v>10457</v>
      </c>
      <c r="S506" s="1" t="s">
        <v>10458</v>
      </c>
      <c r="T506" s="8" t="s">
        <v>10459</v>
      </c>
      <c r="U506" s="1" t="s">
        <v>10460</v>
      </c>
      <c r="V506" s="1" t="s">
        <v>10461</v>
      </c>
      <c r="W506" s="1" t="s">
        <v>10462</v>
      </c>
      <c r="X506" s="1" t="s">
        <v>10463</v>
      </c>
      <c r="Y506" s="1" t="s">
        <v>10464</v>
      </c>
      <c r="Z506" s="1" t="s">
        <v>10465</v>
      </c>
      <c r="AA506" s="1" t="s">
        <v>10466</v>
      </c>
      <c r="AB506" s="1" t="s">
        <v>10467</v>
      </c>
      <c r="AC506" s="1" t="s">
        <v>10468</v>
      </c>
      <c r="AD506" s="1" t="s">
        <v>10469</v>
      </c>
      <c r="AE506" s="1" t="s">
        <v>10470</v>
      </c>
      <c r="AF506" s="1" t="s">
        <v>10471</v>
      </c>
      <c r="AG506" s="1" t="s">
        <v>10472</v>
      </c>
      <c r="AH506" s="1" t="s">
        <v>10473</v>
      </c>
      <c r="AI506" s="1" t="s">
        <v>10474</v>
      </c>
      <c r="AJ506" s="1" t="s">
        <v>132</v>
      </c>
      <c r="AK506" s="1" t="s">
        <v>10475</v>
      </c>
      <c r="AL506" s="1" t="s">
        <v>10476</v>
      </c>
      <c r="AM506" s="1" t="s">
        <v>132</v>
      </c>
      <c r="AN506" s="1" t="s">
        <v>132</v>
      </c>
    </row>
    <row r="507" ht="15.75" customHeight="1">
      <c r="A507" s="1" t="s">
        <v>127</v>
      </c>
      <c r="B507" s="1" t="s">
        <v>10477</v>
      </c>
      <c r="C507" s="1" t="s">
        <v>10478</v>
      </c>
      <c r="D507" s="8" t="s">
        <v>10479</v>
      </c>
      <c r="E507" s="1" t="s">
        <v>10480</v>
      </c>
      <c r="F507" s="1" t="s">
        <v>132</v>
      </c>
      <c r="G507" s="1" t="s">
        <v>10481</v>
      </c>
      <c r="H507" s="1" t="s">
        <v>10482</v>
      </c>
      <c r="I507" s="1" t="s">
        <v>10483</v>
      </c>
      <c r="J507" s="1" t="s">
        <v>10484</v>
      </c>
      <c r="K507" s="1" t="s">
        <v>10485</v>
      </c>
      <c r="L507" s="1" t="s">
        <v>10486</v>
      </c>
      <c r="M507" s="1" t="s">
        <v>10487</v>
      </c>
      <c r="N507" s="1" t="s">
        <v>132</v>
      </c>
      <c r="O507" s="1" t="s">
        <v>10488</v>
      </c>
      <c r="P507" s="1" t="s">
        <v>10489</v>
      </c>
      <c r="Q507" s="1" t="s">
        <v>132</v>
      </c>
      <c r="R507" s="1" t="s">
        <v>10490</v>
      </c>
      <c r="S507" s="1" t="s">
        <v>10491</v>
      </c>
      <c r="T507" s="8" t="s">
        <v>10492</v>
      </c>
      <c r="U507" s="1" t="s">
        <v>10493</v>
      </c>
      <c r="V507" s="1" t="s">
        <v>10494</v>
      </c>
      <c r="W507" s="1" t="s">
        <v>10490</v>
      </c>
      <c r="X507" s="1" t="s">
        <v>10495</v>
      </c>
      <c r="Y507" s="1" t="s">
        <v>10496</v>
      </c>
      <c r="Z507" s="1" t="s">
        <v>10497</v>
      </c>
      <c r="AA507" s="1" t="s">
        <v>10485</v>
      </c>
      <c r="AB507" s="1" t="s">
        <v>10498</v>
      </c>
      <c r="AC507" s="1" t="s">
        <v>10499</v>
      </c>
      <c r="AD507" s="1" t="s">
        <v>10500</v>
      </c>
      <c r="AE507" s="1" t="s">
        <v>10501</v>
      </c>
      <c r="AF507" s="1" t="s">
        <v>10502</v>
      </c>
      <c r="AG507" s="1" t="s">
        <v>10503</v>
      </c>
      <c r="AH507" s="1" t="s">
        <v>10504</v>
      </c>
      <c r="AI507" s="1" t="s">
        <v>10505</v>
      </c>
      <c r="AJ507" s="1" t="s">
        <v>132</v>
      </c>
      <c r="AK507" s="1" t="s">
        <v>10506</v>
      </c>
      <c r="AL507" s="1" t="s">
        <v>10507</v>
      </c>
      <c r="AM507" s="1" t="s">
        <v>132</v>
      </c>
      <c r="AN507" s="1" t="s">
        <v>132</v>
      </c>
    </row>
    <row r="508" ht="15.75" customHeight="1">
      <c r="A508" s="1" t="s">
        <v>127</v>
      </c>
      <c r="B508" s="1" t="s">
        <v>10508</v>
      </c>
      <c r="C508" s="1" t="s">
        <v>10509</v>
      </c>
      <c r="D508" s="8" t="s">
        <v>10510</v>
      </c>
      <c r="E508" s="1" t="s">
        <v>10511</v>
      </c>
      <c r="F508" s="1" t="s">
        <v>132</v>
      </c>
      <c r="G508" s="1" t="s">
        <v>10512</v>
      </c>
      <c r="H508" s="1" t="s">
        <v>10513</v>
      </c>
      <c r="I508" s="1" t="s">
        <v>10514</v>
      </c>
      <c r="J508" s="1" t="s">
        <v>10515</v>
      </c>
      <c r="K508" s="1" t="s">
        <v>10516</v>
      </c>
      <c r="L508" s="1" t="s">
        <v>10517</v>
      </c>
      <c r="M508" s="1" t="s">
        <v>10518</v>
      </c>
      <c r="N508" s="1" t="s">
        <v>132</v>
      </c>
      <c r="O508" s="1" t="s">
        <v>10519</v>
      </c>
      <c r="P508" s="1" t="s">
        <v>10520</v>
      </c>
      <c r="Q508" s="1" t="s">
        <v>132</v>
      </c>
      <c r="R508" s="1" t="s">
        <v>10521</v>
      </c>
      <c r="S508" s="1" t="s">
        <v>10522</v>
      </c>
      <c r="T508" s="8" t="s">
        <v>10523</v>
      </c>
      <c r="U508" s="1" t="s">
        <v>10524</v>
      </c>
      <c r="V508" s="1" t="s">
        <v>10525</v>
      </c>
      <c r="W508" s="1" t="s">
        <v>10526</v>
      </c>
      <c r="X508" s="1" t="s">
        <v>10527</v>
      </c>
      <c r="Y508" s="1" t="s">
        <v>10528</v>
      </c>
      <c r="Z508" s="1" t="s">
        <v>10529</v>
      </c>
      <c r="AA508" s="1" t="s">
        <v>10530</v>
      </c>
      <c r="AB508" s="1" t="s">
        <v>10531</v>
      </c>
      <c r="AC508" s="1" t="s">
        <v>10532</v>
      </c>
      <c r="AD508" s="1" t="s">
        <v>10533</v>
      </c>
      <c r="AE508" s="1" t="s">
        <v>10534</v>
      </c>
      <c r="AF508" s="1" t="s">
        <v>10535</v>
      </c>
      <c r="AG508" s="1" t="s">
        <v>10513</v>
      </c>
      <c r="AH508" s="1" t="s">
        <v>10536</v>
      </c>
      <c r="AI508" s="1" t="s">
        <v>10537</v>
      </c>
      <c r="AJ508" s="1" t="s">
        <v>132</v>
      </c>
      <c r="AK508" s="1" t="s">
        <v>10538</v>
      </c>
      <c r="AL508" s="1" t="s">
        <v>10539</v>
      </c>
      <c r="AM508" s="1" t="s">
        <v>132</v>
      </c>
      <c r="AN508" s="1" t="s">
        <v>132</v>
      </c>
    </row>
    <row r="509" ht="15.75" customHeight="1">
      <c r="A509" s="1" t="s">
        <v>38</v>
      </c>
      <c r="B509" s="1" t="s">
        <v>10540</v>
      </c>
      <c r="C509" s="1" t="s">
        <v>10541</v>
      </c>
      <c r="D509" s="8" t="s">
        <v>10542</v>
      </c>
      <c r="E509" s="1" t="s">
        <v>10543</v>
      </c>
      <c r="F509" s="1" t="s">
        <v>10544</v>
      </c>
      <c r="G509" s="1" t="s">
        <v>132</v>
      </c>
      <c r="H509" s="1" t="s">
        <v>132</v>
      </c>
      <c r="I509" s="1" t="s">
        <v>10545</v>
      </c>
      <c r="J509" s="1" t="s">
        <v>132</v>
      </c>
      <c r="K509" s="1" t="s">
        <v>10546</v>
      </c>
      <c r="L509" s="1" t="s">
        <v>132</v>
      </c>
      <c r="M509" s="1" t="s">
        <v>10547</v>
      </c>
      <c r="N509" s="1" t="s">
        <v>10548</v>
      </c>
      <c r="O509" s="1" t="s">
        <v>132</v>
      </c>
      <c r="P509" s="1" t="s">
        <v>10549</v>
      </c>
      <c r="Q509" s="1" t="s">
        <v>132</v>
      </c>
      <c r="R509" s="1" t="s">
        <v>132</v>
      </c>
      <c r="S509" s="1" t="s">
        <v>10550</v>
      </c>
      <c r="T509" s="1" t="s">
        <v>132</v>
      </c>
      <c r="U509" s="1" t="s">
        <v>10551</v>
      </c>
      <c r="V509" s="1" t="s">
        <v>10552</v>
      </c>
      <c r="W509" s="1" t="s">
        <v>132</v>
      </c>
      <c r="X509" s="1" t="s">
        <v>10553</v>
      </c>
      <c r="Y509" s="1" t="s">
        <v>132</v>
      </c>
      <c r="Z509" s="1" t="s">
        <v>10554</v>
      </c>
      <c r="AA509" s="1" t="s">
        <v>132</v>
      </c>
      <c r="AB509" s="1" t="s">
        <v>132</v>
      </c>
      <c r="AC509" s="1" t="s">
        <v>10555</v>
      </c>
      <c r="AD509" s="1" t="s">
        <v>132</v>
      </c>
      <c r="AE509" s="1" t="s">
        <v>132</v>
      </c>
      <c r="AF509" s="1" t="s">
        <v>10556</v>
      </c>
      <c r="AG509" s="1" t="s">
        <v>10557</v>
      </c>
      <c r="AH509" s="1" t="s">
        <v>132</v>
      </c>
      <c r="AI509" s="1" t="s">
        <v>132</v>
      </c>
      <c r="AJ509" s="1" t="s">
        <v>10558</v>
      </c>
      <c r="AK509" s="1" t="s">
        <v>132</v>
      </c>
      <c r="AL509" s="1" t="s">
        <v>132</v>
      </c>
      <c r="AM509" s="1" t="s">
        <v>10559</v>
      </c>
      <c r="AN509" s="1" t="s">
        <v>10559</v>
      </c>
    </row>
    <row r="510" ht="15.75" customHeight="1">
      <c r="A510" s="1" t="s">
        <v>127</v>
      </c>
      <c r="B510" s="1" t="s">
        <v>10560</v>
      </c>
      <c r="C510" s="1" t="s">
        <v>10561</v>
      </c>
      <c r="D510" s="8" t="s">
        <v>10562</v>
      </c>
      <c r="E510" s="1" t="s">
        <v>10563</v>
      </c>
      <c r="F510" s="1" t="s">
        <v>132</v>
      </c>
      <c r="G510" s="1" t="s">
        <v>10564</v>
      </c>
      <c r="H510" s="1" t="s">
        <v>10565</v>
      </c>
      <c r="I510" s="1" t="s">
        <v>10566</v>
      </c>
      <c r="J510" s="1" t="s">
        <v>10567</v>
      </c>
      <c r="K510" s="1" t="s">
        <v>10568</v>
      </c>
      <c r="L510" s="1" t="s">
        <v>10569</v>
      </c>
      <c r="M510" s="1" t="s">
        <v>10570</v>
      </c>
      <c r="N510" s="1" t="s">
        <v>132</v>
      </c>
      <c r="O510" s="1" t="s">
        <v>10571</v>
      </c>
      <c r="P510" s="1" t="s">
        <v>10572</v>
      </c>
      <c r="Q510" s="1" t="s">
        <v>132</v>
      </c>
      <c r="R510" s="1" t="s">
        <v>10573</v>
      </c>
      <c r="S510" s="1" t="s">
        <v>10574</v>
      </c>
      <c r="T510" s="8" t="s">
        <v>10575</v>
      </c>
      <c r="U510" s="1" t="s">
        <v>10576</v>
      </c>
      <c r="V510" s="1" t="s">
        <v>10577</v>
      </c>
      <c r="W510" s="1" t="s">
        <v>10578</v>
      </c>
      <c r="X510" s="1" t="s">
        <v>10579</v>
      </c>
      <c r="Y510" s="1" t="s">
        <v>10580</v>
      </c>
      <c r="Z510" s="1" t="s">
        <v>10581</v>
      </c>
      <c r="AA510" s="1" t="s">
        <v>10582</v>
      </c>
      <c r="AB510" s="1" t="s">
        <v>10583</v>
      </c>
      <c r="AC510" s="1" t="s">
        <v>10584</v>
      </c>
      <c r="AD510" s="1" t="s">
        <v>10585</v>
      </c>
      <c r="AE510" s="1" t="s">
        <v>10586</v>
      </c>
      <c r="AF510" s="1" t="s">
        <v>10587</v>
      </c>
      <c r="AG510" s="1" t="s">
        <v>10588</v>
      </c>
      <c r="AH510" s="1" t="s">
        <v>10589</v>
      </c>
      <c r="AI510" s="1" t="s">
        <v>10590</v>
      </c>
      <c r="AJ510" s="1" t="s">
        <v>132</v>
      </c>
      <c r="AK510" s="1" t="s">
        <v>10591</v>
      </c>
      <c r="AL510" s="1" t="s">
        <v>10592</v>
      </c>
      <c r="AM510" s="1" t="s">
        <v>132</v>
      </c>
      <c r="AN510" s="1" t="s">
        <v>132</v>
      </c>
    </row>
    <row r="511" ht="15.75" customHeight="1">
      <c r="A511" s="1" t="s">
        <v>43182</v>
      </c>
      <c r="B511" s="1" t="s">
        <v>43229</v>
      </c>
      <c r="C511" s="1" t="s">
        <v>43230</v>
      </c>
      <c r="D511" s="1" t="s">
        <v>132</v>
      </c>
      <c r="E511" s="1" t="s">
        <v>132</v>
      </c>
      <c r="F511" s="1" t="s">
        <v>132</v>
      </c>
      <c r="G511" s="1" t="s">
        <v>132</v>
      </c>
      <c r="H511" s="1" t="s">
        <v>132</v>
      </c>
      <c r="I511" s="1" t="s">
        <v>132</v>
      </c>
      <c r="J511" s="1" t="s">
        <v>132</v>
      </c>
      <c r="K511" s="1" t="s">
        <v>132</v>
      </c>
      <c r="L511" s="1" t="s">
        <v>132</v>
      </c>
      <c r="M511" s="1" t="s">
        <v>132</v>
      </c>
      <c r="N511" s="1" t="s">
        <v>132</v>
      </c>
      <c r="O511" s="1" t="s">
        <v>132</v>
      </c>
      <c r="P511" s="1" t="s">
        <v>132</v>
      </c>
      <c r="Q511" s="1" t="s">
        <v>132</v>
      </c>
      <c r="R511" s="1" t="s">
        <v>132</v>
      </c>
      <c r="S511" s="1" t="s">
        <v>132</v>
      </c>
      <c r="T511" s="1" t="s">
        <v>132</v>
      </c>
      <c r="U511" s="1" t="s">
        <v>132</v>
      </c>
      <c r="V511" s="1" t="s">
        <v>132</v>
      </c>
      <c r="W511" s="1" t="s">
        <v>132</v>
      </c>
      <c r="X511" s="1" t="s">
        <v>132</v>
      </c>
      <c r="Y511" s="1" t="s">
        <v>132</v>
      </c>
      <c r="Z511" s="1" t="s">
        <v>132</v>
      </c>
      <c r="AA511" s="1" t="s">
        <v>132</v>
      </c>
      <c r="AB511" s="1" t="s">
        <v>132</v>
      </c>
      <c r="AC511" s="1" t="s">
        <v>132</v>
      </c>
      <c r="AD511" s="1" t="s">
        <v>132</v>
      </c>
      <c r="AE511" s="1" t="s">
        <v>132</v>
      </c>
      <c r="AF511" s="1" t="s">
        <v>132</v>
      </c>
      <c r="AG511" s="1" t="s">
        <v>132</v>
      </c>
      <c r="AH511" s="1" t="s">
        <v>132</v>
      </c>
      <c r="AI511" s="1" t="s">
        <v>132</v>
      </c>
      <c r="AJ511" s="1" t="s">
        <v>132</v>
      </c>
      <c r="AK511" s="1" t="s">
        <v>132</v>
      </c>
      <c r="AL511" s="1" t="s">
        <v>132</v>
      </c>
      <c r="AM511" s="1" t="s">
        <v>132</v>
      </c>
      <c r="AN511" s="1" t="s">
        <v>132</v>
      </c>
    </row>
    <row r="512" ht="15.75" customHeight="1">
      <c r="A512" s="1" t="s">
        <v>38</v>
      </c>
      <c r="B512" s="1" t="s">
        <v>10593</v>
      </c>
      <c r="C512" s="1" t="s">
        <v>10594</v>
      </c>
      <c r="D512" s="8" t="s">
        <v>10595</v>
      </c>
      <c r="E512" s="1" t="s">
        <v>10596</v>
      </c>
      <c r="F512" s="1" t="s">
        <v>10597</v>
      </c>
      <c r="G512" s="1" t="s">
        <v>132</v>
      </c>
      <c r="H512" s="1" t="s">
        <v>132</v>
      </c>
      <c r="I512" s="1" t="s">
        <v>10598</v>
      </c>
      <c r="J512" s="1" t="s">
        <v>132</v>
      </c>
      <c r="K512" s="1" t="s">
        <v>10599</v>
      </c>
      <c r="L512" s="1" t="s">
        <v>132</v>
      </c>
      <c r="M512" s="1" t="s">
        <v>10600</v>
      </c>
      <c r="N512" s="1" t="s">
        <v>10601</v>
      </c>
      <c r="O512" s="1" t="s">
        <v>132</v>
      </c>
      <c r="P512" s="1" t="s">
        <v>10602</v>
      </c>
      <c r="Q512" s="1" t="s">
        <v>10603</v>
      </c>
      <c r="R512" s="1" t="s">
        <v>132</v>
      </c>
      <c r="S512" s="1" t="s">
        <v>10604</v>
      </c>
      <c r="T512" s="1" t="s">
        <v>132</v>
      </c>
      <c r="U512" s="1" t="s">
        <v>10605</v>
      </c>
      <c r="V512" s="1" t="s">
        <v>10606</v>
      </c>
      <c r="W512" s="1" t="s">
        <v>132</v>
      </c>
      <c r="X512" s="1" t="s">
        <v>10607</v>
      </c>
      <c r="Y512" s="1" t="s">
        <v>132</v>
      </c>
      <c r="Z512" s="1" t="s">
        <v>10608</v>
      </c>
      <c r="AA512" s="1" t="s">
        <v>10609</v>
      </c>
      <c r="AB512" s="1" t="s">
        <v>132</v>
      </c>
      <c r="AC512" s="1" t="s">
        <v>10610</v>
      </c>
      <c r="AD512" s="1" t="s">
        <v>10611</v>
      </c>
      <c r="AE512" s="1" t="s">
        <v>132</v>
      </c>
      <c r="AF512" s="1" t="s">
        <v>10612</v>
      </c>
      <c r="AG512" s="1" t="s">
        <v>10613</v>
      </c>
      <c r="AH512" s="1" t="s">
        <v>132</v>
      </c>
      <c r="AI512" s="1" t="s">
        <v>132</v>
      </c>
      <c r="AJ512" s="1" t="s">
        <v>10615</v>
      </c>
      <c r="AK512" s="1" t="s">
        <v>10616</v>
      </c>
      <c r="AL512" s="1" t="s">
        <v>132</v>
      </c>
      <c r="AM512" s="1" t="s">
        <v>10617</v>
      </c>
      <c r="AN512" s="1" t="s">
        <v>10617</v>
      </c>
    </row>
    <row r="513" ht="15.75" customHeight="1">
      <c r="A513" s="1" t="s">
        <v>38</v>
      </c>
      <c r="B513" s="1" t="s">
        <v>10618</v>
      </c>
      <c r="C513" s="1" t="s">
        <v>10619</v>
      </c>
      <c r="D513" s="1" t="s">
        <v>132</v>
      </c>
      <c r="E513" s="1" t="s">
        <v>10620</v>
      </c>
      <c r="F513" s="1" t="s">
        <v>132</v>
      </c>
      <c r="G513" s="1" t="s">
        <v>132</v>
      </c>
      <c r="H513" s="1" t="s">
        <v>132</v>
      </c>
      <c r="I513" s="1" t="s">
        <v>10621</v>
      </c>
      <c r="J513" s="1" t="s">
        <v>132</v>
      </c>
      <c r="K513" s="1" t="s">
        <v>10622</v>
      </c>
      <c r="L513" s="1" t="s">
        <v>132</v>
      </c>
      <c r="M513" s="1" t="s">
        <v>10623</v>
      </c>
      <c r="N513" s="1" t="s">
        <v>10624</v>
      </c>
      <c r="O513" s="1" t="s">
        <v>132</v>
      </c>
      <c r="P513" s="1" t="s">
        <v>10625</v>
      </c>
      <c r="Q513" s="1" t="s">
        <v>132</v>
      </c>
      <c r="R513" s="1" t="s">
        <v>132</v>
      </c>
      <c r="S513" s="1" t="s">
        <v>10626</v>
      </c>
      <c r="T513" s="1" t="s">
        <v>132</v>
      </c>
      <c r="U513" s="1" t="s">
        <v>132</v>
      </c>
      <c r="V513" s="1" t="s">
        <v>132</v>
      </c>
      <c r="W513" s="1" t="s">
        <v>132</v>
      </c>
      <c r="X513" s="1" t="s">
        <v>10627</v>
      </c>
      <c r="Y513" s="1" t="s">
        <v>132</v>
      </c>
      <c r="Z513" s="1" t="s">
        <v>10628</v>
      </c>
      <c r="AA513" s="1" t="s">
        <v>132</v>
      </c>
      <c r="AB513" s="1" t="s">
        <v>132</v>
      </c>
      <c r="AC513" s="1" t="s">
        <v>132</v>
      </c>
      <c r="AD513" s="1" t="s">
        <v>132</v>
      </c>
      <c r="AE513" s="1" t="s">
        <v>132</v>
      </c>
      <c r="AF513" s="1" t="s">
        <v>132</v>
      </c>
      <c r="AG513" s="1" t="s">
        <v>132</v>
      </c>
      <c r="AH513" s="1" t="s">
        <v>132</v>
      </c>
      <c r="AI513" s="1" t="s">
        <v>132</v>
      </c>
      <c r="AJ513" s="1" t="s">
        <v>132</v>
      </c>
      <c r="AK513" s="1" t="s">
        <v>132</v>
      </c>
      <c r="AL513" s="1" t="s">
        <v>132</v>
      </c>
      <c r="AM513" s="1" t="s">
        <v>132</v>
      </c>
      <c r="AN513" s="1" t="s">
        <v>132</v>
      </c>
    </row>
    <row r="514" ht="15.75" customHeight="1">
      <c r="A514" s="1" t="s">
        <v>38</v>
      </c>
      <c r="B514" s="1" t="s">
        <v>10629</v>
      </c>
      <c r="C514" s="1" t="s">
        <v>10630</v>
      </c>
      <c r="D514" s="1" t="s">
        <v>132</v>
      </c>
      <c r="E514" s="1" t="s">
        <v>132</v>
      </c>
      <c r="F514" s="1" t="s">
        <v>132</v>
      </c>
      <c r="G514" s="1" t="s">
        <v>132</v>
      </c>
      <c r="H514" s="1" t="s">
        <v>132</v>
      </c>
      <c r="I514" s="1" t="s">
        <v>10631</v>
      </c>
      <c r="J514" s="1" t="s">
        <v>132</v>
      </c>
      <c r="K514" s="1" t="s">
        <v>10632</v>
      </c>
      <c r="L514" s="1" t="s">
        <v>132</v>
      </c>
      <c r="M514" s="1" t="s">
        <v>10633</v>
      </c>
      <c r="N514" s="1" t="s">
        <v>132</v>
      </c>
      <c r="O514" s="1" t="s">
        <v>132</v>
      </c>
      <c r="P514" s="1" t="s">
        <v>10634</v>
      </c>
      <c r="Q514" s="1" t="s">
        <v>132</v>
      </c>
      <c r="R514" s="1" t="s">
        <v>132</v>
      </c>
      <c r="S514" s="1" t="s">
        <v>132</v>
      </c>
      <c r="T514" s="1" t="s">
        <v>132</v>
      </c>
      <c r="U514" s="1" t="s">
        <v>132</v>
      </c>
      <c r="V514" s="1" t="s">
        <v>132</v>
      </c>
      <c r="W514" s="1" t="s">
        <v>132</v>
      </c>
      <c r="X514" s="1" t="s">
        <v>132</v>
      </c>
      <c r="Y514" s="1" t="s">
        <v>132</v>
      </c>
      <c r="Z514" s="1" t="s">
        <v>132</v>
      </c>
      <c r="AA514" s="1" t="s">
        <v>132</v>
      </c>
      <c r="AB514" s="1" t="s">
        <v>132</v>
      </c>
      <c r="AC514" s="1" t="s">
        <v>10635</v>
      </c>
      <c r="AD514" s="1" t="s">
        <v>132</v>
      </c>
      <c r="AE514" s="1" t="s">
        <v>132</v>
      </c>
      <c r="AF514" s="1" t="s">
        <v>10636</v>
      </c>
      <c r="AG514" s="1" t="s">
        <v>132</v>
      </c>
      <c r="AH514" s="1" t="s">
        <v>132</v>
      </c>
      <c r="AI514" s="1" t="s">
        <v>132</v>
      </c>
      <c r="AJ514" s="1" t="s">
        <v>132</v>
      </c>
      <c r="AK514" s="1" t="s">
        <v>132</v>
      </c>
      <c r="AL514" s="1" t="s">
        <v>132</v>
      </c>
      <c r="AM514" s="1" t="s">
        <v>132</v>
      </c>
      <c r="AN514" s="1" t="s">
        <v>132</v>
      </c>
    </row>
    <row r="515" ht="15.75" customHeight="1">
      <c r="A515" s="1" t="s">
        <v>127</v>
      </c>
      <c r="B515" s="1" t="s">
        <v>10637</v>
      </c>
      <c r="C515" s="1" t="s">
        <v>10638</v>
      </c>
      <c r="D515" s="8" t="s">
        <v>8780</v>
      </c>
      <c r="E515" s="1" t="s">
        <v>8781</v>
      </c>
      <c r="F515" s="1" t="s">
        <v>132</v>
      </c>
      <c r="G515" s="1" t="s">
        <v>8782</v>
      </c>
      <c r="H515" s="1" t="s">
        <v>8783</v>
      </c>
      <c r="I515" s="1" t="s">
        <v>10639</v>
      </c>
      <c r="J515" s="1" t="s">
        <v>8785</v>
      </c>
      <c r="K515" s="1" t="s">
        <v>8786</v>
      </c>
      <c r="L515" s="1" t="s">
        <v>8787</v>
      </c>
      <c r="M515" s="1" t="s">
        <v>10640</v>
      </c>
      <c r="N515" s="1" t="s">
        <v>132</v>
      </c>
      <c r="O515" s="1" t="s">
        <v>8789</v>
      </c>
      <c r="P515" s="1" t="s">
        <v>10379</v>
      </c>
      <c r="Q515" s="1" t="s">
        <v>132</v>
      </c>
      <c r="R515" s="1" t="s">
        <v>10641</v>
      </c>
      <c r="S515" s="1" t="s">
        <v>8792</v>
      </c>
      <c r="T515" s="8" t="s">
        <v>8793</v>
      </c>
      <c r="U515" s="1" t="s">
        <v>8794</v>
      </c>
      <c r="V515" s="1" t="s">
        <v>8795</v>
      </c>
      <c r="W515" s="1" t="s">
        <v>10641</v>
      </c>
      <c r="X515" s="1" t="s">
        <v>10642</v>
      </c>
      <c r="Y515" s="1" t="s">
        <v>8796</v>
      </c>
      <c r="Z515" s="1" t="s">
        <v>10643</v>
      </c>
      <c r="AA515" s="1" t="s">
        <v>10644</v>
      </c>
      <c r="AB515" s="1" t="s">
        <v>8799</v>
      </c>
      <c r="AC515" s="1" t="s">
        <v>10645</v>
      </c>
      <c r="AD515" s="1" t="s">
        <v>8801</v>
      </c>
      <c r="AE515" s="1" t="s">
        <v>10389</v>
      </c>
      <c r="AF515" s="1" t="s">
        <v>10646</v>
      </c>
      <c r="AG515" s="1" t="s">
        <v>8804</v>
      </c>
      <c r="AH515" s="1" t="s">
        <v>8805</v>
      </c>
      <c r="AI515" s="1" t="s">
        <v>8806</v>
      </c>
      <c r="AJ515" s="1" t="s">
        <v>132</v>
      </c>
      <c r="AK515" s="1" t="s">
        <v>8807</v>
      </c>
      <c r="AL515" s="1" t="s">
        <v>1266</v>
      </c>
      <c r="AM515" s="1" t="s">
        <v>1267</v>
      </c>
      <c r="AN515" s="1" t="s">
        <v>1267</v>
      </c>
    </row>
    <row r="516" ht="15.75" customHeight="1">
      <c r="A516" s="1" t="s">
        <v>38</v>
      </c>
      <c r="B516" s="1" t="s">
        <v>10647</v>
      </c>
      <c r="C516" s="1" t="s">
        <v>10648</v>
      </c>
      <c r="D516" s="8" t="s">
        <v>10649</v>
      </c>
      <c r="E516" s="1" t="s">
        <v>10650</v>
      </c>
      <c r="F516" s="1" t="s">
        <v>10651</v>
      </c>
      <c r="G516" s="1" t="s">
        <v>132</v>
      </c>
      <c r="H516" s="1" t="s">
        <v>132</v>
      </c>
      <c r="I516" s="1" t="s">
        <v>10648</v>
      </c>
      <c r="J516" s="1" t="s">
        <v>132</v>
      </c>
      <c r="K516" s="1" t="s">
        <v>10648</v>
      </c>
      <c r="L516" s="1" t="s">
        <v>132</v>
      </c>
      <c r="M516" s="1" t="s">
        <v>10652</v>
      </c>
      <c r="N516" s="1" t="s">
        <v>10653</v>
      </c>
      <c r="O516" s="1" t="s">
        <v>132</v>
      </c>
      <c r="P516" s="1" t="s">
        <v>10648</v>
      </c>
      <c r="Q516" s="1" t="s">
        <v>10648</v>
      </c>
      <c r="R516" s="1" t="s">
        <v>132</v>
      </c>
      <c r="S516" s="1" t="s">
        <v>10648</v>
      </c>
      <c r="T516" s="1" t="s">
        <v>132</v>
      </c>
      <c r="U516" s="1" t="s">
        <v>10654</v>
      </c>
      <c r="V516" s="1" t="s">
        <v>10648</v>
      </c>
      <c r="W516" s="1" t="s">
        <v>132</v>
      </c>
      <c r="X516" s="1" t="s">
        <v>10648</v>
      </c>
      <c r="Y516" s="1" t="s">
        <v>132</v>
      </c>
      <c r="Z516" s="1" t="s">
        <v>10655</v>
      </c>
      <c r="AA516" s="1" t="s">
        <v>10648</v>
      </c>
      <c r="AB516" s="1" t="s">
        <v>132</v>
      </c>
      <c r="AC516" s="1" t="s">
        <v>10656</v>
      </c>
      <c r="AD516" s="1" t="s">
        <v>10648</v>
      </c>
      <c r="AE516" s="1" t="s">
        <v>132</v>
      </c>
      <c r="AF516" s="1" t="s">
        <v>10657</v>
      </c>
      <c r="AG516" s="1" t="s">
        <v>10648</v>
      </c>
      <c r="AH516" s="1" t="s">
        <v>132</v>
      </c>
      <c r="AI516" s="1" t="s">
        <v>132</v>
      </c>
      <c r="AJ516" s="1" t="s">
        <v>10658</v>
      </c>
      <c r="AK516" s="1" t="s">
        <v>10648</v>
      </c>
      <c r="AL516" s="1" t="s">
        <v>132</v>
      </c>
      <c r="AM516" s="1" t="s">
        <v>10659</v>
      </c>
      <c r="AN516" s="1" t="s">
        <v>10659</v>
      </c>
    </row>
    <row r="517" ht="15.75" customHeight="1">
      <c r="A517" s="1" t="s">
        <v>127</v>
      </c>
      <c r="B517" s="1" t="s">
        <v>10660</v>
      </c>
      <c r="C517" s="1" t="s">
        <v>10661</v>
      </c>
      <c r="D517" s="8" t="s">
        <v>10662</v>
      </c>
      <c r="E517" s="1" t="s">
        <v>10663</v>
      </c>
      <c r="F517" s="1" t="s">
        <v>132</v>
      </c>
      <c r="G517" s="1" t="s">
        <v>10664</v>
      </c>
      <c r="H517" s="1" t="s">
        <v>10665</v>
      </c>
      <c r="I517" s="1" t="s">
        <v>10666</v>
      </c>
      <c r="J517" s="1" t="s">
        <v>10667</v>
      </c>
      <c r="K517" s="1" t="s">
        <v>10668</v>
      </c>
      <c r="L517" s="1" t="s">
        <v>10669</v>
      </c>
      <c r="M517" s="1" t="s">
        <v>10670</v>
      </c>
      <c r="N517" s="1" t="s">
        <v>132</v>
      </c>
      <c r="O517" s="1" t="s">
        <v>10671</v>
      </c>
      <c r="P517" s="1" t="s">
        <v>10672</v>
      </c>
      <c r="Q517" s="1" t="s">
        <v>132</v>
      </c>
      <c r="R517" s="1" t="s">
        <v>10673</v>
      </c>
      <c r="S517" s="1" t="s">
        <v>10674</v>
      </c>
      <c r="T517" s="8" t="s">
        <v>10675</v>
      </c>
      <c r="U517" s="1" t="s">
        <v>10676</v>
      </c>
      <c r="V517" s="1" t="s">
        <v>10677</v>
      </c>
      <c r="W517" s="1" t="s">
        <v>10678</v>
      </c>
      <c r="X517" s="1" t="s">
        <v>10679</v>
      </c>
      <c r="Y517" s="1" t="s">
        <v>10680</v>
      </c>
      <c r="Z517" s="1" t="s">
        <v>10681</v>
      </c>
      <c r="AA517" s="1" t="s">
        <v>10682</v>
      </c>
      <c r="AB517" s="1" t="s">
        <v>10683</v>
      </c>
      <c r="AC517" s="1" t="s">
        <v>10684</v>
      </c>
      <c r="AD517" s="1" t="s">
        <v>10685</v>
      </c>
      <c r="AE517" s="1" t="s">
        <v>10686</v>
      </c>
      <c r="AF517" s="1" t="s">
        <v>10687</v>
      </c>
      <c r="AG517" s="1" t="s">
        <v>10688</v>
      </c>
      <c r="AH517" s="1" t="s">
        <v>10689</v>
      </c>
      <c r="AI517" s="1" t="s">
        <v>10690</v>
      </c>
      <c r="AJ517" s="1" t="s">
        <v>132</v>
      </c>
      <c r="AK517" s="1" t="s">
        <v>10691</v>
      </c>
      <c r="AL517" s="1" t="s">
        <v>10692</v>
      </c>
      <c r="AM517" s="1" t="s">
        <v>10693</v>
      </c>
      <c r="AN517" s="1" t="s">
        <v>10693</v>
      </c>
    </row>
    <row r="518" ht="15.75" customHeight="1">
      <c r="A518" s="1" t="s">
        <v>38</v>
      </c>
      <c r="B518" s="1" t="s">
        <v>10694</v>
      </c>
      <c r="C518" s="1" t="s">
        <v>10695</v>
      </c>
      <c r="D518" s="1" t="s">
        <v>132</v>
      </c>
      <c r="E518" s="1" t="s">
        <v>10696</v>
      </c>
      <c r="F518" s="1" t="s">
        <v>10697</v>
      </c>
      <c r="G518" s="1" t="s">
        <v>132</v>
      </c>
      <c r="H518" s="1" t="s">
        <v>132</v>
      </c>
      <c r="I518" s="1" t="s">
        <v>10698</v>
      </c>
      <c r="J518" s="1" t="s">
        <v>132</v>
      </c>
      <c r="K518" s="1" t="s">
        <v>10699</v>
      </c>
      <c r="L518" s="1" t="s">
        <v>132</v>
      </c>
      <c r="M518" s="1" t="s">
        <v>10700</v>
      </c>
      <c r="N518" s="1" t="s">
        <v>10701</v>
      </c>
      <c r="O518" s="1" t="s">
        <v>132</v>
      </c>
      <c r="P518" s="1" t="s">
        <v>10702</v>
      </c>
      <c r="Q518" s="1" t="s">
        <v>132</v>
      </c>
      <c r="R518" s="1" t="s">
        <v>132</v>
      </c>
      <c r="S518" s="1" t="s">
        <v>10703</v>
      </c>
      <c r="T518" s="1" t="s">
        <v>132</v>
      </c>
      <c r="U518" s="1" t="s">
        <v>10704</v>
      </c>
      <c r="V518" s="1" t="s">
        <v>132</v>
      </c>
      <c r="W518" s="1" t="s">
        <v>132</v>
      </c>
      <c r="X518" s="1" t="s">
        <v>10705</v>
      </c>
      <c r="Y518" s="1" t="s">
        <v>132</v>
      </c>
      <c r="Z518" s="1" t="s">
        <v>10706</v>
      </c>
      <c r="AA518" s="1" t="s">
        <v>132</v>
      </c>
      <c r="AB518" s="1" t="s">
        <v>132</v>
      </c>
      <c r="AC518" s="1" t="s">
        <v>10707</v>
      </c>
      <c r="AD518" s="1" t="s">
        <v>132</v>
      </c>
      <c r="AE518" s="1" t="s">
        <v>132</v>
      </c>
      <c r="AF518" s="1" t="s">
        <v>10708</v>
      </c>
      <c r="AG518" s="1" t="s">
        <v>132</v>
      </c>
      <c r="AH518" s="1" t="s">
        <v>132</v>
      </c>
      <c r="AI518" s="1" t="s">
        <v>132</v>
      </c>
      <c r="AJ518" s="1" t="s">
        <v>132</v>
      </c>
      <c r="AK518" s="1" t="s">
        <v>132</v>
      </c>
      <c r="AL518" s="1" t="s">
        <v>132</v>
      </c>
      <c r="AM518" s="1" t="s">
        <v>132</v>
      </c>
      <c r="AN518" s="1" t="s">
        <v>132</v>
      </c>
    </row>
    <row r="519" ht="15.75" customHeight="1">
      <c r="A519" s="1" t="s">
        <v>38</v>
      </c>
      <c r="B519" s="1" t="s">
        <v>10709</v>
      </c>
      <c r="C519" s="1" t="s">
        <v>10710</v>
      </c>
      <c r="D519" s="1" t="s">
        <v>132</v>
      </c>
      <c r="E519" s="1" t="s">
        <v>10711</v>
      </c>
      <c r="F519" s="1" t="s">
        <v>10712</v>
      </c>
      <c r="G519" s="1" t="s">
        <v>132</v>
      </c>
      <c r="H519" s="1" t="s">
        <v>132</v>
      </c>
      <c r="I519" s="1" t="s">
        <v>10713</v>
      </c>
      <c r="J519" s="1" t="s">
        <v>132</v>
      </c>
      <c r="K519" s="1" t="s">
        <v>10714</v>
      </c>
      <c r="L519" s="1" t="s">
        <v>132</v>
      </c>
      <c r="M519" s="1" t="s">
        <v>10715</v>
      </c>
      <c r="N519" s="1" t="s">
        <v>10716</v>
      </c>
      <c r="O519" s="1" t="s">
        <v>132</v>
      </c>
      <c r="P519" s="1" t="s">
        <v>10717</v>
      </c>
      <c r="Q519" s="1" t="s">
        <v>132</v>
      </c>
      <c r="R519" s="1" t="s">
        <v>132</v>
      </c>
      <c r="S519" s="1" t="s">
        <v>10718</v>
      </c>
      <c r="T519" s="1" t="s">
        <v>132</v>
      </c>
      <c r="U519" s="1" t="s">
        <v>10719</v>
      </c>
      <c r="V519" s="1" t="s">
        <v>132</v>
      </c>
      <c r="W519" s="1" t="s">
        <v>132</v>
      </c>
      <c r="X519" s="1" t="s">
        <v>10720</v>
      </c>
      <c r="Y519" s="1" t="s">
        <v>132</v>
      </c>
      <c r="Z519" s="1" t="s">
        <v>10721</v>
      </c>
      <c r="AA519" s="1" t="s">
        <v>132</v>
      </c>
      <c r="AB519" s="1" t="s">
        <v>132</v>
      </c>
      <c r="AC519" s="1" t="s">
        <v>10722</v>
      </c>
      <c r="AD519" s="1" t="s">
        <v>132</v>
      </c>
      <c r="AE519" s="1" t="s">
        <v>132</v>
      </c>
      <c r="AF519" s="1" t="s">
        <v>10723</v>
      </c>
      <c r="AG519" s="1" t="s">
        <v>132</v>
      </c>
      <c r="AH519" s="1" t="s">
        <v>132</v>
      </c>
      <c r="AI519" s="1" t="s">
        <v>132</v>
      </c>
      <c r="AJ519" s="1" t="s">
        <v>10724</v>
      </c>
      <c r="AK519" s="1" t="s">
        <v>132</v>
      </c>
      <c r="AL519" s="1" t="s">
        <v>132</v>
      </c>
      <c r="AM519" s="1" t="s">
        <v>132</v>
      </c>
      <c r="AN519" s="1" t="s">
        <v>132</v>
      </c>
    </row>
    <row r="520" ht="15.75" customHeight="1">
      <c r="A520" s="1" t="s">
        <v>38</v>
      </c>
      <c r="B520" s="1" t="s">
        <v>10725</v>
      </c>
      <c r="C520" s="1" t="s">
        <v>10726</v>
      </c>
      <c r="D520" s="1" t="s">
        <v>132</v>
      </c>
      <c r="E520" s="1" t="s">
        <v>132</v>
      </c>
      <c r="F520" s="1" t="s">
        <v>132</v>
      </c>
      <c r="G520" s="1" t="s">
        <v>132</v>
      </c>
      <c r="H520" s="1" t="s">
        <v>132</v>
      </c>
      <c r="I520" s="1" t="s">
        <v>10727</v>
      </c>
      <c r="J520" s="1" t="s">
        <v>132</v>
      </c>
      <c r="K520" s="1" t="s">
        <v>10728</v>
      </c>
      <c r="L520" s="1" t="s">
        <v>132</v>
      </c>
      <c r="M520" s="1" t="s">
        <v>10729</v>
      </c>
      <c r="N520" s="1" t="s">
        <v>132</v>
      </c>
      <c r="O520" s="1" t="s">
        <v>132</v>
      </c>
      <c r="P520" s="1" t="s">
        <v>10726</v>
      </c>
      <c r="Q520" s="1" t="s">
        <v>132</v>
      </c>
      <c r="R520" s="1" t="s">
        <v>132</v>
      </c>
      <c r="S520" s="1" t="s">
        <v>132</v>
      </c>
      <c r="T520" s="1" t="s">
        <v>132</v>
      </c>
      <c r="U520" s="1" t="s">
        <v>132</v>
      </c>
      <c r="V520" s="1" t="s">
        <v>132</v>
      </c>
      <c r="W520" s="1" t="s">
        <v>132</v>
      </c>
      <c r="X520" s="1" t="s">
        <v>132</v>
      </c>
      <c r="Y520" s="1" t="s">
        <v>132</v>
      </c>
      <c r="Z520" s="1" t="s">
        <v>132</v>
      </c>
      <c r="AA520" s="1" t="s">
        <v>132</v>
      </c>
      <c r="AB520" s="1" t="s">
        <v>132</v>
      </c>
      <c r="AC520" s="1" t="s">
        <v>10730</v>
      </c>
      <c r="AD520" s="1" t="s">
        <v>132</v>
      </c>
      <c r="AE520" s="1" t="s">
        <v>132</v>
      </c>
      <c r="AF520" s="1" t="s">
        <v>10731</v>
      </c>
      <c r="AG520" s="1" t="s">
        <v>132</v>
      </c>
      <c r="AH520" s="1" t="s">
        <v>132</v>
      </c>
      <c r="AI520" s="1" t="s">
        <v>132</v>
      </c>
      <c r="AJ520" s="1" t="s">
        <v>132</v>
      </c>
      <c r="AK520" s="1" t="s">
        <v>132</v>
      </c>
      <c r="AL520" s="1" t="s">
        <v>132</v>
      </c>
      <c r="AM520" s="1" t="s">
        <v>132</v>
      </c>
      <c r="AN520" s="1" t="s">
        <v>132</v>
      </c>
    </row>
    <row r="521" ht="15.75" customHeight="1">
      <c r="A521" s="1" t="s">
        <v>38</v>
      </c>
      <c r="B521" s="1" t="s">
        <v>10732</v>
      </c>
      <c r="C521" s="1" t="s">
        <v>10733</v>
      </c>
      <c r="D521" s="8" t="s">
        <v>10734</v>
      </c>
      <c r="E521" s="1" t="s">
        <v>10735</v>
      </c>
      <c r="F521" s="1" t="s">
        <v>10736</v>
      </c>
      <c r="G521" s="1" t="s">
        <v>132</v>
      </c>
      <c r="H521" s="1" t="s">
        <v>132</v>
      </c>
      <c r="I521" s="1" t="s">
        <v>10737</v>
      </c>
      <c r="J521" s="1" t="s">
        <v>132</v>
      </c>
      <c r="K521" s="1" t="s">
        <v>10733</v>
      </c>
      <c r="L521" s="1" t="s">
        <v>132</v>
      </c>
      <c r="M521" s="1" t="s">
        <v>10738</v>
      </c>
      <c r="N521" s="1" t="s">
        <v>10739</v>
      </c>
      <c r="O521" s="1" t="s">
        <v>132</v>
      </c>
      <c r="P521" s="1" t="s">
        <v>10733</v>
      </c>
      <c r="Q521" s="1" t="s">
        <v>10733</v>
      </c>
      <c r="R521" s="1" t="s">
        <v>132</v>
      </c>
      <c r="S521" s="1" t="s">
        <v>10733</v>
      </c>
      <c r="T521" s="1" t="s">
        <v>132</v>
      </c>
      <c r="U521" s="1" t="s">
        <v>10740</v>
      </c>
      <c r="V521" s="1" t="s">
        <v>10733</v>
      </c>
      <c r="W521" s="1" t="s">
        <v>132</v>
      </c>
      <c r="X521" s="1" t="s">
        <v>10733</v>
      </c>
      <c r="Y521" s="1" t="s">
        <v>132</v>
      </c>
      <c r="Z521" s="1" t="s">
        <v>10733</v>
      </c>
      <c r="AA521" s="1" t="s">
        <v>10733</v>
      </c>
      <c r="AB521" s="1" t="s">
        <v>132</v>
      </c>
      <c r="AC521" s="1" t="s">
        <v>10741</v>
      </c>
      <c r="AD521" s="1" t="s">
        <v>10733</v>
      </c>
      <c r="AE521" s="1" t="s">
        <v>132</v>
      </c>
      <c r="AF521" s="1" t="s">
        <v>10742</v>
      </c>
      <c r="AG521" s="1" t="s">
        <v>10733</v>
      </c>
      <c r="AH521" s="1" t="s">
        <v>132</v>
      </c>
      <c r="AI521" s="1" t="s">
        <v>132</v>
      </c>
      <c r="AJ521" s="1" t="s">
        <v>10743</v>
      </c>
      <c r="AK521" s="1" t="s">
        <v>10744</v>
      </c>
      <c r="AL521" s="1" t="s">
        <v>132</v>
      </c>
      <c r="AM521" s="1" t="s">
        <v>10745</v>
      </c>
      <c r="AN521" s="1" t="s">
        <v>10745</v>
      </c>
    </row>
    <row r="522" ht="15.75" customHeight="1">
      <c r="A522" s="1" t="s">
        <v>38</v>
      </c>
      <c r="B522" s="1" t="s">
        <v>10746</v>
      </c>
      <c r="C522" s="1" t="s">
        <v>10747</v>
      </c>
      <c r="D522" s="1" t="s">
        <v>132</v>
      </c>
      <c r="E522" s="1" t="s">
        <v>132</v>
      </c>
      <c r="F522" s="1" t="s">
        <v>132</v>
      </c>
      <c r="G522" s="1" t="s">
        <v>132</v>
      </c>
      <c r="H522" s="1" t="s">
        <v>132</v>
      </c>
      <c r="I522" s="1" t="s">
        <v>10748</v>
      </c>
      <c r="J522" s="1" t="s">
        <v>132</v>
      </c>
      <c r="K522" s="1" t="s">
        <v>10749</v>
      </c>
      <c r="L522" s="1" t="s">
        <v>132</v>
      </c>
      <c r="M522" s="1" t="s">
        <v>10750</v>
      </c>
      <c r="N522" s="1" t="s">
        <v>132</v>
      </c>
      <c r="O522" s="1" t="s">
        <v>132</v>
      </c>
      <c r="P522" s="1" t="s">
        <v>10747</v>
      </c>
      <c r="Q522" s="1" t="s">
        <v>132</v>
      </c>
      <c r="R522" s="1" t="s">
        <v>132</v>
      </c>
      <c r="S522" s="1" t="s">
        <v>132</v>
      </c>
      <c r="T522" s="1" t="s">
        <v>132</v>
      </c>
      <c r="U522" s="1" t="s">
        <v>132</v>
      </c>
      <c r="V522" s="1" t="s">
        <v>132</v>
      </c>
      <c r="W522" s="1" t="s">
        <v>132</v>
      </c>
      <c r="X522" s="1" t="s">
        <v>132</v>
      </c>
      <c r="Y522" s="1" t="s">
        <v>132</v>
      </c>
      <c r="Z522" s="1" t="s">
        <v>132</v>
      </c>
      <c r="AA522" s="1" t="s">
        <v>132</v>
      </c>
      <c r="AB522" s="1" t="s">
        <v>132</v>
      </c>
      <c r="AC522" s="1" t="s">
        <v>10751</v>
      </c>
      <c r="AD522" s="1" t="s">
        <v>132</v>
      </c>
      <c r="AE522" s="1" t="s">
        <v>132</v>
      </c>
      <c r="AF522" s="1" t="s">
        <v>10752</v>
      </c>
      <c r="AG522" s="1" t="s">
        <v>132</v>
      </c>
      <c r="AH522" s="1" t="s">
        <v>132</v>
      </c>
      <c r="AI522" s="1" t="s">
        <v>132</v>
      </c>
      <c r="AJ522" s="1" t="s">
        <v>132</v>
      </c>
      <c r="AK522" s="1" t="s">
        <v>132</v>
      </c>
      <c r="AL522" s="1" t="s">
        <v>132</v>
      </c>
      <c r="AM522" s="1" t="s">
        <v>132</v>
      </c>
      <c r="AN522" s="1" t="s">
        <v>132</v>
      </c>
    </row>
    <row r="523" ht="15.75" customHeight="1">
      <c r="A523" s="1" t="s">
        <v>38</v>
      </c>
      <c r="B523" s="1" t="s">
        <v>10753</v>
      </c>
      <c r="C523" s="1" t="s">
        <v>10754</v>
      </c>
      <c r="D523" s="1" t="s">
        <v>132</v>
      </c>
      <c r="E523" s="1" t="s">
        <v>132</v>
      </c>
      <c r="F523" s="1" t="s">
        <v>132</v>
      </c>
      <c r="G523" s="1" t="s">
        <v>132</v>
      </c>
      <c r="H523" s="1" t="s">
        <v>132</v>
      </c>
      <c r="I523" s="1" t="s">
        <v>10755</v>
      </c>
      <c r="J523" s="1" t="s">
        <v>132</v>
      </c>
      <c r="K523" s="1" t="s">
        <v>10756</v>
      </c>
      <c r="L523" s="1" t="s">
        <v>132</v>
      </c>
      <c r="M523" s="1" t="s">
        <v>10757</v>
      </c>
      <c r="N523" s="1" t="s">
        <v>132</v>
      </c>
      <c r="O523" s="1" t="s">
        <v>132</v>
      </c>
      <c r="P523" s="1" t="s">
        <v>10754</v>
      </c>
      <c r="Q523" s="1" t="s">
        <v>132</v>
      </c>
      <c r="R523" s="1" t="s">
        <v>132</v>
      </c>
      <c r="S523" s="1" t="s">
        <v>132</v>
      </c>
      <c r="T523" s="1" t="s">
        <v>132</v>
      </c>
      <c r="U523" s="1" t="s">
        <v>132</v>
      </c>
      <c r="V523" s="1" t="s">
        <v>132</v>
      </c>
      <c r="W523" s="1" t="s">
        <v>132</v>
      </c>
      <c r="X523" s="1" t="s">
        <v>132</v>
      </c>
      <c r="Y523" s="1" t="s">
        <v>132</v>
      </c>
      <c r="Z523" s="1" t="s">
        <v>132</v>
      </c>
      <c r="AA523" s="1" t="s">
        <v>132</v>
      </c>
      <c r="AB523" s="1" t="s">
        <v>132</v>
      </c>
      <c r="AC523" s="1" t="s">
        <v>10758</v>
      </c>
      <c r="AD523" s="1" t="s">
        <v>132</v>
      </c>
      <c r="AE523" s="1" t="s">
        <v>132</v>
      </c>
      <c r="AF523" s="1" t="s">
        <v>10759</v>
      </c>
      <c r="AG523" s="1" t="s">
        <v>132</v>
      </c>
      <c r="AH523" s="1" t="s">
        <v>132</v>
      </c>
      <c r="AI523" s="1" t="s">
        <v>132</v>
      </c>
      <c r="AJ523" s="1" t="s">
        <v>132</v>
      </c>
      <c r="AK523" s="1" t="s">
        <v>132</v>
      </c>
      <c r="AL523" s="1" t="s">
        <v>132</v>
      </c>
      <c r="AM523" s="1" t="s">
        <v>132</v>
      </c>
      <c r="AN523" s="1" t="s">
        <v>132</v>
      </c>
    </row>
    <row r="524" ht="15.75" customHeight="1">
      <c r="A524" s="1" t="s">
        <v>127</v>
      </c>
      <c r="B524" s="1" t="s">
        <v>10760</v>
      </c>
      <c r="C524" s="1" t="s">
        <v>10761</v>
      </c>
      <c r="D524" s="8" t="s">
        <v>10762</v>
      </c>
      <c r="E524" s="1" t="s">
        <v>10763</v>
      </c>
      <c r="F524" s="1" t="s">
        <v>132</v>
      </c>
      <c r="G524" s="1" t="s">
        <v>10764</v>
      </c>
      <c r="H524" s="1" t="s">
        <v>10765</v>
      </c>
      <c r="I524" s="1" t="s">
        <v>10761</v>
      </c>
      <c r="J524" s="1" t="s">
        <v>10766</v>
      </c>
      <c r="K524" s="1" t="s">
        <v>10767</v>
      </c>
      <c r="L524" s="1" t="s">
        <v>10768</v>
      </c>
      <c r="M524" s="1" t="s">
        <v>10769</v>
      </c>
      <c r="N524" s="1" t="s">
        <v>132</v>
      </c>
      <c r="O524" s="1" t="s">
        <v>10770</v>
      </c>
      <c r="P524" s="1" t="s">
        <v>10771</v>
      </c>
      <c r="Q524" s="1" t="s">
        <v>132</v>
      </c>
      <c r="R524" s="1" t="s">
        <v>10772</v>
      </c>
      <c r="S524" s="1" t="s">
        <v>10773</v>
      </c>
      <c r="T524" s="8" t="s">
        <v>10774</v>
      </c>
      <c r="U524" s="1" t="s">
        <v>10775</v>
      </c>
      <c r="V524" s="1" t="s">
        <v>10776</v>
      </c>
      <c r="W524" s="1" t="s">
        <v>10777</v>
      </c>
      <c r="X524" s="1" t="s">
        <v>10778</v>
      </c>
      <c r="Y524" s="1" t="s">
        <v>10779</v>
      </c>
      <c r="Z524" s="1" t="s">
        <v>10780</v>
      </c>
      <c r="AA524" s="1" t="s">
        <v>10781</v>
      </c>
      <c r="AB524" s="1" t="s">
        <v>10782</v>
      </c>
      <c r="AC524" s="1" t="s">
        <v>10783</v>
      </c>
      <c r="AD524" s="1" t="s">
        <v>10784</v>
      </c>
      <c r="AE524" s="1" t="s">
        <v>10785</v>
      </c>
      <c r="AF524" s="1" t="s">
        <v>10786</v>
      </c>
      <c r="AG524" s="1" t="s">
        <v>10787</v>
      </c>
      <c r="AH524" s="1" t="s">
        <v>10788</v>
      </c>
      <c r="AI524" s="1" t="s">
        <v>10789</v>
      </c>
      <c r="AJ524" s="1" t="s">
        <v>132</v>
      </c>
      <c r="AK524" s="1" t="s">
        <v>10790</v>
      </c>
      <c r="AL524" s="1" t="s">
        <v>10791</v>
      </c>
      <c r="AM524" s="1" t="s">
        <v>132</v>
      </c>
      <c r="AN524" s="1" t="s">
        <v>132</v>
      </c>
    </row>
    <row r="525" ht="15.75" customHeight="1">
      <c r="A525" s="1" t="s">
        <v>38</v>
      </c>
      <c r="B525" s="1" t="s">
        <v>10792</v>
      </c>
      <c r="C525" s="1" t="s">
        <v>10793</v>
      </c>
      <c r="D525" s="1" t="s">
        <v>132</v>
      </c>
      <c r="E525" s="1" t="s">
        <v>132</v>
      </c>
      <c r="F525" s="1" t="s">
        <v>132</v>
      </c>
      <c r="G525" s="1" t="s">
        <v>132</v>
      </c>
      <c r="H525" s="1" t="s">
        <v>132</v>
      </c>
      <c r="I525" s="1" t="s">
        <v>10793</v>
      </c>
      <c r="J525" s="1" t="s">
        <v>132</v>
      </c>
      <c r="K525" s="1" t="s">
        <v>10794</v>
      </c>
      <c r="L525" s="1" t="s">
        <v>132</v>
      </c>
      <c r="M525" s="1" t="s">
        <v>10793</v>
      </c>
      <c r="N525" s="1" t="s">
        <v>132</v>
      </c>
      <c r="O525" s="1" t="s">
        <v>132</v>
      </c>
      <c r="P525" s="1" t="s">
        <v>10793</v>
      </c>
      <c r="Q525" s="1" t="s">
        <v>132</v>
      </c>
      <c r="R525" s="1" t="s">
        <v>132</v>
      </c>
      <c r="S525" s="1" t="s">
        <v>132</v>
      </c>
      <c r="T525" s="1" t="s">
        <v>132</v>
      </c>
      <c r="U525" s="1" t="s">
        <v>132</v>
      </c>
      <c r="V525" s="1" t="s">
        <v>132</v>
      </c>
      <c r="W525" s="1" t="s">
        <v>132</v>
      </c>
      <c r="X525" s="1" t="s">
        <v>132</v>
      </c>
      <c r="Y525" s="1" t="s">
        <v>132</v>
      </c>
      <c r="Z525" s="1" t="s">
        <v>132</v>
      </c>
      <c r="AA525" s="1" t="s">
        <v>132</v>
      </c>
      <c r="AB525" s="1" t="s">
        <v>132</v>
      </c>
      <c r="AC525" s="1" t="s">
        <v>10795</v>
      </c>
      <c r="AD525" s="1" t="s">
        <v>132</v>
      </c>
      <c r="AE525" s="1" t="s">
        <v>132</v>
      </c>
      <c r="AF525" s="1" t="s">
        <v>10796</v>
      </c>
      <c r="AG525" s="1" t="s">
        <v>132</v>
      </c>
      <c r="AH525" s="1" t="s">
        <v>132</v>
      </c>
      <c r="AI525" s="1" t="s">
        <v>132</v>
      </c>
      <c r="AJ525" s="1" t="s">
        <v>132</v>
      </c>
      <c r="AK525" s="1" t="s">
        <v>132</v>
      </c>
      <c r="AL525" s="1" t="s">
        <v>132</v>
      </c>
      <c r="AM525" s="1" t="s">
        <v>132</v>
      </c>
      <c r="AN525" s="1" t="s">
        <v>132</v>
      </c>
    </row>
    <row r="526" ht="15.75" customHeight="1">
      <c r="A526" s="1" t="s">
        <v>127</v>
      </c>
      <c r="B526" s="1" t="s">
        <v>10797</v>
      </c>
      <c r="C526" s="1" t="s">
        <v>10798</v>
      </c>
      <c r="D526" s="8" t="s">
        <v>10799</v>
      </c>
      <c r="E526" s="1" t="s">
        <v>10800</v>
      </c>
      <c r="F526" s="1" t="s">
        <v>132</v>
      </c>
      <c r="G526" s="1" t="s">
        <v>10801</v>
      </c>
      <c r="H526" s="1" t="s">
        <v>10798</v>
      </c>
      <c r="I526" s="1" t="s">
        <v>10802</v>
      </c>
      <c r="J526" s="1" t="s">
        <v>10803</v>
      </c>
      <c r="K526" s="1" t="s">
        <v>10804</v>
      </c>
      <c r="L526" s="1" t="s">
        <v>10805</v>
      </c>
      <c r="M526" s="1" t="s">
        <v>10806</v>
      </c>
      <c r="N526" s="1" t="s">
        <v>132</v>
      </c>
      <c r="O526" s="1" t="s">
        <v>10807</v>
      </c>
      <c r="P526" s="1" t="s">
        <v>10808</v>
      </c>
      <c r="Q526" s="1" t="s">
        <v>132</v>
      </c>
      <c r="R526" s="1" t="s">
        <v>10809</v>
      </c>
      <c r="S526" s="1" t="s">
        <v>10810</v>
      </c>
      <c r="T526" s="8" t="s">
        <v>10811</v>
      </c>
      <c r="U526" s="1" t="s">
        <v>10812</v>
      </c>
      <c r="V526" s="1" t="s">
        <v>10813</v>
      </c>
      <c r="W526" s="1" t="s">
        <v>10814</v>
      </c>
      <c r="X526" s="1" t="s">
        <v>10815</v>
      </c>
      <c r="Y526" s="1" t="s">
        <v>10816</v>
      </c>
      <c r="Z526" s="1" t="s">
        <v>10817</v>
      </c>
      <c r="AA526" s="1" t="s">
        <v>10818</v>
      </c>
      <c r="AB526" s="1" t="s">
        <v>10819</v>
      </c>
      <c r="AC526" s="1" t="s">
        <v>10820</v>
      </c>
      <c r="AD526" s="1" t="s">
        <v>10821</v>
      </c>
      <c r="AE526" s="1" t="s">
        <v>10822</v>
      </c>
      <c r="AF526" s="1" t="s">
        <v>10823</v>
      </c>
      <c r="AG526" s="1" t="s">
        <v>10824</v>
      </c>
      <c r="AH526" s="1" t="s">
        <v>10825</v>
      </c>
      <c r="AI526" s="1" t="s">
        <v>10826</v>
      </c>
      <c r="AJ526" s="1" t="s">
        <v>132</v>
      </c>
      <c r="AK526" s="1" t="s">
        <v>10827</v>
      </c>
      <c r="AL526" s="1" t="s">
        <v>10828</v>
      </c>
      <c r="AM526" s="1" t="s">
        <v>10829</v>
      </c>
      <c r="AN526" s="1" t="s">
        <v>10829</v>
      </c>
    </row>
    <row r="527" ht="15.75" customHeight="1">
      <c r="A527" s="1" t="s">
        <v>127</v>
      </c>
      <c r="B527" s="1" t="s">
        <v>10830</v>
      </c>
      <c r="C527" s="1" t="s">
        <v>10831</v>
      </c>
      <c r="D527" s="8" t="s">
        <v>10832</v>
      </c>
      <c r="E527" s="1" t="s">
        <v>10833</v>
      </c>
      <c r="F527" s="1" t="s">
        <v>132</v>
      </c>
      <c r="G527" s="1" t="s">
        <v>10834</v>
      </c>
      <c r="H527" s="1" t="s">
        <v>10835</v>
      </c>
      <c r="I527" s="1" t="s">
        <v>10836</v>
      </c>
      <c r="J527" s="1" t="s">
        <v>10837</v>
      </c>
      <c r="K527" s="1" t="s">
        <v>10838</v>
      </c>
      <c r="L527" s="1" t="s">
        <v>10839</v>
      </c>
      <c r="M527" s="1" t="s">
        <v>10840</v>
      </c>
      <c r="N527" s="1" t="s">
        <v>132</v>
      </c>
      <c r="O527" s="1" t="s">
        <v>10841</v>
      </c>
      <c r="P527" s="1" t="s">
        <v>10842</v>
      </c>
      <c r="Q527" s="1" t="s">
        <v>132</v>
      </c>
      <c r="R527" s="1" t="s">
        <v>10843</v>
      </c>
      <c r="S527" s="1" t="s">
        <v>10844</v>
      </c>
      <c r="T527" s="8" t="s">
        <v>10845</v>
      </c>
      <c r="U527" s="1" t="s">
        <v>10846</v>
      </c>
      <c r="V527" s="1" t="s">
        <v>10847</v>
      </c>
      <c r="W527" s="1" t="s">
        <v>10848</v>
      </c>
      <c r="X527" s="1" t="s">
        <v>10849</v>
      </c>
      <c r="Y527" s="1" t="s">
        <v>10850</v>
      </c>
      <c r="Z527" s="1" t="s">
        <v>10851</v>
      </c>
      <c r="AA527" s="1" t="s">
        <v>10852</v>
      </c>
      <c r="AB527" s="1" t="s">
        <v>10853</v>
      </c>
      <c r="AC527" s="1" t="s">
        <v>10854</v>
      </c>
      <c r="AD527" s="1" t="s">
        <v>10855</v>
      </c>
      <c r="AE527" s="1" t="s">
        <v>10856</v>
      </c>
      <c r="AF527" s="1" t="s">
        <v>10857</v>
      </c>
      <c r="AG527" s="1" t="s">
        <v>10858</v>
      </c>
      <c r="AH527" s="1" t="s">
        <v>10859</v>
      </c>
      <c r="AI527" s="1" t="s">
        <v>10860</v>
      </c>
      <c r="AJ527" s="1" t="s">
        <v>132</v>
      </c>
      <c r="AK527" s="1" t="s">
        <v>10861</v>
      </c>
      <c r="AL527" s="1" t="s">
        <v>10862</v>
      </c>
      <c r="AM527" s="1" t="s">
        <v>10863</v>
      </c>
      <c r="AN527" s="1" t="s">
        <v>10863</v>
      </c>
    </row>
    <row r="528" ht="15.75" customHeight="1">
      <c r="A528" s="1" t="s">
        <v>38</v>
      </c>
      <c r="B528" s="1" t="s">
        <v>10864</v>
      </c>
      <c r="C528" s="1" t="s">
        <v>10865</v>
      </c>
      <c r="D528" s="8" t="s">
        <v>10866</v>
      </c>
      <c r="E528" s="1" t="s">
        <v>10867</v>
      </c>
      <c r="F528" s="1" t="s">
        <v>10868</v>
      </c>
      <c r="G528" s="1" t="s">
        <v>132</v>
      </c>
      <c r="H528" s="1" t="s">
        <v>132</v>
      </c>
      <c r="I528" s="1" t="s">
        <v>10869</v>
      </c>
      <c r="J528" s="1" t="s">
        <v>132</v>
      </c>
      <c r="K528" s="1" t="s">
        <v>10870</v>
      </c>
      <c r="L528" s="1" t="s">
        <v>132</v>
      </c>
      <c r="M528" s="1" t="s">
        <v>10871</v>
      </c>
      <c r="N528" s="1" t="s">
        <v>10872</v>
      </c>
      <c r="O528" s="1" t="s">
        <v>132</v>
      </c>
      <c r="P528" s="1" t="s">
        <v>10873</v>
      </c>
      <c r="Q528" s="1" t="s">
        <v>132</v>
      </c>
      <c r="R528" s="1" t="s">
        <v>132</v>
      </c>
      <c r="S528" s="1" t="s">
        <v>10874</v>
      </c>
      <c r="T528" s="1" t="s">
        <v>132</v>
      </c>
      <c r="U528" s="1" t="s">
        <v>10875</v>
      </c>
      <c r="V528" s="1" t="s">
        <v>10876</v>
      </c>
      <c r="W528" s="1" t="s">
        <v>132</v>
      </c>
      <c r="X528" s="1" t="s">
        <v>10877</v>
      </c>
      <c r="Y528" s="1" t="s">
        <v>132</v>
      </c>
      <c r="Z528" s="1" t="s">
        <v>10878</v>
      </c>
      <c r="AA528" s="1" t="s">
        <v>10879</v>
      </c>
      <c r="AB528" s="1" t="s">
        <v>132</v>
      </c>
      <c r="AC528" s="1" t="s">
        <v>10880</v>
      </c>
      <c r="AD528" s="1" t="s">
        <v>132</v>
      </c>
      <c r="AE528" s="1" t="s">
        <v>132</v>
      </c>
      <c r="AF528" s="1" t="s">
        <v>10881</v>
      </c>
      <c r="AG528" s="1" t="s">
        <v>10882</v>
      </c>
      <c r="AH528" s="1" t="s">
        <v>132</v>
      </c>
      <c r="AI528" s="1" t="s">
        <v>132</v>
      </c>
      <c r="AJ528" s="1" t="s">
        <v>10883</v>
      </c>
      <c r="AK528" s="1" t="s">
        <v>132</v>
      </c>
      <c r="AL528" s="1" t="s">
        <v>132</v>
      </c>
      <c r="AM528" s="1" t="s">
        <v>10884</v>
      </c>
      <c r="AN528" s="1" t="s">
        <v>10884</v>
      </c>
    </row>
    <row r="529" ht="15.75" customHeight="1">
      <c r="A529" s="1" t="s">
        <v>127</v>
      </c>
      <c r="B529" s="1" t="s">
        <v>10885</v>
      </c>
      <c r="C529" s="1" t="s">
        <v>10886</v>
      </c>
      <c r="D529" s="8" t="s">
        <v>10887</v>
      </c>
      <c r="E529" s="1" t="s">
        <v>10888</v>
      </c>
      <c r="F529" s="1" t="s">
        <v>132</v>
      </c>
      <c r="G529" s="1" t="s">
        <v>10889</v>
      </c>
      <c r="H529" s="1" t="s">
        <v>10890</v>
      </c>
      <c r="I529" s="1" t="s">
        <v>10886</v>
      </c>
      <c r="J529" s="1" t="s">
        <v>10891</v>
      </c>
      <c r="K529" s="1" t="s">
        <v>10886</v>
      </c>
      <c r="L529" s="1" t="s">
        <v>10892</v>
      </c>
      <c r="M529" s="1" t="s">
        <v>10886</v>
      </c>
      <c r="N529" s="1" t="s">
        <v>132</v>
      </c>
      <c r="O529" s="1" t="s">
        <v>10141</v>
      </c>
      <c r="P529" s="1" t="s">
        <v>10886</v>
      </c>
      <c r="Q529" s="1" t="s">
        <v>132</v>
      </c>
      <c r="R529" s="1" t="s">
        <v>10893</v>
      </c>
      <c r="S529" s="1" t="s">
        <v>10886</v>
      </c>
      <c r="T529" s="8" t="s">
        <v>10894</v>
      </c>
      <c r="U529" s="1" t="s">
        <v>10895</v>
      </c>
      <c r="V529" s="1" t="s">
        <v>10896</v>
      </c>
      <c r="W529" s="1" t="s">
        <v>10893</v>
      </c>
      <c r="X529" s="1" t="s">
        <v>10886</v>
      </c>
      <c r="Y529" s="1" t="s">
        <v>10897</v>
      </c>
      <c r="Z529" s="1" t="s">
        <v>10886</v>
      </c>
      <c r="AA529" s="1" t="s">
        <v>10886</v>
      </c>
      <c r="AB529" s="1" t="s">
        <v>10898</v>
      </c>
      <c r="AC529" s="1" t="s">
        <v>10899</v>
      </c>
      <c r="AD529" s="1" t="s">
        <v>10900</v>
      </c>
      <c r="AE529" s="1" t="s">
        <v>10901</v>
      </c>
      <c r="AF529" s="1" t="s">
        <v>10886</v>
      </c>
      <c r="AG529" s="1" t="s">
        <v>10886</v>
      </c>
      <c r="AH529" s="1" t="s">
        <v>10902</v>
      </c>
      <c r="AI529" s="1" t="s">
        <v>10903</v>
      </c>
      <c r="AJ529" s="1" t="s">
        <v>132</v>
      </c>
      <c r="AK529" s="1" t="s">
        <v>10904</v>
      </c>
      <c r="AL529" s="1" t="s">
        <v>10905</v>
      </c>
      <c r="AM529" s="1" t="s">
        <v>10906</v>
      </c>
      <c r="AN529" s="1" t="s">
        <v>10906</v>
      </c>
    </row>
    <row r="530" ht="15.75" customHeight="1">
      <c r="A530" s="1" t="s">
        <v>127</v>
      </c>
      <c r="B530" s="1" t="s">
        <v>10907</v>
      </c>
      <c r="C530" s="1" t="s">
        <v>10908</v>
      </c>
      <c r="D530" s="8" t="s">
        <v>10909</v>
      </c>
      <c r="E530" s="1" t="s">
        <v>10910</v>
      </c>
      <c r="F530" s="1" t="s">
        <v>132</v>
      </c>
      <c r="G530" s="1" t="s">
        <v>10911</v>
      </c>
      <c r="H530" s="1" t="s">
        <v>10912</v>
      </c>
      <c r="I530" s="1" t="s">
        <v>10913</v>
      </c>
      <c r="J530" s="1" t="s">
        <v>10914</v>
      </c>
      <c r="K530" s="1" t="s">
        <v>10915</v>
      </c>
      <c r="L530" s="1" t="s">
        <v>10916</v>
      </c>
      <c r="M530" s="1" t="s">
        <v>10917</v>
      </c>
      <c r="N530" s="1" t="s">
        <v>132</v>
      </c>
      <c r="O530" s="1" t="s">
        <v>10918</v>
      </c>
      <c r="P530" s="1" t="s">
        <v>10919</v>
      </c>
      <c r="Q530" s="1" t="s">
        <v>132</v>
      </c>
      <c r="R530" s="1" t="s">
        <v>10920</v>
      </c>
      <c r="S530" s="1" t="s">
        <v>10921</v>
      </c>
      <c r="T530" s="8" t="s">
        <v>10922</v>
      </c>
      <c r="U530" s="1" t="s">
        <v>10923</v>
      </c>
      <c r="V530" s="1" t="s">
        <v>10924</v>
      </c>
      <c r="W530" s="1" t="s">
        <v>10925</v>
      </c>
      <c r="X530" s="1" t="s">
        <v>10926</v>
      </c>
      <c r="Y530" s="1" t="s">
        <v>10927</v>
      </c>
      <c r="Z530" s="1" t="s">
        <v>10928</v>
      </c>
      <c r="AA530" s="1" t="s">
        <v>10929</v>
      </c>
      <c r="AB530" s="1" t="s">
        <v>10930</v>
      </c>
      <c r="AC530" s="1" t="s">
        <v>10931</v>
      </c>
      <c r="AD530" s="1" t="s">
        <v>10932</v>
      </c>
      <c r="AE530" s="1" t="s">
        <v>10933</v>
      </c>
      <c r="AF530" s="1" t="s">
        <v>10934</v>
      </c>
      <c r="AG530" s="1" t="s">
        <v>10935</v>
      </c>
      <c r="AH530" s="1" t="s">
        <v>10936</v>
      </c>
      <c r="AI530" s="1" t="s">
        <v>10937</v>
      </c>
      <c r="AJ530" s="1" t="s">
        <v>132</v>
      </c>
      <c r="AK530" s="1" t="s">
        <v>10938</v>
      </c>
      <c r="AL530" s="1" t="s">
        <v>10939</v>
      </c>
      <c r="AM530" s="1" t="s">
        <v>10940</v>
      </c>
      <c r="AN530" s="1" t="s">
        <v>10940</v>
      </c>
    </row>
    <row r="531" ht="15.75" customHeight="1">
      <c r="A531" s="1" t="s">
        <v>38</v>
      </c>
      <c r="B531" s="1" t="s">
        <v>10941</v>
      </c>
      <c r="C531" s="1" t="s">
        <v>132</v>
      </c>
      <c r="D531" s="1" t="s">
        <v>132</v>
      </c>
      <c r="E531" s="1" t="s">
        <v>132</v>
      </c>
      <c r="F531" s="1" t="s">
        <v>132</v>
      </c>
      <c r="G531" s="1" t="s">
        <v>132</v>
      </c>
      <c r="H531" s="1" t="s">
        <v>132</v>
      </c>
      <c r="I531" s="1" t="s">
        <v>132</v>
      </c>
      <c r="J531" s="1" t="s">
        <v>132</v>
      </c>
      <c r="K531" s="1" t="s">
        <v>132</v>
      </c>
      <c r="L531" s="1" t="s">
        <v>132</v>
      </c>
      <c r="M531" s="1" t="s">
        <v>132</v>
      </c>
      <c r="N531" s="1" t="s">
        <v>132</v>
      </c>
      <c r="O531" s="1" t="s">
        <v>132</v>
      </c>
      <c r="P531" s="1" t="s">
        <v>132</v>
      </c>
      <c r="Q531" s="1" t="s">
        <v>132</v>
      </c>
      <c r="R531" s="1" t="s">
        <v>132</v>
      </c>
      <c r="S531" s="1" t="s">
        <v>132</v>
      </c>
      <c r="T531" s="1" t="s">
        <v>132</v>
      </c>
      <c r="U531" s="1" t="s">
        <v>132</v>
      </c>
      <c r="V531" s="1" t="s">
        <v>132</v>
      </c>
      <c r="W531" s="1" t="s">
        <v>132</v>
      </c>
      <c r="X531" s="1" t="s">
        <v>132</v>
      </c>
      <c r="Y531" s="1" t="s">
        <v>132</v>
      </c>
      <c r="Z531" s="1" t="s">
        <v>132</v>
      </c>
      <c r="AA531" s="1" t="s">
        <v>132</v>
      </c>
      <c r="AB531" s="1" t="s">
        <v>132</v>
      </c>
      <c r="AC531" s="1" t="s">
        <v>132</v>
      </c>
      <c r="AD531" s="1" t="s">
        <v>132</v>
      </c>
      <c r="AE531" s="1" t="s">
        <v>132</v>
      </c>
      <c r="AF531" s="1" t="s">
        <v>132</v>
      </c>
      <c r="AG531" s="1" t="s">
        <v>132</v>
      </c>
      <c r="AH531" s="1" t="s">
        <v>132</v>
      </c>
      <c r="AI531" s="1" t="s">
        <v>132</v>
      </c>
      <c r="AJ531" s="1" t="s">
        <v>132</v>
      </c>
      <c r="AK531" s="1" t="s">
        <v>132</v>
      </c>
      <c r="AL531" s="1" t="s">
        <v>132</v>
      </c>
      <c r="AM531" s="1" t="s">
        <v>132</v>
      </c>
      <c r="AN531" s="1" t="s">
        <v>132</v>
      </c>
    </row>
    <row r="532" ht="15.75" customHeight="1">
      <c r="A532" s="1" t="s">
        <v>38</v>
      </c>
      <c r="B532" s="1" t="s">
        <v>10942</v>
      </c>
      <c r="C532" s="1" t="s">
        <v>10942</v>
      </c>
      <c r="D532" s="8" t="s">
        <v>10943</v>
      </c>
      <c r="E532" s="1" t="s">
        <v>10944</v>
      </c>
      <c r="F532" s="1" t="s">
        <v>10945</v>
      </c>
      <c r="G532" s="1" t="s">
        <v>132</v>
      </c>
      <c r="H532" s="1" t="s">
        <v>132</v>
      </c>
      <c r="I532" s="1" t="s">
        <v>10946</v>
      </c>
      <c r="J532" s="1" t="s">
        <v>132</v>
      </c>
      <c r="K532" s="1" t="s">
        <v>10947</v>
      </c>
      <c r="L532" s="1" t="s">
        <v>132</v>
      </c>
      <c r="M532" s="1" t="s">
        <v>10942</v>
      </c>
      <c r="N532" s="1" t="s">
        <v>10948</v>
      </c>
      <c r="O532" s="1" t="s">
        <v>132</v>
      </c>
      <c r="P532" s="1" t="s">
        <v>10949</v>
      </c>
      <c r="Q532" s="1" t="s">
        <v>10950</v>
      </c>
      <c r="R532" s="1" t="s">
        <v>132</v>
      </c>
      <c r="S532" s="1" t="s">
        <v>10951</v>
      </c>
      <c r="T532" s="1" t="s">
        <v>132</v>
      </c>
      <c r="U532" s="1" t="s">
        <v>10952</v>
      </c>
      <c r="V532" s="1" t="s">
        <v>10953</v>
      </c>
      <c r="W532" s="1" t="s">
        <v>132</v>
      </c>
      <c r="X532" s="1" t="s">
        <v>10954</v>
      </c>
      <c r="Y532" s="1" t="s">
        <v>132</v>
      </c>
      <c r="Z532" s="1" t="s">
        <v>10955</v>
      </c>
      <c r="AA532" s="1" t="s">
        <v>10956</v>
      </c>
      <c r="AB532" s="1" t="s">
        <v>132</v>
      </c>
      <c r="AC532" s="1" t="s">
        <v>10944</v>
      </c>
      <c r="AD532" s="1" t="s">
        <v>10957</v>
      </c>
      <c r="AE532" s="1" t="s">
        <v>132</v>
      </c>
      <c r="AF532" s="1" t="s">
        <v>10958</v>
      </c>
      <c r="AG532" s="1" t="s">
        <v>10959</v>
      </c>
      <c r="AH532" s="1" t="s">
        <v>132</v>
      </c>
      <c r="AI532" s="1" t="s">
        <v>132</v>
      </c>
      <c r="AJ532" s="1" t="s">
        <v>10960</v>
      </c>
      <c r="AK532" s="1" t="s">
        <v>10961</v>
      </c>
      <c r="AL532" s="1" t="s">
        <v>132</v>
      </c>
      <c r="AM532" s="1" t="s">
        <v>10962</v>
      </c>
      <c r="AN532" s="1" t="s">
        <v>10962</v>
      </c>
    </row>
    <row r="533" ht="15.75" customHeight="1">
      <c r="A533" s="1" t="s">
        <v>127</v>
      </c>
      <c r="B533" s="1" t="s">
        <v>10963</v>
      </c>
      <c r="C533" s="1" t="s">
        <v>10964</v>
      </c>
      <c r="D533" s="8" t="s">
        <v>10965</v>
      </c>
      <c r="E533" s="1" t="s">
        <v>10964</v>
      </c>
      <c r="F533" s="1" t="s">
        <v>132</v>
      </c>
      <c r="G533" s="1" t="s">
        <v>10964</v>
      </c>
      <c r="H533" s="1" t="s">
        <v>10964</v>
      </c>
      <c r="I533" s="1" t="s">
        <v>10966</v>
      </c>
      <c r="J533" s="1" t="s">
        <v>10964</v>
      </c>
      <c r="K533" s="1" t="s">
        <v>10967</v>
      </c>
      <c r="L533" s="1" t="s">
        <v>10964</v>
      </c>
      <c r="M533" s="1" t="s">
        <v>10964</v>
      </c>
      <c r="N533" s="1" t="s">
        <v>132</v>
      </c>
      <c r="O533" s="1" t="s">
        <v>10968</v>
      </c>
      <c r="P533" s="1" t="s">
        <v>10964</v>
      </c>
      <c r="Q533" s="1" t="s">
        <v>132</v>
      </c>
      <c r="R533" s="1" t="s">
        <v>10964</v>
      </c>
      <c r="S533" s="1" t="s">
        <v>10969</v>
      </c>
      <c r="T533" s="8" t="s">
        <v>10970</v>
      </c>
      <c r="U533" s="1" t="s">
        <v>10964</v>
      </c>
      <c r="V533" s="1" t="s">
        <v>10971</v>
      </c>
      <c r="W533" s="1" t="s">
        <v>10964</v>
      </c>
      <c r="X533" s="1" t="s">
        <v>10972</v>
      </c>
      <c r="Y533" s="1" t="s">
        <v>10964</v>
      </c>
      <c r="Z533" s="1" t="s">
        <v>10973</v>
      </c>
      <c r="AA533" s="1" t="s">
        <v>10974</v>
      </c>
      <c r="AB533" s="1" t="s">
        <v>10964</v>
      </c>
      <c r="AC533" s="1" t="s">
        <v>1781</v>
      </c>
      <c r="AD533" s="1" t="s">
        <v>10964</v>
      </c>
      <c r="AE533" s="1" t="s">
        <v>10964</v>
      </c>
      <c r="AF533" s="1" t="s">
        <v>10964</v>
      </c>
      <c r="AG533" s="1" t="s">
        <v>10964</v>
      </c>
      <c r="AH533" s="1" t="s">
        <v>10964</v>
      </c>
      <c r="AI533" s="1" t="s">
        <v>10975</v>
      </c>
      <c r="AJ533" s="1" t="s">
        <v>132</v>
      </c>
      <c r="AK533" s="1" t="s">
        <v>10964</v>
      </c>
      <c r="AL533" s="1" t="s">
        <v>10976</v>
      </c>
      <c r="AM533" s="1" t="s">
        <v>132</v>
      </c>
      <c r="AN533" s="1" t="s">
        <v>132</v>
      </c>
    </row>
    <row r="534" ht="15.75" customHeight="1">
      <c r="A534" s="1" t="s">
        <v>127</v>
      </c>
      <c r="B534" s="1" t="s">
        <v>10977</v>
      </c>
      <c r="C534" s="1" t="s">
        <v>10978</v>
      </c>
      <c r="D534" s="8" t="s">
        <v>10979</v>
      </c>
      <c r="E534" s="1" t="s">
        <v>10980</v>
      </c>
      <c r="F534" s="1" t="s">
        <v>132</v>
      </c>
      <c r="G534" s="1" t="s">
        <v>10981</v>
      </c>
      <c r="H534" s="1" t="s">
        <v>10982</v>
      </c>
      <c r="I534" s="1" t="s">
        <v>10983</v>
      </c>
      <c r="J534" s="1" t="s">
        <v>10984</v>
      </c>
      <c r="K534" s="1" t="s">
        <v>10985</v>
      </c>
      <c r="L534" s="1" t="s">
        <v>10986</v>
      </c>
      <c r="M534" s="1" t="s">
        <v>10987</v>
      </c>
      <c r="N534" s="1" t="s">
        <v>132</v>
      </c>
      <c r="O534" s="1" t="s">
        <v>10988</v>
      </c>
      <c r="P534" s="1" t="s">
        <v>10989</v>
      </c>
      <c r="Q534" s="1" t="s">
        <v>132</v>
      </c>
      <c r="R534" s="1" t="s">
        <v>10990</v>
      </c>
      <c r="S534" s="1" t="s">
        <v>10991</v>
      </c>
      <c r="T534" s="8" t="s">
        <v>10992</v>
      </c>
      <c r="U534" s="1" t="s">
        <v>10993</v>
      </c>
      <c r="V534" s="1" t="s">
        <v>10994</v>
      </c>
      <c r="W534" s="1" t="s">
        <v>10990</v>
      </c>
      <c r="X534" s="1" t="s">
        <v>10995</v>
      </c>
      <c r="Y534" s="1" t="s">
        <v>10996</v>
      </c>
      <c r="Z534" s="1" t="s">
        <v>10997</v>
      </c>
      <c r="AA534" s="1" t="s">
        <v>10998</v>
      </c>
      <c r="AB534" s="1" t="s">
        <v>10999</v>
      </c>
      <c r="AC534" s="1" t="s">
        <v>3833</v>
      </c>
      <c r="AD534" s="1" t="s">
        <v>11000</v>
      </c>
      <c r="AE534" s="1" t="s">
        <v>11001</v>
      </c>
      <c r="AF534" s="1" t="s">
        <v>11002</v>
      </c>
      <c r="AG534" s="1" t="s">
        <v>11003</v>
      </c>
      <c r="AH534" s="1" t="s">
        <v>11004</v>
      </c>
      <c r="AI534" s="1" t="s">
        <v>11005</v>
      </c>
      <c r="AJ534" s="1" t="s">
        <v>132</v>
      </c>
      <c r="AK534" s="1" t="s">
        <v>11006</v>
      </c>
      <c r="AL534" s="1" t="s">
        <v>11007</v>
      </c>
      <c r="AM534" s="1" t="s">
        <v>11008</v>
      </c>
      <c r="AN534" s="1" t="s">
        <v>11008</v>
      </c>
    </row>
    <row r="535" ht="15.75" customHeight="1">
      <c r="A535" s="1" t="s">
        <v>38</v>
      </c>
      <c r="B535" s="1" t="s">
        <v>11009</v>
      </c>
      <c r="C535" s="1" t="s">
        <v>11010</v>
      </c>
      <c r="D535" s="1" t="s">
        <v>132</v>
      </c>
      <c r="E535" s="1" t="s">
        <v>132</v>
      </c>
      <c r="F535" s="1" t="s">
        <v>132</v>
      </c>
      <c r="G535" s="1" t="s">
        <v>132</v>
      </c>
      <c r="H535" s="1" t="s">
        <v>132</v>
      </c>
      <c r="I535" s="1" t="s">
        <v>11011</v>
      </c>
      <c r="J535" s="1" t="s">
        <v>132</v>
      </c>
      <c r="K535" s="1" t="s">
        <v>11012</v>
      </c>
      <c r="L535" s="1" t="s">
        <v>132</v>
      </c>
      <c r="M535" s="1" t="s">
        <v>11013</v>
      </c>
      <c r="N535" s="1" t="s">
        <v>132</v>
      </c>
      <c r="O535" s="1" t="s">
        <v>132</v>
      </c>
      <c r="P535" s="1" t="s">
        <v>11014</v>
      </c>
      <c r="Q535" s="1" t="s">
        <v>132</v>
      </c>
      <c r="R535" s="1" t="s">
        <v>132</v>
      </c>
      <c r="S535" s="1" t="s">
        <v>132</v>
      </c>
      <c r="T535" s="1" t="s">
        <v>132</v>
      </c>
      <c r="U535" s="1" t="s">
        <v>132</v>
      </c>
      <c r="V535" s="1" t="s">
        <v>132</v>
      </c>
      <c r="W535" s="1" t="s">
        <v>132</v>
      </c>
      <c r="X535" s="1" t="s">
        <v>132</v>
      </c>
      <c r="Y535" s="1" t="s">
        <v>132</v>
      </c>
      <c r="Z535" s="1" t="s">
        <v>132</v>
      </c>
      <c r="AA535" s="1" t="s">
        <v>132</v>
      </c>
      <c r="AB535" s="1" t="s">
        <v>132</v>
      </c>
      <c r="AC535" s="1" t="s">
        <v>11015</v>
      </c>
      <c r="AD535" s="1" t="s">
        <v>132</v>
      </c>
      <c r="AE535" s="1" t="s">
        <v>132</v>
      </c>
      <c r="AF535" s="1" t="s">
        <v>11016</v>
      </c>
      <c r="AG535" s="1" t="s">
        <v>132</v>
      </c>
      <c r="AH535" s="1" t="s">
        <v>132</v>
      </c>
      <c r="AI535" s="1" t="s">
        <v>132</v>
      </c>
      <c r="AJ535" s="1" t="s">
        <v>132</v>
      </c>
      <c r="AK535" s="1" t="s">
        <v>132</v>
      </c>
      <c r="AL535" s="1" t="s">
        <v>132</v>
      </c>
      <c r="AM535" s="1" t="s">
        <v>132</v>
      </c>
      <c r="AN535" s="1" t="s">
        <v>132</v>
      </c>
    </row>
    <row r="536" ht="15.75" customHeight="1">
      <c r="A536" s="1" t="s">
        <v>127</v>
      </c>
      <c r="B536" s="1" t="s">
        <v>11017</v>
      </c>
      <c r="C536" s="1" t="s">
        <v>11018</v>
      </c>
      <c r="D536" s="8" t="s">
        <v>11019</v>
      </c>
      <c r="E536" s="1" t="s">
        <v>11020</v>
      </c>
      <c r="F536" s="1" t="s">
        <v>132</v>
      </c>
      <c r="G536" s="1" t="s">
        <v>11021</v>
      </c>
      <c r="H536" s="1" t="s">
        <v>11022</v>
      </c>
      <c r="I536" s="1" t="s">
        <v>11023</v>
      </c>
      <c r="J536" s="1" t="s">
        <v>11024</v>
      </c>
      <c r="K536" s="1" t="s">
        <v>11025</v>
      </c>
      <c r="L536" s="1" t="s">
        <v>11026</v>
      </c>
      <c r="M536" s="1" t="s">
        <v>11027</v>
      </c>
      <c r="N536" s="1" t="s">
        <v>132</v>
      </c>
      <c r="O536" s="1" t="s">
        <v>11028</v>
      </c>
      <c r="P536" s="1" t="s">
        <v>11029</v>
      </c>
      <c r="Q536" s="1" t="s">
        <v>132</v>
      </c>
      <c r="R536" s="1" t="s">
        <v>11030</v>
      </c>
      <c r="S536" s="1" t="s">
        <v>11031</v>
      </c>
      <c r="T536" s="8" t="s">
        <v>11032</v>
      </c>
      <c r="U536" s="1" t="s">
        <v>11033</v>
      </c>
      <c r="V536" s="1" t="s">
        <v>11034</v>
      </c>
      <c r="W536" s="1" t="s">
        <v>11030</v>
      </c>
      <c r="X536" s="1" t="s">
        <v>11035</v>
      </c>
      <c r="Y536" s="1" t="s">
        <v>11036</v>
      </c>
      <c r="Z536" s="1" t="s">
        <v>11037</v>
      </c>
      <c r="AA536" s="1" t="s">
        <v>11038</v>
      </c>
      <c r="AB536" s="1" t="s">
        <v>11039</v>
      </c>
      <c r="AC536" s="1" t="s">
        <v>11040</v>
      </c>
      <c r="AD536" s="1" t="s">
        <v>11041</v>
      </c>
      <c r="AE536" s="1" t="s">
        <v>11042</v>
      </c>
      <c r="AF536" s="1" t="s">
        <v>11043</v>
      </c>
      <c r="AG536" s="1" t="s">
        <v>11044</v>
      </c>
      <c r="AH536" s="1" t="s">
        <v>11045</v>
      </c>
      <c r="AI536" s="1" t="s">
        <v>11046</v>
      </c>
      <c r="AJ536" s="1" t="s">
        <v>132</v>
      </c>
      <c r="AK536" s="1" t="s">
        <v>11047</v>
      </c>
      <c r="AL536" s="1" t="s">
        <v>11048</v>
      </c>
      <c r="AM536" s="1" t="s">
        <v>11049</v>
      </c>
      <c r="AN536" s="1" t="s">
        <v>11049</v>
      </c>
    </row>
    <row r="537" ht="15.75" customHeight="1">
      <c r="A537" s="1" t="s">
        <v>11050</v>
      </c>
      <c r="B537" s="1" t="s">
        <v>11051</v>
      </c>
      <c r="C537" s="1" t="s">
        <v>132</v>
      </c>
      <c r="D537" s="8" t="s">
        <v>11052</v>
      </c>
      <c r="E537" s="1" t="s">
        <v>43231</v>
      </c>
      <c r="F537" s="1" t="s">
        <v>132</v>
      </c>
      <c r="G537" s="1" t="s">
        <v>11053</v>
      </c>
      <c r="H537" s="1" t="s">
        <v>11054</v>
      </c>
      <c r="I537" s="1" t="s">
        <v>132</v>
      </c>
      <c r="J537" s="1" t="s">
        <v>11055</v>
      </c>
      <c r="K537" s="1" t="s">
        <v>132</v>
      </c>
      <c r="L537" s="1" t="s">
        <v>11056</v>
      </c>
      <c r="M537" s="1" t="s">
        <v>132</v>
      </c>
      <c r="N537" s="1" t="s">
        <v>132</v>
      </c>
      <c r="O537" s="1" t="s">
        <v>11057</v>
      </c>
      <c r="P537" s="1" t="s">
        <v>132</v>
      </c>
      <c r="Q537" s="1" t="s">
        <v>132</v>
      </c>
      <c r="R537" s="1" t="s">
        <v>132</v>
      </c>
      <c r="S537" s="1" t="s">
        <v>132</v>
      </c>
      <c r="T537" s="8" t="s">
        <v>11058</v>
      </c>
      <c r="U537" s="1" t="s">
        <v>132</v>
      </c>
      <c r="V537" s="1" t="s">
        <v>11059</v>
      </c>
      <c r="W537" s="1" t="s">
        <v>132</v>
      </c>
      <c r="X537" s="1" t="s">
        <v>132</v>
      </c>
      <c r="Y537" s="1" t="s">
        <v>11060</v>
      </c>
      <c r="Z537" s="1" t="s">
        <v>132</v>
      </c>
      <c r="AA537" s="1" t="s">
        <v>132</v>
      </c>
      <c r="AB537" s="1" t="s">
        <v>11061</v>
      </c>
      <c r="AC537" s="1" t="s">
        <v>132</v>
      </c>
      <c r="AD537" s="1" t="s">
        <v>11062</v>
      </c>
      <c r="AE537" s="1" t="s">
        <v>11063</v>
      </c>
      <c r="AF537" s="1" t="s">
        <v>132</v>
      </c>
      <c r="AG537" s="1" t="s">
        <v>11064</v>
      </c>
      <c r="AH537" s="1" t="s">
        <v>11065</v>
      </c>
      <c r="AI537" s="1" t="s">
        <v>132</v>
      </c>
      <c r="AJ537" s="1" t="s">
        <v>132</v>
      </c>
      <c r="AK537" s="1" t="s">
        <v>11066</v>
      </c>
      <c r="AL537" s="1" t="s">
        <v>132</v>
      </c>
      <c r="AM537" s="1" t="s">
        <v>132</v>
      </c>
      <c r="AN537" s="1" t="s">
        <v>132</v>
      </c>
    </row>
    <row r="538" ht="15.75" customHeight="1">
      <c r="A538" s="1" t="s">
        <v>11050</v>
      </c>
      <c r="B538" s="1" t="s">
        <v>11067</v>
      </c>
      <c r="C538" s="1" t="s">
        <v>132</v>
      </c>
      <c r="D538" s="8" t="s">
        <v>11068</v>
      </c>
      <c r="E538" s="1" t="s">
        <v>11069</v>
      </c>
      <c r="F538" s="1" t="s">
        <v>132</v>
      </c>
      <c r="G538" s="1" t="s">
        <v>11070</v>
      </c>
      <c r="H538" s="1" t="s">
        <v>11071</v>
      </c>
      <c r="I538" s="1" t="s">
        <v>132</v>
      </c>
      <c r="J538" s="1" t="s">
        <v>11072</v>
      </c>
      <c r="K538" s="1" t="s">
        <v>132</v>
      </c>
      <c r="L538" s="1" t="s">
        <v>11073</v>
      </c>
      <c r="M538" s="1" t="s">
        <v>132</v>
      </c>
      <c r="N538" s="1" t="s">
        <v>132</v>
      </c>
      <c r="O538" s="1" t="s">
        <v>11074</v>
      </c>
      <c r="P538" s="1" t="s">
        <v>132</v>
      </c>
      <c r="Q538" s="1" t="s">
        <v>132</v>
      </c>
      <c r="R538" s="1" t="s">
        <v>132</v>
      </c>
      <c r="S538" s="1" t="s">
        <v>132</v>
      </c>
      <c r="T538" s="8" t="s">
        <v>11075</v>
      </c>
      <c r="U538" s="1" t="s">
        <v>132</v>
      </c>
      <c r="V538" s="1" t="s">
        <v>11076</v>
      </c>
      <c r="W538" s="1" t="s">
        <v>132</v>
      </c>
      <c r="X538" s="1" t="s">
        <v>132</v>
      </c>
      <c r="Y538" s="1" t="s">
        <v>11077</v>
      </c>
      <c r="Z538" s="1" t="s">
        <v>132</v>
      </c>
      <c r="AA538" s="1" t="s">
        <v>132</v>
      </c>
      <c r="AB538" s="1" t="s">
        <v>11078</v>
      </c>
      <c r="AC538" s="1" t="s">
        <v>132</v>
      </c>
      <c r="AD538" s="1" t="s">
        <v>11079</v>
      </c>
      <c r="AE538" s="1" t="s">
        <v>11080</v>
      </c>
      <c r="AF538" s="1" t="s">
        <v>132</v>
      </c>
      <c r="AG538" s="1" t="s">
        <v>11081</v>
      </c>
      <c r="AH538" s="1" t="s">
        <v>11082</v>
      </c>
      <c r="AI538" s="1" t="s">
        <v>132</v>
      </c>
      <c r="AJ538" s="1" t="s">
        <v>132</v>
      </c>
      <c r="AK538" s="1" t="s">
        <v>11083</v>
      </c>
      <c r="AL538" s="1" t="s">
        <v>132</v>
      </c>
      <c r="AM538" s="1" t="s">
        <v>132</v>
      </c>
      <c r="AN538" s="1" t="s">
        <v>132</v>
      </c>
    </row>
    <row r="539" ht="15.75" customHeight="1">
      <c r="A539" s="1" t="s">
        <v>11050</v>
      </c>
      <c r="B539" s="1" t="s">
        <v>11084</v>
      </c>
      <c r="C539" s="1" t="s">
        <v>132</v>
      </c>
      <c r="D539" s="8" t="s">
        <v>11085</v>
      </c>
      <c r="E539" s="1" t="s">
        <v>11086</v>
      </c>
      <c r="F539" s="1" t="s">
        <v>132</v>
      </c>
      <c r="G539" s="1" t="s">
        <v>11087</v>
      </c>
      <c r="H539" s="1" t="s">
        <v>11088</v>
      </c>
      <c r="I539" s="1" t="s">
        <v>132</v>
      </c>
      <c r="J539" s="1" t="s">
        <v>11089</v>
      </c>
      <c r="K539" s="1" t="s">
        <v>132</v>
      </c>
      <c r="L539" s="1" t="s">
        <v>11090</v>
      </c>
      <c r="M539" s="1" t="s">
        <v>132</v>
      </c>
      <c r="N539" s="1" t="s">
        <v>132</v>
      </c>
      <c r="O539" s="1" t="s">
        <v>11091</v>
      </c>
      <c r="P539" s="1" t="s">
        <v>132</v>
      </c>
      <c r="Q539" s="1" t="s">
        <v>132</v>
      </c>
      <c r="R539" s="1" t="s">
        <v>132</v>
      </c>
      <c r="S539" s="1" t="s">
        <v>132</v>
      </c>
      <c r="T539" s="8" t="s">
        <v>11092</v>
      </c>
      <c r="U539" s="1" t="s">
        <v>132</v>
      </c>
      <c r="V539" s="1" t="s">
        <v>11093</v>
      </c>
      <c r="W539" s="1" t="s">
        <v>132</v>
      </c>
      <c r="X539" s="1" t="s">
        <v>132</v>
      </c>
      <c r="Y539" s="1" t="s">
        <v>11094</v>
      </c>
      <c r="Z539" s="1" t="s">
        <v>132</v>
      </c>
      <c r="AA539" s="1" t="s">
        <v>132</v>
      </c>
      <c r="AB539" s="1" t="s">
        <v>11095</v>
      </c>
      <c r="AC539" s="1" t="s">
        <v>132</v>
      </c>
      <c r="AD539" s="1" t="s">
        <v>11096</v>
      </c>
      <c r="AE539" s="1" t="s">
        <v>11097</v>
      </c>
      <c r="AF539" s="1" t="s">
        <v>132</v>
      </c>
      <c r="AG539" s="1" t="s">
        <v>11098</v>
      </c>
      <c r="AH539" s="1" t="s">
        <v>11099</v>
      </c>
      <c r="AI539" s="1" t="s">
        <v>132</v>
      </c>
      <c r="AJ539" s="1" t="s">
        <v>132</v>
      </c>
      <c r="AK539" s="1" t="s">
        <v>11100</v>
      </c>
      <c r="AL539" s="1" t="s">
        <v>132</v>
      </c>
      <c r="AM539" s="1" t="s">
        <v>132</v>
      </c>
      <c r="AN539" s="1" t="s">
        <v>132</v>
      </c>
    </row>
    <row r="540" ht="15.75" customHeight="1">
      <c r="A540" s="1" t="s">
        <v>127</v>
      </c>
      <c r="B540" s="1" t="s">
        <v>11101</v>
      </c>
      <c r="C540" s="1" t="s">
        <v>11102</v>
      </c>
      <c r="D540" s="8" t="s">
        <v>11103</v>
      </c>
      <c r="E540" s="1" t="s">
        <v>11104</v>
      </c>
      <c r="F540" s="1" t="s">
        <v>132</v>
      </c>
      <c r="G540" s="1" t="s">
        <v>11105</v>
      </c>
      <c r="H540" s="1" t="s">
        <v>11102</v>
      </c>
      <c r="I540" s="1" t="s">
        <v>11102</v>
      </c>
      <c r="J540" s="1" t="s">
        <v>11106</v>
      </c>
      <c r="K540" s="1" t="s">
        <v>11102</v>
      </c>
      <c r="L540" s="1" t="s">
        <v>11102</v>
      </c>
      <c r="M540" s="1" t="s">
        <v>11102</v>
      </c>
      <c r="N540" s="1" t="s">
        <v>132</v>
      </c>
      <c r="O540" s="1" t="s">
        <v>11107</v>
      </c>
      <c r="P540" s="1" t="s">
        <v>11102</v>
      </c>
      <c r="Q540" s="1" t="s">
        <v>132</v>
      </c>
      <c r="R540" s="1" t="s">
        <v>11102</v>
      </c>
      <c r="S540" s="1" t="s">
        <v>11102</v>
      </c>
      <c r="T540" s="8" t="s">
        <v>11108</v>
      </c>
      <c r="U540" s="1" t="s">
        <v>11109</v>
      </c>
      <c r="V540" s="1" t="s">
        <v>11110</v>
      </c>
      <c r="W540" s="1" t="s">
        <v>11102</v>
      </c>
      <c r="X540" s="1" t="s">
        <v>11102</v>
      </c>
      <c r="Y540" s="1" t="s">
        <v>11102</v>
      </c>
      <c r="Z540" s="1" t="s">
        <v>11102</v>
      </c>
      <c r="AA540" s="1" t="s">
        <v>11111</v>
      </c>
      <c r="AB540" s="1" t="s">
        <v>11102</v>
      </c>
      <c r="AC540" s="1" t="s">
        <v>11112</v>
      </c>
      <c r="AD540" s="1" t="s">
        <v>11102</v>
      </c>
      <c r="AE540" s="1" t="s">
        <v>11113</v>
      </c>
      <c r="AF540" s="1" t="s">
        <v>11102</v>
      </c>
      <c r="AG540" s="1" t="s">
        <v>11102</v>
      </c>
      <c r="AH540" s="1" t="s">
        <v>11114</v>
      </c>
      <c r="AI540" s="1" t="s">
        <v>11115</v>
      </c>
      <c r="AJ540" s="1" t="s">
        <v>132</v>
      </c>
      <c r="AK540" s="1" t="s">
        <v>11116</v>
      </c>
      <c r="AL540" s="1" t="s">
        <v>11117</v>
      </c>
      <c r="AM540" s="1" t="s">
        <v>11118</v>
      </c>
      <c r="AN540" s="1" t="s">
        <v>11118</v>
      </c>
    </row>
    <row r="541" ht="15.75" customHeight="1">
      <c r="A541" s="1" t="s">
        <v>11050</v>
      </c>
      <c r="B541" s="1" t="s">
        <v>11119</v>
      </c>
      <c r="C541" s="1" t="s">
        <v>132</v>
      </c>
      <c r="D541" s="8" t="s">
        <v>11120</v>
      </c>
      <c r="E541" s="1" t="s">
        <v>11121</v>
      </c>
      <c r="F541" s="1" t="s">
        <v>132</v>
      </c>
      <c r="G541" s="1" t="s">
        <v>11122</v>
      </c>
      <c r="H541" s="1" t="s">
        <v>11123</v>
      </c>
      <c r="I541" s="1" t="s">
        <v>132</v>
      </c>
      <c r="J541" s="1" t="s">
        <v>11124</v>
      </c>
      <c r="K541" s="1" t="s">
        <v>132</v>
      </c>
      <c r="L541" s="1" t="s">
        <v>11125</v>
      </c>
      <c r="M541" s="1" t="s">
        <v>132</v>
      </c>
      <c r="N541" s="1" t="s">
        <v>132</v>
      </c>
      <c r="O541" s="1" t="s">
        <v>11126</v>
      </c>
      <c r="P541" s="1" t="s">
        <v>132</v>
      </c>
      <c r="Q541" s="1" t="s">
        <v>132</v>
      </c>
      <c r="R541" s="1" t="s">
        <v>132</v>
      </c>
      <c r="S541" s="1" t="s">
        <v>132</v>
      </c>
      <c r="T541" s="8" t="s">
        <v>11127</v>
      </c>
      <c r="U541" s="1" t="s">
        <v>132</v>
      </c>
      <c r="V541" s="1" t="s">
        <v>11128</v>
      </c>
      <c r="W541" s="1" t="s">
        <v>132</v>
      </c>
      <c r="X541" s="1" t="s">
        <v>132</v>
      </c>
      <c r="Y541" s="1" t="s">
        <v>11129</v>
      </c>
      <c r="Z541" s="1" t="s">
        <v>132</v>
      </c>
      <c r="AA541" s="1" t="s">
        <v>132</v>
      </c>
      <c r="AB541" s="1" t="s">
        <v>11130</v>
      </c>
      <c r="AC541" s="1" t="s">
        <v>132</v>
      </c>
      <c r="AD541" s="1" t="s">
        <v>11131</v>
      </c>
      <c r="AE541" s="1" t="s">
        <v>11132</v>
      </c>
      <c r="AF541" s="1" t="s">
        <v>132</v>
      </c>
      <c r="AG541" s="1" t="s">
        <v>11133</v>
      </c>
      <c r="AH541" s="1" t="s">
        <v>11134</v>
      </c>
      <c r="AI541" s="1" t="s">
        <v>132</v>
      </c>
      <c r="AJ541" s="1" t="s">
        <v>132</v>
      </c>
      <c r="AK541" s="1" t="s">
        <v>11135</v>
      </c>
      <c r="AL541" s="1" t="s">
        <v>132</v>
      </c>
      <c r="AM541" s="1" t="s">
        <v>132</v>
      </c>
      <c r="AN541" s="1" t="s">
        <v>132</v>
      </c>
    </row>
    <row r="542" ht="15.75" customHeight="1">
      <c r="A542" s="1" t="s">
        <v>127</v>
      </c>
      <c r="B542" s="1" t="s">
        <v>11136</v>
      </c>
      <c r="C542" s="1" t="s">
        <v>11137</v>
      </c>
      <c r="D542" s="8" t="s">
        <v>11138</v>
      </c>
      <c r="E542" s="1" t="s">
        <v>11139</v>
      </c>
      <c r="F542" s="1" t="s">
        <v>132</v>
      </c>
      <c r="G542" s="1" t="s">
        <v>11137</v>
      </c>
      <c r="H542" s="1" t="s">
        <v>11137</v>
      </c>
      <c r="I542" s="1" t="s">
        <v>11137</v>
      </c>
      <c r="J542" s="1" t="s">
        <v>11140</v>
      </c>
      <c r="K542" s="1" t="s">
        <v>11137</v>
      </c>
      <c r="L542" s="1" t="s">
        <v>11141</v>
      </c>
      <c r="M542" s="1" t="s">
        <v>11137</v>
      </c>
      <c r="N542" s="1" t="s">
        <v>132</v>
      </c>
      <c r="O542" s="1" t="s">
        <v>11142</v>
      </c>
      <c r="P542" s="1" t="s">
        <v>11137</v>
      </c>
      <c r="Q542" s="1" t="s">
        <v>132</v>
      </c>
      <c r="R542" s="1" t="s">
        <v>11143</v>
      </c>
      <c r="S542" s="1" t="s">
        <v>11137</v>
      </c>
      <c r="T542" s="8" t="s">
        <v>11144</v>
      </c>
      <c r="U542" s="1" t="s">
        <v>11145</v>
      </c>
      <c r="V542" s="1" t="s">
        <v>11146</v>
      </c>
      <c r="W542" s="1" t="s">
        <v>11147</v>
      </c>
      <c r="X542" s="1" t="s">
        <v>11137</v>
      </c>
      <c r="Y542" s="1" t="s">
        <v>11137</v>
      </c>
      <c r="Z542" s="1" t="s">
        <v>11137</v>
      </c>
      <c r="AA542" s="1" t="s">
        <v>11148</v>
      </c>
      <c r="AB542" s="1" t="s">
        <v>11137</v>
      </c>
      <c r="AC542" s="1" t="s">
        <v>11139</v>
      </c>
      <c r="AD542" s="1" t="s">
        <v>11149</v>
      </c>
      <c r="AE542" s="1" t="s">
        <v>11137</v>
      </c>
      <c r="AF542" s="1" t="s">
        <v>11137</v>
      </c>
      <c r="AG542" s="1" t="s">
        <v>11137</v>
      </c>
      <c r="AH542" s="1" t="s">
        <v>11150</v>
      </c>
      <c r="AI542" s="1" t="s">
        <v>11151</v>
      </c>
      <c r="AJ542" s="1" t="s">
        <v>132</v>
      </c>
      <c r="AK542" s="1" t="s">
        <v>11152</v>
      </c>
      <c r="AL542" s="1" t="s">
        <v>11153</v>
      </c>
      <c r="AM542" s="1" t="s">
        <v>11154</v>
      </c>
      <c r="AN542" s="1" t="s">
        <v>11154</v>
      </c>
    </row>
    <row r="543" ht="15.75" customHeight="1">
      <c r="A543" s="1" t="s">
        <v>38</v>
      </c>
      <c r="B543" s="1" t="s">
        <v>11155</v>
      </c>
      <c r="C543" s="1" t="s">
        <v>11156</v>
      </c>
      <c r="D543" s="1" t="s">
        <v>132</v>
      </c>
      <c r="E543" s="1" t="s">
        <v>11157</v>
      </c>
      <c r="F543" s="1" t="s">
        <v>132</v>
      </c>
      <c r="G543" s="1" t="s">
        <v>132</v>
      </c>
      <c r="H543" s="1" t="s">
        <v>132</v>
      </c>
      <c r="I543" s="1" t="s">
        <v>11158</v>
      </c>
      <c r="J543" s="1" t="s">
        <v>132</v>
      </c>
      <c r="K543" s="1" t="s">
        <v>132</v>
      </c>
      <c r="L543" s="1" t="s">
        <v>132</v>
      </c>
      <c r="M543" s="1" t="s">
        <v>132</v>
      </c>
      <c r="N543" s="1" t="s">
        <v>11159</v>
      </c>
      <c r="O543" s="1" t="s">
        <v>132</v>
      </c>
      <c r="P543" s="1" t="s">
        <v>11160</v>
      </c>
      <c r="Q543" s="1" t="s">
        <v>132</v>
      </c>
      <c r="R543" s="1" t="s">
        <v>132</v>
      </c>
      <c r="S543" s="1" t="s">
        <v>132</v>
      </c>
      <c r="T543" s="1" t="s">
        <v>132</v>
      </c>
      <c r="U543" s="1" t="s">
        <v>132</v>
      </c>
      <c r="V543" s="1" t="s">
        <v>132</v>
      </c>
      <c r="W543" s="1" t="s">
        <v>132</v>
      </c>
      <c r="X543" s="1" t="s">
        <v>11161</v>
      </c>
      <c r="Y543" s="1" t="s">
        <v>132</v>
      </c>
      <c r="Z543" s="1" t="s">
        <v>11162</v>
      </c>
      <c r="AA543" s="1" t="s">
        <v>132</v>
      </c>
      <c r="AB543" s="1" t="s">
        <v>132</v>
      </c>
      <c r="AC543" s="1" t="s">
        <v>132</v>
      </c>
      <c r="AD543" s="1" t="s">
        <v>132</v>
      </c>
      <c r="AE543" s="1" t="s">
        <v>132</v>
      </c>
      <c r="AF543" s="1" t="s">
        <v>132</v>
      </c>
      <c r="AG543" s="1" t="s">
        <v>132</v>
      </c>
      <c r="AH543" s="1" t="s">
        <v>132</v>
      </c>
      <c r="AI543" s="1" t="s">
        <v>132</v>
      </c>
      <c r="AJ543" s="1" t="s">
        <v>132</v>
      </c>
      <c r="AK543" s="1" t="s">
        <v>132</v>
      </c>
      <c r="AL543" s="1" t="s">
        <v>132</v>
      </c>
      <c r="AM543" s="1" t="s">
        <v>132</v>
      </c>
      <c r="AN543" s="1" t="s">
        <v>132</v>
      </c>
    </row>
    <row r="544" ht="15.75" customHeight="1">
      <c r="A544" s="1" t="s">
        <v>38</v>
      </c>
      <c r="B544" s="1" t="s">
        <v>11163</v>
      </c>
      <c r="C544" s="1" t="s">
        <v>11164</v>
      </c>
      <c r="D544" s="1" t="s">
        <v>132</v>
      </c>
      <c r="E544" s="1" t="s">
        <v>132</v>
      </c>
      <c r="F544" s="1" t="s">
        <v>132</v>
      </c>
      <c r="G544" s="1" t="s">
        <v>132</v>
      </c>
      <c r="H544" s="1" t="s">
        <v>132</v>
      </c>
      <c r="I544" s="1" t="s">
        <v>11164</v>
      </c>
      <c r="J544" s="1" t="s">
        <v>132</v>
      </c>
      <c r="K544" s="1" t="s">
        <v>11164</v>
      </c>
      <c r="L544" s="1" t="s">
        <v>132</v>
      </c>
      <c r="M544" s="1" t="s">
        <v>11164</v>
      </c>
      <c r="N544" s="1" t="s">
        <v>132</v>
      </c>
      <c r="O544" s="1" t="s">
        <v>132</v>
      </c>
      <c r="P544" s="1" t="s">
        <v>11164</v>
      </c>
      <c r="Q544" s="1" t="s">
        <v>132</v>
      </c>
      <c r="R544" s="1" t="s">
        <v>132</v>
      </c>
      <c r="S544" s="1" t="s">
        <v>132</v>
      </c>
      <c r="T544" s="1" t="s">
        <v>132</v>
      </c>
      <c r="U544" s="1" t="s">
        <v>132</v>
      </c>
      <c r="V544" s="1" t="s">
        <v>132</v>
      </c>
      <c r="W544" s="1" t="s">
        <v>132</v>
      </c>
      <c r="X544" s="1" t="s">
        <v>132</v>
      </c>
      <c r="Y544" s="1" t="s">
        <v>132</v>
      </c>
      <c r="Z544" s="1" t="s">
        <v>132</v>
      </c>
      <c r="AA544" s="1" t="s">
        <v>132</v>
      </c>
      <c r="AB544" s="1" t="s">
        <v>132</v>
      </c>
      <c r="AC544" s="1" t="s">
        <v>11165</v>
      </c>
      <c r="AD544" s="1" t="s">
        <v>132</v>
      </c>
      <c r="AE544" s="1" t="s">
        <v>132</v>
      </c>
      <c r="AF544" s="1" t="s">
        <v>11166</v>
      </c>
      <c r="AG544" s="1" t="s">
        <v>132</v>
      </c>
      <c r="AH544" s="1" t="s">
        <v>132</v>
      </c>
      <c r="AI544" s="1" t="s">
        <v>132</v>
      </c>
      <c r="AJ544" s="1" t="s">
        <v>132</v>
      </c>
      <c r="AK544" s="1" t="s">
        <v>132</v>
      </c>
      <c r="AL544" s="1" t="s">
        <v>132</v>
      </c>
      <c r="AM544" s="1" t="s">
        <v>132</v>
      </c>
      <c r="AN544" s="1" t="s">
        <v>132</v>
      </c>
    </row>
    <row r="545" ht="15.75" customHeight="1">
      <c r="A545" s="1" t="s">
        <v>38</v>
      </c>
      <c r="B545" s="1" t="s">
        <v>11167</v>
      </c>
      <c r="C545" s="1" t="s">
        <v>11168</v>
      </c>
      <c r="D545" s="1" t="s">
        <v>132</v>
      </c>
      <c r="E545" s="1" t="s">
        <v>132</v>
      </c>
      <c r="F545" s="1" t="s">
        <v>132</v>
      </c>
      <c r="G545" s="1" t="s">
        <v>132</v>
      </c>
      <c r="H545" s="1" t="s">
        <v>132</v>
      </c>
      <c r="I545" s="1" t="s">
        <v>11169</v>
      </c>
      <c r="J545" s="1" t="s">
        <v>132</v>
      </c>
      <c r="K545" s="1" t="s">
        <v>11170</v>
      </c>
      <c r="L545" s="1" t="s">
        <v>132</v>
      </c>
      <c r="M545" s="1" t="s">
        <v>11171</v>
      </c>
      <c r="N545" s="1" t="s">
        <v>132</v>
      </c>
      <c r="O545" s="1" t="s">
        <v>132</v>
      </c>
      <c r="P545" s="1" t="s">
        <v>11168</v>
      </c>
      <c r="Q545" s="1" t="s">
        <v>132</v>
      </c>
      <c r="R545" s="1" t="s">
        <v>132</v>
      </c>
      <c r="S545" s="1" t="s">
        <v>132</v>
      </c>
      <c r="T545" s="1" t="s">
        <v>132</v>
      </c>
      <c r="U545" s="1" t="s">
        <v>132</v>
      </c>
      <c r="V545" s="1" t="s">
        <v>132</v>
      </c>
      <c r="W545" s="1" t="s">
        <v>132</v>
      </c>
      <c r="X545" s="1" t="s">
        <v>132</v>
      </c>
      <c r="Y545" s="1" t="s">
        <v>132</v>
      </c>
      <c r="Z545" s="1" t="s">
        <v>132</v>
      </c>
      <c r="AA545" s="1" t="s">
        <v>132</v>
      </c>
      <c r="AB545" s="1" t="s">
        <v>132</v>
      </c>
      <c r="AC545" s="1" t="s">
        <v>11172</v>
      </c>
      <c r="AD545" s="1" t="s">
        <v>132</v>
      </c>
      <c r="AE545" s="1" t="s">
        <v>132</v>
      </c>
      <c r="AF545" s="1" t="s">
        <v>11173</v>
      </c>
      <c r="AG545" s="1" t="s">
        <v>132</v>
      </c>
      <c r="AH545" s="1" t="s">
        <v>132</v>
      </c>
      <c r="AI545" s="1" t="s">
        <v>132</v>
      </c>
      <c r="AJ545" s="1" t="s">
        <v>132</v>
      </c>
      <c r="AK545" s="1" t="s">
        <v>132</v>
      </c>
      <c r="AL545" s="1" t="s">
        <v>132</v>
      </c>
      <c r="AM545" s="1" t="s">
        <v>132</v>
      </c>
      <c r="AN545" s="1" t="s">
        <v>132</v>
      </c>
    </row>
    <row r="546" ht="15.75" customHeight="1">
      <c r="A546" s="1" t="s">
        <v>127</v>
      </c>
      <c r="B546" s="1" t="s">
        <v>11174</v>
      </c>
      <c r="C546" s="1" t="s">
        <v>11175</v>
      </c>
      <c r="D546" s="8" t="s">
        <v>11176</v>
      </c>
      <c r="E546" s="1" t="s">
        <v>11177</v>
      </c>
      <c r="F546" s="1" t="s">
        <v>132</v>
      </c>
      <c r="G546" s="1" t="s">
        <v>11178</v>
      </c>
      <c r="H546" s="1" t="s">
        <v>11179</v>
      </c>
      <c r="I546" s="1" t="s">
        <v>11180</v>
      </c>
      <c r="J546" s="1" t="s">
        <v>11181</v>
      </c>
      <c r="K546" s="1" t="s">
        <v>11182</v>
      </c>
      <c r="L546" s="1" t="s">
        <v>11183</v>
      </c>
      <c r="M546" s="1" t="s">
        <v>11184</v>
      </c>
      <c r="N546" s="1" t="s">
        <v>132</v>
      </c>
      <c r="O546" s="1" t="s">
        <v>11185</v>
      </c>
      <c r="P546" s="1" t="s">
        <v>11186</v>
      </c>
      <c r="Q546" s="1" t="s">
        <v>132</v>
      </c>
      <c r="R546" s="1" t="s">
        <v>11187</v>
      </c>
      <c r="S546" s="1" t="s">
        <v>11188</v>
      </c>
      <c r="T546" s="8" t="s">
        <v>11189</v>
      </c>
      <c r="U546" s="1" t="s">
        <v>11190</v>
      </c>
      <c r="V546" s="1" t="s">
        <v>11191</v>
      </c>
      <c r="W546" s="1" t="s">
        <v>11192</v>
      </c>
      <c r="X546" s="1" t="s">
        <v>11193</v>
      </c>
      <c r="Y546" s="1" t="s">
        <v>11194</v>
      </c>
      <c r="Z546" s="1" t="s">
        <v>11195</v>
      </c>
      <c r="AA546" s="1" t="s">
        <v>11196</v>
      </c>
      <c r="AB546" s="1" t="s">
        <v>11197</v>
      </c>
      <c r="AC546" s="1" t="s">
        <v>11198</v>
      </c>
      <c r="AD546" s="1" t="s">
        <v>11199</v>
      </c>
      <c r="AE546" s="1" t="s">
        <v>11200</v>
      </c>
      <c r="AF546" s="1" t="s">
        <v>11201</v>
      </c>
      <c r="AG546" s="1" t="s">
        <v>11202</v>
      </c>
      <c r="AH546" s="1" t="s">
        <v>11203</v>
      </c>
      <c r="AI546" s="1" t="s">
        <v>11204</v>
      </c>
      <c r="AJ546" s="1" t="s">
        <v>132</v>
      </c>
      <c r="AK546" s="1" t="s">
        <v>11205</v>
      </c>
      <c r="AL546" s="1" t="s">
        <v>11206</v>
      </c>
      <c r="AM546" s="1" t="s">
        <v>11207</v>
      </c>
      <c r="AN546" s="1" t="s">
        <v>11207</v>
      </c>
    </row>
    <row r="547" ht="15.75" customHeight="1">
      <c r="A547" s="1" t="s">
        <v>38</v>
      </c>
      <c r="B547" s="1" t="s">
        <v>11208</v>
      </c>
      <c r="C547" s="1" t="s">
        <v>11209</v>
      </c>
      <c r="D547" s="1" t="s">
        <v>132</v>
      </c>
      <c r="E547" s="1" t="s">
        <v>132</v>
      </c>
      <c r="F547" s="1" t="s">
        <v>132</v>
      </c>
      <c r="G547" s="1" t="s">
        <v>132</v>
      </c>
      <c r="H547" s="1" t="s">
        <v>132</v>
      </c>
      <c r="I547" s="1" t="s">
        <v>11209</v>
      </c>
      <c r="J547" s="1" t="s">
        <v>132</v>
      </c>
      <c r="K547" s="1" t="s">
        <v>11209</v>
      </c>
      <c r="L547" s="1" t="s">
        <v>132</v>
      </c>
      <c r="M547" s="1" t="s">
        <v>11210</v>
      </c>
      <c r="N547" s="1" t="s">
        <v>132</v>
      </c>
      <c r="O547" s="1" t="s">
        <v>132</v>
      </c>
      <c r="P547" s="1" t="s">
        <v>11209</v>
      </c>
      <c r="Q547" s="1" t="s">
        <v>132</v>
      </c>
      <c r="R547" s="1" t="s">
        <v>132</v>
      </c>
      <c r="S547" s="1" t="s">
        <v>132</v>
      </c>
      <c r="T547" s="1" t="s">
        <v>132</v>
      </c>
      <c r="U547" s="1" t="s">
        <v>132</v>
      </c>
      <c r="V547" s="1" t="s">
        <v>132</v>
      </c>
      <c r="W547" s="1" t="s">
        <v>132</v>
      </c>
      <c r="X547" s="1" t="s">
        <v>132</v>
      </c>
      <c r="Y547" s="1" t="s">
        <v>132</v>
      </c>
      <c r="Z547" s="1" t="s">
        <v>132</v>
      </c>
      <c r="AA547" s="1" t="s">
        <v>132</v>
      </c>
      <c r="AB547" s="1" t="s">
        <v>132</v>
      </c>
      <c r="AC547" s="1" t="s">
        <v>11211</v>
      </c>
      <c r="AD547" s="1" t="s">
        <v>132</v>
      </c>
      <c r="AE547" s="1" t="s">
        <v>132</v>
      </c>
      <c r="AF547" s="1" t="s">
        <v>11209</v>
      </c>
      <c r="AG547" s="1" t="s">
        <v>132</v>
      </c>
      <c r="AH547" s="1" t="s">
        <v>132</v>
      </c>
      <c r="AI547" s="1" t="s">
        <v>132</v>
      </c>
      <c r="AJ547" s="1" t="s">
        <v>132</v>
      </c>
      <c r="AK547" s="1" t="s">
        <v>132</v>
      </c>
      <c r="AL547" s="1" t="s">
        <v>132</v>
      </c>
      <c r="AM547" s="1" t="s">
        <v>132</v>
      </c>
      <c r="AN547" s="1" t="s">
        <v>132</v>
      </c>
    </row>
    <row r="548" ht="15.75" customHeight="1">
      <c r="A548" s="1" t="s">
        <v>127</v>
      </c>
      <c r="B548" s="1" t="s">
        <v>11212</v>
      </c>
      <c r="C548" s="1" t="s">
        <v>11213</v>
      </c>
      <c r="D548" s="8" t="s">
        <v>11214</v>
      </c>
      <c r="E548" s="1" t="s">
        <v>11215</v>
      </c>
      <c r="F548" s="1" t="s">
        <v>132</v>
      </c>
      <c r="G548" s="1" t="s">
        <v>11216</v>
      </c>
      <c r="H548" s="1" t="s">
        <v>11217</v>
      </c>
      <c r="I548" s="1" t="s">
        <v>11218</v>
      </c>
      <c r="J548" s="1" t="s">
        <v>11219</v>
      </c>
      <c r="K548" s="1" t="s">
        <v>11220</v>
      </c>
      <c r="L548" s="1" t="s">
        <v>11221</v>
      </c>
      <c r="M548" s="1" t="s">
        <v>11222</v>
      </c>
      <c r="N548" s="1" t="s">
        <v>132</v>
      </c>
      <c r="O548" s="1" t="s">
        <v>11223</v>
      </c>
      <c r="P548" s="1" t="s">
        <v>11224</v>
      </c>
      <c r="Q548" s="1" t="s">
        <v>132</v>
      </c>
      <c r="R548" s="1" t="s">
        <v>11225</v>
      </c>
      <c r="S548" s="1" t="s">
        <v>11226</v>
      </c>
      <c r="T548" s="8" t="s">
        <v>11227</v>
      </c>
      <c r="U548" s="1" t="s">
        <v>11228</v>
      </c>
      <c r="V548" s="1" t="s">
        <v>11229</v>
      </c>
      <c r="W548" s="1" t="s">
        <v>11225</v>
      </c>
      <c r="X548" s="1" t="s">
        <v>11230</v>
      </c>
      <c r="Y548" s="1" t="s">
        <v>11231</v>
      </c>
      <c r="Z548" s="1" t="s">
        <v>11232</v>
      </c>
      <c r="AA548" s="1" t="s">
        <v>11233</v>
      </c>
      <c r="AB548" s="1" t="s">
        <v>11234</v>
      </c>
      <c r="AC548" s="1" t="s">
        <v>11235</v>
      </c>
      <c r="AD548" s="1" t="s">
        <v>11236</v>
      </c>
      <c r="AE548" s="1" t="s">
        <v>11237</v>
      </c>
      <c r="AF548" s="1" t="s">
        <v>11238</v>
      </c>
      <c r="AG548" s="1" t="s">
        <v>11239</v>
      </c>
      <c r="AH548" s="1" t="s">
        <v>11240</v>
      </c>
      <c r="AI548" s="1" t="s">
        <v>11241</v>
      </c>
      <c r="AJ548" s="1" t="s">
        <v>132</v>
      </c>
      <c r="AK548" s="1" t="s">
        <v>11242</v>
      </c>
      <c r="AL548" s="1" t="s">
        <v>11243</v>
      </c>
      <c r="AM548" s="1" t="s">
        <v>11244</v>
      </c>
      <c r="AN548" s="1" t="s">
        <v>11244</v>
      </c>
    </row>
    <row r="549" ht="15.75" customHeight="1">
      <c r="A549" s="1" t="s">
        <v>38</v>
      </c>
      <c r="B549" s="1" t="s">
        <v>11245</v>
      </c>
      <c r="C549" s="1" t="s">
        <v>11246</v>
      </c>
      <c r="D549" s="1" t="s">
        <v>132</v>
      </c>
      <c r="E549" s="1" t="s">
        <v>132</v>
      </c>
      <c r="F549" s="1" t="s">
        <v>132</v>
      </c>
      <c r="G549" s="1" t="s">
        <v>132</v>
      </c>
      <c r="H549" s="1" t="s">
        <v>132</v>
      </c>
      <c r="I549" s="1" t="s">
        <v>11246</v>
      </c>
      <c r="J549" s="1" t="s">
        <v>132</v>
      </c>
      <c r="K549" s="1" t="s">
        <v>11247</v>
      </c>
      <c r="L549" s="1" t="s">
        <v>132</v>
      </c>
      <c r="M549" s="1" t="s">
        <v>11246</v>
      </c>
      <c r="N549" s="1" t="s">
        <v>132</v>
      </c>
      <c r="O549" s="1" t="s">
        <v>132</v>
      </c>
      <c r="P549" s="1" t="s">
        <v>11246</v>
      </c>
      <c r="Q549" s="1" t="s">
        <v>132</v>
      </c>
      <c r="R549" s="1" t="s">
        <v>132</v>
      </c>
      <c r="S549" s="1" t="s">
        <v>132</v>
      </c>
      <c r="T549" s="1" t="s">
        <v>132</v>
      </c>
      <c r="U549" s="1" t="s">
        <v>132</v>
      </c>
      <c r="V549" s="1" t="s">
        <v>132</v>
      </c>
      <c r="W549" s="1" t="s">
        <v>132</v>
      </c>
      <c r="X549" s="1" t="s">
        <v>132</v>
      </c>
      <c r="Y549" s="1" t="s">
        <v>132</v>
      </c>
      <c r="Z549" s="1" t="s">
        <v>132</v>
      </c>
      <c r="AA549" s="1" t="s">
        <v>132</v>
      </c>
      <c r="AB549" s="1" t="s">
        <v>132</v>
      </c>
      <c r="AC549" s="1" t="s">
        <v>11248</v>
      </c>
      <c r="AD549" s="1" t="s">
        <v>132</v>
      </c>
      <c r="AE549" s="1" t="s">
        <v>132</v>
      </c>
      <c r="AF549" s="1" t="s">
        <v>11246</v>
      </c>
      <c r="AG549" s="1" t="s">
        <v>132</v>
      </c>
      <c r="AH549" s="1" t="s">
        <v>132</v>
      </c>
      <c r="AI549" s="1" t="s">
        <v>132</v>
      </c>
      <c r="AJ549" s="1" t="s">
        <v>132</v>
      </c>
      <c r="AK549" s="1" t="s">
        <v>132</v>
      </c>
      <c r="AL549" s="1" t="s">
        <v>132</v>
      </c>
      <c r="AM549" s="1" t="s">
        <v>132</v>
      </c>
      <c r="AN549" s="1" t="s">
        <v>132</v>
      </c>
    </row>
    <row r="550" ht="15.75" customHeight="1">
      <c r="A550" s="1" t="s">
        <v>38</v>
      </c>
      <c r="B550" s="1" t="s">
        <v>11249</v>
      </c>
      <c r="C550" s="1" t="s">
        <v>11250</v>
      </c>
      <c r="D550" s="1" t="s">
        <v>132</v>
      </c>
      <c r="E550" s="1" t="s">
        <v>11251</v>
      </c>
      <c r="F550" s="1" t="s">
        <v>11252</v>
      </c>
      <c r="G550" s="1" t="s">
        <v>132</v>
      </c>
      <c r="H550" s="1" t="s">
        <v>132</v>
      </c>
      <c r="I550" s="1" t="s">
        <v>11253</v>
      </c>
      <c r="J550" s="1" t="s">
        <v>132</v>
      </c>
      <c r="K550" s="1" t="s">
        <v>11254</v>
      </c>
      <c r="L550" s="1" t="s">
        <v>132</v>
      </c>
      <c r="M550" s="1" t="s">
        <v>11255</v>
      </c>
      <c r="N550" s="1" t="s">
        <v>11256</v>
      </c>
      <c r="O550" s="1" t="s">
        <v>132</v>
      </c>
      <c r="P550" s="1" t="s">
        <v>11257</v>
      </c>
      <c r="Q550" s="1" t="s">
        <v>132</v>
      </c>
      <c r="R550" s="1" t="s">
        <v>132</v>
      </c>
      <c r="S550" s="1" t="s">
        <v>11258</v>
      </c>
      <c r="T550" s="1" t="s">
        <v>132</v>
      </c>
      <c r="U550" s="1" t="s">
        <v>132</v>
      </c>
      <c r="V550" s="1" t="s">
        <v>132</v>
      </c>
      <c r="W550" s="1" t="s">
        <v>132</v>
      </c>
      <c r="X550" s="1" t="s">
        <v>11259</v>
      </c>
      <c r="Y550" s="1" t="s">
        <v>132</v>
      </c>
      <c r="Z550" s="1" t="s">
        <v>11260</v>
      </c>
      <c r="AA550" s="1" t="s">
        <v>132</v>
      </c>
      <c r="AB550" s="1" t="s">
        <v>132</v>
      </c>
      <c r="AC550" s="1" t="s">
        <v>132</v>
      </c>
      <c r="AD550" s="1" t="s">
        <v>132</v>
      </c>
      <c r="AE550" s="1" t="s">
        <v>132</v>
      </c>
      <c r="AF550" s="1" t="s">
        <v>11261</v>
      </c>
      <c r="AG550" s="1" t="s">
        <v>132</v>
      </c>
      <c r="AH550" s="1" t="s">
        <v>132</v>
      </c>
      <c r="AI550" s="1" t="s">
        <v>132</v>
      </c>
      <c r="AJ550" s="1" t="s">
        <v>132</v>
      </c>
      <c r="AK550" s="1" t="s">
        <v>132</v>
      </c>
      <c r="AL550" s="1" t="s">
        <v>132</v>
      </c>
      <c r="AM550" s="1" t="s">
        <v>132</v>
      </c>
      <c r="AN550" s="1" t="s">
        <v>132</v>
      </c>
    </row>
    <row r="551" ht="15.75" customHeight="1">
      <c r="A551" s="1" t="s">
        <v>38</v>
      </c>
      <c r="B551" s="1" t="s">
        <v>11262</v>
      </c>
      <c r="C551" s="1" t="s">
        <v>11263</v>
      </c>
      <c r="D551" s="8" t="s">
        <v>11264</v>
      </c>
      <c r="E551" s="1" t="s">
        <v>11265</v>
      </c>
      <c r="F551" s="1" t="s">
        <v>11266</v>
      </c>
      <c r="G551" s="1" t="s">
        <v>132</v>
      </c>
      <c r="H551" s="1" t="s">
        <v>132</v>
      </c>
      <c r="I551" s="1" t="s">
        <v>11267</v>
      </c>
      <c r="J551" s="1" t="s">
        <v>132</v>
      </c>
      <c r="K551" s="1" t="s">
        <v>11268</v>
      </c>
      <c r="L551" s="1" t="s">
        <v>132</v>
      </c>
      <c r="M551" s="1" t="s">
        <v>11269</v>
      </c>
      <c r="N551" s="1" t="s">
        <v>11270</v>
      </c>
      <c r="O551" s="1" t="s">
        <v>132</v>
      </c>
      <c r="P551" s="1" t="s">
        <v>11271</v>
      </c>
      <c r="Q551" s="1" t="s">
        <v>11272</v>
      </c>
      <c r="R551" s="1" t="s">
        <v>132</v>
      </c>
      <c r="S551" s="1" t="s">
        <v>11273</v>
      </c>
      <c r="T551" s="1" t="s">
        <v>132</v>
      </c>
      <c r="U551" s="1" t="s">
        <v>11274</v>
      </c>
      <c r="V551" s="1" t="s">
        <v>11275</v>
      </c>
      <c r="W551" s="1" t="s">
        <v>132</v>
      </c>
      <c r="X551" s="1" t="s">
        <v>11276</v>
      </c>
      <c r="Y551" s="1" t="s">
        <v>132</v>
      </c>
      <c r="Z551" s="1" t="s">
        <v>11277</v>
      </c>
      <c r="AA551" s="1" t="s">
        <v>11278</v>
      </c>
      <c r="AB551" s="1" t="s">
        <v>132</v>
      </c>
      <c r="AC551" s="1" t="s">
        <v>11279</v>
      </c>
      <c r="AD551" s="1" t="s">
        <v>11280</v>
      </c>
      <c r="AE551" s="1" t="s">
        <v>132</v>
      </c>
      <c r="AF551" s="1" t="s">
        <v>11281</v>
      </c>
      <c r="AG551" s="1" t="s">
        <v>11282</v>
      </c>
      <c r="AH551" s="1" t="s">
        <v>132</v>
      </c>
      <c r="AI551" s="1" t="s">
        <v>132</v>
      </c>
      <c r="AJ551" s="1" t="s">
        <v>11283</v>
      </c>
      <c r="AK551" s="1" t="s">
        <v>11284</v>
      </c>
      <c r="AL551" s="1" t="s">
        <v>132</v>
      </c>
      <c r="AM551" s="1" t="s">
        <v>11285</v>
      </c>
      <c r="AN551" s="1" t="s">
        <v>11285</v>
      </c>
    </row>
    <row r="552" ht="15.75" customHeight="1">
      <c r="A552" s="1" t="s">
        <v>38</v>
      </c>
      <c r="B552" s="1" t="s">
        <v>11286</v>
      </c>
      <c r="C552" s="1" t="s">
        <v>11287</v>
      </c>
      <c r="D552" s="1" t="s">
        <v>132</v>
      </c>
      <c r="E552" s="1" t="s">
        <v>11288</v>
      </c>
      <c r="F552" s="1" t="s">
        <v>11289</v>
      </c>
      <c r="G552" s="1" t="s">
        <v>132</v>
      </c>
      <c r="H552" s="1" t="s">
        <v>132</v>
      </c>
      <c r="I552" s="1" t="s">
        <v>11290</v>
      </c>
      <c r="J552" s="1" t="s">
        <v>132</v>
      </c>
      <c r="K552" s="1" t="s">
        <v>11291</v>
      </c>
      <c r="L552" s="1" t="s">
        <v>132</v>
      </c>
      <c r="M552" s="1" t="s">
        <v>11292</v>
      </c>
      <c r="N552" s="1" t="s">
        <v>11293</v>
      </c>
      <c r="O552" s="1" t="s">
        <v>132</v>
      </c>
      <c r="P552" s="1" t="s">
        <v>11294</v>
      </c>
      <c r="Q552" s="1" t="s">
        <v>132</v>
      </c>
      <c r="R552" s="1" t="s">
        <v>132</v>
      </c>
      <c r="S552" s="1" t="s">
        <v>11295</v>
      </c>
      <c r="T552" s="1" t="s">
        <v>132</v>
      </c>
      <c r="U552" s="1" t="s">
        <v>11296</v>
      </c>
      <c r="V552" s="1" t="s">
        <v>11297</v>
      </c>
      <c r="W552" s="1" t="s">
        <v>132</v>
      </c>
      <c r="X552" s="1" t="s">
        <v>11298</v>
      </c>
      <c r="Y552" s="1" t="s">
        <v>132</v>
      </c>
      <c r="Z552" s="1" t="s">
        <v>11299</v>
      </c>
      <c r="AA552" s="1" t="s">
        <v>132</v>
      </c>
      <c r="AB552" s="1" t="s">
        <v>132</v>
      </c>
      <c r="AC552" s="1" t="s">
        <v>11300</v>
      </c>
      <c r="AD552" s="1" t="s">
        <v>132</v>
      </c>
      <c r="AE552" s="1" t="s">
        <v>132</v>
      </c>
      <c r="AF552" s="1" t="s">
        <v>11301</v>
      </c>
      <c r="AG552" s="1" t="s">
        <v>11302</v>
      </c>
      <c r="AH552" s="1" t="s">
        <v>132</v>
      </c>
      <c r="AI552" s="1" t="s">
        <v>132</v>
      </c>
      <c r="AJ552" s="1" t="s">
        <v>11303</v>
      </c>
      <c r="AK552" s="1" t="s">
        <v>132</v>
      </c>
      <c r="AL552" s="1" t="s">
        <v>132</v>
      </c>
      <c r="AM552" s="1" t="s">
        <v>11304</v>
      </c>
      <c r="AN552" s="1" t="s">
        <v>11304</v>
      </c>
    </row>
    <row r="553" ht="15.75" customHeight="1">
      <c r="A553" s="1" t="s">
        <v>127</v>
      </c>
      <c r="B553" s="1" t="s">
        <v>11305</v>
      </c>
      <c r="C553" s="1" t="s">
        <v>11306</v>
      </c>
      <c r="D553" s="8" t="s">
        <v>11307</v>
      </c>
      <c r="E553" s="1" t="s">
        <v>11306</v>
      </c>
      <c r="F553" s="1" t="s">
        <v>132</v>
      </c>
      <c r="G553" s="1" t="s">
        <v>11306</v>
      </c>
      <c r="H553" s="1" t="s">
        <v>11306</v>
      </c>
      <c r="I553" s="1" t="s">
        <v>11306</v>
      </c>
      <c r="J553" s="1" t="s">
        <v>11306</v>
      </c>
      <c r="K553" s="1" t="s">
        <v>11306</v>
      </c>
      <c r="L553" s="1" t="s">
        <v>11306</v>
      </c>
      <c r="M553" s="1" t="s">
        <v>11306</v>
      </c>
      <c r="N553" s="1" t="s">
        <v>132</v>
      </c>
      <c r="O553" s="1" t="s">
        <v>11308</v>
      </c>
      <c r="P553" s="1" t="s">
        <v>11306</v>
      </c>
      <c r="Q553" s="1" t="s">
        <v>132</v>
      </c>
      <c r="R553" s="1" t="s">
        <v>11306</v>
      </c>
      <c r="S553" s="1" t="s">
        <v>11306</v>
      </c>
      <c r="T553" s="1" t="s">
        <v>11306</v>
      </c>
      <c r="U553" s="1" t="s">
        <v>11306</v>
      </c>
      <c r="V553" s="1" t="s">
        <v>11306</v>
      </c>
      <c r="W553" s="1" t="s">
        <v>11306</v>
      </c>
      <c r="X553" s="1" t="s">
        <v>11306</v>
      </c>
      <c r="Y553" s="1" t="s">
        <v>11306</v>
      </c>
      <c r="Z553" s="1" t="s">
        <v>11306</v>
      </c>
      <c r="AA553" s="1" t="s">
        <v>11309</v>
      </c>
      <c r="AB553" s="1" t="s">
        <v>11306</v>
      </c>
      <c r="AC553" s="1" t="s">
        <v>11310</v>
      </c>
      <c r="AD553" s="1" t="s">
        <v>11306</v>
      </c>
      <c r="AE553" s="1" t="s">
        <v>11306</v>
      </c>
      <c r="AF553" s="1" t="s">
        <v>11306</v>
      </c>
      <c r="AG553" s="1" t="s">
        <v>11306</v>
      </c>
      <c r="AH553" s="1" t="s">
        <v>11306</v>
      </c>
      <c r="AI553" s="1" t="s">
        <v>11311</v>
      </c>
      <c r="AJ553" s="1" t="s">
        <v>132</v>
      </c>
      <c r="AK553" s="1" t="s">
        <v>11306</v>
      </c>
      <c r="AL553" s="1" t="s">
        <v>11312</v>
      </c>
      <c r="AM553" s="1" t="s">
        <v>11313</v>
      </c>
      <c r="AN553" s="1" t="s">
        <v>11313</v>
      </c>
    </row>
    <row r="554" ht="15.75" customHeight="1">
      <c r="A554" s="1" t="s">
        <v>8528</v>
      </c>
      <c r="B554" s="1" t="s">
        <v>11314</v>
      </c>
      <c r="C554" s="1" t="s">
        <v>11315</v>
      </c>
      <c r="D554" s="8" t="s">
        <v>11316</v>
      </c>
      <c r="E554" s="1" t="s">
        <v>11317</v>
      </c>
      <c r="F554" s="1" t="s">
        <v>132</v>
      </c>
      <c r="G554" s="1" t="s">
        <v>11318</v>
      </c>
      <c r="H554" s="1" t="s">
        <v>11319</v>
      </c>
      <c r="I554" s="1" t="s">
        <v>132</v>
      </c>
      <c r="J554" s="1" t="s">
        <v>11320</v>
      </c>
      <c r="K554" s="1" t="s">
        <v>132</v>
      </c>
      <c r="L554" s="1" t="s">
        <v>11321</v>
      </c>
      <c r="M554" s="1" t="s">
        <v>11322</v>
      </c>
      <c r="N554" s="1" t="s">
        <v>132</v>
      </c>
      <c r="O554" s="1" t="s">
        <v>11323</v>
      </c>
      <c r="P554" s="1" t="s">
        <v>11324</v>
      </c>
      <c r="Q554" s="1" t="s">
        <v>132</v>
      </c>
      <c r="R554" s="1" t="s">
        <v>11325</v>
      </c>
      <c r="S554" s="1" t="s">
        <v>11326</v>
      </c>
      <c r="T554" s="8" t="s">
        <v>11327</v>
      </c>
      <c r="U554" s="1" t="s">
        <v>11328</v>
      </c>
      <c r="V554" s="1" t="s">
        <v>11329</v>
      </c>
      <c r="W554" s="1" t="s">
        <v>11330</v>
      </c>
      <c r="X554" s="1" t="s">
        <v>11331</v>
      </c>
      <c r="Y554" s="1" t="s">
        <v>11332</v>
      </c>
      <c r="Z554" s="11" t="s">
        <v>11333</v>
      </c>
      <c r="AA554" s="1" t="s">
        <v>11334</v>
      </c>
      <c r="AB554" s="1" t="s">
        <v>11335</v>
      </c>
      <c r="AC554" s="1" t="s">
        <v>132</v>
      </c>
      <c r="AD554" s="1" t="s">
        <v>11336</v>
      </c>
      <c r="AE554" s="1" t="s">
        <v>11337</v>
      </c>
      <c r="AF554" s="1" t="s">
        <v>132</v>
      </c>
      <c r="AG554" s="1" t="s">
        <v>11338</v>
      </c>
      <c r="AH554" s="1" t="s">
        <v>11339</v>
      </c>
      <c r="AI554" s="1" t="s">
        <v>11340</v>
      </c>
      <c r="AJ554" s="1" t="s">
        <v>132</v>
      </c>
      <c r="AK554" s="1" t="s">
        <v>11341</v>
      </c>
      <c r="AL554" s="14" t="s">
        <v>11342</v>
      </c>
      <c r="AM554" s="1" t="s">
        <v>132</v>
      </c>
      <c r="AN554" s="1" t="s">
        <v>132</v>
      </c>
    </row>
    <row r="555" ht="15.75" customHeight="1">
      <c r="A555" s="1" t="s">
        <v>127</v>
      </c>
      <c r="B555" s="1" t="s">
        <v>11343</v>
      </c>
      <c r="C555" s="1" t="s">
        <v>11344</v>
      </c>
      <c r="D555" s="1" t="s">
        <v>11345</v>
      </c>
      <c r="E555" s="1" t="s">
        <v>11346</v>
      </c>
      <c r="F555" s="1" t="s">
        <v>11344</v>
      </c>
      <c r="G555" s="1" t="s">
        <v>132</v>
      </c>
      <c r="H555" s="1" t="s">
        <v>11347</v>
      </c>
      <c r="I555" s="1" t="s">
        <v>11346</v>
      </c>
      <c r="J555" s="1" t="s">
        <v>132</v>
      </c>
      <c r="K555" s="1" t="s">
        <v>11348</v>
      </c>
      <c r="L555" s="1" t="s">
        <v>11349</v>
      </c>
      <c r="M555" s="1" t="s">
        <v>11350</v>
      </c>
      <c r="N555" s="1" t="s">
        <v>132</v>
      </c>
      <c r="O555" s="1" t="s">
        <v>132</v>
      </c>
      <c r="P555" s="1" t="s">
        <v>11351</v>
      </c>
      <c r="Q555" s="1" t="s">
        <v>132</v>
      </c>
      <c r="R555" s="1" t="s">
        <v>11352</v>
      </c>
      <c r="S555" s="1" t="s">
        <v>11353</v>
      </c>
      <c r="T555" s="1" t="s">
        <v>11354</v>
      </c>
      <c r="U555" s="1" t="s">
        <v>11355</v>
      </c>
      <c r="V555" s="1" t="s">
        <v>11356</v>
      </c>
      <c r="W555" s="1" t="s">
        <v>11357</v>
      </c>
      <c r="X555" s="1" t="s">
        <v>11345</v>
      </c>
      <c r="Y555" s="1" t="s">
        <v>11358</v>
      </c>
      <c r="Z555" s="1" t="s">
        <v>11359</v>
      </c>
      <c r="AA555" s="1" t="s">
        <v>11360</v>
      </c>
      <c r="AB555" s="1" t="s">
        <v>132</v>
      </c>
      <c r="AC555" s="1" t="s">
        <v>11361</v>
      </c>
      <c r="AD555" s="1" t="s">
        <v>132</v>
      </c>
      <c r="AE555" s="1" t="s">
        <v>132</v>
      </c>
      <c r="AF555" s="1" t="s">
        <v>11362</v>
      </c>
      <c r="AG555" s="1" t="s">
        <v>11363</v>
      </c>
      <c r="AH555" s="1" t="s">
        <v>132</v>
      </c>
      <c r="AI555" s="1" t="s">
        <v>11354</v>
      </c>
      <c r="AJ555" s="1" t="s">
        <v>132</v>
      </c>
      <c r="AK555" s="1" t="s">
        <v>132</v>
      </c>
      <c r="AL555" s="1" t="s">
        <v>11364</v>
      </c>
      <c r="AM555" s="1" t="s">
        <v>132</v>
      </c>
      <c r="AN555" s="1" t="s">
        <v>132</v>
      </c>
    </row>
    <row r="556" ht="15.75" customHeight="1">
      <c r="A556" s="1" t="s">
        <v>38</v>
      </c>
      <c r="B556" s="1" t="s">
        <v>11365</v>
      </c>
      <c r="C556" s="1" t="s">
        <v>5199</v>
      </c>
      <c r="D556" s="8" t="s">
        <v>6865</v>
      </c>
      <c r="E556" s="1" t="s">
        <v>5200</v>
      </c>
      <c r="F556" s="1" t="s">
        <v>5205</v>
      </c>
      <c r="G556" s="1" t="s">
        <v>132</v>
      </c>
      <c r="H556" s="1" t="s">
        <v>132</v>
      </c>
      <c r="I556" s="1" t="s">
        <v>5202</v>
      </c>
      <c r="J556" s="1" t="s">
        <v>132</v>
      </c>
      <c r="K556" s="1" t="s">
        <v>5203</v>
      </c>
      <c r="L556" s="1" t="s">
        <v>132</v>
      </c>
      <c r="M556" s="1" t="s">
        <v>5204</v>
      </c>
      <c r="N556" s="1" t="s">
        <v>5205</v>
      </c>
      <c r="O556" s="1" t="s">
        <v>132</v>
      </c>
      <c r="P556" s="1" t="s">
        <v>5206</v>
      </c>
      <c r="Q556" s="1" t="s">
        <v>11366</v>
      </c>
      <c r="R556" s="1" t="s">
        <v>132</v>
      </c>
      <c r="S556" s="1" t="s">
        <v>5207</v>
      </c>
      <c r="T556" s="1" t="s">
        <v>132</v>
      </c>
      <c r="U556" s="1" t="s">
        <v>11367</v>
      </c>
      <c r="V556" s="1" t="s">
        <v>11368</v>
      </c>
      <c r="W556" s="1" t="s">
        <v>132</v>
      </c>
      <c r="X556" s="1" t="s">
        <v>5208</v>
      </c>
      <c r="Y556" s="1" t="s">
        <v>132</v>
      </c>
      <c r="Z556" s="1" t="s">
        <v>5209</v>
      </c>
      <c r="AA556" s="1" t="s">
        <v>5210</v>
      </c>
      <c r="AB556" s="1" t="s">
        <v>132</v>
      </c>
      <c r="AC556" s="1" t="s">
        <v>11369</v>
      </c>
      <c r="AD556" s="1" t="s">
        <v>132</v>
      </c>
      <c r="AE556" s="1" t="s">
        <v>132</v>
      </c>
      <c r="AF556" s="1" t="s">
        <v>11370</v>
      </c>
      <c r="AG556" s="1" t="s">
        <v>11371</v>
      </c>
      <c r="AH556" s="1" t="s">
        <v>132</v>
      </c>
      <c r="AI556" s="1" t="s">
        <v>132</v>
      </c>
      <c r="AJ556" s="1" t="s">
        <v>11372</v>
      </c>
      <c r="AK556" s="1" t="s">
        <v>6886</v>
      </c>
      <c r="AL556" s="1" t="s">
        <v>132</v>
      </c>
      <c r="AM556" s="1" t="s">
        <v>11373</v>
      </c>
      <c r="AN556" s="1" t="s">
        <v>11373</v>
      </c>
    </row>
    <row r="557" ht="15.75" customHeight="1">
      <c r="A557" s="1" t="s">
        <v>38</v>
      </c>
      <c r="B557" s="1" t="s">
        <v>11374</v>
      </c>
      <c r="C557" s="1" t="s">
        <v>11375</v>
      </c>
      <c r="D557" s="8" t="s">
        <v>11376</v>
      </c>
      <c r="E557" s="1" t="s">
        <v>11377</v>
      </c>
      <c r="F557" s="1" t="s">
        <v>11378</v>
      </c>
      <c r="G557" s="1" t="s">
        <v>132</v>
      </c>
      <c r="H557" s="1" t="s">
        <v>132</v>
      </c>
      <c r="I557" s="1" t="s">
        <v>11379</v>
      </c>
      <c r="J557" s="1" t="s">
        <v>132</v>
      </c>
      <c r="K557" s="1" t="s">
        <v>11380</v>
      </c>
      <c r="L557" s="1" t="s">
        <v>132</v>
      </c>
      <c r="M557" s="1" t="s">
        <v>11381</v>
      </c>
      <c r="N557" s="1" t="s">
        <v>11382</v>
      </c>
      <c r="O557" s="1" t="s">
        <v>132</v>
      </c>
      <c r="P557" s="1" t="s">
        <v>11383</v>
      </c>
      <c r="Q557" s="1" t="s">
        <v>132</v>
      </c>
      <c r="R557" s="1" t="s">
        <v>132</v>
      </c>
      <c r="S557" s="1" t="s">
        <v>11384</v>
      </c>
      <c r="T557" s="1" t="s">
        <v>132</v>
      </c>
      <c r="U557" s="1" t="s">
        <v>11385</v>
      </c>
      <c r="V557" s="1" t="s">
        <v>11386</v>
      </c>
      <c r="W557" s="1" t="s">
        <v>132</v>
      </c>
      <c r="X557" s="1" t="s">
        <v>11387</v>
      </c>
      <c r="Y557" s="1" t="s">
        <v>132</v>
      </c>
      <c r="Z557" s="1" t="s">
        <v>11388</v>
      </c>
      <c r="AA557" s="1" t="s">
        <v>11389</v>
      </c>
      <c r="AB557" s="1" t="s">
        <v>132</v>
      </c>
      <c r="AC557" s="1" t="s">
        <v>11390</v>
      </c>
      <c r="AD557" s="1" t="s">
        <v>132</v>
      </c>
      <c r="AE557" s="1" t="s">
        <v>132</v>
      </c>
      <c r="AF557" s="1" t="s">
        <v>11391</v>
      </c>
      <c r="AG557" s="1" t="s">
        <v>11392</v>
      </c>
      <c r="AH557" s="1" t="s">
        <v>132</v>
      </c>
      <c r="AI557" s="1" t="s">
        <v>132</v>
      </c>
      <c r="AJ557" s="1" t="s">
        <v>11393</v>
      </c>
      <c r="AK557" s="1" t="s">
        <v>132</v>
      </c>
      <c r="AL557" s="1" t="s">
        <v>132</v>
      </c>
      <c r="AM557" s="1" t="s">
        <v>11394</v>
      </c>
      <c r="AN557" s="1" t="s">
        <v>11394</v>
      </c>
    </row>
    <row r="558" ht="15.75" customHeight="1">
      <c r="A558" s="1" t="s">
        <v>38</v>
      </c>
      <c r="B558" s="1" t="s">
        <v>11395</v>
      </c>
      <c r="C558" s="1" t="s">
        <v>11396</v>
      </c>
      <c r="D558" s="1" t="s">
        <v>132</v>
      </c>
      <c r="E558" s="1" t="s">
        <v>11397</v>
      </c>
      <c r="F558" s="1" t="s">
        <v>11398</v>
      </c>
      <c r="G558" s="1" t="s">
        <v>132</v>
      </c>
      <c r="H558" s="1" t="s">
        <v>132</v>
      </c>
      <c r="I558" s="1" t="s">
        <v>11399</v>
      </c>
      <c r="J558" s="1" t="s">
        <v>132</v>
      </c>
      <c r="K558" s="1" t="s">
        <v>11400</v>
      </c>
      <c r="L558" s="1" t="s">
        <v>132</v>
      </c>
      <c r="M558" s="1" t="s">
        <v>11401</v>
      </c>
      <c r="N558" s="1" t="s">
        <v>11402</v>
      </c>
      <c r="O558" s="1" t="s">
        <v>132</v>
      </c>
      <c r="P558" s="1" t="s">
        <v>11403</v>
      </c>
      <c r="Q558" s="1" t="s">
        <v>132</v>
      </c>
      <c r="R558" s="1" t="s">
        <v>132</v>
      </c>
      <c r="S558" s="1" t="s">
        <v>11404</v>
      </c>
      <c r="T558" s="1" t="s">
        <v>132</v>
      </c>
      <c r="U558" s="1" t="s">
        <v>132</v>
      </c>
      <c r="V558" s="1" t="s">
        <v>132</v>
      </c>
      <c r="W558" s="1" t="s">
        <v>132</v>
      </c>
      <c r="X558" s="1" t="s">
        <v>11405</v>
      </c>
      <c r="Y558" s="1" t="s">
        <v>132</v>
      </c>
      <c r="Z558" s="1" t="s">
        <v>11406</v>
      </c>
      <c r="AA558" s="1" t="s">
        <v>132</v>
      </c>
      <c r="AB558" s="1" t="s">
        <v>132</v>
      </c>
      <c r="AC558" s="1" t="s">
        <v>132</v>
      </c>
      <c r="AD558" s="1" t="s">
        <v>132</v>
      </c>
      <c r="AE558" s="1" t="s">
        <v>132</v>
      </c>
      <c r="AF558" s="1" t="s">
        <v>11407</v>
      </c>
      <c r="AG558" s="1" t="s">
        <v>132</v>
      </c>
      <c r="AH558" s="1" t="s">
        <v>132</v>
      </c>
      <c r="AI558" s="1" t="s">
        <v>132</v>
      </c>
      <c r="AJ558" s="1" t="s">
        <v>132</v>
      </c>
      <c r="AK558" s="1" t="s">
        <v>132</v>
      </c>
      <c r="AL558" s="1" t="s">
        <v>132</v>
      </c>
      <c r="AM558" s="1" t="s">
        <v>132</v>
      </c>
      <c r="AN558" s="1" t="s">
        <v>132</v>
      </c>
    </row>
    <row r="559" ht="15.75" customHeight="1">
      <c r="A559" s="1" t="s">
        <v>38</v>
      </c>
      <c r="B559" s="1" t="s">
        <v>11408</v>
      </c>
      <c r="C559" s="1" t="s">
        <v>4396</v>
      </c>
      <c r="D559" s="1" t="s">
        <v>132</v>
      </c>
      <c r="E559" s="1" t="s">
        <v>132</v>
      </c>
      <c r="F559" s="1" t="s">
        <v>132</v>
      </c>
      <c r="G559" s="1" t="s">
        <v>132</v>
      </c>
      <c r="H559" s="1" t="s">
        <v>132</v>
      </c>
      <c r="I559" s="1" t="s">
        <v>4396</v>
      </c>
      <c r="J559" s="1" t="s">
        <v>132</v>
      </c>
      <c r="K559" s="1" t="s">
        <v>4396</v>
      </c>
      <c r="L559" s="1" t="s">
        <v>132</v>
      </c>
      <c r="M559" s="1" t="s">
        <v>4396</v>
      </c>
      <c r="N559" s="1" t="s">
        <v>132</v>
      </c>
      <c r="O559" s="1" t="s">
        <v>132</v>
      </c>
      <c r="P559" s="1" t="s">
        <v>4396</v>
      </c>
      <c r="Q559" s="1" t="s">
        <v>132</v>
      </c>
      <c r="R559" s="1" t="s">
        <v>132</v>
      </c>
      <c r="S559" s="1" t="s">
        <v>132</v>
      </c>
      <c r="T559" s="1" t="s">
        <v>132</v>
      </c>
      <c r="U559" s="1" t="s">
        <v>132</v>
      </c>
      <c r="V559" s="1" t="s">
        <v>132</v>
      </c>
      <c r="W559" s="1" t="s">
        <v>132</v>
      </c>
      <c r="X559" s="1" t="s">
        <v>132</v>
      </c>
      <c r="Y559" s="1" t="s">
        <v>132</v>
      </c>
      <c r="Z559" s="1" t="s">
        <v>132</v>
      </c>
      <c r="AA559" s="1" t="s">
        <v>132</v>
      </c>
      <c r="AB559" s="1" t="s">
        <v>132</v>
      </c>
      <c r="AC559" s="1" t="s">
        <v>4396</v>
      </c>
      <c r="AD559" s="1" t="s">
        <v>132</v>
      </c>
      <c r="AE559" s="1" t="s">
        <v>132</v>
      </c>
      <c r="AF559" s="1" t="s">
        <v>4396</v>
      </c>
      <c r="AG559" s="1" t="s">
        <v>132</v>
      </c>
      <c r="AH559" s="1" t="s">
        <v>132</v>
      </c>
      <c r="AI559" s="1" t="s">
        <v>132</v>
      </c>
      <c r="AJ559" s="1" t="s">
        <v>132</v>
      </c>
      <c r="AK559" s="1" t="s">
        <v>132</v>
      </c>
      <c r="AL559" s="1" t="s">
        <v>132</v>
      </c>
      <c r="AM559" s="1" t="s">
        <v>132</v>
      </c>
      <c r="AN559" s="1" t="s">
        <v>132</v>
      </c>
    </row>
    <row r="560" ht="15.75" customHeight="1">
      <c r="A560" s="1" t="s">
        <v>38</v>
      </c>
      <c r="B560" s="1" t="s">
        <v>11409</v>
      </c>
      <c r="C560" s="1" t="s">
        <v>11410</v>
      </c>
      <c r="D560" s="8" t="s">
        <v>11411</v>
      </c>
      <c r="E560" s="1" t="s">
        <v>11412</v>
      </c>
      <c r="F560" s="1" t="s">
        <v>11413</v>
      </c>
      <c r="G560" s="1" t="s">
        <v>132</v>
      </c>
      <c r="H560" s="1" t="s">
        <v>132</v>
      </c>
      <c r="I560" s="1" t="s">
        <v>11414</v>
      </c>
      <c r="J560" s="1" t="s">
        <v>132</v>
      </c>
      <c r="K560" s="1" t="s">
        <v>11415</v>
      </c>
      <c r="L560" s="1" t="s">
        <v>132</v>
      </c>
      <c r="M560" s="1" t="s">
        <v>11416</v>
      </c>
      <c r="N560" s="1" t="s">
        <v>11417</v>
      </c>
      <c r="O560" s="1" t="s">
        <v>132</v>
      </c>
      <c r="P560" s="1" t="s">
        <v>11418</v>
      </c>
      <c r="Q560" s="1" t="s">
        <v>11419</v>
      </c>
      <c r="R560" s="1" t="s">
        <v>132</v>
      </c>
      <c r="S560" s="1" t="s">
        <v>11420</v>
      </c>
      <c r="T560" s="1" t="s">
        <v>132</v>
      </c>
      <c r="U560" s="1" t="s">
        <v>11421</v>
      </c>
      <c r="V560" s="1" t="s">
        <v>11422</v>
      </c>
      <c r="W560" s="1" t="s">
        <v>132</v>
      </c>
      <c r="X560" s="1" t="s">
        <v>11423</v>
      </c>
      <c r="Y560" s="1" t="s">
        <v>132</v>
      </c>
      <c r="Z560" s="1" t="s">
        <v>11424</v>
      </c>
      <c r="AA560" s="1" t="s">
        <v>11425</v>
      </c>
      <c r="AB560" s="1" t="s">
        <v>132</v>
      </c>
      <c r="AC560" s="1" t="s">
        <v>11426</v>
      </c>
      <c r="AD560" s="1" t="s">
        <v>11427</v>
      </c>
      <c r="AE560" s="1" t="s">
        <v>132</v>
      </c>
      <c r="AF560" s="1" t="s">
        <v>11428</v>
      </c>
      <c r="AG560" s="1" t="s">
        <v>11429</v>
      </c>
      <c r="AH560" s="1" t="s">
        <v>132</v>
      </c>
      <c r="AI560" s="1" t="s">
        <v>132</v>
      </c>
      <c r="AJ560" s="1" t="s">
        <v>11430</v>
      </c>
      <c r="AK560" s="1" t="s">
        <v>11431</v>
      </c>
      <c r="AL560" s="1" t="s">
        <v>132</v>
      </c>
      <c r="AM560" s="1" t="s">
        <v>11432</v>
      </c>
      <c r="AN560" s="1" t="s">
        <v>11432</v>
      </c>
    </row>
    <row r="561" ht="15.75" customHeight="1">
      <c r="A561" s="1" t="s">
        <v>127</v>
      </c>
      <c r="B561" s="1" t="s">
        <v>11433</v>
      </c>
      <c r="C561" s="1" t="s">
        <v>11434</v>
      </c>
      <c r="D561" s="8" t="s">
        <v>11435</v>
      </c>
      <c r="E561" s="1" t="s">
        <v>11436</v>
      </c>
      <c r="F561" s="1" t="s">
        <v>132</v>
      </c>
      <c r="G561" s="1" t="s">
        <v>11437</v>
      </c>
      <c r="H561" s="1" t="s">
        <v>11438</v>
      </c>
      <c r="I561" s="1" t="s">
        <v>11434</v>
      </c>
      <c r="J561" s="1" t="s">
        <v>11439</v>
      </c>
      <c r="K561" s="1" t="s">
        <v>11440</v>
      </c>
      <c r="L561" s="1" t="s">
        <v>11441</v>
      </c>
      <c r="M561" s="1" t="s">
        <v>11442</v>
      </c>
      <c r="N561" s="1" t="s">
        <v>132</v>
      </c>
      <c r="O561" s="1" t="s">
        <v>11443</v>
      </c>
      <c r="P561" s="1" t="s">
        <v>11444</v>
      </c>
      <c r="Q561" s="1" t="s">
        <v>132</v>
      </c>
      <c r="R561" s="1" t="s">
        <v>667</v>
      </c>
      <c r="S561" s="1" t="s">
        <v>11434</v>
      </c>
      <c r="T561" s="8" t="s">
        <v>11445</v>
      </c>
      <c r="U561" s="1" t="s">
        <v>11446</v>
      </c>
      <c r="V561" s="1" t="s">
        <v>671</v>
      </c>
      <c r="W561" s="1" t="s">
        <v>672</v>
      </c>
      <c r="X561" s="1" t="s">
        <v>43232</v>
      </c>
      <c r="Y561" s="1" t="s">
        <v>11447</v>
      </c>
      <c r="Z561" s="1" t="s">
        <v>675</v>
      </c>
      <c r="AA561" s="1" t="s">
        <v>11448</v>
      </c>
      <c r="AB561" s="1" t="s">
        <v>11449</v>
      </c>
      <c r="AC561" s="1" t="s">
        <v>11450</v>
      </c>
      <c r="AD561" s="1" t="s">
        <v>11451</v>
      </c>
      <c r="AE561" s="1" t="s">
        <v>11452</v>
      </c>
      <c r="AF561" s="1" t="s">
        <v>11453</v>
      </c>
      <c r="AG561" s="1" t="s">
        <v>11454</v>
      </c>
      <c r="AH561" s="1" t="s">
        <v>683</v>
      </c>
      <c r="AI561" s="1" t="s">
        <v>11455</v>
      </c>
      <c r="AJ561" s="1" t="s">
        <v>132</v>
      </c>
      <c r="AK561" s="1" t="s">
        <v>685</v>
      </c>
      <c r="AL561" s="1" t="s">
        <v>686</v>
      </c>
      <c r="AM561" s="1" t="s">
        <v>11456</v>
      </c>
      <c r="AN561" s="1" t="s">
        <v>11456</v>
      </c>
    </row>
    <row r="562" ht="15.75" customHeight="1">
      <c r="A562" s="1" t="s">
        <v>127</v>
      </c>
      <c r="B562" s="1" t="s">
        <v>11457</v>
      </c>
      <c r="C562" s="1" t="s">
        <v>11458</v>
      </c>
      <c r="D562" s="8" t="s">
        <v>11459</v>
      </c>
      <c r="E562" s="1" t="s">
        <v>11460</v>
      </c>
      <c r="F562" s="1" t="s">
        <v>132</v>
      </c>
      <c r="G562" s="1" t="s">
        <v>11461</v>
      </c>
      <c r="H562" s="1" t="s">
        <v>11462</v>
      </c>
      <c r="I562" s="1" t="s">
        <v>11463</v>
      </c>
      <c r="J562" s="1" t="s">
        <v>11464</v>
      </c>
      <c r="K562" s="1" t="s">
        <v>11465</v>
      </c>
      <c r="L562" s="1" t="s">
        <v>11466</v>
      </c>
      <c r="M562" s="1" t="s">
        <v>11458</v>
      </c>
      <c r="N562" s="1" t="s">
        <v>132</v>
      </c>
      <c r="O562" s="1" t="s">
        <v>11467</v>
      </c>
      <c r="P562" s="1" t="s">
        <v>11468</v>
      </c>
      <c r="Q562" s="1" t="s">
        <v>132</v>
      </c>
      <c r="R562" s="1" t="s">
        <v>11469</v>
      </c>
      <c r="S562" s="1" t="s">
        <v>11470</v>
      </c>
      <c r="T562" s="8" t="s">
        <v>11471</v>
      </c>
      <c r="U562" s="1" t="s">
        <v>11472</v>
      </c>
      <c r="V562" s="1" t="s">
        <v>11473</v>
      </c>
      <c r="W562" s="1" t="s">
        <v>11469</v>
      </c>
      <c r="X562" s="1" t="s">
        <v>11474</v>
      </c>
      <c r="Y562" s="1" t="s">
        <v>11462</v>
      </c>
      <c r="Z562" s="1" t="s">
        <v>11475</v>
      </c>
      <c r="AA562" s="1" t="s">
        <v>11476</v>
      </c>
      <c r="AB562" s="1" t="s">
        <v>11477</v>
      </c>
      <c r="AC562" s="1" t="s">
        <v>11460</v>
      </c>
      <c r="AD562" s="1" t="s">
        <v>11478</v>
      </c>
      <c r="AE562" s="1" t="s">
        <v>11479</v>
      </c>
      <c r="AF562" s="1" t="s">
        <v>11480</v>
      </c>
      <c r="AG562" s="1" t="s">
        <v>11044</v>
      </c>
      <c r="AH562" s="1" t="s">
        <v>11481</v>
      </c>
      <c r="AI562" s="1" t="s">
        <v>11482</v>
      </c>
      <c r="AJ562" s="1" t="s">
        <v>132</v>
      </c>
      <c r="AK562" s="1" t="s">
        <v>11483</v>
      </c>
      <c r="AL562" s="1" t="s">
        <v>11484</v>
      </c>
      <c r="AM562" s="1" t="s">
        <v>11485</v>
      </c>
      <c r="AN562" s="1" t="s">
        <v>11485</v>
      </c>
    </row>
    <row r="563" ht="15.75" customHeight="1">
      <c r="A563" s="1" t="s">
        <v>127</v>
      </c>
      <c r="B563" s="1" t="s">
        <v>11486</v>
      </c>
      <c r="C563" s="1" t="s">
        <v>11487</v>
      </c>
      <c r="D563" s="8" t="s">
        <v>11488</v>
      </c>
      <c r="E563" s="1" t="s">
        <v>11489</v>
      </c>
      <c r="F563" s="1" t="s">
        <v>132</v>
      </c>
      <c r="G563" s="1" t="s">
        <v>11490</v>
      </c>
      <c r="H563" s="1" t="s">
        <v>11491</v>
      </c>
      <c r="I563" s="1" t="s">
        <v>11492</v>
      </c>
      <c r="J563" s="1" t="s">
        <v>11493</v>
      </c>
      <c r="K563" s="1" t="s">
        <v>5107</v>
      </c>
      <c r="L563" s="1" t="s">
        <v>11494</v>
      </c>
      <c r="M563" s="1" t="s">
        <v>11495</v>
      </c>
      <c r="N563" s="1" t="s">
        <v>132</v>
      </c>
      <c r="O563" s="1" t="s">
        <v>11496</v>
      </c>
      <c r="P563" s="1" t="s">
        <v>11497</v>
      </c>
      <c r="Q563" s="1" t="s">
        <v>132</v>
      </c>
      <c r="R563" s="1" t="s">
        <v>11498</v>
      </c>
      <c r="S563" s="1" t="s">
        <v>5113</v>
      </c>
      <c r="T563" s="8" t="s">
        <v>11499</v>
      </c>
      <c r="U563" s="1" t="s">
        <v>11500</v>
      </c>
      <c r="V563" s="1" t="s">
        <v>11501</v>
      </c>
      <c r="W563" s="1" t="s">
        <v>11498</v>
      </c>
      <c r="X563" s="1" t="s">
        <v>11502</v>
      </c>
      <c r="Y563" s="1" t="s">
        <v>11503</v>
      </c>
      <c r="Z563" s="1" t="s">
        <v>5119</v>
      </c>
      <c r="AA563" s="1" t="s">
        <v>11504</v>
      </c>
      <c r="AB563" s="1" t="s">
        <v>11505</v>
      </c>
      <c r="AC563" s="1" t="s">
        <v>11506</v>
      </c>
      <c r="AD563" s="1" t="s">
        <v>11507</v>
      </c>
      <c r="AE563" s="1" t="s">
        <v>11508</v>
      </c>
      <c r="AF563" s="1" t="s">
        <v>5125</v>
      </c>
      <c r="AG563" s="1" t="s">
        <v>11509</v>
      </c>
      <c r="AH563" s="1" t="s">
        <v>11510</v>
      </c>
      <c r="AI563" s="1" t="s">
        <v>11511</v>
      </c>
      <c r="AJ563" s="1" t="s">
        <v>132</v>
      </c>
      <c r="AK563" s="1" t="s">
        <v>11512</v>
      </c>
      <c r="AL563" s="1" t="s">
        <v>7858</v>
      </c>
      <c r="AM563" s="1" t="s">
        <v>7859</v>
      </c>
      <c r="AN563" s="1" t="s">
        <v>7859</v>
      </c>
    </row>
    <row r="564" ht="15.75" customHeight="1">
      <c r="A564" s="1" t="s">
        <v>38</v>
      </c>
      <c r="B564" s="1" t="s">
        <v>11513</v>
      </c>
      <c r="C564" s="1" t="s">
        <v>11514</v>
      </c>
      <c r="D564" s="8" t="s">
        <v>11515</v>
      </c>
      <c r="E564" s="1" t="s">
        <v>11516</v>
      </c>
      <c r="F564" s="1" t="s">
        <v>11517</v>
      </c>
      <c r="G564" s="1" t="s">
        <v>132</v>
      </c>
      <c r="H564" s="1" t="s">
        <v>132</v>
      </c>
      <c r="I564" s="1" t="s">
        <v>11518</v>
      </c>
      <c r="J564" s="1" t="s">
        <v>132</v>
      </c>
      <c r="K564" s="1" t="s">
        <v>11519</v>
      </c>
      <c r="L564" s="1" t="s">
        <v>132</v>
      </c>
      <c r="M564" s="1" t="s">
        <v>11520</v>
      </c>
      <c r="N564" s="1" t="s">
        <v>11521</v>
      </c>
      <c r="O564" s="1" t="s">
        <v>132</v>
      </c>
      <c r="P564" s="1" t="s">
        <v>11522</v>
      </c>
      <c r="Q564" s="1" t="s">
        <v>11523</v>
      </c>
      <c r="R564" s="1" t="s">
        <v>132</v>
      </c>
      <c r="S564" s="1" t="s">
        <v>11524</v>
      </c>
      <c r="T564" s="1" t="s">
        <v>132</v>
      </c>
      <c r="U564" s="1" t="s">
        <v>11525</v>
      </c>
      <c r="V564" s="1" t="s">
        <v>11526</v>
      </c>
      <c r="W564" s="1" t="s">
        <v>132</v>
      </c>
      <c r="X564" s="1" t="s">
        <v>11527</v>
      </c>
      <c r="Y564" s="1" t="s">
        <v>132</v>
      </c>
      <c r="Z564" s="1" t="s">
        <v>11528</v>
      </c>
      <c r="AA564" s="1" t="s">
        <v>11529</v>
      </c>
      <c r="AB564" s="1" t="s">
        <v>132</v>
      </c>
      <c r="AC564" s="1" t="s">
        <v>11530</v>
      </c>
      <c r="AD564" s="1" t="s">
        <v>11531</v>
      </c>
      <c r="AE564" s="1" t="s">
        <v>132</v>
      </c>
      <c r="AF564" s="1" t="s">
        <v>11532</v>
      </c>
      <c r="AG564" s="1" t="s">
        <v>11533</v>
      </c>
      <c r="AH564" s="1" t="s">
        <v>132</v>
      </c>
      <c r="AI564" s="1" t="s">
        <v>132</v>
      </c>
      <c r="AJ564" s="1" t="s">
        <v>11534</v>
      </c>
      <c r="AK564" s="1" t="s">
        <v>11535</v>
      </c>
      <c r="AL564" s="1" t="s">
        <v>132</v>
      </c>
      <c r="AM564" s="1" t="s">
        <v>11536</v>
      </c>
      <c r="AN564" s="1" t="s">
        <v>11536</v>
      </c>
    </row>
    <row r="565" ht="15.75" customHeight="1">
      <c r="A565" s="1" t="s">
        <v>38</v>
      </c>
      <c r="B565" s="1" t="s">
        <v>11537</v>
      </c>
      <c r="C565" s="1" t="s">
        <v>11538</v>
      </c>
      <c r="D565" s="1" t="s">
        <v>132</v>
      </c>
      <c r="E565" s="1" t="s">
        <v>132</v>
      </c>
      <c r="F565" s="1" t="s">
        <v>132</v>
      </c>
      <c r="G565" s="1" t="s">
        <v>132</v>
      </c>
      <c r="H565" s="1" t="s">
        <v>132</v>
      </c>
      <c r="I565" s="1" t="s">
        <v>11539</v>
      </c>
      <c r="J565" s="1" t="s">
        <v>132</v>
      </c>
      <c r="K565" s="1" t="s">
        <v>11540</v>
      </c>
      <c r="L565" s="1" t="s">
        <v>132</v>
      </c>
      <c r="M565" s="1" t="s">
        <v>11541</v>
      </c>
      <c r="N565" s="1" t="s">
        <v>132</v>
      </c>
      <c r="O565" s="1" t="s">
        <v>132</v>
      </c>
      <c r="P565" s="1" t="s">
        <v>11538</v>
      </c>
      <c r="Q565" s="1" t="s">
        <v>132</v>
      </c>
      <c r="R565" s="1" t="s">
        <v>132</v>
      </c>
      <c r="S565" s="1" t="s">
        <v>132</v>
      </c>
      <c r="T565" s="1" t="s">
        <v>132</v>
      </c>
      <c r="U565" s="1" t="s">
        <v>132</v>
      </c>
      <c r="V565" s="1" t="s">
        <v>132</v>
      </c>
      <c r="W565" s="1" t="s">
        <v>132</v>
      </c>
      <c r="X565" s="1" t="s">
        <v>132</v>
      </c>
      <c r="Y565" s="1" t="s">
        <v>132</v>
      </c>
      <c r="Z565" s="1" t="s">
        <v>132</v>
      </c>
      <c r="AA565" s="1" t="s">
        <v>132</v>
      </c>
      <c r="AB565" s="1" t="s">
        <v>132</v>
      </c>
      <c r="AC565" s="1" t="s">
        <v>11542</v>
      </c>
      <c r="AD565" s="1" t="s">
        <v>132</v>
      </c>
      <c r="AE565" s="1" t="s">
        <v>132</v>
      </c>
      <c r="AF565" s="1" t="s">
        <v>11543</v>
      </c>
      <c r="AG565" s="1" t="s">
        <v>132</v>
      </c>
      <c r="AH565" s="1" t="s">
        <v>132</v>
      </c>
      <c r="AI565" s="1" t="s">
        <v>132</v>
      </c>
      <c r="AJ565" s="1" t="s">
        <v>132</v>
      </c>
      <c r="AK565" s="1" t="s">
        <v>132</v>
      </c>
      <c r="AL565" s="1" t="s">
        <v>132</v>
      </c>
      <c r="AM565" s="1" t="s">
        <v>132</v>
      </c>
      <c r="AN565" s="1" t="s">
        <v>132</v>
      </c>
    </row>
    <row r="566" ht="15.75" customHeight="1">
      <c r="A566" s="1" t="s">
        <v>38</v>
      </c>
      <c r="B566" s="1" t="s">
        <v>11544</v>
      </c>
      <c r="C566" s="1" t="s">
        <v>11545</v>
      </c>
      <c r="D566" s="8" t="s">
        <v>11546</v>
      </c>
      <c r="E566" s="1" t="s">
        <v>11547</v>
      </c>
      <c r="F566" s="1" t="s">
        <v>11548</v>
      </c>
      <c r="G566" s="1" t="s">
        <v>132</v>
      </c>
      <c r="H566" s="1" t="s">
        <v>132</v>
      </c>
      <c r="I566" s="1" t="s">
        <v>11549</v>
      </c>
      <c r="J566" s="1" t="s">
        <v>132</v>
      </c>
      <c r="K566" s="1" t="s">
        <v>11550</v>
      </c>
      <c r="L566" s="1" t="s">
        <v>132</v>
      </c>
      <c r="M566" s="1" t="s">
        <v>11551</v>
      </c>
      <c r="N566" s="1" t="s">
        <v>11552</v>
      </c>
      <c r="O566" s="1" t="s">
        <v>132</v>
      </c>
      <c r="P566" s="1" t="s">
        <v>11553</v>
      </c>
      <c r="Q566" s="1" t="s">
        <v>11554</v>
      </c>
      <c r="R566" s="1" t="s">
        <v>132</v>
      </c>
      <c r="S566" s="1" t="s">
        <v>11555</v>
      </c>
      <c r="T566" s="1" t="s">
        <v>132</v>
      </c>
      <c r="U566" s="1" t="s">
        <v>11556</v>
      </c>
      <c r="V566" s="1" t="s">
        <v>11557</v>
      </c>
      <c r="W566" s="1" t="s">
        <v>132</v>
      </c>
      <c r="X566" s="1" t="s">
        <v>11558</v>
      </c>
      <c r="Y566" s="1" t="s">
        <v>132</v>
      </c>
      <c r="Z566" s="1" t="s">
        <v>11559</v>
      </c>
      <c r="AA566" s="1" t="s">
        <v>11560</v>
      </c>
      <c r="AB566" s="1" t="s">
        <v>132</v>
      </c>
      <c r="AC566" s="1" t="s">
        <v>11561</v>
      </c>
      <c r="AD566" s="1" t="s">
        <v>11562</v>
      </c>
      <c r="AE566" s="1" t="s">
        <v>132</v>
      </c>
      <c r="AF566" s="1" t="s">
        <v>11563</v>
      </c>
      <c r="AG566" s="1" t="s">
        <v>11564</v>
      </c>
      <c r="AH566" s="1" t="s">
        <v>132</v>
      </c>
      <c r="AI566" s="1" t="s">
        <v>132</v>
      </c>
      <c r="AJ566" s="1" t="s">
        <v>11565</v>
      </c>
      <c r="AK566" s="1" t="s">
        <v>11566</v>
      </c>
      <c r="AL566" s="1" t="s">
        <v>132</v>
      </c>
      <c r="AM566" s="1" t="s">
        <v>11567</v>
      </c>
      <c r="AN566" s="1" t="s">
        <v>11567</v>
      </c>
    </row>
    <row r="567" ht="15.75" customHeight="1">
      <c r="A567" s="1" t="s">
        <v>38</v>
      </c>
      <c r="B567" s="1" t="s">
        <v>11568</v>
      </c>
      <c r="C567" s="1" t="s">
        <v>11569</v>
      </c>
      <c r="D567" s="8" t="s">
        <v>11570</v>
      </c>
      <c r="E567" s="1" t="s">
        <v>11571</v>
      </c>
      <c r="F567" s="1" t="s">
        <v>11572</v>
      </c>
      <c r="G567" s="1" t="s">
        <v>132</v>
      </c>
      <c r="H567" s="1" t="s">
        <v>132</v>
      </c>
      <c r="I567" s="1" t="s">
        <v>11573</v>
      </c>
      <c r="J567" s="1" t="s">
        <v>132</v>
      </c>
      <c r="K567" s="1" t="s">
        <v>11574</v>
      </c>
      <c r="L567" s="1" t="s">
        <v>132</v>
      </c>
      <c r="M567" s="1" t="s">
        <v>11575</v>
      </c>
      <c r="N567" s="1" t="s">
        <v>11576</v>
      </c>
      <c r="O567" s="1" t="s">
        <v>132</v>
      </c>
      <c r="P567" s="1" t="s">
        <v>11577</v>
      </c>
      <c r="Q567" s="1" t="s">
        <v>132</v>
      </c>
      <c r="R567" s="1" t="s">
        <v>132</v>
      </c>
      <c r="S567" s="1" t="s">
        <v>11578</v>
      </c>
      <c r="T567" s="1" t="s">
        <v>132</v>
      </c>
      <c r="U567" s="1" t="s">
        <v>11579</v>
      </c>
      <c r="V567" s="1" t="s">
        <v>132</v>
      </c>
      <c r="W567" s="1" t="s">
        <v>132</v>
      </c>
      <c r="X567" s="1" t="s">
        <v>11580</v>
      </c>
      <c r="Y567" s="1" t="s">
        <v>132</v>
      </c>
      <c r="Z567" s="1" t="s">
        <v>11581</v>
      </c>
      <c r="AA567" s="1" t="s">
        <v>132</v>
      </c>
      <c r="AB567" s="1" t="s">
        <v>132</v>
      </c>
      <c r="AC567" s="1" t="s">
        <v>11582</v>
      </c>
      <c r="AD567" s="1" t="s">
        <v>132</v>
      </c>
      <c r="AE567" s="1" t="s">
        <v>132</v>
      </c>
      <c r="AF567" s="1" t="s">
        <v>11583</v>
      </c>
      <c r="AG567" s="1" t="s">
        <v>132</v>
      </c>
      <c r="AH567" s="1" t="s">
        <v>132</v>
      </c>
      <c r="AI567" s="1" t="s">
        <v>132</v>
      </c>
      <c r="AJ567" s="1" t="s">
        <v>132</v>
      </c>
      <c r="AK567" s="1" t="s">
        <v>132</v>
      </c>
      <c r="AL567" s="1" t="s">
        <v>132</v>
      </c>
      <c r="AM567" s="1" t="s">
        <v>132</v>
      </c>
      <c r="AN567" s="1" t="s">
        <v>132</v>
      </c>
    </row>
    <row r="568" ht="15.75" customHeight="1">
      <c r="A568" s="1" t="s">
        <v>38</v>
      </c>
      <c r="B568" s="1" t="s">
        <v>11584</v>
      </c>
      <c r="C568" s="1" t="s">
        <v>11585</v>
      </c>
      <c r="D568" s="1" t="s">
        <v>132</v>
      </c>
      <c r="E568" s="1" t="s">
        <v>132</v>
      </c>
      <c r="F568" s="1" t="s">
        <v>132</v>
      </c>
      <c r="G568" s="1" t="s">
        <v>132</v>
      </c>
      <c r="H568" s="1" t="s">
        <v>132</v>
      </c>
      <c r="I568" s="1" t="s">
        <v>11586</v>
      </c>
      <c r="J568" s="1" t="s">
        <v>132</v>
      </c>
      <c r="K568" s="1" t="s">
        <v>11587</v>
      </c>
      <c r="L568" s="1" t="s">
        <v>132</v>
      </c>
      <c r="M568" s="1" t="s">
        <v>11588</v>
      </c>
      <c r="N568" s="1" t="s">
        <v>132</v>
      </c>
      <c r="O568" s="1" t="s">
        <v>132</v>
      </c>
      <c r="P568" s="1" t="s">
        <v>11589</v>
      </c>
      <c r="Q568" s="1" t="s">
        <v>132</v>
      </c>
      <c r="R568" s="1" t="s">
        <v>132</v>
      </c>
      <c r="S568" s="1" t="s">
        <v>132</v>
      </c>
      <c r="T568" s="1" t="s">
        <v>132</v>
      </c>
      <c r="U568" s="1" t="s">
        <v>132</v>
      </c>
      <c r="V568" s="1" t="s">
        <v>132</v>
      </c>
      <c r="W568" s="1" t="s">
        <v>132</v>
      </c>
      <c r="X568" s="1" t="s">
        <v>132</v>
      </c>
      <c r="Y568" s="1" t="s">
        <v>132</v>
      </c>
      <c r="Z568" s="1" t="s">
        <v>132</v>
      </c>
      <c r="AA568" s="1" t="s">
        <v>132</v>
      </c>
      <c r="AB568" s="1" t="s">
        <v>132</v>
      </c>
      <c r="AC568" s="1" t="s">
        <v>11590</v>
      </c>
      <c r="AD568" s="1" t="s">
        <v>132</v>
      </c>
      <c r="AE568" s="1" t="s">
        <v>132</v>
      </c>
      <c r="AF568" s="1" t="s">
        <v>11591</v>
      </c>
      <c r="AG568" s="1" t="s">
        <v>132</v>
      </c>
      <c r="AH568" s="1" t="s">
        <v>132</v>
      </c>
      <c r="AI568" s="1" t="s">
        <v>132</v>
      </c>
      <c r="AJ568" s="1" t="s">
        <v>132</v>
      </c>
      <c r="AK568" s="1" t="s">
        <v>132</v>
      </c>
      <c r="AL568" s="1" t="s">
        <v>132</v>
      </c>
      <c r="AM568" s="1" t="s">
        <v>132</v>
      </c>
      <c r="AN568" s="1" t="s">
        <v>132</v>
      </c>
    </row>
    <row r="569" ht="15.75" customHeight="1">
      <c r="A569" s="1" t="s">
        <v>38</v>
      </c>
      <c r="B569" s="1" t="s">
        <v>11592</v>
      </c>
      <c r="C569" s="1" t="s">
        <v>11593</v>
      </c>
      <c r="D569" s="8" t="s">
        <v>11594</v>
      </c>
      <c r="E569" s="1" t="s">
        <v>11595</v>
      </c>
      <c r="F569" s="1" t="s">
        <v>11596</v>
      </c>
      <c r="G569" s="1" t="s">
        <v>132</v>
      </c>
      <c r="H569" s="1" t="s">
        <v>132</v>
      </c>
      <c r="I569" s="1" t="s">
        <v>11597</v>
      </c>
      <c r="J569" s="1" t="s">
        <v>132</v>
      </c>
      <c r="K569" s="1" t="s">
        <v>11598</v>
      </c>
      <c r="L569" s="1" t="s">
        <v>132</v>
      </c>
      <c r="M569" s="1" t="s">
        <v>11599</v>
      </c>
      <c r="N569" s="1" t="s">
        <v>11600</v>
      </c>
      <c r="O569" s="1" t="s">
        <v>132</v>
      </c>
      <c r="P569" s="1" t="s">
        <v>11601</v>
      </c>
      <c r="Q569" s="1" t="s">
        <v>132</v>
      </c>
      <c r="R569" s="1" t="s">
        <v>132</v>
      </c>
      <c r="S569" s="1" t="s">
        <v>11602</v>
      </c>
      <c r="T569" s="1" t="s">
        <v>132</v>
      </c>
      <c r="U569" s="1" t="s">
        <v>11603</v>
      </c>
      <c r="V569" s="1" t="s">
        <v>11604</v>
      </c>
      <c r="W569" s="1" t="s">
        <v>132</v>
      </c>
      <c r="X569" s="1" t="s">
        <v>11605</v>
      </c>
      <c r="Y569" s="1" t="s">
        <v>132</v>
      </c>
      <c r="Z569" s="1" t="s">
        <v>11606</v>
      </c>
      <c r="AA569" s="1" t="s">
        <v>11607</v>
      </c>
      <c r="AB569" s="1" t="s">
        <v>132</v>
      </c>
      <c r="AC569" s="1" t="s">
        <v>11608</v>
      </c>
      <c r="AD569" s="1" t="s">
        <v>132</v>
      </c>
      <c r="AE569" s="1" t="s">
        <v>132</v>
      </c>
      <c r="AF569" s="1" t="s">
        <v>11609</v>
      </c>
      <c r="AG569" s="1" t="s">
        <v>11610</v>
      </c>
      <c r="AH569" s="1" t="s">
        <v>132</v>
      </c>
      <c r="AI569" s="1" t="s">
        <v>132</v>
      </c>
      <c r="AJ569" s="1" t="s">
        <v>11611</v>
      </c>
      <c r="AK569" s="1" t="s">
        <v>11612</v>
      </c>
      <c r="AL569" s="1" t="s">
        <v>132</v>
      </c>
      <c r="AM569" s="1" t="s">
        <v>11613</v>
      </c>
      <c r="AN569" s="1" t="s">
        <v>11613</v>
      </c>
    </row>
    <row r="570" ht="15.75" customHeight="1">
      <c r="A570" s="1" t="s">
        <v>38</v>
      </c>
      <c r="B570" s="1" t="s">
        <v>11614</v>
      </c>
      <c r="C570" s="1" t="s">
        <v>11615</v>
      </c>
      <c r="D570" s="8" t="s">
        <v>11616</v>
      </c>
      <c r="E570" s="1" t="s">
        <v>11617</v>
      </c>
      <c r="F570" s="1" t="s">
        <v>11618</v>
      </c>
      <c r="G570" s="1" t="s">
        <v>132</v>
      </c>
      <c r="H570" s="1" t="s">
        <v>132</v>
      </c>
      <c r="I570" s="1" t="s">
        <v>11619</v>
      </c>
      <c r="J570" s="1" t="s">
        <v>132</v>
      </c>
      <c r="K570" s="1" t="s">
        <v>11620</v>
      </c>
      <c r="L570" s="1" t="s">
        <v>132</v>
      </c>
      <c r="M570" s="1" t="s">
        <v>11621</v>
      </c>
      <c r="N570" s="1" t="s">
        <v>11622</v>
      </c>
      <c r="O570" s="1" t="s">
        <v>132</v>
      </c>
      <c r="P570" s="1" t="s">
        <v>11623</v>
      </c>
      <c r="Q570" s="1" t="s">
        <v>11624</v>
      </c>
      <c r="R570" s="1" t="s">
        <v>132</v>
      </c>
      <c r="S570" s="1" t="s">
        <v>11625</v>
      </c>
      <c r="T570" s="1" t="s">
        <v>132</v>
      </c>
      <c r="U570" s="1" t="s">
        <v>11626</v>
      </c>
      <c r="V570" s="1" t="s">
        <v>11627</v>
      </c>
      <c r="W570" s="1" t="s">
        <v>132</v>
      </c>
      <c r="X570" s="1" t="s">
        <v>11628</v>
      </c>
      <c r="Y570" s="1" t="s">
        <v>132</v>
      </c>
      <c r="Z570" s="1" t="s">
        <v>11629</v>
      </c>
      <c r="AA570" s="1" t="s">
        <v>11630</v>
      </c>
      <c r="AB570" s="1" t="s">
        <v>132</v>
      </c>
      <c r="AC570" s="1" t="s">
        <v>11631</v>
      </c>
      <c r="AD570" s="1" t="s">
        <v>132</v>
      </c>
      <c r="AE570" s="1" t="s">
        <v>132</v>
      </c>
      <c r="AF570" s="1" t="s">
        <v>11632</v>
      </c>
      <c r="AG570" s="1" t="s">
        <v>11633</v>
      </c>
      <c r="AH570" s="1" t="s">
        <v>132</v>
      </c>
      <c r="AI570" s="1" t="s">
        <v>132</v>
      </c>
      <c r="AJ570" s="1" t="s">
        <v>11634</v>
      </c>
      <c r="AK570" s="1" t="s">
        <v>11635</v>
      </c>
      <c r="AL570" s="1" t="s">
        <v>132</v>
      </c>
      <c r="AM570" s="1" t="s">
        <v>11636</v>
      </c>
      <c r="AN570" s="1" t="s">
        <v>11636</v>
      </c>
    </row>
    <row r="571" ht="15.75" customHeight="1">
      <c r="A571" s="1" t="s">
        <v>127</v>
      </c>
      <c r="B571" s="1" t="s">
        <v>11637</v>
      </c>
      <c r="C571" s="1" t="s">
        <v>852</v>
      </c>
      <c r="D571" s="8" t="s">
        <v>853</v>
      </c>
      <c r="E571" s="1" t="s">
        <v>854</v>
      </c>
      <c r="F571" s="1" t="s">
        <v>132</v>
      </c>
      <c r="G571" s="1" t="s">
        <v>855</v>
      </c>
      <c r="H571" s="1" t="s">
        <v>856</v>
      </c>
      <c r="I571" s="1" t="s">
        <v>857</v>
      </c>
      <c r="J571" s="1" t="s">
        <v>858</v>
      </c>
      <c r="K571" s="1" t="s">
        <v>859</v>
      </c>
      <c r="L571" s="1" t="s">
        <v>860</v>
      </c>
      <c r="M571" s="1" t="s">
        <v>11638</v>
      </c>
      <c r="N571" s="1" t="s">
        <v>132</v>
      </c>
      <c r="O571" s="1" t="s">
        <v>862</v>
      </c>
      <c r="P571" s="1" t="s">
        <v>11639</v>
      </c>
      <c r="Q571" s="1" t="s">
        <v>132</v>
      </c>
      <c r="R571" s="1" t="s">
        <v>864</v>
      </c>
      <c r="S571" s="1" t="s">
        <v>865</v>
      </c>
      <c r="T571" s="8" t="s">
        <v>866</v>
      </c>
      <c r="U571" s="1" t="s">
        <v>867</v>
      </c>
      <c r="V571" s="1" t="s">
        <v>868</v>
      </c>
      <c r="W571" s="1" t="s">
        <v>869</v>
      </c>
      <c r="X571" s="1" t="s">
        <v>11640</v>
      </c>
      <c r="Y571" s="1" t="s">
        <v>856</v>
      </c>
      <c r="Z571" s="1" t="s">
        <v>871</v>
      </c>
      <c r="AA571" s="1" t="s">
        <v>872</v>
      </c>
      <c r="AB571" s="1" t="s">
        <v>865</v>
      </c>
      <c r="AC571" s="1" t="s">
        <v>873</v>
      </c>
      <c r="AD571" s="1" t="s">
        <v>874</v>
      </c>
      <c r="AE571" s="1" t="s">
        <v>865</v>
      </c>
      <c r="AF571" s="1" t="s">
        <v>865</v>
      </c>
      <c r="AG571" s="1" t="s">
        <v>875</v>
      </c>
      <c r="AH571" s="1" t="s">
        <v>876</v>
      </c>
      <c r="AI571" s="1" t="s">
        <v>11641</v>
      </c>
      <c r="AJ571" s="1" t="s">
        <v>132</v>
      </c>
      <c r="AK571" s="1" t="s">
        <v>878</v>
      </c>
      <c r="AL571" s="1" t="s">
        <v>11642</v>
      </c>
      <c r="AM571" s="1" t="s">
        <v>11643</v>
      </c>
      <c r="AN571" s="1" t="s">
        <v>11643</v>
      </c>
    </row>
    <row r="572" ht="15.75" customHeight="1">
      <c r="A572" s="1" t="s">
        <v>127</v>
      </c>
      <c r="B572" s="1" t="s">
        <v>11644</v>
      </c>
      <c r="C572" s="1" t="s">
        <v>11645</v>
      </c>
      <c r="D572" s="8" t="s">
        <v>11646</v>
      </c>
      <c r="E572" s="1" t="s">
        <v>11645</v>
      </c>
      <c r="F572" s="1" t="s">
        <v>132</v>
      </c>
      <c r="G572" s="1" t="s">
        <v>11645</v>
      </c>
      <c r="H572" s="1" t="s">
        <v>11645</v>
      </c>
      <c r="I572" s="1" t="s">
        <v>11645</v>
      </c>
      <c r="J572" s="1" t="s">
        <v>11645</v>
      </c>
      <c r="K572" s="1" t="s">
        <v>11645</v>
      </c>
      <c r="L572" s="1" t="s">
        <v>11645</v>
      </c>
      <c r="M572" s="1" t="s">
        <v>11647</v>
      </c>
      <c r="N572" s="1" t="s">
        <v>132</v>
      </c>
      <c r="O572" s="1" t="s">
        <v>11645</v>
      </c>
      <c r="P572" s="1" t="s">
        <v>11645</v>
      </c>
      <c r="Q572" s="1" t="s">
        <v>132</v>
      </c>
      <c r="R572" s="1" t="s">
        <v>11645</v>
      </c>
      <c r="S572" s="1" t="s">
        <v>11645</v>
      </c>
      <c r="T572" s="8" t="s">
        <v>11648</v>
      </c>
      <c r="U572" s="1" t="s">
        <v>11649</v>
      </c>
      <c r="V572" s="1" t="s">
        <v>11645</v>
      </c>
      <c r="W572" s="1" t="s">
        <v>11645</v>
      </c>
      <c r="X572" s="1" t="s">
        <v>11645</v>
      </c>
      <c r="Y572" s="1" t="s">
        <v>11645</v>
      </c>
      <c r="Z572" s="1" t="s">
        <v>11650</v>
      </c>
      <c r="AA572" s="1" t="s">
        <v>11651</v>
      </c>
      <c r="AB572" s="1" t="s">
        <v>11645</v>
      </c>
      <c r="AC572" s="1" t="s">
        <v>11652</v>
      </c>
      <c r="AD572" s="1" t="s">
        <v>11645</v>
      </c>
      <c r="AE572" s="1" t="s">
        <v>11645</v>
      </c>
      <c r="AF572" s="1" t="s">
        <v>11645</v>
      </c>
      <c r="AG572" s="1" t="s">
        <v>11645</v>
      </c>
      <c r="AH572" s="1" t="s">
        <v>11645</v>
      </c>
      <c r="AI572" s="1" t="s">
        <v>11645</v>
      </c>
      <c r="AJ572" s="1" t="s">
        <v>132</v>
      </c>
      <c r="AK572" s="1" t="s">
        <v>11645</v>
      </c>
      <c r="AL572" s="1" t="s">
        <v>11653</v>
      </c>
      <c r="AM572" s="1" t="s">
        <v>11654</v>
      </c>
      <c r="AN572" s="1" t="s">
        <v>11654</v>
      </c>
    </row>
    <row r="573" ht="15.75" customHeight="1">
      <c r="A573" s="1" t="s">
        <v>38</v>
      </c>
      <c r="B573" s="1" t="s">
        <v>11655</v>
      </c>
      <c r="C573" s="1" t="s">
        <v>11656</v>
      </c>
      <c r="D573" s="8" t="s">
        <v>11657</v>
      </c>
      <c r="E573" s="1" t="s">
        <v>11658</v>
      </c>
      <c r="F573" s="1" t="s">
        <v>11659</v>
      </c>
      <c r="G573" s="1" t="s">
        <v>132</v>
      </c>
      <c r="H573" s="1" t="s">
        <v>132</v>
      </c>
      <c r="I573" s="1" t="s">
        <v>11660</v>
      </c>
      <c r="J573" s="1" t="s">
        <v>132</v>
      </c>
      <c r="K573" s="1" t="s">
        <v>11661</v>
      </c>
      <c r="L573" s="1" t="s">
        <v>132</v>
      </c>
      <c r="M573" s="1" t="s">
        <v>11662</v>
      </c>
      <c r="N573" s="1" t="s">
        <v>11663</v>
      </c>
      <c r="O573" s="1" t="s">
        <v>132</v>
      </c>
      <c r="P573" s="1" t="s">
        <v>11664</v>
      </c>
      <c r="Q573" s="1" t="s">
        <v>11665</v>
      </c>
      <c r="R573" s="1" t="s">
        <v>132</v>
      </c>
      <c r="S573" s="1" t="s">
        <v>11666</v>
      </c>
      <c r="T573" s="1" t="s">
        <v>132</v>
      </c>
      <c r="U573" s="1" t="s">
        <v>11667</v>
      </c>
      <c r="V573" s="1" t="s">
        <v>11668</v>
      </c>
      <c r="W573" s="1" t="s">
        <v>132</v>
      </c>
      <c r="X573" s="1" t="s">
        <v>11669</v>
      </c>
      <c r="Y573" s="1" t="s">
        <v>132</v>
      </c>
      <c r="Z573" s="1" t="s">
        <v>11670</v>
      </c>
      <c r="AA573" s="1" t="s">
        <v>11671</v>
      </c>
      <c r="AB573" s="1" t="s">
        <v>132</v>
      </c>
      <c r="AC573" s="1" t="s">
        <v>11672</v>
      </c>
      <c r="AD573" s="1" t="s">
        <v>11673</v>
      </c>
      <c r="AE573" s="1" t="s">
        <v>132</v>
      </c>
      <c r="AF573" s="1" t="s">
        <v>11674</v>
      </c>
      <c r="AG573" s="1" t="s">
        <v>11675</v>
      </c>
      <c r="AH573" s="1" t="s">
        <v>132</v>
      </c>
      <c r="AI573" s="1" t="s">
        <v>132</v>
      </c>
      <c r="AJ573" s="1" t="s">
        <v>11676</v>
      </c>
      <c r="AK573" s="1" t="s">
        <v>11677</v>
      </c>
      <c r="AL573" s="1" t="s">
        <v>132</v>
      </c>
      <c r="AM573" s="1" t="s">
        <v>11678</v>
      </c>
      <c r="AN573" s="1" t="s">
        <v>11678</v>
      </c>
    </row>
    <row r="574" ht="15.75" customHeight="1">
      <c r="A574" s="1" t="s">
        <v>127</v>
      </c>
      <c r="B574" s="1" t="s">
        <v>11679</v>
      </c>
      <c r="C574" s="1" t="s">
        <v>11680</v>
      </c>
      <c r="D574" s="8" t="s">
        <v>11681</v>
      </c>
      <c r="E574" s="1" t="s">
        <v>11682</v>
      </c>
      <c r="F574" s="1" t="s">
        <v>132</v>
      </c>
      <c r="G574" s="1" t="s">
        <v>11680</v>
      </c>
      <c r="H574" s="1" t="s">
        <v>11680</v>
      </c>
      <c r="I574" s="1" t="s">
        <v>11683</v>
      </c>
      <c r="J574" s="1" t="s">
        <v>11680</v>
      </c>
      <c r="K574" s="1" t="s">
        <v>11680</v>
      </c>
      <c r="L574" s="1" t="s">
        <v>11684</v>
      </c>
      <c r="M574" s="1" t="s">
        <v>11685</v>
      </c>
      <c r="N574" s="1" t="s">
        <v>132</v>
      </c>
      <c r="O574" s="1" t="s">
        <v>11686</v>
      </c>
      <c r="P574" s="1" t="s">
        <v>11680</v>
      </c>
      <c r="Q574" s="1" t="s">
        <v>132</v>
      </c>
      <c r="R574" s="1" t="s">
        <v>11685</v>
      </c>
      <c r="S574" s="1" t="s">
        <v>11680</v>
      </c>
      <c r="T574" s="8" t="s">
        <v>11687</v>
      </c>
      <c r="U574" s="1" t="s">
        <v>11688</v>
      </c>
      <c r="V574" s="1" t="s">
        <v>11689</v>
      </c>
      <c r="W574" s="1" t="s">
        <v>11690</v>
      </c>
      <c r="X574" s="1" t="s">
        <v>11680</v>
      </c>
      <c r="Y574" s="1" t="s">
        <v>11691</v>
      </c>
      <c r="Z574" s="1" t="s">
        <v>11680</v>
      </c>
      <c r="AA574" s="1" t="s">
        <v>11680</v>
      </c>
      <c r="AB574" s="1" t="s">
        <v>11680</v>
      </c>
      <c r="AC574" s="1" t="s">
        <v>11680</v>
      </c>
      <c r="AD574" s="1" t="s">
        <v>11680</v>
      </c>
      <c r="AE574" s="1" t="s">
        <v>11692</v>
      </c>
      <c r="AF574" s="1" t="s">
        <v>11685</v>
      </c>
      <c r="AG574" s="1" t="s">
        <v>11691</v>
      </c>
      <c r="AH574" s="1" t="s">
        <v>3384</v>
      </c>
      <c r="AI574" s="1" t="s">
        <v>11693</v>
      </c>
      <c r="AJ574" s="1" t="s">
        <v>132</v>
      </c>
      <c r="AK574" s="1" t="s">
        <v>11685</v>
      </c>
      <c r="AL574" s="1" t="s">
        <v>11694</v>
      </c>
      <c r="AM574" s="1" t="s">
        <v>11695</v>
      </c>
      <c r="AN574" s="1" t="s">
        <v>11695</v>
      </c>
    </row>
    <row r="575" ht="15.75" customHeight="1">
      <c r="A575" s="1" t="s">
        <v>127</v>
      </c>
      <c r="B575" s="1" t="s">
        <v>11696</v>
      </c>
      <c r="C575" s="1" t="s">
        <v>11697</v>
      </c>
      <c r="D575" s="8" t="s">
        <v>11698</v>
      </c>
      <c r="E575" s="1" t="s">
        <v>11699</v>
      </c>
      <c r="F575" s="1" t="s">
        <v>132</v>
      </c>
      <c r="G575" s="1" t="s">
        <v>11700</v>
      </c>
      <c r="H575" s="1" t="s">
        <v>9181</v>
      </c>
      <c r="I575" s="1" t="s">
        <v>11700</v>
      </c>
      <c r="J575" s="1" t="s">
        <v>11701</v>
      </c>
      <c r="K575" s="1" t="s">
        <v>11702</v>
      </c>
      <c r="L575" s="1" t="s">
        <v>11703</v>
      </c>
      <c r="M575" s="1" t="s">
        <v>11704</v>
      </c>
      <c r="N575" s="1" t="s">
        <v>132</v>
      </c>
      <c r="O575" s="1" t="s">
        <v>11705</v>
      </c>
      <c r="P575" s="1" t="s">
        <v>11706</v>
      </c>
      <c r="Q575" s="1" t="s">
        <v>132</v>
      </c>
      <c r="R575" s="1" t="s">
        <v>11707</v>
      </c>
      <c r="S575" s="1" t="s">
        <v>11708</v>
      </c>
      <c r="T575" s="8" t="s">
        <v>11709</v>
      </c>
      <c r="U575" s="1" t="s">
        <v>11710</v>
      </c>
      <c r="V575" s="1" t="s">
        <v>11711</v>
      </c>
      <c r="W575" s="1" t="s">
        <v>11707</v>
      </c>
      <c r="X575" s="1" t="s">
        <v>11712</v>
      </c>
      <c r="Y575" s="1" t="s">
        <v>11700</v>
      </c>
      <c r="Z575" s="1" t="s">
        <v>11713</v>
      </c>
      <c r="AA575" s="1" t="s">
        <v>11714</v>
      </c>
      <c r="AB575" s="1" t="s">
        <v>10132</v>
      </c>
      <c r="AC575" s="1" t="s">
        <v>11715</v>
      </c>
      <c r="AD575" s="1" t="s">
        <v>11716</v>
      </c>
      <c r="AE575" s="1" t="s">
        <v>11717</v>
      </c>
      <c r="AF575" s="1" t="s">
        <v>11700</v>
      </c>
      <c r="AG575" s="1" t="s">
        <v>11718</v>
      </c>
      <c r="AH575" s="1" t="s">
        <v>11719</v>
      </c>
      <c r="AI575" s="1" t="s">
        <v>11720</v>
      </c>
      <c r="AJ575" s="1" t="s">
        <v>132</v>
      </c>
      <c r="AK575" s="1" t="s">
        <v>11721</v>
      </c>
      <c r="AL575" s="1" t="s">
        <v>11722</v>
      </c>
      <c r="AM575" s="1" t="s">
        <v>132</v>
      </c>
      <c r="AN575" s="1" t="s">
        <v>132</v>
      </c>
    </row>
    <row r="576" ht="15.75" customHeight="1">
      <c r="A576" s="1" t="s">
        <v>127</v>
      </c>
      <c r="B576" s="1" t="s">
        <v>11723</v>
      </c>
      <c r="C576" s="1" t="s">
        <v>11724</v>
      </c>
      <c r="D576" s="8" t="s">
        <v>11725</v>
      </c>
      <c r="E576" s="1" t="s">
        <v>11726</v>
      </c>
      <c r="F576" s="1" t="s">
        <v>132</v>
      </c>
      <c r="G576" s="1" t="s">
        <v>11727</v>
      </c>
      <c r="H576" s="1" t="s">
        <v>11728</v>
      </c>
      <c r="I576" s="1" t="s">
        <v>4655</v>
      </c>
      <c r="J576" s="1" t="s">
        <v>11729</v>
      </c>
      <c r="K576" s="1" t="s">
        <v>11730</v>
      </c>
      <c r="L576" s="1" t="s">
        <v>11731</v>
      </c>
      <c r="M576" s="1" t="s">
        <v>11732</v>
      </c>
      <c r="N576" s="1" t="s">
        <v>132</v>
      </c>
      <c r="O576" s="1" t="s">
        <v>11733</v>
      </c>
      <c r="P576" s="1" t="s">
        <v>4661</v>
      </c>
      <c r="Q576" s="1" t="s">
        <v>132</v>
      </c>
      <c r="R576" s="1" t="s">
        <v>11734</v>
      </c>
      <c r="S576" s="1" t="s">
        <v>11735</v>
      </c>
      <c r="T576" s="8" t="s">
        <v>11736</v>
      </c>
      <c r="U576" s="1" t="s">
        <v>11737</v>
      </c>
      <c r="V576" s="1" t="s">
        <v>11738</v>
      </c>
      <c r="W576" s="1" t="s">
        <v>11734</v>
      </c>
      <c r="X576" s="1" t="s">
        <v>11739</v>
      </c>
      <c r="Y576" s="1" t="s">
        <v>11740</v>
      </c>
      <c r="Z576" s="1" t="s">
        <v>11741</v>
      </c>
      <c r="AA576" s="1" t="s">
        <v>11742</v>
      </c>
      <c r="AB576" s="1" t="s">
        <v>11743</v>
      </c>
      <c r="AC576" s="1" t="s">
        <v>11744</v>
      </c>
      <c r="AD576" s="1" t="s">
        <v>11745</v>
      </c>
      <c r="AE576" s="1" t="s">
        <v>11746</v>
      </c>
      <c r="AF576" s="1" t="s">
        <v>11747</v>
      </c>
      <c r="AG576" s="1" t="s">
        <v>11748</v>
      </c>
      <c r="AH576" s="1" t="s">
        <v>4678</v>
      </c>
      <c r="AI576" s="1" t="s">
        <v>11749</v>
      </c>
      <c r="AJ576" s="1" t="s">
        <v>132</v>
      </c>
      <c r="AK576" s="1" t="s">
        <v>11750</v>
      </c>
      <c r="AL576" s="1" t="s">
        <v>4681</v>
      </c>
      <c r="AM576" s="1" t="s">
        <v>4682</v>
      </c>
      <c r="AN576" s="1" t="s">
        <v>4682</v>
      </c>
    </row>
    <row r="577" ht="15.75" customHeight="1">
      <c r="A577" s="1" t="s">
        <v>127</v>
      </c>
      <c r="B577" s="1" t="s">
        <v>11751</v>
      </c>
      <c r="C577" s="1" t="s">
        <v>11752</v>
      </c>
      <c r="D577" s="8" t="s">
        <v>11753</v>
      </c>
      <c r="E577" s="1" t="s">
        <v>11754</v>
      </c>
      <c r="F577" s="1" t="s">
        <v>132</v>
      </c>
      <c r="G577" s="1" t="s">
        <v>11755</v>
      </c>
      <c r="H577" s="1" t="s">
        <v>11756</v>
      </c>
      <c r="I577" s="1" t="s">
        <v>11752</v>
      </c>
      <c r="J577" s="1" t="s">
        <v>11752</v>
      </c>
      <c r="K577" s="1" t="s">
        <v>11752</v>
      </c>
      <c r="L577" s="1" t="s">
        <v>11757</v>
      </c>
      <c r="M577" s="1" t="s">
        <v>11752</v>
      </c>
      <c r="N577" s="1" t="s">
        <v>132</v>
      </c>
      <c r="O577" s="1" t="s">
        <v>11758</v>
      </c>
      <c r="P577" s="1" t="s">
        <v>11752</v>
      </c>
      <c r="Q577" s="1" t="s">
        <v>132</v>
      </c>
      <c r="R577" s="1" t="s">
        <v>11759</v>
      </c>
      <c r="S577" s="1" t="s">
        <v>11752</v>
      </c>
      <c r="T577" s="8" t="s">
        <v>11760</v>
      </c>
      <c r="U577" s="1" t="s">
        <v>11761</v>
      </c>
      <c r="V577" s="1" t="s">
        <v>11762</v>
      </c>
      <c r="W577" s="1" t="s">
        <v>11759</v>
      </c>
      <c r="X577" s="1" t="s">
        <v>11752</v>
      </c>
      <c r="Y577" s="1" t="s">
        <v>11763</v>
      </c>
      <c r="Z577" s="1" t="s">
        <v>11752</v>
      </c>
      <c r="AA577" s="1" t="s">
        <v>11764</v>
      </c>
      <c r="AB577" s="1" t="s">
        <v>11765</v>
      </c>
      <c r="AC577" s="1" t="s">
        <v>11766</v>
      </c>
      <c r="AD577" s="1" t="s">
        <v>11767</v>
      </c>
      <c r="AE577" s="1" t="s">
        <v>11768</v>
      </c>
      <c r="AF577" s="1" t="s">
        <v>11752</v>
      </c>
      <c r="AG577" s="1" t="s">
        <v>11752</v>
      </c>
      <c r="AH577" s="1" t="s">
        <v>11769</v>
      </c>
      <c r="AI577" s="1" t="s">
        <v>11770</v>
      </c>
      <c r="AJ577" s="1" t="s">
        <v>132</v>
      </c>
      <c r="AK577" s="1" t="s">
        <v>11771</v>
      </c>
      <c r="AL577" s="1" t="s">
        <v>11772</v>
      </c>
      <c r="AM577" s="1" t="s">
        <v>11773</v>
      </c>
      <c r="AN577" s="1" t="s">
        <v>11773</v>
      </c>
    </row>
    <row r="578" ht="15.75" customHeight="1">
      <c r="A578" s="1" t="s">
        <v>127</v>
      </c>
      <c r="B578" s="1" t="s">
        <v>11774</v>
      </c>
      <c r="C578" s="1" t="s">
        <v>11775</v>
      </c>
      <c r="D578" s="8" t="s">
        <v>11776</v>
      </c>
      <c r="E578" s="1" t="s">
        <v>11777</v>
      </c>
      <c r="F578" s="1" t="s">
        <v>132</v>
      </c>
      <c r="G578" s="1" t="s">
        <v>11778</v>
      </c>
      <c r="H578" s="1" t="s">
        <v>11779</v>
      </c>
      <c r="I578" s="1" t="s">
        <v>11775</v>
      </c>
      <c r="J578" s="1" t="s">
        <v>11775</v>
      </c>
      <c r="K578" s="1" t="s">
        <v>11775</v>
      </c>
      <c r="L578" s="1" t="s">
        <v>11780</v>
      </c>
      <c r="M578" s="1" t="s">
        <v>11775</v>
      </c>
      <c r="N578" s="1" t="s">
        <v>132</v>
      </c>
      <c r="O578" s="1" t="s">
        <v>11781</v>
      </c>
      <c r="P578" s="1" t="s">
        <v>11775</v>
      </c>
      <c r="Q578" s="1" t="s">
        <v>132</v>
      </c>
      <c r="R578" s="1" t="s">
        <v>11782</v>
      </c>
      <c r="S578" s="1" t="s">
        <v>11775</v>
      </c>
      <c r="T578" s="8" t="s">
        <v>11783</v>
      </c>
      <c r="U578" s="1" t="s">
        <v>11784</v>
      </c>
      <c r="V578" s="1" t="s">
        <v>11785</v>
      </c>
      <c r="W578" s="1" t="s">
        <v>11782</v>
      </c>
      <c r="X578" s="1" t="s">
        <v>11775</v>
      </c>
      <c r="Y578" s="1" t="s">
        <v>11779</v>
      </c>
      <c r="Z578" s="1" t="s">
        <v>11775</v>
      </c>
      <c r="AA578" s="1" t="s">
        <v>11775</v>
      </c>
      <c r="AB578" s="1" t="s">
        <v>11786</v>
      </c>
      <c r="AC578" s="1" t="s">
        <v>11787</v>
      </c>
      <c r="AD578" s="1" t="s">
        <v>11778</v>
      </c>
      <c r="AE578" s="1" t="s">
        <v>11788</v>
      </c>
      <c r="AF578" s="1" t="s">
        <v>11775</v>
      </c>
      <c r="AG578" s="1" t="s">
        <v>11779</v>
      </c>
      <c r="AH578" s="1" t="s">
        <v>11775</v>
      </c>
      <c r="AI578" s="1" t="s">
        <v>11789</v>
      </c>
      <c r="AJ578" s="1" t="s">
        <v>132</v>
      </c>
      <c r="AK578" s="1" t="s">
        <v>11790</v>
      </c>
      <c r="AL578" s="1" t="s">
        <v>11791</v>
      </c>
      <c r="AM578" s="1" t="s">
        <v>11792</v>
      </c>
      <c r="AN578" s="1" t="s">
        <v>11792</v>
      </c>
    </row>
    <row r="579" ht="15.75" customHeight="1">
      <c r="A579" s="1" t="s">
        <v>38</v>
      </c>
      <c r="B579" s="1" t="s">
        <v>11793</v>
      </c>
      <c r="C579" s="1" t="s">
        <v>11794</v>
      </c>
      <c r="D579" s="8" t="s">
        <v>11795</v>
      </c>
      <c r="E579" s="1" t="s">
        <v>11796</v>
      </c>
      <c r="F579" s="1" t="s">
        <v>11797</v>
      </c>
      <c r="G579" s="1" t="s">
        <v>132</v>
      </c>
      <c r="H579" s="1" t="s">
        <v>132</v>
      </c>
      <c r="I579" s="1" t="s">
        <v>11798</v>
      </c>
      <c r="J579" s="1" t="s">
        <v>132</v>
      </c>
      <c r="K579" s="1" t="s">
        <v>11799</v>
      </c>
      <c r="L579" s="1" t="s">
        <v>132</v>
      </c>
      <c r="M579" s="1" t="s">
        <v>11800</v>
      </c>
      <c r="N579" s="1" t="s">
        <v>11799</v>
      </c>
      <c r="O579" s="1" t="s">
        <v>132</v>
      </c>
      <c r="P579" s="1" t="s">
        <v>11801</v>
      </c>
      <c r="Q579" s="1" t="s">
        <v>11802</v>
      </c>
      <c r="R579" s="1" t="s">
        <v>132</v>
      </c>
      <c r="S579" s="1" t="s">
        <v>11803</v>
      </c>
      <c r="T579" s="1" t="s">
        <v>132</v>
      </c>
      <c r="U579" s="1" t="s">
        <v>11804</v>
      </c>
      <c r="V579" s="1" t="s">
        <v>11805</v>
      </c>
      <c r="W579" s="1" t="s">
        <v>132</v>
      </c>
      <c r="X579" s="1" t="s">
        <v>11806</v>
      </c>
      <c r="Y579" s="1" t="s">
        <v>132</v>
      </c>
      <c r="Z579" s="1" t="s">
        <v>11807</v>
      </c>
      <c r="AA579" s="1" t="s">
        <v>11808</v>
      </c>
      <c r="AB579" s="1" t="s">
        <v>132</v>
      </c>
      <c r="AC579" s="1" t="s">
        <v>11809</v>
      </c>
      <c r="AD579" s="1" t="s">
        <v>132</v>
      </c>
      <c r="AE579" s="1" t="s">
        <v>132</v>
      </c>
      <c r="AF579" s="1" t="s">
        <v>11810</v>
      </c>
      <c r="AG579" s="1" t="s">
        <v>11811</v>
      </c>
      <c r="AH579" s="1" t="s">
        <v>132</v>
      </c>
      <c r="AI579" s="1" t="s">
        <v>132</v>
      </c>
      <c r="AJ579" s="1" t="s">
        <v>11813</v>
      </c>
      <c r="AK579" s="1" t="s">
        <v>132</v>
      </c>
      <c r="AL579" s="1" t="s">
        <v>132</v>
      </c>
      <c r="AM579" s="1" t="s">
        <v>11814</v>
      </c>
      <c r="AN579" s="1" t="s">
        <v>11814</v>
      </c>
    </row>
    <row r="580" ht="15.75" customHeight="1">
      <c r="A580" s="1" t="s">
        <v>127</v>
      </c>
      <c r="B580" s="1" t="s">
        <v>11815</v>
      </c>
      <c r="C580" s="1" t="s">
        <v>11816</v>
      </c>
      <c r="D580" s="8" t="s">
        <v>11817</v>
      </c>
      <c r="E580" s="1" t="s">
        <v>11818</v>
      </c>
      <c r="F580" s="1" t="s">
        <v>132</v>
      </c>
      <c r="G580" s="1" t="s">
        <v>11819</v>
      </c>
      <c r="H580" s="1" t="s">
        <v>11820</v>
      </c>
      <c r="I580" s="1" t="s">
        <v>11821</v>
      </c>
      <c r="J580" s="1" t="s">
        <v>11822</v>
      </c>
      <c r="K580" s="1" t="s">
        <v>11823</v>
      </c>
      <c r="L580" s="1" t="s">
        <v>11824</v>
      </c>
      <c r="M580" s="1" t="s">
        <v>11825</v>
      </c>
      <c r="N580" s="1" t="s">
        <v>132</v>
      </c>
      <c r="O580" s="1" t="s">
        <v>11826</v>
      </c>
      <c r="P580" s="1" t="s">
        <v>11827</v>
      </c>
      <c r="Q580" s="1" t="s">
        <v>132</v>
      </c>
      <c r="R580" s="1" t="s">
        <v>11828</v>
      </c>
      <c r="S580" s="1" t="s">
        <v>11829</v>
      </c>
      <c r="T580" s="8" t="s">
        <v>11830</v>
      </c>
      <c r="U580" s="1" t="s">
        <v>11831</v>
      </c>
      <c r="V580" s="1" t="s">
        <v>11832</v>
      </c>
      <c r="W580" s="1" t="s">
        <v>11833</v>
      </c>
      <c r="X580" s="1" t="s">
        <v>11834</v>
      </c>
      <c r="Y580" s="1" t="s">
        <v>11835</v>
      </c>
      <c r="Z580" s="1" t="s">
        <v>11836</v>
      </c>
      <c r="AA580" s="1" t="s">
        <v>11837</v>
      </c>
      <c r="AB580" s="1" t="s">
        <v>11838</v>
      </c>
      <c r="AC580" s="1" t="s">
        <v>11839</v>
      </c>
      <c r="AD580" s="1" t="s">
        <v>11840</v>
      </c>
      <c r="AE580" s="1" t="s">
        <v>11841</v>
      </c>
      <c r="AF580" s="1" t="s">
        <v>11842</v>
      </c>
      <c r="AG580" s="1" t="s">
        <v>11843</v>
      </c>
      <c r="AH580" s="1" t="s">
        <v>11844</v>
      </c>
      <c r="AI580" s="1" t="s">
        <v>11845</v>
      </c>
      <c r="AJ580" s="1" t="s">
        <v>132</v>
      </c>
      <c r="AK580" s="1" t="s">
        <v>11846</v>
      </c>
      <c r="AL580" s="1" t="s">
        <v>11847</v>
      </c>
      <c r="AM580" s="1" t="s">
        <v>132</v>
      </c>
      <c r="AN580" s="1" t="s">
        <v>132</v>
      </c>
    </row>
    <row r="581" ht="15.75" customHeight="1">
      <c r="A581" s="1" t="s">
        <v>38</v>
      </c>
      <c r="B581" s="1" t="s">
        <v>11848</v>
      </c>
      <c r="C581" s="1" t="s">
        <v>11849</v>
      </c>
      <c r="D581" s="8" t="s">
        <v>11850</v>
      </c>
      <c r="E581" s="1" t="s">
        <v>11851</v>
      </c>
      <c r="F581" s="1" t="s">
        <v>11852</v>
      </c>
      <c r="G581" s="1" t="s">
        <v>132</v>
      </c>
      <c r="H581" s="1" t="s">
        <v>132</v>
      </c>
      <c r="I581" s="1" t="s">
        <v>11853</v>
      </c>
      <c r="J581" s="1" t="s">
        <v>132</v>
      </c>
      <c r="K581" s="1" t="s">
        <v>11854</v>
      </c>
      <c r="L581" s="1" t="s">
        <v>132</v>
      </c>
      <c r="M581" s="1" t="s">
        <v>11855</v>
      </c>
      <c r="N581" s="1" t="s">
        <v>11856</v>
      </c>
      <c r="O581" s="1" t="s">
        <v>132</v>
      </c>
      <c r="P581" s="1" t="s">
        <v>11857</v>
      </c>
      <c r="Q581" s="1" t="s">
        <v>132</v>
      </c>
      <c r="R581" s="1" t="s">
        <v>132</v>
      </c>
      <c r="S581" s="1" t="s">
        <v>11858</v>
      </c>
      <c r="T581" s="1" t="s">
        <v>132</v>
      </c>
      <c r="U581" s="1" t="s">
        <v>11859</v>
      </c>
      <c r="V581" s="1" t="s">
        <v>132</v>
      </c>
      <c r="W581" s="1" t="s">
        <v>132</v>
      </c>
      <c r="X581" s="1" t="s">
        <v>11860</v>
      </c>
      <c r="Y581" s="1" t="s">
        <v>132</v>
      </c>
      <c r="Z581" s="1" t="s">
        <v>11861</v>
      </c>
      <c r="AA581" s="1" t="s">
        <v>132</v>
      </c>
      <c r="AB581" s="1" t="s">
        <v>132</v>
      </c>
      <c r="AC581" s="1" t="s">
        <v>11862</v>
      </c>
      <c r="AD581" s="1" t="s">
        <v>132</v>
      </c>
      <c r="AE581" s="1" t="s">
        <v>132</v>
      </c>
      <c r="AF581" s="1" t="s">
        <v>11863</v>
      </c>
      <c r="AG581" s="1" t="s">
        <v>132</v>
      </c>
      <c r="AH581" s="1" t="s">
        <v>132</v>
      </c>
      <c r="AI581" s="1" t="s">
        <v>132</v>
      </c>
      <c r="AJ581" s="1" t="s">
        <v>132</v>
      </c>
      <c r="AK581" s="1" t="s">
        <v>132</v>
      </c>
      <c r="AL581" s="1" t="s">
        <v>132</v>
      </c>
      <c r="AM581" s="1" t="s">
        <v>132</v>
      </c>
      <c r="AN581" s="1" t="s">
        <v>132</v>
      </c>
    </row>
    <row r="582" ht="15.75" customHeight="1">
      <c r="A582" s="1" t="s">
        <v>127</v>
      </c>
      <c r="B582" s="1" t="s">
        <v>11864</v>
      </c>
      <c r="C582" s="1" t="s">
        <v>11865</v>
      </c>
      <c r="D582" s="8" t="s">
        <v>11866</v>
      </c>
      <c r="E582" s="1" t="s">
        <v>11867</v>
      </c>
      <c r="F582" s="1" t="s">
        <v>132</v>
      </c>
      <c r="G582" s="1" t="s">
        <v>11868</v>
      </c>
      <c r="H582" s="1" t="s">
        <v>11869</v>
      </c>
      <c r="I582" s="1" t="s">
        <v>11865</v>
      </c>
      <c r="J582" s="1" t="s">
        <v>11870</v>
      </c>
      <c r="K582" s="1" t="s">
        <v>11865</v>
      </c>
      <c r="L582" s="1" t="s">
        <v>11871</v>
      </c>
      <c r="M582" s="1" t="s">
        <v>11872</v>
      </c>
      <c r="N582" s="1" t="s">
        <v>132</v>
      </c>
      <c r="O582" s="1" t="s">
        <v>11873</v>
      </c>
      <c r="P582" s="1" t="s">
        <v>11865</v>
      </c>
      <c r="Q582" s="1" t="s">
        <v>132</v>
      </c>
      <c r="R582" s="1" t="s">
        <v>11874</v>
      </c>
      <c r="S582" s="1" t="s">
        <v>11865</v>
      </c>
      <c r="T582" s="8" t="s">
        <v>11875</v>
      </c>
      <c r="U582" s="1" t="s">
        <v>11876</v>
      </c>
      <c r="V582" s="1" t="s">
        <v>11877</v>
      </c>
      <c r="W582" s="1" t="s">
        <v>11874</v>
      </c>
      <c r="X582" s="1" t="s">
        <v>11865</v>
      </c>
      <c r="Y582" s="1" t="s">
        <v>11878</v>
      </c>
      <c r="Z582" s="1" t="s">
        <v>11865</v>
      </c>
      <c r="AA582" s="1" t="s">
        <v>11879</v>
      </c>
      <c r="AB582" s="1" t="s">
        <v>11880</v>
      </c>
      <c r="AC582" s="1" t="s">
        <v>11881</v>
      </c>
      <c r="AD582" s="1" t="s">
        <v>11882</v>
      </c>
      <c r="AE582" s="1" t="s">
        <v>11883</v>
      </c>
      <c r="AF582" s="1" t="s">
        <v>11865</v>
      </c>
      <c r="AG582" s="1" t="s">
        <v>11865</v>
      </c>
      <c r="AH582" s="1" t="s">
        <v>11884</v>
      </c>
      <c r="AI582" s="1" t="s">
        <v>11885</v>
      </c>
      <c r="AJ582" s="1" t="s">
        <v>132</v>
      </c>
      <c r="AK582" s="1" t="s">
        <v>11886</v>
      </c>
      <c r="AL582" s="1" t="s">
        <v>11887</v>
      </c>
      <c r="AM582" s="1" t="s">
        <v>11888</v>
      </c>
      <c r="AN582" s="1" t="s">
        <v>11888</v>
      </c>
    </row>
    <row r="583" ht="15.75" customHeight="1">
      <c r="A583" s="1" t="s">
        <v>127</v>
      </c>
      <c r="B583" s="1" t="s">
        <v>11889</v>
      </c>
      <c r="C583" s="1" t="s">
        <v>11890</v>
      </c>
      <c r="D583" s="8" t="s">
        <v>11891</v>
      </c>
      <c r="E583" s="1" t="s">
        <v>11892</v>
      </c>
      <c r="F583" s="1" t="s">
        <v>132</v>
      </c>
      <c r="G583" s="1" t="s">
        <v>11893</v>
      </c>
      <c r="H583" s="1" t="s">
        <v>11894</v>
      </c>
      <c r="I583" s="1" t="s">
        <v>11890</v>
      </c>
      <c r="J583" s="1" t="s">
        <v>11895</v>
      </c>
      <c r="K583" s="1" t="s">
        <v>11890</v>
      </c>
      <c r="L583" s="1" t="s">
        <v>11896</v>
      </c>
      <c r="M583" s="1" t="s">
        <v>11897</v>
      </c>
      <c r="N583" s="1" t="s">
        <v>132</v>
      </c>
      <c r="O583" s="1" t="s">
        <v>11898</v>
      </c>
      <c r="P583" s="1" t="s">
        <v>11890</v>
      </c>
      <c r="Q583" s="1" t="s">
        <v>132</v>
      </c>
      <c r="R583" s="1" t="s">
        <v>11899</v>
      </c>
      <c r="S583" s="1" t="s">
        <v>11890</v>
      </c>
      <c r="T583" s="8" t="s">
        <v>11900</v>
      </c>
      <c r="U583" s="1" t="s">
        <v>11901</v>
      </c>
      <c r="V583" s="1" t="s">
        <v>11902</v>
      </c>
      <c r="W583" s="1" t="s">
        <v>11899</v>
      </c>
      <c r="X583" s="1" t="s">
        <v>11890</v>
      </c>
      <c r="Y583" s="1" t="s">
        <v>11903</v>
      </c>
      <c r="Z583" s="1" t="s">
        <v>11890</v>
      </c>
      <c r="AA583" s="1" t="s">
        <v>11904</v>
      </c>
      <c r="AB583" s="1" t="s">
        <v>11905</v>
      </c>
      <c r="AC583" s="1" t="s">
        <v>11906</v>
      </c>
      <c r="AD583" s="1" t="s">
        <v>11907</v>
      </c>
      <c r="AE583" s="1" t="s">
        <v>11908</v>
      </c>
      <c r="AF583" s="1" t="s">
        <v>11890</v>
      </c>
      <c r="AG583" s="1" t="s">
        <v>11890</v>
      </c>
      <c r="AH583" s="1" t="s">
        <v>11909</v>
      </c>
      <c r="AI583" s="1" t="s">
        <v>11910</v>
      </c>
      <c r="AJ583" s="1" t="s">
        <v>132</v>
      </c>
      <c r="AK583" s="1" t="s">
        <v>11911</v>
      </c>
      <c r="AL583" s="1" t="s">
        <v>11912</v>
      </c>
      <c r="AM583" s="1" t="s">
        <v>11913</v>
      </c>
      <c r="AN583" s="1" t="s">
        <v>11913</v>
      </c>
    </row>
    <row r="584" ht="15.75" customHeight="1">
      <c r="A584" s="1" t="s">
        <v>38</v>
      </c>
      <c r="B584" s="1" t="s">
        <v>11914</v>
      </c>
      <c r="C584" s="1" t="s">
        <v>11915</v>
      </c>
      <c r="D584" s="1" t="s">
        <v>132</v>
      </c>
      <c r="E584" s="1" t="s">
        <v>132</v>
      </c>
      <c r="F584" s="1" t="s">
        <v>132</v>
      </c>
      <c r="G584" s="1" t="s">
        <v>132</v>
      </c>
      <c r="H584" s="1" t="s">
        <v>132</v>
      </c>
      <c r="I584" s="1" t="s">
        <v>11915</v>
      </c>
      <c r="J584" s="1" t="s">
        <v>132</v>
      </c>
      <c r="K584" s="1" t="s">
        <v>11915</v>
      </c>
      <c r="L584" s="1" t="s">
        <v>132</v>
      </c>
      <c r="M584" s="1" t="s">
        <v>11916</v>
      </c>
      <c r="N584" s="1" t="s">
        <v>132</v>
      </c>
      <c r="O584" s="1" t="s">
        <v>132</v>
      </c>
      <c r="P584" s="1" t="s">
        <v>11915</v>
      </c>
      <c r="Q584" s="1" t="s">
        <v>132</v>
      </c>
      <c r="R584" s="1" t="s">
        <v>132</v>
      </c>
      <c r="S584" s="1" t="s">
        <v>132</v>
      </c>
      <c r="T584" s="1" t="s">
        <v>132</v>
      </c>
      <c r="U584" s="1" t="s">
        <v>132</v>
      </c>
      <c r="V584" s="1" t="s">
        <v>132</v>
      </c>
      <c r="W584" s="1" t="s">
        <v>132</v>
      </c>
      <c r="X584" s="1" t="s">
        <v>132</v>
      </c>
      <c r="Y584" s="1" t="s">
        <v>132</v>
      </c>
      <c r="Z584" s="1" t="s">
        <v>132</v>
      </c>
      <c r="AA584" s="1" t="s">
        <v>132</v>
      </c>
      <c r="AB584" s="1" t="s">
        <v>132</v>
      </c>
      <c r="AC584" s="1" t="s">
        <v>11917</v>
      </c>
      <c r="AD584" s="1" t="s">
        <v>132</v>
      </c>
      <c r="AE584" s="1" t="s">
        <v>132</v>
      </c>
      <c r="AF584" s="1" t="s">
        <v>11915</v>
      </c>
      <c r="AG584" s="1" t="s">
        <v>132</v>
      </c>
      <c r="AH584" s="1" t="s">
        <v>132</v>
      </c>
      <c r="AI584" s="1" t="s">
        <v>132</v>
      </c>
      <c r="AJ584" s="1" t="s">
        <v>132</v>
      </c>
      <c r="AK584" s="1" t="s">
        <v>132</v>
      </c>
      <c r="AL584" s="1" t="s">
        <v>132</v>
      </c>
      <c r="AM584" s="1" t="s">
        <v>132</v>
      </c>
      <c r="AN584" s="1" t="s">
        <v>132</v>
      </c>
    </row>
    <row r="585" ht="15.75" customHeight="1">
      <c r="A585" s="1" t="s">
        <v>127</v>
      </c>
      <c r="B585" s="1" t="s">
        <v>11918</v>
      </c>
      <c r="C585" s="1" t="s">
        <v>11919</v>
      </c>
      <c r="D585" s="8" t="s">
        <v>11920</v>
      </c>
      <c r="E585" s="1" t="s">
        <v>11921</v>
      </c>
      <c r="F585" s="1" t="s">
        <v>132</v>
      </c>
      <c r="G585" s="1" t="s">
        <v>11922</v>
      </c>
      <c r="H585" s="1" t="s">
        <v>11923</v>
      </c>
      <c r="I585" s="1" t="s">
        <v>11919</v>
      </c>
      <c r="J585" s="1" t="s">
        <v>11924</v>
      </c>
      <c r="K585" s="1" t="s">
        <v>11919</v>
      </c>
      <c r="L585" s="1" t="s">
        <v>11925</v>
      </c>
      <c r="M585" s="1" t="s">
        <v>11926</v>
      </c>
      <c r="N585" s="1" t="s">
        <v>132</v>
      </c>
      <c r="O585" s="1" t="s">
        <v>11927</v>
      </c>
      <c r="P585" s="1" t="s">
        <v>11919</v>
      </c>
      <c r="Q585" s="1" t="s">
        <v>132</v>
      </c>
      <c r="R585" s="1" t="s">
        <v>11928</v>
      </c>
      <c r="S585" s="1" t="s">
        <v>11919</v>
      </c>
      <c r="T585" s="8" t="s">
        <v>11929</v>
      </c>
      <c r="U585" s="1" t="s">
        <v>11930</v>
      </c>
      <c r="V585" s="1" t="s">
        <v>11931</v>
      </c>
      <c r="W585" s="1" t="s">
        <v>11928</v>
      </c>
      <c r="X585" s="1" t="s">
        <v>11919</v>
      </c>
      <c r="Y585" s="1" t="s">
        <v>11919</v>
      </c>
      <c r="Z585" s="1" t="s">
        <v>11919</v>
      </c>
      <c r="AA585" s="1" t="s">
        <v>11919</v>
      </c>
      <c r="AB585" s="1" t="s">
        <v>11932</v>
      </c>
      <c r="AC585" s="1" t="s">
        <v>11933</v>
      </c>
      <c r="AD585" s="1" t="s">
        <v>11934</v>
      </c>
      <c r="AE585" s="1" t="s">
        <v>11935</v>
      </c>
      <c r="AF585" s="1" t="s">
        <v>11919</v>
      </c>
      <c r="AG585" s="1" t="s">
        <v>11919</v>
      </c>
      <c r="AH585" s="1" t="s">
        <v>11936</v>
      </c>
      <c r="AI585" s="1" t="s">
        <v>11937</v>
      </c>
      <c r="AJ585" s="1" t="s">
        <v>132</v>
      </c>
      <c r="AK585" s="1" t="s">
        <v>11938</v>
      </c>
      <c r="AL585" s="1" t="s">
        <v>11939</v>
      </c>
      <c r="AM585" s="1" t="s">
        <v>11940</v>
      </c>
      <c r="AN585" s="1" t="s">
        <v>11940</v>
      </c>
    </row>
    <row r="586" ht="15.75" customHeight="1">
      <c r="A586" s="1" t="s">
        <v>127</v>
      </c>
      <c r="B586" s="1" t="s">
        <v>11941</v>
      </c>
      <c r="C586" s="1" t="s">
        <v>11942</v>
      </c>
      <c r="D586" s="8" t="s">
        <v>11943</v>
      </c>
      <c r="E586" s="1" t="s">
        <v>11944</v>
      </c>
      <c r="F586" s="1" t="s">
        <v>132</v>
      </c>
      <c r="G586" s="1" t="s">
        <v>11942</v>
      </c>
      <c r="H586" s="1" t="s">
        <v>11942</v>
      </c>
      <c r="I586" s="1" t="s">
        <v>11942</v>
      </c>
      <c r="J586" s="1" t="s">
        <v>11942</v>
      </c>
      <c r="K586" s="1" t="s">
        <v>11942</v>
      </c>
      <c r="L586" s="1" t="s">
        <v>11942</v>
      </c>
      <c r="M586" s="1" t="s">
        <v>11942</v>
      </c>
      <c r="N586" s="1" t="s">
        <v>132</v>
      </c>
      <c r="O586" s="1" t="s">
        <v>11945</v>
      </c>
      <c r="P586" s="1" t="s">
        <v>11942</v>
      </c>
      <c r="Q586" s="1" t="s">
        <v>132</v>
      </c>
      <c r="R586" s="1" t="s">
        <v>11946</v>
      </c>
      <c r="S586" s="1" t="s">
        <v>11942</v>
      </c>
      <c r="T586" s="8" t="s">
        <v>11947</v>
      </c>
      <c r="U586" s="1" t="s">
        <v>11948</v>
      </c>
      <c r="V586" s="1" t="s">
        <v>11942</v>
      </c>
      <c r="W586" s="1" t="s">
        <v>11946</v>
      </c>
      <c r="X586" s="1" t="s">
        <v>11942</v>
      </c>
      <c r="Y586" s="1" t="s">
        <v>11949</v>
      </c>
      <c r="Z586" s="1" t="s">
        <v>11942</v>
      </c>
      <c r="AA586" s="1" t="s">
        <v>11942</v>
      </c>
      <c r="AB586" s="1" t="s">
        <v>11950</v>
      </c>
      <c r="AC586" s="1" t="s">
        <v>11310</v>
      </c>
      <c r="AD586" s="1" t="s">
        <v>11951</v>
      </c>
      <c r="AE586" s="1" t="s">
        <v>11952</v>
      </c>
      <c r="AF586" s="1" t="s">
        <v>11942</v>
      </c>
      <c r="AG586" s="1" t="s">
        <v>11942</v>
      </c>
      <c r="AH586" s="1" t="s">
        <v>11942</v>
      </c>
      <c r="AI586" s="1" t="s">
        <v>11942</v>
      </c>
      <c r="AJ586" s="1" t="s">
        <v>132</v>
      </c>
      <c r="AK586" s="1" t="s">
        <v>11942</v>
      </c>
      <c r="AL586" s="1" t="s">
        <v>11953</v>
      </c>
      <c r="AM586" s="1" t="s">
        <v>11954</v>
      </c>
      <c r="AN586" s="1" t="s">
        <v>11954</v>
      </c>
    </row>
    <row r="587" ht="15.75" customHeight="1">
      <c r="A587" s="1" t="s">
        <v>38</v>
      </c>
      <c r="B587" s="1" t="s">
        <v>11955</v>
      </c>
      <c r="C587" s="1" t="s">
        <v>11956</v>
      </c>
      <c r="D587" s="8" t="s">
        <v>11957</v>
      </c>
      <c r="E587" s="1" t="s">
        <v>11958</v>
      </c>
      <c r="F587" s="1" t="s">
        <v>11959</v>
      </c>
      <c r="G587" s="1" t="s">
        <v>132</v>
      </c>
      <c r="H587" s="1" t="s">
        <v>132</v>
      </c>
      <c r="I587" s="1" t="s">
        <v>11960</v>
      </c>
      <c r="J587" s="1" t="s">
        <v>132</v>
      </c>
      <c r="K587" s="1" t="s">
        <v>11961</v>
      </c>
      <c r="L587" s="1" t="s">
        <v>132</v>
      </c>
      <c r="M587" s="1" t="s">
        <v>11962</v>
      </c>
      <c r="N587" s="1" t="s">
        <v>11963</v>
      </c>
      <c r="O587" s="1" t="s">
        <v>132</v>
      </c>
      <c r="P587" s="1" t="s">
        <v>11964</v>
      </c>
      <c r="Q587" s="1" t="s">
        <v>11965</v>
      </c>
      <c r="R587" s="1" t="s">
        <v>132</v>
      </c>
      <c r="S587" s="1" t="s">
        <v>11966</v>
      </c>
      <c r="T587" s="1" t="s">
        <v>132</v>
      </c>
      <c r="U587" s="1" t="s">
        <v>11967</v>
      </c>
      <c r="V587" s="1" t="s">
        <v>11968</v>
      </c>
      <c r="W587" s="1" t="s">
        <v>132</v>
      </c>
      <c r="X587" s="1" t="s">
        <v>11969</v>
      </c>
      <c r="Y587" s="1" t="s">
        <v>132</v>
      </c>
      <c r="Z587" s="1" t="s">
        <v>11970</v>
      </c>
      <c r="AA587" s="1" t="s">
        <v>11971</v>
      </c>
      <c r="AB587" s="1" t="s">
        <v>132</v>
      </c>
      <c r="AC587" s="1" t="s">
        <v>11972</v>
      </c>
      <c r="AD587" s="1" t="s">
        <v>11973</v>
      </c>
      <c r="AE587" s="1" t="s">
        <v>132</v>
      </c>
      <c r="AF587" s="1" t="s">
        <v>11974</v>
      </c>
      <c r="AG587" s="1" t="s">
        <v>11975</v>
      </c>
      <c r="AH587" s="1" t="s">
        <v>132</v>
      </c>
      <c r="AI587" s="1" t="s">
        <v>132</v>
      </c>
      <c r="AJ587" s="1" t="s">
        <v>11976</v>
      </c>
      <c r="AK587" s="1" t="s">
        <v>11977</v>
      </c>
      <c r="AL587" s="1" t="s">
        <v>132</v>
      </c>
      <c r="AM587" s="1" t="s">
        <v>11978</v>
      </c>
      <c r="AN587" s="1" t="s">
        <v>11978</v>
      </c>
    </row>
    <row r="588" ht="15.75" customHeight="1">
      <c r="A588" s="1" t="s">
        <v>127</v>
      </c>
      <c r="B588" s="1" t="s">
        <v>11979</v>
      </c>
      <c r="C588" s="1" t="s">
        <v>11980</v>
      </c>
      <c r="D588" s="8" t="s">
        <v>11981</v>
      </c>
      <c r="E588" s="1" t="s">
        <v>11982</v>
      </c>
      <c r="F588" s="1" t="s">
        <v>132</v>
      </c>
      <c r="G588" s="1" t="s">
        <v>11983</v>
      </c>
      <c r="H588" s="1" t="s">
        <v>11984</v>
      </c>
      <c r="I588" s="1" t="s">
        <v>11980</v>
      </c>
      <c r="J588" s="1" t="s">
        <v>11985</v>
      </c>
      <c r="K588" s="1" t="s">
        <v>11986</v>
      </c>
      <c r="L588" s="1" t="s">
        <v>11987</v>
      </c>
      <c r="M588" s="1" t="s">
        <v>11980</v>
      </c>
      <c r="N588" s="1" t="s">
        <v>132</v>
      </c>
      <c r="O588" s="1" t="s">
        <v>11988</v>
      </c>
      <c r="P588" s="1" t="s">
        <v>11980</v>
      </c>
      <c r="Q588" s="1" t="s">
        <v>132</v>
      </c>
      <c r="R588" s="1" t="s">
        <v>11989</v>
      </c>
      <c r="S588" s="1" t="s">
        <v>11980</v>
      </c>
      <c r="T588" s="8" t="s">
        <v>11990</v>
      </c>
      <c r="U588" s="1" t="s">
        <v>11991</v>
      </c>
      <c r="V588" s="1" t="s">
        <v>11992</v>
      </c>
      <c r="W588" s="1" t="s">
        <v>11993</v>
      </c>
      <c r="X588" s="1" t="s">
        <v>11980</v>
      </c>
      <c r="Y588" s="1" t="s">
        <v>11994</v>
      </c>
      <c r="Z588" s="1" t="s">
        <v>11980</v>
      </c>
      <c r="AA588" s="1" t="s">
        <v>11980</v>
      </c>
      <c r="AB588" s="1" t="s">
        <v>11995</v>
      </c>
      <c r="AC588" s="1" t="s">
        <v>11996</v>
      </c>
      <c r="AD588" s="1" t="s">
        <v>11997</v>
      </c>
      <c r="AE588" s="1" t="s">
        <v>11998</v>
      </c>
      <c r="AF588" s="1" t="s">
        <v>11980</v>
      </c>
      <c r="AG588" s="1" t="s">
        <v>11980</v>
      </c>
      <c r="AH588" s="1" t="s">
        <v>11980</v>
      </c>
      <c r="AI588" s="1" t="s">
        <v>11999</v>
      </c>
      <c r="AJ588" s="1" t="s">
        <v>132</v>
      </c>
      <c r="AK588" s="1" t="s">
        <v>12000</v>
      </c>
      <c r="AL588" s="1" t="s">
        <v>12001</v>
      </c>
      <c r="AM588" s="1" t="s">
        <v>12002</v>
      </c>
      <c r="AN588" s="1" t="s">
        <v>12002</v>
      </c>
    </row>
    <row r="589" ht="15.75" customHeight="1">
      <c r="A589" s="1" t="s">
        <v>127</v>
      </c>
      <c r="B589" s="1" t="s">
        <v>12003</v>
      </c>
      <c r="C589" s="1" t="s">
        <v>12004</v>
      </c>
      <c r="D589" s="8" t="s">
        <v>12005</v>
      </c>
      <c r="E589" s="1" t="s">
        <v>12006</v>
      </c>
      <c r="F589" s="1" t="s">
        <v>132</v>
      </c>
      <c r="G589" s="1" t="s">
        <v>12007</v>
      </c>
      <c r="H589" s="1" t="s">
        <v>12008</v>
      </c>
      <c r="I589" s="1" t="s">
        <v>12004</v>
      </c>
      <c r="J589" s="1" t="s">
        <v>12009</v>
      </c>
      <c r="K589" s="1" t="s">
        <v>12004</v>
      </c>
      <c r="L589" s="1" t="s">
        <v>12010</v>
      </c>
      <c r="M589" s="1" t="s">
        <v>12011</v>
      </c>
      <c r="N589" s="1" t="s">
        <v>132</v>
      </c>
      <c r="O589" s="1" t="s">
        <v>12012</v>
      </c>
      <c r="P589" s="1" t="s">
        <v>12004</v>
      </c>
      <c r="Q589" s="1" t="s">
        <v>132</v>
      </c>
      <c r="R589" s="1" t="s">
        <v>12013</v>
      </c>
      <c r="S589" s="1" t="s">
        <v>12004</v>
      </c>
      <c r="T589" s="8" t="s">
        <v>12014</v>
      </c>
      <c r="U589" s="1" t="s">
        <v>12015</v>
      </c>
      <c r="V589" s="1" t="s">
        <v>12016</v>
      </c>
      <c r="W589" s="1" t="s">
        <v>12017</v>
      </c>
      <c r="X589" s="1" t="s">
        <v>12004</v>
      </c>
      <c r="Y589" s="1" t="s">
        <v>12018</v>
      </c>
      <c r="Z589" s="1" t="s">
        <v>12004</v>
      </c>
      <c r="AA589" s="1" t="s">
        <v>12019</v>
      </c>
      <c r="AB589" s="1" t="s">
        <v>12020</v>
      </c>
      <c r="AC589" s="1" t="s">
        <v>12021</v>
      </c>
      <c r="AD589" s="1" t="s">
        <v>12022</v>
      </c>
      <c r="AE589" s="1" t="s">
        <v>12023</v>
      </c>
      <c r="AF589" s="1" t="s">
        <v>12004</v>
      </c>
      <c r="AG589" s="1" t="s">
        <v>12004</v>
      </c>
      <c r="AH589" s="1" t="s">
        <v>12004</v>
      </c>
      <c r="AI589" s="1" t="s">
        <v>12024</v>
      </c>
      <c r="AJ589" s="1" t="s">
        <v>132</v>
      </c>
      <c r="AK589" s="1" t="s">
        <v>12025</v>
      </c>
      <c r="AL589" s="1" t="s">
        <v>12026</v>
      </c>
      <c r="AM589" s="1" t="s">
        <v>12027</v>
      </c>
      <c r="AN589" s="1" t="s">
        <v>12027</v>
      </c>
    </row>
    <row r="590" ht="15.75" customHeight="1">
      <c r="A590" s="1" t="s">
        <v>127</v>
      </c>
      <c r="B590" s="1" t="s">
        <v>12028</v>
      </c>
      <c r="C590" s="1" t="s">
        <v>12029</v>
      </c>
      <c r="D590" s="8" t="s">
        <v>12030</v>
      </c>
      <c r="E590" s="1" t="s">
        <v>12031</v>
      </c>
      <c r="F590" s="1" t="s">
        <v>132</v>
      </c>
      <c r="G590" s="1" t="s">
        <v>12032</v>
      </c>
      <c r="H590" s="1" t="s">
        <v>12033</v>
      </c>
      <c r="I590" s="1" t="s">
        <v>12029</v>
      </c>
      <c r="J590" s="1" t="s">
        <v>12034</v>
      </c>
      <c r="K590" s="1" t="s">
        <v>12029</v>
      </c>
      <c r="L590" s="1" t="s">
        <v>12035</v>
      </c>
      <c r="M590" s="1" t="s">
        <v>12029</v>
      </c>
      <c r="N590" s="1" t="s">
        <v>132</v>
      </c>
      <c r="O590" s="1" t="s">
        <v>12036</v>
      </c>
      <c r="P590" s="1" t="s">
        <v>12029</v>
      </c>
      <c r="Q590" s="1" t="s">
        <v>132</v>
      </c>
      <c r="R590" s="1" t="s">
        <v>12037</v>
      </c>
      <c r="S590" s="1" t="s">
        <v>12029</v>
      </c>
      <c r="T590" s="8" t="s">
        <v>12038</v>
      </c>
      <c r="U590" s="1" t="s">
        <v>2187</v>
      </c>
      <c r="V590" s="1" t="s">
        <v>2188</v>
      </c>
      <c r="W590" s="1" t="s">
        <v>12037</v>
      </c>
      <c r="X590" s="1" t="s">
        <v>12029</v>
      </c>
      <c r="Y590" s="1" t="s">
        <v>12039</v>
      </c>
      <c r="Z590" s="1" t="s">
        <v>12029</v>
      </c>
      <c r="AA590" s="1" t="s">
        <v>12029</v>
      </c>
      <c r="AB590" s="1" t="s">
        <v>12040</v>
      </c>
      <c r="AC590" s="1" t="s">
        <v>12041</v>
      </c>
      <c r="AD590" s="1" t="s">
        <v>12042</v>
      </c>
      <c r="AE590" s="1" t="s">
        <v>12043</v>
      </c>
      <c r="AF590" s="1" t="s">
        <v>12029</v>
      </c>
      <c r="AG590" s="1" t="s">
        <v>12029</v>
      </c>
      <c r="AH590" s="1" t="s">
        <v>12029</v>
      </c>
      <c r="AI590" s="1" t="s">
        <v>12044</v>
      </c>
      <c r="AJ590" s="1" t="s">
        <v>132</v>
      </c>
      <c r="AK590" s="1" t="s">
        <v>12045</v>
      </c>
      <c r="AL590" s="1" t="s">
        <v>12046</v>
      </c>
      <c r="AM590" s="1" t="s">
        <v>12047</v>
      </c>
      <c r="AN590" s="1" t="s">
        <v>12047</v>
      </c>
    </row>
    <row r="591" ht="15.75" customHeight="1">
      <c r="A591" s="1" t="s">
        <v>38</v>
      </c>
      <c r="B591" s="1" t="s">
        <v>12048</v>
      </c>
      <c r="C591" s="1" t="s">
        <v>12049</v>
      </c>
      <c r="D591" s="8" t="s">
        <v>12050</v>
      </c>
      <c r="E591" s="1" t="s">
        <v>12051</v>
      </c>
      <c r="F591" s="1" t="s">
        <v>12052</v>
      </c>
      <c r="G591" s="1" t="s">
        <v>132</v>
      </c>
      <c r="H591" s="1" t="s">
        <v>132</v>
      </c>
      <c r="I591" s="1" t="s">
        <v>12053</v>
      </c>
      <c r="J591" s="1" t="s">
        <v>132</v>
      </c>
      <c r="K591" s="1" t="s">
        <v>12054</v>
      </c>
      <c r="L591" s="1" t="s">
        <v>132</v>
      </c>
      <c r="M591" s="1" t="s">
        <v>12055</v>
      </c>
      <c r="N591" s="1" t="s">
        <v>12056</v>
      </c>
      <c r="O591" s="1" t="s">
        <v>132</v>
      </c>
      <c r="P591" s="1" t="s">
        <v>12057</v>
      </c>
      <c r="Q591" s="1" t="s">
        <v>12058</v>
      </c>
      <c r="R591" s="1" t="s">
        <v>132</v>
      </c>
      <c r="S591" s="1" t="s">
        <v>12059</v>
      </c>
      <c r="T591" s="1" t="s">
        <v>132</v>
      </c>
      <c r="U591" s="1" t="s">
        <v>12060</v>
      </c>
      <c r="V591" s="1" t="s">
        <v>12061</v>
      </c>
      <c r="W591" s="1" t="s">
        <v>132</v>
      </c>
      <c r="X591" s="1" t="s">
        <v>12062</v>
      </c>
      <c r="Y591" s="1" t="s">
        <v>132</v>
      </c>
      <c r="Z591" s="1" t="s">
        <v>12063</v>
      </c>
      <c r="AA591" s="1" t="s">
        <v>12064</v>
      </c>
      <c r="AB591" s="1" t="s">
        <v>132</v>
      </c>
      <c r="AC591" s="1" t="s">
        <v>12065</v>
      </c>
      <c r="AD591" s="1" t="s">
        <v>12066</v>
      </c>
      <c r="AE591" s="1" t="s">
        <v>132</v>
      </c>
      <c r="AF591" s="1" t="s">
        <v>12067</v>
      </c>
      <c r="AG591" s="1" t="s">
        <v>12068</v>
      </c>
      <c r="AH591" s="1" t="s">
        <v>132</v>
      </c>
      <c r="AI591" s="1" t="s">
        <v>132</v>
      </c>
      <c r="AJ591" s="1" t="s">
        <v>12069</v>
      </c>
      <c r="AK591" s="1" t="s">
        <v>12070</v>
      </c>
      <c r="AL591" s="1" t="s">
        <v>132</v>
      </c>
      <c r="AM591" s="1" t="s">
        <v>12071</v>
      </c>
      <c r="AN591" s="1" t="s">
        <v>12071</v>
      </c>
    </row>
    <row r="592" ht="15.75" customHeight="1">
      <c r="A592" s="1" t="s">
        <v>127</v>
      </c>
      <c r="B592" s="1" t="s">
        <v>12072</v>
      </c>
      <c r="C592" s="1" t="s">
        <v>12073</v>
      </c>
      <c r="D592" s="1" t="s">
        <v>12073</v>
      </c>
      <c r="E592" s="1" t="s">
        <v>12073</v>
      </c>
      <c r="F592" s="1" t="s">
        <v>132</v>
      </c>
      <c r="G592" s="1" t="s">
        <v>12073</v>
      </c>
      <c r="H592" s="1" t="s">
        <v>12073</v>
      </c>
      <c r="I592" s="1" t="s">
        <v>12073</v>
      </c>
      <c r="J592" s="1" t="s">
        <v>12073</v>
      </c>
      <c r="K592" s="1" t="s">
        <v>12073</v>
      </c>
      <c r="L592" s="1" t="s">
        <v>12073</v>
      </c>
      <c r="M592" s="1" t="s">
        <v>12073</v>
      </c>
      <c r="N592" s="1" t="s">
        <v>132</v>
      </c>
      <c r="O592" s="1" t="s">
        <v>12074</v>
      </c>
      <c r="P592" s="1" t="s">
        <v>12073</v>
      </c>
      <c r="Q592" s="1" t="s">
        <v>132</v>
      </c>
      <c r="R592" s="1" t="s">
        <v>12073</v>
      </c>
      <c r="S592" s="1" t="s">
        <v>12073</v>
      </c>
      <c r="T592" s="1" t="s">
        <v>12073</v>
      </c>
      <c r="U592" s="1" t="s">
        <v>12073</v>
      </c>
      <c r="V592" s="1" t="s">
        <v>12073</v>
      </c>
      <c r="W592" s="1" t="s">
        <v>12073</v>
      </c>
      <c r="X592" s="1" t="s">
        <v>12073</v>
      </c>
      <c r="Y592" s="1" t="s">
        <v>12073</v>
      </c>
      <c r="Z592" s="1" t="s">
        <v>12073</v>
      </c>
      <c r="AA592" s="1" t="s">
        <v>12073</v>
      </c>
      <c r="AB592" s="1" t="s">
        <v>12073</v>
      </c>
      <c r="AC592" s="1" t="s">
        <v>12075</v>
      </c>
      <c r="AD592" s="1" t="s">
        <v>12073</v>
      </c>
      <c r="AE592" s="1" t="s">
        <v>12073</v>
      </c>
      <c r="AF592" s="1" t="s">
        <v>12073</v>
      </c>
      <c r="AG592" s="1" t="s">
        <v>12073</v>
      </c>
      <c r="AH592" s="1" t="s">
        <v>12073</v>
      </c>
      <c r="AI592" s="1" t="s">
        <v>12073</v>
      </c>
      <c r="AJ592" s="1" t="s">
        <v>132</v>
      </c>
      <c r="AK592" s="1" t="s">
        <v>12073</v>
      </c>
      <c r="AL592" s="1" t="s">
        <v>12076</v>
      </c>
      <c r="AM592" s="1" t="s">
        <v>12077</v>
      </c>
      <c r="AN592" s="1" t="s">
        <v>12077</v>
      </c>
    </row>
    <row r="593" ht="15.75" customHeight="1">
      <c r="A593" s="1" t="s">
        <v>38</v>
      </c>
      <c r="B593" s="1" t="s">
        <v>12078</v>
      </c>
      <c r="C593" s="1" t="s">
        <v>12079</v>
      </c>
      <c r="D593" s="8" t="s">
        <v>12080</v>
      </c>
      <c r="E593" s="1" t="s">
        <v>12081</v>
      </c>
      <c r="F593" s="1" t="s">
        <v>12082</v>
      </c>
      <c r="G593" s="1" t="s">
        <v>132</v>
      </c>
      <c r="H593" s="1" t="s">
        <v>132</v>
      </c>
      <c r="I593" s="1" t="s">
        <v>12083</v>
      </c>
      <c r="J593" s="1" t="s">
        <v>132</v>
      </c>
      <c r="K593" s="1" t="s">
        <v>12084</v>
      </c>
      <c r="L593" s="1" t="s">
        <v>132</v>
      </c>
      <c r="M593" s="1" t="s">
        <v>12085</v>
      </c>
      <c r="N593" s="1" t="s">
        <v>12086</v>
      </c>
      <c r="O593" s="1" t="s">
        <v>132</v>
      </c>
      <c r="P593" s="1" t="s">
        <v>12087</v>
      </c>
      <c r="Q593" s="1" t="s">
        <v>12088</v>
      </c>
      <c r="R593" s="1" t="s">
        <v>132</v>
      </c>
      <c r="S593" s="1" t="s">
        <v>12089</v>
      </c>
      <c r="T593" s="1" t="s">
        <v>132</v>
      </c>
      <c r="U593" s="1" t="s">
        <v>12090</v>
      </c>
      <c r="V593" s="1" t="s">
        <v>12091</v>
      </c>
      <c r="W593" s="1" t="s">
        <v>132</v>
      </c>
      <c r="X593" s="1" t="s">
        <v>12092</v>
      </c>
      <c r="Y593" s="1" t="s">
        <v>132</v>
      </c>
      <c r="Z593" s="1" t="s">
        <v>12093</v>
      </c>
      <c r="AA593" s="1" t="s">
        <v>12094</v>
      </c>
      <c r="AB593" s="1" t="s">
        <v>132</v>
      </c>
      <c r="AC593" s="1" t="s">
        <v>12095</v>
      </c>
      <c r="AD593" s="1" t="s">
        <v>12096</v>
      </c>
      <c r="AE593" s="1" t="s">
        <v>132</v>
      </c>
      <c r="AF593" s="1" t="s">
        <v>12097</v>
      </c>
      <c r="AG593" s="1" t="s">
        <v>12098</v>
      </c>
      <c r="AH593" s="1" t="s">
        <v>132</v>
      </c>
      <c r="AI593" s="1" t="s">
        <v>132</v>
      </c>
      <c r="AJ593" s="1" t="s">
        <v>12099</v>
      </c>
      <c r="AK593" s="1" t="s">
        <v>12100</v>
      </c>
      <c r="AL593" s="1" t="s">
        <v>132</v>
      </c>
      <c r="AM593" s="1" t="s">
        <v>12101</v>
      </c>
      <c r="AN593" s="1" t="s">
        <v>12101</v>
      </c>
    </row>
    <row r="594" ht="15.75" customHeight="1">
      <c r="A594" s="1" t="s">
        <v>38</v>
      </c>
      <c r="B594" s="1" t="s">
        <v>12102</v>
      </c>
      <c r="C594" s="1" t="s">
        <v>12103</v>
      </c>
      <c r="D594" s="8" t="s">
        <v>12104</v>
      </c>
      <c r="E594" s="1" t="s">
        <v>12105</v>
      </c>
      <c r="F594" s="1" t="s">
        <v>12106</v>
      </c>
      <c r="G594" s="1" t="s">
        <v>132</v>
      </c>
      <c r="H594" s="1" t="s">
        <v>132</v>
      </c>
      <c r="I594" s="1" t="s">
        <v>12107</v>
      </c>
      <c r="J594" s="1" t="s">
        <v>132</v>
      </c>
      <c r="K594" s="1" t="s">
        <v>12108</v>
      </c>
      <c r="L594" s="1" t="s">
        <v>132</v>
      </c>
      <c r="M594" s="1" t="s">
        <v>12109</v>
      </c>
      <c r="N594" s="1" t="s">
        <v>12110</v>
      </c>
      <c r="O594" s="1" t="s">
        <v>132</v>
      </c>
      <c r="P594" s="1" t="s">
        <v>12111</v>
      </c>
      <c r="Q594" s="1" t="s">
        <v>12112</v>
      </c>
      <c r="R594" s="1" t="s">
        <v>132</v>
      </c>
      <c r="S594" s="1" t="s">
        <v>12113</v>
      </c>
      <c r="T594" s="1" t="s">
        <v>132</v>
      </c>
      <c r="U594" s="1" t="s">
        <v>12114</v>
      </c>
      <c r="V594" s="1" t="s">
        <v>12115</v>
      </c>
      <c r="W594" s="1" t="s">
        <v>132</v>
      </c>
      <c r="X594" s="1" t="s">
        <v>12116</v>
      </c>
      <c r="Y594" s="1" t="s">
        <v>132</v>
      </c>
      <c r="Z594" s="1" t="s">
        <v>12117</v>
      </c>
      <c r="AA594" s="1" t="s">
        <v>12118</v>
      </c>
      <c r="AB594" s="1" t="s">
        <v>132</v>
      </c>
      <c r="AC594" s="1" t="s">
        <v>12119</v>
      </c>
      <c r="AD594" s="1" t="s">
        <v>12120</v>
      </c>
      <c r="AE594" s="1" t="s">
        <v>132</v>
      </c>
      <c r="AF594" s="1" t="s">
        <v>12121</v>
      </c>
      <c r="AG594" s="1" t="s">
        <v>12122</v>
      </c>
      <c r="AH594" s="1" t="s">
        <v>132</v>
      </c>
      <c r="AI594" s="1" t="s">
        <v>132</v>
      </c>
      <c r="AJ594" s="1" t="s">
        <v>12123</v>
      </c>
      <c r="AK594" s="1" t="s">
        <v>12124</v>
      </c>
      <c r="AL594" s="1" t="s">
        <v>132</v>
      </c>
      <c r="AM594" s="1" t="s">
        <v>12125</v>
      </c>
      <c r="AN594" s="1" t="s">
        <v>12125</v>
      </c>
    </row>
    <row r="595" ht="15.75" customHeight="1">
      <c r="A595" s="1" t="s">
        <v>38</v>
      </c>
      <c r="B595" s="1" t="s">
        <v>12126</v>
      </c>
      <c r="C595" s="1" t="s">
        <v>12127</v>
      </c>
      <c r="D595" s="8" t="s">
        <v>12128</v>
      </c>
      <c r="E595" s="1" t="s">
        <v>12129</v>
      </c>
      <c r="F595" s="1" t="s">
        <v>12130</v>
      </c>
      <c r="G595" s="1" t="s">
        <v>132</v>
      </c>
      <c r="H595" s="1" t="s">
        <v>132</v>
      </c>
      <c r="I595" s="1" t="s">
        <v>12131</v>
      </c>
      <c r="J595" s="1" t="s">
        <v>132</v>
      </c>
      <c r="K595" s="1" t="s">
        <v>12132</v>
      </c>
      <c r="L595" s="1" t="s">
        <v>132</v>
      </c>
      <c r="M595" s="1" t="s">
        <v>12133</v>
      </c>
      <c r="N595" s="1" t="s">
        <v>12134</v>
      </c>
      <c r="O595" s="1" t="s">
        <v>132</v>
      </c>
      <c r="P595" s="1" t="s">
        <v>12135</v>
      </c>
      <c r="Q595" s="1" t="s">
        <v>12136</v>
      </c>
      <c r="R595" s="1" t="s">
        <v>132</v>
      </c>
      <c r="S595" s="1" t="s">
        <v>12137</v>
      </c>
      <c r="T595" s="1" t="s">
        <v>132</v>
      </c>
      <c r="U595" s="1" t="s">
        <v>12138</v>
      </c>
      <c r="V595" s="1" t="s">
        <v>12139</v>
      </c>
      <c r="W595" s="1" t="s">
        <v>132</v>
      </c>
      <c r="X595" s="1" t="s">
        <v>12140</v>
      </c>
      <c r="Y595" s="1" t="s">
        <v>132</v>
      </c>
      <c r="Z595" s="1" t="s">
        <v>12141</v>
      </c>
      <c r="AA595" s="1" t="s">
        <v>12134</v>
      </c>
      <c r="AB595" s="1" t="s">
        <v>132</v>
      </c>
      <c r="AC595" s="1" t="s">
        <v>12142</v>
      </c>
      <c r="AD595" s="1" t="s">
        <v>12143</v>
      </c>
      <c r="AE595" s="1" t="s">
        <v>132</v>
      </c>
      <c r="AF595" s="1" t="s">
        <v>12144</v>
      </c>
      <c r="AG595" s="1" t="s">
        <v>12145</v>
      </c>
      <c r="AH595" s="1" t="s">
        <v>132</v>
      </c>
      <c r="AI595" s="1" t="s">
        <v>132</v>
      </c>
      <c r="AJ595" s="1" t="s">
        <v>12142</v>
      </c>
      <c r="AK595" s="1" t="s">
        <v>12146</v>
      </c>
      <c r="AL595" s="1" t="s">
        <v>132</v>
      </c>
      <c r="AM595" s="1" t="s">
        <v>12147</v>
      </c>
      <c r="AN595" s="1" t="s">
        <v>12147</v>
      </c>
    </row>
    <row r="596" ht="15.75" customHeight="1">
      <c r="A596" s="1" t="s">
        <v>4051</v>
      </c>
      <c r="B596" s="1" t="s">
        <v>12148</v>
      </c>
      <c r="C596" s="1" t="s">
        <v>12149</v>
      </c>
      <c r="D596" s="8" t="s">
        <v>12150</v>
      </c>
      <c r="E596" s="1" t="s">
        <v>12151</v>
      </c>
      <c r="F596" s="1" t="s">
        <v>132</v>
      </c>
      <c r="G596" s="1" t="s">
        <v>12152</v>
      </c>
      <c r="H596" s="1" t="s">
        <v>12153</v>
      </c>
      <c r="I596" s="1" t="s">
        <v>132</v>
      </c>
      <c r="J596" s="1" t="s">
        <v>12154</v>
      </c>
      <c r="K596" s="1" t="s">
        <v>12155</v>
      </c>
      <c r="L596" s="1" t="s">
        <v>12156</v>
      </c>
      <c r="M596" s="1" t="s">
        <v>12157</v>
      </c>
      <c r="N596" s="1" t="s">
        <v>132</v>
      </c>
      <c r="O596" s="1" t="s">
        <v>12158</v>
      </c>
      <c r="P596" s="1" t="s">
        <v>12159</v>
      </c>
      <c r="Q596" s="1" t="s">
        <v>132</v>
      </c>
      <c r="R596" s="1" t="s">
        <v>12160</v>
      </c>
      <c r="S596" s="1" t="s">
        <v>12161</v>
      </c>
      <c r="T596" s="8" t="s">
        <v>12162</v>
      </c>
      <c r="U596" s="1" t="s">
        <v>12163</v>
      </c>
      <c r="V596" s="1" t="s">
        <v>12164</v>
      </c>
      <c r="W596" s="1" t="s">
        <v>12165</v>
      </c>
      <c r="X596" s="1" t="s">
        <v>12166</v>
      </c>
      <c r="Y596" s="1" t="s">
        <v>12167</v>
      </c>
      <c r="Z596" s="11" t="s">
        <v>12168</v>
      </c>
      <c r="AA596" s="1" t="s">
        <v>12169</v>
      </c>
      <c r="AB596" s="1" t="s">
        <v>12153</v>
      </c>
      <c r="AC596" s="1" t="s">
        <v>132</v>
      </c>
      <c r="AD596" s="1" t="s">
        <v>12170</v>
      </c>
      <c r="AE596" s="1" t="s">
        <v>12171</v>
      </c>
      <c r="AF596" s="1" t="s">
        <v>132</v>
      </c>
      <c r="AG596" s="1" t="s">
        <v>12172</v>
      </c>
      <c r="AH596" s="1" t="s">
        <v>12173</v>
      </c>
      <c r="AI596" s="1" t="s">
        <v>12174</v>
      </c>
      <c r="AJ596" s="1" t="s">
        <v>132</v>
      </c>
      <c r="AK596" s="1" t="s">
        <v>12175</v>
      </c>
      <c r="AL596" s="14" t="s">
        <v>12163</v>
      </c>
      <c r="AM596" s="1" t="s">
        <v>132</v>
      </c>
      <c r="AN596" s="1" t="s">
        <v>132</v>
      </c>
    </row>
    <row r="597" ht="15.75" customHeight="1">
      <c r="A597" s="1" t="s">
        <v>127</v>
      </c>
      <c r="B597" s="1" t="s">
        <v>12176</v>
      </c>
      <c r="C597" s="1" t="s">
        <v>12177</v>
      </c>
      <c r="D597" s="8" t="s">
        <v>1089</v>
      </c>
      <c r="E597" s="1" t="s">
        <v>12177</v>
      </c>
      <c r="F597" s="1" t="s">
        <v>132</v>
      </c>
      <c r="G597" s="1" t="s">
        <v>12177</v>
      </c>
      <c r="H597" s="1" t="s">
        <v>12177</v>
      </c>
      <c r="I597" s="1" t="s">
        <v>12178</v>
      </c>
      <c r="J597" s="1" t="s">
        <v>12177</v>
      </c>
      <c r="K597" s="1" t="s">
        <v>12177</v>
      </c>
      <c r="L597" s="1" t="s">
        <v>12177</v>
      </c>
      <c r="M597" s="1" t="s">
        <v>12179</v>
      </c>
      <c r="N597" s="1" t="s">
        <v>132</v>
      </c>
      <c r="O597" s="1" t="s">
        <v>12180</v>
      </c>
      <c r="P597" s="1" t="s">
        <v>12181</v>
      </c>
      <c r="Q597" s="1" t="s">
        <v>132</v>
      </c>
      <c r="R597" s="1" t="s">
        <v>12182</v>
      </c>
      <c r="S597" s="1" t="s">
        <v>12177</v>
      </c>
      <c r="T597" s="8" t="s">
        <v>1102</v>
      </c>
      <c r="U597" s="1" t="s">
        <v>12177</v>
      </c>
      <c r="V597" s="1" t="s">
        <v>1104</v>
      </c>
      <c r="W597" s="1" t="s">
        <v>12182</v>
      </c>
      <c r="X597" s="1" t="s">
        <v>12177</v>
      </c>
      <c r="Y597" s="1" t="s">
        <v>12177</v>
      </c>
      <c r="Z597" s="1" t="s">
        <v>12177</v>
      </c>
      <c r="AA597" s="1" t="s">
        <v>1106</v>
      </c>
      <c r="AB597" s="1" t="s">
        <v>12177</v>
      </c>
      <c r="AC597" s="1" t="s">
        <v>12183</v>
      </c>
      <c r="AD597" s="1" t="s">
        <v>12177</v>
      </c>
      <c r="AE597" s="1" t="s">
        <v>12177</v>
      </c>
      <c r="AF597" s="1" t="s">
        <v>12177</v>
      </c>
      <c r="AG597" s="1" t="s">
        <v>12177</v>
      </c>
      <c r="AH597" s="1" t="s">
        <v>1111</v>
      </c>
      <c r="AI597" s="1" t="s">
        <v>1112</v>
      </c>
      <c r="AJ597" s="1" t="s">
        <v>132</v>
      </c>
      <c r="AK597" s="1" t="s">
        <v>12184</v>
      </c>
      <c r="AL597" s="1" t="s">
        <v>1114</v>
      </c>
      <c r="AM597" s="1" t="s">
        <v>1115</v>
      </c>
      <c r="AN597" s="1" t="s">
        <v>1115</v>
      </c>
    </row>
    <row r="598" ht="15.75" customHeight="1">
      <c r="A598" s="1" t="s">
        <v>127</v>
      </c>
      <c r="B598" s="1" t="s">
        <v>12185</v>
      </c>
      <c r="C598" s="1" t="s">
        <v>12186</v>
      </c>
      <c r="D598" s="8" t="s">
        <v>12187</v>
      </c>
      <c r="E598" s="1" t="s">
        <v>12188</v>
      </c>
      <c r="F598" s="1" t="s">
        <v>132</v>
      </c>
      <c r="G598" s="1" t="s">
        <v>12189</v>
      </c>
      <c r="H598" s="1" t="s">
        <v>12190</v>
      </c>
      <c r="I598" s="1" t="s">
        <v>12191</v>
      </c>
      <c r="J598" s="1" t="s">
        <v>12192</v>
      </c>
      <c r="K598" s="1" t="s">
        <v>12193</v>
      </c>
      <c r="L598" s="1" t="s">
        <v>12194</v>
      </c>
      <c r="M598" s="1" t="s">
        <v>12186</v>
      </c>
      <c r="N598" s="1" t="s">
        <v>132</v>
      </c>
      <c r="O598" s="1" t="s">
        <v>12195</v>
      </c>
      <c r="P598" s="1" t="s">
        <v>12196</v>
      </c>
      <c r="Q598" s="1" t="s">
        <v>132</v>
      </c>
      <c r="R598" s="1" t="s">
        <v>12197</v>
      </c>
      <c r="S598" s="1" t="s">
        <v>12198</v>
      </c>
      <c r="T598" s="8" t="s">
        <v>12199</v>
      </c>
      <c r="U598" s="1" t="s">
        <v>12200</v>
      </c>
      <c r="V598" s="1" t="s">
        <v>12201</v>
      </c>
      <c r="W598" s="1" t="s">
        <v>12202</v>
      </c>
      <c r="X598" s="1" t="s">
        <v>12203</v>
      </c>
      <c r="Y598" s="1" t="s">
        <v>12204</v>
      </c>
      <c r="Z598" s="1" t="s">
        <v>12205</v>
      </c>
      <c r="AA598" s="1" t="s">
        <v>12206</v>
      </c>
      <c r="AB598" s="1" t="s">
        <v>12207</v>
      </c>
      <c r="AC598" s="1" t="s">
        <v>12208</v>
      </c>
      <c r="AD598" s="1" t="s">
        <v>12189</v>
      </c>
      <c r="AE598" s="1" t="s">
        <v>12209</v>
      </c>
      <c r="AF598" s="1" t="s">
        <v>12210</v>
      </c>
      <c r="AG598" s="1" t="s">
        <v>12211</v>
      </c>
      <c r="AH598" s="1" t="s">
        <v>12212</v>
      </c>
      <c r="AI598" s="1" t="s">
        <v>12213</v>
      </c>
      <c r="AJ598" s="1" t="s">
        <v>132</v>
      </c>
      <c r="AK598" s="1" t="s">
        <v>12214</v>
      </c>
      <c r="AL598" s="1" t="s">
        <v>12215</v>
      </c>
      <c r="AM598" s="1" t="s">
        <v>12216</v>
      </c>
      <c r="AN598" s="1" t="s">
        <v>12216</v>
      </c>
    </row>
    <row r="599" ht="15.75" customHeight="1">
      <c r="A599" s="1" t="s">
        <v>127</v>
      </c>
      <c r="B599" s="1" t="s">
        <v>12217</v>
      </c>
      <c r="C599" s="1" t="s">
        <v>12218</v>
      </c>
      <c r="D599" s="8" t="s">
        <v>12219</v>
      </c>
      <c r="E599" s="1" t="s">
        <v>12220</v>
      </c>
      <c r="F599" s="1" t="s">
        <v>132</v>
      </c>
      <c r="G599" s="1" t="s">
        <v>12221</v>
      </c>
      <c r="H599" s="1" t="s">
        <v>12222</v>
      </c>
      <c r="I599" s="1" t="s">
        <v>12218</v>
      </c>
      <c r="J599" s="1" t="s">
        <v>12223</v>
      </c>
      <c r="K599" s="1" t="s">
        <v>12224</v>
      </c>
      <c r="L599" s="1" t="s">
        <v>12225</v>
      </c>
      <c r="M599" s="1" t="s">
        <v>12226</v>
      </c>
      <c r="N599" s="1" t="s">
        <v>132</v>
      </c>
      <c r="O599" s="1" t="s">
        <v>12227</v>
      </c>
      <c r="P599" s="1" t="s">
        <v>12228</v>
      </c>
      <c r="Q599" s="1" t="s">
        <v>132</v>
      </c>
      <c r="R599" s="1" t="s">
        <v>4875</v>
      </c>
      <c r="S599" s="1" t="s">
        <v>12229</v>
      </c>
      <c r="T599" s="8" t="s">
        <v>12230</v>
      </c>
      <c r="U599" s="1" t="s">
        <v>12231</v>
      </c>
      <c r="V599" s="1" t="s">
        <v>12232</v>
      </c>
      <c r="W599" s="1" t="s">
        <v>12233</v>
      </c>
      <c r="X599" s="1" t="s">
        <v>12234</v>
      </c>
      <c r="Y599" s="1" t="s">
        <v>12222</v>
      </c>
      <c r="Z599" s="1" t="s">
        <v>12235</v>
      </c>
      <c r="AA599" s="1" t="s">
        <v>12224</v>
      </c>
      <c r="AB599" s="1" t="s">
        <v>12236</v>
      </c>
      <c r="AC599" s="1" t="s">
        <v>12220</v>
      </c>
      <c r="AD599" s="1" t="s">
        <v>12221</v>
      </c>
      <c r="AE599" s="1" t="s">
        <v>12237</v>
      </c>
      <c r="AF599" s="1" t="s">
        <v>12237</v>
      </c>
      <c r="AG599" s="1" t="s">
        <v>4874</v>
      </c>
      <c r="AH599" s="1" t="s">
        <v>12238</v>
      </c>
      <c r="AI599" s="1" t="s">
        <v>12239</v>
      </c>
      <c r="AJ599" s="1" t="s">
        <v>132</v>
      </c>
      <c r="AK599" s="1" t="s">
        <v>12240</v>
      </c>
      <c r="AL599" s="1" t="s">
        <v>4887</v>
      </c>
      <c r="AM599" s="1" t="s">
        <v>12241</v>
      </c>
      <c r="AN599" s="1" t="s">
        <v>12241</v>
      </c>
    </row>
    <row r="600" ht="15.75" customHeight="1">
      <c r="A600" s="1" t="s">
        <v>38</v>
      </c>
      <c r="B600" s="1" t="s">
        <v>12242</v>
      </c>
      <c r="C600" s="1" t="s">
        <v>12243</v>
      </c>
      <c r="D600" s="1" t="s">
        <v>132</v>
      </c>
      <c r="E600" s="1" t="s">
        <v>132</v>
      </c>
      <c r="F600" s="1" t="s">
        <v>132</v>
      </c>
      <c r="G600" s="1" t="s">
        <v>132</v>
      </c>
      <c r="H600" s="1" t="s">
        <v>132</v>
      </c>
      <c r="I600" s="1" t="s">
        <v>12243</v>
      </c>
      <c r="J600" s="1" t="s">
        <v>132</v>
      </c>
      <c r="K600" s="1" t="s">
        <v>12243</v>
      </c>
      <c r="L600" s="1" t="s">
        <v>132</v>
      </c>
      <c r="M600" s="1" t="s">
        <v>12243</v>
      </c>
      <c r="N600" s="1" t="s">
        <v>132</v>
      </c>
      <c r="O600" s="1" t="s">
        <v>132</v>
      </c>
      <c r="P600" s="1" t="s">
        <v>12243</v>
      </c>
      <c r="Q600" s="1" t="s">
        <v>132</v>
      </c>
      <c r="R600" s="1" t="s">
        <v>132</v>
      </c>
      <c r="S600" s="1" t="s">
        <v>132</v>
      </c>
      <c r="T600" s="1" t="s">
        <v>132</v>
      </c>
      <c r="U600" s="1" t="s">
        <v>132</v>
      </c>
      <c r="V600" s="1" t="s">
        <v>132</v>
      </c>
      <c r="W600" s="1" t="s">
        <v>132</v>
      </c>
      <c r="X600" s="1" t="s">
        <v>132</v>
      </c>
      <c r="Y600" s="1" t="s">
        <v>132</v>
      </c>
      <c r="Z600" s="1" t="s">
        <v>132</v>
      </c>
      <c r="AA600" s="1" t="s">
        <v>132</v>
      </c>
      <c r="AB600" s="1" t="s">
        <v>132</v>
      </c>
      <c r="AC600" s="1" t="s">
        <v>12244</v>
      </c>
      <c r="AD600" s="1" t="s">
        <v>132</v>
      </c>
      <c r="AE600" s="1" t="s">
        <v>132</v>
      </c>
      <c r="AF600" s="1" t="s">
        <v>12243</v>
      </c>
      <c r="AG600" s="1" t="s">
        <v>132</v>
      </c>
      <c r="AH600" s="1" t="s">
        <v>132</v>
      </c>
      <c r="AI600" s="1" t="s">
        <v>132</v>
      </c>
      <c r="AJ600" s="1" t="s">
        <v>132</v>
      </c>
      <c r="AK600" s="1" t="s">
        <v>132</v>
      </c>
      <c r="AL600" s="1" t="s">
        <v>132</v>
      </c>
      <c r="AM600" s="1" t="s">
        <v>132</v>
      </c>
      <c r="AN600" s="1" t="s">
        <v>132</v>
      </c>
    </row>
    <row r="601" ht="15.75" customHeight="1">
      <c r="A601" s="1" t="s">
        <v>38</v>
      </c>
      <c r="B601" s="1" t="s">
        <v>12245</v>
      </c>
      <c r="C601" s="1" t="s">
        <v>12246</v>
      </c>
      <c r="D601" s="8" t="s">
        <v>12247</v>
      </c>
      <c r="E601" s="1" t="s">
        <v>12248</v>
      </c>
      <c r="F601" s="1" t="s">
        <v>12249</v>
      </c>
      <c r="G601" s="1" t="s">
        <v>132</v>
      </c>
      <c r="H601" s="1" t="s">
        <v>132</v>
      </c>
      <c r="I601" s="1" t="s">
        <v>12250</v>
      </c>
      <c r="J601" s="1" t="s">
        <v>132</v>
      </c>
      <c r="K601" s="1" t="s">
        <v>12251</v>
      </c>
      <c r="L601" s="1" t="s">
        <v>132</v>
      </c>
      <c r="M601" s="1" t="s">
        <v>12252</v>
      </c>
      <c r="N601" s="1" t="s">
        <v>12253</v>
      </c>
      <c r="O601" s="1" t="s">
        <v>132</v>
      </c>
      <c r="P601" s="1" t="s">
        <v>12254</v>
      </c>
      <c r="Q601" s="1" t="s">
        <v>12255</v>
      </c>
      <c r="R601" s="1" t="s">
        <v>132</v>
      </c>
      <c r="S601" s="1" t="s">
        <v>12256</v>
      </c>
      <c r="T601" s="1" t="s">
        <v>132</v>
      </c>
      <c r="U601" s="1" t="s">
        <v>12257</v>
      </c>
      <c r="V601" s="1" t="s">
        <v>12258</v>
      </c>
      <c r="W601" s="1" t="s">
        <v>132</v>
      </c>
      <c r="X601" s="1" t="s">
        <v>12259</v>
      </c>
      <c r="Y601" s="1" t="s">
        <v>132</v>
      </c>
      <c r="Z601" s="1" t="s">
        <v>12260</v>
      </c>
      <c r="AA601" s="1" t="s">
        <v>12261</v>
      </c>
      <c r="AB601" s="1" t="s">
        <v>132</v>
      </c>
      <c r="AC601" s="1" t="s">
        <v>12262</v>
      </c>
      <c r="AD601" s="1" t="s">
        <v>12263</v>
      </c>
      <c r="AE601" s="1" t="s">
        <v>132</v>
      </c>
      <c r="AF601" s="1" t="s">
        <v>12264</v>
      </c>
      <c r="AG601" s="1" t="s">
        <v>12265</v>
      </c>
      <c r="AH601" s="1" t="s">
        <v>132</v>
      </c>
      <c r="AI601" s="1" t="s">
        <v>132</v>
      </c>
      <c r="AJ601" s="1" t="s">
        <v>12266</v>
      </c>
      <c r="AK601" s="1" t="s">
        <v>12267</v>
      </c>
      <c r="AL601" s="1" t="s">
        <v>132</v>
      </c>
      <c r="AM601" s="1" t="s">
        <v>12268</v>
      </c>
      <c r="AN601" s="1" t="s">
        <v>12268</v>
      </c>
    </row>
    <row r="602" ht="15.75" customHeight="1">
      <c r="A602" s="1" t="s">
        <v>38</v>
      </c>
      <c r="B602" s="1" t="s">
        <v>12269</v>
      </c>
      <c r="C602" s="1" t="s">
        <v>12270</v>
      </c>
      <c r="D602" s="1" t="s">
        <v>132</v>
      </c>
      <c r="E602" s="1" t="s">
        <v>12271</v>
      </c>
      <c r="F602" s="1" t="s">
        <v>12272</v>
      </c>
      <c r="G602" s="1" t="s">
        <v>132</v>
      </c>
      <c r="H602" s="1" t="s">
        <v>132</v>
      </c>
      <c r="I602" s="1" t="s">
        <v>12273</v>
      </c>
      <c r="J602" s="1" t="s">
        <v>132</v>
      </c>
      <c r="K602" s="1" t="s">
        <v>12274</v>
      </c>
      <c r="L602" s="1" t="s">
        <v>132</v>
      </c>
      <c r="M602" s="1" t="s">
        <v>132</v>
      </c>
      <c r="N602" s="1" t="s">
        <v>12275</v>
      </c>
      <c r="O602" s="1" t="s">
        <v>132</v>
      </c>
      <c r="P602" s="1" t="s">
        <v>12276</v>
      </c>
      <c r="Q602" s="1" t="s">
        <v>132</v>
      </c>
      <c r="R602" s="1" t="s">
        <v>132</v>
      </c>
      <c r="S602" s="1" t="s">
        <v>12277</v>
      </c>
      <c r="T602" s="1" t="s">
        <v>132</v>
      </c>
      <c r="U602" s="1" t="s">
        <v>132</v>
      </c>
      <c r="V602" s="1" t="s">
        <v>132</v>
      </c>
      <c r="W602" s="1" t="s">
        <v>132</v>
      </c>
      <c r="X602" s="1" t="s">
        <v>12278</v>
      </c>
      <c r="Y602" s="1" t="s">
        <v>132</v>
      </c>
      <c r="Z602" s="1" t="s">
        <v>12279</v>
      </c>
      <c r="AA602" s="1" t="s">
        <v>132</v>
      </c>
      <c r="AB602" s="1" t="s">
        <v>132</v>
      </c>
      <c r="AC602" s="1" t="s">
        <v>132</v>
      </c>
      <c r="AD602" s="1" t="s">
        <v>132</v>
      </c>
      <c r="AE602" s="1" t="s">
        <v>132</v>
      </c>
      <c r="AF602" s="1" t="s">
        <v>132</v>
      </c>
      <c r="AG602" s="1" t="s">
        <v>132</v>
      </c>
      <c r="AH602" s="1" t="s">
        <v>132</v>
      </c>
      <c r="AI602" s="1" t="s">
        <v>132</v>
      </c>
      <c r="AJ602" s="1" t="s">
        <v>132</v>
      </c>
      <c r="AK602" s="1" t="s">
        <v>132</v>
      </c>
      <c r="AL602" s="1" t="s">
        <v>132</v>
      </c>
      <c r="AM602" s="1" t="s">
        <v>132</v>
      </c>
      <c r="AN602" s="1" t="s">
        <v>132</v>
      </c>
    </row>
    <row r="603" ht="15.75" customHeight="1">
      <c r="A603" s="1" t="s">
        <v>38</v>
      </c>
      <c r="B603" s="1" t="s">
        <v>12280</v>
      </c>
      <c r="C603" s="1" t="s">
        <v>12281</v>
      </c>
      <c r="D603" s="1" t="s">
        <v>132</v>
      </c>
      <c r="E603" s="1" t="s">
        <v>12282</v>
      </c>
      <c r="F603" s="1" t="s">
        <v>12283</v>
      </c>
      <c r="G603" s="1" t="s">
        <v>132</v>
      </c>
      <c r="H603" s="1" t="s">
        <v>132</v>
      </c>
      <c r="I603" s="1" t="s">
        <v>12284</v>
      </c>
      <c r="J603" s="1" t="s">
        <v>132</v>
      </c>
      <c r="K603" s="1" t="s">
        <v>12285</v>
      </c>
      <c r="L603" s="1" t="s">
        <v>132</v>
      </c>
      <c r="M603" s="1" t="s">
        <v>12286</v>
      </c>
      <c r="N603" s="1" t="s">
        <v>12287</v>
      </c>
      <c r="O603" s="1" t="s">
        <v>132</v>
      </c>
      <c r="P603" s="1" t="s">
        <v>12288</v>
      </c>
      <c r="Q603" s="1" t="s">
        <v>132</v>
      </c>
      <c r="R603" s="1" t="s">
        <v>132</v>
      </c>
      <c r="S603" s="1" t="s">
        <v>12289</v>
      </c>
      <c r="T603" s="1" t="s">
        <v>132</v>
      </c>
      <c r="U603" s="1" t="s">
        <v>132</v>
      </c>
      <c r="V603" s="1" t="s">
        <v>132</v>
      </c>
      <c r="W603" s="1" t="s">
        <v>132</v>
      </c>
      <c r="X603" s="1" t="s">
        <v>12290</v>
      </c>
      <c r="Y603" s="1" t="s">
        <v>132</v>
      </c>
      <c r="Z603" s="1" t="s">
        <v>12291</v>
      </c>
      <c r="AA603" s="1" t="s">
        <v>132</v>
      </c>
      <c r="AB603" s="1" t="s">
        <v>132</v>
      </c>
      <c r="AC603" s="1" t="s">
        <v>132</v>
      </c>
      <c r="AD603" s="1" t="s">
        <v>132</v>
      </c>
      <c r="AE603" s="1" t="s">
        <v>132</v>
      </c>
      <c r="AF603" s="1" t="s">
        <v>12292</v>
      </c>
      <c r="AG603" s="1" t="s">
        <v>132</v>
      </c>
      <c r="AH603" s="1" t="s">
        <v>132</v>
      </c>
      <c r="AI603" s="1" t="s">
        <v>132</v>
      </c>
      <c r="AJ603" s="1" t="s">
        <v>132</v>
      </c>
      <c r="AK603" s="1" t="s">
        <v>132</v>
      </c>
      <c r="AL603" s="1" t="s">
        <v>132</v>
      </c>
      <c r="AM603" s="1" t="s">
        <v>132</v>
      </c>
      <c r="AN603" s="1" t="s">
        <v>132</v>
      </c>
    </row>
    <row r="604" ht="15.75" customHeight="1">
      <c r="A604" s="1" t="s">
        <v>127</v>
      </c>
      <c r="B604" s="1" t="s">
        <v>12293</v>
      </c>
      <c r="C604" s="1" t="s">
        <v>12294</v>
      </c>
      <c r="D604" s="8" t="s">
        <v>12295</v>
      </c>
      <c r="E604" s="1" t="s">
        <v>12296</v>
      </c>
      <c r="F604" s="1" t="s">
        <v>132</v>
      </c>
      <c r="G604" s="1" t="s">
        <v>12297</v>
      </c>
      <c r="H604" s="1" t="s">
        <v>12298</v>
      </c>
      <c r="I604" s="1" t="s">
        <v>12299</v>
      </c>
      <c r="J604" s="1" t="s">
        <v>12300</v>
      </c>
      <c r="K604" s="1" t="s">
        <v>12301</v>
      </c>
      <c r="L604" s="1" t="s">
        <v>12302</v>
      </c>
      <c r="M604" s="1" t="s">
        <v>12303</v>
      </c>
      <c r="N604" s="1" t="s">
        <v>132</v>
      </c>
      <c r="O604" s="1" t="s">
        <v>12304</v>
      </c>
      <c r="P604" s="1" t="s">
        <v>12305</v>
      </c>
      <c r="Q604" s="1" t="s">
        <v>132</v>
      </c>
      <c r="R604" s="1" t="s">
        <v>12306</v>
      </c>
      <c r="S604" s="1" t="s">
        <v>12307</v>
      </c>
      <c r="T604" s="8" t="s">
        <v>12308</v>
      </c>
      <c r="U604" s="1" t="s">
        <v>12309</v>
      </c>
      <c r="V604" s="1" t="s">
        <v>12310</v>
      </c>
      <c r="W604" s="1" t="s">
        <v>12306</v>
      </c>
      <c r="X604" s="1" t="s">
        <v>12311</v>
      </c>
      <c r="Y604" s="1" t="s">
        <v>12312</v>
      </c>
      <c r="Z604" s="1" t="s">
        <v>12313</v>
      </c>
      <c r="AA604" s="1" t="s">
        <v>12314</v>
      </c>
      <c r="AB604" s="1" t="s">
        <v>12315</v>
      </c>
      <c r="AC604" s="1" t="s">
        <v>12316</v>
      </c>
      <c r="AD604" s="1" t="s">
        <v>12317</v>
      </c>
      <c r="AE604" s="1" t="s">
        <v>12318</v>
      </c>
      <c r="AF604" s="1" t="s">
        <v>12319</v>
      </c>
      <c r="AG604" s="1" t="s">
        <v>12320</v>
      </c>
      <c r="AH604" s="1" t="s">
        <v>12321</v>
      </c>
      <c r="AI604" s="1" t="s">
        <v>12322</v>
      </c>
      <c r="AJ604" s="1" t="s">
        <v>132</v>
      </c>
      <c r="AK604" s="1" t="s">
        <v>12323</v>
      </c>
      <c r="AL604" s="1" t="s">
        <v>12324</v>
      </c>
      <c r="AM604" s="1" t="s">
        <v>132</v>
      </c>
      <c r="AN604" s="1" t="s">
        <v>132</v>
      </c>
    </row>
    <row r="605" ht="15.75" customHeight="1">
      <c r="A605" s="1" t="s">
        <v>43182</v>
      </c>
      <c r="B605" s="1" t="s">
        <v>43233</v>
      </c>
      <c r="C605" s="1" t="s">
        <v>43234</v>
      </c>
      <c r="D605" s="1" t="s">
        <v>132</v>
      </c>
      <c r="E605" s="1" t="s">
        <v>132</v>
      </c>
      <c r="F605" s="1" t="s">
        <v>132</v>
      </c>
      <c r="G605" s="1" t="s">
        <v>132</v>
      </c>
      <c r="H605" s="1" t="s">
        <v>132</v>
      </c>
      <c r="I605" s="1" t="s">
        <v>132</v>
      </c>
      <c r="J605" s="1" t="s">
        <v>132</v>
      </c>
      <c r="K605" s="1" t="s">
        <v>132</v>
      </c>
      <c r="L605" s="1" t="s">
        <v>132</v>
      </c>
      <c r="M605" s="1" t="s">
        <v>132</v>
      </c>
      <c r="N605" s="1" t="s">
        <v>132</v>
      </c>
      <c r="O605" s="1" t="s">
        <v>132</v>
      </c>
      <c r="P605" s="1" t="s">
        <v>132</v>
      </c>
      <c r="Q605" s="1" t="s">
        <v>132</v>
      </c>
      <c r="R605" s="1" t="s">
        <v>132</v>
      </c>
      <c r="S605" s="1" t="s">
        <v>132</v>
      </c>
      <c r="T605" s="1" t="s">
        <v>132</v>
      </c>
      <c r="U605" s="1" t="s">
        <v>132</v>
      </c>
      <c r="V605" s="1" t="s">
        <v>132</v>
      </c>
      <c r="W605" s="1" t="s">
        <v>132</v>
      </c>
      <c r="X605" s="1" t="s">
        <v>132</v>
      </c>
      <c r="Y605" s="1" t="s">
        <v>132</v>
      </c>
      <c r="Z605" s="1" t="s">
        <v>132</v>
      </c>
      <c r="AA605" s="1" t="s">
        <v>132</v>
      </c>
      <c r="AB605" s="1" t="s">
        <v>132</v>
      </c>
      <c r="AC605" s="1" t="s">
        <v>132</v>
      </c>
      <c r="AD605" s="1" t="s">
        <v>132</v>
      </c>
      <c r="AE605" s="1" t="s">
        <v>132</v>
      </c>
      <c r="AF605" s="1" t="s">
        <v>132</v>
      </c>
      <c r="AG605" s="1" t="s">
        <v>132</v>
      </c>
      <c r="AH605" s="1" t="s">
        <v>132</v>
      </c>
      <c r="AI605" s="1" t="s">
        <v>132</v>
      </c>
      <c r="AJ605" s="1" t="s">
        <v>132</v>
      </c>
      <c r="AK605" s="1" t="s">
        <v>132</v>
      </c>
      <c r="AL605" s="1" t="s">
        <v>132</v>
      </c>
      <c r="AM605" s="1" t="s">
        <v>132</v>
      </c>
      <c r="AN605" s="1" t="s">
        <v>132</v>
      </c>
    </row>
    <row r="606" ht="15.75" customHeight="1">
      <c r="A606" s="1" t="s">
        <v>38</v>
      </c>
      <c r="B606" s="1" t="s">
        <v>12325</v>
      </c>
      <c r="C606" s="1" t="s">
        <v>12326</v>
      </c>
      <c r="D606" s="1" t="s">
        <v>132</v>
      </c>
      <c r="E606" s="1" t="s">
        <v>12327</v>
      </c>
      <c r="F606" s="1" t="s">
        <v>12328</v>
      </c>
      <c r="G606" s="1" t="s">
        <v>132</v>
      </c>
      <c r="H606" s="1" t="s">
        <v>132</v>
      </c>
      <c r="I606" s="1" t="s">
        <v>12329</v>
      </c>
      <c r="J606" s="1" t="s">
        <v>132</v>
      </c>
      <c r="K606" s="1" t="s">
        <v>12330</v>
      </c>
      <c r="L606" s="1" t="s">
        <v>132</v>
      </c>
      <c r="M606" s="1" t="s">
        <v>12331</v>
      </c>
      <c r="N606" s="1" t="s">
        <v>12332</v>
      </c>
      <c r="O606" s="1" t="s">
        <v>132</v>
      </c>
      <c r="P606" s="1" t="s">
        <v>12333</v>
      </c>
      <c r="Q606" s="1" t="s">
        <v>132</v>
      </c>
      <c r="R606" s="1" t="s">
        <v>132</v>
      </c>
      <c r="S606" s="1" t="s">
        <v>12334</v>
      </c>
      <c r="T606" s="1" t="s">
        <v>132</v>
      </c>
      <c r="U606" s="1" t="s">
        <v>132</v>
      </c>
      <c r="V606" s="1" t="s">
        <v>132</v>
      </c>
      <c r="W606" s="1" t="s">
        <v>132</v>
      </c>
      <c r="X606" s="1" t="s">
        <v>12335</v>
      </c>
      <c r="Y606" s="1" t="s">
        <v>132</v>
      </c>
      <c r="Z606" s="1" t="s">
        <v>12336</v>
      </c>
      <c r="AA606" s="1" t="s">
        <v>12337</v>
      </c>
      <c r="AB606" s="1" t="s">
        <v>132</v>
      </c>
      <c r="AC606" s="1" t="s">
        <v>12338</v>
      </c>
      <c r="AD606" s="1" t="s">
        <v>132</v>
      </c>
      <c r="AE606" s="1" t="s">
        <v>132</v>
      </c>
      <c r="AF606" s="1" t="s">
        <v>12339</v>
      </c>
      <c r="AG606" s="1" t="s">
        <v>132</v>
      </c>
      <c r="AH606" s="1" t="s">
        <v>132</v>
      </c>
      <c r="AI606" s="1" t="s">
        <v>132</v>
      </c>
      <c r="AJ606" s="1" t="s">
        <v>132</v>
      </c>
      <c r="AK606" s="1" t="s">
        <v>132</v>
      </c>
      <c r="AL606" s="1" t="s">
        <v>132</v>
      </c>
      <c r="AM606" s="1" t="s">
        <v>132</v>
      </c>
      <c r="AN606" s="1" t="s">
        <v>132</v>
      </c>
    </row>
    <row r="607" ht="15.75" customHeight="1">
      <c r="A607" s="1" t="s">
        <v>38</v>
      </c>
      <c r="B607" s="1" t="s">
        <v>12340</v>
      </c>
      <c r="C607" s="1" t="s">
        <v>12341</v>
      </c>
      <c r="D607" s="1" t="s">
        <v>132</v>
      </c>
      <c r="E607" s="1" t="s">
        <v>12342</v>
      </c>
      <c r="F607" s="1" t="s">
        <v>12343</v>
      </c>
      <c r="G607" s="1" t="s">
        <v>132</v>
      </c>
      <c r="H607" s="1" t="s">
        <v>132</v>
      </c>
      <c r="I607" s="1" t="s">
        <v>12344</v>
      </c>
      <c r="J607" s="1" t="s">
        <v>132</v>
      </c>
      <c r="K607" s="1" t="s">
        <v>12345</v>
      </c>
      <c r="L607" s="1" t="s">
        <v>132</v>
      </c>
      <c r="M607" s="1" t="s">
        <v>12346</v>
      </c>
      <c r="N607" s="1" t="s">
        <v>12347</v>
      </c>
      <c r="O607" s="1" t="s">
        <v>132</v>
      </c>
      <c r="P607" s="1" t="s">
        <v>12348</v>
      </c>
      <c r="Q607" s="1" t="s">
        <v>132</v>
      </c>
      <c r="R607" s="1" t="s">
        <v>132</v>
      </c>
      <c r="S607" s="1" t="s">
        <v>12349</v>
      </c>
      <c r="T607" s="1" t="s">
        <v>132</v>
      </c>
      <c r="U607" s="1" t="s">
        <v>12350</v>
      </c>
      <c r="V607" s="1" t="s">
        <v>132</v>
      </c>
      <c r="W607" s="1" t="s">
        <v>132</v>
      </c>
      <c r="X607" s="1" t="s">
        <v>12351</v>
      </c>
      <c r="Y607" s="1" t="s">
        <v>132</v>
      </c>
      <c r="Z607" s="1" t="s">
        <v>12352</v>
      </c>
      <c r="AA607" s="1" t="s">
        <v>132</v>
      </c>
      <c r="AB607" s="1" t="s">
        <v>132</v>
      </c>
      <c r="AC607" s="1" t="s">
        <v>12353</v>
      </c>
      <c r="AD607" s="1" t="s">
        <v>132</v>
      </c>
      <c r="AE607" s="1" t="s">
        <v>132</v>
      </c>
      <c r="AF607" s="1" t="s">
        <v>132</v>
      </c>
      <c r="AG607" s="1" t="s">
        <v>132</v>
      </c>
      <c r="AH607" s="1" t="s">
        <v>132</v>
      </c>
      <c r="AI607" s="1" t="s">
        <v>132</v>
      </c>
      <c r="AJ607" s="1" t="s">
        <v>12354</v>
      </c>
      <c r="AK607" s="1" t="s">
        <v>132</v>
      </c>
      <c r="AL607" s="1" t="s">
        <v>132</v>
      </c>
      <c r="AM607" s="1" t="s">
        <v>132</v>
      </c>
      <c r="AN607" s="1" t="s">
        <v>132</v>
      </c>
    </row>
    <row r="608" ht="15.75" customHeight="1">
      <c r="A608" s="1" t="s">
        <v>127</v>
      </c>
      <c r="B608" s="1" t="s">
        <v>12355</v>
      </c>
      <c r="C608" s="1" t="s">
        <v>12356</v>
      </c>
      <c r="D608" s="8" t="s">
        <v>12357</v>
      </c>
      <c r="E608" s="1" t="s">
        <v>12358</v>
      </c>
      <c r="F608" s="1" t="s">
        <v>132</v>
      </c>
      <c r="G608" s="1" t="s">
        <v>12359</v>
      </c>
      <c r="H608" s="1" t="s">
        <v>12360</v>
      </c>
      <c r="I608" s="1" t="s">
        <v>12361</v>
      </c>
      <c r="J608" s="1" t="s">
        <v>12362</v>
      </c>
      <c r="K608" s="1" t="s">
        <v>12363</v>
      </c>
      <c r="L608" s="1" t="s">
        <v>12364</v>
      </c>
      <c r="M608" s="1" t="s">
        <v>12365</v>
      </c>
      <c r="N608" s="1" t="s">
        <v>132</v>
      </c>
      <c r="O608" s="1" t="s">
        <v>12366</v>
      </c>
      <c r="P608" s="1" t="s">
        <v>12367</v>
      </c>
      <c r="Q608" s="1" t="s">
        <v>132</v>
      </c>
      <c r="R608" s="1" t="s">
        <v>12368</v>
      </c>
      <c r="S608" s="1" t="s">
        <v>12369</v>
      </c>
      <c r="T608" s="8" t="s">
        <v>12370</v>
      </c>
      <c r="U608" s="1" t="s">
        <v>12371</v>
      </c>
      <c r="V608" s="1" t="s">
        <v>12372</v>
      </c>
      <c r="W608" s="1" t="s">
        <v>12368</v>
      </c>
      <c r="X608" s="1" t="s">
        <v>12373</v>
      </c>
      <c r="Y608" s="1" t="s">
        <v>12374</v>
      </c>
      <c r="Z608" s="1" t="s">
        <v>12375</v>
      </c>
      <c r="AA608" s="1" t="s">
        <v>12376</v>
      </c>
      <c r="AB608" s="1" t="s">
        <v>12377</v>
      </c>
      <c r="AC608" s="1" t="s">
        <v>12378</v>
      </c>
      <c r="AD608" s="1" t="s">
        <v>12379</v>
      </c>
      <c r="AE608" s="1" t="s">
        <v>12380</v>
      </c>
      <c r="AF608" s="1" t="s">
        <v>12381</v>
      </c>
      <c r="AG608" s="1" t="s">
        <v>12382</v>
      </c>
      <c r="AH608" s="1" t="s">
        <v>12383</v>
      </c>
      <c r="AI608" s="1" t="s">
        <v>12384</v>
      </c>
      <c r="AJ608" s="1" t="s">
        <v>132</v>
      </c>
      <c r="AK608" s="1" t="s">
        <v>12385</v>
      </c>
      <c r="AL608" s="1" t="s">
        <v>12386</v>
      </c>
      <c r="AM608" s="1" t="s">
        <v>12387</v>
      </c>
      <c r="AN608" s="1" t="s">
        <v>12387</v>
      </c>
    </row>
    <row r="609" ht="15.75" customHeight="1">
      <c r="A609" s="1" t="s">
        <v>127</v>
      </c>
      <c r="B609" s="1" t="s">
        <v>12388</v>
      </c>
      <c r="C609" s="1" t="s">
        <v>12389</v>
      </c>
      <c r="D609" s="8" t="s">
        <v>12390</v>
      </c>
      <c r="E609" s="1" t="s">
        <v>12391</v>
      </c>
      <c r="F609" s="1" t="s">
        <v>132</v>
      </c>
      <c r="G609" s="1" t="s">
        <v>12392</v>
      </c>
      <c r="H609" s="1" t="s">
        <v>12389</v>
      </c>
      <c r="I609" s="1" t="s">
        <v>12389</v>
      </c>
      <c r="J609" s="1" t="s">
        <v>12389</v>
      </c>
      <c r="K609" s="1" t="s">
        <v>12389</v>
      </c>
      <c r="L609" s="1" t="s">
        <v>12389</v>
      </c>
      <c r="M609" s="1" t="s">
        <v>12389</v>
      </c>
      <c r="N609" s="1" t="s">
        <v>132</v>
      </c>
      <c r="O609" s="1" t="s">
        <v>12393</v>
      </c>
      <c r="P609" s="1" t="s">
        <v>12389</v>
      </c>
      <c r="Q609" s="1" t="s">
        <v>132</v>
      </c>
      <c r="R609" s="1" t="s">
        <v>12389</v>
      </c>
      <c r="S609" s="1" t="s">
        <v>12389</v>
      </c>
      <c r="T609" s="8" t="s">
        <v>12394</v>
      </c>
      <c r="U609" s="1" t="s">
        <v>12395</v>
      </c>
      <c r="V609" s="1" t="s">
        <v>12396</v>
      </c>
      <c r="W609" s="1" t="s">
        <v>12389</v>
      </c>
      <c r="X609" s="1" t="s">
        <v>12389</v>
      </c>
      <c r="Y609" s="1" t="s">
        <v>12389</v>
      </c>
      <c r="Z609" s="1" t="s">
        <v>12389</v>
      </c>
      <c r="AA609" s="1" t="s">
        <v>12389</v>
      </c>
      <c r="AB609" s="1" t="s">
        <v>12397</v>
      </c>
      <c r="AC609" s="1" t="s">
        <v>12398</v>
      </c>
      <c r="AD609" s="1" t="s">
        <v>12389</v>
      </c>
      <c r="AE609" s="1" t="s">
        <v>12389</v>
      </c>
      <c r="AF609" s="1" t="s">
        <v>12389</v>
      </c>
      <c r="AG609" s="1" t="s">
        <v>12389</v>
      </c>
      <c r="AH609" s="1" t="s">
        <v>12389</v>
      </c>
      <c r="AI609" s="1" t="s">
        <v>12399</v>
      </c>
      <c r="AJ609" s="1" t="s">
        <v>132</v>
      </c>
      <c r="AK609" s="1" t="s">
        <v>12400</v>
      </c>
      <c r="AL609" s="1" t="s">
        <v>12401</v>
      </c>
      <c r="AM609" s="1" t="s">
        <v>12402</v>
      </c>
      <c r="AN609" s="1" t="s">
        <v>12402</v>
      </c>
    </row>
    <row r="610" ht="15.75" customHeight="1">
      <c r="A610" s="1" t="s">
        <v>127</v>
      </c>
      <c r="B610" s="1" t="s">
        <v>12403</v>
      </c>
      <c r="C610" s="1" t="s">
        <v>12404</v>
      </c>
      <c r="D610" s="8" t="s">
        <v>12405</v>
      </c>
      <c r="E610" s="1" t="s">
        <v>12406</v>
      </c>
      <c r="F610" s="1" t="s">
        <v>132</v>
      </c>
      <c r="G610" s="1" t="s">
        <v>12407</v>
      </c>
      <c r="H610" s="1" t="s">
        <v>12408</v>
      </c>
      <c r="I610" s="1" t="s">
        <v>12404</v>
      </c>
      <c r="J610" s="1" t="s">
        <v>12409</v>
      </c>
      <c r="K610" s="1" t="s">
        <v>12410</v>
      </c>
      <c r="L610" s="1" t="s">
        <v>12411</v>
      </c>
      <c r="M610" s="1" t="s">
        <v>12412</v>
      </c>
      <c r="N610" s="1" t="s">
        <v>132</v>
      </c>
      <c r="O610" s="1" t="s">
        <v>12413</v>
      </c>
      <c r="P610" s="1" t="s">
        <v>12404</v>
      </c>
      <c r="Q610" s="1" t="s">
        <v>132</v>
      </c>
      <c r="R610" s="1" t="s">
        <v>12414</v>
      </c>
      <c r="S610" s="1" t="s">
        <v>12404</v>
      </c>
      <c r="T610" s="1" t="s">
        <v>132</v>
      </c>
      <c r="U610" s="1" t="s">
        <v>12415</v>
      </c>
      <c r="V610" s="1" t="s">
        <v>12416</v>
      </c>
      <c r="W610" s="1" t="s">
        <v>12417</v>
      </c>
      <c r="X610" s="1" t="s">
        <v>12418</v>
      </c>
      <c r="Y610" s="1" t="s">
        <v>12419</v>
      </c>
      <c r="Z610" s="1" t="s">
        <v>12420</v>
      </c>
      <c r="AA610" s="1" t="s">
        <v>12421</v>
      </c>
      <c r="AB610" s="1" t="s">
        <v>12422</v>
      </c>
      <c r="AC610" s="1" t="s">
        <v>12423</v>
      </c>
      <c r="AD610" s="1" t="s">
        <v>12424</v>
      </c>
      <c r="AE610" s="1" t="s">
        <v>12425</v>
      </c>
      <c r="AF610" s="1" t="s">
        <v>12404</v>
      </c>
      <c r="AG610" s="1" t="s">
        <v>12426</v>
      </c>
      <c r="AH610" s="1" t="s">
        <v>12427</v>
      </c>
      <c r="AI610" s="1" t="s">
        <v>12428</v>
      </c>
      <c r="AJ610" s="1" t="s">
        <v>132</v>
      </c>
      <c r="AK610" s="1" t="s">
        <v>12429</v>
      </c>
      <c r="AL610" s="1" t="s">
        <v>12430</v>
      </c>
      <c r="AM610" s="1" t="s">
        <v>12431</v>
      </c>
      <c r="AN610" s="1" t="s">
        <v>12431</v>
      </c>
    </row>
    <row r="611" ht="15.75" customHeight="1">
      <c r="A611" s="1" t="s">
        <v>127</v>
      </c>
      <c r="B611" s="1" t="s">
        <v>12432</v>
      </c>
      <c r="C611" s="1" t="s">
        <v>12433</v>
      </c>
      <c r="D611" s="8" t="s">
        <v>12434</v>
      </c>
      <c r="E611" s="1" t="s">
        <v>12435</v>
      </c>
      <c r="F611" s="1" t="s">
        <v>132</v>
      </c>
      <c r="G611" s="1" t="s">
        <v>12436</v>
      </c>
      <c r="H611" s="1" t="s">
        <v>12437</v>
      </c>
      <c r="I611" s="1" t="s">
        <v>12433</v>
      </c>
      <c r="J611" s="1" t="s">
        <v>12438</v>
      </c>
      <c r="K611" s="1" t="s">
        <v>12439</v>
      </c>
      <c r="L611" s="1" t="s">
        <v>12440</v>
      </c>
      <c r="M611" s="1" t="s">
        <v>12441</v>
      </c>
      <c r="N611" s="1" t="s">
        <v>132</v>
      </c>
      <c r="O611" s="1" t="s">
        <v>12442</v>
      </c>
      <c r="P611" s="1" t="s">
        <v>12443</v>
      </c>
      <c r="Q611" s="1" t="s">
        <v>132</v>
      </c>
      <c r="R611" s="1" t="s">
        <v>12444</v>
      </c>
      <c r="S611" s="1" t="s">
        <v>12433</v>
      </c>
      <c r="T611" s="1" t="s">
        <v>132</v>
      </c>
      <c r="U611" s="1" t="s">
        <v>12445</v>
      </c>
      <c r="V611" s="1" t="s">
        <v>12446</v>
      </c>
      <c r="W611" s="1" t="s">
        <v>12447</v>
      </c>
      <c r="X611" s="1" t="s">
        <v>12448</v>
      </c>
      <c r="Y611" s="1" t="s">
        <v>12437</v>
      </c>
      <c r="Z611" s="1" t="s">
        <v>12449</v>
      </c>
      <c r="AA611" s="1" t="s">
        <v>12450</v>
      </c>
      <c r="AB611" s="1" t="s">
        <v>12451</v>
      </c>
      <c r="AC611" s="1" t="s">
        <v>12452</v>
      </c>
      <c r="AD611" s="1" t="s">
        <v>12453</v>
      </c>
      <c r="AE611" s="1" t="s">
        <v>12454</v>
      </c>
      <c r="AF611" s="1" t="s">
        <v>12455</v>
      </c>
      <c r="AG611" s="1" t="s">
        <v>12456</v>
      </c>
      <c r="AH611" s="1" t="s">
        <v>12457</v>
      </c>
      <c r="AI611" s="1" t="s">
        <v>12458</v>
      </c>
      <c r="AJ611" s="1" t="s">
        <v>132</v>
      </c>
      <c r="AK611" s="1" t="s">
        <v>12459</v>
      </c>
      <c r="AL611" s="1" t="s">
        <v>12460</v>
      </c>
      <c r="AM611" s="1" t="s">
        <v>12461</v>
      </c>
      <c r="AN611" s="1" t="s">
        <v>12461</v>
      </c>
    </row>
    <row r="612" ht="15.75" customHeight="1">
      <c r="A612" s="1" t="s">
        <v>127</v>
      </c>
      <c r="B612" s="1" t="s">
        <v>12462</v>
      </c>
      <c r="C612" s="1" t="s">
        <v>12463</v>
      </c>
      <c r="D612" s="8" t="s">
        <v>12464</v>
      </c>
      <c r="E612" s="1" t="s">
        <v>12465</v>
      </c>
      <c r="F612" s="1" t="s">
        <v>132</v>
      </c>
      <c r="G612" s="1" t="s">
        <v>12466</v>
      </c>
      <c r="H612" s="1" t="s">
        <v>12467</v>
      </c>
      <c r="I612" s="1" t="s">
        <v>12463</v>
      </c>
      <c r="J612" s="1" t="s">
        <v>12468</v>
      </c>
      <c r="K612" s="1" t="s">
        <v>12469</v>
      </c>
      <c r="L612" s="1" t="s">
        <v>12470</v>
      </c>
      <c r="M612" s="1" t="s">
        <v>12471</v>
      </c>
      <c r="N612" s="1" t="s">
        <v>132</v>
      </c>
      <c r="O612" s="1" t="s">
        <v>12472</v>
      </c>
      <c r="P612" s="1" t="s">
        <v>12463</v>
      </c>
      <c r="Q612" s="1" t="s">
        <v>132</v>
      </c>
      <c r="R612" s="1" t="s">
        <v>12473</v>
      </c>
      <c r="S612" s="1" t="s">
        <v>12463</v>
      </c>
      <c r="T612" s="1" t="s">
        <v>132</v>
      </c>
      <c r="U612" s="1" t="s">
        <v>12474</v>
      </c>
      <c r="V612" s="1" t="s">
        <v>12475</v>
      </c>
      <c r="W612" s="1" t="s">
        <v>12476</v>
      </c>
      <c r="X612" s="1" t="s">
        <v>12463</v>
      </c>
      <c r="Y612" s="1" t="s">
        <v>12477</v>
      </c>
      <c r="Z612" s="1" t="s">
        <v>12463</v>
      </c>
      <c r="AA612" s="1" t="s">
        <v>12478</v>
      </c>
      <c r="AB612" s="1" t="s">
        <v>12479</v>
      </c>
      <c r="AC612" s="1" t="s">
        <v>12480</v>
      </c>
      <c r="AD612" s="1" t="s">
        <v>12481</v>
      </c>
      <c r="AE612" s="1" t="s">
        <v>12482</v>
      </c>
      <c r="AF612" s="1" t="s">
        <v>12463</v>
      </c>
      <c r="AG612" s="1" t="s">
        <v>12469</v>
      </c>
      <c r="AH612" s="1" t="s">
        <v>12483</v>
      </c>
      <c r="AI612" s="1" t="s">
        <v>12484</v>
      </c>
      <c r="AJ612" s="1" t="s">
        <v>132</v>
      </c>
      <c r="AK612" s="1" t="s">
        <v>12485</v>
      </c>
      <c r="AL612" s="1" t="s">
        <v>12486</v>
      </c>
      <c r="AM612" s="1" t="s">
        <v>12487</v>
      </c>
      <c r="AN612" s="1" t="s">
        <v>12487</v>
      </c>
    </row>
    <row r="613" ht="15.75" customHeight="1">
      <c r="A613" s="1" t="s">
        <v>38</v>
      </c>
      <c r="B613" s="1" t="s">
        <v>12488</v>
      </c>
      <c r="C613" s="1" t="s">
        <v>12489</v>
      </c>
      <c r="D613" s="1" t="s">
        <v>132</v>
      </c>
      <c r="E613" s="1" t="s">
        <v>132</v>
      </c>
      <c r="F613" s="1" t="s">
        <v>132</v>
      </c>
      <c r="G613" s="1" t="s">
        <v>132</v>
      </c>
      <c r="H613" s="1" t="s">
        <v>132</v>
      </c>
      <c r="I613" s="1" t="s">
        <v>12490</v>
      </c>
      <c r="J613" s="1" t="s">
        <v>132</v>
      </c>
      <c r="K613" s="1" t="s">
        <v>12491</v>
      </c>
      <c r="L613" s="1" t="s">
        <v>132</v>
      </c>
      <c r="M613" s="1" t="s">
        <v>12492</v>
      </c>
      <c r="N613" s="1" t="s">
        <v>132</v>
      </c>
      <c r="O613" s="1" t="s">
        <v>132</v>
      </c>
      <c r="P613" s="1" t="s">
        <v>12489</v>
      </c>
      <c r="Q613" s="1" t="s">
        <v>132</v>
      </c>
      <c r="R613" s="1" t="s">
        <v>132</v>
      </c>
      <c r="S613" s="1" t="s">
        <v>132</v>
      </c>
      <c r="T613" s="1" t="s">
        <v>132</v>
      </c>
      <c r="U613" s="1" t="s">
        <v>132</v>
      </c>
      <c r="V613" s="1" t="s">
        <v>132</v>
      </c>
      <c r="W613" s="1" t="s">
        <v>132</v>
      </c>
      <c r="X613" s="1" t="s">
        <v>132</v>
      </c>
      <c r="Y613" s="1" t="s">
        <v>132</v>
      </c>
      <c r="Z613" s="1" t="s">
        <v>132</v>
      </c>
      <c r="AA613" s="1" t="s">
        <v>132</v>
      </c>
      <c r="AB613" s="1" t="s">
        <v>132</v>
      </c>
      <c r="AC613" s="1" t="s">
        <v>12493</v>
      </c>
      <c r="AD613" s="1" t="s">
        <v>132</v>
      </c>
      <c r="AE613" s="1" t="s">
        <v>132</v>
      </c>
      <c r="AF613" s="1" t="s">
        <v>12494</v>
      </c>
      <c r="AG613" s="1" t="s">
        <v>132</v>
      </c>
      <c r="AH613" s="1" t="s">
        <v>132</v>
      </c>
      <c r="AI613" s="1" t="s">
        <v>132</v>
      </c>
      <c r="AJ613" s="1" t="s">
        <v>132</v>
      </c>
      <c r="AK613" s="1" t="s">
        <v>132</v>
      </c>
      <c r="AL613" s="1" t="s">
        <v>132</v>
      </c>
      <c r="AM613" s="1" t="s">
        <v>132</v>
      </c>
      <c r="AN613" s="1" t="s">
        <v>132</v>
      </c>
    </row>
    <row r="614" ht="15.75" customHeight="1">
      <c r="A614" s="1" t="s">
        <v>127</v>
      </c>
      <c r="B614" s="1" t="s">
        <v>12495</v>
      </c>
      <c r="C614" s="1" t="s">
        <v>12496</v>
      </c>
      <c r="D614" s="8" t="s">
        <v>12497</v>
      </c>
      <c r="E614" s="1" t="s">
        <v>12498</v>
      </c>
      <c r="F614" s="1" t="s">
        <v>132</v>
      </c>
      <c r="G614" s="1" t="s">
        <v>12499</v>
      </c>
      <c r="H614" s="1" t="s">
        <v>12500</v>
      </c>
      <c r="I614" s="1" t="s">
        <v>12496</v>
      </c>
      <c r="J614" s="1" t="s">
        <v>12501</v>
      </c>
      <c r="K614" s="1" t="s">
        <v>12502</v>
      </c>
      <c r="L614" s="1" t="s">
        <v>12503</v>
      </c>
      <c r="M614" s="1" t="s">
        <v>12496</v>
      </c>
      <c r="N614" s="1" t="s">
        <v>132</v>
      </c>
      <c r="O614" s="1" t="s">
        <v>12504</v>
      </c>
      <c r="P614" s="1" t="s">
        <v>12496</v>
      </c>
      <c r="Q614" s="1" t="s">
        <v>132</v>
      </c>
      <c r="R614" s="1" t="s">
        <v>12505</v>
      </c>
      <c r="S614" s="1" t="s">
        <v>12496</v>
      </c>
      <c r="T614" s="1" t="s">
        <v>132</v>
      </c>
      <c r="U614" s="1" t="s">
        <v>12506</v>
      </c>
      <c r="V614" s="1" t="s">
        <v>12507</v>
      </c>
      <c r="W614" s="1" t="s">
        <v>12508</v>
      </c>
      <c r="X614" s="1" t="s">
        <v>12509</v>
      </c>
      <c r="Y614" s="1" t="s">
        <v>12510</v>
      </c>
      <c r="Z614" s="1" t="s">
        <v>12511</v>
      </c>
      <c r="AA614" s="1" t="s">
        <v>12512</v>
      </c>
      <c r="AB614" s="1" t="s">
        <v>12513</v>
      </c>
      <c r="AC614" s="1" t="s">
        <v>12514</v>
      </c>
      <c r="AD614" s="1" t="s">
        <v>12515</v>
      </c>
      <c r="AE614" s="1" t="s">
        <v>12516</v>
      </c>
      <c r="AF614" s="1" t="s">
        <v>12496</v>
      </c>
      <c r="AG614" s="1" t="s">
        <v>12517</v>
      </c>
      <c r="AH614" s="1" t="s">
        <v>12518</v>
      </c>
      <c r="AI614" s="1" t="s">
        <v>12519</v>
      </c>
      <c r="AJ614" s="1" t="s">
        <v>132</v>
      </c>
      <c r="AK614" s="1" t="s">
        <v>12520</v>
      </c>
      <c r="AL614" s="1" t="s">
        <v>12521</v>
      </c>
      <c r="AM614" s="1" t="s">
        <v>12522</v>
      </c>
      <c r="AN614" s="1" t="s">
        <v>12522</v>
      </c>
    </row>
    <row r="615" ht="15.75" customHeight="1">
      <c r="A615" s="1" t="s">
        <v>127</v>
      </c>
      <c r="B615" s="1" t="s">
        <v>12523</v>
      </c>
      <c r="C615" s="1" t="s">
        <v>12524</v>
      </c>
      <c r="D615" s="8" t="s">
        <v>12525</v>
      </c>
      <c r="E615" s="1" t="s">
        <v>12526</v>
      </c>
      <c r="F615" s="1" t="s">
        <v>132</v>
      </c>
      <c r="G615" s="1" t="s">
        <v>12527</v>
      </c>
      <c r="H615" s="1" t="s">
        <v>12528</v>
      </c>
      <c r="I615" s="1" t="s">
        <v>12524</v>
      </c>
      <c r="J615" s="1" t="s">
        <v>12529</v>
      </c>
      <c r="K615" s="1" t="s">
        <v>12530</v>
      </c>
      <c r="L615" s="1" t="s">
        <v>12531</v>
      </c>
      <c r="M615" s="1" t="s">
        <v>12532</v>
      </c>
      <c r="N615" s="1" t="s">
        <v>132</v>
      </c>
      <c r="O615" s="1" t="s">
        <v>12533</v>
      </c>
      <c r="P615" s="1" t="s">
        <v>12524</v>
      </c>
      <c r="Q615" s="1" t="s">
        <v>132</v>
      </c>
      <c r="R615" s="1" t="s">
        <v>12534</v>
      </c>
      <c r="S615" s="1" t="s">
        <v>12524</v>
      </c>
      <c r="T615" s="1" t="s">
        <v>132</v>
      </c>
      <c r="U615" s="1" t="s">
        <v>12535</v>
      </c>
      <c r="V615" s="1" t="s">
        <v>12536</v>
      </c>
      <c r="W615" s="1" t="s">
        <v>12537</v>
      </c>
      <c r="X615" s="1" t="s">
        <v>12538</v>
      </c>
      <c r="Y615" s="1" t="s">
        <v>12539</v>
      </c>
      <c r="Z615" s="1" t="s">
        <v>12540</v>
      </c>
      <c r="AA615" s="1" t="s">
        <v>12541</v>
      </c>
      <c r="AB615" s="1" t="s">
        <v>12542</v>
      </c>
      <c r="AC615" s="1" t="s">
        <v>12543</v>
      </c>
      <c r="AD615" s="1" t="s">
        <v>12544</v>
      </c>
      <c r="AE615" s="1" t="s">
        <v>12545</v>
      </c>
      <c r="AF615" s="1" t="s">
        <v>12524</v>
      </c>
      <c r="AG615" s="1" t="s">
        <v>12546</v>
      </c>
      <c r="AH615" s="1" t="s">
        <v>12547</v>
      </c>
      <c r="AI615" s="1" t="s">
        <v>12548</v>
      </c>
      <c r="AJ615" s="1" t="s">
        <v>132</v>
      </c>
      <c r="AK615" s="1" t="s">
        <v>12549</v>
      </c>
      <c r="AL615" s="1" t="s">
        <v>12550</v>
      </c>
      <c r="AM615" s="1" t="s">
        <v>12551</v>
      </c>
      <c r="AN615" s="1" t="s">
        <v>12551</v>
      </c>
    </row>
    <row r="616" ht="15.75" customHeight="1">
      <c r="A616" s="1" t="s">
        <v>38</v>
      </c>
      <c r="B616" s="1" t="s">
        <v>12552</v>
      </c>
      <c r="C616" s="1" t="s">
        <v>12553</v>
      </c>
      <c r="D616" s="1" t="s">
        <v>132</v>
      </c>
      <c r="E616" s="1" t="s">
        <v>12554</v>
      </c>
      <c r="F616" s="1" t="s">
        <v>12555</v>
      </c>
      <c r="G616" s="1" t="s">
        <v>132</v>
      </c>
      <c r="H616" s="1" t="s">
        <v>132</v>
      </c>
      <c r="I616" s="1" t="s">
        <v>12556</v>
      </c>
      <c r="J616" s="1" t="s">
        <v>132</v>
      </c>
      <c r="K616" s="1" t="s">
        <v>12557</v>
      </c>
      <c r="L616" s="1" t="s">
        <v>132</v>
      </c>
      <c r="M616" s="1" t="s">
        <v>12558</v>
      </c>
      <c r="N616" s="1" t="s">
        <v>12559</v>
      </c>
      <c r="O616" s="1" t="s">
        <v>132</v>
      </c>
      <c r="P616" s="1" t="s">
        <v>12560</v>
      </c>
      <c r="Q616" s="1" t="s">
        <v>132</v>
      </c>
      <c r="R616" s="1" t="s">
        <v>132</v>
      </c>
      <c r="S616" s="1" t="s">
        <v>12561</v>
      </c>
      <c r="T616" s="1" t="s">
        <v>132</v>
      </c>
      <c r="U616" s="1" t="s">
        <v>12562</v>
      </c>
      <c r="V616" s="1" t="s">
        <v>12563</v>
      </c>
      <c r="W616" s="1" t="s">
        <v>132</v>
      </c>
      <c r="X616" s="1" t="s">
        <v>12564</v>
      </c>
      <c r="Y616" s="1" t="s">
        <v>132</v>
      </c>
      <c r="Z616" s="1" t="s">
        <v>12565</v>
      </c>
      <c r="AA616" s="1" t="s">
        <v>12566</v>
      </c>
      <c r="AB616" s="1" t="s">
        <v>132</v>
      </c>
      <c r="AC616" s="1" t="s">
        <v>12567</v>
      </c>
      <c r="AD616" s="1" t="s">
        <v>132</v>
      </c>
      <c r="AE616" s="1" t="s">
        <v>132</v>
      </c>
      <c r="AF616" s="1" t="s">
        <v>12568</v>
      </c>
      <c r="AG616" s="1" t="s">
        <v>12569</v>
      </c>
      <c r="AH616" s="1" t="s">
        <v>132</v>
      </c>
      <c r="AI616" s="1" t="s">
        <v>132</v>
      </c>
      <c r="AJ616" s="1" t="s">
        <v>12570</v>
      </c>
      <c r="AK616" s="1" t="s">
        <v>12571</v>
      </c>
      <c r="AL616" s="1" t="s">
        <v>132</v>
      </c>
      <c r="AM616" s="1" t="s">
        <v>12572</v>
      </c>
      <c r="AN616" s="1" t="s">
        <v>12572</v>
      </c>
    </row>
    <row r="617" ht="15.75" customHeight="1">
      <c r="A617" s="1" t="s">
        <v>127</v>
      </c>
      <c r="B617" s="1" t="s">
        <v>12573</v>
      </c>
      <c r="C617" s="1" t="s">
        <v>7555</v>
      </c>
      <c r="D617" s="8" t="s">
        <v>12574</v>
      </c>
      <c r="E617" s="1" t="s">
        <v>7555</v>
      </c>
      <c r="F617" s="1" t="s">
        <v>132</v>
      </c>
      <c r="G617" s="1" t="s">
        <v>7555</v>
      </c>
      <c r="H617" s="1" t="s">
        <v>7555</v>
      </c>
      <c r="I617" s="1" t="s">
        <v>7555</v>
      </c>
      <c r="J617" s="1" t="s">
        <v>7555</v>
      </c>
      <c r="K617" s="1" t="s">
        <v>7555</v>
      </c>
      <c r="L617" s="1" t="s">
        <v>7555</v>
      </c>
      <c r="M617" s="1" t="s">
        <v>7555</v>
      </c>
      <c r="N617" s="1" t="s">
        <v>132</v>
      </c>
      <c r="O617" s="1" t="s">
        <v>12575</v>
      </c>
      <c r="P617" s="1" t="s">
        <v>7555</v>
      </c>
      <c r="Q617" s="1" t="s">
        <v>132</v>
      </c>
      <c r="R617" s="1" t="s">
        <v>7555</v>
      </c>
      <c r="S617" s="1" t="s">
        <v>7555</v>
      </c>
      <c r="T617" s="1" t="s">
        <v>132</v>
      </c>
      <c r="U617" s="1" t="s">
        <v>12576</v>
      </c>
      <c r="V617" s="1" t="s">
        <v>7555</v>
      </c>
      <c r="W617" s="1" t="s">
        <v>7555</v>
      </c>
      <c r="X617" s="1" t="s">
        <v>7555</v>
      </c>
      <c r="Y617" s="1" t="s">
        <v>7555</v>
      </c>
      <c r="Z617" s="1" t="s">
        <v>7555</v>
      </c>
      <c r="AA617" s="1" t="s">
        <v>7555</v>
      </c>
      <c r="AB617" s="1" t="s">
        <v>7555</v>
      </c>
      <c r="AC617" s="1" t="s">
        <v>12577</v>
      </c>
      <c r="AD617" s="1" t="s">
        <v>7555</v>
      </c>
      <c r="AE617" s="1" t="s">
        <v>7555</v>
      </c>
      <c r="AF617" s="1" t="s">
        <v>7555</v>
      </c>
      <c r="AG617" s="1" t="s">
        <v>7555</v>
      </c>
      <c r="AH617" s="1" t="s">
        <v>7555</v>
      </c>
      <c r="AI617" s="1" t="s">
        <v>12578</v>
      </c>
      <c r="AJ617" s="1" t="s">
        <v>132</v>
      </c>
      <c r="AK617" s="1" t="s">
        <v>7555</v>
      </c>
      <c r="AL617" s="1" t="s">
        <v>12579</v>
      </c>
      <c r="AM617" s="1" t="s">
        <v>12580</v>
      </c>
      <c r="AN617" s="1" t="s">
        <v>12580</v>
      </c>
    </row>
    <row r="618" ht="15.75" customHeight="1">
      <c r="A618" s="1" t="s">
        <v>38</v>
      </c>
      <c r="B618" s="1" t="s">
        <v>12581</v>
      </c>
      <c r="C618" s="1" t="s">
        <v>12582</v>
      </c>
      <c r="D618" s="1" t="s">
        <v>132</v>
      </c>
      <c r="E618" s="1" t="s">
        <v>12583</v>
      </c>
      <c r="F618" s="1" t="s">
        <v>12584</v>
      </c>
      <c r="G618" s="1" t="s">
        <v>132</v>
      </c>
      <c r="H618" s="1" t="s">
        <v>132</v>
      </c>
      <c r="I618" s="1" t="s">
        <v>12585</v>
      </c>
      <c r="J618" s="1" t="s">
        <v>132</v>
      </c>
      <c r="K618" s="1" t="s">
        <v>12586</v>
      </c>
      <c r="L618" s="1" t="s">
        <v>132</v>
      </c>
      <c r="M618" s="1" t="s">
        <v>12587</v>
      </c>
      <c r="N618" s="1" t="s">
        <v>12588</v>
      </c>
      <c r="O618" s="1" t="s">
        <v>132</v>
      </c>
      <c r="P618" s="1" t="s">
        <v>12589</v>
      </c>
      <c r="Q618" s="1" t="s">
        <v>132</v>
      </c>
      <c r="R618" s="1" t="s">
        <v>132</v>
      </c>
      <c r="S618" s="1" t="s">
        <v>12590</v>
      </c>
      <c r="T618" s="1" t="s">
        <v>132</v>
      </c>
      <c r="U618" s="1" t="s">
        <v>132</v>
      </c>
      <c r="V618" s="1" t="s">
        <v>132</v>
      </c>
      <c r="W618" s="1" t="s">
        <v>132</v>
      </c>
      <c r="X618" s="1" t="s">
        <v>12591</v>
      </c>
      <c r="Y618" s="1" t="s">
        <v>132</v>
      </c>
      <c r="Z618" s="1" t="s">
        <v>12592</v>
      </c>
      <c r="AA618" s="1" t="s">
        <v>132</v>
      </c>
      <c r="AB618" s="1" t="s">
        <v>132</v>
      </c>
      <c r="AC618" s="1" t="s">
        <v>132</v>
      </c>
      <c r="AD618" s="1" t="s">
        <v>132</v>
      </c>
      <c r="AE618" s="1" t="s">
        <v>132</v>
      </c>
      <c r="AF618" s="1" t="s">
        <v>132</v>
      </c>
      <c r="AG618" s="1" t="s">
        <v>132</v>
      </c>
      <c r="AH618" s="1" t="s">
        <v>132</v>
      </c>
      <c r="AI618" s="1" t="s">
        <v>132</v>
      </c>
      <c r="AJ618" s="1" t="s">
        <v>132</v>
      </c>
      <c r="AK618" s="1" t="s">
        <v>132</v>
      </c>
      <c r="AL618" s="1" t="s">
        <v>132</v>
      </c>
      <c r="AM618" s="1" t="s">
        <v>132</v>
      </c>
      <c r="AN618" s="1" t="s">
        <v>132</v>
      </c>
    </row>
    <row r="619" ht="15.75" customHeight="1">
      <c r="A619" s="1" t="s">
        <v>127</v>
      </c>
      <c r="B619" s="1" t="s">
        <v>12593</v>
      </c>
      <c r="C619" s="1" t="s">
        <v>12594</v>
      </c>
      <c r="D619" s="8" t="s">
        <v>12595</v>
      </c>
      <c r="E619" s="1" t="s">
        <v>12596</v>
      </c>
      <c r="F619" s="1" t="s">
        <v>132</v>
      </c>
      <c r="G619" s="1" t="s">
        <v>12597</v>
      </c>
      <c r="H619" s="1" t="s">
        <v>12598</v>
      </c>
      <c r="I619" s="1" t="s">
        <v>12594</v>
      </c>
      <c r="J619" s="1" t="s">
        <v>12599</v>
      </c>
      <c r="K619" s="1" t="s">
        <v>12594</v>
      </c>
      <c r="L619" s="1" t="s">
        <v>12600</v>
      </c>
      <c r="M619" s="1" t="s">
        <v>12601</v>
      </c>
      <c r="N619" s="1" t="s">
        <v>132</v>
      </c>
      <c r="O619" s="1" t="s">
        <v>12602</v>
      </c>
      <c r="P619" s="1" t="s">
        <v>12594</v>
      </c>
      <c r="Q619" s="1" t="s">
        <v>132</v>
      </c>
      <c r="R619" s="1" t="s">
        <v>12603</v>
      </c>
      <c r="S619" s="1" t="s">
        <v>12594</v>
      </c>
      <c r="T619" s="1" t="s">
        <v>132</v>
      </c>
      <c r="U619" s="1" t="s">
        <v>12604</v>
      </c>
      <c r="V619" s="1" t="s">
        <v>12605</v>
      </c>
      <c r="W619" s="1" t="s">
        <v>12603</v>
      </c>
      <c r="X619" s="1" t="s">
        <v>12606</v>
      </c>
      <c r="Y619" s="1" t="s">
        <v>12607</v>
      </c>
      <c r="Z619" s="1" t="s">
        <v>12608</v>
      </c>
      <c r="AA619" s="1" t="s">
        <v>12594</v>
      </c>
      <c r="AB619" s="1" t="s">
        <v>12609</v>
      </c>
      <c r="AC619" s="1" t="s">
        <v>12610</v>
      </c>
      <c r="AD619" s="1" t="s">
        <v>12611</v>
      </c>
      <c r="AE619" s="1" t="s">
        <v>12612</v>
      </c>
      <c r="AF619" s="1" t="s">
        <v>12594</v>
      </c>
      <c r="AG619" s="1" t="s">
        <v>12613</v>
      </c>
      <c r="AH619" s="1" t="s">
        <v>12614</v>
      </c>
      <c r="AI619" s="1" t="s">
        <v>12615</v>
      </c>
      <c r="AJ619" s="1" t="s">
        <v>132</v>
      </c>
      <c r="AK619" s="1" t="s">
        <v>12616</v>
      </c>
      <c r="AL619" s="1" t="s">
        <v>12617</v>
      </c>
      <c r="AM619" s="1" t="s">
        <v>12618</v>
      </c>
      <c r="AN619" s="1" t="s">
        <v>12618</v>
      </c>
    </row>
    <row r="620" ht="15.75" customHeight="1">
      <c r="A620" s="1" t="s">
        <v>127</v>
      </c>
      <c r="B620" s="1" t="s">
        <v>12619</v>
      </c>
      <c r="C620" s="1" t="s">
        <v>12620</v>
      </c>
      <c r="D620" s="8" t="s">
        <v>12621</v>
      </c>
      <c r="E620" s="1" t="s">
        <v>12622</v>
      </c>
      <c r="F620" s="1" t="s">
        <v>132</v>
      </c>
      <c r="G620" s="1" t="s">
        <v>12623</v>
      </c>
      <c r="H620" s="1" t="s">
        <v>12624</v>
      </c>
      <c r="I620" s="1" t="s">
        <v>12620</v>
      </c>
      <c r="J620" s="1" t="s">
        <v>12625</v>
      </c>
      <c r="K620" s="1" t="s">
        <v>12620</v>
      </c>
      <c r="L620" s="1" t="s">
        <v>12626</v>
      </c>
      <c r="M620" s="1" t="s">
        <v>12627</v>
      </c>
      <c r="N620" s="1" t="s">
        <v>132</v>
      </c>
      <c r="O620" s="1" t="s">
        <v>12628</v>
      </c>
      <c r="P620" s="1" t="s">
        <v>12620</v>
      </c>
      <c r="Q620" s="1" t="s">
        <v>132</v>
      </c>
      <c r="R620" s="1" t="s">
        <v>12629</v>
      </c>
      <c r="S620" s="1" t="s">
        <v>12620</v>
      </c>
      <c r="T620" s="1" t="s">
        <v>132</v>
      </c>
      <c r="U620" s="1" t="s">
        <v>12630</v>
      </c>
      <c r="V620" s="1" t="s">
        <v>12631</v>
      </c>
      <c r="W620" s="1" t="s">
        <v>12629</v>
      </c>
      <c r="X620" s="1" t="s">
        <v>12632</v>
      </c>
      <c r="Y620" s="1" t="s">
        <v>12633</v>
      </c>
      <c r="Z620" s="1" t="s">
        <v>12634</v>
      </c>
      <c r="AA620" s="1" t="s">
        <v>12635</v>
      </c>
      <c r="AB620" s="1" t="s">
        <v>12636</v>
      </c>
      <c r="AC620" s="1" t="s">
        <v>12637</v>
      </c>
      <c r="AD620" s="1" t="s">
        <v>12638</v>
      </c>
      <c r="AE620" s="1" t="s">
        <v>12639</v>
      </c>
      <c r="AF620" s="1" t="s">
        <v>12620</v>
      </c>
      <c r="AG620" s="1" t="s">
        <v>12640</v>
      </c>
      <c r="AH620" s="1" t="s">
        <v>12641</v>
      </c>
      <c r="AI620" s="1" t="s">
        <v>12642</v>
      </c>
      <c r="AJ620" s="1" t="s">
        <v>132</v>
      </c>
      <c r="AK620" s="1" t="s">
        <v>12643</v>
      </c>
      <c r="AL620" s="1" t="s">
        <v>12644</v>
      </c>
      <c r="AM620" s="1" t="s">
        <v>12645</v>
      </c>
      <c r="AN620" s="1" t="s">
        <v>12645</v>
      </c>
    </row>
    <row r="621" ht="15.75" customHeight="1">
      <c r="A621" s="1" t="s">
        <v>38</v>
      </c>
      <c r="B621" s="1" t="s">
        <v>12646</v>
      </c>
      <c r="C621" s="1" t="s">
        <v>12647</v>
      </c>
      <c r="D621" s="8" t="s">
        <v>12648</v>
      </c>
      <c r="E621" s="1" t="s">
        <v>12649</v>
      </c>
      <c r="F621" s="1" t="s">
        <v>12650</v>
      </c>
      <c r="G621" s="1" t="s">
        <v>132</v>
      </c>
      <c r="H621" s="1" t="s">
        <v>132</v>
      </c>
      <c r="I621" s="1" t="s">
        <v>12651</v>
      </c>
      <c r="J621" s="1" t="s">
        <v>132</v>
      </c>
      <c r="K621" s="1" t="s">
        <v>12652</v>
      </c>
      <c r="L621" s="1" t="s">
        <v>132</v>
      </c>
      <c r="M621" s="1" t="s">
        <v>12653</v>
      </c>
      <c r="N621" s="1" t="s">
        <v>12654</v>
      </c>
      <c r="O621" s="1" t="s">
        <v>132</v>
      </c>
      <c r="P621" s="1" t="s">
        <v>12655</v>
      </c>
      <c r="Q621" s="1" t="s">
        <v>12656</v>
      </c>
      <c r="R621" s="1" t="s">
        <v>132</v>
      </c>
      <c r="S621" s="1" t="s">
        <v>12657</v>
      </c>
      <c r="T621" s="1" t="s">
        <v>132</v>
      </c>
      <c r="U621" s="1" t="s">
        <v>12658</v>
      </c>
      <c r="V621" s="1" t="s">
        <v>12659</v>
      </c>
      <c r="W621" s="1" t="s">
        <v>132</v>
      </c>
      <c r="X621" s="1" t="s">
        <v>12660</v>
      </c>
      <c r="Y621" s="1" t="s">
        <v>132</v>
      </c>
      <c r="Z621" s="1" t="s">
        <v>12661</v>
      </c>
      <c r="AA621" s="1" t="s">
        <v>12662</v>
      </c>
      <c r="AB621" s="1" t="s">
        <v>132</v>
      </c>
      <c r="AC621" s="1" t="s">
        <v>12663</v>
      </c>
      <c r="AD621" s="1" t="s">
        <v>12664</v>
      </c>
      <c r="AE621" s="1" t="s">
        <v>132</v>
      </c>
      <c r="AF621" s="1" t="s">
        <v>12665</v>
      </c>
      <c r="AG621" s="1" t="s">
        <v>12666</v>
      </c>
      <c r="AH621" s="1" t="s">
        <v>132</v>
      </c>
      <c r="AI621" s="1" t="s">
        <v>132</v>
      </c>
      <c r="AJ621" s="1" t="s">
        <v>12667</v>
      </c>
      <c r="AK621" s="1" t="s">
        <v>12668</v>
      </c>
      <c r="AL621" s="1" t="s">
        <v>132</v>
      </c>
      <c r="AM621" s="1" t="s">
        <v>12669</v>
      </c>
      <c r="AN621" s="1" t="s">
        <v>12669</v>
      </c>
    </row>
    <row r="622" ht="15.75" customHeight="1">
      <c r="A622" s="1" t="s">
        <v>127</v>
      </c>
      <c r="B622" s="1" t="s">
        <v>12670</v>
      </c>
      <c r="C622" s="1" t="s">
        <v>12671</v>
      </c>
      <c r="D622" s="8" t="s">
        <v>12672</v>
      </c>
      <c r="E622" s="1" t="s">
        <v>12673</v>
      </c>
      <c r="F622" s="1" t="s">
        <v>132</v>
      </c>
      <c r="G622" s="1" t="s">
        <v>12674</v>
      </c>
      <c r="H622" s="1" t="s">
        <v>12675</v>
      </c>
      <c r="I622" s="1" t="s">
        <v>12671</v>
      </c>
      <c r="J622" s="1" t="s">
        <v>12676</v>
      </c>
      <c r="K622" s="1" t="s">
        <v>12671</v>
      </c>
      <c r="L622" s="1" t="s">
        <v>12677</v>
      </c>
      <c r="M622" s="1" t="s">
        <v>12671</v>
      </c>
      <c r="N622" s="1" t="s">
        <v>132</v>
      </c>
      <c r="O622" s="1" t="s">
        <v>12678</v>
      </c>
      <c r="P622" s="1" t="s">
        <v>12671</v>
      </c>
      <c r="Q622" s="1" t="s">
        <v>132</v>
      </c>
      <c r="R622" s="1" t="s">
        <v>12679</v>
      </c>
      <c r="S622" s="1" t="s">
        <v>12671</v>
      </c>
      <c r="T622" s="1" t="s">
        <v>132</v>
      </c>
      <c r="U622" s="1" t="s">
        <v>12680</v>
      </c>
      <c r="V622" s="1" t="s">
        <v>12681</v>
      </c>
      <c r="W622" s="1" t="s">
        <v>12679</v>
      </c>
      <c r="X622" s="1" t="s">
        <v>12682</v>
      </c>
      <c r="Y622" s="1" t="s">
        <v>12683</v>
      </c>
      <c r="Z622" s="1" t="s">
        <v>12671</v>
      </c>
      <c r="AA622" s="1" t="s">
        <v>12684</v>
      </c>
      <c r="AB622" s="1" t="s">
        <v>12685</v>
      </c>
      <c r="AC622" s="1" t="s">
        <v>12686</v>
      </c>
      <c r="AD622" s="1" t="s">
        <v>12687</v>
      </c>
      <c r="AE622" s="1" t="s">
        <v>12688</v>
      </c>
      <c r="AF622" s="1" t="s">
        <v>12671</v>
      </c>
      <c r="AG622" s="1" t="s">
        <v>12689</v>
      </c>
      <c r="AH622" s="1" t="s">
        <v>12690</v>
      </c>
      <c r="AI622" s="1" t="s">
        <v>12691</v>
      </c>
      <c r="AJ622" s="1" t="s">
        <v>132</v>
      </c>
      <c r="AK622" s="1" t="s">
        <v>12692</v>
      </c>
      <c r="AL622" s="1" t="s">
        <v>12693</v>
      </c>
      <c r="AM622" s="1" t="s">
        <v>12694</v>
      </c>
      <c r="AN622" s="1" t="s">
        <v>12694</v>
      </c>
    </row>
    <row r="623" ht="15.75" customHeight="1">
      <c r="A623" s="1" t="s">
        <v>38</v>
      </c>
      <c r="B623" s="1" t="s">
        <v>12695</v>
      </c>
      <c r="C623" s="1" t="s">
        <v>12696</v>
      </c>
      <c r="D623" s="1" t="s">
        <v>132</v>
      </c>
      <c r="E623" s="1" t="s">
        <v>132</v>
      </c>
      <c r="F623" s="1" t="s">
        <v>132</v>
      </c>
      <c r="G623" s="1" t="s">
        <v>132</v>
      </c>
      <c r="H623" s="1" t="s">
        <v>132</v>
      </c>
      <c r="I623" s="1" t="s">
        <v>12697</v>
      </c>
      <c r="J623" s="1" t="s">
        <v>132</v>
      </c>
      <c r="K623" s="1" t="s">
        <v>12698</v>
      </c>
      <c r="L623" s="1" t="s">
        <v>132</v>
      </c>
      <c r="M623" s="1" t="s">
        <v>12699</v>
      </c>
      <c r="N623" s="1" t="s">
        <v>132</v>
      </c>
      <c r="O623" s="1" t="s">
        <v>132</v>
      </c>
      <c r="P623" s="1" t="s">
        <v>12700</v>
      </c>
      <c r="Q623" s="1" t="s">
        <v>132</v>
      </c>
      <c r="R623" s="1" t="s">
        <v>132</v>
      </c>
      <c r="S623" s="1" t="s">
        <v>132</v>
      </c>
      <c r="T623" s="1" t="s">
        <v>132</v>
      </c>
      <c r="U623" s="1" t="s">
        <v>132</v>
      </c>
      <c r="V623" s="1" t="s">
        <v>132</v>
      </c>
      <c r="W623" s="1" t="s">
        <v>132</v>
      </c>
      <c r="X623" s="1" t="s">
        <v>132</v>
      </c>
      <c r="Y623" s="1" t="s">
        <v>132</v>
      </c>
      <c r="Z623" s="1" t="s">
        <v>132</v>
      </c>
      <c r="AA623" s="1" t="s">
        <v>132</v>
      </c>
      <c r="AB623" s="1" t="s">
        <v>132</v>
      </c>
      <c r="AC623" s="1" t="s">
        <v>12701</v>
      </c>
      <c r="AD623" s="1" t="s">
        <v>132</v>
      </c>
      <c r="AE623" s="1" t="s">
        <v>132</v>
      </c>
      <c r="AF623" s="1" t="s">
        <v>12702</v>
      </c>
      <c r="AG623" s="1" t="s">
        <v>132</v>
      </c>
      <c r="AH623" s="1" t="s">
        <v>132</v>
      </c>
      <c r="AI623" s="1" t="s">
        <v>132</v>
      </c>
      <c r="AJ623" s="1" t="s">
        <v>132</v>
      </c>
      <c r="AK623" s="1" t="s">
        <v>132</v>
      </c>
      <c r="AL623" s="1" t="s">
        <v>132</v>
      </c>
      <c r="AM623" s="1" t="s">
        <v>132</v>
      </c>
      <c r="AN623" s="1" t="s">
        <v>132</v>
      </c>
    </row>
    <row r="624" ht="15.75" customHeight="1">
      <c r="A624" s="1" t="s">
        <v>38</v>
      </c>
      <c r="B624" s="1" t="s">
        <v>12703</v>
      </c>
      <c r="C624" s="1" t="s">
        <v>12704</v>
      </c>
      <c r="D624" s="8" t="s">
        <v>12705</v>
      </c>
      <c r="E624" s="1" t="s">
        <v>12706</v>
      </c>
      <c r="F624" s="1" t="s">
        <v>12707</v>
      </c>
      <c r="G624" s="1" t="s">
        <v>132</v>
      </c>
      <c r="H624" s="1" t="s">
        <v>132</v>
      </c>
      <c r="I624" s="1" t="s">
        <v>12708</v>
      </c>
      <c r="J624" s="1" t="s">
        <v>132</v>
      </c>
      <c r="K624" s="1" t="s">
        <v>12709</v>
      </c>
      <c r="L624" s="1" t="s">
        <v>132</v>
      </c>
      <c r="M624" s="1" t="s">
        <v>12710</v>
      </c>
      <c r="N624" s="1" t="s">
        <v>12711</v>
      </c>
      <c r="O624" s="1" t="s">
        <v>132</v>
      </c>
      <c r="P624" s="1" t="s">
        <v>12712</v>
      </c>
      <c r="Q624" s="1" t="s">
        <v>12713</v>
      </c>
      <c r="R624" s="1" t="s">
        <v>132</v>
      </c>
      <c r="S624" s="1" t="s">
        <v>12714</v>
      </c>
      <c r="T624" s="1" t="s">
        <v>132</v>
      </c>
      <c r="U624" s="1" t="s">
        <v>12715</v>
      </c>
      <c r="V624" s="1" t="s">
        <v>12716</v>
      </c>
      <c r="W624" s="1" t="s">
        <v>132</v>
      </c>
      <c r="X624" s="1" t="s">
        <v>12717</v>
      </c>
      <c r="Y624" s="1" t="s">
        <v>132</v>
      </c>
      <c r="Z624" s="1" t="s">
        <v>12718</v>
      </c>
      <c r="AA624" s="1" t="s">
        <v>12711</v>
      </c>
      <c r="AB624" s="1" t="s">
        <v>132</v>
      </c>
      <c r="AC624" s="1" t="s">
        <v>12719</v>
      </c>
      <c r="AD624" s="1" t="s">
        <v>12720</v>
      </c>
      <c r="AE624" s="1" t="s">
        <v>132</v>
      </c>
      <c r="AF624" s="1" t="s">
        <v>12721</v>
      </c>
      <c r="AG624" s="1" t="s">
        <v>12722</v>
      </c>
      <c r="AH624" s="1" t="s">
        <v>132</v>
      </c>
      <c r="AI624" s="1" t="s">
        <v>132</v>
      </c>
      <c r="AJ624" s="1" t="s">
        <v>12723</v>
      </c>
      <c r="AK624" s="1" t="s">
        <v>12724</v>
      </c>
      <c r="AL624" s="1" t="s">
        <v>132</v>
      </c>
      <c r="AM624" s="1" t="s">
        <v>12725</v>
      </c>
      <c r="AN624" s="1" t="s">
        <v>12725</v>
      </c>
    </row>
    <row r="625" ht="15.75" customHeight="1">
      <c r="A625" s="1" t="s">
        <v>127</v>
      </c>
      <c r="B625" s="1" t="s">
        <v>12726</v>
      </c>
      <c r="C625" s="1" t="s">
        <v>3004</v>
      </c>
      <c r="D625" s="8" t="s">
        <v>3005</v>
      </c>
      <c r="E625" s="1" t="s">
        <v>3006</v>
      </c>
      <c r="F625" s="1" t="s">
        <v>132</v>
      </c>
      <c r="G625" s="1" t="s">
        <v>3007</v>
      </c>
      <c r="H625" s="1" t="s">
        <v>3008</v>
      </c>
      <c r="I625" s="1" t="s">
        <v>3009</v>
      </c>
      <c r="J625" s="1" t="s">
        <v>3010</v>
      </c>
      <c r="K625" s="1" t="s">
        <v>3011</v>
      </c>
      <c r="L625" s="1" t="s">
        <v>3012</v>
      </c>
      <c r="M625" s="1" t="s">
        <v>3013</v>
      </c>
      <c r="N625" s="1" t="s">
        <v>132</v>
      </c>
      <c r="O625" s="1" t="s">
        <v>3014</v>
      </c>
      <c r="P625" s="1" t="s">
        <v>3015</v>
      </c>
      <c r="Q625" s="1" t="s">
        <v>132</v>
      </c>
      <c r="R625" s="1" t="s">
        <v>3016</v>
      </c>
      <c r="S625" s="1" t="s">
        <v>3017</v>
      </c>
      <c r="T625" s="1" t="s">
        <v>132</v>
      </c>
      <c r="U625" s="1" t="s">
        <v>3019</v>
      </c>
      <c r="V625" s="1" t="s">
        <v>3020</v>
      </c>
      <c r="W625" s="1" t="s">
        <v>3021</v>
      </c>
      <c r="X625" s="1" t="s">
        <v>3022</v>
      </c>
      <c r="Y625" s="1" t="s">
        <v>3023</v>
      </c>
      <c r="Z625" s="1" t="s">
        <v>3024</v>
      </c>
      <c r="AA625" s="1" t="s">
        <v>3025</v>
      </c>
      <c r="AB625" s="1" t="s">
        <v>3026</v>
      </c>
      <c r="AC625" s="1" t="s">
        <v>3006</v>
      </c>
      <c r="AD625" s="1" t="s">
        <v>3027</v>
      </c>
      <c r="AE625" s="1" t="s">
        <v>3028</v>
      </c>
      <c r="AF625" s="1" t="s">
        <v>12727</v>
      </c>
      <c r="AG625" s="1" t="s">
        <v>3030</v>
      </c>
      <c r="AH625" s="1" t="s">
        <v>3031</v>
      </c>
      <c r="AI625" s="1" t="s">
        <v>3032</v>
      </c>
      <c r="AJ625" s="1" t="s">
        <v>132</v>
      </c>
      <c r="AK625" s="1" t="s">
        <v>3033</v>
      </c>
      <c r="AL625" s="1" t="s">
        <v>3034</v>
      </c>
      <c r="AM625" s="1" t="s">
        <v>3035</v>
      </c>
      <c r="AN625" s="1" t="s">
        <v>3035</v>
      </c>
    </row>
    <row r="626" ht="15.75" customHeight="1">
      <c r="A626" s="1" t="s">
        <v>127</v>
      </c>
      <c r="B626" s="1" t="s">
        <v>12728</v>
      </c>
      <c r="C626" s="1" t="s">
        <v>12729</v>
      </c>
      <c r="D626" s="8" t="s">
        <v>12730</v>
      </c>
      <c r="E626" s="1" t="s">
        <v>12731</v>
      </c>
      <c r="F626" s="1" t="s">
        <v>132</v>
      </c>
      <c r="G626" s="1" t="s">
        <v>12732</v>
      </c>
      <c r="H626" s="1" t="s">
        <v>12733</v>
      </c>
      <c r="I626" s="1" t="s">
        <v>12734</v>
      </c>
      <c r="J626" s="1" t="s">
        <v>12735</v>
      </c>
      <c r="K626" s="1" t="s">
        <v>12736</v>
      </c>
      <c r="L626" s="1" t="s">
        <v>12737</v>
      </c>
      <c r="M626" s="1" t="s">
        <v>12738</v>
      </c>
      <c r="N626" s="1" t="s">
        <v>132</v>
      </c>
      <c r="O626" s="1" t="s">
        <v>12739</v>
      </c>
      <c r="P626" s="1" t="s">
        <v>12740</v>
      </c>
      <c r="Q626" s="1" t="s">
        <v>132</v>
      </c>
      <c r="R626" s="1" t="s">
        <v>12741</v>
      </c>
      <c r="S626" s="1" t="s">
        <v>12742</v>
      </c>
      <c r="T626" s="1" t="s">
        <v>132</v>
      </c>
      <c r="U626" s="1" t="s">
        <v>12743</v>
      </c>
      <c r="V626" s="1" t="s">
        <v>12744</v>
      </c>
      <c r="W626" s="1" t="s">
        <v>12745</v>
      </c>
      <c r="X626" s="1" t="s">
        <v>12746</v>
      </c>
      <c r="Y626" s="1" t="s">
        <v>12733</v>
      </c>
      <c r="Z626" s="1" t="s">
        <v>12747</v>
      </c>
      <c r="AA626" s="1" t="s">
        <v>12748</v>
      </c>
      <c r="AB626" s="1" t="s">
        <v>12749</v>
      </c>
      <c r="AC626" s="1" t="s">
        <v>12750</v>
      </c>
      <c r="AD626" s="1" t="s">
        <v>12751</v>
      </c>
      <c r="AE626" s="1" t="s">
        <v>12752</v>
      </c>
      <c r="AF626" s="1" t="s">
        <v>12753</v>
      </c>
      <c r="AG626" s="1" t="s">
        <v>12754</v>
      </c>
      <c r="AH626" s="1" t="s">
        <v>12755</v>
      </c>
      <c r="AI626" s="1" t="s">
        <v>12756</v>
      </c>
      <c r="AJ626" s="1" t="s">
        <v>132</v>
      </c>
      <c r="AK626" s="1" t="s">
        <v>12757</v>
      </c>
      <c r="AL626" s="1" t="s">
        <v>12758</v>
      </c>
      <c r="AM626" s="1" t="s">
        <v>132</v>
      </c>
      <c r="AN626" s="1" t="s">
        <v>132</v>
      </c>
    </row>
    <row r="627" ht="15.75" customHeight="1">
      <c r="A627" s="1" t="s">
        <v>127</v>
      </c>
      <c r="B627" s="1" t="s">
        <v>12759</v>
      </c>
      <c r="C627" s="1" t="s">
        <v>12760</v>
      </c>
      <c r="D627" s="8" t="s">
        <v>12761</v>
      </c>
      <c r="E627" s="1" t="s">
        <v>12762</v>
      </c>
      <c r="F627" s="1" t="s">
        <v>132</v>
      </c>
      <c r="G627" s="1" t="s">
        <v>12763</v>
      </c>
      <c r="H627" s="1" t="s">
        <v>12764</v>
      </c>
      <c r="I627" s="1" t="s">
        <v>12765</v>
      </c>
      <c r="J627" s="1" t="s">
        <v>12766</v>
      </c>
      <c r="K627" s="1" t="s">
        <v>12767</v>
      </c>
      <c r="L627" s="1" t="s">
        <v>12768</v>
      </c>
      <c r="M627" s="1" t="s">
        <v>10410</v>
      </c>
      <c r="N627" s="1" t="s">
        <v>132</v>
      </c>
      <c r="O627" s="1" t="s">
        <v>12769</v>
      </c>
      <c r="P627" s="1" t="s">
        <v>10412</v>
      </c>
      <c r="Q627" s="1" t="s">
        <v>132</v>
      </c>
      <c r="R627" s="1" t="s">
        <v>12770</v>
      </c>
      <c r="S627" s="1" t="s">
        <v>12771</v>
      </c>
      <c r="T627" s="1" t="s">
        <v>132</v>
      </c>
      <c r="U627" s="1" t="s">
        <v>12772</v>
      </c>
      <c r="V627" s="1" t="s">
        <v>12773</v>
      </c>
      <c r="W627" s="1" t="s">
        <v>12774</v>
      </c>
      <c r="X627" s="1" t="s">
        <v>12775</v>
      </c>
      <c r="Y627" s="1" t="s">
        <v>12776</v>
      </c>
      <c r="Z627" s="1" t="s">
        <v>12777</v>
      </c>
      <c r="AA627" s="1" t="s">
        <v>12778</v>
      </c>
      <c r="AB627" s="1" t="s">
        <v>12779</v>
      </c>
      <c r="AC627" s="1" t="s">
        <v>12780</v>
      </c>
      <c r="AD627" s="1" t="s">
        <v>12781</v>
      </c>
      <c r="AE627" s="1" t="s">
        <v>12782</v>
      </c>
      <c r="AF627" s="1" t="s">
        <v>12783</v>
      </c>
      <c r="AG627" s="1" t="s">
        <v>12784</v>
      </c>
      <c r="AH627" s="1" t="s">
        <v>12785</v>
      </c>
      <c r="AI627" s="1" t="s">
        <v>12786</v>
      </c>
      <c r="AJ627" s="1" t="s">
        <v>132</v>
      </c>
      <c r="AK627" s="1" t="s">
        <v>12787</v>
      </c>
      <c r="AL627" s="1" t="s">
        <v>12788</v>
      </c>
      <c r="AM627" s="1" t="s">
        <v>132</v>
      </c>
      <c r="AN627" s="1" t="s">
        <v>132</v>
      </c>
    </row>
    <row r="628" ht="15.75" customHeight="1">
      <c r="A628" s="1" t="s">
        <v>38</v>
      </c>
      <c r="B628" s="1" t="s">
        <v>12789</v>
      </c>
      <c r="C628" s="1" t="s">
        <v>12790</v>
      </c>
      <c r="D628" s="1" t="s">
        <v>132</v>
      </c>
      <c r="E628" s="1" t="s">
        <v>12791</v>
      </c>
      <c r="F628" s="1" t="s">
        <v>132</v>
      </c>
      <c r="G628" s="1" t="s">
        <v>132</v>
      </c>
      <c r="H628" s="1" t="s">
        <v>132</v>
      </c>
      <c r="I628" s="1" t="s">
        <v>12792</v>
      </c>
      <c r="J628" s="1" t="s">
        <v>132</v>
      </c>
      <c r="K628" s="1" t="s">
        <v>12793</v>
      </c>
      <c r="L628" s="1" t="s">
        <v>132</v>
      </c>
      <c r="M628" s="1" t="s">
        <v>132</v>
      </c>
      <c r="N628" s="1" t="s">
        <v>12794</v>
      </c>
      <c r="O628" s="1" t="s">
        <v>132</v>
      </c>
      <c r="P628" s="1" t="s">
        <v>12795</v>
      </c>
      <c r="Q628" s="1" t="s">
        <v>132</v>
      </c>
      <c r="R628" s="1" t="s">
        <v>132</v>
      </c>
      <c r="S628" s="1" t="s">
        <v>12796</v>
      </c>
      <c r="T628" s="1" t="s">
        <v>132</v>
      </c>
      <c r="U628" s="1" t="s">
        <v>132</v>
      </c>
      <c r="V628" s="1" t="s">
        <v>132</v>
      </c>
      <c r="W628" s="1" t="s">
        <v>132</v>
      </c>
      <c r="X628" s="1" t="s">
        <v>12797</v>
      </c>
      <c r="Y628" s="1" t="s">
        <v>132</v>
      </c>
      <c r="Z628" s="1" t="s">
        <v>12798</v>
      </c>
      <c r="AA628" s="1" t="s">
        <v>132</v>
      </c>
      <c r="AB628" s="1" t="s">
        <v>132</v>
      </c>
      <c r="AC628" s="1" t="s">
        <v>132</v>
      </c>
      <c r="AD628" s="1" t="s">
        <v>132</v>
      </c>
      <c r="AE628" s="1" t="s">
        <v>132</v>
      </c>
      <c r="AF628" s="1" t="s">
        <v>132</v>
      </c>
      <c r="AG628" s="1" t="s">
        <v>132</v>
      </c>
      <c r="AH628" s="1" t="s">
        <v>132</v>
      </c>
      <c r="AI628" s="1" t="s">
        <v>132</v>
      </c>
      <c r="AJ628" s="1" t="s">
        <v>132</v>
      </c>
      <c r="AK628" s="1" t="s">
        <v>132</v>
      </c>
      <c r="AL628" s="1" t="s">
        <v>132</v>
      </c>
      <c r="AM628" s="1" t="s">
        <v>132</v>
      </c>
      <c r="AN628" s="1" t="s">
        <v>132</v>
      </c>
    </row>
    <row r="629" ht="15.75" customHeight="1">
      <c r="A629" s="1" t="s">
        <v>127</v>
      </c>
      <c r="B629" s="1" t="s">
        <v>12799</v>
      </c>
      <c r="C629" s="1" t="s">
        <v>12800</v>
      </c>
      <c r="D629" s="8" t="s">
        <v>12801</v>
      </c>
      <c r="E629" s="1" t="s">
        <v>12802</v>
      </c>
      <c r="F629" s="1" t="s">
        <v>132</v>
      </c>
      <c r="G629" s="1" t="s">
        <v>12803</v>
      </c>
      <c r="H629" s="1" t="s">
        <v>12804</v>
      </c>
      <c r="I629" s="1" t="s">
        <v>12805</v>
      </c>
      <c r="J629" s="1" t="s">
        <v>12806</v>
      </c>
      <c r="K629" s="1" t="s">
        <v>12807</v>
      </c>
      <c r="L629" s="1" t="s">
        <v>12808</v>
      </c>
      <c r="M629" s="1" t="s">
        <v>12809</v>
      </c>
      <c r="N629" s="1" t="s">
        <v>132</v>
      </c>
      <c r="O629" s="1" t="s">
        <v>12810</v>
      </c>
      <c r="P629" s="1" t="s">
        <v>12800</v>
      </c>
      <c r="Q629" s="1" t="s">
        <v>132</v>
      </c>
      <c r="R629" s="1" t="s">
        <v>12811</v>
      </c>
      <c r="S629" s="1" t="s">
        <v>12812</v>
      </c>
      <c r="T629" s="1" t="s">
        <v>132</v>
      </c>
      <c r="U629" s="1" t="s">
        <v>12813</v>
      </c>
      <c r="V629" s="1" t="s">
        <v>12814</v>
      </c>
      <c r="W629" s="1" t="s">
        <v>12815</v>
      </c>
      <c r="X629" s="1" t="s">
        <v>12800</v>
      </c>
      <c r="Y629" s="1" t="s">
        <v>12816</v>
      </c>
      <c r="Z629" s="1" t="s">
        <v>12800</v>
      </c>
      <c r="AA629" s="1" t="s">
        <v>12817</v>
      </c>
      <c r="AB629" s="1" t="s">
        <v>12818</v>
      </c>
      <c r="AC629" s="1" t="s">
        <v>12819</v>
      </c>
      <c r="AD629" s="1" t="s">
        <v>12820</v>
      </c>
      <c r="AE629" s="1" t="s">
        <v>12821</v>
      </c>
      <c r="AF629" s="1" t="s">
        <v>12822</v>
      </c>
      <c r="AG629" s="1" t="s">
        <v>12823</v>
      </c>
      <c r="AH629" s="1" t="s">
        <v>12824</v>
      </c>
      <c r="AI629" s="1" t="s">
        <v>12825</v>
      </c>
      <c r="AJ629" s="1" t="s">
        <v>132</v>
      </c>
      <c r="AK629" s="1" t="s">
        <v>12826</v>
      </c>
      <c r="AL629" s="1" t="s">
        <v>12827</v>
      </c>
      <c r="AM629" s="1" t="s">
        <v>12828</v>
      </c>
      <c r="AN629" s="1" t="s">
        <v>12828</v>
      </c>
    </row>
    <row r="630" ht="15.75" customHeight="1">
      <c r="A630" s="1" t="s">
        <v>38</v>
      </c>
      <c r="B630" s="1" t="s">
        <v>12829</v>
      </c>
      <c r="C630" s="1" t="s">
        <v>12830</v>
      </c>
      <c r="D630" s="8" t="s">
        <v>12831</v>
      </c>
      <c r="E630" s="1" t="s">
        <v>12832</v>
      </c>
      <c r="F630" s="1" t="s">
        <v>12833</v>
      </c>
      <c r="G630" s="1" t="s">
        <v>132</v>
      </c>
      <c r="H630" s="1" t="s">
        <v>132</v>
      </c>
      <c r="I630" s="1" t="s">
        <v>12834</v>
      </c>
      <c r="J630" s="1" t="s">
        <v>132</v>
      </c>
      <c r="K630" s="1" t="s">
        <v>12835</v>
      </c>
      <c r="L630" s="1" t="s">
        <v>132</v>
      </c>
      <c r="M630" s="1" t="s">
        <v>12836</v>
      </c>
      <c r="N630" s="1" t="s">
        <v>12837</v>
      </c>
      <c r="O630" s="1" t="s">
        <v>132</v>
      </c>
      <c r="P630" s="1" t="s">
        <v>12838</v>
      </c>
      <c r="Q630" s="1" t="s">
        <v>132</v>
      </c>
      <c r="R630" s="1" t="s">
        <v>132</v>
      </c>
      <c r="S630" s="1" t="s">
        <v>12839</v>
      </c>
      <c r="T630" s="1" t="s">
        <v>132</v>
      </c>
      <c r="U630" s="1" t="s">
        <v>12840</v>
      </c>
      <c r="V630" s="1" t="s">
        <v>12841</v>
      </c>
      <c r="W630" s="1" t="s">
        <v>132</v>
      </c>
      <c r="X630" s="1" t="s">
        <v>12842</v>
      </c>
      <c r="Y630" s="1" t="s">
        <v>132</v>
      </c>
      <c r="Z630" s="1" t="s">
        <v>12843</v>
      </c>
      <c r="AA630" s="1" t="s">
        <v>12844</v>
      </c>
      <c r="AB630" s="1" t="s">
        <v>132</v>
      </c>
      <c r="AC630" s="1" t="s">
        <v>12845</v>
      </c>
      <c r="AD630" s="1" t="s">
        <v>132</v>
      </c>
      <c r="AE630" s="1" t="s">
        <v>132</v>
      </c>
      <c r="AF630" s="1" t="s">
        <v>12846</v>
      </c>
      <c r="AG630" s="1" t="s">
        <v>12847</v>
      </c>
      <c r="AH630" s="1" t="s">
        <v>132</v>
      </c>
      <c r="AI630" s="1" t="s">
        <v>132</v>
      </c>
      <c r="AJ630" s="1" t="s">
        <v>12848</v>
      </c>
      <c r="AK630" s="1" t="s">
        <v>132</v>
      </c>
      <c r="AL630" s="1" t="s">
        <v>132</v>
      </c>
      <c r="AM630" s="1" t="s">
        <v>12849</v>
      </c>
      <c r="AN630" s="1" t="s">
        <v>12849</v>
      </c>
    </row>
    <row r="631" ht="15.75" customHeight="1">
      <c r="A631" s="1" t="s">
        <v>127</v>
      </c>
      <c r="B631" s="1" t="s">
        <v>12850</v>
      </c>
      <c r="C631" s="1" t="s">
        <v>12851</v>
      </c>
      <c r="D631" s="8" t="s">
        <v>4419</v>
      </c>
      <c r="E631" s="1" t="s">
        <v>4420</v>
      </c>
      <c r="F631" s="1" t="s">
        <v>132</v>
      </c>
      <c r="G631" s="1" t="s">
        <v>12852</v>
      </c>
      <c r="H631" s="1" t="s">
        <v>12851</v>
      </c>
      <c r="I631" s="1" t="s">
        <v>12853</v>
      </c>
      <c r="J631" s="1" t="s">
        <v>12854</v>
      </c>
      <c r="K631" s="1" t="s">
        <v>12855</v>
      </c>
      <c r="L631" s="1" t="s">
        <v>12851</v>
      </c>
      <c r="M631" s="1" t="s">
        <v>12855</v>
      </c>
      <c r="N631" s="1" t="s">
        <v>132</v>
      </c>
      <c r="O631" s="1" t="s">
        <v>12856</v>
      </c>
      <c r="P631" s="1" t="s">
        <v>12857</v>
      </c>
      <c r="Q631" s="1" t="s">
        <v>132</v>
      </c>
      <c r="R631" s="1" t="s">
        <v>12858</v>
      </c>
      <c r="S631" s="1" t="s">
        <v>12851</v>
      </c>
      <c r="T631" s="1" t="s">
        <v>132</v>
      </c>
      <c r="U631" s="1" t="s">
        <v>12851</v>
      </c>
      <c r="V631" s="1" t="s">
        <v>4434</v>
      </c>
      <c r="W631" s="1" t="s">
        <v>12858</v>
      </c>
      <c r="X631" s="1" t="s">
        <v>12851</v>
      </c>
      <c r="Y631" s="1" t="s">
        <v>12859</v>
      </c>
      <c r="Z631" s="1" t="s">
        <v>12860</v>
      </c>
      <c r="AA631" s="1" t="s">
        <v>4438</v>
      </c>
      <c r="AB631" s="1" t="s">
        <v>12855</v>
      </c>
      <c r="AC631" s="1" t="s">
        <v>12861</v>
      </c>
      <c r="AD631" s="1" t="s">
        <v>12851</v>
      </c>
      <c r="AE631" s="1" t="s">
        <v>12851</v>
      </c>
      <c r="AF631" s="1" t="s">
        <v>12862</v>
      </c>
      <c r="AG631" s="1" t="s">
        <v>12851</v>
      </c>
      <c r="AH631" s="1" t="s">
        <v>4443</v>
      </c>
      <c r="AI631" s="1" t="s">
        <v>8443</v>
      </c>
      <c r="AJ631" s="1" t="s">
        <v>132</v>
      </c>
      <c r="AK631" s="1" t="s">
        <v>12851</v>
      </c>
      <c r="AL631" s="1" t="s">
        <v>4446</v>
      </c>
      <c r="AM631" s="1" t="s">
        <v>4447</v>
      </c>
      <c r="AN631" s="1" t="s">
        <v>4447</v>
      </c>
    </row>
    <row r="632" ht="15.75" customHeight="1">
      <c r="A632" s="1" t="s">
        <v>38</v>
      </c>
      <c r="B632" s="1" t="s">
        <v>12863</v>
      </c>
      <c r="C632" s="1" t="s">
        <v>12864</v>
      </c>
      <c r="D632" s="8" t="s">
        <v>12865</v>
      </c>
      <c r="E632" s="1" t="s">
        <v>12866</v>
      </c>
      <c r="F632" s="1" t="s">
        <v>12867</v>
      </c>
      <c r="G632" s="1" t="s">
        <v>132</v>
      </c>
      <c r="H632" s="1" t="s">
        <v>132</v>
      </c>
      <c r="I632" s="1" t="s">
        <v>12864</v>
      </c>
      <c r="J632" s="1" t="s">
        <v>132</v>
      </c>
      <c r="K632" s="1" t="s">
        <v>12864</v>
      </c>
      <c r="L632" s="1" t="s">
        <v>132</v>
      </c>
      <c r="M632" s="1" t="s">
        <v>12868</v>
      </c>
      <c r="N632" s="1" t="s">
        <v>12864</v>
      </c>
      <c r="O632" s="1" t="s">
        <v>132</v>
      </c>
      <c r="P632" s="1" t="s">
        <v>12864</v>
      </c>
      <c r="Q632" s="1" t="s">
        <v>12864</v>
      </c>
      <c r="R632" s="1" t="s">
        <v>132</v>
      </c>
      <c r="S632" s="1" t="s">
        <v>12864</v>
      </c>
      <c r="T632" s="1" t="s">
        <v>132</v>
      </c>
      <c r="U632" s="1" t="s">
        <v>12869</v>
      </c>
      <c r="V632" s="1" t="s">
        <v>12864</v>
      </c>
      <c r="W632" s="1" t="s">
        <v>132</v>
      </c>
      <c r="X632" s="1" t="s">
        <v>12864</v>
      </c>
      <c r="Y632" s="1" t="s">
        <v>132</v>
      </c>
      <c r="Z632" s="1" t="s">
        <v>12864</v>
      </c>
      <c r="AA632" s="1" t="s">
        <v>12864</v>
      </c>
      <c r="AB632" s="1" t="s">
        <v>132</v>
      </c>
      <c r="AC632" s="1" t="s">
        <v>12870</v>
      </c>
      <c r="AD632" s="1" t="s">
        <v>12864</v>
      </c>
      <c r="AE632" s="1" t="s">
        <v>132</v>
      </c>
      <c r="AF632" s="1" t="s">
        <v>12871</v>
      </c>
      <c r="AG632" s="1" t="s">
        <v>12872</v>
      </c>
      <c r="AH632" s="1" t="s">
        <v>132</v>
      </c>
      <c r="AI632" s="1" t="s">
        <v>132</v>
      </c>
      <c r="AJ632" s="1" t="s">
        <v>12873</v>
      </c>
      <c r="AK632" s="1" t="s">
        <v>12864</v>
      </c>
      <c r="AL632" s="1" t="s">
        <v>132</v>
      </c>
      <c r="AM632" s="1" t="s">
        <v>12864</v>
      </c>
      <c r="AN632" s="1" t="s">
        <v>12864</v>
      </c>
    </row>
    <row r="633" ht="15.75" customHeight="1">
      <c r="A633" s="1" t="s">
        <v>38</v>
      </c>
      <c r="B633" s="1" t="s">
        <v>12874</v>
      </c>
      <c r="C633" s="1" t="s">
        <v>12875</v>
      </c>
      <c r="D633" s="1" t="s">
        <v>132</v>
      </c>
      <c r="E633" s="1" t="s">
        <v>132</v>
      </c>
      <c r="F633" s="1" t="s">
        <v>132</v>
      </c>
      <c r="G633" s="1" t="s">
        <v>132</v>
      </c>
      <c r="H633" s="1" t="s">
        <v>132</v>
      </c>
      <c r="I633" s="1" t="s">
        <v>12876</v>
      </c>
      <c r="J633" s="1" t="s">
        <v>132</v>
      </c>
      <c r="K633" s="1" t="s">
        <v>12877</v>
      </c>
      <c r="L633" s="1" t="s">
        <v>132</v>
      </c>
      <c r="M633" s="1" t="s">
        <v>12878</v>
      </c>
      <c r="N633" s="1" t="s">
        <v>132</v>
      </c>
      <c r="O633" s="1" t="s">
        <v>132</v>
      </c>
      <c r="P633" s="1" t="s">
        <v>12875</v>
      </c>
      <c r="Q633" s="1" t="s">
        <v>132</v>
      </c>
      <c r="R633" s="1" t="s">
        <v>132</v>
      </c>
      <c r="S633" s="1" t="s">
        <v>132</v>
      </c>
      <c r="T633" s="1" t="s">
        <v>132</v>
      </c>
      <c r="U633" s="1" t="s">
        <v>132</v>
      </c>
      <c r="V633" s="1" t="s">
        <v>132</v>
      </c>
      <c r="W633" s="1" t="s">
        <v>132</v>
      </c>
      <c r="X633" s="1" t="s">
        <v>132</v>
      </c>
      <c r="Y633" s="1" t="s">
        <v>132</v>
      </c>
      <c r="Z633" s="1" t="s">
        <v>132</v>
      </c>
      <c r="AA633" s="1" t="s">
        <v>132</v>
      </c>
      <c r="AB633" s="1" t="s">
        <v>132</v>
      </c>
      <c r="AC633" s="1" t="s">
        <v>12879</v>
      </c>
      <c r="AD633" s="1" t="s">
        <v>132</v>
      </c>
      <c r="AE633" s="1" t="s">
        <v>132</v>
      </c>
      <c r="AF633" s="1" t="s">
        <v>12880</v>
      </c>
      <c r="AG633" s="1" t="s">
        <v>132</v>
      </c>
      <c r="AH633" s="1" t="s">
        <v>132</v>
      </c>
      <c r="AI633" s="1" t="s">
        <v>132</v>
      </c>
      <c r="AJ633" s="1" t="s">
        <v>132</v>
      </c>
      <c r="AK633" s="1" t="s">
        <v>132</v>
      </c>
      <c r="AL633" s="1" t="s">
        <v>132</v>
      </c>
      <c r="AM633" s="1" t="s">
        <v>132</v>
      </c>
      <c r="AN633" s="1" t="s">
        <v>132</v>
      </c>
    </row>
    <row r="634" ht="15.75" customHeight="1">
      <c r="A634" s="1" t="s">
        <v>127</v>
      </c>
      <c r="B634" s="1" t="s">
        <v>12881</v>
      </c>
      <c r="C634" s="1" t="s">
        <v>12882</v>
      </c>
      <c r="D634" s="8" t="s">
        <v>12883</v>
      </c>
      <c r="E634" s="1" t="s">
        <v>12884</v>
      </c>
      <c r="F634" s="1" t="s">
        <v>132</v>
      </c>
      <c r="G634" s="1" t="s">
        <v>12885</v>
      </c>
      <c r="H634" s="1" t="s">
        <v>12886</v>
      </c>
      <c r="I634" s="1" t="s">
        <v>12882</v>
      </c>
      <c r="J634" s="1" t="s">
        <v>12887</v>
      </c>
      <c r="K634" s="1" t="s">
        <v>12882</v>
      </c>
      <c r="L634" s="1" t="s">
        <v>12888</v>
      </c>
      <c r="M634" s="1" t="s">
        <v>12882</v>
      </c>
      <c r="N634" s="1" t="s">
        <v>132</v>
      </c>
      <c r="O634" s="1" t="s">
        <v>12889</v>
      </c>
      <c r="P634" s="1" t="s">
        <v>12882</v>
      </c>
      <c r="Q634" s="1" t="s">
        <v>132</v>
      </c>
      <c r="R634" s="1" t="s">
        <v>12890</v>
      </c>
      <c r="S634" s="1" t="s">
        <v>12882</v>
      </c>
      <c r="T634" s="1" t="s">
        <v>132</v>
      </c>
      <c r="U634" s="1" t="s">
        <v>12891</v>
      </c>
      <c r="V634" s="1" t="s">
        <v>12892</v>
      </c>
      <c r="W634" s="1" t="s">
        <v>12890</v>
      </c>
      <c r="X634" s="1" t="s">
        <v>12882</v>
      </c>
      <c r="Y634" s="1" t="s">
        <v>12893</v>
      </c>
      <c r="Z634" s="1" t="s">
        <v>12882</v>
      </c>
      <c r="AA634" s="1" t="s">
        <v>12894</v>
      </c>
      <c r="AB634" s="1" t="s">
        <v>12895</v>
      </c>
      <c r="AC634" s="1" t="s">
        <v>12896</v>
      </c>
      <c r="AD634" s="1" t="s">
        <v>12897</v>
      </c>
      <c r="AE634" s="1" t="s">
        <v>12898</v>
      </c>
      <c r="AF634" s="1" t="s">
        <v>12882</v>
      </c>
      <c r="AG634" s="1" t="s">
        <v>12899</v>
      </c>
      <c r="AH634" s="1" t="s">
        <v>12900</v>
      </c>
      <c r="AI634" s="1" t="s">
        <v>12901</v>
      </c>
      <c r="AJ634" s="1" t="s">
        <v>132</v>
      </c>
      <c r="AK634" s="1" t="s">
        <v>12902</v>
      </c>
      <c r="AL634" s="1" t="s">
        <v>12903</v>
      </c>
      <c r="AM634" s="1" t="s">
        <v>12904</v>
      </c>
      <c r="AN634" s="1" t="s">
        <v>12904</v>
      </c>
    </row>
    <row r="635" ht="15.75" customHeight="1">
      <c r="A635" s="1" t="s">
        <v>127</v>
      </c>
      <c r="B635" s="1" t="s">
        <v>12905</v>
      </c>
      <c r="C635" s="1" t="s">
        <v>12906</v>
      </c>
      <c r="D635" s="8" t="s">
        <v>12907</v>
      </c>
      <c r="E635" s="1" t="s">
        <v>12908</v>
      </c>
      <c r="F635" s="1" t="s">
        <v>132</v>
      </c>
      <c r="G635" s="1" t="s">
        <v>12909</v>
      </c>
      <c r="H635" s="1" t="s">
        <v>12910</v>
      </c>
      <c r="I635" s="1" t="s">
        <v>12906</v>
      </c>
      <c r="J635" s="1" t="s">
        <v>12911</v>
      </c>
      <c r="K635" s="1" t="s">
        <v>12906</v>
      </c>
      <c r="L635" s="1" t="s">
        <v>12912</v>
      </c>
      <c r="M635" s="1" t="s">
        <v>12906</v>
      </c>
      <c r="N635" s="1" t="s">
        <v>132</v>
      </c>
      <c r="O635" s="1" t="s">
        <v>12913</v>
      </c>
      <c r="P635" s="1" t="s">
        <v>12906</v>
      </c>
      <c r="Q635" s="1" t="s">
        <v>132</v>
      </c>
      <c r="R635" s="1" t="s">
        <v>12914</v>
      </c>
      <c r="S635" s="1" t="s">
        <v>12906</v>
      </c>
      <c r="T635" s="1" t="s">
        <v>132</v>
      </c>
      <c r="U635" s="1" t="s">
        <v>12915</v>
      </c>
      <c r="V635" s="1" t="s">
        <v>12916</v>
      </c>
      <c r="W635" s="1" t="s">
        <v>12914</v>
      </c>
      <c r="X635" s="1" t="s">
        <v>12917</v>
      </c>
      <c r="Y635" s="1" t="s">
        <v>12918</v>
      </c>
      <c r="Z635" s="1" t="s">
        <v>12906</v>
      </c>
      <c r="AA635" s="1" t="s">
        <v>12919</v>
      </c>
      <c r="AB635" s="1" t="s">
        <v>12920</v>
      </c>
      <c r="AC635" s="1" t="s">
        <v>12921</v>
      </c>
      <c r="AD635" s="1" t="s">
        <v>12922</v>
      </c>
      <c r="AE635" s="1" t="s">
        <v>12923</v>
      </c>
      <c r="AF635" s="1" t="s">
        <v>12906</v>
      </c>
      <c r="AG635" s="1" t="s">
        <v>12924</v>
      </c>
      <c r="AH635" s="1" t="s">
        <v>12925</v>
      </c>
      <c r="AI635" s="1" t="s">
        <v>12926</v>
      </c>
      <c r="AJ635" s="1" t="s">
        <v>132</v>
      </c>
      <c r="AK635" s="1" t="s">
        <v>12927</v>
      </c>
      <c r="AL635" s="1" t="s">
        <v>12928</v>
      </c>
      <c r="AM635" s="1" t="s">
        <v>12929</v>
      </c>
      <c r="AN635" s="1" t="s">
        <v>12929</v>
      </c>
    </row>
    <row r="636" ht="15.75" customHeight="1">
      <c r="A636" s="1" t="s">
        <v>38</v>
      </c>
      <c r="B636" s="1" t="s">
        <v>12930</v>
      </c>
      <c r="C636" s="1" t="s">
        <v>12931</v>
      </c>
      <c r="D636" s="1" t="s">
        <v>132</v>
      </c>
      <c r="E636" s="1" t="s">
        <v>12932</v>
      </c>
      <c r="F636" s="1" t="s">
        <v>132</v>
      </c>
      <c r="G636" s="1" t="s">
        <v>132</v>
      </c>
      <c r="H636" s="1" t="s">
        <v>132</v>
      </c>
      <c r="I636" s="1" t="s">
        <v>12933</v>
      </c>
      <c r="J636" s="1" t="s">
        <v>132</v>
      </c>
      <c r="K636" s="1" t="s">
        <v>12934</v>
      </c>
      <c r="L636" s="1" t="s">
        <v>132</v>
      </c>
      <c r="M636" s="1" t="s">
        <v>132</v>
      </c>
      <c r="N636" s="1" t="s">
        <v>12936</v>
      </c>
      <c r="O636" s="1" t="s">
        <v>132</v>
      </c>
      <c r="P636" s="1" t="s">
        <v>12937</v>
      </c>
      <c r="Q636" s="1" t="s">
        <v>132</v>
      </c>
      <c r="R636" s="1" t="s">
        <v>132</v>
      </c>
      <c r="S636" s="1" t="s">
        <v>12938</v>
      </c>
      <c r="T636" s="1" t="s">
        <v>132</v>
      </c>
      <c r="U636" s="1" t="s">
        <v>132</v>
      </c>
      <c r="V636" s="1" t="s">
        <v>132</v>
      </c>
      <c r="W636" s="1" t="s">
        <v>132</v>
      </c>
      <c r="X636" s="1" t="s">
        <v>12939</v>
      </c>
      <c r="Y636" s="1" t="s">
        <v>132</v>
      </c>
      <c r="Z636" s="1" t="s">
        <v>12940</v>
      </c>
      <c r="AA636" s="1" t="s">
        <v>132</v>
      </c>
      <c r="AB636" s="1" t="s">
        <v>132</v>
      </c>
      <c r="AC636" s="1" t="s">
        <v>132</v>
      </c>
      <c r="AD636" s="1" t="s">
        <v>132</v>
      </c>
      <c r="AE636" s="1" t="s">
        <v>132</v>
      </c>
      <c r="AF636" s="1" t="s">
        <v>132</v>
      </c>
      <c r="AG636" s="1" t="s">
        <v>132</v>
      </c>
      <c r="AH636" s="1" t="s">
        <v>132</v>
      </c>
      <c r="AI636" s="1" t="s">
        <v>132</v>
      </c>
      <c r="AJ636" s="1" t="s">
        <v>132</v>
      </c>
      <c r="AK636" s="1" t="s">
        <v>132</v>
      </c>
      <c r="AL636" s="1" t="s">
        <v>132</v>
      </c>
      <c r="AM636" s="1" t="s">
        <v>132</v>
      </c>
      <c r="AN636" s="1" t="s">
        <v>132</v>
      </c>
    </row>
    <row r="637" ht="15.75" customHeight="1">
      <c r="A637" s="1" t="s">
        <v>127</v>
      </c>
      <c r="B637" s="1" t="s">
        <v>12941</v>
      </c>
      <c r="C637" s="1" t="s">
        <v>12942</v>
      </c>
      <c r="D637" s="8" t="s">
        <v>12943</v>
      </c>
      <c r="E637" s="1" t="s">
        <v>12944</v>
      </c>
      <c r="F637" s="1" t="s">
        <v>132</v>
      </c>
      <c r="G637" s="1" t="s">
        <v>12945</v>
      </c>
      <c r="H637" s="1" t="s">
        <v>12946</v>
      </c>
      <c r="I637" s="1" t="s">
        <v>12942</v>
      </c>
      <c r="J637" s="1" t="s">
        <v>12947</v>
      </c>
      <c r="K637" s="1" t="s">
        <v>12942</v>
      </c>
      <c r="L637" s="1" t="s">
        <v>12948</v>
      </c>
      <c r="M637" s="1" t="s">
        <v>12942</v>
      </c>
      <c r="N637" s="1" t="s">
        <v>132</v>
      </c>
      <c r="O637" s="1" t="s">
        <v>12949</v>
      </c>
      <c r="P637" s="1" t="s">
        <v>12942</v>
      </c>
      <c r="Q637" s="1" t="s">
        <v>132</v>
      </c>
      <c r="R637" s="1" t="s">
        <v>12950</v>
      </c>
      <c r="S637" s="1" t="s">
        <v>12942</v>
      </c>
      <c r="T637" s="1" t="s">
        <v>132</v>
      </c>
      <c r="U637" s="1" t="s">
        <v>12951</v>
      </c>
      <c r="V637" s="1" t="s">
        <v>12952</v>
      </c>
      <c r="W637" s="1" t="s">
        <v>12953</v>
      </c>
      <c r="X637" s="1" t="s">
        <v>12942</v>
      </c>
      <c r="Y637" s="1" t="s">
        <v>12954</v>
      </c>
      <c r="Z637" s="1" t="s">
        <v>12955</v>
      </c>
      <c r="AA637" s="1" t="s">
        <v>12956</v>
      </c>
      <c r="AB637" s="1" t="s">
        <v>12957</v>
      </c>
      <c r="AC637" s="1" t="s">
        <v>12958</v>
      </c>
      <c r="AD637" s="1" t="s">
        <v>12959</v>
      </c>
      <c r="AE637" s="1" t="s">
        <v>12960</v>
      </c>
      <c r="AF637" s="1" t="s">
        <v>12942</v>
      </c>
      <c r="AG637" s="1" t="s">
        <v>12961</v>
      </c>
      <c r="AH637" s="1" t="s">
        <v>12962</v>
      </c>
      <c r="AI637" s="1" t="s">
        <v>12963</v>
      </c>
      <c r="AJ637" s="1" t="s">
        <v>132</v>
      </c>
      <c r="AK637" s="1" t="s">
        <v>12964</v>
      </c>
      <c r="AL637" s="1" t="s">
        <v>12965</v>
      </c>
      <c r="AM637" s="1" t="s">
        <v>12966</v>
      </c>
      <c r="AN637" s="1" t="s">
        <v>12966</v>
      </c>
    </row>
    <row r="638" ht="15.75" customHeight="1">
      <c r="A638" s="1" t="s">
        <v>127</v>
      </c>
      <c r="B638" s="1" t="s">
        <v>12967</v>
      </c>
      <c r="C638" s="1" t="s">
        <v>12968</v>
      </c>
      <c r="D638" s="8" t="s">
        <v>12969</v>
      </c>
      <c r="E638" s="1" t="s">
        <v>12970</v>
      </c>
      <c r="F638" s="1" t="s">
        <v>132</v>
      </c>
      <c r="G638" s="1" t="s">
        <v>12971</v>
      </c>
      <c r="H638" s="1" t="s">
        <v>12972</v>
      </c>
      <c r="I638" s="1" t="s">
        <v>12968</v>
      </c>
      <c r="J638" s="1" t="s">
        <v>12973</v>
      </c>
      <c r="K638" s="1" t="s">
        <v>12974</v>
      </c>
      <c r="L638" s="1" t="s">
        <v>12975</v>
      </c>
      <c r="M638" s="1" t="s">
        <v>12968</v>
      </c>
      <c r="N638" s="1" t="s">
        <v>132</v>
      </c>
      <c r="O638" s="1" t="s">
        <v>12976</v>
      </c>
      <c r="P638" s="1" t="s">
        <v>12968</v>
      </c>
      <c r="Q638" s="1" t="s">
        <v>132</v>
      </c>
      <c r="R638" s="1" t="s">
        <v>12977</v>
      </c>
      <c r="S638" s="1" t="s">
        <v>12968</v>
      </c>
      <c r="T638" s="1" t="s">
        <v>132</v>
      </c>
      <c r="U638" s="1" t="s">
        <v>12978</v>
      </c>
      <c r="V638" s="1" t="s">
        <v>12979</v>
      </c>
      <c r="W638" s="1" t="s">
        <v>12977</v>
      </c>
      <c r="X638" s="1" t="s">
        <v>12980</v>
      </c>
      <c r="Y638" s="1" t="s">
        <v>12981</v>
      </c>
      <c r="Z638" s="1" t="s">
        <v>12982</v>
      </c>
      <c r="AA638" s="1" t="s">
        <v>12983</v>
      </c>
      <c r="AB638" s="1" t="s">
        <v>12984</v>
      </c>
      <c r="AC638" s="1" t="s">
        <v>12985</v>
      </c>
      <c r="AD638" s="1" t="s">
        <v>12986</v>
      </c>
      <c r="AE638" s="1" t="s">
        <v>12987</v>
      </c>
      <c r="AF638" s="1" t="s">
        <v>12968</v>
      </c>
      <c r="AG638" s="1" t="s">
        <v>12988</v>
      </c>
      <c r="AH638" s="1" t="s">
        <v>12989</v>
      </c>
      <c r="AI638" s="1" t="s">
        <v>12990</v>
      </c>
      <c r="AJ638" s="1" t="s">
        <v>132</v>
      </c>
      <c r="AK638" s="1" t="s">
        <v>12991</v>
      </c>
      <c r="AL638" s="1" t="s">
        <v>12992</v>
      </c>
      <c r="AM638" s="1" t="s">
        <v>12993</v>
      </c>
      <c r="AN638" s="1" t="s">
        <v>12993</v>
      </c>
    </row>
    <row r="639" ht="15.75" customHeight="1">
      <c r="A639" s="1" t="s">
        <v>38</v>
      </c>
      <c r="B639" s="1" t="s">
        <v>12994</v>
      </c>
      <c r="C639" s="1" t="s">
        <v>6246</v>
      </c>
      <c r="D639" s="8" t="s">
        <v>6247</v>
      </c>
      <c r="E639" s="1" t="s">
        <v>6248</v>
      </c>
      <c r="F639" s="1" t="s">
        <v>6249</v>
      </c>
      <c r="G639" s="1" t="s">
        <v>132</v>
      </c>
      <c r="H639" s="1" t="s">
        <v>132</v>
      </c>
      <c r="I639" s="1" t="s">
        <v>6246</v>
      </c>
      <c r="J639" s="1" t="s">
        <v>132</v>
      </c>
      <c r="K639" s="1" t="s">
        <v>6250</v>
      </c>
      <c r="L639" s="1" t="s">
        <v>132</v>
      </c>
      <c r="M639" s="1" t="s">
        <v>12995</v>
      </c>
      <c r="N639" s="1" t="s">
        <v>6246</v>
      </c>
      <c r="O639" s="1" t="s">
        <v>132</v>
      </c>
      <c r="P639" s="1" t="s">
        <v>3932</v>
      </c>
      <c r="Q639" s="1" t="s">
        <v>6246</v>
      </c>
      <c r="R639" s="1" t="s">
        <v>132</v>
      </c>
      <c r="S639" s="1" t="s">
        <v>6246</v>
      </c>
      <c r="T639" s="1" t="s">
        <v>132</v>
      </c>
      <c r="U639" s="1" t="s">
        <v>6253</v>
      </c>
      <c r="V639" s="1" t="s">
        <v>6254</v>
      </c>
      <c r="W639" s="1" t="s">
        <v>132</v>
      </c>
      <c r="X639" s="1" t="s">
        <v>6246</v>
      </c>
      <c r="Y639" s="1" t="s">
        <v>132</v>
      </c>
      <c r="Z639" s="1" t="s">
        <v>6246</v>
      </c>
      <c r="AA639" s="1" t="s">
        <v>6246</v>
      </c>
      <c r="AB639" s="1" t="s">
        <v>132</v>
      </c>
      <c r="AC639" s="1" t="s">
        <v>6256</v>
      </c>
      <c r="AD639" s="1" t="s">
        <v>132</v>
      </c>
      <c r="AE639" s="1" t="s">
        <v>132</v>
      </c>
      <c r="AF639" s="1" t="s">
        <v>6257</v>
      </c>
      <c r="AG639" s="1" t="s">
        <v>6246</v>
      </c>
      <c r="AH639" s="1" t="s">
        <v>132</v>
      </c>
      <c r="AI639" s="1" t="s">
        <v>132</v>
      </c>
      <c r="AJ639" s="1" t="s">
        <v>6258</v>
      </c>
      <c r="AK639" s="1" t="s">
        <v>132</v>
      </c>
      <c r="AL639" s="1" t="s">
        <v>132</v>
      </c>
      <c r="AM639" s="1" t="s">
        <v>3943</v>
      </c>
      <c r="AN639" s="1" t="s">
        <v>3943</v>
      </c>
    </row>
    <row r="640" ht="15.75" customHeight="1">
      <c r="A640" s="1" t="s">
        <v>127</v>
      </c>
      <c r="B640" s="1" t="s">
        <v>12996</v>
      </c>
      <c r="C640" s="1" t="s">
        <v>12997</v>
      </c>
      <c r="D640" s="8" t="s">
        <v>12998</v>
      </c>
      <c r="E640" s="1" t="s">
        <v>12999</v>
      </c>
      <c r="F640" s="1" t="s">
        <v>132</v>
      </c>
      <c r="G640" s="1" t="s">
        <v>13000</v>
      </c>
      <c r="H640" s="1" t="s">
        <v>13001</v>
      </c>
      <c r="I640" s="1" t="s">
        <v>13002</v>
      </c>
      <c r="J640" s="1" t="s">
        <v>13003</v>
      </c>
      <c r="K640" s="1" t="s">
        <v>13004</v>
      </c>
      <c r="L640" s="1" t="s">
        <v>13005</v>
      </c>
      <c r="M640" s="1" t="s">
        <v>13006</v>
      </c>
      <c r="N640" s="1" t="s">
        <v>132</v>
      </c>
      <c r="O640" s="1" t="s">
        <v>13007</v>
      </c>
      <c r="P640" s="1" t="s">
        <v>13008</v>
      </c>
      <c r="Q640" s="1" t="s">
        <v>132</v>
      </c>
      <c r="R640" s="1" t="s">
        <v>13009</v>
      </c>
      <c r="S640" s="1" t="s">
        <v>13010</v>
      </c>
      <c r="T640" s="1" t="s">
        <v>132</v>
      </c>
      <c r="U640" s="1" t="s">
        <v>12997</v>
      </c>
      <c r="V640" s="1" t="s">
        <v>13011</v>
      </c>
      <c r="W640" s="1" t="s">
        <v>13012</v>
      </c>
      <c r="X640" s="1" t="s">
        <v>13013</v>
      </c>
      <c r="Y640" s="1" t="s">
        <v>13014</v>
      </c>
      <c r="Z640" s="1" t="s">
        <v>13015</v>
      </c>
      <c r="AA640" s="1" t="s">
        <v>12997</v>
      </c>
      <c r="AB640" s="1" t="s">
        <v>13016</v>
      </c>
      <c r="AC640" s="1" t="s">
        <v>13017</v>
      </c>
      <c r="AD640" s="1" t="s">
        <v>13018</v>
      </c>
      <c r="AE640" s="1" t="s">
        <v>13019</v>
      </c>
      <c r="AF640" s="1" t="s">
        <v>13020</v>
      </c>
      <c r="AG640" s="1" t="s">
        <v>13021</v>
      </c>
      <c r="AH640" s="1" t="s">
        <v>13022</v>
      </c>
      <c r="AI640" s="1" t="s">
        <v>13023</v>
      </c>
      <c r="AJ640" s="1" t="s">
        <v>132</v>
      </c>
      <c r="AK640" s="1" t="s">
        <v>13024</v>
      </c>
      <c r="AL640" s="1" t="s">
        <v>13025</v>
      </c>
      <c r="AM640" s="1" t="s">
        <v>13026</v>
      </c>
      <c r="AN640" s="1" t="s">
        <v>13026</v>
      </c>
    </row>
    <row r="641" ht="15.75" customHeight="1">
      <c r="A641" s="1" t="s">
        <v>127</v>
      </c>
      <c r="B641" s="1" t="s">
        <v>13027</v>
      </c>
      <c r="C641" s="1" t="s">
        <v>13028</v>
      </c>
      <c r="D641" s="8" t="s">
        <v>13029</v>
      </c>
      <c r="E641" s="1" t="s">
        <v>13030</v>
      </c>
      <c r="F641" s="1" t="s">
        <v>132</v>
      </c>
      <c r="G641" s="1" t="s">
        <v>13028</v>
      </c>
      <c r="H641" s="1" t="s">
        <v>13028</v>
      </c>
      <c r="I641" s="1" t="s">
        <v>13028</v>
      </c>
      <c r="J641" s="1" t="s">
        <v>13028</v>
      </c>
      <c r="K641" s="1" t="s">
        <v>13028</v>
      </c>
      <c r="L641" s="1" t="s">
        <v>13028</v>
      </c>
      <c r="M641" s="1" t="s">
        <v>13028</v>
      </c>
      <c r="N641" s="1" t="s">
        <v>132</v>
      </c>
      <c r="O641" s="1" t="s">
        <v>13031</v>
      </c>
      <c r="P641" s="1" t="s">
        <v>13028</v>
      </c>
      <c r="Q641" s="1" t="s">
        <v>132</v>
      </c>
      <c r="R641" s="1" t="s">
        <v>13028</v>
      </c>
      <c r="S641" s="1" t="s">
        <v>13028</v>
      </c>
      <c r="T641" s="1" t="s">
        <v>132</v>
      </c>
      <c r="U641" s="1" t="s">
        <v>13032</v>
      </c>
      <c r="V641" s="1" t="s">
        <v>13033</v>
      </c>
      <c r="W641" s="1" t="s">
        <v>13028</v>
      </c>
      <c r="X641" s="1" t="s">
        <v>13028</v>
      </c>
      <c r="Y641" s="1" t="s">
        <v>13028</v>
      </c>
      <c r="Z641" s="1" t="s">
        <v>13028</v>
      </c>
      <c r="AA641" s="1" t="s">
        <v>13028</v>
      </c>
      <c r="AB641" s="1" t="s">
        <v>13028</v>
      </c>
      <c r="AC641" s="1" t="s">
        <v>13030</v>
      </c>
      <c r="AD641" s="1" t="s">
        <v>13028</v>
      </c>
      <c r="AE641" s="1" t="s">
        <v>13028</v>
      </c>
      <c r="AF641" s="1" t="s">
        <v>13028</v>
      </c>
      <c r="AG641" s="1" t="s">
        <v>13028</v>
      </c>
      <c r="AH641" s="1" t="s">
        <v>13028</v>
      </c>
      <c r="AI641" s="1" t="s">
        <v>13028</v>
      </c>
      <c r="AJ641" s="1" t="s">
        <v>132</v>
      </c>
      <c r="AK641" s="1" t="s">
        <v>13028</v>
      </c>
      <c r="AL641" s="1" t="s">
        <v>13034</v>
      </c>
      <c r="AM641" s="1" t="s">
        <v>13035</v>
      </c>
      <c r="AN641" s="1" t="s">
        <v>13035</v>
      </c>
    </row>
    <row r="642" ht="15.75" customHeight="1">
      <c r="A642" s="1" t="s">
        <v>5830</v>
      </c>
      <c r="B642" s="1" t="s">
        <v>13036</v>
      </c>
      <c r="C642" s="1" t="s">
        <v>132</v>
      </c>
      <c r="D642" s="1" t="s">
        <v>132</v>
      </c>
      <c r="E642" s="1" t="s">
        <v>132</v>
      </c>
      <c r="F642" s="1" t="s">
        <v>132</v>
      </c>
      <c r="G642" s="1" t="s">
        <v>132</v>
      </c>
      <c r="H642" s="1" t="s">
        <v>132</v>
      </c>
      <c r="I642" s="1" t="s">
        <v>132</v>
      </c>
      <c r="J642" s="1" t="s">
        <v>132</v>
      </c>
      <c r="K642" s="1" t="s">
        <v>132</v>
      </c>
      <c r="L642" s="1" t="s">
        <v>132</v>
      </c>
      <c r="M642" s="1" t="s">
        <v>132</v>
      </c>
      <c r="N642" s="1" t="s">
        <v>132</v>
      </c>
      <c r="O642" s="1" t="s">
        <v>132</v>
      </c>
      <c r="P642" s="1" t="s">
        <v>132</v>
      </c>
      <c r="Q642" s="1" t="s">
        <v>132</v>
      </c>
      <c r="R642" s="1" t="s">
        <v>132</v>
      </c>
      <c r="S642" s="1" t="s">
        <v>132</v>
      </c>
      <c r="T642" s="1" t="s">
        <v>132</v>
      </c>
      <c r="U642" s="1" t="s">
        <v>132</v>
      </c>
      <c r="V642" s="1" t="s">
        <v>132</v>
      </c>
      <c r="W642" s="1" t="s">
        <v>132</v>
      </c>
      <c r="X642" s="1" t="s">
        <v>132</v>
      </c>
      <c r="Y642" s="1" t="s">
        <v>132</v>
      </c>
      <c r="Z642" s="1" t="s">
        <v>132</v>
      </c>
      <c r="AA642" s="1" t="s">
        <v>132</v>
      </c>
      <c r="AB642" s="1" t="s">
        <v>132</v>
      </c>
      <c r="AC642" s="1" t="s">
        <v>132</v>
      </c>
      <c r="AD642" s="1" t="s">
        <v>132</v>
      </c>
      <c r="AE642" s="1" t="s">
        <v>132</v>
      </c>
      <c r="AF642" s="1" t="s">
        <v>132</v>
      </c>
      <c r="AG642" s="1" t="s">
        <v>132</v>
      </c>
      <c r="AH642" s="1" t="s">
        <v>132</v>
      </c>
      <c r="AI642" s="1" t="s">
        <v>132</v>
      </c>
      <c r="AJ642" s="1" t="s">
        <v>132</v>
      </c>
      <c r="AK642" s="1" t="s">
        <v>132</v>
      </c>
      <c r="AL642" s="1" t="s">
        <v>132</v>
      </c>
      <c r="AM642" s="1" t="s">
        <v>13037</v>
      </c>
      <c r="AN642" s="1" t="s">
        <v>13037</v>
      </c>
    </row>
    <row r="643" ht="15.75" customHeight="1">
      <c r="A643" s="1" t="s">
        <v>127</v>
      </c>
      <c r="B643" s="1" t="s">
        <v>13038</v>
      </c>
      <c r="C643" s="1" t="s">
        <v>13039</v>
      </c>
      <c r="D643" s="8" t="s">
        <v>13040</v>
      </c>
      <c r="E643" s="1" t="s">
        <v>13041</v>
      </c>
      <c r="F643" s="1" t="s">
        <v>132</v>
      </c>
      <c r="G643" s="1" t="s">
        <v>13042</v>
      </c>
      <c r="H643" s="1" t="s">
        <v>13043</v>
      </c>
      <c r="I643" s="1" t="s">
        <v>13039</v>
      </c>
      <c r="J643" s="1" t="s">
        <v>13044</v>
      </c>
      <c r="K643" s="1" t="s">
        <v>13045</v>
      </c>
      <c r="L643" s="1" t="s">
        <v>13046</v>
      </c>
      <c r="M643" s="1" t="s">
        <v>13047</v>
      </c>
      <c r="N643" s="1" t="s">
        <v>132</v>
      </c>
      <c r="O643" s="1" t="s">
        <v>13048</v>
      </c>
      <c r="P643" s="1" t="s">
        <v>13039</v>
      </c>
      <c r="Q643" s="1" t="s">
        <v>132</v>
      </c>
      <c r="R643" s="1" t="s">
        <v>13049</v>
      </c>
      <c r="S643" s="1" t="s">
        <v>13039</v>
      </c>
      <c r="T643" s="1" t="s">
        <v>132</v>
      </c>
      <c r="U643" s="1" t="s">
        <v>13050</v>
      </c>
      <c r="V643" s="1" t="s">
        <v>13051</v>
      </c>
      <c r="W643" s="1" t="s">
        <v>13049</v>
      </c>
      <c r="X643" s="1" t="s">
        <v>13052</v>
      </c>
      <c r="Y643" s="1" t="s">
        <v>13053</v>
      </c>
      <c r="Z643" s="1" t="s">
        <v>13054</v>
      </c>
      <c r="AA643" s="1" t="s">
        <v>13055</v>
      </c>
      <c r="AB643" s="1" t="s">
        <v>13056</v>
      </c>
      <c r="AC643" s="1" t="s">
        <v>13057</v>
      </c>
      <c r="AD643" s="1" t="s">
        <v>13058</v>
      </c>
      <c r="AE643" s="1" t="s">
        <v>13059</v>
      </c>
      <c r="AF643" s="1" t="s">
        <v>13039</v>
      </c>
      <c r="AG643" s="1" t="s">
        <v>13060</v>
      </c>
      <c r="AH643" s="1" t="s">
        <v>13061</v>
      </c>
      <c r="AI643" s="1" t="s">
        <v>13062</v>
      </c>
      <c r="AJ643" s="1" t="s">
        <v>132</v>
      </c>
      <c r="AK643" s="1" t="s">
        <v>13063</v>
      </c>
      <c r="AL643" s="1" t="s">
        <v>13064</v>
      </c>
      <c r="AM643" s="1" t="s">
        <v>13065</v>
      </c>
      <c r="AN643" s="1" t="s">
        <v>13065</v>
      </c>
    </row>
    <row r="644" ht="15.75" customHeight="1">
      <c r="A644" s="1" t="s">
        <v>38</v>
      </c>
      <c r="B644" s="1" t="s">
        <v>13066</v>
      </c>
      <c r="C644" s="1" t="s">
        <v>13067</v>
      </c>
      <c r="D644" s="8" t="s">
        <v>13068</v>
      </c>
      <c r="E644" s="1" t="s">
        <v>13069</v>
      </c>
      <c r="F644" s="1" t="s">
        <v>13070</v>
      </c>
      <c r="G644" s="1" t="s">
        <v>132</v>
      </c>
      <c r="H644" s="1" t="s">
        <v>132</v>
      </c>
      <c r="I644" s="1" t="s">
        <v>13071</v>
      </c>
      <c r="J644" s="1" t="s">
        <v>132</v>
      </c>
      <c r="K644" s="1" t="s">
        <v>13072</v>
      </c>
      <c r="L644" s="1" t="s">
        <v>132</v>
      </c>
      <c r="M644" s="1" t="s">
        <v>13073</v>
      </c>
      <c r="N644" s="1" t="s">
        <v>13072</v>
      </c>
      <c r="O644" s="1" t="s">
        <v>132</v>
      </c>
      <c r="P644" s="1" t="s">
        <v>13074</v>
      </c>
      <c r="Q644" s="1" t="s">
        <v>13075</v>
      </c>
      <c r="R644" s="1" t="s">
        <v>132</v>
      </c>
      <c r="S644" s="1" t="s">
        <v>13070</v>
      </c>
      <c r="T644" s="1" t="s">
        <v>132</v>
      </c>
      <c r="U644" s="1" t="s">
        <v>13076</v>
      </c>
      <c r="V644" s="1" t="s">
        <v>13077</v>
      </c>
      <c r="W644" s="1" t="s">
        <v>132</v>
      </c>
      <c r="X644" s="1" t="s">
        <v>13078</v>
      </c>
      <c r="Y644" s="1" t="s">
        <v>132</v>
      </c>
      <c r="Z644" s="1" t="s">
        <v>13079</v>
      </c>
      <c r="AA644" s="1" t="s">
        <v>13080</v>
      </c>
      <c r="AB644" s="1" t="s">
        <v>132</v>
      </c>
      <c r="AC644" s="1" t="s">
        <v>13081</v>
      </c>
      <c r="AD644" s="1" t="s">
        <v>13082</v>
      </c>
      <c r="AE644" s="1" t="s">
        <v>132</v>
      </c>
      <c r="AF644" s="1" t="s">
        <v>13083</v>
      </c>
      <c r="AG644" s="1" t="s">
        <v>13084</v>
      </c>
      <c r="AH644" s="1" t="s">
        <v>132</v>
      </c>
      <c r="AI644" s="1" t="s">
        <v>132</v>
      </c>
      <c r="AJ644" s="1" t="s">
        <v>13085</v>
      </c>
      <c r="AK644" s="1" t="s">
        <v>13086</v>
      </c>
      <c r="AL644" s="1" t="s">
        <v>132</v>
      </c>
      <c r="AM644" s="1" t="s">
        <v>13087</v>
      </c>
      <c r="AN644" s="1" t="s">
        <v>13087</v>
      </c>
    </row>
    <row r="645" ht="15.75" customHeight="1">
      <c r="A645" s="1" t="s">
        <v>127</v>
      </c>
      <c r="B645" s="1" t="s">
        <v>13088</v>
      </c>
      <c r="C645" s="1" t="s">
        <v>13089</v>
      </c>
      <c r="D645" s="8" t="s">
        <v>13090</v>
      </c>
      <c r="E645" s="1" t="s">
        <v>13091</v>
      </c>
      <c r="F645" s="1" t="s">
        <v>132</v>
      </c>
      <c r="G645" s="1" t="s">
        <v>13092</v>
      </c>
      <c r="H645" s="1" t="s">
        <v>13093</v>
      </c>
      <c r="I645" s="1" t="s">
        <v>13089</v>
      </c>
      <c r="J645" s="1" t="s">
        <v>13094</v>
      </c>
      <c r="K645" s="1" t="s">
        <v>13089</v>
      </c>
      <c r="L645" s="1" t="s">
        <v>13095</v>
      </c>
      <c r="M645" s="1" t="s">
        <v>13096</v>
      </c>
      <c r="N645" s="1" t="s">
        <v>132</v>
      </c>
      <c r="O645" s="1" t="s">
        <v>13097</v>
      </c>
      <c r="P645" s="1" t="s">
        <v>13089</v>
      </c>
      <c r="Q645" s="1" t="s">
        <v>132</v>
      </c>
      <c r="R645" s="1" t="s">
        <v>13098</v>
      </c>
      <c r="S645" s="1" t="s">
        <v>13089</v>
      </c>
      <c r="T645" s="1" t="s">
        <v>132</v>
      </c>
      <c r="U645" s="1" t="s">
        <v>13099</v>
      </c>
      <c r="V645" s="1" t="s">
        <v>13100</v>
      </c>
      <c r="W645" s="1" t="s">
        <v>13098</v>
      </c>
      <c r="X645" s="1" t="s">
        <v>13101</v>
      </c>
      <c r="Y645" s="1" t="s">
        <v>13102</v>
      </c>
      <c r="Z645" s="1" t="s">
        <v>13103</v>
      </c>
      <c r="AA645" s="1" t="s">
        <v>13089</v>
      </c>
      <c r="AB645" s="1" t="s">
        <v>13104</v>
      </c>
      <c r="AC645" s="1" t="s">
        <v>13105</v>
      </c>
      <c r="AD645" s="1" t="s">
        <v>13092</v>
      </c>
      <c r="AE645" s="1" t="s">
        <v>13106</v>
      </c>
      <c r="AF645" s="1" t="s">
        <v>13089</v>
      </c>
      <c r="AG645" s="1" t="s">
        <v>13107</v>
      </c>
      <c r="AH645" s="1" t="s">
        <v>13108</v>
      </c>
      <c r="AI645" s="1" t="s">
        <v>13109</v>
      </c>
      <c r="AJ645" s="1" t="s">
        <v>132</v>
      </c>
      <c r="AK645" s="1" t="s">
        <v>13110</v>
      </c>
      <c r="AL645" s="1" t="s">
        <v>13111</v>
      </c>
      <c r="AM645" s="1" t="s">
        <v>13112</v>
      </c>
      <c r="AN645" s="1" t="s">
        <v>13112</v>
      </c>
    </row>
    <row r="646" ht="15.75" customHeight="1">
      <c r="A646" s="1" t="s">
        <v>127</v>
      </c>
      <c r="B646" s="1" t="s">
        <v>13113</v>
      </c>
      <c r="C646" s="1" t="s">
        <v>13114</v>
      </c>
      <c r="D646" s="8" t="s">
        <v>13115</v>
      </c>
      <c r="E646" s="1" t="s">
        <v>13116</v>
      </c>
      <c r="F646" s="1" t="s">
        <v>132</v>
      </c>
      <c r="G646" s="1" t="s">
        <v>13117</v>
      </c>
      <c r="H646" s="1" t="s">
        <v>13118</v>
      </c>
      <c r="I646" s="1" t="s">
        <v>13114</v>
      </c>
      <c r="J646" s="1" t="s">
        <v>13119</v>
      </c>
      <c r="K646" s="1" t="s">
        <v>13114</v>
      </c>
      <c r="L646" s="1" t="s">
        <v>13120</v>
      </c>
      <c r="M646" s="1" t="s">
        <v>13121</v>
      </c>
      <c r="N646" s="1" t="s">
        <v>132</v>
      </c>
      <c r="O646" s="1" t="s">
        <v>13122</v>
      </c>
      <c r="P646" s="1" t="s">
        <v>13114</v>
      </c>
      <c r="Q646" s="1" t="s">
        <v>132</v>
      </c>
      <c r="R646" s="1" t="s">
        <v>13123</v>
      </c>
      <c r="S646" s="1" t="s">
        <v>13114</v>
      </c>
      <c r="T646" s="1" t="s">
        <v>132</v>
      </c>
      <c r="U646" s="1" t="s">
        <v>13124</v>
      </c>
      <c r="V646" s="1" t="s">
        <v>13125</v>
      </c>
      <c r="W646" s="1" t="s">
        <v>13123</v>
      </c>
      <c r="X646" s="1" t="s">
        <v>13114</v>
      </c>
      <c r="Y646" s="1" t="s">
        <v>13118</v>
      </c>
      <c r="Z646" s="1" t="s">
        <v>13126</v>
      </c>
      <c r="AA646" s="1" t="s">
        <v>13127</v>
      </c>
      <c r="AB646" s="1" t="s">
        <v>13123</v>
      </c>
      <c r="AC646" s="1" t="s">
        <v>13114</v>
      </c>
      <c r="AD646" s="1" t="s">
        <v>13128</v>
      </c>
      <c r="AE646" s="1" t="s">
        <v>13123</v>
      </c>
      <c r="AF646" s="1" t="s">
        <v>13114</v>
      </c>
      <c r="AG646" s="1" t="s">
        <v>13118</v>
      </c>
      <c r="AH646" s="1" t="s">
        <v>13129</v>
      </c>
      <c r="AI646" s="1" t="s">
        <v>13130</v>
      </c>
      <c r="AJ646" s="1" t="s">
        <v>132</v>
      </c>
      <c r="AK646" s="1" t="s">
        <v>13131</v>
      </c>
      <c r="AL646" s="1" t="s">
        <v>13132</v>
      </c>
      <c r="AM646" s="1" t="s">
        <v>13133</v>
      </c>
      <c r="AN646" s="1" t="s">
        <v>13133</v>
      </c>
    </row>
    <row r="647" ht="15.75" customHeight="1">
      <c r="A647" s="1" t="s">
        <v>38</v>
      </c>
      <c r="B647" s="1" t="s">
        <v>13134</v>
      </c>
      <c r="C647" s="1" t="s">
        <v>13135</v>
      </c>
      <c r="D647" s="1" t="s">
        <v>132</v>
      </c>
      <c r="E647" s="1" t="s">
        <v>132</v>
      </c>
      <c r="F647" s="1" t="s">
        <v>132</v>
      </c>
      <c r="G647" s="1" t="s">
        <v>132</v>
      </c>
      <c r="H647" s="1" t="s">
        <v>132</v>
      </c>
      <c r="I647" s="1" t="s">
        <v>13135</v>
      </c>
      <c r="J647" s="1" t="s">
        <v>132</v>
      </c>
      <c r="K647" s="1" t="s">
        <v>13136</v>
      </c>
      <c r="L647" s="1" t="s">
        <v>132</v>
      </c>
      <c r="M647" s="1" t="s">
        <v>13137</v>
      </c>
      <c r="N647" s="1" t="s">
        <v>132</v>
      </c>
      <c r="O647" s="1" t="s">
        <v>132</v>
      </c>
      <c r="P647" s="1" t="s">
        <v>13138</v>
      </c>
      <c r="Q647" s="1" t="s">
        <v>132</v>
      </c>
      <c r="R647" s="1" t="s">
        <v>132</v>
      </c>
      <c r="S647" s="1" t="s">
        <v>132</v>
      </c>
      <c r="T647" s="1" t="s">
        <v>132</v>
      </c>
      <c r="U647" s="1" t="s">
        <v>132</v>
      </c>
      <c r="V647" s="1" t="s">
        <v>132</v>
      </c>
      <c r="W647" s="1" t="s">
        <v>132</v>
      </c>
      <c r="X647" s="1" t="s">
        <v>132</v>
      </c>
      <c r="Y647" s="1" t="s">
        <v>132</v>
      </c>
      <c r="Z647" s="1" t="s">
        <v>132</v>
      </c>
      <c r="AA647" s="1" t="s">
        <v>132</v>
      </c>
      <c r="AB647" s="1" t="s">
        <v>132</v>
      </c>
      <c r="AC647" s="1" t="s">
        <v>13139</v>
      </c>
      <c r="AD647" s="1" t="s">
        <v>132</v>
      </c>
      <c r="AE647" s="1" t="s">
        <v>132</v>
      </c>
      <c r="AF647" s="1" t="s">
        <v>13140</v>
      </c>
      <c r="AG647" s="1" t="s">
        <v>132</v>
      </c>
      <c r="AH647" s="1" t="s">
        <v>132</v>
      </c>
      <c r="AI647" s="1" t="s">
        <v>132</v>
      </c>
      <c r="AJ647" s="1" t="s">
        <v>132</v>
      </c>
      <c r="AK647" s="1" t="s">
        <v>132</v>
      </c>
      <c r="AL647" s="1" t="s">
        <v>132</v>
      </c>
      <c r="AM647" s="1" t="s">
        <v>132</v>
      </c>
      <c r="AN647" s="1" t="s">
        <v>132</v>
      </c>
    </row>
    <row r="648" ht="15.75" customHeight="1">
      <c r="A648" s="1" t="s">
        <v>127</v>
      </c>
      <c r="B648" s="1" t="s">
        <v>13141</v>
      </c>
      <c r="C648" s="1" t="s">
        <v>13142</v>
      </c>
      <c r="D648" s="8" t="s">
        <v>13143</v>
      </c>
      <c r="E648" s="1" t="s">
        <v>13142</v>
      </c>
      <c r="F648" s="1" t="s">
        <v>132</v>
      </c>
      <c r="G648" s="1" t="s">
        <v>13142</v>
      </c>
      <c r="H648" s="1" t="s">
        <v>13142</v>
      </c>
      <c r="I648" s="1" t="s">
        <v>13142</v>
      </c>
      <c r="J648" s="1" t="s">
        <v>13142</v>
      </c>
      <c r="K648" s="1" t="s">
        <v>13142</v>
      </c>
      <c r="L648" s="1" t="s">
        <v>13142</v>
      </c>
      <c r="M648" s="1" t="s">
        <v>13144</v>
      </c>
      <c r="N648" s="1" t="s">
        <v>132</v>
      </c>
      <c r="O648" s="1" t="s">
        <v>13145</v>
      </c>
      <c r="P648" s="1" t="s">
        <v>13142</v>
      </c>
      <c r="Q648" s="1" t="s">
        <v>132</v>
      </c>
      <c r="R648" s="1" t="s">
        <v>13142</v>
      </c>
      <c r="S648" s="1" t="s">
        <v>13142</v>
      </c>
      <c r="T648" s="1" t="s">
        <v>132</v>
      </c>
      <c r="U648" s="1" t="s">
        <v>13142</v>
      </c>
      <c r="V648" s="1" t="s">
        <v>13142</v>
      </c>
      <c r="W648" s="1" t="s">
        <v>13142</v>
      </c>
      <c r="X648" s="1" t="s">
        <v>13142</v>
      </c>
      <c r="Y648" s="1" t="s">
        <v>13142</v>
      </c>
      <c r="Z648" s="1" t="s">
        <v>13142</v>
      </c>
      <c r="AA648" s="1" t="s">
        <v>13142</v>
      </c>
      <c r="AB648" s="1" t="s">
        <v>13142</v>
      </c>
      <c r="AC648" s="1" t="s">
        <v>13146</v>
      </c>
      <c r="AD648" s="1" t="s">
        <v>13142</v>
      </c>
      <c r="AE648" s="1" t="s">
        <v>13142</v>
      </c>
      <c r="AF648" s="1" t="s">
        <v>13142</v>
      </c>
      <c r="AG648" s="1" t="s">
        <v>13142</v>
      </c>
      <c r="AH648" s="1" t="s">
        <v>13142</v>
      </c>
      <c r="AI648" s="1" t="s">
        <v>13147</v>
      </c>
      <c r="AJ648" s="1" t="s">
        <v>132</v>
      </c>
      <c r="AK648" s="1" t="s">
        <v>13142</v>
      </c>
      <c r="AL648" s="1" t="s">
        <v>13148</v>
      </c>
      <c r="AM648" s="1" t="s">
        <v>13149</v>
      </c>
      <c r="AN648" s="1" t="s">
        <v>13149</v>
      </c>
    </row>
    <row r="649" ht="15.75" customHeight="1">
      <c r="A649" s="1" t="s">
        <v>38</v>
      </c>
      <c r="B649" s="1" t="s">
        <v>13150</v>
      </c>
      <c r="C649" s="1" t="s">
        <v>13151</v>
      </c>
      <c r="D649" s="1" t="s">
        <v>132</v>
      </c>
      <c r="E649" s="1" t="s">
        <v>132</v>
      </c>
      <c r="F649" s="1" t="s">
        <v>132</v>
      </c>
      <c r="G649" s="1" t="s">
        <v>132</v>
      </c>
      <c r="H649" s="1" t="s">
        <v>132</v>
      </c>
      <c r="I649" s="1" t="s">
        <v>13151</v>
      </c>
      <c r="J649" s="1" t="s">
        <v>132</v>
      </c>
      <c r="K649" s="1" t="s">
        <v>13152</v>
      </c>
      <c r="L649" s="1" t="s">
        <v>132</v>
      </c>
      <c r="M649" s="1" t="s">
        <v>13153</v>
      </c>
      <c r="N649" s="1" t="s">
        <v>132</v>
      </c>
      <c r="O649" s="1" t="s">
        <v>132</v>
      </c>
      <c r="P649" s="1" t="s">
        <v>13151</v>
      </c>
      <c r="Q649" s="1" t="s">
        <v>132</v>
      </c>
      <c r="R649" s="1" t="s">
        <v>132</v>
      </c>
      <c r="S649" s="1" t="s">
        <v>132</v>
      </c>
      <c r="T649" s="1" t="s">
        <v>132</v>
      </c>
      <c r="U649" s="1" t="s">
        <v>132</v>
      </c>
      <c r="V649" s="1" t="s">
        <v>132</v>
      </c>
      <c r="W649" s="1" t="s">
        <v>132</v>
      </c>
      <c r="X649" s="1" t="s">
        <v>132</v>
      </c>
      <c r="Y649" s="1" t="s">
        <v>132</v>
      </c>
      <c r="Z649" s="1" t="s">
        <v>132</v>
      </c>
      <c r="AA649" s="1" t="s">
        <v>132</v>
      </c>
      <c r="AB649" s="1" t="s">
        <v>132</v>
      </c>
      <c r="AC649" s="1" t="s">
        <v>13154</v>
      </c>
      <c r="AD649" s="1" t="s">
        <v>132</v>
      </c>
      <c r="AE649" s="1" t="s">
        <v>132</v>
      </c>
      <c r="AF649" s="1" t="s">
        <v>13151</v>
      </c>
      <c r="AG649" s="1" t="s">
        <v>132</v>
      </c>
      <c r="AH649" s="1" t="s">
        <v>132</v>
      </c>
      <c r="AI649" s="1" t="s">
        <v>132</v>
      </c>
      <c r="AJ649" s="1" t="s">
        <v>132</v>
      </c>
      <c r="AK649" s="1" t="s">
        <v>132</v>
      </c>
      <c r="AL649" s="1" t="s">
        <v>132</v>
      </c>
      <c r="AM649" s="1" t="s">
        <v>132</v>
      </c>
      <c r="AN649" s="1" t="s">
        <v>132</v>
      </c>
    </row>
    <row r="650" ht="15.75" customHeight="1">
      <c r="A650" s="1" t="s">
        <v>127</v>
      </c>
      <c r="B650" s="1" t="s">
        <v>13155</v>
      </c>
      <c r="C650" s="1" t="s">
        <v>1869</v>
      </c>
      <c r="D650" s="8" t="s">
        <v>1870</v>
      </c>
      <c r="E650" s="1" t="s">
        <v>1871</v>
      </c>
      <c r="F650" s="1" t="s">
        <v>132</v>
      </c>
      <c r="G650" s="1" t="s">
        <v>1872</v>
      </c>
      <c r="H650" s="1" t="s">
        <v>1873</v>
      </c>
      <c r="I650" s="1" t="s">
        <v>13156</v>
      </c>
      <c r="J650" s="1" t="s">
        <v>1875</v>
      </c>
      <c r="K650" s="1" t="s">
        <v>1876</v>
      </c>
      <c r="L650" s="1" t="s">
        <v>1877</v>
      </c>
      <c r="M650" s="1" t="s">
        <v>13157</v>
      </c>
      <c r="N650" s="1" t="s">
        <v>132</v>
      </c>
      <c r="O650" s="1" t="s">
        <v>1879</v>
      </c>
      <c r="P650" s="1" t="s">
        <v>1869</v>
      </c>
      <c r="Q650" s="1" t="s">
        <v>132</v>
      </c>
      <c r="R650" s="1" t="s">
        <v>1881</v>
      </c>
      <c r="S650" s="1" t="s">
        <v>1882</v>
      </c>
      <c r="T650" s="1" t="s">
        <v>132</v>
      </c>
      <c r="U650" s="1" t="s">
        <v>1884</v>
      </c>
      <c r="V650" s="1" t="s">
        <v>1885</v>
      </c>
      <c r="W650" s="1" t="s">
        <v>1881</v>
      </c>
      <c r="X650" s="1" t="s">
        <v>13158</v>
      </c>
      <c r="Y650" s="1" t="s">
        <v>1887</v>
      </c>
      <c r="Z650" s="1" t="s">
        <v>13159</v>
      </c>
      <c r="AA650" s="1" t="s">
        <v>13160</v>
      </c>
      <c r="AB650" s="1" t="s">
        <v>1890</v>
      </c>
      <c r="AC650" s="1" t="s">
        <v>1891</v>
      </c>
      <c r="AD650" s="1" t="s">
        <v>1872</v>
      </c>
      <c r="AE650" s="1" t="s">
        <v>1892</v>
      </c>
      <c r="AF650" s="1" t="s">
        <v>13161</v>
      </c>
      <c r="AG650" s="1" t="s">
        <v>1894</v>
      </c>
      <c r="AH650" s="1" t="s">
        <v>1895</v>
      </c>
      <c r="AI650" s="1" t="s">
        <v>1896</v>
      </c>
      <c r="AJ650" s="1" t="s">
        <v>132</v>
      </c>
      <c r="AK650" s="1" t="s">
        <v>1897</v>
      </c>
      <c r="AL650" s="1" t="s">
        <v>13162</v>
      </c>
      <c r="AM650" s="1" t="s">
        <v>132</v>
      </c>
      <c r="AN650" s="1" t="s">
        <v>132</v>
      </c>
    </row>
    <row r="651" ht="15.75" customHeight="1">
      <c r="A651" s="1" t="s">
        <v>127</v>
      </c>
      <c r="B651" s="1" t="s">
        <v>13163</v>
      </c>
      <c r="C651" s="1" t="s">
        <v>13164</v>
      </c>
      <c r="D651" s="8" t="s">
        <v>13165</v>
      </c>
      <c r="E651" s="1" t="s">
        <v>13166</v>
      </c>
      <c r="F651" s="1" t="s">
        <v>132</v>
      </c>
      <c r="G651" s="1" t="s">
        <v>13167</v>
      </c>
      <c r="H651" s="1" t="s">
        <v>13168</v>
      </c>
      <c r="I651" s="1" t="s">
        <v>13164</v>
      </c>
      <c r="J651" s="1" t="s">
        <v>13169</v>
      </c>
      <c r="K651" s="1" t="s">
        <v>13164</v>
      </c>
      <c r="L651" s="1" t="s">
        <v>13164</v>
      </c>
      <c r="M651" s="1" t="s">
        <v>13164</v>
      </c>
      <c r="N651" s="1" t="s">
        <v>132</v>
      </c>
      <c r="O651" s="1" t="s">
        <v>13170</v>
      </c>
      <c r="P651" s="1" t="s">
        <v>13164</v>
      </c>
      <c r="Q651" s="1" t="s">
        <v>132</v>
      </c>
      <c r="R651" s="1" t="s">
        <v>13171</v>
      </c>
      <c r="S651" s="1" t="s">
        <v>13164</v>
      </c>
      <c r="T651" s="1" t="s">
        <v>132</v>
      </c>
      <c r="U651" s="1" t="s">
        <v>13172</v>
      </c>
      <c r="V651" s="1" t="s">
        <v>13173</v>
      </c>
      <c r="W651" s="1" t="s">
        <v>13174</v>
      </c>
      <c r="X651" s="1" t="s">
        <v>13175</v>
      </c>
      <c r="Y651" s="1" t="s">
        <v>13176</v>
      </c>
      <c r="Z651" s="1" t="s">
        <v>13177</v>
      </c>
      <c r="AA651" s="1" t="s">
        <v>13178</v>
      </c>
      <c r="AB651" s="1" t="s">
        <v>13179</v>
      </c>
      <c r="AC651" s="1" t="s">
        <v>13180</v>
      </c>
      <c r="AD651" s="1" t="s">
        <v>13181</v>
      </c>
      <c r="AE651" s="1" t="s">
        <v>13182</v>
      </c>
      <c r="AF651" s="1" t="s">
        <v>13164</v>
      </c>
      <c r="AG651" s="1" t="s">
        <v>13183</v>
      </c>
      <c r="AH651" s="1" t="s">
        <v>13184</v>
      </c>
      <c r="AI651" s="1" t="s">
        <v>13185</v>
      </c>
      <c r="AJ651" s="1" t="s">
        <v>132</v>
      </c>
      <c r="AK651" s="1" t="s">
        <v>13186</v>
      </c>
      <c r="AL651" s="1" t="s">
        <v>13187</v>
      </c>
      <c r="AM651" s="1" t="s">
        <v>13188</v>
      </c>
      <c r="AN651" s="1" t="s">
        <v>13188</v>
      </c>
    </row>
    <row r="652" ht="15.75" customHeight="1">
      <c r="A652" s="1" t="s">
        <v>38</v>
      </c>
      <c r="B652" s="1" t="s">
        <v>13189</v>
      </c>
      <c r="C652" s="1" t="s">
        <v>13190</v>
      </c>
      <c r="D652" s="1" t="s">
        <v>132</v>
      </c>
      <c r="E652" s="1" t="s">
        <v>132</v>
      </c>
      <c r="F652" s="1" t="s">
        <v>132</v>
      </c>
      <c r="G652" s="1" t="s">
        <v>132</v>
      </c>
      <c r="H652" s="1" t="s">
        <v>132</v>
      </c>
      <c r="I652" s="1" t="s">
        <v>13191</v>
      </c>
      <c r="J652" s="1" t="s">
        <v>132</v>
      </c>
      <c r="K652" s="1" t="s">
        <v>13192</v>
      </c>
      <c r="L652" s="1" t="s">
        <v>132</v>
      </c>
      <c r="M652" s="1" t="s">
        <v>13193</v>
      </c>
      <c r="N652" s="1" t="s">
        <v>132</v>
      </c>
      <c r="O652" s="1" t="s">
        <v>132</v>
      </c>
      <c r="P652" s="1" t="s">
        <v>13190</v>
      </c>
      <c r="Q652" s="1" t="s">
        <v>132</v>
      </c>
      <c r="R652" s="1" t="s">
        <v>132</v>
      </c>
      <c r="S652" s="1" t="s">
        <v>132</v>
      </c>
      <c r="T652" s="1" t="s">
        <v>132</v>
      </c>
      <c r="U652" s="1" t="s">
        <v>132</v>
      </c>
      <c r="V652" s="1" t="s">
        <v>132</v>
      </c>
      <c r="W652" s="1" t="s">
        <v>132</v>
      </c>
      <c r="X652" s="1" t="s">
        <v>132</v>
      </c>
      <c r="Y652" s="1" t="s">
        <v>132</v>
      </c>
      <c r="Z652" s="1" t="s">
        <v>132</v>
      </c>
      <c r="AA652" s="1" t="s">
        <v>132</v>
      </c>
      <c r="AB652" s="1" t="s">
        <v>132</v>
      </c>
      <c r="AC652" s="1" t="s">
        <v>13194</v>
      </c>
      <c r="AD652" s="1" t="s">
        <v>132</v>
      </c>
      <c r="AE652" s="1" t="s">
        <v>132</v>
      </c>
      <c r="AF652" s="1" t="s">
        <v>13195</v>
      </c>
      <c r="AG652" s="1" t="s">
        <v>132</v>
      </c>
      <c r="AH652" s="1" t="s">
        <v>132</v>
      </c>
      <c r="AI652" s="1" t="s">
        <v>132</v>
      </c>
      <c r="AJ652" s="1" t="s">
        <v>132</v>
      </c>
      <c r="AK652" s="1" t="s">
        <v>132</v>
      </c>
      <c r="AL652" s="1" t="s">
        <v>132</v>
      </c>
      <c r="AM652" s="1" t="s">
        <v>132</v>
      </c>
      <c r="AN652" s="1" t="s">
        <v>132</v>
      </c>
    </row>
    <row r="653" ht="15.75" customHeight="1">
      <c r="A653" s="1" t="s">
        <v>38</v>
      </c>
      <c r="B653" s="1" t="s">
        <v>13196</v>
      </c>
      <c r="C653" s="1" t="s">
        <v>13197</v>
      </c>
      <c r="D653" s="8" t="s">
        <v>13198</v>
      </c>
      <c r="E653" s="1" t="s">
        <v>13199</v>
      </c>
      <c r="F653" s="1" t="s">
        <v>13200</v>
      </c>
      <c r="G653" s="1" t="s">
        <v>132</v>
      </c>
      <c r="H653" s="1" t="s">
        <v>132</v>
      </c>
      <c r="I653" s="1" t="s">
        <v>13201</v>
      </c>
      <c r="J653" s="1" t="s">
        <v>132</v>
      </c>
      <c r="K653" s="1" t="s">
        <v>13202</v>
      </c>
      <c r="L653" s="1" t="s">
        <v>132</v>
      </c>
      <c r="M653" s="1" t="s">
        <v>5654</v>
      </c>
      <c r="N653" s="1" t="s">
        <v>13203</v>
      </c>
      <c r="O653" s="1" t="s">
        <v>132</v>
      </c>
      <c r="P653" s="1" t="s">
        <v>13204</v>
      </c>
      <c r="Q653" s="1" t="s">
        <v>13205</v>
      </c>
      <c r="R653" s="1" t="s">
        <v>132</v>
      </c>
      <c r="S653" s="1" t="s">
        <v>13206</v>
      </c>
      <c r="T653" s="1" t="s">
        <v>132</v>
      </c>
      <c r="U653" s="1" t="s">
        <v>13207</v>
      </c>
      <c r="V653" s="1" t="s">
        <v>13208</v>
      </c>
      <c r="W653" s="1" t="s">
        <v>132</v>
      </c>
      <c r="X653" s="1" t="s">
        <v>13209</v>
      </c>
      <c r="Y653" s="1" t="s">
        <v>132</v>
      </c>
      <c r="Z653" s="1" t="s">
        <v>13210</v>
      </c>
      <c r="AA653" s="1" t="s">
        <v>13211</v>
      </c>
      <c r="AB653" s="1" t="s">
        <v>132</v>
      </c>
      <c r="AC653" s="1" t="s">
        <v>13212</v>
      </c>
      <c r="AD653" s="1" t="s">
        <v>13213</v>
      </c>
      <c r="AE653" s="1" t="s">
        <v>132</v>
      </c>
      <c r="AF653" s="1" t="s">
        <v>13214</v>
      </c>
      <c r="AG653" s="1" t="s">
        <v>13215</v>
      </c>
      <c r="AH653" s="1" t="s">
        <v>132</v>
      </c>
      <c r="AI653" s="1" t="s">
        <v>132</v>
      </c>
      <c r="AJ653" s="1" t="s">
        <v>13216</v>
      </c>
      <c r="AK653" s="1" t="s">
        <v>13217</v>
      </c>
      <c r="AL653" s="1" t="s">
        <v>132</v>
      </c>
      <c r="AM653" s="1" t="s">
        <v>13218</v>
      </c>
      <c r="AN653" s="1" t="s">
        <v>13218</v>
      </c>
    </row>
    <row r="654" ht="15.75" customHeight="1">
      <c r="A654" s="1" t="s">
        <v>38</v>
      </c>
      <c r="B654" s="1" t="s">
        <v>13219</v>
      </c>
      <c r="C654" s="1" t="s">
        <v>13220</v>
      </c>
      <c r="D654" s="8" t="s">
        <v>13221</v>
      </c>
      <c r="E654" s="1" t="s">
        <v>13222</v>
      </c>
      <c r="F654" s="1" t="s">
        <v>13223</v>
      </c>
      <c r="G654" s="1" t="s">
        <v>132</v>
      </c>
      <c r="H654" s="1" t="s">
        <v>132</v>
      </c>
      <c r="I654" s="1" t="s">
        <v>13224</v>
      </c>
      <c r="J654" s="1" t="s">
        <v>132</v>
      </c>
      <c r="K654" s="1" t="s">
        <v>13225</v>
      </c>
      <c r="L654" s="1" t="s">
        <v>132</v>
      </c>
      <c r="M654" s="1" t="s">
        <v>13226</v>
      </c>
      <c r="N654" s="1" t="s">
        <v>13227</v>
      </c>
      <c r="O654" s="1" t="s">
        <v>132</v>
      </c>
      <c r="P654" s="1" t="s">
        <v>13228</v>
      </c>
      <c r="Q654" s="1" t="s">
        <v>132</v>
      </c>
      <c r="R654" s="1" t="s">
        <v>132</v>
      </c>
      <c r="S654" s="1" t="s">
        <v>13229</v>
      </c>
      <c r="T654" s="1" t="s">
        <v>132</v>
      </c>
      <c r="U654" s="1" t="s">
        <v>13230</v>
      </c>
      <c r="V654" s="1" t="s">
        <v>132</v>
      </c>
      <c r="W654" s="1" t="s">
        <v>132</v>
      </c>
      <c r="X654" s="1" t="s">
        <v>13231</v>
      </c>
      <c r="Y654" s="1" t="s">
        <v>132</v>
      </c>
      <c r="Z654" s="1" t="s">
        <v>13232</v>
      </c>
      <c r="AA654" s="1" t="s">
        <v>132</v>
      </c>
      <c r="AB654" s="1" t="s">
        <v>132</v>
      </c>
      <c r="AC654" s="1" t="s">
        <v>13233</v>
      </c>
      <c r="AD654" s="1" t="s">
        <v>132</v>
      </c>
      <c r="AE654" s="1" t="s">
        <v>132</v>
      </c>
      <c r="AF654" s="1" t="s">
        <v>13234</v>
      </c>
      <c r="AG654" s="1" t="s">
        <v>132</v>
      </c>
      <c r="AH654" s="1" t="s">
        <v>132</v>
      </c>
      <c r="AI654" s="1" t="s">
        <v>132</v>
      </c>
      <c r="AJ654" s="1" t="s">
        <v>13235</v>
      </c>
      <c r="AK654" s="1" t="s">
        <v>132</v>
      </c>
      <c r="AL654" s="1" t="s">
        <v>132</v>
      </c>
      <c r="AM654" s="1" t="s">
        <v>132</v>
      </c>
      <c r="AN654" s="1" t="s">
        <v>132</v>
      </c>
    </row>
    <row r="655" ht="15.75" customHeight="1">
      <c r="A655" s="1" t="s">
        <v>127</v>
      </c>
      <c r="B655" s="1" t="s">
        <v>13236</v>
      </c>
      <c r="C655" s="1" t="s">
        <v>13237</v>
      </c>
      <c r="D655" s="8" t="s">
        <v>13238</v>
      </c>
      <c r="E655" s="1" t="s">
        <v>13239</v>
      </c>
      <c r="F655" s="1" t="s">
        <v>132</v>
      </c>
      <c r="G655" s="1" t="s">
        <v>13240</v>
      </c>
      <c r="H655" s="1" t="s">
        <v>13241</v>
      </c>
      <c r="I655" s="1" t="s">
        <v>13242</v>
      </c>
      <c r="J655" s="1" t="s">
        <v>13243</v>
      </c>
      <c r="K655" s="1" t="s">
        <v>13244</v>
      </c>
      <c r="L655" s="1" t="s">
        <v>13245</v>
      </c>
      <c r="M655" s="1" t="s">
        <v>13246</v>
      </c>
      <c r="N655" s="1" t="s">
        <v>132</v>
      </c>
      <c r="O655" s="1" t="s">
        <v>13247</v>
      </c>
      <c r="P655" s="1" t="s">
        <v>13248</v>
      </c>
      <c r="Q655" s="1" t="s">
        <v>132</v>
      </c>
      <c r="R655" s="1" t="s">
        <v>13249</v>
      </c>
      <c r="S655" s="1" t="s">
        <v>13250</v>
      </c>
      <c r="T655" s="1" t="s">
        <v>132</v>
      </c>
      <c r="U655" s="1" t="s">
        <v>13251</v>
      </c>
      <c r="V655" s="1" t="s">
        <v>13252</v>
      </c>
      <c r="W655" s="1" t="s">
        <v>13249</v>
      </c>
      <c r="X655" s="1" t="s">
        <v>13253</v>
      </c>
      <c r="Y655" s="1" t="s">
        <v>13254</v>
      </c>
      <c r="Z655" s="1" t="s">
        <v>13255</v>
      </c>
      <c r="AA655" s="1" t="s">
        <v>13256</v>
      </c>
      <c r="AB655" s="1" t="s">
        <v>13257</v>
      </c>
      <c r="AC655" s="1" t="s">
        <v>13258</v>
      </c>
      <c r="AD655" s="1" t="s">
        <v>13259</v>
      </c>
      <c r="AE655" s="1" t="s">
        <v>13260</v>
      </c>
      <c r="AF655" s="1" t="s">
        <v>13261</v>
      </c>
      <c r="AG655" s="1" t="s">
        <v>13262</v>
      </c>
      <c r="AH655" s="1" t="s">
        <v>13263</v>
      </c>
      <c r="AI655" s="1" t="s">
        <v>13264</v>
      </c>
      <c r="AJ655" s="1" t="s">
        <v>132</v>
      </c>
      <c r="AK655" s="1" t="s">
        <v>13265</v>
      </c>
      <c r="AL655" s="1" t="s">
        <v>13266</v>
      </c>
      <c r="AM655" s="1" t="s">
        <v>13267</v>
      </c>
      <c r="AN655" s="1" t="s">
        <v>13267</v>
      </c>
    </row>
    <row r="656" ht="15.75" customHeight="1">
      <c r="A656" s="1" t="s">
        <v>127</v>
      </c>
      <c r="B656" s="1" t="s">
        <v>13268</v>
      </c>
      <c r="C656" s="1" t="s">
        <v>13269</v>
      </c>
      <c r="D656" s="8" t="s">
        <v>13270</v>
      </c>
      <c r="E656" s="1" t="s">
        <v>13271</v>
      </c>
      <c r="F656" s="1" t="s">
        <v>132</v>
      </c>
      <c r="G656" s="1" t="s">
        <v>13272</v>
      </c>
      <c r="H656" s="1" t="s">
        <v>13273</v>
      </c>
      <c r="I656" s="1" t="s">
        <v>13274</v>
      </c>
      <c r="J656" s="1" t="s">
        <v>13275</v>
      </c>
      <c r="K656" s="1" t="s">
        <v>13276</v>
      </c>
      <c r="L656" s="1" t="s">
        <v>13277</v>
      </c>
      <c r="M656" s="1" t="s">
        <v>13278</v>
      </c>
      <c r="N656" s="1" t="s">
        <v>132</v>
      </c>
      <c r="O656" s="1" t="s">
        <v>13279</v>
      </c>
      <c r="P656" s="1" t="s">
        <v>13280</v>
      </c>
      <c r="Q656" s="1" t="s">
        <v>132</v>
      </c>
      <c r="R656" s="1" t="s">
        <v>13281</v>
      </c>
      <c r="S656" s="1" t="s">
        <v>13282</v>
      </c>
      <c r="T656" s="1" t="s">
        <v>132</v>
      </c>
      <c r="U656" s="1" t="s">
        <v>13283</v>
      </c>
      <c r="V656" s="1" t="s">
        <v>13284</v>
      </c>
      <c r="W656" s="1" t="s">
        <v>13281</v>
      </c>
      <c r="X656" s="1" t="s">
        <v>13285</v>
      </c>
      <c r="Y656" s="1" t="s">
        <v>13286</v>
      </c>
      <c r="Z656" s="1" t="s">
        <v>13287</v>
      </c>
      <c r="AA656" s="1" t="s">
        <v>13288</v>
      </c>
      <c r="AB656" s="1" t="s">
        <v>13289</v>
      </c>
      <c r="AC656" s="1" t="s">
        <v>13290</v>
      </c>
      <c r="AD656" s="1" t="s">
        <v>13291</v>
      </c>
      <c r="AE656" s="1" t="s">
        <v>13292</v>
      </c>
      <c r="AF656" s="1" t="s">
        <v>13293</v>
      </c>
      <c r="AG656" s="1" t="s">
        <v>13294</v>
      </c>
      <c r="AH656" s="1" t="s">
        <v>13295</v>
      </c>
      <c r="AI656" s="1" t="s">
        <v>13296</v>
      </c>
      <c r="AJ656" s="1" t="s">
        <v>132</v>
      </c>
      <c r="AK656" s="1" t="s">
        <v>13297</v>
      </c>
      <c r="AL656" s="1" t="s">
        <v>13298</v>
      </c>
      <c r="AM656" s="1" t="s">
        <v>132</v>
      </c>
      <c r="AN656" s="1" t="s">
        <v>132</v>
      </c>
    </row>
    <row r="657" ht="15.75" customHeight="1">
      <c r="A657" s="1" t="s">
        <v>38</v>
      </c>
      <c r="B657" s="1" t="s">
        <v>13299</v>
      </c>
      <c r="C657" s="1" t="s">
        <v>13300</v>
      </c>
      <c r="D657" s="1" t="s">
        <v>132</v>
      </c>
      <c r="E657" s="1" t="s">
        <v>13301</v>
      </c>
      <c r="F657" s="1" t="s">
        <v>132</v>
      </c>
      <c r="G657" s="1" t="s">
        <v>132</v>
      </c>
      <c r="H657" s="1" t="s">
        <v>132</v>
      </c>
      <c r="I657" s="1" t="s">
        <v>13302</v>
      </c>
      <c r="J657" s="1" t="s">
        <v>132</v>
      </c>
      <c r="K657" s="1" t="s">
        <v>13303</v>
      </c>
      <c r="L657" s="1" t="s">
        <v>132</v>
      </c>
      <c r="M657" s="1" t="s">
        <v>13304</v>
      </c>
      <c r="N657" s="1" t="s">
        <v>13305</v>
      </c>
      <c r="O657" s="1" t="s">
        <v>132</v>
      </c>
      <c r="P657" s="1" t="s">
        <v>13306</v>
      </c>
      <c r="Q657" s="1" t="s">
        <v>132</v>
      </c>
      <c r="R657" s="1" t="s">
        <v>132</v>
      </c>
      <c r="S657" s="1" t="s">
        <v>13307</v>
      </c>
      <c r="T657" s="1" t="s">
        <v>132</v>
      </c>
      <c r="U657" s="1" t="s">
        <v>132</v>
      </c>
      <c r="V657" s="1" t="s">
        <v>132</v>
      </c>
      <c r="W657" s="1" t="s">
        <v>132</v>
      </c>
      <c r="X657" s="1" t="s">
        <v>13308</v>
      </c>
      <c r="Y657" s="1" t="s">
        <v>132</v>
      </c>
      <c r="Z657" s="1" t="s">
        <v>13309</v>
      </c>
      <c r="AA657" s="1" t="s">
        <v>132</v>
      </c>
      <c r="AB657" s="1" t="s">
        <v>132</v>
      </c>
      <c r="AC657" s="1" t="s">
        <v>132</v>
      </c>
      <c r="AD657" s="1" t="s">
        <v>132</v>
      </c>
      <c r="AE657" s="1" t="s">
        <v>132</v>
      </c>
      <c r="AF657" s="1" t="s">
        <v>132</v>
      </c>
      <c r="AG657" s="1" t="s">
        <v>132</v>
      </c>
      <c r="AH657" s="1" t="s">
        <v>132</v>
      </c>
      <c r="AI657" s="1" t="s">
        <v>132</v>
      </c>
      <c r="AJ657" s="1" t="s">
        <v>132</v>
      </c>
      <c r="AK657" s="1" t="s">
        <v>132</v>
      </c>
      <c r="AL657" s="1" t="s">
        <v>132</v>
      </c>
      <c r="AM657" s="1" t="s">
        <v>132</v>
      </c>
      <c r="AN657" s="1" t="s">
        <v>132</v>
      </c>
    </row>
    <row r="658" ht="15.75" customHeight="1">
      <c r="A658" s="1" t="s">
        <v>38</v>
      </c>
      <c r="B658" s="1" t="s">
        <v>13310</v>
      </c>
      <c r="C658" s="1" t="s">
        <v>13311</v>
      </c>
      <c r="D658" s="1" t="s">
        <v>132</v>
      </c>
      <c r="E658" s="1" t="s">
        <v>132</v>
      </c>
      <c r="F658" s="1" t="s">
        <v>132</v>
      </c>
      <c r="G658" s="1" t="s">
        <v>132</v>
      </c>
      <c r="H658" s="1" t="s">
        <v>132</v>
      </c>
      <c r="I658" s="1" t="s">
        <v>13311</v>
      </c>
      <c r="J658" s="1" t="s">
        <v>132</v>
      </c>
      <c r="K658" s="1" t="s">
        <v>13311</v>
      </c>
      <c r="L658" s="1" t="s">
        <v>132</v>
      </c>
      <c r="M658" s="1" t="s">
        <v>13311</v>
      </c>
      <c r="N658" s="1" t="s">
        <v>132</v>
      </c>
      <c r="O658" s="1" t="s">
        <v>132</v>
      </c>
      <c r="P658" s="1" t="s">
        <v>13311</v>
      </c>
      <c r="Q658" s="1" t="s">
        <v>132</v>
      </c>
      <c r="R658" s="1" t="s">
        <v>132</v>
      </c>
      <c r="S658" s="1" t="s">
        <v>132</v>
      </c>
      <c r="T658" s="1" t="s">
        <v>132</v>
      </c>
      <c r="U658" s="1" t="s">
        <v>132</v>
      </c>
      <c r="V658" s="1" t="s">
        <v>132</v>
      </c>
      <c r="W658" s="1" t="s">
        <v>132</v>
      </c>
      <c r="X658" s="1" t="s">
        <v>132</v>
      </c>
      <c r="Y658" s="1" t="s">
        <v>132</v>
      </c>
      <c r="Z658" s="1" t="s">
        <v>132</v>
      </c>
      <c r="AA658" s="1" t="s">
        <v>132</v>
      </c>
      <c r="AB658" s="1" t="s">
        <v>132</v>
      </c>
      <c r="AC658" s="1" t="s">
        <v>13312</v>
      </c>
      <c r="AD658" s="1" t="s">
        <v>132</v>
      </c>
      <c r="AE658" s="1" t="s">
        <v>132</v>
      </c>
      <c r="AF658" s="1" t="s">
        <v>13313</v>
      </c>
      <c r="AG658" s="1" t="s">
        <v>132</v>
      </c>
      <c r="AH658" s="1" t="s">
        <v>132</v>
      </c>
      <c r="AI658" s="1" t="s">
        <v>132</v>
      </c>
      <c r="AJ658" s="1" t="s">
        <v>132</v>
      </c>
      <c r="AK658" s="1" t="s">
        <v>132</v>
      </c>
      <c r="AL658" s="1" t="s">
        <v>132</v>
      </c>
      <c r="AM658" s="1" t="s">
        <v>132</v>
      </c>
      <c r="AN658" s="1" t="s">
        <v>132</v>
      </c>
    </row>
    <row r="659" ht="15.75" customHeight="1">
      <c r="A659" s="1" t="s">
        <v>38</v>
      </c>
      <c r="B659" s="1" t="s">
        <v>13314</v>
      </c>
      <c r="C659" s="1" t="s">
        <v>13315</v>
      </c>
      <c r="D659" s="1" t="s">
        <v>132</v>
      </c>
      <c r="E659" s="1" t="s">
        <v>13316</v>
      </c>
      <c r="F659" s="1" t="s">
        <v>132</v>
      </c>
      <c r="G659" s="1" t="s">
        <v>132</v>
      </c>
      <c r="H659" s="1" t="s">
        <v>132</v>
      </c>
      <c r="I659" s="1" t="s">
        <v>13317</v>
      </c>
      <c r="J659" s="1" t="s">
        <v>132</v>
      </c>
      <c r="K659" s="1" t="s">
        <v>13318</v>
      </c>
      <c r="L659" s="1" t="s">
        <v>132</v>
      </c>
      <c r="M659" s="1" t="s">
        <v>13319</v>
      </c>
      <c r="N659" s="1" t="s">
        <v>13320</v>
      </c>
      <c r="O659" s="1" t="s">
        <v>132</v>
      </c>
      <c r="P659" s="1" t="s">
        <v>13321</v>
      </c>
      <c r="Q659" s="1" t="s">
        <v>132</v>
      </c>
      <c r="R659" s="1" t="s">
        <v>132</v>
      </c>
      <c r="S659" s="1" t="s">
        <v>13322</v>
      </c>
      <c r="T659" s="1" t="s">
        <v>132</v>
      </c>
      <c r="U659" s="1" t="s">
        <v>132</v>
      </c>
      <c r="V659" s="1" t="s">
        <v>132</v>
      </c>
      <c r="W659" s="1" t="s">
        <v>132</v>
      </c>
      <c r="X659" s="1" t="s">
        <v>13323</v>
      </c>
      <c r="Y659" s="1" t="s">
        <v>132</v>
      </c>
      <c r="Z659" s="1" t="s">
        <v>13324</v>
      </c>
      <c r="AA659" s="1" t="s">
        <v>132</v>
      </c>
      <c r="AB659" s="1" t="s">
        <v>132</v>
      </c>
      <c r="AC659" s="1" t="s">
        <v>132</v>
      </c>
      <c r="AD659" s="1" t="s">
        <v>132</v>
      </c>
      <c r="AE659" s="1" t="s">
        <v>132</v>
      </c>
      <c r="AF659" s="1" t="s">
        <v>132</v>
      </c>
      <c r="AG659" s="1" t="s">
        <v>132</v>
      </c>
      <c r="AH659" s="1" t="s">
        <v>132</v>
      </c>
      <c r="AI659" s="1" t="s">
        <v>132</v>
      </c>
      <c r="AJ659" s="1" t="s">
        <v>132</v>
      </c>
      <c r="AK659" s="1" t="s">
        <v>132</v>
      </c>
      <c r="AL659" s="1" t="s">
        <v>132</v>
      </c>
      <c r="AM659" s="1" t="s">
        <v>132</v>
      </c>
      <c r="AN659" s="1" t="s">
        <v>132</v>
      </c>
    </row>
    <row r="660" ht="15.75" customHeight="1">
      <c r="A660" s="1" t="s">
        <v>127</v>
      </c>
      <c r="B660" s="1" t="s">
        <v>13325</v>
      </c>
      <c r="C660" s="1" t="s">
        <v>13326</v>
      </c>
      <c r="D660" s="8" t="s">
        <v>13327</v>
      </c>
      <c r="E660" s="1" t="s">
        <v>13328</v>
      </c>
      <c r="F660" s="1" t="s">
        <v>132</v>
      </c>
      <c r="G660" s="1" t="s">
        <v>13329</v>
      </c>
      <c r="H660" s="1" t="s">
        <v>13330</v>
      </c>
      <c r="I660" s="1" t="s">
        <v>13331</v>
      </c>
      <c r="J660" s="1" t="s">
        <v>13332</v>
      </c>
      <c r="K660" s="1" t="s">
        <v>13333</v>
      </c>
      <c r="L660" s="1" t="s">
        <v>13334</v>
      </c>
      <c r="M660" s="1" t="s">
        <v>13335</v>
      </c>
      <c r="N660" s="1" t="s">
        <v>132</v>
      </c>
      <c r="O660" s="1" t="s">
        <v>13336</v>
      </c>
      <c r="P660" s="1" t="s">
        <v>13337</v>
      </c>
      <c r="Q660" s="1" t="s">
        <v>132</v>
      </c>
      <c r="R660" s="1" t="s">
        <v>13338</v>
      </c>
      <c r="S660" s="1" t="s">
        <v>13339</v>
      </c>
      <c r="T660" s="1" t="s">
        <v>132</v>
      </c>
      <c r="U660" s="1" t="s">
        <v>919</v>
      </c>
      <c r="V660" s="1" t="s">
        <v>13340</v>
      </c>
      <c r="W660" s="1" t="s">
        <v>13338</v>
      </c>
      <c r="X660" s="1" t="s">
        <v>13341</v>
      </c>
      <c r="Y660" s="1" t="s">
        <v>13342</v>
      </c>
      <c r="Z660" s="1" t="s">
        <v>13326</v>
      </c>
      <c r="AA660" s="1" t="s">
        <v>13343</v>
      </c>
      <c r="AB660" s="1" t="s">
        <v>13344</v>
      </c>
      <c r="AC660" s="1" t="s">
        <v>13345</v>
      </c>
      <c r="AD660" s="1" t="s">
        <v>13346</v>
      </c>
      <c r="AE660" s="1" t="s">
        <v>13347</v>
      </c>
      <c r="AF660" s="1" t="s">
        <v>13326</v>
      </c>
      <c r="AG660" s="1" t="s">
        <v>13348</v>
      </c>
      <c r="AH660" s="1" t="s">
        <v>13349</v>
      </c>
      <c r="AI660" s="1" t="s">
        <v>13350</v>
      </c>
      <c r="AJ660" s="1" t="s">
        <v>132</v>
      </c>
      <c r="AK660" s="1" t="s">
        <v>13351</v>
      </c>
      <c r="AL660" s="1" t="s">
        <v>13352</v>
      </c>
      <c r="AM660" s="1" t="s">
        <v>132</v>
      </c>
      <c r="AN660" s="1" t="s">
        <v>132</v>
      </c>
    </row>
    <row r="661" ht="15.75" customHeight="1">
      <c r="A661" s="1" t="s">
        <v>38</v>
      </c>
      <c r="B661" s="1" t="s">
        <v>13353</v>
      </c>
      <c r="C661" s="1" t="s">
        <v>13354</v>
      </c>
      <c r="D661" s="1" t="s">
        <v>132</v>
      </c>
      <c r="E661" s="1" t="s">
        <v>13355</v>
      </c>
      <c r="F661" s="1" t="s">
        <v>13356</v>
      </c>
      <c r="G661" s="1" t="s">
        <v>132</v>
      </c>
      <c r="H661" s="1" t="s">
        <v>132</v>
      </c>
      <c r="I661" s="1" t="s">
        <v>13357</v>
      </c>
      <c r="J661" s="1" t="s">
        <v>132</v>
      </c>
      <c r="K661" s="1" t="s">
        <v>13358</v>
      </c>
      <c r="L661" s="1" t="s">
        <v>132</v>
      </c>
      <c r="M661" s="1" t="s">
        <v>13359</v>
      </c>
      <c r="N661" s="1" t="s">
        <v>13360</v>
      </c>
      <c r="O661" s="1" t="s">
        <v>132</v>
      </c>
      <c r="P661" s="1" t="s">
        <v>13361</v>
      </c>
      <c r="Q661" s="1" t="s">
        <v>132</v>
      </c>
      <c r="R661" s="1" t="s">
        <v>132</v>
      </c>
      <c r="S661" s="1" t="s">
        <v>13362</v>
      </c>
      <c r="T661" s="1" t="s">
        <v>132</v>
      </c>
      <c r="U661" s="1" t="s">
        <v>132</v>
      </c>
      <c r="V661" s="1" t="s">
        <v>132</v>
      </c>
      <c r="W661" s="1" t="s">
        <v>132</v>
      </c>
      <c r="X661" s="1" t="s">
        <v>13363</v>
      </c>
      <c r="Y661" s="1" t="s">
        <v>132</v>
      </c>
      <c r="Z661" s="1" t="s">
        <v>13364</v>
      </c>
      <c r="AA661" s="1" t="s">
        <v>132</v>
      </c>
      <c r="AB661" s="1" t="s">
        <v>132</v>
      </c>
      <c r="AC661" s="1" t="s">
        <v>132</v>
      </c>
      <c r="AD661" s="1" t="s">
        <v>132</v>
      </c>
      <c r="AE661" s="1" t="s">
        <v>132</v>
      </c>
      <c r="AF661" s="1" t="s">
        <v>132</v>
      </c>
      <c r="AG661" s="1" t="s">
        <v>132</v>
      </c>
      <c r="AH661" s="1" t="s">
        <v>132</v>
      </c>
      <c r="AI661" s="1" t="s">
        <v>132</v>
      </c>
      <c r="AJ661" s="1" t="s">
        <v>132</v>
      </c>
      <c r="AK661" s="1" t="s">
        <v>132</v>
      </c>
      <c r="AL661" s="1" t="s">
        <v>132</v>
      </c>
      <c r="AM661" s="1" t="s">
        <v>132</v>
      </c>
      <c r="AN661" s="1" t="s">
        <v>132</v>
      </c>
    </row>
    <row r="662" ht="15.75" customHeight="1">
      <c r="A662" s="1" t="s">
        <v>127</v>
      </c>
      <c r="B662" s="1" t="s">
        <v>13365</v>
      </c>
      <c r="C662" s="1" t="s">
        <v>13366</v>
      </c>
      <c r="D662" s="8" t="s">
        <v>13367</v>
      </c>
      <c r="E662" s="1" t="s">
        <v>13368</v>
      </c>
      <c r="F662" s="1" t="s">
        <v>132</v>
      </c>
      <c r="G662" s="1" t="s">
        <v>13369</v>
      </c>
      <c r="H662" s="1" t="s">
        <v>13370</v>
      </c>
      <c r="I662" s="1" t="s">
        <v>13371</v>
      </c>
      <c r="J662" s="1" t="s">
        <v>13372</v>
      </c>
      <c r="K662" s="1" t="s">
        <v>13373</v>
      </c>
      <c r="L662" s="1" t="s">
        <v>13374</v>
      </c>
      <c r="M662" s="1" t="s">
        <v>13375</v>
      </c>
      <c r="N662" s="1" t="s">
        <v>132</v>
      </c>
      <c r="O662" s="1" t="s">
        <v>13376</v>
      </c>
      <c r="P662" s="1" t="s">
        <v>13377</v>
      </c>
      <c r="Q662" s="1" t="s">
        <v>132</v>
      </c>
      <c r="R662" s="1" t="s">
        <v>13378</v>
      </c>
      <c r="S662" s="1" t="s">
        <v>13379</v>
      </c>
      <c r="T662" s="1" t="s">
        <v>132</v>
      </c>
      <c r="U662" s="1" t="s">
        <v>13380</v>
      </c>
      <c r="V662" s="1" t="s">
        <v>13381</v>
      </c>
      <c r="W662" s="1" t="s">
        <v>13382</v>
      </c>
      <c r="X662" s="1" t="s">
        <v>13383</v>
      </c>
      <c r="Y662" s="1" t="s">
        <v>13384</v>
      </c>
      <c r="Z662" s="1" t="s">
        <v>13385</v>
      </c>
      <c r="AA662" s="1" t="s">
        <v>13386</v>
      </c>
      <c r="AB662" s="1" t="s">
        <v>13387</v>
      </c>
      <c r="AC662" s="1" t="s">
        <v>13388</v>
      </c>
      <c r="AD662" s="1" t="s">
        <v>13389</v>
      </c>
      <c r="AE662" s="1" t="s">
        <v>13390</v>
      </c>
      <c r="AF662" s="1" t="s">
        <v>13391</v>
      </c>
      <c r="AG662" s="1" t="s">
        <v>13392</v>
      </c>
      <c r="AH662" s="1" t="s">
        <v>13393</v>
      </c>
      <c r="AI662" s="1" t="s">
        <v>13394</v>
      </c>
      <c r="AJ662" s="1" t="s">
        <v>132</v>
      </c>
      <c r="AK662" s="1" t="s">
        <v>13395</v>
      </c>
      <c r="AL662" s="1" t="s">
        <v>13396</v>
      </c>
      <c r="AM662" s="1" t="s">
        <v>132</v>
      </c>
      <c r="AN662" s="1" t="s">
        <v>132</v>
      </c>
    </row>
    <row r="663" ht="15.75" customHeight="1">
      <c r="A663" s="1" t="s">
        <v>127</v>
      </c>
      <c r="B663" s="1" t="s">
        <v>13397</v>
      </c>
      <c r="C663" s="1" t="s">
        <v>132</v>
      </c>
      <c r="D663" s="1" t="s">
        <v>132</v>
      </c>
      <c r="E663" s="1" t="s">
        <v>13398</v>
      </c>
      <c r="F663" s="1" t="s">
        <v>132</v>
      </c>
      <c r="G663" s="1" t="s">
        <v>13399</v>
      </c>
      <c r="H663" s="1" t="s">
        <v>13400</v>
      </c>
      <c r="I663" s="1" t="s">
        <v>132</v>
      </c>
      <c r="J663" s="1" t="s">
        <v>13401</v>
      </c>
      <c r="K663" s="1" t="s">
        <v>132</v>
      </c>
      <c r="L663" s="1" t="s">
        <v>13402</v>
      </c>
      <c r="M663" s="1" t="s">
        <v>132</v>
      </c>
      <c r="N663" s="1" t="s">
        <v>132</v>
      </c>
      <c r="O663" s="1" t="s">
        <v>132</v>
      </c>
      <c r="P663" s="1" t="s">
        <v>132</v>
      </c>
      <c r="Q663" s="1" t="s">
        <v>132</v>
      </c>
      <c r="R663" s="1" t="s">
        <v>132</v>
      </c>
      <c r="S663" s="1" t="s">
        <v>132</v>
      </c>
      <c r="T663" s="1" t="s">
        <v>132</v>
      </c>
      <c r="U663" s="1" t="s">
        <v>132</v>
      </c>
      <c r="V663" s="1" t="s">
        <v>132</v>
      </c>
      <c r="W663" s="1" t="s">
        <v>132</v>
      </c>
      <c r="X663" s="1" t="s">
        <v>132</v>
      </c>
      <c r="Y663" s="1" t="s">
        <v>13403</v>
      </c>
      <c r="Z663" s="1" t="s">
        <v>132</v>
      </c>
      <c r="AA663" s="1" t="s">
        <v>132</v>
      </c>
      <c r="AB663" s="1" t="s">
        <v>132</v>
      </c>
      <c r="AC663" s="1" t="s">
        <v>132</v>
      </c>
      <c r="AD663" s="1" t="s">
        <v>13404</v>
      </c>
      <c r="AE663" s="1" t="s">
        <v>13405</v>
      </c>
      <c r="AF663" s="1" t="s">
        <v>132</v>
      </c>
      <c r="AG663" s="1" t="s">
        <v>132</v>
      </c>
      <c r="AH663" s="1" t="s">
        <v>132</v>
      </c>
      <c r="AI663" s="1" t="s">
        <v>132</v>
      </c>
      <c r="AJ663" s="1" t="s">
        <v>132</v>
      </c>
      <c r="AK663" s="1" t="s">
        <v>132</v>
      </c>
      <c r="AL663" s="1" t="s">
        <v>132</v>
      </c>
      <c r="AM663" s="1" t="s">
        <v>132</v>
      </c>
      <c r="AN663" s="1" t="s">
        <v>132</v>
      </c>
    </row>
    <row r="664" ht="15.75" customHeight="1">
      <c r="A664" s="1" t="s">
        <v>127</v>
      </c>
      <c r="B664" s="1" t="s">
        <v>13406</v>
      </c>
      <c r="C664" s="1" t="s">
        <v>13407</v>
      </c>
      <c r="D664" s="8" t="s">
        <v>13408</v>
      </c>
      <c r="E664" s="1" t="s">
        <v>13409</v>
      </c>
      <c r="F664" s="1" t="s">
        <v>132</v>
      </c>
      <c r="G664" s="1" t="s">
        <v>13410</v>
      </c>
      <c r="H664" s="1" t="s">
        <v>13411</v>
      </c>
      <c r="I664" s="1" t="s">
        <v>13412</v>
      </c>
      <c r="J664" s="1" t="s">
        <v>13413</v>
      </c>
      <c r="K664" s="1" t="s">
        <v>13414</v>
      </c>
      <c r="L664" s="1" t="s">
        <v>13415</v>
      </c>
      <c r="M664" s="1" t="s">
        <v>4757</v>
      </c>
      <c r="N664" s="1" t="s">
        <v>132</v>
      </c>
      <c r="O664" s="1" t="s">
        <v>13416</v>
      </c>
      <c r="P664" s="1" t="s">
        <v>13417</v>
      </c>
      <c r="Q664" s="1" t="s">
        <v>132</v>
      </c>
      <c r="R664" s="1" t="s">
        <v>13418</v>
      </c>
      <c r="S664" s="1" t="s">
        <v>13419</v>
      </c>
      <c r="T664" s="1" t="s">
        <v>132</v>
      </c>
      <c r="U664" s="1" t="s">
        <v>13420</v>
      </c>
      <c r="V664" s="1" t="s">
        <v>13421</v>
      </c>
      <c r="W664" s="1" t="s">
        <v>13422</v>
      </c>
      <c r="X664" s="1" t="s">
        <v>13423</v>
      </c>
      <c r="Y664" s="1" t="s">
        <v>13424</v>
      </c>
      <c r="Z664" s="1" t="s">
        <v>13425</v>
      </c>
      <c r="AA664" s="1" t="s">
        <v>13426</v>
      </c>
      <c r="AB664" s="1" t="s">
        <v>13427</v>
      </c>
      <c r="AC664" s="1" t="s">
        <v>13428</v>
      </c>
      <c r="AD664" s="1" t="s">
        <v>13429</v>
      </c>
      <c r="AE664" s="1" t="s">
        <v>13430</v>
      </c>
      <c r="AF664" s="1" t="s">
        <v>13431</v>
      </c>
      <c r="AG664" s="1" t="s">
        <v>13432</v>
      </c>
      <c r="AH664" s="1" t="s">
        <v>13433</v>
      </c>
      <c r="AI664" s="1" t="s">
        <v>13434</v>
      </c>
      <c r="AJ664" s="1" t="s">
        <v>132</v>
      </c>
      <c r="AK664" s="1" t="s">
        <v>13435</v>
      </c>
      <c r="AL664" s="1" t="s">
        <v>13436</v>
      </c>
      <c r="AM664" s="1" t="s">
        <v>13437</v>
      </c>
      <c r="AN664" s="1" t="s">
        <v>13437</v>
      </c>
    </row>
    <row r="665" ht="15.75" customHeight="1">
      <c r="A665" s="1" t="s">
        <v>38</v>
      </c>
      <c r="B665" s="1" t="s">
        <v>13438</v>
      </c>
      <c r="C665" s="1" t="s">
        <v>13439</v>
      </c>
      <c r="D665" s="8" t="s">
        <v>13440</v>
      </c>
      <c r="E665" s="1" t="s">
        <v>13441</v>
      </c>
      <c r="F665" s="1" t="s">
        <v>13442</v>
      </c>
      <c r="G665" s="1" t="s">
        <v>132</v>
      </c>
      <c r="H665" s="1" t="s">
        <v>132</v>
      </c>
      <c r="I665" s="1" t="s">
        <v>13443</v>
      </c>
      <c r="J665" s="1" t="s">
        <v>132</v>
      </c>
      <c r="K665" s="1" t="s">
        <v>13444</v>
      </c>
      <c r="L665" s="1" t="s">
        <v>132</v>
      </c>
      <c r="M665" s="1" t="s">
        <v>13445</v>
      </c>
      <c r="N665" s="1" t="s">
        <v>13446</v>
      </c>
      <c r="O665" s="1" t="s">
        <v>132</v>
      </c>
      <c r="P665" s="1" t="s">
        <v>13447</v>
      </c>
      <c r="Q665" s="1" t="s">
        <v>13448</v>
      </c>
      <c r="R665" s="1" t="s">
        <v>132</v>
      </c>
      <c r="S665" s="1" t="s">
        <v>13449</v>
      </c>
      <c r="T665" s="1" t="s">
        <v>132</v>
      </c>
      <c r="U665" s="1" t="s">
        <v>13450</v>
      </c>
      <c r="V665" s="1" t="s">
        <v>13451</v>
      </c>
      <c r="W665" s="1" t="s">
        <v>132</v>
      </c>
      <c r="X665" s="1" t="s">
        <v>13452</v>
      </c>
      <c r="Y665" s="1" t="s">
        <v>132</v>
      </c>
      <c r="Z665" s="1" t="s">
        <v>13453</v>
      </c>
      <c r="AA665" s="1" t="s">
        <v>13454</v>
      </c>
      <c r="AB665" s="1" t="s">
        <v>132</v>
      </c>
      <c r="AC665" s="1" t="s">
        <v>13455</v>
      </c>
      <c r="AD665" s="1" t="s">
        <v>13456</v>
      </c>
      <c r="AE665" s="1" t="s">
        <v>132</v>
      </c>
      <c r="AF665" s="1" t="s">
        <v>13457</v>
      </c>
      <c r="AG665" s="1" t="s">
        <v>13458</v>
      </c>
      <c r="AH665" s="1" t="s">
        <v>132</v>
      </c>
      <c r="AI665" s="1" t="s">
        <v>132</v>
      </c>
      <c r="AJ665" s="1" t="s">
        <v>13459</v>
      </c>
      <c r="AK665" s="1" t="s">
        <v>13460</v>
      </c>
      <c r="AL665" s="1" t="s">
        <v>132</v>
      </c>
      <c r="AM665" s="1" t="s">
        <v>13461</v>
      </c>
      <c r="AN665" s="1" t="s">
        <v>13461</v>
      </c>
    </row>
    <row r="666" ht="15.75" customHeight="1">
      <c r="A666" s="1" t="s">
        <v>38</v>
      </c>
      <c r="B666" s="1" t="s">
        <v>13462</v>
      </c>
      <c r="C666" s="1" t="s">
        <v>13463</v>
      </c>
      <c r="D666" s="8" t="s">
        <v>13464</v>
      </c>
      <c r="E666" s="1" t="s">
        <v>13465</v>
      </c>
      <c r="F666" s="1" t="s">
        <v>13466</v>
      </c>
      <c r="G666" s="1" t="s">
        <v>132</v>
      </c>
      <c r="H666" s="1" t="s">
        <v>132</v>
      </c>
      <c r="I666" s="1" t="s">
        <v>13467</v>
      </c>
      <c r="J666" s="1" t="s">
        <v>132</v>
      </c>
      <c r="K666" s="1" t="s">
        <v>13468</v>
      </c>
      <c r="L666" s="1" t="s">
        <v>132</v>
      </c>
      <c r="M666" s="1" t="s">
        <v>13469</v>
      </c>
      <c r="N666" s="1" t="s">
        <v>13470</v>
      </c>
      <c r="O666" s="1" t="s">
        <v>132</v>
      </c>
      <c r="P666" s="1" t="s">
        <v>13471</v>
      </c>
      <c r="Q666" s="1" t="s">
        <v>132</v>
      </c>
      <c r="R666" s="1" t="s">
        <v>132</v>
      </c>
      <c r="S666" s="1" t="s">
        <v>13472</v>
      </c>
      <c r="T666" s="1" t="s">
        <v>132</v>
      </c>
      <c r="U666" s="1" t="s">
        <v>13473</v>
      </c>
      <c r="V666" s="1" t="s">
        <v>132</v>
      </c>
      <c r="W666" s="1" t="s">
        <v>132</v>
      </c>
      <c r="X666" s="1" t="s">
        <v>13474</v>
      </c>
      <c r="Y666" s="1" t="s">
        <v>132</v>
      </c>
      <c r="Z666" s="1" t="s">
        <v>13475</v>
      </c>
      <c r="AA666" s="1" t="s">
        <v>132</v>
      </c>
      <c r="AB666" s="1" t="s">
        <v>132</v>
      </c>
      <c r="AC666" s="1" t="s">
        <v>13476</v>
      </c>
      <c r="AD666" s="1" t="s">
        <v>132</v>
      </c>
      <c r="AE666" s="1" t="s">
        <v>132</v>
      </c>
      <c r="AF666" s="1" t="s">
        <v>13477</v>
      </c>
      <c r="AG666" s="1" t="s">
        <v>13478</v>
      </c>
      <c r="AH666" s="1" t="s">
        <v>132</v>
      </c>
      <c r="AI666" s="1" t="s">
        <v>132</v>
      </c>
      <c r="AJ666" s="1" t="s">
        <v>13479</v>
      </c>
      <c r="AK666" s="1" t="s">
        <v>132</v>
      </c>
      <c r="AL666" s="1" t="s">
        <v>132</v>
      </c>
      <c r="AM666" s="1" t="s">
        <v>13480</v>
      </c>
      <c r="AN666" s="1" t="s">
        <v>13480</v>
      </c>
    </row>
    <row r="667" ht="15.75" customHeight="1">
      <c r="A667" s="1" t="s">
        <v>127</v>
      </c>
      <c r="B667" s="1" t="s">
        <v>13481</v>
      </c>
      <c r="C667" s="1" t="s">
        <v>12004</v>
      </c>
      <c r="D667" s="8" t="s">
        <v>12005</v>
      </c>
      <c r="E667" s="1" t="s">
        <v>12006</v>
      </c>
      <c r="F667" s="1" t="s">
        <v>132</v>
      </c>
      <c r="G667" s="1" t="s">
        <v>12007</v>
      </c>
      <c r="H667" s="1" t="s">
        <v>12008</v>
      </c>
      <c r="I667" s="1" t="s">
        <v>12004</v>
      </c>
      <c r="J667" s="1" t="s">
        <v>13482</v>
      </c>
      <c r="K667" s="1" t="s">
        <v>12004</v>
      </c>
      <c r="L667" s="1" t="s">
        <v>12010</v>
      </c>
      <c r="M667" s="1" t="s">
        <v>12011</v>
      </c>
      <c r="N667" s="1" t="s">
        <v>132</v>
      </c>
      <c r="O667" s="1" t="s">
        <v>12012</v>
      </c>
      <c r="P667" s="1" t="s">
        <v>12004</v>
      </c>
      <c r="Q667" s="1" t="s">
        <v>132</v>
      </c>
      <c r="R667" s="1" t="s">
        <v>12013</v>
      </c>
      <c r="S667" s="1" t="s">
        <v>12004</v>
      </c>
      <c r="T667" s="1" t="s">
        <v>132</v>
      </c>
      <c r="U667" s="1" t="s">
        <v>12015</v>
      </c>
      <c r="V667" s="1" t="s">
        <v>12016</v>
      </c>
      <c r="W667" s="1" t="s">
        <v>12017</v>
      </c>
      <c r="X667" s="1" t="s">
        <v>12004</v>
      </c>
      <c r="Y667" s="1" t="s">
        <v>12018</v>
      </c>
      <c r="Z667" s="1" t="s">
        <v>12004</v>
      </c>
      <c r="AA667" s="1" t="s">
        <v>12019</v>
      </c>
      <c r="AB667" s="1" t="s">
        <v>12020</v>
      </c>
      <c r="AC667" s="1" t="s">
        <v>13483</v>
      </c>
      <c r="AD667" s="1" t="s">
        <v>12022</v>
      </c>
      <c r="AE667" s="1" t="s">
        <v>12023</v>
      </c>
      <c r="AF667" s="1" t="s">
        <v>12004</v>
      </c>
      <c r="AG667" s="1" t="s">
        <v>12004</v>
      </c>
      <c r="AH667" s="1" t="s">
        <v>12004</v>
      </c>
      <c r="AI667" s="1" t="s">
        <v>12024</v>
      </c>
      <c r="AJ667" s="1" t="s">
        <v>132</v>
      </c>
      <c r="AK667" s="1" t="s">
        <v>12025</v>
      </c>
      <c r="AL667" s="1" t="s">
        <v>13484</v>
      </c>
      <c r="AM667" s="1" t="s">
        <v>13485</v>
      </c>
      <c r="AN667" s="1" t="s">
        <v>13485</v>
      </c>
    </row>
    <row r="668" ht="15.75" customHeight="1">
      <c r="A668" s="1" t="s">
        <v>38</v>
      </c>
      <c r="B668" s="1" t="s">
        <v>13486</v>
      </c>
      <c r="C668" s="1" t="s">
        <v>13487</v>
      </c>
      <c r="D668" s="1" t="s">
        <v>132</v>
      </c>
      <c r="E668" s="1" t="s">
        <v>132</v>
      </c>
      <c r="F668" s="1" t="s">
        <v>132</v>
      </c>
      <c r="G668" s="1" t="s">
        <v>132</v>
      </c>
      <c r="H668" s="1" t="s">
        <v>132</v>
      </c>
      <c r="I668" s="1" t="s">
        <v>13488</v>
      </c>
      <c r="J668" s="1" t="s">
        <v>132</v>
      </c>
      <c r="K668" s="1" t="s">
        <v>13489</v>
      </c>
      <c r="L668" s="1" t="s">
        <v>132</v>
      </c>
      <c r="M668" s="1" t="s">
        <v>13490</v>
      </c>
      <c r="N668" s="1" t="s">
        <v>132</v>
      </c>
      <c r="O668" s="1" t="s">
        <v>132</v>
      </c>
      <c r="P668" s="1" t="s">
        <v>13491</v>
      </c>
      <c r="Q668" s="1" t="s">
        <v>132</v>
      </c>
      <c r="R668" s="1" t="s">
        <v>132</v>
      </c>
      <c r="S668" s="1" t="s">
        <v>132</v>
      </c>
      <c r="T668" s="1" t="s">
        <v>132</v>
      </c>
      <c r="U668" s="1" t="s">
        <v>132</v>
      </c>
      <c r="V668" s="1" t="s">
        <v>132</v>
      </c>
      <c r="W668" s="1" t="s">
        <v>132</v>
      </c>
      <c r="X668" s="1" t="s">
        <v>132</v>
      </c>
      <c r="Y668" s="1" t="s">
        <v>132</v>
      </c>
      <c r="Z668" s="1" t="s">
        <v>132</v>
      </c>
      <c r="AA668" s="1" t="s">
        <v>132</v>
      </c>
      <c r="AB668" s="1" t="s">
        <v>132</v>
      </c>
      <c r="AC668" s="1" t="s">
        <v>13492</v>
      </c>
      <c r="AD668" s="1" t="s">
        <v>132</v>
      </c>
      <c r="AE668" s="1" t="s">
        <v>132</v>
      </c>
      <c r="AF668" s="1" t="s">
        <v>13493</v>
      </c>
      <c r="AG668" s="1" t="s">
        <v>132</v>
      </c>
      <c r="AH668" s="1" t="s">
        <v>132</v>
      </c>
      <c r="AI668" s="1" t="s">
        <v>132</v>
      </c>
      <c r="AJ668" s="1" t="s">
        <v>132</v>
      </c>
      <c r="AK668" s="1" t="s">
        <v>132</v>
      </c>
      <c r="AL668" s="1" t="s">
        <v>132</v>
      </c>
      <c r="AM668" s="1" t="s">
        <v>132</v>
      </c>
      <c r="AN668" s="1" t="s">
        <v>132</v>
      </c>
    </row>
    <row r="669" ht="15.75" customHeight="1">
      <c r="A669" s="1" t="s">
        <v>127</v>
      </c>
      <c r="B669" s="1" t="s">
        <v>13494</v>
      </c>
      <c r="C669" s="1" t="s">
        <v>13495</v>
      </c>
      <c r="D669" s="8" t="s">
        <v>13496</v>
      </c>
      <c r="E669" s="1" t="s">
        <v>13497</v>
      </c>
      <c r="F669" s="1" t="s">
        <v>132</v>
      </c>
      <c r="G669" s="1" t="s">
        <v>13498</v>
      </c>
      <c r="H669" s="1" t="s">
        <v>13499</v>
      </c>
      <c r="I669" s="1" t="s">
        <v>13495</v>
      </c>
      <c r="J669" s="1" t="s">
        <v>13500</v>
      </c>
      <c r="K669" s="1" t="s">
        <v>13501</v>
      </c>
      <c r="L669" s="1" t="s">
        <v>13502</v>
      </c>
      <c r="M669" s="1" t="s">
        <v>13503</v>
      </c>
      <c r="N669" s="1" t="s">
        <v>132</v>
      </c>
      <c r="O669" s="1" t="s">
        <v>13504</v>
      </c>
      <c r="P669" s="1" t="s">
        <v>13505</v>
      </c>
      <c r="Q669" s="1" t="s">
        <v>132</v>
      </c>
      <c r="R669" s="1" t="s">
        <v>13506</v>
      </c>
      <c r="S669" s="1" t="s">
        <v>13507</v>
      </c>
      <c r="T669" s="1" t="s">
        <v>132</v>
      </c>
      <c r="U669" s="1" t="s">
        <v>13508</v>
      </c>
      <c r="V669" s="1" t="s">
        <v>13509</v>
      </c>
      <c r="W669" s="1" t="s">
        <v>13510</v>
      </c>
      <c r="X669" s="1" t="s">
        <v>13495</v>
      </c>
      <c r="Y669" s="1" t="s">
        <v>13511</v>
      </c>
      <c r="Z669" s="1" t="s">
        <v>13495</v>
      </c>
      <c r="AA669" s="1" t="s">
        <v>13512</v>
      </c>
      <c r="AB669" s="1" t="s">
        <v>13513</v>
      </c>
      <c r="AC669" s="1" t="s">
        <v>13514</v>
      </c>
      <c r="AD669" s="1" t="s">
        <v>13515</v>
      </c>
      <c r="AE669" s="1" t="s">
        <v>13516</v>
      </c>
      <c r="AF669" s="1" t="s">
        <v>13517</v>
      </c>
      <c r="AG669" s="1" t="s">
        <v>13518</v>
      </c>
      <c r="AH669" s="1" t="s">
        <v>13519</v>
      </c>
      <c r="AI669" s="1" t="s">
        <v>13520</v>
      </c>
      <c r="AJ669" s="1" t="s">
        <v>132</v>
      </c>
      <c r="AK669" s="1" t="s">
        <v>13521</v>
      </c>
      <c r="AL669" s="1" t="s">
        <v>13522</v>
      </c>
      <c r="AM669" s="1" t="s">
        <v>132</v>
      </c>
      <c r="AN669" s="1" t="s">
        <v>132</v>
      </c>
    </row>
    <row r="670" ht="15.75" customHeight="1">
      <c r="A670" s="1" t="s">
        <v>38</v>
      </c>
      <c r="B670" s="1" t="s">
        <v>13523</v>
      </c>
      <c r="C670" s="1" t="s">
        <v>13524</v>
      </c>
      <c r="D670" s="8" t="s">
        <v>13525</v>
      </c>
      <c r="E670" s="1" t="s">
        <v>13526</v>
      </c>
      <c r="F670" s="1" t="s">
        <v>13527</v>
      </c>
      <c r="G670" s="1" t="s">
        <v>132</v>
      </c>
      <c r="H670" s="1" t="s">
        <v>132</v>
      </c>
      <c r="I670" s="1" t="s">
        <v>13528</v>
      </c>
      <c r="J670" s="1" t="s">
        <v>132</v>
      </c>
      <c r="K670" s="1" t="s">
        <v>13529</v>
      </c>
      <c r="L670" s="1" t="s">
        <v>132</v>
      </c>
      <c r="M670" s="1" t="s">
        <v>13530</v>
      </c>
      <c r="N670" s="1" t="s">
        <v>13531</v>
      </c>
      <c r="O670" s="1" t="s">
        <v>132</v>
      </c>
      <c r="P670" s="1" t="s">
        <v>13532</v>
      </c>
      <c r="Q670" s="1" t="s">
        <v>132</v>
      </c>
      <c r="R670" s="1" t="s">
        <v>132</v>
      </c>
      <c r="S670" s="1" t="s">
        <v>13533</v>
      </c>
      <c r="T670" s="1" t="s">
        <v>132</v>
      </c>
      <c r="U670" s="1" t="s">
        <v>13534</v>
      </c>
      <c r="V670" s="1" t="s">
        <v>132</v>
      </c>
      <c r="W670" s="1" t="s">
        <v>132</v>
      </c>
      <c r="X670" s="1" t="s">
        <v>13535</v>
      </c>
      <c r="Y670" s="1" t="s">
        <v>132</v>
      </c>
      <c r="Z670" s="1" t="s">
        <v>13536</v>
      </c>
      <c r="AA670" s="1" t="s">
        <v>13537</v>
      </c>
      <c r="AB670" s="1" t="s">
        <v>132</v>
      </c>
      <c r="AC670" s="1" t="s">
        <v>13538</v>
      </c>
      <c r="AD670" s="1" t="s">
        <v>132</v>
      </c>
      <c r="AE670" s="1" t="s">
        <v>132</v>
      </c>
      <c r="AF670" s="1" t="s">
        <v>13539</v>
      </c>
      <c r="AG670" s="1" t="s">
        <v>132</v>
      </c>
      <c r="AH670" s="1" t="s">
        <v>132</v>
      </c>
      <c r="AI670" s="1" t="s">
        <v>132</v>
      </c>
      <c r="AJ670" s="1" t="s">
        <v>13540</v>
      </c>
      <c r="AK670" s="1" t="s">
        <v>132</v>
      </c>
      <c r="AL670" s="1" t="s">
        <v>132</v>
      </c>
      <c r="AM670" s="1" t="s">
        <v>132</v>
      </c>
      <c r="AN670" s="1" t="s">
        <v>132</v>
      </c>
    </row>
    <row r="671" ht="15.75" customHeight="1">
      <c r="A671" s="1" t="s">
        <v>38</v>
      </c>
      <c r="B671" s="1" t="s">
        <v>13541</v>
      </c>
      <c r="C671" s="1" t="s">
        <v>13542</v>
      </c>
      <c r="D671" s="1" t="s">
        <v>132</v>
      </c>
      <c r="E671" s="1" t="s">
        <v>13543</v>
      </c>
      <c r="F671" s="1" t="s">
        <v>132</v>
      </c>
      <c r="G671" s="1" t="s">
        <v>132</v>
      </c>
      <c r="H671" s="1" t="s">
        <v>132</v>
      </c>
      <c r="I671" s="1" t="s">
        <v>13544</v>
      </c>
      <c r="J671" s="1" t="s">
        <v>132</v>
      </c>
      <c r="K671" s="1" t="s">
        <v>13545</v>
      </c>
      <c r="L671" s="1" t="s">
        <v>132</v>
      </c>
      <c r="M671" s="1" t="s">
        <v>132</v>
      </c>
      <c r="N671" s="1" t="s">
        <v>13546</v>
      </c>
      <c r="O671" s="1" t="s">
        <v>132</v>
      </c>
      <c r="P671" s="1" t="s">
        <v>132</v>
      </c>
      <c r="Q671" s="1" t="s">
        <v>132</v>
      </c>
      <c r="R671" s="1" t="s">
        <v>132</v>
      </c>
      <c r="S671" s="1" t="s">
        <v>13547</v>
      </c>
      <c r="T671" s="1" t="s">
        <v>132</v>
      </c>
      <c r="U671" s="1" t="s">
        <v>132</v>
      </c>
      <c r="V671" s="1" t="s">
        <v>132</v>
      </c>
      <c r="W671" s="1" t="s">
        <v>132</v>
      </c>
      <c r="X671" s="1" t="s">
        <v>13548</v>
      </c>
      <c r="Y671" s="1" t="s">
        <v>132</v>
      </c>
      <c r="Z671" s="1" t="s">
        <v>13549</v>
      </c>
      <c r="AA671" s="1" t="s">
        <v>132</v>
      </c>
      <c r="AB671" s="1" t="s">
        <v>132</v>
      </c>
      <c r="AC671" s="1" t="s">
        <v>132</v>
      </c>
      <c r="AD671" s="1" t="s">
        <v>132</v>
      </c>
      <c r="AE671" s="1" t="s">
        <v>132</v>
      </c>
      <c r="AF671" s="1" t="s">
        <v>132</v>
      </c>
      <c r="AG671" s="1" t="s">
        <v>132</v>
      </c>
      <c r="AH671" s="1" t="s">
        <v>132</v>
      </c>
      <c r="AI671" s="1" t="s">
        <v>132</v>
      </c>
      <c r="AJ671" s="1" t="s">
        <v>132</v>
      </c>
      <c r="AK671" s="1" t="s">
        <v>132</v>
      </c>
      <c r="AL671" s="1" t="s">
        <v>132</v>
      </c>
      <c r="AM671" s="1" t="s">
        <v>132</v>
      </c>
      <c r="AN671" s="1" t="s">
        <v>132</v>
      </c>
    </row>
    <row r="672" ht="15.75" customHeight="1">
      <c r="A672" s="1" t="s">
        <v>38</v>
      </c>
      <c r="B672" s="1" t="s">
        <v>13550</v>
      </c>
      <c r="C672" s="1" t="s">
        <v>13551</v>
      </c>
      <c r="D672" s="8" t="s">
        <v>13552</v>
      </c>
      <c r="E672" s="1" t="s">
        <v>13553</v>
      </c>
      <c r="F672" s="1" t="s">
        <v>13554</v>
      </c>
      <c r="G672" s="1" t="s">
        <v>132</v>
      </c>
      <c r="H672" s="1" t="s">
        <v>132</v>
      </c>
      <c r="I672" s="1" t="s">
        <v>13555</v>
      </c>
      <c r="J672" s="1" t="s">
        <v>132</v>
      </c>
      <c r="K672" s="1" t="s">
        <v>13556</v>
      </c>
      <c r="L672" s="1" t="s">
        <v>132</v>
      </c>
      <c r="M672" s="1" t="s">
        <v>13557</v>
      </c>
      <c r="N672" s="1" t="s">
        <v>13558</v>
      </c>
      <c r="O672" s="1" t="s">
        <v>132</v>
      </c>
      <c r="P672" s="1" t="s">
        <v>13559</v>
      </c>
      <c r="Q672" s="1" t="s">
        <v>13560</v>
      </c>
      <c r="R672" s="1" t="s">
        <v>132</v>
      </c>
      <c r="S672" s="1" t="s">
        <v>13561</v>
      </c>
      <c r="T672" s="1" t="s">
        <v>132</v>
      </c>
      <c r="U672" s="1" t="s">
        <v>13562</v>
      </c>
      <c r="V672" s="1" t="s">
        <v>13563</v>
      </c>
      <c r="W672" s="1" t="s">
        <v>132</v>
      </c>
      <c r="X672" s="1" t="s">
        <v>13564</v>
      </c>
      <c r="Y672" s="1" t="s">
        <v>132</v>
      </c>
      <c r="Z672" s="1" t="s">
        <v>13565</v>
      </c>
      <c r="AA672" s="1" t="s">
        <v>13566</v>
      </c>
      <c r="AB672" s="1" t="s">
        <v>132</v>
      </c>
      <c r="AC672" s="1" t="s">
        <v>13567</v>
      </c>
      <c r="AD672" s="1" t="s">
        <v>13568</v>
      </c>
      <c r="AE672" s="1" t="s">
        <v>132</v>
      </c>
      <c r="AF672" s="1" t="s">
        <v>13569</v>
      </c>
      <c r="AG672" s="1" t="s">
        <v>13570</v>
      </c>
      <c r="AH672" s="1" t="s">
        <v>132</v>
      </c>
      <c r="AI672" s="1" t="s">
        <v>132</v>
      </c>
      <c r="AJ672" s="1" t="s">
        <v>13571</v>
      </c>
      <c r="AK672" s="1" t="s">
        <v>13572</v>
      </c>
      <c r="AL672" s="1" t="s">
        <v>132</v>
      </c>
      <c r="AM672" s="1" t="s">
        <v>13573</v>
      </c>
      <c r="AN672" s="1" t="s">
        <v>13573</v>
      </c>
    </row>
    <row r="673" ht="15.75" customHeight="1">
      <c r="A673" s="1" t="s">
        <v>38</v>
      </c>
      <c r="B673" s="1" t="s">
        <v>13574</v>
      </c>
      <c r="C673" s="1" t="s">
        <v>13575</v>
      </c>
      <c r="D673" s="1" t="s">
        <v>132</v>
      </c>
      <c r="E673" s="1" t="s">
        <v>132</v>
      </c>
      <c r="F673" s="1" t="s">
        <v>132</v>
      </c>
      <c r="G673" s="1" t="s">
        <v>132</v>
      </c>
      <c r="H673" s="1" t="s">
        <v>132</v>
      </c>
      <c r="I673" s="1" t="s">
        <v>13575</v>
      </c>
      <c r="J673" s="1" t="s">
        <v>132</v>
      </c>
      <c r="K673" s="1" t="s">
        <v>13575</v>
      </c>
      <c r="L673" s="1" t="s">
        <v>132</v>
      </c>
      <c r="M673" s="1" t="s">
        <v>13575</v>
      </c>
      <c r="N673" s="1" t="s">
        <v>132</v>
      </c>
      <c r="O673" s="1" t="s">
        <v>132</v>
      </c>
      <c r="P673" s="1" t="s">
        <v>13575</v>
      </c>
      <c r="Q673" s="1" t="s">
        <v>132</v>
      </c>
      <c r="R673" s="1" t="s">
        <v>132</v>
      </c>
      <c r="S673" s="1" t="s">
        <v>132</v>
      </c>
      <c r="T673" s="1" t="s">
        <v>132</v>
      </c>
      <c r="U673" s="1" t="s">
        <v>132</v>
      </c>
      <c r="V673" s="1" t="s">
        <v>132</v>
      </c>
      <c r="W673" s="1" t="s">
        <v>132</v>
      </c>
      <c r="X673" s="1" t="s">
        <v>132</v>
      </c>
      <c r="Y673" s="1" t="s">
        <v>132</v>
      </c>
      <c r="Z673" s="1" t="s">
        <v>132</v>
      </c>
      <c r="AA673" s="1" t="s">
        <v>132</v>
      </c>
      <c r="AB673" s="1" t="s">
        <v>132</v>
      </c>
      <c r="AC673" s="1" t="s">
        <v>13576</v>
      </c>
      <c r="AD673" s="1" t="s">
        <v>132</v>
      </c>
      <c r="AE673" s="1" t="s">
        <v>132</v>
      </c>
      <c r="AF673" s="1" t="s">
        <v>13575</v>
      </c>
      <c r="AG673" s="1" t="s">
        <v>132</v>
      </c>
      <c r="AH673" s="1" t="s">
        <v>132</v>
      </c>
      <c r="AI673" s="1" t="s">
        <v>132</v>
      </c>
      <c r="AJ673" s="1" t="s">
        <v>132</v>
      </c>
      <c r="AK673" s="1" t="s">
        <v>132</v>
      </c>
      <c r="AL673" s="1" t="s">
        <v>132</v>
      </c>
      <c r="AM673" s="1" t="s">
        <v>132</v>
      </c>
      <c r="AN673" s="1" t="s">
        <v>132</v>
      </c>
    </row>
    <row r="674" ht="15.75" customHeight="1">
      <c r="A674" s="1" t="s">
        <v>127</v>
      </c>
      <c r="B674" s="1" t="s">
        <v>13577</v>
      </c>
      <c r="C674" s="1" t="s">
        <v>13578</v>
      </c>
      <c r="D674" s="1" t="s">
        <v>13578</v>
      </c>
      <c r="E674" s="1" t="s">
        <v>13578</v>
      </c>
      <c r="F674" s="1" t="s">
        <v>132</v>
      </c>
      <c r="G674" s="1" t="s">
        <v>13578</v>
      </c>
      <c r="H674" s="1" t="s">
        <v>13578</v>
      </c>
      <c r="I674" s="1" t="s">
        <v>13578</v>
      </c>
      <c r="J674" s="1" t="s">
        <v>13578</v>
      </c>
      <c r="K674" s="1" t="s">
        <v>13578</v>
      </c>
      <c r="L674" s="1" t="s">
        <v>13578</v>
      </c>
      <c r="M674" s="1" t="s">
        <v>13578</v>
      </c>
      <c r="N674" s="1" t="s">
        <v>132</v>
      </c>
      <c r="O674" s="1" t="s">
        <v>13579</v>
      </c>
      <c r="P674" s="1" t="s">
        <v>13578</v>
      </c>
      <c r="Q674" s="1" t="s">
        <v>132</v>
      </c>
      <c r="R674" s="1" t="s">
        <v>13578</v>
      </c>
      <c r="S674" s="1" t="s">
        <v>13578</v>
      </c>
      <c r="T674" s="1" t="s">
        <v>132</v>
      </c>
      <c r="U674" s="1" t="s">
        <v>13578</v>
      </c>
      <c r="V674" s="1" t="s">
        <v>13578</v>
      </c>
      <c r="W674" s="1" t="s">
        <v>13578</v>
      </c>
      <c r="X674" s="1" t="s">
        <v>13578</v>
      </c>
      <c r="Y674" s="1" t="s">
        <v>13578</v>
      </c>
      <c r="Z674" s="1" t="s">
        <v>13578</v>
      </c>
      <c r="AA674" s="1" t="s">
        <v>13580</v>
      </c>
      <c r="AB674" s="1" t="s">
        <v>13578</v>
      </c>
      <c r="AC674" s="1" t="s">
        <v>13581</v>
      </c>
      <c r="AD674" s="1" t="s">
        <v>13578</v>
      </c>
      <c r="AE674" s="1" t="s">
        <v>13578</v>
      </c>
      <c r="AF674" s="1" t="s">
        <v>13582</v>
      </c>
      <c r="AG674" s="1" t="s">
        <v>13578</v>
      </c>
      <c r="AH674" s="1" t="s">
        <v>13578</v>
      </c>
      <c r="AI674" s="1" t="s">
        <v>13578</v>
      </c>
      <c r="AJ674" s="1" t="s">
        <v>132</v>
      </c>
      <c r="AK674" s="1" t="s">
        <v>13578</v>
      </c>
      <c r="AL674" s="1" t="s">
        <v>13583</v>
      </c>
      <c r="AM674" s="1" t="s">
        <v>13584</v>
      </c>
      <c r="AN674" s="1" t="s">
        <v>13584</v>
      </c>
    </row>
    <row r="675" ht="15.75" customHeight="1">
      <c r="A675" s="1" t="s">
        <v>4051</v>
      </c>
      <c r="B675" s="1" t="s">
        <v>13585</v>
      </c>
      <c r="C675" s="1" t="s">
        <v>13586</v>
      </c>
      <c r="D675" s="8" t="s">
        <v>13587</v>
      </c>
      <c r="E675" s="1" t="s">
        <v>13588</v>
      </c>
      <c r="F675" s="1" t="s">
        <v>132</v>
      </c>
      <c r="G675" s="1" t="s">
        <v>13589</v>
      </c>
      <c r="H675" s="1" t="s">
        <v>13590</v>
      </c>
      <c r="I675" s="1" t="s">
        <v>13591</v>
      </c>
      <c r="J675" s="1" t="s">
        <v>13592</v>
      </c>
      <c r="K675" s="1" t="s">
        <v>13593</v>
      </c>
      <c r="L675" s="1" t="s">
        <v>13594</v>
      </c>
      <c r="M675" s="1" t="s">
        <v>13595</v>
      </c>
      <c r="N675" s="1" t="s">
        <v>132</v>
      </c>
      <c r="O675" s="1" t="s">
        <v>13596</v>
      </c>
      <c r="P675" s="1" t="s">
        <v>13597</v>
      </c>
      <c r="Q675" s="1" t="s">
        <v>132</v>
      </c>
      <c r="R675" s="1" t="s">
        <v>13598</v>
      </c>
      <c r="S675" s="1" t="s">
        <v>13599</v>
      </c>
      <c r="T675" s="8" t="s">
        <v>13600</v>
      </c>
      <c r="U675" s="1" t="s">
        <v>13601</v>
      </c>
      <c r="V675" s="1" t="s">
        <v>13602</v>
      </c>
      <c r="W675" s="1" t="s">
        <v>13603</v>
      </c>
      <c r="X675" s="1" t="s">
        <v>13604</v>
      </c>
      <c r="Y675" s="1" t="s">
        <v>13605</v>
      </c>
      <c r="Z675" s="11" t="s">
        <v>13606</v>
      </c>
      <c r="AA675" s="1" t="s">
        <v>13607</v>
      </c>
      <c r="AB675" s="1" t="s">
        <v>13608</v>
      </c>
      <c r="AC675" s="1" t="s">
        <v>132</v>
      </c>
      <c r="AD675" s="1" t="s">
        <v>13609</v>
      </c>
      <c r="AE675" s="1" t="s">
        <v>13610</v>
      </c>
      <c r="AF675" s="1" t="s">
        <v>132</v>
      </c>
      <c r="AG675" s="1" t="s">
        <v>13611</v>
      </c>
      <c r="AH675" s="1" t="s">
        <v>13612</v>
      </c>
      <c r="AI675" s="1" t="s">
        <v>13613</v>
      </c>
      <c r="AJ675" s="1" t="s">
        <v>132</v>
      </c>
      <c r="AK675" s="1" t="s">
        <v>13614</v>
      </c>
      <c r="AL675" s="14" t="s">
        <v>13615</v>
      </c>
      <c r="AM675" s="1" t="s">
        <v>132</v>
      </c>
      <c r="AN675" s="1" t="s">
        <v>132</v>
      </c>
    </row>
    <row r="676" ht="15.75" customHeight="1">
      <c r="A676" s="1" t="s">
        <v>38</v>
      </c>
      <c r="B676" s="1" t="s">
        <v>13616</v>
      </c>
      <c r="C676" s="1" t="s">
        <v>13617</v>
      </c>
      <c r="D676" s="8" t="s">
        <v>13618</v>
      </c>
      <c r="E676" s="1" t="s">
        <v>13619</v>
      </c>
      <c r="F676" s="1" t="s">
        <v>13620</v>
      </c>
      <c r="G676" s="1" t="s">
        <v>132</v>
      </c>
      <c r="H676" s="1" t="s">
        <v>132</v>
      </c>
      <c r="I676" s="1" t="s">
        <v>13621</v>
      </c>
      <c r="J676" s="1" t="s">
        <v>132</v>
      </c>
      <c r="K676" s="1" t="s">
        <v>13622</v>
      </c>
      <c r="L676" s="1" t="s">
        <v>132</v>
      </c>
      <c r="M676" s="1" t="s">
        <v>13623</v>
      </c>
      <c r="N676" s="1" t="s">
        <v>13624</v>
      </c>
      <c r="O676" s="1" t="s">
        <v>132</v>
      </c>
      <c r="P676" s="1" t="s">
        <v>13625</v>
      </c>
      <c r="Q676" s="1" t="s">
        <v>132</v>
      </c>
      <c r="R676" s="1" t="s">
        <v>132</v>
      </c>
      <c r="S676" s="1" t="s">
        <v>13626</v>
      </c>
      <c r="T676" s="1" t="s">
        <v>132</v>
      </c>
      <c r="U676" s="1" t="s">
        <v>13627</v>
      </c>
      <c r="V676" s="1" t="s">
        <v>13628</v>
      </c>
      <c r="W676" s="1" t="s">
        <v>132</v>
      </c>
      <c r="X676" s="1" t="s">
        <v>13629</v>
      </c>
      <c r="Y676" s="1" t="s">
        <v>132</v>
      </c>
      <c r="Z676" s="1" t="s">
        <v>13630</v>
      </c>
      <c r="AA676" s="1" t="s">
        <v>13631</v>
      </c>
      <c r="AB676" s="1" t="s">
        <v>132</v>
      </c>
      <c r="AC676" s="1" t="s">
        <v>13632</v>
      </c>
      <c r="AD676" s="1" t="s">
        <v>132</v>
      </c>
      <c r="AE676" s="1" t="s">
        <v>132</v>
      </c>
      <c r="AF676" s="1" t="s">
        <v>13633</v>
      </c>
      <c r="AG676" s="1" t="s">
        <v>13634</v>
      </c>
      <c r="AH676" s="1" t="s">
        <v>132</v>
      </c>
      <c r="AI676" s="1" t="s">
        <v>132</v>
      </c>
      <c r="AJ676" s="1" t="s">
        <v>13635</v>
      </c>
      <c r="AK676" s="1" t="s">
        <v>13636</v>
      </c>
      <c r="AL676" s="1" t="s">
        <v>132</v>
      </c>
      <c r="AM676" s="1" t="s">
        <v>13637</v>
      </c>
      <c r="AN676" s="1" t="s">
        <v>13637</v>
      </c>
    </row>
    <row r="677" ht="15.75" customHeight="1">
      <c r="A677" s="1" t="s">
        <v>127</v>
      </c>
      <c r="B677" s="1" t="s">
        <v>13638</v>
      </c>
      <c r="C677" s="1" t="s">
        <v>13639</v>
      </c>
      <c r="D677" s="8" t="s">
        <v>13640</v>
      </c>
      <c r="E677" s="1" t="s">
        <v>13641</v>
      </c>
      <c r="F677" s="1" t="s">
        <v>132</v>
      </c>
      <c r="G677" s="1" t="s">
        <v>13642</v>
      </c>
      <c r="H677" s="1" t="s">
        <v>13643</v>
      </c>
      <c r="I677" s="1" t="s">
        <v>13644</v>
      </c>
      <c r="J677" s="1" t="s">
        <v>13645</v>
      </c>
      <c r="K677" s="1" t="s">
        <v>13646</v>
      </c>
      <c r="L677" s="1" t="s">
        <v>13647</v>
      </c>
      <c r="M677" s="1" t="s">
        <v>13648</v>
      </c>
      <c r="N677" s="1" t="s">
        <v>132</v>
      </c>
      <c r="O677" s="1" t="s">
        <v>13649</v>
      </c>
      <c r="P677" s="1" t="s">
        <v>13650</v>
      </c>
      <c r="Q677" s="1" t="s">
        <v>132</v>
      </c>
      <c r="R677" s="1" t="s">
        <v>13651</v>
      </c>
      <c r="S677" s="1" t="s">
        <v>13639</v>
      </c>
      <c r="T677" s="8" t="s">
        <v>13652</v>
      </c>
      <c r="U677" s="1" t="s">
        <v>13653</v>
      </c>
      <c r="V677" s="1" t="s">
        <v>9837</v>
      </c>
      <c r="W677" s="1" t="s">
        <v>13654</v>
      </c>
      <c r="X677" s="1" t="s">
        <v>13655</v>
      </c>
      <c r="Y677" s="1" t="s">
        <v>13643</v>
      </c>
      <c r="Z677" s="1" t="s">
        <v>13643</v>
      </c>
      <c r="AA677" s="1" t="s">
        <v>13656</v>
      </c>
      <c r="AB677" s="1" t="s">
        <v>13657</v>
      </c>
      <c r="AC677" s="1" t="s">
        <v>13658</v>
      </c>
      <c r="AD677" s="1" t="s">
        <v>13642</v>
      </c>
      <c r="AE677" s="1" t="s">
        <v>13659</v>
      </c>
      <c r="AF677" s="1" t="s">
        <v>13660</v>
      </c>
      <c r="AG677" s="1" t="s">
        <v>13643</v>
      </c>
      <c r="AH677" s="1" t="s">
        <v>13661</v>
      </c>
      <c r="AI677" s="1" t="s">
        <v>13662</v>
      </c>
      <c r="AJ677" s="1" t="s">
        <v>132</v>
      </c>
      <c r="AK677" s="1" t="s">
        <v>13663</v>
      </c>
      <c r="AL677" s="1" t="s">
        <v>13664</v>
      </c>
      <c r="AM677" s="1" t="s">
        <v>132</v>
      </c>
      <c r="AN677" s="1" t="s">
        <v>132</v>
      </c>
    </row>
    <row r="678" ht="15.75" customHeight="1">
      <c r="A678" s="1" t="s">
        <v>43182</v>
      </c>
      <c r="B678" s="1" t="s">
        <v>43235</v>
      </c>
      <c r="C678" s="1" t="s">
        <v>43236</v>
      </c>
      <c r="D678" s="1" t="s">
        <v>132</v>
      </c>
      <c r="E678" s="1" t="s">
        <v>132</v>
      </c>
      <c r="F678" s="1" t="s">
        <v>132</v>
      </c>
      <c r="G678" s="1" t="s">
        <v>132</v>
      </c>
      <c r="H678" s="1" t="s">
        <v>132</v>
      </c>
      <c r="I678" s="1" t="s">
        <v>132</v>
      </c>
      <c r="J678" s="1" t="s">
        <v>132</v>
      </c>
      <c r="K678" s="1" t="s">
        <v>132</v>
      </c>
      <c r="L678" s="1" t="s">
        <v>132</v>
      </c>
      <c r="M678" s="1" t="s">
        <v>132</v>
      </c>
      <c r="N678" s="1" t="s">
        <v>132</v>
      </c>
      <c r="O678" s="1" t="s">
        <v>132</v>
      </c>
      <c r="P678" s="1" t="s">
        <v>132</v>
      </c>
      <c r="Q678" s="1" t="s">
        <v>132</v>
      </c>
      <c r="R678" s="1" t="s">
        <v>132</v>
      </c>
      <c r="S678" s="1" t="s">
        <v>132</v>
      </c>
      <c r="T678" s="1" t="s">
        <v>132</v>
      </c>
      <c r="U678" s="1" t="s">
        <v>132</v>
      </c>
      <c r="V678" s="1" t="s">
        <v>132</v>
      </c>
      <c r="W678" s="1" t="s">
        <v>132</v>
      </c>
      <c r="X678" s="1" t="s">
        <v>132</v>
      </c>
      <c r="Y678" s="1" t="s">
        <v>132</v>
      </c>
      <c r="Z678" s="1" t="s">
        <v>132</v>
      </c>
      <c r="AA678" s="1" t="s">
        <v>132</v>
      </c>
      <c r="AB678" s="1" t="s">
        <v>132</v>
      </c>
      <c r="AC678" s="1" t="s">
        <v>132</v>
      </c>
      <c r="AD678" s="1" t="s">
        <v>132</v>
      </c>
      <c r="AE678" s="1" t="s">
        <v>132</v>
      </c>
      <c r="AF678" s="1" t="s">
        <v>132</v>
      </c>
      <c r="AG678" s="1" t="s">
        <v>132</v>
      </c>
      <c r="AH678" s="1" t="s">
        <v>132</v>
      </c>
      <c r="AI678" s="1" t="s">
        <v>132</v>
      </c>
      <c r="AJ678" s="1" t="s">
        <v>132</v>
      </c>
      <c r="AK678" s="1" t="s">
        <v>132</v>
      </c>
      <c r="AL678" s="1" t="s">
        <v>132</v>
      </c>
      <c r="AM678" s="1" t="s">
        <v>132</v>
      </c>
      <c r="AN678" s="1" t="s">
        <v>132</v>
      </c>
    </row>
    <row r="679" ht="15.75" customHeight="1">
      <c r="A679" s="1" t="s">
        <v>38</v>
      </c>
      <c r="B679" s="1" t="s">
        <v>13665</v>
      </c>
      <c r="C679" s="1" t="s">
        <v>13666</v>
      </c>
      <c r="D679" s="1" t="s">
        <v>132</v>
      </c>
      <c r="E679" s="1" t="s">
        <v>13667</v>
      </c>
      <c r="F679" s="1" t="s">
        <v>13668</v>
      </c>
      <c r="G679" s="1" t="s">
        <v>132</v>
      </c>
      <c r="H679" s="1" t="s">
        <v>132</v>
      </c>
      <c r="I679" s="1" t="s">
        <v>13669</v>
      </c>
      <c r="J679" s="1" t="s">
        <v>132</v>
      </c>
      <c r="K679" s="1" t="s">
        <v>13670</v>
      </c>
      <c r="L679" s="1" t="s">
        <v>132</v>
      </c>
      <c r="M679" s="1" t="s">
        <v>13671</v>
      </c>
      <c r="N679" s="1" t="s">
        <v>13672</v>
      </c>
      <c r="O679" s="1" t="s">
        <v>132</v>
      </c>
      <c r="P679" s="1" t="s">
        <v>13673</v>
      </c>
      <c r="Q679" s="1" t="s">
        <v>132</v>
      </c>
      <c r="R679" s="1" t="s">
        <v>132</v>
      </c>
      <c r="S679" s="1" t="s">
        <v>13674</v>
      </c>
      <c r="T679" s="1" t="s">
        <v>132</v>
      </c>
      <c r="U679" s="1" t="s">
        <v>13675</v>
      </c>
      <c r="V679" s="1" t="s">
        <v>132</v>
      </c>
      <c r="W679" s="1" t="s">
        <v>132</v>
      </c>
      <c r="X679" s="1" t="s">
        <v>13676</v>
      </c>
      <c r="Y679" s="1" t="s">
        <v>132</v>
      </c>
      <c r="Z679" s="1" t="s">
        <v>13677</v>
      </c>
      <c r="AA679" s="1" t="s">
        <v>132</v>
      </c>
      <c r="AB679" s="1" t="s">
        <v>132</v>
      </c>
      <c r="AC679" s="1" t="s">
        <v>132</v>
      </c>
      <c r="AD679" s="1" t="s">
        <v>132</v>
      </c>
      <c r="AE679" s="1" t="s">
        <v>132</v>
      </c>
      <c r="AF679" s="1" t="s">
        <v>132</v>
      </c>
      <c r="AG679" s="1" t="s">
        <v>132</v>
      </c>
      <c r="AH679" s="1" t="s">
        <v>132</v>
      </c>
      <c r="AI679" s="1" t="s">
        <v>132</v>
      </c>
      <c r="AJ679" s="1" t="s">
        <v>132</v>
      </c>
      <c r="AK679" s="1" t="s">
        <v>132</v>
      </c>
      <c r="AL679" s="1" t="s">
        <v>132</v>
      </c>
      <c r="AM679" s="1" t="s">
        <v>132</v>
      </c>
      <c r="AN679" s="1" t="s">
        <v>132</v>
      </c>
    </row>
    <row r="680" ht="15.75" customHeight="1">
      <c r="A680" s="1" t="s">
        <v>127</v>
      </c>
      <c r="B680" s="1" t="s">
        <v>13678</v>
      </c>
      <c r="C680" s="1" t="s">
        <v>13679</v>
      </c>
      <c r="D680" s="8" t="s">
        <v>13680</v>
      </c>
      <c r="E680" s="1" t="s">
        <v>13681</v>
      </c>
      <c r="F680" s="1" t="s">
        <v>132</v>
      </c>
      <c r="G680" s="1" t="s">
        <v>13682</v>
      </c>
      <c r="H680" s="1" t="s">
        <v>13683</v>
      </c>
      <c r="I680" s="1" t="s">
        <v>13684</v>
      </c>
      <c r="J680" s="1" t="s">
        <v>13685</v>
      </c>
      <c r="K680" s="1" t="s">
        <v>13686</v>
      </c>
      <c r="L680" s="1" t="s">
        <v>13687</v>
      </c>
      <c r="M680" s="1" t="s">
        <v>13688</v>
      </c>
      <c r="N680" s="1" t="s">
        <v>132</v>
      </c>
      <c r="O680" s="1" t="s">
        <v>13689</v>
      </c>
      <c r="P680" s="1" t="s">
        <v>13690</v>
      </c>
      <c r="Q680" s="1" t="s">
        <v>132</v>
      </c>
      <c r="R680" s="1" t="s">
        <v>13691</v>
      </c>
      <c r="S680" s="1" t="s">
        <v>13692</v>
      </c>
      <c r="T680" s="8" t="s">
        <v>13693</v>
      </c>
      <c r="U680" s="1" t="s">
        <v>13694</v>
      </c>
      <c r="V680" s="1" t="s">
        <v>13695</v>
      </c>
      <c r="W680" s="1" t="s">
        <v>13696</v>
      </c>
      <c r="X680" s="1" t="s">
        <v>13697</v>
      </c>
      <c r="Y680" s="1" t="s">
        <v>13698</v>
      </c>
      <c r="Z680" s="1" t="s">
        <v>13699</v>
      </c>
      <c r="AA680" s="1" t="s">
        <v>13700</v>
      </c>
      <c r="AB680" s="1" t="s">
        <v>13701</v>
      </c>
      <c r="AC680" s="1" t="s">
        <v>13702</v>
      </c>
      <c r="AD680" s="1" t="s">
        <v>13703</v>
      </c>
      <c r="AE680" s="1" t="s">
        <v>13704</v>
      </c>
      <c r="AF680" s="1" t="s">
        <v>13679</v>
      </c>
      <c r="AG680" s="1" t="s">
        <v>13705</v>
      </c>
      <c r="AH680" s="1" t="s">
        <v>13706</v>
      </c>
      <c r="AI680" s="1" t="s">
        <v>13707</v>
      </c>
      <c r="AJ680" s="1" t="s">
        <v>132</v>
      </c>
      <c r="AK680" s="1" t="s">
        <v>13708</v>
      </c>
      <c r="AL680" s="1" t="s">
        <v>13709</v>
      </c>
      <c r="AM680" s="1" t="s">
        <v>132</v>
      </c>
      <c r="AN680" s="1" t="s">
        <v>132</v>
      </c>
    </row>
    <row r="681" ht="15.75" customHeight="1">
      <c r="A681" s="1" t="s">
        <v>127</v>
      </c>
      <c r="B681" s="1" t="s">
        <v>13710</v>
      </c>
      <c r="C681" s="1" t="s">
        <v>13711</v>
      </c>
      <c r="D681" s="8" t="s">
        <v>13712</v>
      </c>
      <c r="E681" s="1" t="s">
        <v>13713</v>
      </c>
      <c r="F681" s="1" t="s">
        <v>132</v>
      </c>
      <c r="G681" s="1" t="s">
        <v>13714</v>
      </c>
      <c r="H681" s="1" t="s">
        <v>13715</v>
      </c>
      <c r="I681" s="1" t="s">
        <v>13716</v>
      </c>
      <c r="J681" s="1" t="s">
        <v>13717</v>
      </c>
      <c r="K681" s="1" t="s">
        <v>13718</v>
      </c>
      <c r="L681" s="1" t="s">
        <v>13719</v>
      </c>
      <c r="M681" s="1" t="s">
        <v>13720</v>
      </c>
      <c r="N681" s="1" t="s">
        <v>132</v>
      </c>
      <c r="O681" s="1" t="s">
        <v>13721</v>
      </c>
      <c r="P681" s="1" t="s">
        <v>13722</v>
      </c>
      <c r="Q681" s="1" t="s">
        <v>132</v>
      </c>
      <c r="R681" s="1" t="s">
        <v>13723</v>
      </c>
      <c r="S681" s="1" t="s">
        <v>13724</v>
      </c>
      <c r="T681" s="8" t="s">
        <v>13725</v>
      </c>
      <c r="U681" s="1" t="s">
        <v>13726</v>
      </c>
      <c r="V681" s="1" t="s">
        <v>13727</v>
      </c>
      <c r="W681" s="1" t="s">
        <v>13728</v>
      </c>
      <c r="X681" s="1" t="s">
        <v>13729</v>
      </c>
      <c r="Y681" s="1" t="s">
        <v>13730</v>
      </c>
      <c r="Z681" s="1" t="s">
        <v>13731</v>
      </c>
      <c r="AA681" s="1" t="s">
        <v>13732</v>
      </c>
      <c r="AB681" s="1" t="s">
        <v>13733</v>
      </c>
      <c r="AC681" s="1" t="s">
        <v>13734</v>
      </c>
      <c r="AD681" s="1" t="s">
        <v>13735</v>
      </c>
      <c r="AE681" s="1" t="s">
        <v>13736</v>
      </c>
      <c r="AF681" s="1" t="s">
        <v>13722</v>
      </c>
      <c r="AG681" s="1" t="s">
        <v>13737</v>
      </c>
      <c r="AH681" s="1" t="s">
        <v>13738</v>
      </c>
      <c r="AI681" s="1" t="s">
        <v>13739</v>
      </c>
      <c r="AJ681" s="1" t="s">
        <v>132</v>
      </c>
      <c r="AK681" s="1" t="s">
        <v>13740</v>
      </c>
      <c r="AL681" s="1" t="s">
        <v>13741</v>
      </c>
      <c r="AM681" s="1" t="s">
        <v>13742</v>
      </c>
      <c r="AN681" s="1" t="s">
        <v>13742</v>
      </c>
    </row>
    <row r="682" ht="15.75" customHeight="1">
      <c r="A682" s="1" t="s">
        <v>38</v>
      </c>
      <c r="B682" s="1" t="s">
        <v>13743</v>
      </c>
      <c r="C682" s="1" t="s">
        <v>13744</v>
      </c>
      <c r="D682" s="1" t="s">
        <v>132</v>
      </c>
      <c r="E682" s="1" t="s">
        <v>132</v>
      </c>
      <c r="F682" s="1" t="s">
        <v>132</v>
      </c>
      <c r="G682" s="1" t="s">
        <v>132</v>
      </c>
      <c r="H682" s="1" t="s">
        <v>132</v>
      </c>
      <c r="I682" s="1" t="s">
        <v>13745</v>
      </c>
      <c r="J682" s="1" t="s">
        <v>132</v>
      </c>
      <c r="K682" s="1" t="s">
        <v>13746</v>
      </c>
      <c r="L682" s="1" t="s">
        <v>132</v>
      </c>
      <c r="M682" s="1" t="s">
        <v>13747</v>
      </c>
      <c r="N682" s="1" t="s">
        <v>132</v>
      </c>
      <c r="O682" s="1" t="s">
        <v>132</v>
      </c>
      <c r="P682" s="1" t="s">
        <v>13744</v>
      </c>
      <c r="Q682" s="1" t="s">
        <v>132</v>
      </c>
      <c r="R682" s="1" t="s">
        <v>132</v>
      </c>
      <c r="S682" s="1" t="s">
        <v>132</v>
      </c>
      <c r="T682" s="1" t="s">
        <v>132</v>
      </c>
      <c r="U682" s="1" t="s">
        <v>132</v>
      </c>
      <c r="V682" s="1" t="s">
        <v>132</v>
      </c>
      <c r="W682" s="1" t="s">
        <v>132</v>
      </c>
      <c r="X682" s="1" t="s">
        <v>132</v>
      </c>
      <c r="Y682" s="1" t="s">
        <v>132</v>
      </c>
      <c r="Z682" s="1" t="s">
        <v>132</v>
      </c>
      <c r="AA682" s="1" t="s">
        <v>132</v>
      </c>
      <c r="AB682" s="1" t="s">
        <v>132</v>
      </c>
      <c r="AC682" s="1" t="s">
        <v>13748</v>
      </c>
      <c r="AD682" s="1" t="s">
        <v>132</v>
      </c>
      <c r="AE682" s="1" t="s">
        <v>132</v>
      </c>
      <c r="AF682" s="1" t="s">
        <v>13749</v>
      </c>
      <c r="AG682" s="1" t="s">
        <v>132</v>
      </c>
      <c r="AH682" s="1" t="s">
        <v>132</v>
      </c>
      <c r="AI682" s="1" t="s">
        <v>132</v>
      </c>
      <c r="AJ682" s="1" t="s">
        <v>132</v>
      </c>
      <c r="AK682" s="1" t="s">
        <v>132</v>
      </c>
      <c r="AL682" s="1" t="s">
        <v>132</v>
      </c>
      <c r="AM682" s="1" t="s">
        <v>132</v>
      </c>
      <c r="AN682" s="1" t="s">
        <v>132</v>
      </c>
    </row>
    <row r="683" ht="15.75" customHeight="1">
      <c r="A683" s="1" t="s">
        <v>38</v>
      </c>
      <c r="B683" s="1" t="s">
        <v>13750</v>
      </c>
      <c r="C683" s="1" t="s">
        <v>13751</v>
      </c>
      <c r="D683" s="8" t="s">
        <v>13752</v>
      </c>
      <c r="E683" s="1" t="s">
        <v>13753</v>
      </c>
      <c r="F683" s="1" t="s">
        <v>13754</v>
      </c>
      <c r="G683" s="1" t="s">
        <v>132</v>
      </c>
      <c r="H683" s="1" t="s">
        <v>132</v>
      </c>
      <c r="I683" s="1" t="s">
        <v>13755</v>
      </c>
      <c r="J683" s="1" t="s">
        <v>132</v>
      </c>
      <c r="K683" s="1" t="s">
        <v>13756</v>
      </c>
      <c r="L683" s="1" t="s">
        <v>132</v>
      </c>
      <c r="M683" s="1" t="s">
        <v>13757</v>
      </c>
      <c r="N683" s="1" t="s">
        <v>13758</v>
      </c>
      <c r="O683" s="1" t="s">
        <v>132</v>
      </c>
      <c r="P683" s="1" t="s">
        <v>13759</v>
      </c>
      <c r="Q683" s="1" t="s">
        <v>13760</v>
      </c>
      <c r="R683" s="1" t="s">
        <v>132</v>
      </c>
      <c r="S683" s="1" t="s">
        <v>13761</v>
      </c>
      <c r="T683" s="1" t="s">
        <v>132</v>
      </c>
      <c r="U683" s="1" t="s">
        <v>13762</v>
      </c>
      <c r="V683" s="1" t="s">
        <v>13763</v>
      </c>
      <c r="W683" s="1" t="s">
        <v>132</v>
      </c>
      <c r="X683" s="1" t="s">
        <v>13764</v>
      </c>
      <c r="Y683" s="1" t="s">
        <v>132</v>
      </c>
      <c r="Z683" s="1" t="s">
        <v>13765</v>
      </c>
      <c r="AA683" s="1" t="s">
        <v>13766</v>
      </c>
      <c r="AB683" s="1" t="s">
        <v>132</v>
      </c>
      <c r="AC683" s="1" t="s">
        <v>13767</v>
      </c>
      <c r="AD683" s="1" t="s">
        <v>13768</v>
      </c>
      <c r="AE683" s="1" t="s">
        <v>132</v>
      </c>
      <c r="AF683" s="1" t="s">
        <v>13769</v>
      </c>
      <c r="AG683" s="1" t="s">
        <v>13770</v>
      </c>
      <c r="AH683" s="1" t="s">
        <v>132</v>
      </c>
      <c r="AI683" s="1" t="s">
        <v>132</v>
      </c>
      <c r="AJ683" s="1" t="s">
        <v>13771</v>
      </c>
      <c r="AK683" s="1" t="s">
        <v>13772</v>
      </c>
      <c r="AL683" s="1" t="s">
        <v>132</v>
      </c>
      <c r="AM683" s="1" t="s">
        <v>13773</v>
      </c>
      <c r="AN683" s="1" t="s">
        <v>13773</v>
      </c>
    </row>
    <row r="684" ht="15.75" customHeight="1">
      <c r="A684" s="1" t="s">
        <v>127</v>
      </c>
      <c r="B684" s="1" t="s">
        <v>13774</v>
      </c>
      <c r="C684" s="1" t="s">
        <v>13775</v>
      </c>
      <c r="D684" s="8" t="s">
        <v>13776</v>
      </c>
      <c r="E684" s="1" t="s">
        <v>13777</v>
      </c>
      <c r="F684" s="1" t="s">
        <v>132</v>
      </c>
      <c r="G684" s="1" t="s">
        <v>13778</v>
      </c>
      <c r="H684" s="1" t="s">
        <v>13779</v>
      </c>
      <c r="I684" s="1" t="s">
        <v>13780</v>
      </c>
      <c r="J684" s="1" t="s">
        <v>13781</v>
      </c>
      <c r="K684" s="1" t="s">
        <v>13782</v>
      </c>
      <c r="L684" s="1" t="s">
        <v>13783</v>
      </c>
      <c r="M684" s="1" t="s">
        <v>13784</v>
      </c>
      <c r="N684" s="1" t="s">
        <v>132</v>
      </c>
      <c r="O684" s="1" t="s">
        <v>13785</v>
      </c>
      <c r="P684" s="1" t="s">
        <v>13786</v>
      </c>
      <c r="Q684" s="1" t="s">
        <v>132</v>
      </c>
      <c r="R684" s="1" t="s">
        <v>13787</v>
      </c>
      <c r="S684" s="1" t="s">
        <v>13788</v>
      </c>
      <c r="T684" s="8" t="s">
        <v>13789</v>
      </c>
      <c r="U684" s="1" t="s">
        <v>13790</v>
      </c>
      <c r="V684" s="1" t="s">
        <v>13791</v>
      </c>
      <c r="W684" s="1" t="s">
        <v>13792</v>
      </c>
      <c r="X684" s="1" t="s">
        <v>13793</v>
      </c>
      <c r="Y684" s="1" t="s">
        <v>13794</v>
      </c>
      <c r="Z684" s="1" t="s">
        <v>13795</v>
      </c>
      <c r="AA684" s="1" t="s">
        <v>13796</v>
      </c>
      <c r="AB684" s="1" t="s">
        <v>13797</v>
      </c>
      <c r="AC684" s="1" t="s">
        <v>13798</v>
      </c>
      <c r="AD684" s="1" t="s">
        <v>13799</v>
      </c>
      <c r="AE684" s="1" t="s">
        <v>13800</v>
      </c>
      <c r="AF684" s="1" t="s">
        <v>13801</v>
      </c>
      <c r="AG684" s="1" t="s">
        <v>13802</v>
      </c>
      <c r="AH684" s="1" t="s">
        <v>13803</v>
      </c>
      <c r="AI684" s="1" t="s">
        <v>13804</v>
      </c>
      <c r="AJ684" s="1" t="s">
        <v>132</v>
      </c>
      <c r="AK684" s="1" t="s">
        <v>13805</v>
      </c>
      <c r="AL684" s="1" t="s">
        <v>13806</v>
      </c>
      <c r="AM684" s="1" t="s">
        <v>13807</v>
      </c>
      <c r="AN684" s="1" t="s">
        <v>13807</v>
      </c>
    </row>
    <row r="685" ht="15.75" customHeight="1">
      <c r="A685" s="1" t="s">
        <v>127</v>
      </c>
      <c r="B685" s="1" t="s">
        <v>13808</v>
      </c>
      <c r="C685" s="1" t="s">
        <v>13809</v>
      </c>
      <c r="D685" s="8" t="s">
        <v>13810</v>
      </c>
      <c r="E685" s="1" t="s">
        <v>13811</v>
      </c>
      <c r="F685" s="1" t="s">
        <v>132</v>
      </c>
      <c r="G685" s="1" t="s">
        <v>13812</v>
      </c>
      <c r="H685" s="1" t="s">
        <v>13813</v>
      </c>
      <c r="I685" s="1" t="s">
        <v>13814</v>
      </c>
      <c r="J685" s="1" t="s">
        <v>13815</v>
      </c>
      <c r="K685" s="1" t="s">
        <v>13816</v>
      </c>
      <c r="L685" s="1" t="s">
        <v>13817</v>
      </c>
      <c r="M685" s="1" t="s">
        <v>13818</v>
      </c>
      <c r="N685" s="1" t="s">
        <v>132</v>
      </c>
      <c r="O685" s="1" t="s">
        <v>13819</v>
      </c>
      <c r="P685" s="1" t="s">
        <v>13820</v>
      </c>
      <c r="Q685" s="1" t="s">
        <v>132</v>
      </c>
      <c r="R685" s="1" t="s">
        <v>13821</v>
      </c>
      <c r="S685" s="1" t="s">
        <v>13822</v>
      </c>
      <c r="T685" s="8" t="s">
        <v>13823</v>
      </c>
      <c r="U685" s="1" t="s">
        <v>9997</v>
      </c>
      <c r="V685" s="1" t="s">
        <v>13824</v>
      </c>
      <c r="W685" s="1" t="s">
        <v>13825</v>
      </c>
      <c r="X685" s="1" t="s">
        <v>13826</v>
      </c>
      <c r="Y685" s="1" t="s">
        <v>13827</v>
      </c>
      <c r="Z685" s="1" t="s">
        <v>13828</v>
      </c>
      <c r="AA685" s="1" t="s">
        <v>13829</v>
      </c>
      <c r="AB685" s="1" t="s">
        <v>13830</v>
      </c>
      <c r="AC685" s="1" t="s">
        <v>13831</v>
      </c>
      <c r="AD685" s="1" t="s">
        <v>13832</v>
      </c>
      <c r="AE685" s="1" t="s">
        <v>13833</v>
      </c>
      <c r="AF685" s="1" t="s">
        <v>13834</v>
      </c>
      <c r="AG685" s="1" t="s">
        <v>13835</v>
      </c>
      <c r="AH685" s="1" t="s">
        <v>13836</v>
      </c>
      <c r="AI685" s="1" t="s">
        <v>13837</v>
      </c>
      <c r="AJ685" s="1" t="s">
        <v>132</v>
      </c>
      <c r="AK685" s="1" t="s">
        <v>13838</v>
      </c>
      <c r="AL685" s="1" t="s">
        <v>13839</v>
      </c>
      <c r="AM685" s="1" t="s">
        <v>132</v>
      </c>
      <c r="AN685" s="1" t="s">
        <v>132</v>
      </c>
    </row>
    <row r="686" ht="15.75" customHeight="1">
      <c r="A686" s="1" t="s">
        <v>127</v>
      </c>
      <c r="B686" s="1" t="s">
        <v>13840</v>
      </c>
      <c r="C686" s="1" t="s">
        <v>13841</v>
      </c>
      <c r="D686" s="8" t="s">
        <v>13842</v>
      </c>
      <c r="E686" s="1" t="s">
        <v>13843</v>
      </c>
      <c r="F686" s="1" t="s">
        <v>132</v>
      </c>
      <c r="G686" s="1" t="s">
        <v>13844</v>
      </c>
      <c r="H686" s="1" t="s">
        <v>13845</v>
      </c>
      <c r="I686" s="1" t="s">
        <v>13846</v>
      </c>
      <c r="J686" s="1" t="s">
        <v>13847</v>
      </c>
      <c r="K686" s="1" t="s">
        <v>13848</v>
      </c>
      <c r="L686" s="1" t="s">
        <v>13849</v>
      </c>
      <c r="M686" s="1" t="s">
        <v>13850</v>
      </c>
      <c r="N686" s="1" t="s">
        <v>132</v>
      </c>
      <c r="O686" s="1" t="s">
        <v>13851</v>
      </c>
      <c r="P686" s="1" t="s">
        <v>13852</v>
      </c>
      <c r="Q686" s="1" t="s">
        <v>132</v>
      </c>
      <c r="R686" s="1" t="s">
        <v>13853</v>
      </c>
      <c r="S686" s="1" t="s">
        <v>13854</v>
      </c>
      <c r="T686" s="8" t="s">
        <v>13855</v>
      </c>
      <c r="U686" s="1" t="s">
        <v>13856</v>
      </c>
      <c r="V686" s="1" t="s">
        <v>13857</v>
      </c>
      <c r="W686" s="1" t="s">
        <v>13858</v>
      </c>
      <c r="X686" s="1" t="s">
        <v>13859</v>
      </c>
      <c r="Y686" s="1" t="s">
        <v>13860</v>
      </c>
      <c r="Z686" s="1" t="s">
        <v>13861</v>
      </c>
      <c r="AA686" s="1" t="s">
        <v>13862</v>
      </c>
      <c r="AB686" s="1" t="s">
        <v>13863</v>
      </c>
      <c r="AC686" s="1" t="s">
        <v>13864</v>
      </c>
      <c r="AD686" s="1" t="s">
        <v>13865</v>
      </c>
      <c r="AE686" s="1" t="s">
        <v>13866</v>
      </c>
      <c r="AF686" s="1" t="s">
        <v>13867</v>
      </c>
      <c r="AG686" s="1" t="s">
        <v>13868</v>
      </c>
      <c r="AH686" s="1" t="s">
        <v>13869</v>
      </c>
      <c r="AI686" s="1" t="s">
        <v>13870</v>
      </c>
      <c r="AJ686" s="1" t="s">
        <v>132</v>
      </c>
      <c r="AK686" s="1" t="s">
        <v>13871</v>
      </c>
      <c r="AL686" s="1" t="s">
        <v>13872</v>
      </c>
      <c r="AM686" s="1" t="s">
        <v>132</v>
      </c>
      <c r="AN686" s="1" t="s">
        <v>132</v>
      </c>
    </row>
    <row r="687" ht="15.75" customHeight="1">
      <c r="A687" s="1" t="s">
        <v>38</v>
      </c>
      <c r="B687" s="1" t="s">
        <v>13873</v>
      </c>
      <c r="C687" s="1" t="s">
        <v>13874</v>
      </c>
      <c r="D687" s="1" t="s">
        <v>132</v>
      </c>
      <c r="E687" s="1" t="s">
        <v>132</v>
      </c>
      <c r="F687" s="1" t="s">
        <v>132</v>
      </c>
      <c r="G687" s="1" t="s">
        <v>132</v>
      </c>
      <c r="H687" s="1" t="s">
        <v>132</v>
      </c>
      <c r="I687" s="1" t="s">
        <v>13875</v>
      </c>
      <c r="J687" s="1" t="s">
        <v>132</v>
      </c>
      <c r="K687" s="1" t="s">
        <v>13874</v>
      </c>
      <c r="L687" s="1" t="s">
        <v>132</v>
      </c>
      <c r="M687" s="1" t="s">
        <v>13876</v>
      </c>
      <c r="N687" s="1" t="s">
        <v>132</v>
      </c>
      <c r="O687" s="1" t="s">
        <v>132</v>
      </c>
      <c r="P687" s="1" t="s">
        <v>13874</v>
      </c>
      <c r="Q687" s="1" t="s">
        <v>132</v>
      </c>
      <c r="R687" s="1" t="s">
        <v>132</v>
      </c>
      <c r="S687" s="1" t="s">
        <v>132</v>
      </c>
      <c r="T687" s="1" t="s">
        <v>132</v>
      </c>
      <c r="U687" s="1" t="s">
        <v>132</v>
      </c>
      <c r="V687" s="1" t="s">
        <v>132</v>
      </c>
      <c r="W687" s="1" t="s">
        <v>132</v>
      </c>
      <c r="X687" s="1" t="s">
        <v>132</v>
      </c>
      <c r="Y687" s="1" t="s">
        <v>132</v>
      </c>
      <c r="Z687" s="1" t="s">
        <v>132</v>
      </c>
      <c r="AA687" s="1" t="s">
        <v>132</v>
      </c>
      <c r="AB687" s="1" t="s">
        <v>132</v>
      </c>
      <c r="AC687" s="1" t="s">
        <v>13877</v>
      </c>
      <c r="AD687" s="1" t="s">
        <v>132</v>
      </c>
      <c r="AE687" s="1" t="s">
        <v>132</v>
      </c>
      <c r="AF687" s="1" t="s">
        <v>13878</v>
      </c>
      <c r="AG687" s="1" t="s">
        <v>132</v>
      </c>
      <c r="AH687" s="1" t="s">
        <v>132</v>
      </c>
      <c r="AI687" s="1" t="s">
        <v>132</v>
      </c>
      <c r="AJ687" s="1" t="s">
        <v>132</v>
      </c>
      <c r="AK687" s="1" t="s">
        <v>132</v>
      </c>
      <c r="AL687" s="1" t="s">
        <v>132</v>
      </c>
      <c r="AM687" s="1" t="s">
        <v>132</v>
      </c>
      <c r="AN687" s="1" t="s">
        <v>132</v>
      </c>
    </row>
    <row r="688" ht="15.75" customHeight="1">
      <c r="A688" s="1" t="s">
        <v>38</v>
      </c>
      <c r="B688" s="1" t="s">
        <v>13879</v>
      </c>
      <c r="C688" s="1" t="s">
        <v>13880</v>
      </c>
      <c r="D688" s="1" t="s">
        <v>132</v>
      </c>
      <c r="E688" s="1" t="s">
        <v>13881</v>
      </c>
      <c r="F688" s="1" t="s">
        <v>132</v>
      </c>
      <c r="G688" s="1" t="s">
        <v>132</v>
      </c>
      <c r="H688" s="1" t="s">
        <v>132</v>
      </c>
      <c r="I688" s="1" t="s">
        <v>13882</v>
      </c>
      <c r="J688" s="1" t="s">
        <v>132</v>
      </c>
      <c r="K688" s="1" t="s">
        <v>13883</v>
      </c>
      <c r="L688" s="1" t="s">
        <v>132</v>
      </c>
      <c r="M688" s="1" t="s">
        <v>132</v>
      </c>
      <c r="N688" s="1" t="s">
        <v>13885</v>
      </c>
      <c r="O688" s="1" t="s">
        <v>132</v>
      </c>
      <c r="P688" s="1" t="s">
        <v>13886</v>
      </c>
      <c r="Q688" s="1" t="s">
        <v>132</v>
      </c>
      <c r="R688" s="1" t="s">
        <v>132</v>
      </c>
      <c r="S688" s="1" t="s">
        <v>13887</v>
      </c>
      <c r="T688" s="1" t="s">
        <v>132</v>
      </c>
      <c r="U688" s="1" t="s">
        <v>132</v>
      </c>
      <c r="V688" s="1" t="s">
        <v>132</v>
      </c>
      <c r="W688" s="1" t="s">
        <v>132</v>
      </c>
      <c r="X688" s="1" t="s">
        <v>13888</v>
      </c>
      <c r="Y688" s="1" t="s">
        <v>132</v>
      </c>
      <c r="Z688" s="1" t="s">
        <v>13889</v>
      </c>
      <c r="AA688" s="1" t="s">
        <v>132</v>
      </c>
      <c r="AB688" s="1" t="s">
        <v>132</v>
      </c>
      <c r="AC688" s="1" t="s">
        <v>132</v>
      </c>
      <c r="AD688" s="1" t="s">
        <v>132</v>
      </c>
      <c r="AE688" s="1" t="s">
        <v>132</v>
      </c>
      <c r="AF688" s="1" t="s">
        <v>132</v>
      </c>
      <c r="AG688" s="1" t="s">
        <v>132</v>
      </c>
      <c r="AH688" s="1" t="s">
        <v>132</v>
      </c>
      <c r="AI688" s="1" t="s">
        <v>132</v>
      </c>
      <c r="AJ688" s="1" t="s">
        <v>132</v>
      </c>
      <c r="AK688" s="1" t="s">
        <v>132</v>
      </c>
      <c r="AL688" s="1" t="s">
        <v>132</v>
      </c>
      <c r="AM688" s="1" t="s">
        <v>132</v>
      </c>
      <c r="AN688" s="1" t="s">
        <v>132</v>
      </c>
    </row>
    <row r="689" ht="15.75" customHeight="1">
      <c r="A689" s="1" t="s">
        <v>38</v>
      </c>
      <c r="B689" s="1" t="s">
        <v>13890</v>
      </c>
      <c r="C689" s="1" t="s">
        <v>13891</v>
      </c>
      <c r="D689" s="8" t="s">
        <v>13892</v>
      </c>
      <c r="E689" s="1" t="s">
        <v>13893</v>
      </c>
      <c r="F689" s="1" t="s">
        <v>13894</v>
      </c>
      <c r="G689" s="1" t="s">
        <v>132</v>
      </c>
      <c r="H689" s="1" t="s">
        <v>132</v>
      </c>
      <c r="I689" s="1" t="s">
        <v>13895</v>
      </c>
      <c r="J689" s="1" t="s">
        <v>132</v>
      </c>
      <c r="K689" s="1" t="s">
        <v>13891</v>
      </c>
      <c r="L689" s="1" t="s">
        <v>132</v>
      </c>
      <c r="M689" s="1" t="s">
        <v>13896</v>
      </c>
      <c r="N689" s="1" t="s">
        <v>13891</v>
      </c>
      <c r="O689" s="1" t="s">
        <v>132</v>
      </c>
      <c r="P689" s="1" t="s">
        <v>13891</v>
      </c>
      <c r="Q689" s="1" t="s">
        <v>13891</v>
      </c>
      <c r="R689" s="1" t="s">
        <v>132</v>
      </c>
      <c r="S689" s="1" t="s">
        <v>13891</v>
      </c>
      <c r="T689" s="1" t="s">
        <v>132</v>
      </c>
      <c r="U689" s="1" t="s">
        <v>13897</v>
      </c>
      <c r="V689" s="1" t="s">
        <v>13891</v>
      </c>
      <c r="W689" s="1" t="s">
        <v>132</v>
      </c>
      <c r="X689" s="1" t="s">
        <v>13891</v>
      </c>
      <c r="Y689" s="1" t="s">
        <v>132</v>
      </c>
      <c r="Z689" s="1" t="s">
        <v>13898</v>
      </c>
      <c r="AA689" s="1" t="s">
        <v>13891</v>
      </c>
      <c r="AB689" s="1" t="s">
        <v>132</v>
      </c>
      <c r="AC689" s="1" t="s">
        <v>13899</v>
      </c>
      <c r="AD689" s="1" t="s">
        <v>13891</v>
      </c>
      <c r="AE689" s="1" t="s">
        <v>132</v>
      </c>
      <c r="AF689" s="1" t="s">
        <v>13900</v>
      </c>
      <c r="AG689" s="1" t="s">
        <v>13901</v>
      </c>
      <c r="AH689" s="1" t="s">
        <v>132</v>
      </c>
      <c r="AI689" s="1" t="s">
        <v>132</v>
      </c>
      <c r="AJ689" s="1" t="s">
        <v>13902</v>
      </c>
      <c r="AK689" s="1" t="s">
        <v>13891</v>
      </c>
      <c r="AL689" s="1" t="s">
        <v>132</v>
      </c>
      <c r="AM689" s="1" t="s">
        <v>13903</v>
      </c>
      <c r="AN689" s="1" t="s">
        <v>13903</v>
      </c>
    </row>
    <row r="690" ht="15.75" customHeight="1">
      <c r="A690" s="1" t="s">
        <v>38</v>
      </c>
      <c r="B690" s="1" t="s">
        <v>13904</v>
      </c>
      <c r="C690" s="1" t="s">
        <v>13905</v>
      </c>
      <c r="D690" s="1" t="s">
        <v>132</v>
      </c>
      <c r="E690" s="1" t="s">
        <v>13906</v>
      </c>
      <c r="F690" s="1" t="s">
        <v>13907</v>
      </c>
      <c r="G690" s="1" t="s">
        <v>132</v>
      </c>
      <c r="H690" s="1" t="s">
        <v>132</v>
      </c>
      <c r="I690" s="1" t="s">
        <v>13908</v>
      </c>
      <c r="J690" s="1" t="s">
        <v>132</v>
      </c>
      <c r="K690" s="1" t="s">
        <v>13909</v>
      </c>
      <c r="L690" s="1" t="s">
        <v>132</v>
      </c>
      <c r="M690" s="1" t="s">
        <v>13910</v>
      </c>
      <c r="N690" s="1" t="s">
        <v>13911</v>
      </c>
      <c r="O690" s="1" t="s">
        <v>132</v>
      </c>
      <c r="P690" s="1" t="s">
        <v>13912</v>
      </c>
      <c r="Q690" s="1" t="s">
        <v>132</v>
      </c>
      <c r="R690" s="1" t="s">
        <v>132</v>
      </c>
      <c r="S690" s="1" t="s">
        <v>13913</v>
      </c>
      <c r="T690" s="1" t="s">
        <v>132</v>
      </c>
      <c r="U690" s="1" t="s">
        <v>13914</v>
      </c>
      <c r="V690" s="1" t="s">
        <v>132</v>
      </c>
      <c r="W690" s="1" t="s">
        <v>132</v>
      </c>
      <c r="X690" s="1" t="s">
        <v>13915</v>
      </c>
      <c r="Y690" s="1" t="s">
        <v>132</v>
      </c>
      <c r="Z690" s="1" t="s">
        <v>13916</v>
      </c>
      <c r="AA690" s="1" t="s">
        <v>132</v>
      </c>
      <c r="AB690" s="1" t="s">
        <v>132</v>
      </c>
      <c r="AC690" s="1" t="s">
        <v>13917</v>
      </c>
      <c r="AD690" s="1" t="s">
        <v>132</v>
      </c>
      <c r="AE690" s="1" t="s">
        <v>132</v>
      </c>
      <c r="AF690" s="1" t="s">
        <v>132</v>
      </c>
      <c r="AG690" s="1" t="s">
        <v>132</v>
      </c>
      <c r="AH690" s="1" t="s">
        <v>132</v>
      </c>
      <c r="AI690" s="1" t="s">
        <v>132</v>
      </c>
      <c r="AJ690" s="1" t="s">
        <v>13918</v>
      </c>
      <c r="AK690" s="1" t="s">
        <v>132</v>
      </c>
      <c r="AL690" s="1" t="s">
        <v>132</v>
      </c>
      <c r="AM690" s="1" t="s">
        <v>13919</v>
      </c>
      <c r="AN690" s="1" t="s">
        <v>13919</v>
      </c>
    </row>
    <row r="691" ht="15.75" customHeight="1">
      <c r="A691" s="1" t="s">
        <v>38</v>
      </c>
      <c r="B691" s="1" t="s">
        <v>13920</v>
      </c>
      <c r="C691" s="1" t="s">
        <v>13921</v>
      </c>
      <c r="D691" s="8" t="s">
        <v>13922</v>
      </c>
      <c r="E691" s="1" t="s">
        <v>13923</v>
      </c>
      <c r="F691" s="1" t="s">
        <v>13924</v>
      </c>
      <c r="G691" s="1" t="s">
        <v>132</v>
      </c>
      <c r="H691" s="1" t="s">
        <v>132</v>
      </c>
      <c r="I691" s="1" t="s">
        <v>13925</v>
      </c>
      <c r="J691" s="1" t="s">
        <v>132</v>
      </c>
      <c r="K691" s="1" t="s">
        <v>13926</v>
      </c>
      <c r="L691" s="1" t="s">
        <v>132</v>
      </c>
      <c r="M691" s="1" t="s">
        <v>13927</v>
      </c>
      <c r="N691" s="1" t="s">
        <v>13928</v>
      </c>
      <c r="O691" s="1" t="s">
        <v>132</v>
      </c>
      <c r="P691" s="1" t="s">
        <v>13929</v>
      </c>
      <c r="Q691" s="1" t="s">
        <v>13930</v>
      </c>
      <c r="R691" s="1" t="s">
        <v>132</v>
      </c>
      <c r="S691" s="1" t="s">
        <v>13931</v>
      </c>
      <c r="T691" s="1" t="s">
        <v>132</v>
      </c>
      <c r="U691" s="1" t="s">
        <v>13932</v>
      </c>
      <c r="V691" s="1" t="s">
        <v>13933</v>
      </c>
      <c r="W691" s="1" t="s">
        <v>132</v>
      </c>
      <c r="X691" s="1" t="s">
        <v>13934</v>
      </c>
      <c r="Y691" s="1" t="s">
        <v>132</v>
      </c>
      <c r="Z691" s="1" t="s">
        <v>13935</v>
      </c>
      <c r="AA691" s="1" t="s">
        <v>13936</v>
      </c>
      <c r="AB691" s="1" t="s">
        <v>132</v>
      </c>
      <c r="AC691" s="1" t="s">
        <v>13937</v>
      </c>
      <c r="AD691" s="1" t="s">
        <v>13938</v>
      </c>
      <c r="AE691" s="1" t="s">
        <v>132</v>
      </c>
      <c r="AF691" s="1" t="s">
        <v>13939</v>
      </c>
      <c r="AG691" s="1" t="s">
        <v>13940</v>
      </c>
      <c r="AH691" s="1" t="s">
        <v>132</v>
      </c>
      <c r="AI691" s="1" t="s">
        <v>132</v>
      </c>
      <c r="AJ691" s="1" t="s">
        <v>13941</v>
      </c>
      <c r="AK691" s="1" t="s">
        <v>13942</v>
      </c>
      <c r="AL691" s="1" t="s">
        <v>132</v>
      </c>
      <c r="AM691" s="1" t="s">
        <v>13943</v>
      </c>
      <c r="AN691" s="1" t="s">
        <v>13943</v>
      </c>
    </row>
    <row r="692" ht="15.75" customHeight="1">
      <c r="A692" s="1" t="s">
        <v>127</v>
      </c>
      <c r="B692" s="1" t="s">
        <v>13944</v>
      </c>
      <c r="C692" s="1" t="s">
        <v>13945</v>
      </c>
      <c r="D692" s="8" t="s">
        <v>13946</v>
      </c>
      <c r="E692" s="1" t="s">
        <v>13947</v>
      </c>
      <c r="F692" s="1" t="s">
        <v>132</v>
      </c>
      <c r="G692" s="1" t="s">
        <v>13948</v>
      </c>
      <c r="H692" s="1" t="s">
        <v>13949</v>
      </c>
      <c r="I692" s="1" t="s">
        <v>13950</v>
      </c>
      <c r="J692" s="1" t="s">
        <v>13951</v>
      </c>
      <c r="K692" s="1" t="s">
        <v>13952</v>
      </c>
      <c r="L692" s="1" t="s">
        <v>13953</v>
      </c>
      <c r="M692" s="1" t="s">
        <v>13954</v>
      </c>
      <c r="N692" s="1" t="s">
        <v>132</v>
      </c>
      <c r="O692" s="1" t="s">
        <v>13955</v>
      </c>
      <c r="P692" s="1" t="s">
        <v>13956</v>
      </c>
      <c r="Q692" s="1" t="s">
        <v>132</v>
      </c>
      <c r="R692" s="1" t="s">
        <v>13957</v>
      </c>
      <c r="S692" s="1" t="s">
        <v>13958</v>
      </c>
      <c r="T692" s="8" t="s">
        <v>13959</v>
      </c>
      <c r="U692" s="1" t="s">
        <v>13960</v>
      </c>
      <c r="V692" s="1" t="s">
        <v>13961</v>
      </c>
      <c r="W692" s="1" t="s">
        <v>13962</v>
      </c>
      <c r="X692" s="1" t="s">
        <v>13963</v>
      </c>
      <c r="Y692" s="1" t="s">
        <v>13964</v>
      </c>
      <c r="Z692" s="1" t="s">
        <v>13965</v>
      </c>
      <c r="AA692" s="1" t="s">
        <v>13966</v>
      </c>
      <c r="AB692" s="1" t="s">
        <v>13967</v>
      </c>
      <c r="AC692" s="1" t="s">
        <v>13968</v>
      </c>
      <c r="AD692" s="1" t="s">
        <v>13969</v>
      </c>
      <c r="AE692" s="1" t="s">
        <v>13970</v>
      </c>
      <c r="AF692" s="1" t="s">
        <v>13971</v>
      </c>
      <c r="AG692" s="1" t="s">
        <v>13972</v>
      </c>
      <c r="AH692" s="1" t="s">
        <v>13973</v>
      </c>
      <c r="AI692" s="1" t="s">
        <v>13974</v>
      </c>
      <c r="AJ692" s="1" t="s">
        <v>132</v>
      </c>
      <c r="AK692" s="1" t="s">
        <v>13975</v>
      </c>
      <c r="AL692" s="1" t="s">
        <v>13976</v>
      </c>
      <c r="AM692" s="1" t="s">
        <v>13977</v>
      </c>
      <c r="AN692" s="1" t="s">
        <v>13977</v>
      </c>
    </row>
    <row r="693" ht="15.75" customHeight="1">
      <c r="A693" s="1" t="s">
        <v>43182</v>
      </c>
      <c r="B693" s="1" t="s">
        <v>43237</v>
      </c>
      <c r="C693" s="1" t="s">
        <v>43238</v>
      </c>
      <c r="D693" s="1" t="s">
        <v>132</v>
      </c>
      <c r="E693" s="1" t="s">
        <v>132</v>
      </c>
      <c r="F693" s="1" t="s">
        <v>132</v>
      </c>
      <c r="G693" s="1" t="s">
        <v>132</v>
      </c>
      <c r="H693" s="1" t="s">
        <v>132</v>
      </c>
      <c r="I693" s="1" t="s">
        <v>132</v>
      </c>
      <c r="J693" s="1" t="s">
        <v>132</v>
      </c>
      <c r="K693" s="1" t="s">
        <v>132</v>
      </c>
      <c r="L693" s="1" t="s">
        <v>132</v>
      </c>
      <c r="M693" s="1" t="s">
        <v>132</v>
      </c>
      <c r="N693" s="1" t="s">
        <v>132</v>
      </c>
      <c r="O693" s="1" t="s">
        <v>132</v>
      </c>
      <c r="P693" s="1" t="s">
        <v>132</v>
      </c>
      <c r="Q693" s="1" t="s">
        <v>132</v>
      </c>
      <c r="R693" s="1" t="s">
        <v>132</v>
      </c>
      <c r="S693" s="1" t="s">
        <v>132</v>
      </c>
      <c r="T693" s="1" t="s">
        <v>132</v>
      </c>
      <c r="U693" s="1" t="s">
        <v>132</v>
      </c>
      <c r="V693" s="1" t="s">
        <v>132</v>
      </c>
      <c r="W693" s="1" t="s">
        <v>132</v>
      </c>
      <c r="X693" s="1" t="s">
        <v>132</v>
      </c>
      <c r="Y693" s="1" t="s">
        <v>132</v>
      </c>
      <c r="Z693" s="1" t="s">
        <v>132</v>
      </c>
      <c r="AA693" s="1" t="s">
        <v>132</v>
      </c>
      <c r="AB693" s="1" t="s">
        <v>132</v>
      </c>
      <c r="AC693" s="1" t="s">
        <v>132</v>
      </c>
      <c r="AD693" s="1" t="s">
        <v>132</v>
      </c>
      <c r="AE693" s="1" t="s">
        <v>132</v>
      </c>
      <c r="AF693" s="1" t="s">
        <v>132</v>
      </c>
      <c r="AG693" s="1" t="s">
        <v>132</v>
      </c>
      <c r="AH693" s="1" t="s">
        <v>132</v>
      </c>
      <c r="AI693" s="1" t="s">
        <v>132</v>
      </c>
      <c r="AJ693" s="1" t="s">
        <v>132</v>
      </c>
      <c r="AK693" s="1" t="s">
        <v>132</v>
      </c>
      <c r="AL693" s="1" t="s">
        <v>132</v>
      </c>
      <c r="AM693" s="1" t="s">
        <v>132</v>
      </c>
      <c r="AN693" s="1" t="s">
        <v>132</v>
      </c>
    </row>
    <row r="694" ht="15.75" customHeight="1">
      <c r="A694" s="1" t="s">
        <v>127</v>
      </c>
      <c r="B694" s="1" t="s">
        <v>13978</v>
      </c>
      <c r="C694" s="1" t="s">
        <v>13979</v>
      </c>
      <c r="D694" s="8" t="s">
        <v>13980</v>
      </c>
      <c r="E694" s="1" t="s">
        <v>13981</v>
      </c>
      <c r="F694" s="1" t="s">
        <v>132</v>
      </c>
      <c r="G694" s="1" t="s">
        <v>13982</v>
      </c>
      <c r="H694" s="1" t="s">
        <v>13983</v>
      </c>
      <c r="I694" s="1" t="s">
        <v>13984</v>
      </c>
      <c r="J694" s="1" t="s">
        <v>13985</v>
      </c>
      <c r="K694" s="1" t="s">
        <v>13986</v>
      </c>
      <c r="L694" s="1" t="s">
        <v>13987</v>
      </c>
      <c r="M694" s="1" t="s">
        <v>13988</v>
      </c>
      <c r="N694" s="1" t="s">
        <v>132</v>
      </c>
      <c r="O694" s="1" t="s">
        <v>13989</v>
      </c>
      <c r="P694" s="1" t="s">
        <v>13990</v>
      </c>
      <c r="Q694" s="1" t="s">
        <v>132</v>
      </c>
      <c r="R694" s="1" t="s">
        <v>13991</v>
      </c>
      <c r="S694" s="1" t="s">
        <v>13992</v>
      </c>
      <c r="T694" s="8" t="s">
        <v>13993</v>
      </c>
      <c r="U694" s="1" t="s">
        <v>13994</v>
      </c>
      <c r="V694" s="1" t="s">
        <v>13995</v>
      </c>
      <c r="W694" s="1" t="s">
        <v>13996</v>
      </c>
      <c r="X694" s="1" t="s">
        <v>13997</v>
      </c>
      <c r="Y694" s="1" t="s">
        <v>13998</v>
      </c>
      <c r="Z694" s="1" t="s">
        <v>13999</v>
      </c>
      <c r="AA694" s="1" t="s">
        <v>14000</v>
      </c>
      <c r="AB694" s="1" t="s">
        <v>14001</v>
      </c>
      <c r="AC694" s="1" t="s">
        <v>14002</v>
      </c>
      <c r="AD694" s="1" t="s">
        <v>14003</v>
      </c>
      <c r="AE694" s="1" t="s">
        <v>14004</v>
      </c>
      <c r="AF694" s="1" t="s">
        <v>14005</v>
      </c>
      <c r="AG694" s="1" t="s">
        <v>14006</v>
      </c>
      <c r="AH694" s="1" t="s">
        <v>14007</v>
      </c>
      <c r="AI694" s="1" t="s">
        <v>14008</v>
      </c>
      <c r="AJ694" s="1" t="s">
        <v>132</v>
      </c>
      <c r="AK694" s="1" t="s">
        <v>14009</v>
      </c>
      <c r="AL694" s="1" t="s">
        <v>14010</v>
      </c>
      <c r="AM694" s="1" t="s">
        <v>14011</v>
      </c>
      <c r="AN694" s="1" t="s">
        <v>14011</v>
      </c>
    </row>
    <row r="695" ht="15.75" customHeight="1">
      <c r="A695" s="1" t="s">
        <v>127</v>
      </c>
      <c r="B695" s="1" t="s">
        <v>14012</v>
      </c>
      <c r="C695" s="1" t="s">
        <v>14013</v>
      </c>
      <c r="D695" s="8" t="s">
        <v>11138</v>
      </c>
      <c r="E695" s="1" t="s">
        <v>14014</v>
      </c>
      <c r="F695" s="1" t="s">
        <v>132</v>
      </c>
      <c r="G695" s="1" t="s">
        <v>14015</v>
      </c>
      <c r="H695" s="1" t="s">
        <v>14016</v>
      </c>
      <c r="I695" s="1" t="s">
        <v>14017</v>
      </c>
      <c r="J695" s="1" t="s">
        <v>14018</v>
      </c>
      <c r="K695" s="1" t="s">
        <v>14019</v>
      </c>
      <c r="L695" s="1" t="s">
        <v>14020</v>
      </c>
      <c r="M695" s="1" t="s">
        <v>14013</v>
      </c>
      <c r="N695" s="1" t="s">
        <v>132</v>
      </c>
      <c r="O695" s="1" t="s">
        <v>14021</v>
      </c>
      <c r="P695" s="1" t="s">
        <v>14022</v>
      </c>
      <c r="Q695" s="1" t="s">
        <v>132</v>
      </c>
      <c r="R695" s="1" t="s">
        <v>14023</v>
      </c>
      <c r="S695" s="1" t="s">
        <v>14019</v>
      </c>
      <c r="T695" s="8" t="s">
        <v>14024</v>
      </c>
      <c r="U695" s="1" t="s">
        <v>14025</v>
      </c>
      <c r="V695" s="1" t="s">
        <v>14026</v>
      </c>
      <c r="W695" s="1" t="s">
        <v>14027</v>
      </c>
      <c r="X695" s="1" t="s">
        <v>14028</v>
      </c>
      <c r="Y695" s="1" t="s">
        <v>14029</v>
      </c>
      <c r="Z695" s="1" t="s">
        <v>14015</v>
      </c>
      <c r="AA695" s="1" t="s">
        <v>14019</v>
      </c>
      <c r="AB695" s="1" t="s">
        <v>14016</v>
      </c>
      <c r="AC695" s="1" t="s">
        <v>14014</v>
      </c>
      <c r="AD695" s="1" t="s">
        <v>14030</v>
      </c>
      <c r="AE695" s="1" t="s">
        <v>14015</v>
      </c>
      <c r="AF695" s="1" t="s">
        <v>14016</v>
      </c>
      <c r="AG695" s="1" t="s">
        <v>14016</v>
      </c>
      <c r="AH695" s="1" t="s">
        <v>14031</v>
      </c>
      <c r="AI695" s="1" t="s">
        <v>14032</v>
      </c>
      <c r="AJ695" s="1" t="s">
        <v>132</v>
      </c>
      <c r="AK695" s="1" t="s">
        <v>14033</v>
      </c>
      <c r="AL695" s="1" t="s">
        <v>14034</v>
      </c>
      <c r="AM695" s="1" t="s">
        <v>14035</v>
      </c>
      <c r="AN695" s="1" t="s">
        <v>14035</v>
      </c>
    </row>
    <row r="696" ht="15.75" customHeight="1">
      <c r="A696" s="1" t="s">
        <v>127</v>
      </c>
      <c r="B696" s="1" t="s">
        <v>14036</v>
      </c>
      <c r="C696" s="1" t="s">
        <v>14037</v>
      </c>
      <c r="D696" s="8" t="s">
        <v>14038</v>
      </c>
      <c r="E696" s="1" t="s">
        <v>14039</v>
      </c>
      <c r="F696" s="1" t="s">
        <v>132</v>
      </c>
      <c r="G696" s="1" t="s">
        <v>14040</v>
      </c>
      <c r="H696" s="1" t="s">
        <v>14041</v>
      </c>
      <c r="I696" s="1" t="s">
        <v>14037</v>
      </c>
      <c r="J696" s="1" t="s">
        <v>14042</v>
      </c>
      <c r="K696" s="1" t="s">
        <v>14043</v>
      </c>
      <c r="L696" s="1" t="s">
        <v>14044</v>
      </c>
      <c r="M696" s="1" t="s">
        <v>14045</v>
      </c>
      <c r="N696" s="1" t="s">
        <v>132</v>
      </c>
      <c r="O696" s="1" t="s">
        <v>14046</v>
      </c>
      <c r="P696" s="1" t="s">
        <v>14037</v>
      </c>
      <c r="Q696" s="1" t="s">
        <v>132</v>
      </c>
      <c r="R696" s="1" t="s">
        <v>14047</v>
      </c>
      <c r="S696" s="1" t="s">
        <v>14048</v>
      </c>
      <c r="T696" s="8" t="s">
        <v>14049</v>
      </c>
      <c r="U696" s="1" t="s">
        <v>14050</v>
      </c>
      <c r="V696" s="1" t="s">
        <v>14051</v>
      </c>
      <c r="W696" s="1" t="s">
        <v>14052</v>
      </c>
      <c r="X696" s="1" t="s">
        <v>14041</v>
      </c>
      <c r="Y696" s="1" t="s">
        <v>14041</v>
      </c>
      <c r="Z696" s="1" t="s">
        <v>14053</v>
      </c>
      <c r="AA696" s="1" t="s">
        <v>14043</v>
      </c>
      <c r="AB696" s="1" t="s">
        <v>14054</v>
      </c>
      <c r="AC696" s="1" t="s">
        <v>14039</v>
      </c>
      <c r="AD696" s="1" t="s">
        <v>14055</v>
      </c>
      <c r="AE696" s="1" t="s">
        <v>14056</v>
      </c>
      <c r="AF696" s="1" t="s">
        <v>14037</v>
      </c>
      <c r="AG696" s="1" t="s">
        <v>14037</v>
      </c>
      <c r="AH696" s="1" t="s">
        <v>14057</v>
      </c>
      <c r="AI696" s="1" t="s">
        <v>14058</v>
      </c>
      <c r="AJ696" s="1" t="s">
        <v>132</v>
      </c>
      <c r="AK696" s="1" t="s">
        <v>14059</v>
      </c>
      <c r="AL696" s="1" t="s">
        <v>14060</v>
      </c>
      <c r="AM696" s="1" t="s">
        <v>14061</v>
      </c>
      <c r="AN696" s="1" t="s">
        <v>14061</v>
      </c>
    </row>
    <row r="697" ht="15.75" customHeight="1">
      <c r="A697" s="1" t="s">
        <v>127</v>
      </c>
      <c r="B697" s="1" t="s">
        <v>14062</v>
      </c>
      <c r="C697" s="1" t="s">
        <v>14063</v>
      </c>
      <c r="D697" s="8" t="s">
        <v>14064</v>
      </c>
      <c r="E697" s="1" t="s">
        <v>14065</v>
      </c>
      <c r="F697" s="1" t="s">
        <v>132</v>
      </c>
      <c r="G697" s="1" t="s">
        <v>14066</v>
      </c>
      <c r="H697" s="1" t="s">
        <v>14067</v>
      </c>
      <c r="I697" s="1" t="s">
        <v>14063</v>
      </c>
      <c r="J697" s="1" t="s">
        <v>14068</v>
      </c>
      <c r="K697" s="1" t="s">
        <v>14069</v>
      </c>
      <c r="L697" s="1" t="s">
        <v>14070</v>
      </c>
      <c r="M697" s="1" t="s">
        <v>14071</v>
      </c>
      <c r="N697" s="1" t="s">
        <v>132</v>
      </c>
      <c r="O697" s="1" t="s">
        <v>14072</v>
      </c>
      <c r="P697" s="1" t="s">
        <v>14063</v>
      </c>
      <c r="Q697" s="1" t="s">
        <v>132</v>
      </c>
      <c r="R697" s="1" t="s">
        <v>14073</v>
      </c>
      <c r="S697" s="1" t="s">
        <v>14074</v>
      </c>
      <c r="T697" s="8" t="s">
        <v>14075</v>
      </c>
      <c r="U697" s="1" t="s">
        <v>14076</v>
      </c>
      <c r="V697" s="1" t="s">
        <v>14077</v>
      </c>
      <c r="W697" s="1" t="s">
        <v>14078</v>
      </c>
      <c r="X697" s="1" t="s">
        <v>14067</v>
      </c>
      <c r="Y697" s="1" t="s">
        <v>14067</v>
      </c>
      <c r="Z697" s="1" t="s">
        <v>14079</v>
      </c>
      <c r="AA697" s="1" t="s">
        <v>14069</v>
      </c>
      <c r="AB697" s="1" t="s">
        <v>14080</v>
      </c>
      <c r="AC697" s="1" t="s">
        <v>14065</v>
      </c>
      <c r="AD697" s="1" t="s">
        <v>14081</v>
      </c>
      <c r="AE697" s="1" t="s">
        <v>14082</v>
      </c>
      <c r="AF697" s="1" t="s">
        <v>14063</v>
      </c>
      <c r="AG697" s="1" t="s">
        <v>14063</v>
      </c>
      <c r="AH697" s="1" t="s">
        <v>14083</v>
      </c>
      <c r="AI697" s="1" t="s">
        <v>14084</v>
      </c>
      <c r="AJ697" s="1" t="s">
        <v>132</v>
      </c>
      <c r="AK697" s="1" t="s">
        <v>14085</v>
      </c>
      <c r="AL697" s="1" t="s">
        <v>14086</v>
      </c>
      <c r="AM697" s="1" t="s">
        <v>14087</v>
      </c>
      <c r="AN697" s="1" t="s">
        <v>14087</v>
      </c>
    </row>
    <row r="698" ht="15.75" customHeight="1">
      <c r="A698" s="1" t="s">
        <v>127</v>
      </c>
      <c r="B698" s="1" t="s">
        <v>14088</v>
      </c>
      <c r="C698" s="1" t="s">
        <v>14089</v>
      </c>
      <c r="D698" s="8" t="s">
        <v>14090</v>
      </c>
      <c r="E698" s="1" t="s">
        <v>14091</v>
      </c>
      <c r="F698" s="1" t="s">
        <v>132</v>
      </c>
      <c r="G698" s="1" t="s">
        <v>14092</v>
      </c>
      <c r="H698" s="1" t="s">
        <v>14093</v>
      </c>
      <c r="I698" s="1" t="s">
        <v>14094</v>
      </c>
      <c r="J698" s="1" t="s">
        <v>14095</v>
      </c>
      <c r="K698" s="1" t="s">
        <v>14096</v>
      </c>
      <c r="L698" s="1" t="s">
        <v>14097</v>
      </c>
      <c r="M698" s="1" t="s">
        <v>14098</v>
      </c>
      <c r="N698" s="1" t="s">
        <v>132</v>
      </c>
      <c r="O698" s="1" t="s">
        <v>14099</v>
      </c>
      <c r="P698" s="1" t="s">
        <v>14100</v>
      </c>
      <c r="Q698" s="1" t="s">
        <v>132</v>
      </c>
      <c r="R698" s="1" t="s">
        <v>14101</v>
      </c>
      <c r="S698" s="1" t="s">
        <v>14102</v>
      </c>
      <c r="T698" s="8" t="s">
        <v>14103</v>
      </c>
      <c r="U698" s="1" t="s">
        <v>14104</v>
      </c>
      <c r="V698" s="1" t="s">
        <v>14105</v>
      </c>
      <c r="W698" s="1" t="s">
        <v>14101</v>
      </c>
      <c r="X698" s="1" t="s">
        <v>14106</v>
      </c>
      <c r="Y698" s="1" t="s">
        <v>14093</v>
      </c>
      <c r="Z698" s="1" t="s">
        <v>14107</v>
      </c>
      <c r="AA698" s="1" t="s">
        <v>14108</v>
      </c>
      <c r="AB698" s="1" t="s">
        <v>14109</v>
      </c>
      <c r="AC698" s="1" t="s">
        <v>14110</v>
      </c>
      <c r="AD698" s="1" t="s">
        <v>14092</v>
      </c>
      <c r="AE698" s="1" t="s">
        <v>14111</v>
      </c>
      <c r="AF698" s="1" t="s">
        <v>14112</v>
      </c>
      <c r="AG698" s="1" t="s">
        <v>14093</v>
      </c>
      <c r="AH698" s="1" t="s">
        <v>14113</v>
      </c>
      <c r="AI698" s="1" t="s">
        <v>14114</v>
      </c>
      <c r="AJ698" s="1" t="s">
        <v>132</v>
      </c>
      <c r="AK698" s="1" t="s">
        <v>14115</v>
      </c>
      <c r="AL698" s="1" t="s">
        <v>14116</v>
      </c>
      <c r="AM698" s="1" t="s">
        <v>132</v>
      </c>
      <c r="AN698" s="1" t="s">
        <v>132</v>
      </c>
    </row>
    <row r="699" ht="15.75" customHeight="1">
      <c r="A699" s="1" t="s">
        <v>127</v>
      </c>
      <c r="B699" s="1" t="s">
        <v>14117</v>
      </c>
      <c r="C699" s="1" t="s">
        <v>14118</v>
      </c>
      <c r="D699" s="8" t="s">
        <v>14119</v>
      </c>
      <c r="E699" s="1" t="s">
        <v>14120</v>
      </c>
      <c r="F699" s="1" t="s">
        <v>132</v>
      </c>
      <c r="G699" s="1" t="s">
        <v>14121</v>
      </c>
      <c r="H699" s="1" t="s">
        <v>14118</v>
      </c>
      <c r="I699" s="1" t="s">
        <v>14118</v>
      </c>
      <c r="J699" s="1" t="s">
        <v>14122</v>
      </c>
      <c r="K699" s="1" t="s">
        <v>14118</v>
      </c>
      <c r="L699" s="1" t="s">
        <v>14121</v>
      </c>
      <c r="M699" s="1" t="s">
        <v>14118</v>
      </c>
      <c r="N699" s="1" t="s">
        <v>132</v>
      </c>
      <c r="O699" s="1" t="s">
        <v>14123</v>
      </c>
      <c r="P699" s="1" t="s">
        <v>14118</v>
      </c>
      <c r="Q699" s="1" t="s">
        <v>132</v>
      </c>
      <c r="R699" s="1" t="s">
        <v>14118</v>
      </c>
      <c r="S699" s="1" t="s">
        <v>14118</v>
      </c>
      <c r="T699" s="8" t="s">
        <v>14124</v>
      </c>
      <c r="U699" s="1" t="s">
        <v>14125</v>
      </c>
      <c r="V699" s="1" t="s">
        <v>14118</v>
      </c>
      <c r="W699" s="1" t="s">
        <v>14118</v>
      </c>
      <c r="X699" s="1" t="s">
        <v>14118</v>
      </c>
      <c r="Y699" s="1" t="s">
        <v>14118</v>
      </c>
      <c r="Z699" s="1" t="s">
        <v>14118</v>
      </c>
      <c r="AA699" s="1" t="s">
        <v>14126</v>
      </c>
      <c r="AB699" s="1" t="s">
        <v>14118</v>
      </c>
      <c r="AC699" s="1" t="s">
        <v>14127</v>
      </c>
      <c r="AD699" s="1" t="s">
        <v>14118</v>
      </c>
      <c r="AE699" s="1" t="s">
        <v>14118</v>
      </c>
      <c r="AF699" s="1" t="s">
        <v>14118</v>
      </c>
      <c r="AG699" s="1" t="s">
        <v>14118</v>
      </c>
      <c r="AH699" s="1" t="s">
        <v>14128</v>
      </c>
      <c r="AI699" s="1" t="s">
        <v>14129</v>
      </c>
      <c r="AJ699" s="1" t="s">
        <v>132</v>
      </c>
      <c r="AK699" s="1" t="s">
        <v>14118</v>
      </c>
      <c r="AL699" s="1" t="s">
        <v>14130</v>
      </c>
      <c r="AM699" s="1" t="s">
        <v>14131</v>
      </c>
      <c r="AN699" s="1" t="s">
        <v>14131</v>
      </c>
    </row>
    <row r="700" ht="15.75" customHeight="1">
      <c r="A700" s="1" t="s">
        <v>127</v>
      </c>
      <c r="B700" s="1" t="s">
        <v>14132</v>
      </c>
      <c r="C700" s="1" t="s">
        <v>14133</v>
      </c>
      <c r="D700" s="8" t="s">
        <v>14134</v>
      </c>
      <c r="E700" s="1" t="s">
        <v>14135</v>
      </c>
      <c r="F700" s="1" t="s">
        <v>132</v>
      </c>
      <c r="G700" s="1" t="s">
        <v>14136</v>
      </c>
      <c r="H700" s="1" t="s">
        <v>14137</v>
      </c>
      <c r="I700" s="1" t="s">
        <v>14133</v>
      </c>
      <c r="J700" s="1" t="s">
        <v>14138</v>
      </c>
      <c r="K700" s="1" t="s">
        <v>14139</v>
      </c>
      <c r="L700" s="1" t="s">
        <v>14140</v>
      </c>
      <c r="M700" s="1" t="s">
        <v>14141</v>
      </c>
      <c r="N700" s="1" t="s">
        <v>132</v>
      </c>
      <c r="O700" s="1" t="s">
        <v>14142</v>
      </c>
      <c r="P700" s="1" t="s">
        <v>14133</v>
      </c>
      <c r="Q700" s="1" t="s">
        <v>132</v>
      </c>
      <c r="R700" s="1" t="s">
        <v>14143</v>
      </c>
      <c r="S700" s="1" t="s">
        <v>14144</v>
      </c>
      <c r="T700" s="8" t="s">
        <v>14145</v>
      </c>
      <c r="U700" s="1" t="s">
        <v>14146</v>
      </c>
      <c r="V700" s="1" t="s">
        <v>14147</v>
      </c>
      <c r="W700" s="1" t="s">
        <v>14148</v>
      </c>
      <c r="X700" s="1" t="s">
        <v>14137</v>
      </c>
      <c r="Y700" s="1" t="s">
        <v>14137</v>
      </c>
      <c r="Z700" s="1" t="s">
        <v>14149</v>
      </c>
      <c r="AA700" s="1" t="s">
        <v>14139</v>
      </c>
      <c r="AB700" s="1" t="s">
        <v>14150</v>
      </c>
      <c r="AC700" s="1" t="s">
        <v>14135</v>
      </c>
      <c r="AD700" s="1" t="s">
        <v>14151</v>
      </c>
      <c r="AE700" s="1" t="s">
        <v>14152</v>
      </c>
      <c r="AF700" s="1" t="s">
        <v>14133</v>
      </c>
      <c r="AG700" s="1" t="s">
        <v>14133</v>
      </c>
      <c r="AH700" s="1" t="s">
        <v>14153</v>
      </c>
      <c r="AI700" s="1" t="s">
        <v>14154</v>
      </c>
      <c r="AJ700" s="1" t="s">
        <v>132</v>
      </c>
      <c r="AK700" s="1" t="s">
        <v>14155</v>
      </c>
      <c r="AL700" s="1" t="s">
        <v>14156</v>
      </c>
      <c r="AM700" s="1" t="s">
        <v>14157</v>
      </c>
      <c r="AN700" s="1" t="s">
        <v>14157</v>
      </c>
    </row>
    <row r="701" ht="15.75" customHeight="1">
      <c r="A701" s="1" t="s">
        <v>127</v>
      </c>
      <c r="B701" s="1" t="s">
        <v>14158</v>
      </c>
      <c r="C701" s="1" t="s">
        <v>14159</v>
      </c>
      <c r="D701" s="8" t="s">
        <v>14160</v>
      </c>
      <c r="E701" s="1" t="s">
        <v>14161</v>
      </c>
      <c r="F701" s="1" t="s">
        <v>132</v>
      </c>
      <c r="G701" s="1" t="s">
        <v>14162</v>
      </c>
      <c r="H701" s="1" t="s">
        <v>14163</v>
      </c>
      <c r="I701" s="1" t="s">
        <v>14164</v>
      </c>
      <c r="J701" s="1" t="s">
        <v>14165</v>
      </c>
      <c r="K701" s="1" t="s">
        <v>14166</v>
      </c>
      <c r="L701" s="1" t="s">
        <v>14167</v>
      </c>
      <c r="M701" s="1" t="s">
        <v>14168</v>
      </c>
      <c r="N701" s="1" t="s">
        <v>132</v>
      </c>
      <c r="O701" s="1" t="s">
        <v>14169</v>
      </c>
      <c r="P701" s="1" t="s">
        <v>14170</v>
      </c>
      <c r="Q701" s="1" t="s">
        <v>132</v>
      </c>
      <c r="R701" s="1" t="s">
        <v>14171</v>
      </c>
      <c r="S701" s="1" t="s">
        <v>14172</v>
      </c>
      <c r="T701" s="8" t="s">
        <v>14173</v>
      </c>
      <c r="U701" s="1" t="s">
        <v>14174</v>
      </c>
      <c r="V701" s="1" t="s">
        <v>14175</v>
      </c>
      <c r="W701" s="1" t="s">
        <v>14176</v>
      </c>
      <c r="X701" s="1" t="s">
        <v>14177</v>
      </c>
      <c r="Y701" s="1" t="s">
        <v>14178</v>
      </c>
      <c r="Z701" s="1" t="s">
        <v>14179</v>
      </c>
      <c r="AA701" s="1" t="s">
        <v>14180</v>
      </c>
      <c r="AB701" s="1" t="s">
        <v>14181</v>
      </c>
      <c r="AC701" s="1" t="s">
        <v>14182</v>
      </c>
      <c r="AD701" s="1" t="s">
        <v>14183</v>
      </c>
      <c r="AE701" s="1" t="s">
        <v>14184</v>
      </c>
      <c r="AF701" s="1" t="s">
        <v>14185</v>
      </c>
      <c r="AG701" s="1" t="s">
        <v>14186</v>
      </c>
      <c r="AH701" s="1" t="s">
        <v>14187</v>
      </c>
      <c r="AI701" s="1" t="s">
        <v>14188</v>
      </c>
      <c r="AJ701" s="1" t="s">
        <v>132</v>
      </c>
      <c r="AK701" s="1" t="s">
        <v>14189</v>
      </c>
      <c r="AL701" s="1" t="s">
        <v>14190</v>
      </c>
      <c r="AM701" s="1" t="s">
        <v>132</v>
      </c>
      <c r="AN701" s="1" t="s">
        <v>132</v>
      </c>
    </row>
    <row r="702" ht="15.75" customHeight="1">
      <c r="A702" s="1" t="s">
        <v>127</v>
      </c>
      <c r="B702" s="1" t="s">
        <v>14191</v>
      </c>
      <c r="C702" s="1" t="s">
        <v>5993</v>
      </c>
      <c r="D702" s="8" t="s">
        <v>5994</v>
      </c>
      <c r="E702" s="1" t="s">
        <v>5995</v>
      </c>
      <c r="F702" s="1" t="s">
        <v>132</v>
      </c>
      <c r="G702" s="1" t="s">
        <v>5996</v>
      </c>
      <c r="H702" s="1" t="s">
        <v>5997</v>
      </c>
      <c r="I702" s="1" t="s">
        <v>5998</v>
      </c>
      <c r="J702" s="1" t="s">
        <v>5999</v>
      </c>
      <c r="K702" s="1" t="s">
        <v>6000</v>
      </c>
      <c r="L702" s="1" t="s">
        <v>6001</v>
      </c>
      <c r="M702" s="1" t="s">
        <v>3437</v>
      </c>
      <c r="N702" s="1" t="s">
        <v>132</v>
      </c>
      <c r="O702" s="1" t="s">
        <v>6003</v>
      </c>
      <c r="P702" s="1" t="s">
        <v>6004</v>
      </c>
      <c r="Q702" s="1" t="s">
        <v>132</v>
      </c>
      <c r="R702" s="1" t="s">
        <v>14192</v>
      </c>
      <c r="S702" s="1" t="s">
        <v>6006</v>
      </c>
      <c r="T702" s="8" t="s">
        <v>6007</v>
      </c>
      <c r="U702" s="1" t="s">
        <v>6008</v>
      </c>
      <c r="V702" s="1" t="s">
        <v>6009</v>
      </c>
      <c r="W702" s="1" t="s">
        <v>14192</v>
      </c>
      <c r="X702" s="1" t="s">
        <v>6010</v>
      </c>
      <c r="Y702" s="1" t="s">
        <v>6011</v>
      </c>
      <c r="Z702" s="1" t="s">
        <v>6012</v>
      </c>
      <c r="AA702" s="1" t="s">
        <v>6013</v>
      </c>
      <c r="AB702" s="1" t="s">
        <v>6014</v>
      </c>
      <c r="AC702" s="1" t="s">
        <v>6015</v>
      </c>
      <c r="AD702" s="1" t="s">
        <v>6016</v>
      </c>
      <c r="AE702" s="1" t="s">
        <v>5996</v>
      </c>
      <c r="AF702" s="1" t="s">
        <v>6017</v>
      </c>
      <c r="AG702" s="1" t="s">
        <v>5997</v>
      </c>
      <c r="AH702" s="1" t="s">
        <v>6018</v>
      </c>
      <c r="AI702" s="1" t="s">
        <v>6019</v>
      </c>
      <c r="AJ702" s="1" t="s">
        <v>132</v>
      </c>
      <c r="AK702" s="1" t="s">
        <v>6020</v>
      </c>
      <c r="AL702" s="1" t="s">
        <v>6021</v>
      </c>
      <c r="AM702" s="1" t="s">
        <v>6022</v>
      </c>
      <c r="AN702" s="1" t="s">
        <v>6022</v>
      </c>
    </row>
    <row r="703" ht="15.75" customHeight="1">
      <c r="A703" s="1" t="s">
        <v>127</v>
      </c>
      <c r="B703" s="1" t="s">
        <v>14193</v>
      </c>
      <c r="C703" s="1" t="s">
        <v>14194</v>
      </c>
      <c r="D703" s="8" t="s">
        <v>14195</v>
      </c>
      <c r="E703" s="1" t="s">
        <v>14196</v>
      </c>
      <c r="F703" s="1" t="s">
        <v>132</v>
      </c>
      <c r="G703" s="1" t="s">
        <v>14197</v>
      </c>
      <c r="H703" s="1" t="s">
        <v>14198</v>
      </c>
      <c r="I703" s="1" t="s">
        <v>14199</v>
      </c>
      <c r="J703" s="1" t="s">
        <v>14200</v>
      </c>
      <c r="K703" s="1" t="s">
        <v>14201</v>
      </c>
      <c r="L703" s="1" t="s">
        <v>14202</v>
      </c>
      <c r="M703" s="1" t="s">
        <v>14203</v>
      </c>
      <c r="N703" s="1" t="s">
        <v>132</v>
      </c>
      <c r="O703" s="1" t="s">
        <v>14204</v>
      </c>
      <c r="P703" s="1" t="s">
        <v>14205</v>
      </c>
      <c r="Q703" s="1" t="s">
        <v>132</v>
      </c>
      <c r="R703" s="1" t="s">
        <v>14206</v>
      </c>
      <c r="S703" s="1" t="s">
        <v>14207</v>
      </c>
      <c r="T703" s="8" t="s">
        <v>14208</v>
      </c>
      <c r="U703" s="1" t="s">
        <v>14209</v>
      </c>
      <c r="V703" s="1" t="s">
        <v>14210</v>
      </c>
      <c r="W703" s="1" t="s">
        <v>14211</v>
      </c>
      <c r="X703" s="1" t="s">
        <v>14212</v>
      </c>
      <c r="Y703" s="1" t="s">
        <v>14213</v>
      </c>
      <c r="Z703" s="1" t="s">
        <v>14214</v>
      </c>
      <c r="AA703" s="1" t="s">
        <v>14215</v>
      </c>
      <c r="AB703" s="1" t="s">
        <v>14216</v>
      </c>
      <c r="AC703" s="1" t="s">
        <v>14217</v>
      </c>
      <c r="AD703" s="1" t="s">
        <v>14218</v>
      </c>
      <c r="AE703" s="1" t="s">
        <v>14219</v>
      </c>
      <c r="AF703" s="1" t="s">
        <v>14220</v>
      </c>
      <c r="AG703" s="1" t="s">
        <v>14221</v>
      </c>
      <c r="AH703" s="1" t="s">
        <v>14222</v>
      </c>
      <c r="AI703" s="1" t="s">
        <v>14223</v>
      </c>
      <c r="AJ703" s="1" t="s">
        <v>132</v>
      </c>
      <c r="AK703" s="1" t="s">
        <v>14224</v>
      </c>
      <c r="AL703" s="1" t="s">
        <v>14225</v>
      </c>
      <c r="AM703" s="1" t="s">
        <v>14226</v>
      </c>
      <c r="AN703" s="1" t="s">
        <v>14226</v>
      </c>
    </row>
    <row r="704" ht="15.75" customHeight="1">
      <c r="A704" s="1" t="s">
        <v>38</v>
      </c>
      <c r="B704" s="1" t="s">
        <v>14227</v>
      </c>
      <c r="C704" s="1" t="s">
        <v>14228</v>
      </c>
      <c r="D704" s="8" t="s">
        <v>14229</v>
      </c>
      <c r="E704" s="1" t="s">
        <v>14230</v>
      </c>
      <c r="F704" s="1" t="s">
        <v>14231</v>
      </c>
      <c r="G704" s="1" t="s">
        <v>132</v>
      </c>
      <c r="H704" s="1" t="s">
        <v>132</v>
      </c>
      <c r="I704" s="1" t="s">
        <v>14228</v>
      </c>
      <c r="J704" s="1" t="s">
        <v>132</v>
      </c>
      <c r="K704" s="1" t="s">
        <v>14228</v>
      </c>
      <c r="L704" s="1" t="s">
        <v>132</v>
      </c>
      <c r="M704" s="1" t="s">
        <v>14232</v>
      </c>
      <c r="N704" s="1" t="s">
        <v>14228</v>
      </c>
      <c r="O704" s="1" t="s">
        <v>132</v>
      </c>
      <c r="P704" s="1" t="s">
        <v>14228</v>
      </c>
      <c r="Q704" s="1" t="s">
        <v>14228</v>
      </c>
      <c r="R704" s="1" t="s">
        <v>132</v>
      </c>
      <c r="S704" s="1" t="s">
        <v>14228</v>
      </c>
      <c r="T704" s="1" t="s">
        <v>132</v>
      </c>
      <c r="U704" s="1" t="s">
        <v>14233</v>
      </c>
      <c r="V704" s="1" t="s">
        <v>14228</v>
      </c>
      <c r="W704" s="1" t="s">
        <v>132</v>
      </c>
      <c r="X704" s="1" t="s">
        <v>14228</v>
      </c>
      <c r="Y704" s="1" t="s">
        <v>132</v>
      </c>
      <c r="Z704" s="1" t="s">
        <v>14228</v>
      </c>
      <c r="AA704" s="1" t="s">
        <v>14228</v>
      </c>
      <c r="AB704" s="1" t="s">
        <v>132</v>
      </c>
      <c r="AC704" s="1" t="s">
        <v>14234</v>
      </c>
      <c r="AD704" s="1" t="s">
        <v>14228</v>
      </c>
      <c r="AE704" s="1" t="s">
        <v>132</v>
      </c>
      <c r="AF704" s="1" t="s">
        <v>14235</v>
      </c>
      <c r="AG704" s="1" t="s">
        <v>14228</v>
      </c>
      <c r="AH704" s="1" t="s">
        <v>132</v>
      </c>
      <c r="AI704" s="1" t="s">
        <v>132</v>
      </c>
      <c r="AJ704" s="1" t="s">
        <v>14236</v>
      </c>
      <c r="AK704" s="1" t="s">
        <v>14228</v>
      </c>
      <c r="AL704" s="1" t="s">
        <v>132</v>
      </c>
      <c r="AM704" s="1" t="s">
        <v>14237</v>
      </c>
      <c r="AN704" s="1" t="s">
        <v>14237</v>
      </c>
    </row>
    <row r="705" ht="15.75" customHeight="1">
      <c r="A705" s="1" t="s">
        <v>38</v>
      </c>
      <c r="B705" s="1" t="s">
        <v>14238</v>
      </c>
      <c r="C705" s="1" t="s">
        <v>14239</v>
      </c>
      <c r="D705" s="8" t="s">
        <v>14240</v>
      </c>
      <c r="E705" s="1" t="s">
        <v>14241</v>
      </c>
      <c r="F705" s="1" t="s">
        <v>14242</v>
      </c>
      <c r="G705" s="1" t="s">
        <v>132</v>
      </c>
      <c r="H705" s="1" t="s">
        <v>132</v>
      </c>
      <c r="I705" s="1" t="s">
        <v>14243</v>
      </c>
      <c r="J705" s="1" t="s">
        <v>132</v>
      </c>
      <c r="K705" s="1" t="s">
        <v>14244</v>
      </c>
      <c r="L705" s="1" t="s">
        <v>132</v>
      </c>
      <c r="M705" s="1" t="s">
        <v>14245</v>
      </c>
      <c r="N705" s="1" t="s">
        <v>14246</v>
      </c>
      <c r="O705" s="1" t="s">
        <v>132</v>
      </c>
      <c r="P705" s="1" t="s">
        <v>14247</v>
      </c>
      <c r="Q705" s="1" t="s">
        <v>132</v>
      </c>
      <c r="R705" s="1" t="s">
        <v>132</v>
      </c>
      <c r="S705" s="1" t="s">
        <v>14248</v>
      </c>
      <c r="T705" s="1" t="s">
        <v>132</v>
      </c>
      <c r="U705" s="1" t="s">
        <v>14249</v>
      </c>
      <c r="V705" s="1" t="s">
        <v>132</v>
      </c>
      <c r="W705" s="1" t="s">
        <v>132</v>
      </c>
      <c r="X705" s="1" t="s">
        <v>14250</v>
      </c>
      <c r="Y705" s="1" t="s">
        <v>132</v>
      </c>
      <c r="Z705" s="1" t="s">
        <v>14251</v>
      </c>
      <c r="AA705" s="1" t="s">
        <v>14252</v>
      </c>
      <c r="AB705" s="1" t="s">
        <v>132</v>
      </c>
      <c r="AC705" s="1" t="s">
        <v>14253</v>
      </c>
      <c r="AD705" s="1" t="s">
        <v>132</v>
      </c>
      <c r="AE705" s="1" t="s">
        <v>132</v>
      </c>
      <c r="AF705" s="1" t="s">
        <v>14254</v>
      </c>
      <c r="AG705" s="1" t="s">
        <v>132</v>
      </c>
      <c r="AH705" s="1" t="s">
        <v>132</v>
      </c>
      <c r="AI705" s="1" t="s">
        <v>132</v>
      </c>
      <c r="AJ705" s="1" t="s">
        <v>132</v>
      </c>
      <c r="AK705" s="1" t="s">
        <v>132</v>
      </c>
      <c r="AL705" s="1" t="s">
        <v>132</v>
      </c>
      <c r="AM705" s="1" t="s">
        <v>132</v>
      </c>
      <c r="AN705" s="1" t="s">
        <v>132</v>
      </c>
    </row>
    <row r="706" ht="15.75" customHeight="1">
      <c r="A706" s="1" t="s">
        <v>38</v>
      </c>
      <c r="B706" s="1" t="s">
        <v>14255</v>
      </c>
      <c r="C706" s="1" t="s">
        <v>14256</v>
      </c>
      <c r="D706" s="1" t="s">
        <v>132</v>
      </c>
      <c r="E706" s="1" t="s">
        <v>132</v>
      </c>
      <c r="F706" s="1" t="s">
        <v>132</v>
      </c>
      <c r="G706" s="1" t="s">
        <v>132</v>
      </c>
      <c r="H706" s="1" t="s">
        <v>132</v>
      </c>
      <c r="I706" s="1" t="s">
        <v>14257</v>
      </c>
      <c r="J706" s="1" t="s">
        <v>132</v>
      </c>
      <c r="K706" s="1" t="s">
        <v>14258</v>
      </c>
      <c r="L706" s="1" t="s">
        <v>132</v>
      </c>
      <c r="M706" s="1" t="s">
        <v>14259</v>
      </c>
      <c r="N706" s="1" t="s">
        <v>132</v>
      </c>
      <c r="O706" s="1" t="s">
        <v>132</v>
      </c>
      <c r="P706" s="1" t="s">
        <v>14256</v>
      </c>
      <c r="Q706" s="1" t="s">
        <v>132</v>
      </c>
      <c r="R706" s="1" t="s">
        <v>132</v>
      </c>
      <c r="S706" s="1" t="s">
        <v>132</v>
      </c>
      <c r="T706" s="1" t="s">
        <v>132</v>
      </c>
      <c r="U706" s="1" t="s">
        <v>132</v>
      </c>
      <c r="V706" s="1" t="s">
        <v>132</v>
      </c>
      <c r="W706" s="1" t="s">
        <v>132</v>
      </c>
      <c r="X706" s="1" t="s">
        <v>132</v>
      </c>
      <c r="Y706" s="1" t="s">
        <v>132</v>
      </c>
      <c r="Z706" s="1" t="s">
        <v>132</v>
      </c>
      <c r="AA706" s="1" t="s">
        <v>132</v>
      </c>
      <c r="AB706" s="1" t="s">
        <v>132</v>
      </c>
      <c r="AC706" s="1" t="s">
        <v>14260</v>
      </c>
      <c r="AD706" s="1" t="s">
        <v>132</v>
      </c>
      <c r="AE706" s="1" t="s">
        <v>132</v>
      </c>
      <c r="AF706" s="1" t="s">
        <v>14261</v>
      </c>
      <c r="AG706" s="1" t="s">
        <v>132</v>
      </c>
      <c r="AH706" s="1" t="s">
        <v>132</v>
      </c>
      <c r="AI706" s="1" t="s">
        <v>132</v>
      </c>
      <c r="AJ706" s="1" t="s">
        <v>132</v>
      </c>
      <c r="AK706" s="1" t="s">
        <v>132</v>
      </c>
      <c r="AL706" s="1" t="s">
        <v>132</v>
      </c>
      <c r="AM706" s="1" t="s">
        <v>132</v>
      </c>
      <c r="AN706" s="1" t="s">
        <v>132</v>
      </c>
    </row>
    <row r="707" ht="15.75" customHeight="1">
      <c r="A707" s="1" t="s">
        <v>38</v>
      </c>
      <c r="B707" s="1" t="s">
        <v>14262</v>
      </c>
      <c r="C707" s="1" t="s">
        <v>14263</v>
      </c>
      <c r="D707" s="1" t="s">
        <v>132</v>
      </c>
      <c r="E707" s="1" t="s">
        <v>132</v>
      </c>
      <c r="F707" s="1" t="s">
        <v>132</v>
      </c>
      <c r="G707" s="1" t="s">
        <v>132</v>
      </c>
      <c r="H707" s="1" t="s">
        <v>132</v>
      </c>
      <c r="I707" s="1" t="s">
        <v>14264</v>
      </c>
      <c r="J707" s="1" t="s">
        <v>132</v>
      </c>
      <c r="K707" s="1" t="s">
        <v>14265</v>
      </c>
      <c r="L707" s="1" t="s">
        <v>132</v>
      </c>
      <c r="M707" s="1" t="s">
        <v>14263</v>
      </c>
      <c r="N707" s="1" t="s">
        <v>132</v>
      </c>
      <c r="O707" s="1" t="s">
        <v>132</v>
      </c>
      <c r="P707" s="1" t="s">
        <v>14263</v>
      </c>
      <c r="Q707" s="1" t="s">
        <v>132</v>
      </c>
      <c r="R707" s="1" t="s">
        <v>132</v>
      </c>
      <c r="S707" s="1" t="s">
        <v>132</v>
      </c>
      <c r="T707" s="1" t="s">
        <v>132</v>
      </c>
      <c r="U707" s="1" t="s">
        <v>132</v>
      </c>
      <c r="V707" s="1" t="s">
        <v>132</v>
      </c>
      <c r="W707" s="1" t="s">
        <v>132</v>
      </c>
      <c r="X707" s="1" t="s">
        <v>132</v>
      </c>
      <c r="Y707" s="1" t="s">
        <v>132</v>
      </c>
      <c r="Z707" s="1" t="s">
        <v>132</v>
      </c>
      <c r="AA707" s="1" t="s">
        <v>132</v>
      </c>
      <c r="AB707" s="1" t="s">
        <v>132</v>
      </c>
      <c r="AC707" s="1" t="s">
        <v>14266</v>
      </c>
      <c r="AD707" s="1" t="s">
        <v>132</v>
      </c>
      <c r="AE707" s="1" t="s">
        <v>132</v>
      </c>
      <c r="AF707" s="1" t="s">
        <v>14267</v>
      </c>
      <c r="AG707" s="1" t="s">
        <v>132</v>
      </c>
      <c r="AH707" s="1" t="s">
        <v>132</v>
      </c>
      <c r="AI707" s="1" t="s">
        <v>132</v>
      </c>
      <c r="AJ707" s="1" t="s">
        <v>132</v>
      </c>
      <c r="AK707" s="1" t="s">
        <v>132</v>
      </c>
      <c r="AL707" s="1" t="s">
        <v>132</v>
      </c>
      <c r="AM707" s="1" t="s">
        <v>132</v>
      </c>
      <c r="AN707" s="1" t="s">
        <v>132</v>
      </c>
    </row>
    <row r="708" ht="15.75" customHeight="1">
      <c r="A708" s="1" t="s">
        <v>38</v>
      </c>
      <c r="B708" s="1" t="s">
        <v>14268</v>
      </c>
      <c r="C708" s="1" t="s">
        <v>14269</v>
      </c>
      <c r="D708" s="1" t="s">
        <v>132</v>
      </c>
      <c r="E708" s="1" t="s">
        <v>132</v>
      </c>
      <c r="F708" s="1" t="s">
        <v>132</v>
      </c>
      <c r="G708" s="1" t="s">
        <v>132</v>
      </c>
      <c r="H708" s="1" t="s">
        <v>132</v>
      </c>
      <c r="I708" s="1" t="s">
        <v>14269</v>
      </c>
      <c r="J708" s="1" t="s">
        <v>132</v>
      </c>
      <c r="K708" s="1" t="s">
        <v>14269</v>
      </c>
      <c r="L708" s="1" t="s">
        <v>132</v>
      </c>
      <c r="M708" s="1" t="s">
        <v>14269</v>
      </c>
      <c r="N708" s="1" t="s">
        <v>132</v>
      </c>
      <c r="O708" s="1" t="s">
        <v>132</v>
      </c>
      <c r="P708" s="1" t="s">
        <v>14269</v>
      </c>
      <c r="Q708" s="1" t="s">
        <v>132</v>
      </c>
      <c r="R708" s="1" t="s">
        <v>132</v>
      </c>
      <c r="S708" s="1" t="s">
        <v>132</v>
      </c>
      <c r="T708" s="1" t="s">
        <v>132</v>
      </c>
      <c r="U708" s="1" t="s">
        <v>132</v>
      </c>
      <c r="V708" s="1" t="s">
        <v>132</v>
      </c>
      <c r="W708" s="1" t="s">
        <v>132</v>
      </c>
      <c r="X708" s="1" t="s">
        <v>132</v>
      </c>
      <c r="Y708" s="1" t="s">
        <v>132</v>
      </c>
      <c r="Z708" s="1" t="s">
        <v>132</v>
      </c>
      <c r="AA708" s="1" t="s">
        <v>132</v>
      </c>
      <c r="AB708" s="1" t="s">
        <v>132</v>
      </c>
      <c r="AC708" s="1" t="s">
        <v>14270</v>
      </c>
      <c r="AD708" s="1" t="s">
        <v>132</v>
      </c>
      <c r="AE708" s="1" t="s">
        <v>132</v>
      </c>
      <c r="AF708" s="1" t="s">
        <v>14269</v>
      </c>
      <c r="AG708" s="1" t="s">
        <v>132</v>
      </c>
      <c r="AH708" s="1" t="s">
        <v>132</v>
      </c>
      <c r="AI708" s="1" t="s">
        <v>132</v>
      </c>
      <c r="AJ708" s="1" t="s">
        <v>132</v>
      </c>
      <c r="AK708" s="1" t="s">
        <v>132</v>
      </c>
      <c r="AL708" s="1" t="s">
        <v>132</v>
      </c>
      <c r="AM708" s="1" t="s">
        <v>132</v>
      </c>
      <c r="AN708" s="1" t="s">
        <v>132</v>
      </c>
    </row>
    <row r="709" ht="15.75" customHeight="1">
      <c r="A709" s="1" t="s">
        <v>127</v>
      </c>
      <c r="B709" s="1" t="s">
        <v>14271</v>
      </c>
      <c r="C709" s="1" t="s">
        <v>14272</v>
      </c>
      <c r="D709" s="8" t="s">
        <v>14273</v>
      </c>
      <c r="E709" s="1" t="s">
        <v>14274</v>
      </c>
      <c r="F709" s="1" t="s">
        <v>132</v>
      </c>
      <c r="G709" s="1" t="s">
        <v>14272</v>
      </c>
      <c r="H709" s="1" t="s">
        <v>14272</v>
      </c>
      <c r="I709" s="1" t="s">
        <v>14272</v>
      </c>
      <c r="J709" s="1" t="s">
        <v>14272</v>
      </c>
      <c r="K709" s="1" t="s">
        <v>14272</v>
      </c>
      <c r="L709" s="1" t="s">
        <v>14272</v>
      </c>
      <c r="M709" s="1" t="s">
        <v>14272</v>
      </c>
      <c r="N709" s="1" t="s">
        <v>132</v>
      </c>
      <c r="O709" s="1" t="s">
        <v>14275</v>
      </c>
      <c r="P709" s="1" t="s">
        <v>14272</v>
      </c>
      <c r="Q709" s="1" t="s">
        <v>132</v>
      </c>
      <c r="R709" s="1" t="s">
        <v>14276</v>
      </c>
      <c r="S709" s="1" t="s">
        <v>14272</v>
      </c>
      <c r="T709" s="8" t="s">
        <v>14277</v>
      </c>
      <c r="U709" s="1" t="s">
        <v>14278</v>
      </c>
      <c r="V709" s="1" t="s">
        <v>14279</v>
      </c>
      <c r="W709" s="1" t="s">
        <v>14280</v>
      </c>
      <c r="X709" s="1" t="s">
        <v>14272</v>
      </c>
      <c r="Y709" s="1" t="s">
        <v>14272</v>
      </c>
      <c r="Z709" s="1" t="s">
        <v>14272</v>
      </c>
      <c r="AA709" s="1" t="s">
        <v>14272</v>
      </c>
      <c r="AB709" s="1" t="s">
        <v>14272</v>
      </c>
      <c r="AC709" s="1" t="s">
        <v>14272</v>
      </c>
      <c r="AD709" s="1" t="s">
        <v>14272</v>
      </c>
      <c r="AE709" s="1" t="s">
        <v>14281</v>
      </c>
      <c r="AF709" s="1" t="s">
        <v>14272</v>
      </c>
      <c r="AG709" s="1" t="s">
        <v>14272</v>
      </c>
      <c r="AH709" s="1" t="s">
        <v>14282</v>
      </c>
      <c r="AI709" s="1" t="s">
        <v>14283</v>
      </c>
      <c r="AJ709" s="1" t="s">
        <v>132</v>
      </c>
      <c r="AK709" s="1" t="s">
        <v>14284</v>
      </c>
      <c r="AL709" s="1" t="s">
        <v>14285</v>
      </c>
      <c r="AM709" s="1" t="s">
        <v>14286</v>
      </c>
      <c r="AN709" s="1" t="s">
        <v>14286</v>
      </c>
    </row>
    <row r="710" ht="15.75" customHeight="1">
      <c r="A710" s="1" t="s">
        <v>127</v>
      </c>
      <c r="B710" s="1" t="s">
        <v>14287</v>
      </c>
      <c r="C710" s="1" t="s">
        <v>14288</v>
      </c>
      <c r="D710" s="8" t="s">
        <v>14289</v>
      </c>
      <c r="E710" s="1" t="s">
        <v>14290</v>
      </c>
      <c r="F710" s="1" t="s">
        <v>132</v>
      </c>
      <c r="G710" s="1" t="s">
        <v>14291</v>
      </c>
      <c r="H710" s="1" t="s">
        <v>14292</v>
      </c>
      <c r="I710" s="1" t="s">
        <v>14293</v>
      </c>
      <c r="J710" s="1" t="s">
        <v>14294</v>
      </c>
      <c r="K710" s="1" t="s">
        <v>14295</v>
      </c>
      <c r="L710" s="1" t="s">
        <v>14296</v>
      </c>
      <c r="M710" s="1" t="s">
        <v>14297</v>
      </c>
      <c r="N710" s="1" t="s">
        <v>132</v>
      </c>
      <c r="O710" s="1" t="s">
        <v>14298</v>
      </c>
      <c r="P710" s="1" t="s">
        <v>14299</v>
      </c>
      <c r="Q710" s="1" t="s">
        <v>132</v>
      </c>
      <c r="R710" s="1" t="s">
        <v>14300</v>
      </c>
      <c r="S710" s="1" t="s">
        <v>14301</v>
      </c>
      <c r="T710" s="8" t="s">
        <v>14302</v>
      </c>
      <c r="U710" s="1" t="s">
        <v>14303</v>
      </c>
      <c r="V710" s="1" t="s">
        <v>14304</v>
      </c>
      <c r="W710" s="1" t="s">
        <v>14300</v>
      </c>
      <c r="X710" s="1" t="s">
        <v>14305</v>
      </c>
      <c r="Y710" s="1" t="s">
        <v>14306</v>
      </c>
      <c r="Z710" s="1" t="s">
        <v>14307</v>
      </c>
      <c r="AA710" s="1" t="s">
        <v>14308</v>
      </c>
      <c r="AB710" s="1" t="s">
        <v>14309</v>
      </c>
      <c r="AC710" s="1" t="s">
        <v>14310</v>
      </c>
      <c r="AD710" s="1" t="s">
        <v>14311</v>
      </c>
      <c r="AE710" s="1" t="s">
        <v>14312</v>
      </c>
      <c r="AF710" s="1" t="s">
        <v>14313</v>
      </c>
      <c r="AG710" s="1" t="s">
        <v>14314</v>
      </c>
      <c r="AH710" s="1" t="s">
        <v>14315</v>
      </c>
      <c r="AI710" s="1" t="s">
        <v>14316</v>
      </c>
      <c r="AJ710" s="1" t="s">
        <v>132</v>
      </c>
      <c r="AK710" s="1" t="s">
        <v>14317</v>
      </c>
      <c r="AL710" s="1" t="s">
        <v>14318</v>
      </c>
      <c r="AM710" s="1" t="s">
        <v>14319</v>
      </c>
      <c r="AN710" s="1" t="s">
        <v>14319</v>
      </c>
    </row>
    <row r="711" ht="15.75" customHeight="1">
      <c r="A711" s="1" t="s">
        <v>38</v>
      </c>
      <c r="B711" s="1" t="s">
        <v>14320</v>
      </c>
      <c r="C711" s="1" t="s">
        <v>14321</v>
      </c>
      <c r="D711" s="1" t="s">
        <v>132</v>
      </c>
      <c r="E711" s="1" t="s">
        <v>132</v>
      </c>
      <c r="F711" s="1" t="s">
        <v>132</v>
      </c>
      <c r="G711" s="1" t="s">
        <v>132</v>
      </c>
      <c r="H711" s="1" t="s">
        <v>132</v>
      </c>
      <c r="I711" s="1" t="s">
        <v>14321</v>
      </c>
      <c r="J711" s="1" t="s">
        <v>132</v>
      </c>
      <c r="K711" s="1" t="s">
        <v>14321</v>
      </c>
      <c r="L711" s="1" t="s">
        <v>132</v>
      </c>
      <c r="M711" s="1" t="s">
        <v>14321</v>
      </c>
      <c r="N711" s="1" t="s">
        <v>132</v>
      </c>
      <c r="O711" s="1" t="s">
        <v>132</v>
      </c>
      <c r="P711" s="1" t="s">
        <v>14321</v>
      </c>
      <c r="Q711" s="1" t="s">
        <v>132</v>
      </c>
      <c r="R711" s="1" t="s">
        <v>132</v>
      </c>
      <c r="S711" s="1" t="s">
        <v>132</v>
      </c>
      <c r="T711" s="1" t="s">
        <v>132</v>
      </c>
      <c r="U711" s="1" t="s">
        <v>132</v>
      </c>
      <c r="V711" s="1" t="s">
        <v>132</v>
      </c>
      <c r="W711" s="1" t="s">
        <v>132</v>
      </c>
      <c r="X711" s="1" t="s">
        <v>132</v>
      </c>
      <c r="Y711" s="1" t="s">
        <v>132</v>
      </c>
      <c r="Z711" s="1" t="s">
        <v>132</v>
      </c>
      <c r="AA711" s="1" t="s">
        <v>132</v>
      </c>
      <c r="AB711" s="1" t="s">
        <v>132</v>
      </c>
      <c r="AC711" s="1" t="s">
        <v>14322</v>
      </c>
      <c r="AD711" s="1" t="s">
        <v>132</v>
      </c>
      <c r="AE711" s="1" t="s">
        <v>132</v>
      </c>
      <c r="AF711" s="1" t="s">
        <v>14323</v>
      </c>
      <c r="AG711" s="1" t="s">
        <v>132</v>
      </c>
      <c r="AH711" s="1" t="s">
        <v>132</v>
      </c>
      <c r="AI711" s="1" t="s">
        <v>132</v>
      </c>
      <c r="AJ711" s="1" t="s">
        <v>132</v>
      </c>
      <c r="AK711" s="1" t="s">
        <v>132</v>
      </c>
      <c r="AL711" s="1" t="s">
        <v>132</v>
      </c>
      <c r="AM711" s="1" t="s">
        <v>132</v>
      </c>
      <c r="AN711" s="1" t="s">
        <v>132</v>
      </c>
    </row>
    <row r="712" ht="15.75" customHeight="1">
      <c r="A712" s="1" t="s">
        <v>38</v>
      </c>
      <c r="B712" s="1" t="s">
        <v>14324</v>
      </c>
      <c r="C712" s="1" t="s">
        <v>8997</v>
      </c>
      <c r="D712" s="1" t="s">
        <v>132</v>
      </c>
      <c r="E712" s="1" t="s">
        <v>8999</v>
      </c>
      <c r="F712" s="1" t="s">
        <v>9005</v>
      </c>
      <c r="G712" s="1" t="s">
        <v>132</v>
      </c>
      <c r="H712" s="1" t="s">
        <v>132</v>
      </c>
      <c r="I712" s="1" t="s">
        <v>8997</v>
      </c>
      <c r="J712" s="1" t="s">
        <v>132</v>
      </c>
      <c r="K712" s="1" t="s">
        <v>9003</v>
      </c>
      <c r="L712" s="1" t="s">
        <v>132</v>
      </c>
      <c r="M712" s="1" t="s">
        <v>9005</v>
      </c>
      <c r="N712" s="1" t="s">
        <v>9009</v>
      </c>
      <c r="O712" s="1" t="s">
        <v>132</v>
      </c>
      <c r="P712" s="1" t="s">
        <v>9007</v>
      </c>
      <c r="Q712" s="1" t="s">
        <v>132</v>
      </c>
      <c r="R712" s="1" t="s">
        <v>132</v>
      </c>
      <c r="S712" s="1" t="s">
        <v>9009</v>
      </c>
      <c r="T712" s="1" t="s">
        <v>132</v>
      </c>
      <c r="U712" s="1" t="s">
        <v>132</v>
      </c>
      <c r="V712" s="1" t="s">
        <v>132</v>
      </c>
      <c r="W712" s="1" t="s">
        <v>132</v>
      </c>
      <c r="X712" s="1" t="s">
        <v>9013</v>
      </c>
      <c r="Y712" s="1" t="s">
        <v>132</v>
      </c>
      <c r="Z712" s="1" t="s">
        <v>9014</v>
      </c>
      <c r="AA712" s="1" t="s">
        <v>132</v>
      </c>
      <c r="AB712" s="1" t="s">
        <v>132</v>
      </c>
      <c r="AC712" s="1" t="s">
        <v>132</v>
      </c>
      <c r="AD712" s="1" t="s">
        <v>132</v>
      </c>
      <c r="AE712" s="1" t="s">
        <v>132</v>
      </c>
      <c r="AF712" s="1" t="s">
        <v>8999</v>
      </c>
      <c r="AG712" s="1" t="s">
        <v>132</v>
      </c>
      <c r="AH712" s="1" t="s">
        <v>132</v>
      </c>
      <c r="AI712" s="1" t="s">
        <v>132</v>
      </c>
      <c r="AJ712" s="1" t="s">
        <v>132</v>
      </c>
      <c r="AK712" s="1" t="s">
        <v>132</v>
      </c>
      <c r="AL712" s="1" t="s">
        <v>132</v>
      </c>
      <c r="AM712" s="1" t="s">
        <v>132</v>
      </c>
      <c r="AN712" s="1" t="s">
        <v>132</v>
      </c>
    </row>
    <row r="713" ht="15.75" customHeight="1">
      <c r="A713" s="1" t="s">
        <v>38</v>
      </c>
      <c r="B713" s="1" t="s">
        <v>14325</v>
      </c>
      <c r="C713" s="1" t="s">
        <v>14326</v>
      </c>
      <c r="D713" s="1" t="s">
        <v>132</v>
      </c>
      <c r="E713" s="1" t="s">
        <v>132</v>
      </c>
      <c r="F713" s="1" t="s">
        <v>132</v>
      </c>
      <c r="G713" s="1" t="s">
        <v>132</v>
      </c>
      <c r="H713" s="1" t="s">
        <v>132</v>
      </c>
      <c r="I713" s="1" t="s">
        <v>14327</v>
      </c>
      <c r="J713" s="1" t="s">
        <v>132</v>
      </c>
      <c r="K713" s="1" t="s">
        <v>14328</v>
      </c>
      <c r="L713" s="1" t="s">
        <v>132</v>
      </c>
      <c r="M713" s="1" t="s">
        <v>14326</v>
      </c>
      <c r="N713" s="1" t="s">
        <v>132</v>
      </c>
      <c r="O713" s="1" t="s">
        <v>132</v>
      </c>
      <c r="P713" s="1" t="s">
        <v>14326</v>
      </c>
      <c r="Q713" s="1" t="s">
        <v>132</v>
      </c>
      <c r="R713" s="1" t="s">
        <v>132</v>
      </c>
      <c r="S713" s="1" t="s">
        <v>132</v>
      </c>
      <c r="T713" s="1" t="s">
        <v>132</v>
      </c>
      <c r="U713" s="1" t="s">
        <v>132</v>
      </c>
      <c r="V713" s="1" t="s">
        <v>132</v>
      </c>
      <c r="W713" s="1" t="s">
        <v>132</v>
      </c>
      <c r="X713" s="1" t="s">
        <v>132</v>
      </c>
      <c r="Y713" s="1" t="s">
        <v>132</v>
      </c>
      <c r="Z713" s="1" t="s">
        <v>132</v>
      </c>
      <c r="AA713" s="1" t="s">
        <v>132</v>
      </c>
      <c r="AB713" s="1" t="s">
        <v>132</v>
      </c>
      <c r="AC713" s="1" t="s">
        <v>14329</v>
      </c>
      <c r="AD713" s="1" t="s">
        <v>132</v>
      </c>
      <c r="AE713" s="1" t="s">
        <v>132</v>
      </c>
      <c r="AF713" s="1" t="s">
        <v>14326</v>
      </c>
      <c r="AG713" s="1" t="s">
        <v>132</v>
      </c>
      <c r="AH713" s="1" t="s">
        <v>132</v>
      </c>
      <c r="AI713" s="1" t="s">
        <v>132</v>
      </c>
      <c r="AJ713" s="1" t="s">
        <v>132</v>
      </c>
      <c r="AK713" s="1" t="s">
        <v>132</v>
      </c>
      <c r="AL713" s="1" t="s">
        <v>132</v>
      </c>
      <c r="AM713" s="1" t="s">
        <v>132</v>
      </c>
      <c r="AN713" s="1" t="s">
        <v>132</v>
      </c>
    </row>
    <row r="714" ht="15.75" customHeight="1">
      <c r="A714" s="1" t="s">
        <v>38</v>
      </c>
      <c r="B714" s="1" t="s">
        <v>14330</v>
      </c>
      <c r="C714" s="1" t="s">
        <v>14331</v>
      </c>
      <c r="D714" s="1" t="s">
        <v>132</v>
      </c>
      <c r="E714" s="1" t="s">
        <v>132</v>
      </c>
      <c r="F714" s="1" t="s">
        <v>132</v>
      </c>
      <c r="G714" s="1" t="s">
        <v>132</v>
      </c>
      <c r="H714" s="1" t="s">
        <v>132</v>
      </c>
      <c r="I714" s="1" t="s">
        <v>14332</v>
      </c>
      <c r="J714" s="1" t="s">
        <v>132</v>
      </c>
      <c r="K714" s="1" t="s">
        <v>14333</v>
      </c>
      <c r="L714" s="1" t="s">
        <v>132</v>
      </c>
      <c r="M714" s="1" t="s">
        <v>14334</v>
      </c>
      <c r="N714" s="1" t="s">
        <v>132</v>
      </c>
      <c r="O714" s="1" t="s">
        <v>132</v>
      </c>
      <c r="P714" s="1" t="s">
        <v>14335</v>
      </c>
      <c r="Q714" s="1" t="s">
        <v>132</v>
      </c>
      <c r="R714" s="1" t="s">
        <v>132</v>
      </c>
      <c r="S714" s="1" t="s">
        <v>132</v>
      </c>
      <c r="T714" s="1" t="s">
        <v>132</v>
      </c>
      <c r="U714" s="1" t="s">
        <v>132</v>
      </c>
      <c r="V714" s="1" t="s">
        <v>132</v>
      </c>
      <c r="W714" s="1" t="s">
        <v>132</v>
      </c>
      <c r="X714" s="1" t="s">
        <v>132</v>
      </c>
      <c r="Y714" s="1" t="s">
        <v>132</v>
      </c>
      <c r="Z714" s="1" t="s">
        <v>132</v>
      </c>
      <c r="AA714" s="1" t="s">
        <v>132</v>
      </c>
      <c r="AB714" s="1" t="s">
        <v>132</v>
      </c>
      <c r="AC714" s="1" t="s">
        <v>11369</v>
      </c>
      <c r="AD714" s="1" t="s">
        <v>132</v>
      </c>
      <c r="AE714" s="1" t="s">
        <v>132</v>
      </c>
      <c r="AF714" s="1" t="s">
        <v>14336</v>
      </c>
      <c r="AG714" s="1" t="s">
        <v>132</v>
      </c>
      <c r="AH714" s="1" t="s">
        <v>132</v>
      </c>
      <c r="AI714" s="1" t="s">
        <v>132</v>
      </c>
      <c r="AJ714" s="1" t="s">
        <v>132</v>
      </c>
      <c r="AK714" s="1" t="s">
        <v>132</v>
      </c>
      <c r="AL714" s="1" t="s">
        <v>132</v>
      </c>
      <c r="AM714" s="1" t="s">
        <v>132</v>
      </c>
      <c r="AN714" s="1" t="s">
        <v>132</v>
      </c>
    </row>
    <row r="715" ht="15.75" customHeight="1">
      <c r="A715" s="1" t="s">
        <v>38</v>
      </c>
      <c r="B715" s="1" t="s">
        <v>14337</v>
      </c>
      <c r="C715" s="1" t="s">
        <v>14338</v>
      </c>
      <c r="D715" s="1" t="s">
        <v>132</v>
      </c>
      <c r="E715" s="1" t="s">
        <v>14339</v>
      </c>
      <c r="F715" s="1" t="s">
        <v>132</v>
      </c>
      <c r="G715" s="1" t="s">
        <v>132</v>
      </c>
      <c r="H715" s="1" t="s">
        <v>132</v>
      </c>
      <c r="I715" s="1" t="s">
        <v>14340</v>
      </c>
      <c r="J715" s="1" t="s">
        <v>132</v>
      </c>
      <c r="K715" s="1" t="s">
        <v>14341</v>
      </c>
      <c r="L715" s="1" t="s">
        <v>132</v>
      </c>
      <c r="M715" s="1" t="s">
        <v>14342</v>
      </c>
      <c r="N715" s="1" t="s">
        <v>14343</v>
      </c>
      <c r="O715" s="1" t="s">
        <v>132</v>
      </c>
      <c r="P715" s="1" t="s">
        <v>14344</v>
      </c>
      <c r="Q715" s="1" t="s">
        <v>132</v>
      </c>
      <c r="R715" s="1" t="s">
        <v>132</v>
      </c>
      <c r="S715" s="1" t="s">
        <v>14345</v>
      </c>
      <c r="T715" s="1" t="s">
        <v>132</v>
      </c>
      <c r="U715" s="1" t="s">
        <v>132</v>
      </c>
      <c r="V715" s="1" t="s">
        <v>132</v>
      </c>
      <c r="W715" s="1" t="s">
        <v>132</v>
      </c>
      <c r="X715" s="1" t="s">
        <v>14346</v>
      </c>
      <c r="Y715" s="1" t="s">
        <v>132</v>
      </c>
      <c r="Z715" s="1" t="s">
        <v>14347</v>
      </c>
      <c r="AA715" s="1" t="s">
        <v>132</v>
      </c>
      <c r="AB715" s="1" t="s">
        <v>132</v>
      </c>
      <c r="AC715" s="1" t="s">
        <v>132</v>
      </c>
      <c r="AD715" s="1" t="s">
        <v>132</v>
      </c>
      <c r="AE715" s="1" t="s">
        <v>132</v>
      </c>
      <c r="AF715" s="1" t="s">
        <v>14348</v>
      </c>
      <c r="AG715" s="1" t="s">
        <v>132</v>
      </c>
      <c r="AH715" s="1" t="s">
        <v>132</v>
      </c>
      <c r="AI715" s="1" t="s">
        <v>132</v>
      </c>
      <c r="AJ715" s="1" t="s">
        <v>132</v>
      </c>
      <c r="AK715" s="1" t="s">
        <v>132</v>
      </c>
      <c r="AL715" s="1" t="s">
        <v>132</v>
      </c>
      <c r="AM715" s="1" t="s">
        <v>132</v>
      </c>
      <c r="AN715" s="1" t="s">
        <v>132</v>
      </c>
    </row>
    <row r="716" ht="15.75" customHeight="1">
      <c r="A716" s="1" t="s">
        <v>38</v>
      </c>
      <c r="B716" s="1" t="s">
        <v>14349</v>
      </c>
      <c r="C716" s="1" t="s">
        <v>14350</v>
      </c>
      <c r="D716" s="8" t="s">
        <v>14351</v>
      </c>
      <c r="E716" s="1" t="s">
        <v>14352</v>
      </c>
      <c r="F716" s="1" t="s">
        <v>14353</v>
      </c>
      <c r="G716" s="1" t="s">
        <v>132</v>
      </c>
      <c r="H716" s="1" t="s">
        <v>132</v>
      </c>
      <c r="I716" s="1" t="s">
        <v>14354</v>
      </c>
      <c r="J716" s="1" t="s">
        <v>132</v>
      </c>
      <c r="K716" s="1" t="s">
        <v>14355</v>
      </c>
      <c r="L716" s="1" t="s">
        <v>132</v>
      </c>
      <c r="M716" s="1" t="s">
        <v>14356</v>
      </c>
      <c r="N716" s="1" t="s">
        <v>14357</v>
      </c>
      <c r="O716" s="1" t="s">
        <v>132</v>
      </c>
      <c r="P716" s="1" t="s">
        <v>14358</v>
      </c>
      <c r="Q716" s="1" t="s">
        <v>132</v>
      </c>
      <c r="R716" s="1" t="s">
        <v>132</v>
      </c>
      <c r="S716" s="1" t="s">
        <v>14359</v>
      </c>
      <c r="T716" s="1" t="s">
        <v>132</v>
      </c>
      <c r="U716" s="1" t="s">
        <v>14360</v>
      </c>
      <c r="V716" s="1" t="s">
        <v>132</v>
      </c>
      <c r="W716" s="1" t="s">
        <v>132</v>
      </c>
      <c r="X716" s="1" t="s">
        <v>14361</v>
      </c>
      <c r="Y716" s="1" t="s">
        <v>132</v>
      </c>
      <c r="Z716" s="1" t="s">
        <v>14362</v>
      </c>
      <c r="AA716" s="1" t="s">
        <v>14363</v>
      </c>
      <c r="AB716" s="1" t="s">
        <v>132</v>
      </c>
      <c r="AC716" s="1" t="s">
        <v>14364</v>
      </c>
      <c r="AD716" s="1" t="s">
        <v>132</v>
      </c>
      <c r="AE716" s="1" t="s">
        <v>132</v>
      </c>
      <c r="AF716" s="1" t="s">
        <v>14365</v>
      </c>
      <c r="AG716" s="1" t="s">
        <v>14366</v>
      </c>
      <c r="AH716" s="1" t="s">
        <v>132</v>
      </c>
      <c r="AI716" s="1" t="s">
        <v>132</v>
      </c>
      <c r="AJ716" s="1" t="s">
        <v>14367</v>
      </c>
      <c r="AK716" s="1" t="s">
        <v>132</v>
      </c>
      <c r="AL716" s="1" t="s">
        <v>132</v>
      </c>
      <c r="AM716" s="1" t="s">
        <v>14368</v>
      </c>
      <c r="AN716" s="1" t="s">
        <v>14368</v>
      </c>
    </row>
    <row r="717" ht="15.75" customHeight="1">
      <c r="A717" s="1" t="s">
        <v>38</v>
      </c>
      <c r="B717" s="1" t="s">
        <v>14369</v>
      </c>
      <c r="C717" s="1" t="s">
        <v>14370</v>
      </c>
      <c r="D717" s="8" t="s">
        <v>14371</v>
      </c>
      <c r="E717" s="1" t="s">
        <v>14372</v>
      </c>
      <c r="F717" s="1" t="s">
        <v>14373</v>
      </c>
      <c r="G717" s="1" t="s">
        <v>132</v>
      </c>
      <c r="H717" s="1" t="s">
        <v>132</v>
      </c>
      <c r="I717" s="1" t="s">
        <v>14374</v>
      </c>
      <c r="J717" s="1" t="s">
        <v>132</v>
      </c>
      <c r="K717" s="1" t="s">
        <v>14375</v>
      </c>
      <c r="L717" s="1" t="s">
        <v>132</v>
      </c>
      <c r="M717" s="1" t="s">
        <v>14376</v>
      </c>
      <c r="N717" s="1" t="s">
        <v>14377</v>
      </c>
      <c r="O717" s="1" t="s">
        <v>132</v>
      </c>
      <c r="P717" s="1" t="s">
        <v>14378</v>
      </c>
      <c r="Q717" s="1" t="s">
        <v>132</v>
      </c>
      <c r="R717" s="1" t="s">
        <v>132</v>
      </c>
      <c r="S717" s="1" t="s">
        <v>14379</v>
      </c>
      <c r="T717" s="1" t="s">
        <v>132</v>
      </c>
      <c r="U717" s="1" t="s">
        <v>14380</v>
      </c>
      <c r="V717" s="1" t="s">
        <v>132</v>
      </c>
      <c r="W717" s="1" t="s">
        <v>132</v>
      </c>
      <c r="X717" s="1" t="s">
        <v>14381</v>
      </c>
      <c r="Y717" s="1" t="s">
        <v>132</v>
      </c>
      <c r="Z717" s="1" t="s">
        <v>14382</v>
      </c>
      <c r="AA717" s="1" t="s">
        <v>132</v>
      </c>
      <c r="AB717" s="1" t="s">
        <v>132</v>
      </c>
      <c r="AC717" s="1" t="s">
        <v>14383</v>
      </c>
      <c r="AD717" s="1" t="s">
        <v>132</v>
      </c>
      <c r="AE717" s="1" t="s">
        <v>132</v>
      </c>
      <c r="AF717" s="1" t="s">
        <v>14384</v>
      </c>
      <c r="AG717" s="1" t="s">
        <v>14385</v>
      </c>
      <c r="AH717" s="1" t="s">
        <v>132</v>
      </c>
      <c r="AI717" s="1" t="s">
        <v>132</v>
      </c>
      <c r="AJ717" s="1" t="s">
        <v>14386</v>
      </c>
      <c r="AK717" s="1" t="s">
        <v>132</v>
      </c>
      <c r="AL717" s="1" t="s">
        <v>132</v>
      </c>
      <c r="AM717" s="1" t="s">
        <v>14387</v>
      </c>
      <c r="AN717" s="1" t="s">
        <v>14387</v>
      </c>
    </row>
    <row r="718" ht="15.75" customHeight="1">
      <c r="A718" s="1" t="s">
        <v>127</v>
      </c>
      <c r="B718" s="1" t="s">
        <v>14388</v>
      </c>
      <c r="C718" s="1" t="s">
        <v>14389</v>
      </c>
      <c r="D718" s="8" t="s">
        <v>14390</v>
      </c>
      <c r="E718" s="1" t="s">
        <v>14391</v>
      </c>
      <c r="F718" s="1" t="s">
        <v>132</v>
      </c>
      <c r="G718" s="1" t="s">
        <v>14392</v>
      </c>
      <c r="H718" s="1" t="s">
        <v>14393</v>
      </c>
      <c r="I718" s="1" t="s">
        <v>14394</v>
      </c>
      <c r="J718" s="1" t="s">
        <v>14395</v>
      </c>
      <c r="K718" s="1" t="s">
        <v>14396</v>
      </c>
      <c r="L718" s="1" t="s">
        <v>14397</v>
      </c>
      <c r="M718" s="1" t="s">
        <v>14398</v>
      </c>
      <c r="N718" s="1" t="s">
        <v>132</v>
      </c>
      <c r="O718" s="1" t="s">
        <v>14399</v>
      </c>
      <c r="P718" s="1" t="s">
        <v>14400</v>
      </c>
      <c r="Q718" s="1" t="s">
        <v>132</v>
      </c>
      <c r="R718" s="1" t="s">
        <v>14401</v>
      </c>
      <c r="S718" s="1" t="s">
        <v>14402</v>
      </c>
      <c r="T718" s="8" t="s">
        <v>14403</v>
      </c>
      <c r="U718" s="1" t="s">
        <v>14404</v>
      </c>
      <c r="V718" s="1" t="s">
        <v>14405</v>
      </c>
      <c r="W718" s="1" t="s">
        <v>14406</v>
      </c>
      <c r="X718" s="1" t="s">
        <v>14407</v>
      </c>
      <c r="Y718" s="1" t="s">
        <v>14408</v>
      </c>
      <c r="Z718" s="1" t="s">
        <v>14409</v>
      </c>
      <c r="AA718" s="1" t="s">
        <v>14410</v>
      </c>
      <c r="AB718" s="1" t="s">
        <v>14411</v>
      </c>
      <c r="AC718" s="1" t="s">
        <v>14412</v>
      </c>
      <c r="AD718" s="1" t="s">
        <v>14413</v>
      </c>
      <c r="AE718" s="1" t="s">
        <v>14414</v>
      </c>
      <c r="AF718" s="1" t="s">
        <v>14415</v>
      </c>
      <c r="AG718" s="1" t="s">
        <v>14416</v>
      </c>
      <c r="AH718" s="1" t="s">
        <v>14417</v>
      </c>
      <c r="AI718" s="1" t="s">
        <v>14418</v>
      </c>
      <c r="AJ718" s="1" t="s">
        <v>132</v>
      </c>
      <c r="AK718" s="1" t="s">
        <v>14419</v>
      </c>
      <c r="AL718" s="1" t="s">
        <v>14420</v>
      </c>
      <c r="AM718" s="1" t="s">
        <v>14421</v>
      </c>
      <c r="AN718" s="1" t="s">
        <v>14421</v>
      </c>
    </row>
    <row r="719" ht="15.75" customHeight="1">
      <c r="A719" s="1" t="s">
        <v>127</v>
      </c>
      <c r="B719" s="1" t="s">
        <v>14422</v>
      </c>
      <c r="C719" s="1" t="s">
        <v>14423</v>
      </c>
      <c r="D719" s="8" t="s">
        <v>14424</v>
      </c>
      <c r="E719" s="1" t="s">
        <v>14425</v>
      </c>
      <c r="F719" s="1" t="s">
        <v>132</v>
      </c>
      <c r="G719" s="1" t="s">
        <v>14426</v>
      </c>
      <c r="H719" s="1" t="s">
        <v>14427</v>
      </c>
      <c r="I719" s="1" t="s">
        <v>14428</v>
      </c>
      <c r="J719" s="1" t="s">
        <v>14429</v>
      </c>
      <c r="K719" s="1" t="s">
        <v>14430</v>
      </c>
      <c r="L719" s="1" t="s">
        <v>14431</v>
      </c>
      <c r="M719" s="1" t="s">
        <v>14432</v>
      </c>
      <c r="N719" s="1" t="s">
        <v>132</v>
      </c>
      <c r="O719" s="1" t="s">
        <v>14433</v>
      </c>
      <c r="P719" s="1" t="s">
        <v>14434</v>
      </c>
      <c r="Q719" s="1" t="s">
        <v>132</v>
      </c>
      <c r="R719" s="1" t="s">
        <v>14435</v>
      </c>
      <c r="S719" s="1" t="s">
        <v>14436</v>
      </c>
      <c r="T719" s="8" t="s">
        <v>14437</v>
      </c>
      <c r="U719" s="1" t="s">
        <v>14438</v>
      </c>
      <c r="V719" s="1" t="s">
        <v>14439</v>
      </c>
      <c r="W719" s="1" t="s">
        <v>14440</v>
      </c>
      <c r="X719" s="1" t="s">
        <v>14441</v>
      </c>
      <c r="Y719" s="1" t="s">
        <v>14427</v>
      </c>
      <c r="Z719" s="1" t="s">
        <v>14442</v>
      </c>
      <c r="AA719" s="1" t="s">
        <v>14443</v>
      </c>
      <c r="AB719" s="1" t="s">
        <v>14444</v>
      </c>
      <c r="AC719" s="1" t="s">
        <v>14445</v>
      </c>
      <c r="AD719" s="1" t="s">
        <v>14446</v>
      </c>
      <c r="AE719" s="1" t="s">
        <v>14447</v>
      </c>
      <c r="AF719" s="1" t="s">
        <v>14448</v>
      </c>
      <c r="AG719" s="1" t="s">
        <v>14449</v>
      </c>
      <c r="AH719" s="1" t="s">
        <v>14450</v>
      </c>
      <c r="AI719" s="1" t="s">
        <v>14451</v>
      </c>
      <c r="AJ719" s="1" t="s">
        <v>132</v>
      </c>
      <c r="AK719" s="1" t="s">
        <v>14452</v>
      </c>
      <c r="AL719" s="1" t="s">
        <v>14453</v>
      </c>
      <c r="AM719" s="1" t="s">
        <v>132</v>
      </c>
      <c r="AN719" s="1" t="s">
        <v>132</v>
      </c>
    </row>
    <row r="720" ht="15.75" customHeight="1">
      <c r="A720" s="1" t="s">
        <v>127</v>
      </c>
      <c r="B720" s="1" t="s">
        <v>14454</v>
      </c>
      <c r="C720" s="1" t="s">
        <v>14455</v>
      </c>
      <c r="D720" s="8" t="s">
        <v>14456</v>
      </c>
      <c r="E720" s="1" t="s">
        <v>14457</v>
      </c>
      <c r="F720" s="1" t="s">
        <v>132</v>
      </c>
      <c r="G720" s="1" t="s">
        <v>14458</v>
      </c>
      <c r="H720" s="1" t="s">
        <v>14459</v>
      </c>
      <c r="I720" s="1" t="s">
        <v>14460</v>
      </c>
      <c r="J720" s="1" t="s">
        <v>14461</v>
      </c>
      <c r="K720" s="1" t="s">
        <v>14462</v>
      </c>
      <c r="L720" s="1" t="s">
        <v>14463</v>
      </c>
      <c r="M720" s="1" t="s">
        <v>14455</v>
      </c>
      <c r="N720" s="1" t="s">
        <v>132</v>
      </c>
      <c r="O720" s="1" t="s">
        <v>14021</v>
      </c>
      <c r="P720" s="1" t="s">
        <v>14464</v>
      </c>
      <c r="Q720" s="1" t="s">
        <v>132</v>
      </c>
      <c r="R720" s="1" t="s">
        <v>14023</v>
      </c>
      <c r="S720" s="1" t="s">
        <v>14465</v>
      </c>
      <c r="T720" s="8" t="s">
        <v>14466</v>
      </c>
      <c r="U720" s="1" t="s">
        <v>14025</v>
      </c>
      <c r="V720" s="1" t="s">
        <v>14026</v>
      </c>
      <c r="W720" s="1" t="s">
        <v>14027</v>
      </c>
      <c r="X720" s="1" t="s">
        <v>14467</v>
      </c>
      <c r="Y720" s="1" t="s">
        <v>14459</v>
      </c>
      <c r="Z720" s="1" t="s">
        <v>14458</v>
      </c>
      <c r="AA720" s="1" t="s">
        <v>14462</v>
      </c>
      <c r="AB720" s="1" t="s">
        <v>14013</v>
      </c>
      <c r="AC720" s="1" t="s">
        <v>14468</v>
      </c>
      <c r="AD720" s="1" t="s">
        <v>14469</v>
      </c>
      <c r="AE720" s="1" t="s">
        <v>14013</v>
      </c>
      <c r="AF720" s="1" t="s">
        <v>14015</v>
      </c>
      <c r="AG720" s="1" t="s">
        <v>14470</v>
      </c>
      <c r="AH720" s="1" t="s">
        <v>14031</v>
      </c>
      <c r="AI720" s="1" t="s">
        <v>14032</v>
      </c>
      <c r="AJ720" s="1" t="s">
        <v>132</v>
      </c>
      <c r="AK720" s="1" t="s">
        <v>14033</v>
      </c>
      <c r="AL720" s="1" t="s">
        <v>14034</v>
      </c>
      <c r="AM720" s="1" t="s">
        <v>14035</v>
      </c>
      <c r="AN720" s="1" t="s">
        <v>14035</v>
      </c>
    </row>
    <row r="721" ht="15.75" customHeight="1">
      <c r="A721" s="1" t="s">
        <v>127</v>
      </c>
      <c r="B721" s="1" t="s">
        <v>14471</v>
      </c>
      <c r="C721" s="1" t="s">
        <v>14472</v>
      </c>
      <c r="D721" s="8" t="s">
        <v>14473</v>
      </c>
      <c r="E721" s="1" t="s">
        <v>14474</v>
      </c>
      <c r="F721" s="1" t="s">
        <v>132</v>
      </c>
      <c r="G721" s="1" t="s">
        <v>14475</v>
      </c>
      <c r="H721" s="1" t="s">
        <v>14476</v>
      </c>
      <c r="I721" s="1" t="s">
        <v>14477</v>
      </c>
      <c r="J721" s="1" t="s">
        <v>14478</v>
      </c>
      <c r="K721" s="1" t="s">
        <v>14479</v>
      </c>
      <c r="L721" s="1" t="s">
        <v>14480</v>
      </c>
      <c r="M721" s="1" t="s">
        <v>14481</v>
      </c>
      <c r="N721" s="1" t="s">
        <v>132</v>
      </c>
      <c r="O721" s="1" t="s">
        <v>14482</v>
      </c>
      <c r="P721" s="1" t="s">
        <v>14472</v>
      </c>
      <c r="Q721" s="1" t="s">
        <v>132</v>
      </c>
      <c r="R721" s="1" t="s">
        <v>14483</v>
      </c>
      <c r="S721" s="1" t="s">
        <v>14484</v>
      </c>
      <c r="T721" s="8" t="s">
        <v>14485</v>
      </c>
      <c r="U721" s="1" t="s">
        <v>14486</v>
      </c>
      <c r="V721" s="1" t="s">
        <v>9193</v>
      </c>
      <c r="W721" s="1" t="s">
        <v>14487</v>
      </c>
      <c r="X721" s="1" t="s">
        <v>14488</v>
      </c>
      <c r="Y721" s="1" t="s">
        <v>14489</v>
      </c>
      <c r="Z721" s="1" t="s">
        <v>14472</v>
      </c>
      <c r="AA721" s="1" t="s">
        <v>14472</v>
      </c>
      <c r="AB721" s="1" t="s">
        <v>14490</v>
      </c>
      <c r="AC721" s="1" t="s">
        <v>14491</v>
      </c>
      <c r="AD721" s="1" t="s">
        <v>14492</v>
      </c>
      <c r="AE721" s="1" t="s">
        <v>14493</v>
      </c>
      <c r="AF721" s="1" t="s">
        <v>14494</v>
      </c>
      <c r="AG721" s="1" t="s">
        <v>14495</v>
      </c>
      <c r="AH721" s="1" t="s">
        <v>14496</v>
      </c>
      <c r="AI721" s="1" t="s">
        <v>14497</v>
      </c>
      <c r="AJ721" s="1" t="s">
        <v>132</v>
      </c>
      <c r="AK721" s="1" t="s">
        <v>14498</v>
      </c>
      <c r="AL721" s="1" t="s">
        <v>14499</v>
      </c>
      <c r="AM721" s="1" t="s">
        <v>14500</v>
      </c>
      <c r="AN721" s="1" t="s">
        <v>14500</v>
      </c>
    </row>
    <row r="722" ht="15.75" customHeight="1">
      <c r="A722" s="1" t="s">
        <v>38</v>
      </c>
      <c r="B722" s="1" t="s">
        <v>14501</v>
      </c>
      <c r="C722" s="1" t="s">
        <v>14502</v>
      </c>
      <c r="D722" s="1" t="s">
        <v>132</v>
      </c>
      <c r="E722" s="1" t="s">
        <v>14503</v>
      </c>
      <c r="F722" s="1" t="s">
        <v>14504</v>
      </c>
      <c r="G722" s="1" t="s">
        <v>132</v>
      </c>
      <c r="H722" s="1" t="s">
        <v>132</v>
      </c>
      <c r="I722" s="1" t="s">
        <v>14505</v>
      </c>
      <c r="J722" s="1" t="s">
        <v>132</v>
      </c>
      <c r="K722" s="1" t="s">
        <v>14506</v>
      </c>
      <c r="L722" s="1" t="s">
        <v>132</v>
      </c>
      <c r="M722" s="1" t="s">
        <v>14507</v>
      </c>
      <c r="N722" s="1" t="s">
        <v>14508</v>
      </c>
      <c r="O722" s="1" t="s">
        <v>132</v>
      </c>
      <c r="P722" s="1" t="s">
        <v>14509</v>
      </c>
      <c r="Q722" s="1" t="s">
        <v>14510</v>
      </c>
      <c r="R722" s="1" t="s">
        <v>132</v>
      </c>
      <c r="S722" s="1" t="s">
        <v>14511</v>
      </c>
      <c r="T722" s="1" t="s">
        <v>132</v>
      </c>
      <c r="U722" s="1" t="s">
        <v>14512</v>
      </c>
      <c r="V722" s="1" t="s">
        <v>14513</v>
      </c>
      <c r="W722" s="1" t="s">
        <v>132</v>
      </c>
      <c r="X722" s="1" t="s">
        <v>14514</v>
      </c>
      <c r="Y722" s="1" t="s">
        <v>132</v>
      </c>
      <c r="Z722" s="1" t="s">
        <v>14515</v>
      </c>
      <c r="AA722" s="1" t="s">
        <v>14516</v>
      </c>
      <c r="AB722" s="1" t="s">
        <v>132</v>
      </c>
      <c r="AC722" s="1" t="s">
        <v>14517</v>
      </c>
      <c r="AD722" s="1" t="s">
        <v>14518</v>
      </c>
      <c r="AE722" s="1" t="s">
        <v>132</v>
      </c>
      <c r="AF722" s="1" t="s">
        <v>14519</v>
      </c>
      <c r="AG722" s="1" t="s">
        <v>14520</v>
      </c>
      <c r="AH722" s="1" t="s">
        <v>132</v>
      </c>
      <c r="AI722" s="1" t="s">
        <v>132</v>
      </c>
      <c r="AJ722" s="1" t="s">
        <v>14521</v>
      </c>
      <c r="AK722" s="1" t="s">
        <v>14522</v>
      </c>
      <c r="AL722" s="1" t="s">
        <v>132</v>
      </c>
      <c r="AM722" s="1" t="s">
        <v>14523</v>
      </c>
      <c r="AN722" s="1" t="s">
        <v>14523</v>
      </c>
    </row>
    <row r="723" ht="15.75" customHeight="1">
      <c r="A723" s="1" t="s">
        <v>127</v>
      </c>
      <c r="B723" s="1" t="s">
        <v>14524</v>
      </c>
      <c r="C723" s="1" t="s">
        <v>14525</v>
      </c>
      <c r="D723" s="8" t="s">
        <v>14526</v>
      </c>
      <c r="E723" s="1" t="s">
        <v>14527</v>
      </c>
      <c r="F723" s="1" t="s">
        <v>132</v>
      </c>
      <c r="G723" s="1" t="s">
        <v>14528</v>
      </c>
      <c r="H723" s="1" t="s">
        <v>14529</v>
      </c>
      <c r="I723" s="1" t="s">
        <v>14530</v>
      </c>
      <c r="J723" s="1" t="s">
        <v>14531</v>
      </c>
      <c r="K723" s="1" t="s">
        <v>14532</v>
      </c>
      <c r="L723" s="1" t="s">
        <v>14533</v>
      </c>
      <c r="M723" s="1" t="s">
        <v>14534</v>
      </c>
      <c r="N723" s="1" t="s">
        <v>132</v>
      </c>
      <c r="O723" s="1" t="s">
        <v>14535</v>
      </c>
      <c r="P723" s="1" t="s">
        <v>14536</v>
      </c>
      <c r="Q723" s="1" t="s">
        <v>132</v>
      </c>
      <c r="R723" s="1" t="s">
        <v>14537</v>
      </c>
      <c r="S723" s="1" t="s">
        <v>14538</v>
      </c>
      <c r="T723" s="8" t="s">
        <v>14539</v>
      </c>
      <c r="U723" s="1" t="s">
        <v>14540</v>
      </c>
      <c r="V723" s="1" t="s">
        <v>14541</v>
      </c>
      <c r="W723" s="1" t="s">
        <v>14542</v>
      </c>
      <c r="X723" s="1" t="s">
        <v>14543</v>
      </c>
      <c r="Y723" s="1" t="s">
        <v>14544</v>
      </c>
      <c r="Z723" s="1" t="s">
        <v>14545</v>
      </c>
      <c r="AA723" s="1" t="s">
        <v>14546</v>
      </c>
      <c r="AB723" s="1" t="s">
        <v>14547</v>
      </c>
      <c r="AC723" s="1" t="s">
        <v>14548</v>
      </c>
      <c r="AD723" s="1" t="s">
        <v>14549</v>
      </c>
      <c r="AE723" s="1" t="s">
        <v>14550</v>
      </c>
      <c r="AF723" s="1" t="s">
        <v>14551</v>
      </c>
      <c r="AG723" s="1" t="s">
        <v>14552</v>
      </c>
      <c r="AH723" s="1" t="s">
        <v>14553</v>
      </c>
      <c r="AI723" s="1" t="s">
        <v>14554</v>
      </c>
      <c r="AJ723" s="1" t="s">
        <v>132</v>
      </c>
      <c r="AK723" s="1" t="s">
        <v>14555</v>
      </c>
      <c r="AL723" s="1" t="s">
        <v>14556</v>
      </c>
      <c r="AM723" s="1" t="s">
        <v>14557</v>
      </c>
      <c r="AN723" s="1" t="s">
        <v>14557</v>
      </c>
    </row>
    <row r="724" ht="15.75" customHeight="1">
      <c r="A724" s="1" t="s">
        <v>127</v>
      </c>
      <c r="B724" s="1" t="s">
        <v>14558</v>
      </c>
      <c r="C724" s="1" t="s">
        <v>14559</v>
      </c>
      <c r="D724" s="8" t="s">
        <v>14560</v>
      </c>
      <c r="E724" s="1" t="s">
        <v>14561</v>
      </c>
      <c r="F724" s="1" t="s">
        <v>132</v>
      </c>
      <c r="G724" s="1" t="s">
        <v>14562</v>
      </c>
      <c r="H724" s="1" t="s">
        <v>14563</v>
      </c>
      <c r="I724" s="1" t="s">
        <v>14564</v>
      </c>
      <c r="J724" s="1" t="s">
        <v>14565</v>
      </c>
      <c r="K724" s="1" t="s">
        <v>14566</v>
      </c>
      <c r="L724" s="1" t="s">
        <v>14567</v>
      </c>
      <c r="M724" s="1" t="s">
        <v>14568</v>
      </c>
      <c r="N724" s="1" t="s">
        <v>132</v>
      </c>
      <c r="O724" s="1" t="s">
        <v>14569</v>
      </c>
      <c r="P724" s="1" t="s">
        <v>14570</v>
      </c>
      <c r="Q724" s="1" t="s">
        <v>132</v>
      </c>
      <c r="R724" s="1" t="s">
        <v>14571</v>
      </c>
      <c r="S724" s="1" t="s">
        <v>14572</v>
      </c>
      <c r="T724" s="8" t="s">
        <v>14573</v>
      </c>
      <c r="U724" s="1" t="s">
        <v>14574</v>
      </c>
      <c r="V724" s="1" t="s">
        <v>14575</v>
      </c>
      <c r="W724" s="1" t="s">
        <v>14576</v>
      </c>
      <c r="X724" s="1" t="s">
        <v>14564</v>
      </c>
      <c r="Y724" s="1" t="s">
        <v>14577</v>
      </c>
      <c r="Z724" s="1" t="s">
        <v>14578</v>
      </c>
      <c r="AA724" s="1" t="s">
        <v>14579</v>
      </c>
      <c r="AB724" s="1" t="s">
        <v>14580</v>
      </c>
      <c r="AC724" s="1" t="s">
        <v>14581</v>
      </c>
      <c r="AD724" s="1" t="s">
        <v>14582</v>
      </c>
      <c r="AE724" s="1" t="s">
        <v>14583</v>
      </c>
      <c r="AF724" s="1" t="s">
        <v>14584</v>
      </c>
      <c r="AG724" s="1" t="s">
        <v>14585</v>
      </c>
      <c r="AH724" s="1" t="s">
        <v>14586</v>
      </c>
      <c r="AI724" s="1" t="s">
        <v>14587</v>
      </c>
      <c r="AJ724" s="1" t="s">
        <v>132</v>
      </c>
      <c r="AK724" s="1" t="s">
        <v>14588</v>
      </c>
      <c r="AL724" s="1" t="s">
        <v>14589</v>
      </c>
      <c r="AM724" s="1" t="s">
        <v>132</v>
      </c>
      <c r="AN724" s="1" t="s">
        <v>132</v>
      </c>
    </row>
    <row r="725" ht="15.75" customHeight="1">
      <c r="A725" s="1" t="s">
        <v>127</v>
      </c>
      <c r="B725" s="1" t="s">
        <v>14590</v>
      </c>
      <c r="C725" s="1" t="s">
        <v>14591</v>
      </c>
      <c r="D725" s="8" t="s">
        <v>14592</v>
      </c>
      <c r="E725" s="1" t="s">
        <v>14593</v>
      </c>
      <c r="F725" s="1" t="s">
        <v>132</v>
      </c>
      <c r="G725" s="1" t="s">
        <v>14594</v>
      </c>
      <c r="H725" s="1" t="s">
        <v>14595</v>
      </c>
      <c r="I725" s="1" t="s">
        <v>14596</v>
      </c>
      <c r="J725" s="1" t="s">
        <v>14597</v>
      </c>
      <c r="K725" s="1" t="s">
        <v>14598</v>
      </c>
      <c r="L725" s="1" t="s">
        <v>14599</v>
      </c>
      <c r="M725" s="1" t="s">
        <v>14600</v>
      </c>
      <c r="N725" s="1" t="s">
        <v>132</v>
      </c>
      <c r="O725" s="1" t="s">
        <v>14601</v>
      </c>
      <c r="P725" s="1" t="s">
        <v>14602</v>
      </c>
      <c r="Q725" s="1" t="s">
        <v>132</v>
      </c>
      <c r="R725" s="1" t="s">
        <v>14603</v>
      </c>
      <c r="S725" s="1" t="s">
        <v>14604</v>
      </c>
      <c r="T725" s="8" t="s">
        <v>14605</v>
      </c>
      <c r="U725" s="1" t="s">
        <v>14606</v>
      </c>
      <c r="V725" s="1" t="s">
        <v>14607</v>
      </c>
      <c r="W725" s="1" t="s">
        <v>14608</v>
      </c>
      <c r="X725" s="1" t="s">
        <v>14609</v>
      </c>
      <c r="Y725" s="1" t="s">
        <v>14610</v>
      </c>
      <c r="Z725" s="1" t="s">
        <v>14611</v>
      </c>
      <c r="AA725" s="1" t="s">
        <v>14612</v>
      </c>
      <c r="AB725" s="1" t="s">
        <v>14613</v>
      </c>
      <c r="AC725" s="1" t="s">
        <v>14614</v>
      </c>
      <c r="AD725" s="1" t="s">
        <v>14615</v>
      </c>
      <c r="AE725" s="1" t="s">
        <v>14616</v>
      </c>
      <c r="AF725" s="1" t="s">
        <v>14591</v>
      </c>
      <c r="AG725" s="1" t="s">
        <v>14617</v>
      </c>
      <c r="AH725" s="1" t="s">
        <v>14618</v>
      </c>
      <c r="AI725" s="1" t="s">
        <v>14619</v>
      </c>
      <c r="AJ725" s="1" t="s">
        <v>132</v>
      </c>
      <c r="AK725" s="1" t="s">
        <v>14620</v>
      </c>
      <c r="AL725" s="1" t="s">
        <v>14621</v>
      </c>
      <c r="AM725" s="1" t="s">
        <v>14622</v>
      </c>
      <c r="AN725" s="1" t="s">
        <v>14622</v>
      </c>
    </row>
    <row r="726" ht="15.75" customHeight="1">
      <c r="A726" s="1" t="s">
        <v>127</v>
      </c>
      <c r="B726" s="1" t="s">
        <v>14623</v>
      </c>
      <c r="C726" s="1" t="s">
        <v>14624</v>
      </c>
      <c r="D726" s="8" t="s">
        <v>14625</v>
      </c>
      <c r="E726" s="1" t="s">
        <v>14626</v>
      </c>
      <c r="F726" s="1" t="s">
        <v>132</v>
      </c>
      <c r="G726" s="1" t="s">
        <v>14627</v>
      </c>
      <c r="H726" s="1" t="s">
        <v>14628</v>
      </c>
      <c r="I726" s="1" t="s">
        <v>14629</v>
      </c>
      <c r="J726" s="1" t="s">
        <v>14630</v>
      </c>
      <c r="K726" s="1" t="s">
        <v>14631</v>
      </c>
      <c r="L726" s="1" t="s">
        <v>14632</v>
      </c>
      <c r="M726" s="1" t="s">
        <v>14633</v>
      </c>
      <c r="N726" s="1" t="s">
        <v>132</v>
      </c>
      <c r="O726" s="1" t="s">
        <v>14634</v>
      </c>
      <c r="P726" s="1" t="s">
        <v>14635</v>
      </c>
      <c r="Q726" s="1" t="s">
        <v>132</v>
      </c>
      <c r="R726" s="1" t="s">
        <v>14636</v>
      </c>
      <c r="S726" s="1" t="s">
        <v>14637</v>
      </c>
      <c r="T726" s="8" t="s">
        <v>14638</v>
      </c>
      <c r="U726" s="1" t="s">
        <v>14639</v>
      </c>
      <c r="V726" s="1" t="s">
        <v>14640</v>
      </c>
      <c r="W726" s="1" t="s">
        <v>14636</v>
      </c>
      <c r="X726" s="1" t="s">
        <v>14641</v>
      </c>
      <c r="Y726" s="1" t="s">
        <v>14642</v>
      </c>
      <c r="Z726" s="1" t="s">
        <v>14643</v>
      </c>
      <c r="AA726" s="1" t="s">
        <v>14644</v>
      </c>
      <c r="AB726" s="1" t="s">
        <v>14645</v>
      </c>
      <c r="AC726" s="1" t="s">
        <v>14646</v>
      </c>
      <c r="AD726" s="1" t="s">
        <v>14647</v>
      </c>
      <c r="AE726" s="1" t="s">
        <v>14648</v>
      </c>
      <c r="AF726" s="1" t="s">
        <v>14649</v>
      </c>
      <c r="AG726" s="1" t="s">
        <v>14650</v>
      </c>
      <c r="AH726" s="1" t="s">
        <v>14651</v>
      </c>
      <c r="AI726" s="1" t="s">
        <v>14652</v>
      </c>
      <c r="AJ726" s="1" t="s">
        <v>132</v>
      </c>
      <c r="AK726" s="1" t="s">
        <v>14653</v>
      </c>
      <c r="AL726" s="1" t="s">
        <v>14654</v>
      </c>
      <c r="AM726" s="1" t="s">
        <v>132</v>
      </c>
      <c r="AN726" s="1" t="s">
        <v>132</v>
      </c>
    </row>
    <row r="727" ht="15.75" customHeight="1">
      <c r="A727" s="1" t="s">
        <v>38</v>
      </c>
      <c r="B727" s="1" t="s">
        <v>14655</v>
      </c>
      <c r="C727" s="1" t="s">
        <v>14656</v>
      </c>
      <c r="D727" s="1" t="s">
        <v>132</v>
      </c>
      <c r="E727" s="1" t="s">
        <v>132</v>
      </c>
      <c r="F727" s="1" t="s">
        <v>132</v>
      </c>
      <c r="G727" s="1" t="s">
        <v>132</v>
      </c>
      <c r="H727" s="1" t="s">
        <v>132</v>
      </c>
      <c r="I727" s="1" t="s">
        <v>14657</v>
      </c>
      <c r="J727" s="1" t="s">
        <v>132</v>
      </c>
      <c r="K727" s="1" t="s">
        <v>14656</v>
      </c>
      <c r="L727" s="1" t="s">
        <v>132</v>
      </c>
      <c r="M727" s="1" t="s">
        <v>14658</v>
      </c>
      <c r="N727" s="1" t="s">
        <v>132</v>
      </c>
      <c r="O727" s="1" t="s">
        <v>132</v>
      </c>
      <c r="P727" s="1" t="s">
        <v>14656</v>
      </c>
      <c r="Q727" s="1" t="s">
        <v>132</v>
      </c>
      <c r="R727" s="1" t="s">
        <v>132</v>
      </c>
      <c r="S727" s="1" t="s">
        <v>132</v>
      </c>
      <c r="T727" s="1" t="s">
        <v>132</v>
      </c>
      <c r="U727" s="1" t="s">
        <v>132</v>
      </c>
      <c r="V727" s="1" t="s">
        <v>132</v>
      </c>
      <c r="W727" s="1" t="s">
        <v>132</v>
      </c>
      <c r="X727" s="1" t="s">
        <v>132</v>
      </c>
      <c r="Y727" s="1" t="s">
        <v>132</v>
      </c>
      <c r="Z727" s="1" t="s">
        <v>132</v>
      </c>
      <c r="AA727" s="1" t="s">
        <v>132</v>
      </c>
      <c r="AB727" s="1" t="s">
        <v>132</v>
      </c>
      <c r="AC727" s="1" t="s">
        <v>14659</v>
      </c>
      <c r="AD727" s="1" t="s">
        <v>132</v>
      </c>
      <c r="AE727" s="1" t="s">
        <v>132</v>
      </c>
      <c r="AF727" s="1" t="s">
        <v>14660</v>
      </c>
      <c r="AG727" s="1" t="s">
        <v>132</v>
      </c>
      <c r="AH727" s="1" t="s">
        <v>132</v>
      </c>
      <c r="AI727" s="1" t="s">
        <v>132</v>
      </c>
      <c r="AJ727" s="1" t="s">
        <v>132</v>
      </c>
      <c r="AK727" s="1" t="s">
        <v>132</v>
      </c>
      <c r="AL727" s="1" t="s">
        <v>132</v>
      </c>
      <c r="AM727" s="1" t="s">
        <v>132</v>
      </c>
      <c r="AN727" s="1" t="s">
        <v>132</v>
      </c>
    </row>
    <row r="728" ht="15.75" customHeight="1">
      <c r="A728" s="1" t="s">
        <v>38</v>
      </c>
      <c r="B728" s="1" t="s">
        <v>14661</v>
      </c>
      <c r="C728" s="1" t="s">
        <v>14662</v>
      </c>
      <c r="D728" s="1" t="s">
        <v>132</v>
      </c>
      <c r="E728" s="1" t="s">
        <v>132</v>
      </c>
      <c r="F728" s="1" t="s">
        <v>132</v>
      </c>
      <c r="G728" s="1" t="s">
        <v>132</v>
      </c>
      <c r="H728" s="1" t="s">
        <v>132</v>
      </c>
      <c r="I728" s="1" t="s">
        <v>14663</v>
      </c>
      <c r="J728" s="1" t="s">
        <v>132</v>
      </c>
      <c r="K728" s="1" t="s">
        <v>14664</v>
      </c>
      <c r="L728" s="1" t="s">
        <v>132</v>
      </c>
      <c r="M728" s="1" t="s">
        <v>14665</v>
      </c>
      <c r="N728" s="1" t="s">
        <v>132</v>
      </c>
      <c r="O728" s="1" t="s">
        <v>132</v>
      </c>
      <c r="P728" s="1" t="s">
        <v>14662</v>
      </c>
      <c r="Q728" s="1" t="s">
        <v>132</v>
      </c>
      <c r="R728" s="1" t="s">
        <v>132</v>
      </c>
      <c r="S728" s="1" t="s">
        <v>132</v>
      </c>
      <c r="T728" s="1" t="s">
        <v>132</v>
      </c>
      <c r="U728" s="1" t="s">
        <v>132</v>
      </c>
      <c r="V728" s="1" t="s">
        <v>132</v>
      </c>
      <c r="W728" s="1" t="s">
        <v>132</v>
      </c>
      <c r="X728" s="1" t="s">
        <v>132</v>
      </c>
      <c r="Y728" s="1" t="s">
        <v>132</v>
      </c>
      <c r="Z728" s="1" t="s">
        <v>132</v>
      </c>
      <c r="AA728" s="1" t="s">
        <v>132</v>
      </c>
      <c r="AB728" s="1" t="s">
        <v>132</v>
      </c>
      <c r="AC728" s="1" t="s">
        <v>14666</v>
      </c>
      <c r="AD728" s="1" t="s">
        <v>132</v>
      </c>
      <c r="AE728" s="1" t="s">
        <v>132</v>
      </c>
      <c r="AF728" s="1" t="s">
        <v>14667</v>
      </c>
      <c r="AG728" s="1" t="s">
        <v>132</v>
      </c>
      <c r="AH728" s="1" t="s">
        <v>132</v>
      </c>
      <c r="AI728" s="1" t="s">
        <v>132</v>
      </c>
      <c r="AJ728" s="1" t="s">
        <v>132</v>
      </c>
      <c r="AK728" s="1" t="s">
        <v>132</v>
      </c>
      <c r="AL728" s="1" t="s">
        <v>132</v>
      </c>
      <c r="AM728" s="1" t="s">
        <v>132</v>
      </c>
      <c r="AN728" s="1" t="s">
        <v>132</v>
      </c>
    </row>
    <row r="729" ht="15.75" customHeight="1">
      <c r="A729" s="1" t="s">
        <v>127</v>
      </c>
      <c r="B729" s="1" t="s">
        <v>14668</v>
      </c>
      <c r="C729" s="1" t="s">
        <v>14669</v>
      </c>
      <c r="D729" s="8" t="s">
        <v>14670</v>
      </c>
      <c r="E729" s="1" t="s">
        <v>14671</v>
      </c>
      <c r="F729" s="1" t="s">
        <v>132</v>
      </c>
      <c r="G729" s="1" t="s">
        <v>14672</v>
      </c>
      <c r="H729" s="1" t="s">
        <v>14673</v>
      </c>
      <c r="I729" s="1" t="s">
        <v>14674</v>
      </c>
      <c r="J729" s="1" t="s">
        <v>14675</v>
      </c>
      <c r="K729" s="1" t="s">
        <v>14676</v>
      </c>
      <c r="L729" s="1" t="s">
        <v>14677</v>
      </c>
      <c r="M729" s="1" t="s">
        <v>14678</v>
      </c>
      <c r="N729" s="1" t="s">
        <v>132</v>
      </c>
      <c r="O729" s="1" t="s">
        <v>14679</v>
      </c>
      <c r="P729" s="1" t="s">
        <v>14680</v>
      </c>
      <c r="Q729" s="1" t="s">
        <v>132</v>
      </c>
      <c r="R729" s="1" t="s">
        <v>14681</v>
      </c>
      <c r="S729" s="1" t="s">
        <v>14682</v>
      </c>
      <c r="T729" s="8" t="s">
        <v>14683</v>
      </c>
      <c r="U729" s="1" t="s">
        <v>14684</v>
      </c>
      <c r="V729" s="1" t="s">
        <v>14685</v>
      </c>
      <c r="W729" s="1" t="s">
        <v>14686</v>
      </c>
      <c r="X729" s="1" t="s">
        <v>14687</v>
      </c>
      <c r="Y729" s="1" t="s">
        <v>14688</v>
      </c>
      <c r="Z729" s="1" t="s">
        <v>14689</v>
      </c>
      <c r="AA729" s="1" t="s">
        <v>14690</v>
      </c>
      <c r="AB729" s="1" t="s">
        <v>14691</v>
      </c>
      <c r="AC729" s="1" t="s">
        <v>14692</v>
      </c>
      <c r="AD729" s="1" t="s">
        <v>14693</v>
      </c>
      <c r="AE729" s="1" t="s">
        <v>14694</v>
      </c>
      <c r="AF729" s="1" t="s">
        <v>14695</v>
      </c>
      <c r="AG729" s="1" t="s">
        <v>14696</v>
      </c>
      <c r="AH729" s="1" t="s">
        <v>14697</v>
      </c>
      <c r="AI729" s="1" t="s">
        <v>14698</v>
      </c>
      <c r="AJ729" s="1" t="s">
        <v>132</v>
      </c>
      <c r="AK729" s="1" t="s">
        <v>14699</v>
      </c>
      <c r="AL729" s="1" t="s">
        <v>14700</v>
      </c>
      <c r="AM729" s="1" t="s">
        <v>14701</v>
      </c>
      <c r="AN729" s="1" t="s">
        <v>14701</v>
      </c>
    </row>
    <row r="730" ht="15.75" customHeight="1">
      <c r="A730" s="1" t="s">
        <v>38</v>
      </c>
      <c r="B730" s="1" t="s">
        <v>14702</v>
      </c>
      <c r="C730" s="1" t="s">
        <v>14703</v>
      </c>
      <c r="D730" s="1" t="s">
        <v>132</v>
      </c>
      <c r="E730" s="1" t="s">
        <v>14704</v>
      </c>
      <c r="F730" s="1" t="s">
        <v>14705</v>
      </c>
      <c r="G730" s="1" t="s">
        <v>132</v>
      </c>
      <c r="H730" s="1" t="s">
        <v>132</v>
      </c>
      <c r="I730" s="1" t="s">
        <v>14706</v>
      </c>
      <c r="J730" s="1" t="s">
        <v>132</v>
      </c>
      <c r="K730" s="1" t="s">
        <v>14707</v>
      </c>
      <c r="L730" s="1" t="s">
        <v>132</v>
      </c>
      <c r="M730" s="1" t="s">
        <v>14708</v>
      </c>
      <c r="N730" s="1" t="s">
        <v>14709</v>
      </c>
      <c r="O730" s="1" t="s">
        <v>132</v>
      </c>
      <c r="P730" s="1" t="s">
        <v>14710</v>
      </c>
      <c r="Q730" s="1" t="s">
        <v>132</v>
      </c>
      <c r="R730" s="1" t="s">
        <v>132</v>
      </c>
      <c r="S730" s="1" t="s">
        <v>14711</v>
      </c>
      <c r="T730" s="1" t="s">
        <v>132</v>
      </c>
      <c r="U730" s="1" t="s">
        <v>14712</v>
      </c>
      <c r="V730" s="1" t="s">
        <v>14713</v>
      </c>
      <c r="W730" s="1" t="s">
        <v>132</v>
      </c>
      <c r="X730" s="1" t="s">
        <v>14714</v>
      </c>
      <c r="Y730" s="1" t="s">
        <v>132</v>
      </c>
      <c r="Z730" s="1" t="s">
        <v>14715</v>
      </c>
      <c r="AA730" s="1" t="s">
        <v>14716</v>
      </c>
      <c r="AB730" s="1" t="s">
        <v>132</v>
      </c>
      <c r="AC730" s="1" t="s">
        <v>14717</v>
      </c>
      <c r="AD730" s="1" t="s">
        <v>132</v>
      </c>
      <c r="AE730" s="1" t="s">
        <v>132</v>
      </c>
      <c r="AF730" s="1" t="s">
        <v>14718</v>
      </c>
      <c r="AG730" s="1" t="s">
        <v>14719</v>
      </c>
      <c r="AH730" s="1" t="s">
        <v>132</v>
      </c>
      <c r="AI730" s="1" t="s">
        <v>132</v>
      </c>
      <c r="AJ730" s="1" t="s">
        <v>14720</v>
      </c>
      <c r="AK730" s="1" t="s">
        <v>14721</v>
      </c>
      <c r="AL730" s="1" t="s">
        <v>132</v>
      </c>
      <c r="AM730" s="1" t="s">
        <v>14722</v>
      </c>
      <c r="AN730" s="1" t="s">
        <v>14722</v>
      </c>
    </row>
    <row r="731" ht="15.75" customHeight="1">
      <c r="A731" s="1" t="s">
        <v>38</v>
      </c>
      <c r="B731" s="1" t="s">
        <v>14723</v>
      </c>
      <c r="C731" s="1" t="s">
        <v>14724</v>
      </c>
      <c r="D731" s="1" t="s">
        <v>132</v>
      </c>
      <c r="E731" s="1" t="s">
        <v>14725</v>
      </c>
      <c r="F731" s="1" t="s">
        <v>132</v>
      </c>
      <c r="G731" s="1" t="s">
        <v>132</v>
      </c>
      <c r="H731" s="1" t="s">
        <v>132</v>
      </c>
      <c r="I731" s="1" t="s">
        <v>14726</v>
      </c>
      <c r="J731" s="1" t="s">
        <v>132</v>
      </c>
      <c r="K731" s="1" t="s">
        <v>14727</v>
      </c>
      <c r="L731" s="1" t="s">
        <v>132</v>
      </c>
      <c r="M731" s="1" t="s">
        <v>132</v>
      </c>
      <c r="N731" s="1" t="s">
        <v>14728</v>
      </c>
      <c r="O731" s="1" t="s">
        <v>132</v>
      </c>
      <c r="P731" s="1" t="s">
        <v>14729</v>
      </c>
      <c r="Q731" s="1" t="s">
        <v>132</v>
      </c>
      <c r="R731" s="1" t="s">
        <v>132</v>
      </c>
      <c r="S731" s="1" t="s">
        <v>14730</v>
      </c>
      <c r="T731" s="1" t="s">
        <v>132</v>
      </c>
      <c r="U731" s="1" t="s">
        <v>132</v>
      </c>
      <c r="V731" s="1" t="s">
        <v>132</v>
      </c>
      <c r="W731" s="1" t="s">
        <v>132</v>
      </c>
      <c r="X731" s="1" t="s">
        <v>14731</v>
      </c>
      <c r="Y731" s="1" t="s">
        <v>132</v>
      </c>
      <c r="Z731" s="1" t="s">
        <v>14732</v>
      </c>
      <c r="AA731" s="1" t="s">
        <v>132</v>
      </c>
      <c r="AB731" s="1" t="s">
        <v>132</v>
      </c>
      <c r="AC731" s="1" t="s">
        <v>132</v>
      </c>
      <c r="AD731" s="1" t="s">
        <v>132</v>
      </c>
      <c r="AE731" s="1" t="s">
        <v>132</v>
      </c>
      <c r="AF731" s="1" t="s">
        <v>132</v>
      </c>
      <c r="AG731" s="1" t="s">
        <v>132</v>
      </c>
      <c r="AH731" s="1" t="s">
        <v>132</v>
      </c>
      <c r="AI731" s="1" t="s">
        <v>132</v>
      </c>
      <c r="AJ731" s="1" t="s">
        <v>132</v>
      </c>
      <c r="AK731" s="1" t="s">
        <v>132</v>
      </c>
      <c r="AL731" s="1" t="s">
        <v>132</v>
      </c>
      <c r="AM731" s="1" t="s">
        <v>132</v>
      </c>
      <c r="AN731" s="1" t="s">
        <v>132</v>
      </c>
    </row>
    <row r="732" ht="15.75" customHeight="1">
      <c r="A732" s="1" t="s">
        <v>38</v>
      </c>
      <c r="B732" s="1" t="s">
        <v>14733</v>
      </c>
      <c r="C732" s="1" t="s">
        <v>14734</v>
      </c>
      <c r="D732" s="1" t="s">
        <v>132</v>
      </c>
      <c r="E732" s="1" t="s">
        <v>14735</v>
      </c>
      <c r="F732" s="1" t="s">
        <v>132</v>
      </c>
      <c r="G732" s="1" t="s">
        <v>132</v>
      </c>
      <c r="H732" s="1" t="s">
        <v>132</v>
      </c>
      <c r="I732" s="1" t="s">
        <v>14736</v>
      </c>
      <c r="J732" s="1" t="s">
        <v>132</v>
      </c>
      <c r="K732" s="1" t="s">
        <v>14737</v>
      </c>
      <c r="L732" s="1" t="s">
        <v>132</v>
      </c>
      <c r="M732" s="1" t="s">
        <v>132</v>
      </c>
      <c r="N732" s="1" t="s">
        <v>14738</v>
      </c>
      <c r="O732" s="1" t="s">
        <v>132</v>
      </c>
      <c r="P732" s="1" t="s">
        <v>14739</v>
      </c>
      <c r="Q732" s="1" t="s">
        <v>132</v>
      </c>
      <c r="R732" s="1" t="s">
        <v>132</v>
      </c>
      <c r="S732" s="1" t="s">
        <v>14740</v>
      </c>
      <c r="T732" s="1" t="s">
        <v>132</v>
      </c>
      <c r="U732" s="1" t="s">
        <v>132</v>
      </c>
      <c r="V732" s="1" t="s">
        <v>132</v>
      </c>
      <c r="W732" s="1" t="s">
        <v>132</v>
      </c>
      <c r="X732" s="1" t="s">
        <v>14741</v>
      </c>
      <c r="Y732" s="1" t="s">
        <v>132</v>
      </c>
      <c r="Z732" s="1" t="s">
        <v>14742</v>
      </c>
      <c r="AA732" s="1" t="s">
        <v>132</v>
      </c>
      <c r="AB732" s="1" t="s">
        <v>132</v>
      </c>
      <c r="AC732" s="1" t="s">
        <v>132</v>
      </c>
      <c r="AD732" s="1" t="s">
        <v>132</v>
      </c>
      <c r="AE732" s="1" t="s">
        <v>132</v>
      </c>
      <c r="AF732" s="1" t="s">
        <v>132</v>
      </c>
      <c r="AG732" s="1" t="s">
        <v>132</v>
      </c>
      <c r="AH732" s="1" t="s">
        <v>132</v>
      </c>
      <c r="AI732" s="1" t="s">
        <v>132</v>
      </c>
      <c r="AJ732" s="1" t="s">
        <v>132</v>
      </c>
      <c r="AK732" s="1" t="s">
        <v>132</v>
      </c>
      <c r="AL732" s="1" t="s">
        <v>132</v>
      </c>
      <c r="AM732" s="1" t="s">
        <v>132</v>
      </c>
      <c r="AN732" s="1" t="s">
        <v>132</v>
      </c>
    </row>
    <row r="733" ht="15.75" customHeight="1">
      <c r="A733" s="1" t="s">
        <v>38</v>
      </c>
      <c r="B733" s="1" t="s">
        <v>14743</v>
      </c>
      <c r="C733" s="1" t="s">
        <v>14744</v>
      </c>
      <c r="D733" s="1" t="s">
        <v>132</v>
      </c>
      <c r="E733" s="1" t="s">
        <v>14745</v>
      </c>
      <c r="F733" s="1" t="s">
        <v>132</v>
      </c>
      <c r="G733" s="1" t="s">
        <v>132</v>
      </c>
      <c r="H733" s="1" t="s">
        <v>132</v>
      </c>
      <c r="I733" s="1" t="s">
        <v>14746</v>
      </c>
      <c r="J733" s="1" t="s">
        <v>132</v>
      </c>
      <c r="K733" s="1" t="s">
        <v>14747</v>
      </c>
      <c r="L733" s="1" t="s">
        <v>132</v>
      </c>
      <c r="M733" s="1" t="s">
        <v>132</v>
      </c>
      <c r="N733" s="1" t="s">
        <v>14747</v>
      </c>
      <c r="O733" s="1" t="s">
        <v>132</v>
      </c>
      <c r="P733" s="1" t="s">
        <v>132</v>
      </c>
      <c r="Q733" s="1" t="s">
        <v>132</v>
      </c>
      <c r="R733" s="1" t="s">
        <v>132</v>
      </c>
      <c r="S733" s="1" t="s">
        <v>14748</v>
      </c>
      <c r="T733" s="1" t="s">
        <v>132</v>
      </c>
      <c r="U733" s="1" t="s">
        <v>132</v>
      </c>
      <c r="V733" s="1" t="s">
        <v>132</v>
      </c>
      <c r="W733" s="1" t="s">
        <v>132</v>
      </c>
      <c r="X733" s="1" t="s">
        <v>14746</v>
      </c>
      <c r="Y733" s="1" t="s">
        <v>132</v>
      </c>
      <c r="Z733" s="1" t="s">
        <v>14749</v>
      </c>
      <c r="AA733" s="1" t="s">
        <v>132</v>
      </c>
      <c r="AB733" s="1" t="s">
        <v>132</v>
      </c>
      <c r="AC733" s="1" t="s">
        <v>132</v>
      </c>
      <c r="AD733" s="1" t="s">
        <v>132</v>
      </c>
      <c r="AE733" s="1" t="s">
        <v>132</v>
      </c>
      <c r="AF733" s="1" t="s">
        <v>132</v>
      </c>
      <c r="AG733" s="1" t="s">
        <v>132</v>
      </c>
      <c r="AH733" s="1" t="s">
        <v>132</v>
      </c>
      <c r="AI733" s="1" t="s">
        <v>132</v>
      </c>
      <c r="AJ733" s="1" t="s">
        <v>132</v>
      </c>
      <c r="AK733" s="1" t="s">
        <v>132</v>
      </c>
      <c r="AL733" s="1" t="s">
        <v>132</v>
      </c>
      <c r="AM733" s="1" t="s">
        <v>132</v>
      </c>
      <c r="AN733" s="1" t="s">
        <v>132</v>
      </c>
    </row>
    <row r="734" ht="15.75" customHeight="1">
      <c r="A734" s="1" t="s">
        <v>38</v>
      </c>
      <c r="B734" s="1" t="s">
        <v>14751</v>
      </c>
      <c r="C734" s="1" t="s">
        <v>14752</v>
      </c>
      <c r="D734" s="8" t="s">
        <v>14753</v>
      </c>
      <c r="E734" s="1" t="s">
        <v>14754</v>
      </c>
      <c r="F734" s="1" t="s">
        <v>14755</v>
      </c>
      <c r="G734" s="1" t="s">
        <v>132</v>
      </c>
      <c r="H734" s="1" t="s">
        <v>132</v>
      </c>
      <c r="I734" s="1" t="s">
        <v>14756</v>
      </c>
      <c r="J734" s="1" t="s">
        <v>132</v>
      </c>
      <c r="K734" s="1" t="s">
        <v>14757</v>
      </c>
      <c r="L734" s="1" t="s">
        <v>132</v>
      </c>
      <c r="M734" s="1" t="s">
        <v>14758</v>
      </c>
      <c r="N734" s="1" t="s">
        <v>14759</v>
      </c>
      <c r="O734" s="1" t="s">
        <v>132</v>
      </c>
      <c r="P734" s="1" t="s">
        <v>14760</v>
      </c>
      <c r="Q734" s="1" t="s">
        <v>132</v>
      </c>
      <c r="R734" s="1" t="s">
        <v>132</v>
      </c>
      <c r="S734" s="1" t="s">
        <v>14761</v>
      </c>
      <c r="T734" s="1" t="s">
        <v>132</v>
      </c>
      <c r="U734" s="1" t="s">
        <v>14762</v>
      </c>
      <c r="V734" s="1" t="s">
        <v>132</v>
      </c>
      <c r="W734" s="1" t="s">
        <v>132</v>
      </c>
      <c r="X734" s="1" t="s">
        <v>14763</v>
      </c>
      <c r="Y734" s="1" t="s">
        <v>132</v>
      </c>
      <c r="Z734" s="1" t="s">
        <v>14764</v>
      </c>
      <c r="AA734" s="1" t="s">
        <v>132</v>
      </c>
      <c r="AB734" s="1" t="s">
        <v>132</v>
      </c>
      <c r="AC734" s="1" t="s">
        <v>14765</v>
      </c>
      <c r="AD734" s="1" t="s">
        <v>132</v>
      </c>
      <c r="AE734" s="1" t="s">
        <v>132</v>
      </c>
      <c r="AF734" s="1" t="s">
        <v>14766</v>
      </c>
      <c r="AG734" s="1" t="s">
        <v>132</v>
      </c>
      <c r="AH734" s="1" t="s">
        <v>132</v>
      </c>
      <c r="AI734" s="1" t="s">
        <v>132</v>
      </c>
      <c r="AJ734" s="1" t="s">
        <v>14767</v>
      </c>
      <c r="AK734" s="1" t="s">
        <v>132</v>
      </c>
      <c r="AL734" s="1" t="s">
        <v>132</v>
      </c>
      <c r="AM734" s="1" t="s">
        <v>132</v>
      </c>
      <c r="AN734" s="1" t="s">
        <v>132</v>
      </c>
    </row>
    <row r="735" ht="15.75" customHeight="1">
      <c r="A735" s="1" t="s">
        <v>127</v>
      </c>
      <c r="B735" s="1" t="s">
        <v>14768</v>
      </c>
      <c r="C735" s="1" t="s">
        <v>14769</v>
      </c>
      <c r="D735" s="8" t="s">
        <v>14770</v>
      </c>
      <c r="E735" s="1" t="s">
        <v>14771</v>
      </c>
      <c r="F735" s="1" t="s">
        <v>132</v>
      </c>
      <c r="G735" s="1" t="s">
        <v>14772</v>
      </c>
      <c r="H735" s="1" t="s">
        <v>14773</v>
      </c>
      <c r="I735" s="1" t="s">
        <v>374</v>
      </c>
      <c r="J735" s="1" t="s">
        <v>14774</v>
      </c>
      <c r="K735" s="1" t="s">
        <v>14775</v>
      </c>
      <c r="L735" s="1" t="s">
        <v>14776</v>
      </c>
      <c r="M735" s="1" t="s">
        <v>14777</v>
      </c>
      <c r="N735" s="1" t="s">
        <v>132</v>
      </c>
      <c r="O735" s="1" t="s">
        <v>14778</v>
      </c>
      <c r="P735" s="1" t="s">
        <v>14779</v>
      </c>
      <c r="Q735" s="1" t="s">
        <v>132</v>
      </c>
      <c r="R735" s="1" t="s">
        <v>14780</v>
      </c>
      <c r="S735" s="1" t="s">
        <v>14781</v>
      </c>
      <c r="T735" s="8" t="s">
        <v>14782</v>
      </c>
      <c r="U735" s="1" t="s">
        <v>384</v>
      </c>
      <c r="V735" s="1" t="s">
        <v>14783</v>
      </c>
      <c r="W735" s="1" t="s">
        <v>14780</v>
      </c>
      <c r="X735" s="1" t="s">
        <v>14784</v>
      </c>
      <c r="Y735" s="1" t="s">
        <v>14773</v>
      </c>
      <c r="Z735" s="1" t="s">
        <v>389</v>
      </c>
      <c r="AA735" s="1" t="s">
        <v>390</v>
      </c>
      <c r="AB735" s="1" t="s">
        <v>389</v>
      </c>
      <c r="AC735" s="1" t="s">
        <v>14785</v>
      </c>
      <c r="AD735" s="1" t="s">
        <v>14772</v>
      </c>
      <c r="AE735" s="1" t="s">
        <v>14786</v>
      </c>
      <c r="AF735" s="1" t="s">
        <v>395</v>
      </c>
      <c r="AG735" s="1" t="s">
        <v>14773</v>
      </c>
      <c r="AH735" s="1" t="s">
        <v>14787</v>
      </c>
      <c r="AI735" s="1" t="s">
        <v>14773</v>
      </c>
      <c r="AJ735" s="1" t="s">
        <v>132</v>
      </c>
      <c r="AK735" s="1" t="s">
        <v>14788</v>
      </c>
      <c r="AL735" s="1" t="s">
        <v>384</v>
      </c>
      <c r="AM735" s="1" t="s">
        <v>400</v>
      </c>
      <c r="AN735" s="1" t="s">
        <v>400</v>
      </c>
    </row>
    <row r="736" ht="15.75" customHeight="1">
      <c r="A736" s="1" t="s">
        <v>38</v>
      </c>
      <c r="B736" s="1" t="s">
        <v>14789</v>
      </c>
      <c r="C736" s="1" t="s">
        <v>14790</v>
      </c>
      <c r="D736" s="1" t="s">
        <v>132</v>
      </c>
      <c r="E736" s="1" t="s">
        <v>132</v>
      </c>
      <c r="F736" s="1" t="s">
        <v>132</v>
      </c>
      <c r="G736" s="1" t="s">
        <v>132</v>
      </c>
      <c r="H736" s="1" t="s">
        <v>132</v>
      </c>
      <c r="I736" s="1" t="s">
        <v>14791</v>
      </c>
      <c r="J736" s="1" t="s">
        <v>132</v>
      </c>
      <c r="K736" s="1" t="s">
        <v>14790</v>
      </c>
      <c r="L736" s="1" t="s">
        <v>132</v>
      </c>
      <c r="M736" s="1" t="s">
        <v>14792</v>
      </c>
      <c r="N736" s="1" t="s">
        <v>132</v>
      </c>
      <c r="O736" s="1" t="s">
        <v>132</v>
      </c>
      <c r="P736" s="1" t="s">
        <v>14790</v>
      </c>
      <c r="Q736" s="1" t="s">
        <v>132</v>
      </c>
      <c r="R736" s="1" t="s">
        <v>132</v>
      </c>
      <c r="S736" s="1" t="s">
        <v>132</v>
      </c>
      <c r="T736" s="1" t="s">
        <v>132</v>
      </c>
      <c r="U736" s="1" t="s">
        <v>132</v>
      </c>
      <c r="V736" s="1" t="s">
        <v>132</v>
      </c>
      <c r="W736" s="1" t="s">
        <v>132</v>
      </c>
      <c r="X736" s="1" t="s">
        <v>132</v>
      </c>
      <c r="Y736" s="1" t="s">
        <v>132</v>
      </c>
      <c r="Z736" s="1" t="s">
        <v>132</v>
      </c>
      <c r="AA736" s="1" t="s">
        <v>132</v>
      </c>
      <c r="AB736" s="1" t="s">
        <v>132</v>
      </c>
      <c r="AC736" s="1" t="s">
        <v>14793</v>
      </c>
      <c r="AD736" s="1" t="s">
        <v>132</v>
      </c>
      <c r="AE736" s="1" t="s">
        <v>132</v>
      </c>
      <c r="AF736" s="1" t="s">
        <v>14790</v>
      </c>
      <c r="AG736" s="1" t="s">
        <v>132</v>
      </c>
      <c r="AH736" s="1" t="s">
        <v>132</v>
      </c>
      <c r="AI736" s="1" t="s">
        <v>132</v>
      </c>
      <c r="AJ736" s="1" t="s">
        <v>132</v>
      </c>
      <c r="AK736" s="1" t="s">
        <v>132</v>
      </c>
      <c r="AL736" s="1" t="s">
        <v>132</v>
      </c>
      <c r="AM736" s="1" t="s">
        <v>132</v>
      </c>
      <c r="AN736" s="1" t="s">
        <v>132</v>
      </c>
    </row>
    <row r="737" ht="15.75" customHeight="1">
      <c r="A737" s="1" t="s">
        <v>38</v>
      </c>
      <c r="B737" s="1" t="s">
        <v>14794</v>
      </c>
      <c r="C737" s="1" t="s">
        <v>14795</v>
      </c>
      <c r="D737" s="8" t="s">
        <v>14796</v>
      </c>
      <c r="E737" s="1" t="s">
        <v>14795</v>
      </c>
      <c r="F737" s="1" t="s">
        <v>14797</v>
      </c>
      <c r="G737" s="1" t="s">
        <v>132</v>
      </c>
      <c r="H737" s="1" t="s">
        <v>132</v>
      </c>
      <c r="I737" s="1" t="s">
        <v>14795</v>
      </c>
      <c r="J737" s="1" t="s">
        <v>132</v>
      </c>
      <c r="K737" s="1" t="s">
        <v>14795</v>
      </c>
      <c r="L737" s="1" t="s">
        <v>132</v>
      </c>
      <c r="M737" s="1" t="s">
        <v>14795</v>
      </c>
      <c r="N737" s="1" t="s">
        <v>14795</v>
      </c>
      <c r="O737" s="1" t="s">
        <v>132</v>
      </c>
      <c r="P737" s="1" t="s">
        <v>14798</v>
      </c>
      <c r="Q737" s="1" t="s">
        <v>14799</v>
      </c>
      <c r="R737" s="1" t="s">
        <v>132</v>
      </c>
      <c r="S737" s="1" t="s">
        <v>14795</v>
      </c>
      <c r="T737" s="1" t="s">
        <v>132</v>
      </c>
      <c r="U737" s="1" t="s">
        <v>14795</v>
      </c>
      <c r="V737" s="1" t="s">
        <v>14795</v>
      </c>
      <c r="W737" s="1" t="s">
        <v>132</v>
      </c>
      <c r="X737" s="1" t="s">
        <v>14795</v>
      </c>
      <c r="Y737" s="1" t="s">
        <v>132</v>
      </c>
      <c r="Z737" s="1" t="s">
        <v>14795</v>
      </c>
      <c r="AA737" s="1" t="s">
        <v>14795</v>
      </c>
      <c r="AB737" s="1" t="s">
        <v>132</v>
      </c>
      <c r="AC737" s="1" t="s">
        <v>14795</v>
      </c>
      <c r="AD737" s="1" t="s">
        <v>14800</v>
      </c>
      <c r="AE737" s="1" t="s">
        <v>132</v>
      </c>
      <c r="AF737" s="1" t="s">
        <v>14801</v>
      </c>
      <c r="AG737" s="1" t="s">
        <v>14795</v>
      </c>
      <c r="AH737" s="1" t="s">
        <v>132</v>
      </c>
      <c r="AI737" s="1" t="s">
        <v>132</v>
      </c>
      <c r="AJ737" s="1" t="s">
        <v>14802</v>
      </c>
      <c r="AK737" s="1" t="s">
        <v>14795</v>
      </c>
      <c r="AL737" s="1" t="s">
        <v>132</v>
      </c>
      <c r="AM737" s="1" t="s">
        <v>14795</v>
      </c>
      <c r="AN737" s="1" t="s">
        <v>14795</v>
      </c>
    </row>
    <row r="738" ht="15.75" customHeight="1">
      <c r="A738" s="1" t="s">
        <v>127</v>
      </c>
      <c r="B738" s="1" t="s">
        <v>14803</v>
      </c>
      <c r="C738" s="1" t="s">
        <v>3428</v>
      </c>
      <c r="D738" s="8" t="s">
        <v>3429</v>
      </c>
      <c r="E738" s="1" t="s">
        <v>3430</v>
      </c>
      <c r="F738" s="1" t="s">
        <v>132</v>
      </c>
      <c r="G738" s="1" t="s">
        <v>3431</v>
      </c>
      <c r="H738" s="1" t="s">
        <v>3432</v>
      </c>
      <c r="I738" s="1" t="s">
        <v>3433</v>
      </c>
      <c r="J738" s="1" t="s">
        <v>3434</v>
      </c>
      <c r="K738" s="1" t="s">
        <v>3435</v>
      </c>
      <c r="L738" s="1" t="s">
        <v>3436</v>
      </c>
      <c r="M738" s="1" t="s">
        <v>14804</v>
      </c>
      <c r="N738" s="1" t="s">
        <v>132</v>
      </c>
      <c r="O738" s="1" t="s">
        <v>3438</v>
      </c>
      <c r="P738" s="1" t="s">
        <v>3439</v>
      </c>
      <c r="Q738" s="1" t="s">
        <v>132</v>
      </c>
      <c r="R738" s="1" t="s">
        <v>3440</v>
      </c>
      <c r="S738" s="1" t="s">
        <v>3441</v>
      </c>
      <c r="T738" s="8" t="s">
        <v>3442</v>
      </c>
      <c r="U738" s="1" t="s">
        <v>3443</v>
      </c>
      <c r="V738" s="1" t="s">
        <v>3444</v>
      </c>
      <c r="W738" s="1" t="s">
        <v>3440</v>
      </c>
      <c r="X738" s="1" t="s">
        <v>3445</v>
      </c>
      <c r="Y738" s="1" t="s">
        <v>3446</v>
      </c>
      <c r="Z738" s="1" t="s">
        <v>3447</v>
      </c>
      <c r="AA738" s="1" t="s">
        <v>3448</v>
      </c>
      <c r="AB738" s="1" t="s">
        <v>3449</v>
      </c>
      <c r="AC738" s="1" t="s">
        <v>3450</v>
      </c>
      <c r="AD738" s="1" t="s">
        <v>3451</v>
      </c>
      <c r="AE738" s="1" t="s">
        <v>3431</v>
      </c>
      <c r="AF738" s="1" t="s">
        <v>3452</v>
      </c>
      <c r="AG738" s="1" t="s">
        <v>3432</v>
      </c>
      <c r="AH738" s="1" t="s">
        <v>3453</v>
      </c>
      <c r="AI738" s="1" t="s">
        <v>14805</v>
      </c>
      <c r="AJ738" s="1" t="s">
        <v>132</v>
      </c>
      <c r="AK738" s="1" t="s">
        <v>3455</v>
      </c>
      <c r="AL738" s="1" t="s">
        <v>3456</v>
      </c>
      <c r="AM738" s="1" t="s">
        <v>3457</v>
      </c>
      <c r="AN738" s="1" t="s">
        <v>3457</v>
      </c>
    </row>
    <row r="739" ht="15.75" customHeight="1">
      <c r="A739" s="1" t="s">
        <v>127</v>
      </c>
      <c r="B739" s="1" t="s">
        <v>14806</v>
      </c>
      <c r="C739" s="1" t="s">
        <v>14807</v>
      </c>
      <c r="D739" s="8" t="s">
        <v>14808</v>
      </c>
      <c r="E739" s="1" t="s">
        <v>14809</v>
      </c>
      <c r="F739" s="1" t="s">
        <v>132</v>
      </c>
      <c r="G739" s="1" t="s">
        <v>14810</v>
      </c>
      <c r="H739" s="1" t="s">
        <v>14811</v>
      </c>
      <c r="I739" s="1" t="s">
        <v>14807</v>
      </c>
      <c r="J739" s="1" t="s">
        <v>14812</v>
      </c>
      <c r="K739" s="1" t="s">
        <v>14813</v>
      </c>
      <c r="L739" s="1" t="s">
        <v>14814</v>
      </c>
      <c r="M739" s="1" t="s">
        <v>14815</v>
      </c>
      <c r="N739" s="1" t="s">
        <v>132</v>
      </c>
      <c r="O739" s="1" t="s">
        <v>14816</v>
      </c>
      <c r="P739" s="1" t="s">
        <v>14807</v>
      </c>
      <c r="Q739" s="1" t="s">
        <v>132</v>
      </c>
      <c r="R739" s="1" t="s">
        <v>14817</v>
      </c>
      <c r="S739" s="1" t="s">
        <v>14818</v>
      </c>
      <c r="T739" s="8" t="s">
        <v>14819</v>
      </c>
      <c r="U739" s="1" t="s">
        <v>14820</v>
      </c>
      <c r="V739" s="1" t="s">
        <v>14821</v>
      </c>
      <c r="W739" s="1" t="s">
        <v>14817</v>
      </c>
      <c r="X739" s="1" t="s">
        <v>14822</v>
      </c>
      <c r="Y739" s="1" t="s">
        <v>14823</v>
      </c>
      <c r="Z739" s="1" t="s">
        <v>14824</v>
      </c>
      <c r="AA739" s="1" t="s">
        <v>14825</v>
      </c>
      <c r="AB739" s="1" t="s">
        <v>14826</v>
      </c>
      <c r="AC739" s="1" t="s">
        <v>14827</v>
      </c>
      <c r="AD739" s="1" t="s">
        <v>14828</v>
      </c>
      <c r="AE739" s="1" t="s">
        <v>14829</v>
      </c>
      <c r="AF739" s="1" t="s">
        <v>14830</v>
      </c>
      <c r="AG739" s="1" t="s">
        <v>14831</v>
      </c>
      <c r="AH739" s="1" t="s">
        <v>14832</v>
      </c>
      <c r="AI739" s="1" t="s">
        <v>14833</v>
      </c>
      <c r="AJ739" s="1" t="s">
        <v>132</v>
      </c>
      <c r="AK739" s="1" t="s">
        <v>14834</v>
      </c>
      <c r="AL739" s="1" t="s">
        <v>14835</v>
      </c>
      <c r="AM739" s="1" t="s">
        <v>132</v>
      </c>
      <c r="AN739" s="1" t="s">
        <v>132</v>
      </c>
    </row>
    <row r="740" ht="15.75" customHeight="1">
      <c r="A740" s="1" t="s">
        <v>38</v>
      </c>
      <c r="B740" s="1" t="s">
        <v>14836</v>
      </c>
      <c r="C740" s="1" t="s">
        <v>14837</v>
      </c>
      <c r="D740" s="8" t="s">
        <v>14838</v>
      </c>
      <c r="E740" s="1" t="s">
        <v>14839</v>
      </c>
      <c r="F740" s="1" t="s">
        <v>14840</v>
      </c>
      <c r="G740" s="1" t="s">
        <v>132</v>
      </c>
      <c r="H740" s="1" t="s">
        <v>132</v>
      </c>
      <c r="I740" s="1" t="s">
        <v>14841</v>
      </c>
      <c r="J740" s="1" t="s">
        <v>132</v>
      </c>
      <c r="K740" s="1" t="s">
        <v>14842</v>
      </c>
      <c r="L740" s="1" t="s">
        <v>132</v>
      </c>
      <c r="M740" s="1" t="s">
        <v>14843</v>
      </c>
      <c r="N740" s="1" t="s">
        <v>14842</v>
      </c>
      <c r="O740" s="1" t="s">
        <v>132</v>
      </c>
      <c r="P740" s="1" t="s">
        <v>14844</v>
      </c>
      <c r="Q740" s="1" t="s">
        <v>14845</v>
      </c>
      <c r="R740" s="1" t="s">
        <v>132</v>
      </c>
      <c r="S740" s="1" t="s">
        <v>14846</v>
      </c>
      <c r="T740" s="1" t="s">
        <v>132</v>
      </c>
      <c r="U740" s="1" t="s">
        <v>14847</v>
      </c>
      <c r="V740" s="1" t="s">
        <v>14848</v>
      </c>
      <c r="W740" s="1" t="s">
        <v>132</v>
      </c>
      <c r="X740" s="1" t="s">
        <v>14849</v>
      </c>
      <c r="Y740" s="1" t="s">
        <v>132</v>
      </c>
      <c r="Z740" s="1" t="s">
        <v>14850</v>
      </c>
      <c r="AA740" s="1" t="s">
        <v>14851</v>
      </c>
      <c r="AB740" s="1" t="s">
        <v>132</v>
      </c>
      <c r="AC740" s="1" t="s">
        <v>14852</v>
      </c>
      <c r="AD740" s="1" t="s">
        <v>14853</v>
      </c>
      <c r="AE740" s="1" t="s">
        <v>132</v>
      </c>
      <c r="AF740" s="1" t="s">
        <v>14854</v>
      </c>
      <c r="AG740" s="1" t="s">
        <v>14855</v>
      </c>
      <c r="AH740" s="1" t="s">
        <v>132</v>
      </c>
      <c r="AI740" s="1" t="s">
        <v>132</v>
      </c>
      <c r="AJ740" s="1" t="s">
        <v>14856</v>
      </c>
      <c r="AK740" s="1" t="s">
        <v>14857</v>
      </c>
      <c r="AL740" s="1" t="s">
        <v>132</v>
      </c>
      <c r="AM740" s="1" t="s">
        <v>14858</v>
      </c>
      <c r="AN740" s="1" t="s">
        <v>14858</v>
      </c>
    </row>
    <row r="741" ht="15.75" customHeight="1">
      <c r="A741" s="1" t="s">
        <v>38</v>
      </c>
      <c r="B741" s="1" t="s">
        <v>14859</v>
      </c>
      <c r="C741" s="1" t="s">
        <v>14860</v>
      </c>
      <c r="D741" s="1" t="s">
        <v>132</v>
      </c>
      <c r="E741" s="1" t="s">
        <v>14861</v>
      </c>
      <c r="F741" s="1" t="s">
        <v>132</v>
      </c>
      <c r="G741" s="1" t="s">
        <v>132</v>
      </c>
      <c r="H741" s="1" t="s">
        <v>132</v>
      </c>
      <c r="I741" s="1" t="s">
        <v>14862</v>
      </c>
      <c r="J741" s="1" t="s">
        <v>132</v>
      </c>
      <c r="K741" s="1" t="s">
        <v>14863</v>
      </c>
      <c r="L741" s="1" t="s">
        <v>132</v>
      </c>
      <c r="M741" s="1" t="s">
        <v>132</v>
      </c>
      <c r="N741" s="1" t="s">
        <v>14864</v>
      </c>
      <c r="O741" s="1" t="s">
        <v>132</v>
      </c>
      <c r="P741" s="1" t="s">
        <v>14865</v>
      </c>
      <c r="Q741" s="1" t="s">
        <v>132</v>
      </c>
      <c r="R741" s="1" t="s">
        <v>132</v>
      </c>
      <c r="S741" s="1" t="s">
        <v>14866</v>
      </c>
      <c r="T741" s="1" t="s">
        <v>132</v>
      </c>
      <c r="U741" s="1" t="s">
        <v>132</v>
      </c>
      <c r="V741" s="1" t="s">
        <v>132</v>
      </c>
      <c r="W741" s="1" t="s">
        <v>132</v>
      </c>
      <c r="X741" s="1" t="s">
        <v>14867</v>
      </c>
      <c r="Y741" s="1" t="s">
        <v>132</v>
      </c>
      <c r="Z741" s="1" t="s">
        <v>14868</v>
      </c>
      <c r="AA741" s="1" t="s">
        <v>132</v>
      </c>
      <c r="AB741" s="1" t="s">
        <v>132</v>
      </c>
      <c r="AC741" s="1" t="s">
        <v>132</v>
      </c>
      <c r="AD741" s="1" t="s">
        <v>132</v>
      </c>
      <c r="AE741" s="1" t="s">
        <v>132</v>
      </c>
      <c r="AF741" s="1" t="s">
        <v>132</v>
      </c>
      <c r="AG741" s="1" t="s">
        <v>132</v>
      </c>
      <c r="AH741" s="1" t="s">
        <v>132</v>
      </c>
      <c r="AI741" s="1" t="s">
        <v>132</v>
      </c>
      <c r="AJ741" s="1" t="s">
        <v>132</v>
      </c>
      <c r="AK741" s="1" t="s">
        <v>132</v>
      </c>
      <c r="AL741" s="1" t="s">
        <v>132</v>
      </c>
      <c r="AM741" s="1" t="s">
        <v>132</v>
      </c>
      <c r="AN741" s="1" t="s">
        <v>132</v>
      </c>
    </row>
    <row r="742" ht="15.75" customHeight="1">
      <c r="A742" s="1" t="s">
        <v>127</v>
      </c>
      <c r="B742" s="1" t="s">
        <v>14869</v>
      </c>
      <c r="C742" s="1" t="s">
        <v>14870</v>
      </c>
      <c r="D742" s="8" t="s">
        <v>14871</v>
      </c>
      <c r="E742" s="1" t="s">
        <v>14872</v>
      </c>
      <c r="F742" s="1" t="s">
        <v>132</v>
      </c>
      <c r="G742" s="1" t="s">
        <v>14873</v>
      </c>
      <c r="H742" s="1" t="s">
        <v>14874</v>
      </c>
      <c r="I742" s="1" t="s">
        <v>14875</v>
      </c>
      <c r="J742" s="1" t="s">
        <v>14876</v>
      </c>
      <c r="K742" s="1" t="s">
        <v>14877</v>
      </c>
      <c r="L742" s="1" t="s">
        <v>14878</v>
      </c>
      <c r="M742" s="1" t="s">
        <v>14879</v>
      </c>
      <c r="N742" s="1" t="s">
        <v>132</v>
      </c>
      <c r="O742" s="1" t="s">
        <v>14880</v>
      </c>
      <c r="P742" s="1" t="s">
        <v>14881</v>
      </c>
      <c r="Q742" s="1" t="s">
        <v>132</v>
      </c>
      <c r="R742" s="1" t="s">
        <v>14882</v>
      </c>
      <c r="S742" s="1" t="s">
        <v>14883</v>
      </c>
      <c r="T742" s="8" t="s">
        <v>14884</v>
      </c>
      <c r="U742" s="1" t="s">
        <v>14885</v>
      </c>
      <c r="V742" s="1" t="s">
        <v>14886</v>
      </c>
      <c r="W742" s="1" t="s">
        <v>14882</v>
      </c>
      <c r="X742" s="1" t="s">
        <v>14887</v>
      </c>
      <c r="Y742" s="1" t="s">
        <v>14874</v>
      </c>
      <c r="Z742" s="1" t="s">
        <v>14888</v>
      </c>
      <c r="AA742" s="1" t="s">
        <v>14889</v>
      </c>
      <c r="AB742" s="1" t="s">
        <v>14890</v>
      </c>
      <c r="AC742" s="1" t="s">
        <v>14891</v>
      </c>
      <c r="AD742" s="1" t="s">
        <v>14892</v>
      </c>
      <c r="AE742" s="1" t="s">
        <v>14893</v>
      </c>
      <c r="AF742" s="1" t="s">
        <v>14894</v>
      </c>
      <c r="AG742" s="1" t="s">
        <v>14895</v>
      </c>
      <c r="AH742" s="1" t="s">
        <v>14896</v>
      </c>
      <c r="AI742" s="1" t="s">
        <v>14897</v>
      </c>
      <c r="AJ742" s="1" t="s">
        <v>132</v>
      </c>
      <c r="AK742" s="1" t="s">
        <v>14898</v>
      </c>
      <c r="AL742" s="1" t="s">
        <v>14899</v>
      </c>
      <c r="AM742" s="1" t="s">
        <v>14900</v>
      </c>
      <c r="AN742" s="1" t="s">
        <v>14900</v>
      </c>
    </row>
    <row r="743" ht="15.75" customHeight="1">
      <c r="A743" s="1" t="s">
        <v>127</v>
      </c>
      <c r="B743" s="1" t="s">
        <v>14901</v>
      </c>
      <c r="C743" s="1" t="s">
        <v>14902</v>
      </c>
      <c r="D743" s="8" t="s">
        <v>14903</v>
      </c>
      <c r="E743" s="1" t="s">
        <v>14904</v>
      </c>
      <c r="F743" s="1" t="s">
        <v>132</v>
      </c>
      <c r="G743" s="1" t="s">
        <v>14905</v>
      </c>
      <c r="H743" s="1" t="s">
        <v>14906</v>
      </c>
      <c r="I743" s="1" t="s">
        <v>14907</v>
      </c>
      <c r="J743" s="1" t="s">
        <v>14908</v>
      </c>
      <c r="K743" s="1" t="s">
        <v>14909</v>
      </c>
      <c r="L743" s="1" t="s">
        <v>14910</v>
      </c>
      <c r="M743" s="1" t="s">
        <v>14902</v>
      </c>
      <c r="N743" s="1" t="s">
        <v>132</v>
      </c>
      <c r="O743" s="1" t="s">
        <v>14911</v>
      </c>
      <c r="P743" s="1" t="s">
        <v>14902</v>
      </c>
      <c r="Q743" s="1" t="s">
        <v>132</v>
      </c>
      <c r="R743" s="1" t="s">
        <v>14912</v>
      </c>
      <c r="S743" s="1" t="s">
        <v>14913</v>
      </c>
      <c r="T743" s="8" t="s">
        <v>14914</v>
      </c>
      <c r="U743" s="1" t="s">
        <v>14915</v>
      </c>
      <c r="V743" s="1" t="s">
        <v>14916</v>
      </c>
      <c r="W743" s="1" t="s">
        <v>14917</v>
      </c>
      <c r="X743" s="1" t="s">
        <v>14918</v>
      </c>
      <c r="Y743" s="1" t="s">
        <v>14919</v>
      </c>
      <c r="Z743" s="1" t="s">
        <v>14902</v>
      </c>
      <c r="AA743" s="1" t="s">
        <v>14920</v>
      </c>
      <c r="AB743" s="1" t="s">
        <v>14921</v>
      </c>
      <c r="AC743" s="1" t="s">
        <v>14922</v>
      </c>
      <c r="AD743" s="1" t="s">
        <v>14923</v>
      </c>
      <c r="AE743" s="1" t="s">
        <v>14924</v>
      </c>
      <c r="AF743" s="1" t="s">
        <v>14902</v>
      </c>
      <c r="AG743" s="1" t="s">
        <v>14925</v>
      </c>
      <c r="AH743" s="1" t="s">
        <v>14926</v>
      </c>
      <c r="AI743" s="1" t="s">
        <v>14927</v>
      </c>
      <c r="AJ743" s="1" t="s">
        <v>132</v>
      </c>
      <c r="AK743" s="1" t="s">
        <v>14928</v>
      </c>
      <c r="AL743" s="1" t="s">
        <v>14929</v>
      </c>
      <c r="AM743" s="1" t="s">
        <v>14930</v>
      </c>
      <c r="AN743" s="1" t="s">
        <v>14930</v>
      </c>
    </row>
    <row r="744" ht="15.75" customHeight="1">
      <c r="A744" s="1" t="s">
        <v>38</v>
      </c>
      <c r="B744" s="1" t="s">
        <v>14931</v>
      </c>
      <c r="C744" s="1" t="s">
        <v>14932</v>
      </c>
      <c r="D744" s="8" t="s">
        <v>14933</v>
      </c>
      <c r="E744" s="1" t="s">
        <v>14934</v>
      </c>
      <c r="F744" s="1" t="s">
        <v>14935</v>
      </c>
      <c r="G744" s="1" t="s">
        <v>132</v>
      </c>
      <c r="H744" s="1" t="s">
        <v>132</v>
      </c>
      <c r="I744" s="1" t="s">
        <v>14936</v>
      </c>
      <c r="J744" s="1" t="s">
        <v>132</v>
      </c>
      <c r="K744" s="1" t="s">
        <v>14937</v>
      </c>
      <c r="L744" s="1" t="s">
        <v>132</v>
      </c>
      <c r="M744" s="1" t="s">
        <v>14938</v>
      </c>
      <c r="N744" s="1" t="s">
        <v>14935</v>
      </c>
      <c r="O744" s="1" t="s">
        <v>132</v>
      </c>
      <c r="P744" s="1" t="s">
        <v>14939</v>
      </c>
      <c r="Q744" s="1" t="s">
        <v>132</v>
      </c>
      <c r="R744" s="1" t="s">
        <v>132</v>
      </c>
      <c r="S744" s="1" t="s">
        <v>14935</v>
      </c>
      <c r="T744" s="1" t="s">
        <v>132</v>
      </c>
      <c r="U744" s="1" t="s">
        <v>14940</v>
      </c>
      <c r="V744" s="1" t="s">
        <v>14941</v>
      </c>
      <c r="W744" s="1" t="s">
        <v>132</v>
      </c>
      <c r="X744" s="1" t="s">
        <v>14942</v>
      </c>
      <c r="Y744" s="1" t="s">
        <v>132</v>
      </c>
      <c r="Z744" s="1" t="s">
        <v>14943</v>
      </c>
      <c r="AA744" s="1" t="s">
        <v>14937</v>
      </c>
      <c r="AB744" s="1" t="s">
        <v>132</v>
      </c>
      <c r="AC744" s="1" t="s">
        <v>14944</v>
      </c>
      <c r="AD744" s="1" t="s">
        <v>132</v>
      </c>
      <c r="AE744" s="1" t="s">
        <v>132</v>
      </c>
      <c r="AF744" s="1" t="s">
        <v>14945</v>
      </c>
      <c r="AG744" s="1" t="s">
        <v>14946</v>
      </c>
      <c r="AH744" s="1" t="s">
        <v>132</v>
      </c>
      <c r="AI744" s="1" t="s">
        <v>132</v>
      </c>
      <c r="AJ744" s="1" t="s">
        <v>14947</v>
      </c>
      <c r="AK744" s="1" t="s">
        <v>132</v>
      </c>
      <c r="AL744" s="1" t="s">
        <v>132</v>
      </c>
      <c r="AM744" s="1" t="s">
        <v>14940</v>
      </c>
      <c r="AN744" s="1" t="s">
        <v>14940</v>
      </c>
    </row>
    <row r="745" ht="15.75" customHeight="1">
      <c r="A745" s="1" t="s">
        <v>38</v>
      </c>
      <c r="B745" s="1" t="s">
        <v>14948</v>
      </c>
      <c r="C745" s="1" t="s">
        <v>14949</v>
      </c>
      <c r="D745" s="8" t="s">
        <v>14950</v>
      </c>
      <c r="E745" s="1" t="s">
        <v>14951</v>
      </c>
      <c r="F745" s="1" t="s">
        <v>14952</v>
      </c>
      <c r="G745" s="1" t="s">
        <v>132</v>
      </c>
      <c r="H745" s="1" t="s">
        <v>132</v>
      </c>
      <c r="I745" s="1" t="s">
        <v>14953</v>
      </c>
      <c r="J745" s="1" t="s">
        <v>132</v>
      </c>
      <c r="K745" s="1" t="s">
        <v>14954</v>
      </c>
      <c r="L745" s="1" t="s">
        <v>132</v>
      </c>
      <c r="M745" s="1" t="s">
        <v>14955</v>
      </c>
      <c r="N745" s="1" t="s">
        <v>14956</v>
      </c>
      <c r="O745" s="1" t="s">
        <v>132</v>
      </c>
      <c r="P745" s="1" t="s">
        <v>14957</v>
      </c>
      <c r="Q745" s="1" t="s">
        <v>14958</v>
      </c>
      <c r="R745" s="1" t="s">
        <v>132</v>
      </c>
      <c r="S745" s="1" t="s">
        <v>14959</v>
      </c>
      <c r="T745" s="1" t="s">
        <v>132</v>
      </c>
      <c r="U745" s="1" t="s">
        <v>14960</v>
      </c>
      <c r="V745" s="1" t="s">
        <v>14961</v>
      </c>
      <c r="W745" s="1" t="s">
        <v>132</v>
      </c>
      <c r="X745" s="1" t="s">
        <v>14962</v>
      </c>
      <c r="Y745" s="1" t="s">
        <v>132</v>
      </c>
      <c r="Z745" s="1" t="s">
        <v>14963</v>
      </c>
      <c r="AA745" s="1" t="s">
        <v>14964</v>
      </c>
      <c r="AB745" s="1" t="s">
        <v>132</v>
      </c>
      <c r="AC745" s="1" t="s">
        <v>14965</v>
      </c>
      <c r="AD745" s="1" t="s">
        <v>132</v>
      </c>
      <c r="AE745" s="1" t="s">
        <v>132</v>
      </c>
      <c r="AF745" s="1" t="s">
        <v>14966</v>
      </c>
      <c r="AG745" s="1" t="s">
        <v>14967</v>
      </c>
      <c r="AH745" s="1" t="s">
        <v>132</v>
      </c>
      <c r="AI745" s="1" t="s">
        <v>132</v>
      </c>
      <c r="AJ745" s="1" t="s">
        <v>14968</v>
      </c>
      <c r="AK745" s="1" t="s">
        <v>14969</v>
      </c>
      <c r="AL745" s="1" t="s">
        <v>132</v>
      </c>
      <c r="AM745" s="1" t="s">
        <v>14970</v>
      </c>
      <c r="AN745" s="1" t="s">
        <v>14970</v>
      </c>
    </row>
    <row r="746" ht="15.75" customHeight="1">
      <c r="A746" s="1" t="s">
        <v>38</v>
      </c>
      <c r="B746" s="1" t="s">
        <v>14971</v>
      </c>
      <c r="C746" s="1" t="s">
        <v>14972</v>
      </c>
      <c r="D746" s="8" t="s">
        <v>14973</v>
      </c>
      <c r="E746" s="1" t="s">
        <v>14974</v>
      </c>
      <c r="F746" s="1" t="s">
        <v>14975</v>
      </c>
      <c r="G746" s="1" t="s">
        <v>132</v>
      </c>
      <c r="H746" s="1" t="s">
        <v>132</v>
      </c>
      <c r="I746" s="1" t="s">
        <v>14976</v>
      </c>
      <c r="J746" s="1" t="s">
        <v>132</v>
      </c>
      <c r="K746" s="1" t="s">
        <v>14977</v>
      </c>
      <c r="L746" s="1" t="s">
        <v>132</v>
      </c>
      <c r="M746" s="1" t="s">
        <v>14978</v>
      </c>
      <c r="N746" s="1" t="s">
        <v>14979</v>
      </c>
      <c r="O746" s="1" t="s">
        <v>132</v>
      </c>
      <c r="P746" s="1" t="s">
        <v>14980</v>
      </c>
      <c r="Q746" s="1" t="s">
        <v>14981</v>
      </c>
      <c r="R746" s="1" t="s">
        <v>132</v>
      </c>
      <c r="S746" s="1" t="s">
        <v>14982</v>
      </c>
      <c r="T746" s="1" t="s">
        <v>132</v>
      </c>
      <c r="U746" s="1" t="s">
        <v>14983</v>
      </c>
      <c r="V746" s="1" t="s">
        <v>14984</v>
      </c>
      <c r="W746" s="1" t="s">
        <v>132</v>
      </c>
      <c r="X746" s="1" t="s">
        <v>14985</v>
      </c>
      <c r="Y746" s="1" t="s">
        <v>132</v>
      </c>
      <c r="Z746" s="1" t="s">
        <v>14986</v>
      </c>
      <c r="AA746" s="1" t="s">
        <v>14987</v>
      </c>
      <c r="AB746" s="1" t="s">
        <v>132</v>
      </c>
      <c r="AC746" s="1" t="s">
        <v>14988</v>
      </c>
      <c r="AD746" s="1" t="s">
        <v>14989</v>
      </c>
      <c r="AE746" s="1" t="s">
        <v>132</v>
      </c>
      <c r="AF746" s="1" t="s">
        <v>14990</v>
      </c>
      <c r="AG746" s="1" t="s">
        <v>14985</v>
      </c>
      <c r="AH746" s="1" t="s">
        <v>132</v>
      </c>
      <c r="AI746" s="1" t="s">
        <v>132</v>
      </c>
      <c r="AJ746" s="1" t="s">
        <v>14991</v>
      </c>
      <c r="AK746" s="1" t="s">
        <v>14992</v>
      </c>
      <c r="AL746" s="1" t="s">
        <v>132</v>
      </c>
      <c r="AM746" s="1" t="s">
        <v>14993</v>
      </c>
      <c r="AN746" s="1" t="s">
        <v>14993</v>
      </c>
    </row>
    <row r="747" ht="15.75" customHeight="1">
      <c r="A747" s="1" t="s">
        <v>38</v>
      </c>
      <c r="B747" s="1" t="s">
        <v>14994</v>
      </c>
      <c r="C747" s="1" t="s">
        <v>2484</v>
      </c>
      <c r="D747" s="1" t="s">
        <v>132</v>
      </c>
      <c r="E747" s="1" t="s">
        <v>14995</v>
      </c>
      <c r="F747" s="1" t="s">
        <v>14996</v>
      </c>
      <c r="G747" s="1" t="s">
        <v>132</v>
      </c>
      <c r="H747" s="1" t="s">
        <v>132</v>
      </c>
      <c r="I747" s="1" t="s">
        <v>2488</v>
      </c>
      <c r="J747" s="1" t="s">
        <v>132</v>
      </c>
      <c r="K747" s="1" t="s">
        <v>2490</v>
      </c>
      <c r="L747" s="1" t="s">
        <v>132</v>
      </c>
      <c r="M747" s="1" t="s">
        <v>14997</v>
      </c>
      <c r="N747" s="1" t="s">
        <v>14998</v>
      </c>
      <c r="O747" s="1" t="s">
        <v>132</v>
      </c>
      <c r="P747" s="1" t="s">
        <v>14999</v>
      </c>
      <c r="Q747" s="1" t="s">
        <v>132</v>
      </c>
      <c r="R747" s="1" t="s">
        <v>132</v>
      </c>
      <c r="S747" s="1" t="s">
        <v>2496</v>
      </c>
      <c r="T747" s="1" t="s">
        <v>132</v>
      </c>
      <c r="U747" s="1" t="s">
        <v>2498</v>
      </c>
      <c r="V747" s="1" t="s">
        <v>132</v>
      </c>
      <c r="W747" s="1" t="s">
        <v>132</v>
      </c>
      <c r="X747" s="1" t="s">
        <v>15000</v>
      </c>
      <c r="Y747" s="1" t="s">
        <v>132</v>
      </c>
      <c r="Z747" s="1" t="s">
        <v>15001</v>
      </c>
      <c r="AA747" s="1" t="s">
        <v>132</v>
      </c>
      <c r="AB747" s="1" t="s">
        <v>132</v>
      </c>
      <c r="AC747" s="1" t="s">
        <v>2505</v>
      </c>
      <c r="AD747" s="1" t="s">
        <v>132</v>
      </c>
      <c r="AE747" s="1" t="s">
        <v>132</v>
      </c>
      <c r="AF747" s="1" t="s">
        <v>132</v>
      </c>
      <c r="AG747" s="1" t="s">
        <v>132</v>
      </c>
      <c r="AH747" s="1" t="s">
        <v>132</v>
      </c>
      <c r="AI747" s="1" t="s">
        <v>132</v>
      </c>
      <c r="AJ747" s="1" t="s">
        <v>132</v>
      </c>
      <c r="AK747" s="1" t="s">
        <v>132</v>
      </c>
      <c r="AL747" s="1" t="s">
        <v>132</v>
      </c>
      <c r="AM747" s="1" t="s">
        <v>15002</v>
      </c>
      <c r="AN747" s="1" t="s">
        <v>15002</v>
      </c>
    </row>
    <row r="748" ht="15.75" customHeight="1">
      <c r="A748" s="1" t="s">
        <v>127</v>
      </c>
      <c r="B748" s="1" t="s">
        <v>15003</v>
      </c>
      <c r="C748" s="1" t="s">
        <v>15004</v>
      </c>
      <c r="D748" s="8" t="s">
        <v>15005</v>
      </c>
      <c r="E748" s="1" t="s">
        <v>15006</v>
      </c>
      <c r="F748" s="1" t="s">
        <v>132</v>
      </c>
      <c r="G748" s="1" t="s">
        <v>15007</v>
      </c>
      <c r="H748" s="1" t="s">
        <v>15008</v>
      </c>
      <c r="I748" s="1" t="s">
        <v>15009</v>
      </c>
      <c r="J748" s="1" t="s">
        <v>15010</v>
      </c>
      <c r="K748" s="1" t="s">
        <v>15011</v>
      </c>
      <c r="L748" s="1" t="s">
        <v>15012</v>
      </c>
      <c r="M748" s="1" t="s">
        <v>15013</v>
      </c>
      <c r="N748" s="1" t="s">
        <v>132</v>
      </c>
      <c r="O748" s="1" t="s">
        <v>15014</v>
      </c>
      <c r="P748" s="1" t="s">
        <v>15015</v>
      </c>
      <c r="Q748" s="1" t="s">
        <v>132</v>
      </c>
      <c r="R748" s="1" t="s">
        <v>15016</v>
      </c>
      <c r="S748" s="1" t="s">
        <v>15017</v>
      </c>
      <c r="T748" s="8" t="s">
        <v>15018</v>
      </c>
      <c r="U748" s="1" t="s">
        <v>15019</v>
      </c>
      <c r="V748" s="1" t="s">
        <v>15020</v>
      </c>
      <c r="W748" s="1" t="s">
        <v>15021</v>
      </c>
      <c r="X748" s="1" t="s">
        <v>15022</v>
      </c>
      <c r="Y748" s="1" t="s">
        <v>15023</v>
      </c>
      <c r="Z748" s="1" t="s">
        <v>15024</v>
      </c>
      <c r="AA748" s="1" t="s">
        <v>15025</v>
      </c>
      <c r="AB748" s="1" t="s">
        <v>15026</v>
      </c>
      <c r="AC748" s="1" t="s">
        <v>15027</v>
      </c>
      <c r="AD748" s="1" t="s">
        <v>15028</v>
      </c>
      <c r="AE748" s="1" t="s">
        <v>15029</v>
      </c>
      <c r="AF748" s="1" t="s">
        <v>15030</v>
      </c>
      <c r="AG748" s="1" t="s">
        <v>15031</v>
      </c>
      <c r="AH748" s="1" t="s">
        <v>15032</v>
      </c>
      <c r="AI748" s="1" t="s">
        <v>15033</v>
      </c>
      <c r="AJ748" s="1" t="s">
        <v>132</v>
      </c>
      <c r="AK748" s="1" t="s">
        <v>15034</v>
      </c>
      <c r="AL748" s="1" t="s">
        <v>15035</v>
      </c>
      <c r="AM748" s="1" t="s">
        <v>15036</v>
      </c>
      <c r="AN748" s="1" t="s">
        <v>15036</v>
      </c>
    </row>
    <row r="749" ht="15.75" customHeight="1">
      <c r="A749" s="1" t="s">
        <v>127</v>
      </c>
      <c r="B749" s="1" t="s">
        <v>15037</v>
      </c>
      <c r="C749" s="1" t="s">
        <v>15038</v>
      </c>
      <c r="D749" s="8" t="s">
        <v>15039</v>
      </c>
      <c r="E749" s="1" t="s">
        <v>15040</v>
      </c>
      <c r="F749" s="1" t="s">
        <v>132</v>
      </c>
      <c r="G749" s="1" t="s">
        <v>15041</v>
      </c>
      <c r="H749" s="1" t="s">
        <v>15042</v>
      </c>
      <c r="I749" s="1" t="s">
        <v>15043</v>
      </c>
      <c r="J749" s="1" t="s">
        <v>15044</v>
      </c>
      <c r="K749" s="1" t="s">
        <v>15045</v>
      </c>
      <c r="L749" s="1" t="s">
        <v>15046</v>
      </c>
      <c r="M749" s="1" t="s">
        <v>15047</v>
      </c>
      <c r="N749" s="1" t="s">
        <v>132</v>
      </c>
      <c r="O749" s="1" t="s">
        <v>15048</v>
      </c>
      <c r="P749" s="1" t="s">
        <v>15049</v>
      </c>
      <c r="Q749" s="1" t="s">
        <v>132</v>
      </c>
      <c r="R749" s="1" t="s">
        <v>15050</v>
      </c>
      <c r="S749" s="1" t="s">
        <v>15051</v>
      </c>
      <c r="T749" s="8" t="s">
        <v>15052</v>
      </c>
      <c r="U749" s="1" t="s">
        <v>15053</v>
      </c>
      <c r="V749" s="1" t="s">
        <v>15054</v>
      </c>
      <c r="W749" s="1" t="s">
        <v>15055</v>
      </c>
      <c r="X749" s="1" t="s">
        <v>15056</v>
      </c>
      <c r="Y749" s="1" t="s">
        <v>15057</v>
      </c>
      <c r="Z749" s="1" t="s">
        <v>15058</v>
      </c>
      <c r="AA749" s="1" t="s">
        <v>15059</v>
      </c>
      <c r="AB749" s="1" t="s">
        <v>15060</v>
      </c>
      <c r="AC749" s="1" t="s">
        <v>15061</v>
      </c>
      <c r="AD749" s="1" t="s">
        <v>15062</v>
      </c>
      <c r="AE749" s="1" t="s">
        <v>15063</v>
      </c>
      <c r="AF749" s="1" t="s">
        <v>15038</v>
      </c>
      <c r="AG749" s="1" t="s">
        <v>15064</v>
      </c>
      <c r="AH749" s="1" t="s">
        <v>15065</v>
      </c>
      <c r="AI749" s="1" t="s">
        <v>15066</v>
      </c>
      <c r="AJ749" s="1" t="s">
        <v>132</v>
      </c>
      <c r="AK749" s="1" t="s">
        <v>15067</v>
      </c>
      <c r="AL749" s="1" t="s">
        <v>15068</v>
      </c>
      <c r="AM749" s="1" t="s">
        <v>132</v>
      </c>
      <c r="AN749" s="1" t="s">
        <v>132</v>
      </c>
    </row>
    <row r="750" ht="15.75" customHeight="1">
      <c r="A750" s="1" t="s">
        <v>38</v>
      </c>
      <c r="B750" s="1" t="s">
        <v>15069</v>
      </c>
      <c r="C750" s="1" t="s">
        <v>15070</v>
      </c>
      <c r="D750" s="8" t="s">
        <v>15071</v>
      </c>
      <c r="E750" s="1" t="s">
        <v>15072</v>
      </c>
      <c r="F750" s="1" t="s">
        <v>15073</v>
      </c>
      <c r="G750" s="1" t="s">
        <v>132</v>
      </c>
      <c r="H750" s="1" t="s">
        <v>132</v>
      </c>
      <c r="I750" s="1" t="s">
        <v>15074</v>
      </c>
      <c r="J750" s="1" t="s">
        <v>132</v>
      </c>
      <c r="K750" s="1" t="s">
        <v>15075</v>
      </c>
      <c r="L750" s="1" t="s">
        <v>132</v>
      </c>
      <c r="M750" s="1" t="s">
        <v>15076</v>
      </c>
      <c r="N750" s="1" t="s">
        <v>15077</v>
      </c>
      <c r="O750" s="1" t="s">
        <v>132</v>
      </c>
      <c r="P750" s="1" t="s">
        <v>15078</v>
      </c>
      <c r="Q750" s="1" t="s">
        <v>132</v>
      </c>
      <c r="R750" s="1" t="s">
        <v>132</v>
      </c>
      <c r="S750" s="1" t="s">
        <v>15079</v>
      </c>
      <c r="T750" s="1" t="s">
        <v>132</v>
      </c>
      <c r="U750" s="1" t="s">
        <v>15080</v>
      </c>
      <c r="V750" s="1" t="s">
        <v>15081</v>
      </c>
      <c r="W750" s="1" t="s">
        <v>132</v>
      </c>
      <c r="X750" s="1" t="s">
        <v>15082</v>
      </c>
      <c r="Y750" s="1" t="s">
        <v>132</v>
      </c>
      <c r="Z750" s="1" t="s">
        <v>15083</v>
      </c>
      <c r="AA750" s="1" t="s">
        <v>15084</v>
      </c>
      <c r="AB750" s="1" t="s">
        <v>132</v>
      </c>
      <c r="AC750" s="1" t="s">
        <v>15085</v>
      </c>
      <c r="AD750" s="1" t="s">
        <v>132</v>
      </c>
      <c r="AE750" s="1" t="s">
        <v>132</v>
      </c>
      <c r="AF750" s="1" t="s">
        <v>15086</v>
      </c>
      <c r="AG750" s="1" t="s">
        <v>15087</v>
      </c>
      <c r="AH750" s="1" t="s">
        <v>132</v>
      </c>
      <c r="AI750" s="1" t="s">
        <v>132</v>
      </c>
      <c r="AJ750" s="1" t="s">
        <v>15088</v>
      </c>
      <c r="AK750" s="1" t="s">
        <v>15089</v>
      </c>
      <c r="AL750" s="1" t="s">
        <v>132</v>
      </c>
      <c r="AM750" s="1" t="s">
        <v>15090</v>
      </c>
      <c r="AN750" s="1" t="s">
        <v>15090</v>
      </c>
    </row>
    <row r="751" ht="15.75" customHeight="1">
      <c r="A751" s="1" t="s">
        <v>38</v>
      </c>
      <c r="B751" s="1" t="s">
        <v>15091</v>
      </c>
      <c r="C751" s="1" t="s">
        <v>15092</v>
      </c>
      <c r="D751" s="1" t="s">
        <v>132</v>
      </c>
      <c r="E751" s="1" t="s">
        <v>15093</v>
      </c>
      <c r="F751" s="1" t="s">
        <v>15094</v>
      </c>
      <c r="G751" s="1" t="s">
        <v>132</v>
      </c>
      <c r="H751" s="1" t="s">
        <v>132</v>
      </c>
      <c r="I751" s="1" t="s">
        <v>15095</v>
      </c>
      <c r="J751" s="1" t="s">
        <v>132</v>
      </c>
      <c r="K751" s="1" t="s">
        <v>15096</v>
      </c>
      <c r="L751" s="1" t="s">
        <v>132</v>
      </c>
      <c r="M751" s="1" t="s">
        <v>15097</v>
      </c>
      <c r="N751" s="1" t="s">
        <v>15098</v>
      </c>
      <c r="O751" s="1" t="s">
        <v>132</v>
      </c>
      <c r="P751" s="1" t="s">
        <v>15099</v>
      </c>
      <c r="Q751" s="1" t="s">
        <v>132</v>
      </c>
      <c r="R751" s="1" t="s">
        <v>132</v>
      </c>
      <c r="S751" s="1" t="s">
        <v>15100</v>
      </c>
      <c r="T751" s="1" t="s">
        <v>132</v>
      </c>
      <c r="U751" s="1" t="s">
        <v>132</v>
      </c>
      <c r="V751" s="1" t="s">
        <v>132</v>
      </c>
      <c r="W751" s="1" t="s">
        <v>132</v>
      </c>
      <c r="X751" s="1" t="s">
        <v>15101</v>
      </c>
      <c r="Y751" s="1" t="s">
        <v>132</v>
      </c>
      <c r="Z751" s="1" t="s">
        <v>15102</v>
      </c>
      <c r="AA751" s="1" t="s">
        <v>132</v>
      </c>
      <c r="AB751" s="1" t="s">
        <v>132</v>
      </c>
      <c r="AC751" s="1" t="s">
        <v>132</v>
      </c>
      <c r="AD751" s="1" t="s">
        <v>132</v>
      </c>
      <c r="AE751" s="1" t="s">
        <v>132</v>
      </c>
      <c r="AF751" s="1" t="s">
        <v>132</v>
      </c>
      <c r="AG751" s="1" t="s">
        <v>132</v>
      </c>
      <c r="AH751" s="1" t="s">
        <v>132</v>
      </c>
      <c r="AI751" s="1" t="s">
        <v>132</v>
      </c>
      <c r="AJ751" s="1" t="s">
        <v>132</v>
      </c>
      <c r="AK751" s="1" t="s">
        <v>132</v>
      </c>
      <c r="AL751" s="1" t="s">
        <v>132</v>
      </c>
      <c r="AM751" s="1" t="s">
        <v>132</v>
      </c>
      <c r="AN751" s="1" t="s">
        <v>132</v>
      </c>
    </row>
    <row r="752" ht="15.75" customHeight="1">
      <c r="A752" s="1" t="s">
        <v>38</v>
      </c>
      <c r="B752" s="1" t="s">
        <v>15103</v>
      </c>
      <c r="C752" s="1" t="s">
        <v>15104</v>
      </c>
      <c r="D752" s="8" t="s">
        <v>15105</v>
      </c>
      <c r="E752" s="1" t="s">
        <v>15106</v>
      </c>
      <c r="F752" s="1" t="s">
        <v>15107</v>
      </c>
      <c r="G752" s="1" t="s">
        <v>132</v>
      </c>
      <c r="H752" s="1" t="s">
        <v>132</v>
      </c>
      <c r="I752" s="1" t="s">
        <v>15108</v>
      </c>
      <c r="J752" s="1" t="s">
        <v>132</v>
      </c>
      <c r="K752" s="1" t="s">
        <v>15109</v>
      </c>
      <c r="L752" s="1" t="s">
        <v>132</v>
      </c>
      <c r="M752" s="1" t="s">
        <v>15110</v>
      </c>
      <c r="N752" s="1" t="s">
        <v>15111</v>
      </c>
      <c r="O752" s="1" t="s">
        <v>132</v>
      </c>
      <c r="P752" s="1" t="s">
        <v>15112</v>
      </c>
      <c r="Q752" s="1" t="s">
        <v>132</v>
      </c>
      <c r="R752" s="1" t="s">
        <v>132</v>
      </c>
      <c r="S752" s="1" t="s">
        <v>15113</v>
      </c>
      <c r="T752" s="1" t="s">
        <v>132</v>
      </c>
      <c r="U752" s="1" t="s">
        <v>15114</v>
      </c>
      <c r="V752" s="1" t="s">
        <v>132</v>
      </c>
      <c r="W752" s="1" t="s">
        <v>132</v>
      </c>
      <c r="X752" s="1" t="s">
        <v>15115</v>
      </c>
      <c r="Y752" s="1" t="s">
        <v>132</v>
      </c>
      <c r="Z752" s="1" t="s">
        <v>15116</v>
      </c>
      <c r="AA752" s="1" t="s">
        <v>132</v>
      </c>
      <c r="AB752" s="1" t="s">
        <v>132</v>
      </c>
      <c r="AC752" s="1" t="s">
        <v>15117</v>
      </c>
      <c r="AD752" s="1" t="s">
        <v>132</v>
      </c>
      <c r="AE752" s="1" t="s">
        <v>132</v>
      </c>
      <c r="AF752" s="1" t="s">
        <v>15118</v>
      </c>
      <c r="AG752" s="1" t="s">
        <v>132</v>
      </c>
      <c r="AH752" s="1" t="s">
        <v>132</v>
      </c>
      <c r="AI752" s="1" t="s">
        <v>132</v>
      </c>
      <c r="AJ752" s="1" t="s">
        <v>132</v>
      </c>
      <c r="AK752" s="1" t="s">
        <v>132</v>
      </c>
      <c r="AL752" s="1" t="s">
        <v>132</v>
      </c>
      <c r="AM752" s="1" t="s">
        <v>132</v>
      </c>
      <c r="AN752" s="1" t="s">
        <v>132</v>
      </c>
    </row>
    <row r="753" ht="15.75" customHeight="1">
      <c r="A753" s="1" t="s">
        <v>38</v>
      </c>
      <c r="B753" s="1" t="s">
        <v>15119</v>
      </c>
      <c r="C753" s="1" t="s">
        <v>15120</v>
      </c>
      <c r="D753" s="8" t="s">
        <v>15121</v>
      </c>
      <c r="E753" s="1" t="s">
        <v>15122</v>
      </c>
      <c r="F753" s="1" t="s">
        <v>15123</v>
      </c>
      <c r="G753" s="1" t="s">
        <v>132</v>
      </c>
      <c r="H753" s="1" t="s">
        <v>132</v>
      </c>
      <c r="I753" s="1" t="s">
        <v>15124</v>
      </c>
      <c r="J753" s="1" t="s">
        <v>132</v>
      </c>
      <c r="K753" s="1" t="s">
        <v>15125</v>
      </c>
      <c r="L753" s="1" t="s">
        <v>132</v>
      </c>
      <c r="M753" s="1" t="s">
        <v>15126</v>
      </c>
      <c r="N753" s="1" t="s">
        <v>15127</v>
      </c>
      <c r="O753" s="1" t="s">
        <v>132</v>
      </c>
      <c r="P753" s="1" t="s">
        <v>15128</v>
      </c>
      <c r="Q753" s="1" t="s">
        <v>132</v>
      </c>
      <c r="R753" s="1" t="s">
        <v>132</v>
      </c>
      <c r="S753" s="1" t="s">
        <v>15129</v>
      </c>
      <c r="T753" s="1" t="s">
        <v>132</v>
      </c>
      <c r="U753" s="1" t="s">
        <v>15130</v>
      </c>
      <c r="V753" s="1" t="s">
        <v>132</v>
      </c>
      <c r="W753" s="1" t="s">
        <v>132</v>
      </c>
      <c r="X753" s="1" t="s">
        <v>15131</v>
      </c>
      <c r="Y753" s="1" t="s">
        <v>132</v>
      </c>
      <c r="Z753" s="1" t="s">
        <v>15132</v>
      </c>
      <c r="AA753" s="1" t="s">
        <v>132</v>
      </c>
      <c r="AB753" s="1" t="s">
        <v>132</v>
      </c>
      <c r="AC753" s="1" t="s">
        <v>15133</v>
      </c>
      <c r="AD753" s="1" t="s">
        <v>132</v>
      </c>
      <c r="AE753" s="1" t="s">
        <v>132</v>
      </c>
      <c r="AF753" s="1" t="s">
        <v>15134</v>
      </c>
      <c r="AG753" s="1" t="s">
        <v>15135</v>
      </c>
      <c r="AH753" s="1" t="s">
        <v>132</v>
      </c>
      <c r="AI753" s="1" t="s">
        <v>132</v>
      </c>
      <c r="AJ753" s="1" t="s">
        <v>15136</v>
      </c>
      <c r="AK753" s="1" t="s">
        <v>132</v>
      </c>
      <c r="AL753" s="1" t="s">
        <v>132</v>
      </c>
      <c r="AM753" s="1" t="s">
        <v>15137</v>
      </c>
      <c r="AN753" s="1" t="s">
        <v>15137</v>
      </c>
    </row>
    <row r="754" ht="15.75" customHeight="1">
      <c r="A754" s="1" t="s">
        <v>38</v>
      </c>
      <c r="B754" s="1" t="s">
        <v>15138</v>
      </c>
      <c r="C754" s="1" t="s">
        <v>15139</v>
      </c>
      <c r="D754" s="8" t="s">
        <v>15140</v>
      </c>
      <c r="E754" s="1" t="s">
        <v>15141</v>
      </c>
      <c r="F754" s="1" t="s">
        <v>15142</v>
      </c>
      <c r="G754" s="1" t="s">
        <v>132</v>
      </c>
      <c r="H754" s="1" t="s">
        <v>132</v>
      </c>
      <c r="I754" s="1" t="s">
        <v>15143</v>
      </c>
      <c r="J754" s="1" t="s">
        <v>132</v>
      </c>
      <c r="K754" s="1" t="s">
        <v>15144</v>
      </c>
      <c r="L754" s="1" t="s">
        <v>132</v>
      </c>
      <c r="M754" s="1" t="s">
        <v>15145</v>
      </c>
      <c r="N754" s="1" t="s">
        <v>15146</v>
      </c>
      <c r="O754" s="1" t="s">
        <v>132</v>
      </c>
      <c r="P754" s="1" t="s">
        <v>15147</v>
      </c>
      <c r="Q754" s="1" t="s">
        <v>15148</v>
      </c>
      <c r="R754" s="1" t="s">
        <v>132</v>
      </c>
      <c r="S754" s="1" t="s">
        <v>15149</v>
      </c>
      <c r="T754" s="1" t="s">
        <v>132</v>
      </c>
      <c r="U754" s="1" t="s">
        <v>15150</v>
      </c>
      <c r="V754" s="1" t="s">
        <v>15151</v>
      </c>
      <c r="W754" s="1" t="s">
        <v>132</v>
      </c>
      <c r="X754" s="1" t="s">
        <v>15152</v>
      </c>
      <c r="Y754" s="1" t="s">
        <v>132</v>
      </c>
      <c r="Z754" s="1" t="s">
        <v>15153</v>
      </c>
      <c r="AA754" s="1" t="s">
        <v>15154</v>
      </c>
      <c r="AB754" s="1" t="s">
        <v>132</v>
      </c>
      <c r="AC754" s="1" t="s">
        <v>15155</v>
      </c>
      <c r="AD754" s="1" t="s">
        <v>15156</v>
      </c>
      <c r="AE754" s="1" t="s">
        <v>132</v>
      </c>
      <c r="AF754" s="1" t="s">
        <v>15157</v>
      </c>
      <c r="AG754" s="1" t="s">
        <v>15158</v>
      </c>
      <c r="AH754" s="1" t="s">
        <v>132</v>
      </c>
      <c r="AI754" s="1" t="s">
        <v>132</v>
      </c>
      <c r="AJ754" s="1" t="s">
        <v>15159</v>
      </c>
      <c r="AK754" s="1" t="s">
        <v>15160</v>
      </c>
      <c r="AL754" s="1" t="s">
        <v>132</v>
      </c>
      <c r="AM754" s="1" t="s">
        <v>15161</v>
      </c>
      <c r="AN754" s="1" t="s">
        <v>15161</v>
      </c>
    </row>
    <row r="755" ht="15.75" customHeight="1">
      <c r="A755" s="1" t="s">
        <v>38</v>
      </c>
      <c r="B755" s="1" t="s">
        <v>15162</v>
      </c>
      <c r="C755" s="1" t="s">
        <v>15163</v>
      </c>
      <c r="D755" s="8" t="s">
        <v>15164</v>
      </c>
      <c r="E755" s="1" t="s">
        <v>15165</v>
      </c>
      <c r="F755" s="1" t="s">
        <v>15166</v>
      </c>
      <c r="G755" s="1" t="s">
        <v>132</v>
      </c>
      <c r="H755" s="1" t="s">
        <v>132</v>
      </c>
      <c r="I755" s="1" t="s">
        <v>15167</v>
      </c>
      <c r="J755" s="1" t="s">
        <v>132</v>
      </c>
      <c r="K755" s="1" t="s">
        <v>15168</v>
      </c>
      <c r="L755" s="1" t="s">
        <v>132</v>
      </c>
      <c r="M755" s="1" t="s">
        <v>15169</v>
      </c>
      <c r="N755" s="1" t="s">
        <v>15170</v>
      </c>
      <c r="O755" s="1" t="s">
        <v>132</v>
      </c>
      <c r="P755" s="1" t="s">
        <v>15171</v>
      </c>
      <c r="Q755" s="1" t="s">
        <v>132</v>
      </c>
      <c r="R755" s="1" t="s">
        <v>132</v>
      </c>
      <c r="S755" s="1" t="s">
        <v>15172</v>
      </c>
      <c r="T755" s="1" t="s">
        <v>132</v>
      </c>
      <c r="U755" s="1" t="s">
        <v>15173</v>
      </c>
      <c r="V755" s="1" t="s">
        <v>15174</v>
      </c>
      <c r="W755" s="1" t="s">
        <v>132</v>
      </c>
      <c r="X755" s="1" t="s">
        <v>15175</v>
      </c>
      <c r="Y755" s="1" t="s">
        <v>132</v>
      </c>
      <c r="Z755" s="1" t="s">
        <v>15176</v>
      </c>
      <c r="AA755" s="1" t="s">
        <v>15177</v>
      </c>
      <c r="AB755" s="1" t="s">
        <v>132</v>
      </c>
      <c r="AC755" s="1" t="s">
        <v>15178</v>
      </c>
      <c r="AD755" s="1" t="s">
        <v>15179</v>
      </c>
      <c r="AE755" s="1" t="s">
        <v>132</v>
      </c>
      <c r="AF755" s="1" t="s">
        <v>15180</v>
      </c>
      <c r="AG755" s="1" t="s">
        <v>15181</v>
      </c>
      <c r="AH755" s="1" t="s">
        <v>132</v>
      </c>
      <c r="AI755" s="1" t="s">
        <v>132</v>
      </c>
      <c r="AJ755" s="1" t="s">
        <v>15182</v>
      </c>
      <c r="AK755" s="1" t="s">
        <v>15183</v>
      </c>
      <c r="AL755" s="1" t="s">
        <v>132</v>
      </c>
      <c r="AM755" s="1" t="s">
        <v>15184</v>
      </c>
      <c r="AN755" s="1" t="s">
        <v>15184</v>
      </c>
    </row>
    <row r="756" ht="15.75" customHeight="1">
      <c r="A756" s="1" t="s">
        <v>38</v>
      </c>
      <c r="B756" s="1" t="s">
        <v>15185</v>
      </c>
      <c r="C756" s="1" t="s">
        <v>15186</v>
      </c>
      <c r="D756" s="1" t="s">
        <v>132</v>
      </c>
      <c r="E756" s="1" t="s">
        <v>15187</v>
      </c>
      <c r="F756" s="1" t="s">
        <v>15188</v>
      </c>
      <c r="G756" s="1" t="s">
        <v>132</v>
      </c>
      <c r="H756" s="1" t="s">
        <v>132</v>
      </c>
      <c r="I756" s="1" t="s">
        <v>15189</v>
      </c>
      <c r="J756" s="1" t="s">
        <v>132</v>
      </c>
      <c r="K756" s="1" t="s">
        <v>15190</v>
      </c>
      <c r="L756" s="1" t="s">
        <v>132</v>
      </c>
      <c r="M756" s="1" t="s">
        <v>15191</v>
      </c>
      <c r="N756" s="1" t="s">
        <v>15192</v>
      </c>
      <c r="O756" s="1" t="s">
        <v>132</v>
      </c>
      <c r="P756" s="1" t="s">
        <v>15193</v>
      </c>
      <c r="Q756" s="1" t="s">
        <v>132</v>
      </c>
      <c r="R756" s="1" t="s">
        <v>132</v>
      </c>
      <c r="S756" s="1" t="s">
        <v>15194</v>
      </c>
      <c r="T756" s="1" t="s">
        <v>132</v>
      </c>
      <c r="U756" s="1" t="s">
        <v>132</v>
      </c>
      <c r="V756" s="1" t="s">
        <v>132</v>
      </c>
      <c r="W756" s="1" t="s">
        <v>132</v>
      </c>
      <c r="X756" s="1" t="s">
        <v>15195</v>
      </c>
      <c r="Y756" s="1" t="s">
        <v>132</v>
      </c>
      <c r="Z756" s="1" t="s">
        <v>15196</v>
      </c>
      <c r="AA756" s="1" t="s">
        <v>132</v>
      </c>
      <c r="AB756" s="1" t="s">
        <v>132</v>
      </c>
      <c r="AC756" s="1" t="s">
        <v>132</v>
      </c>
      <c r="AD756" s="1" t="s">
        <v>132</v>
      </c>
      <c r="AE756" s="1" t="s">
        <v>132</v>
      </c>
      <c r="AF756" s="1" t="s">
        <v>15197</v>
      </c>
      <c r="AG756" s="1" t="s">
        <v>132</v>
      </c>
      <c r="AH756" s="1" t="s">
        <v>132</v>
      </c>
      <c r="AI756" s="1" t="s">
        <v>132</v>
      </c>
      <c r="AJ756" s="1" t="s">
        <v>132</v>
      </c>
      <c r="AK756" s="1" t="s">
        <v>132</v>
      </c>
      <c r="AL756" s="1" t="s">
        <v>132</v>
      </c>
      <c r="AM756" s="1" t="s">
        <v>132</v>
      </c>
      <c r="AN756" s="1" t="s">
        <v>132</v>
      </c>
    </row>
    <row r="757" ht="15.75" customHeight="1">
      <c r="A757" s="1" t="s">
        <v>127</v>
      </c>
      <c r="B757" s="1" t="s">
        <v>15198</v>
      </c>
      <c r="C757" s="1" t="s">
        <v>15199</v>
      </c>
      <c r="D757" s="8" t="s">
        <v>15200</v>
      </c>
      <c r="E757" s="1" t="s">
        <v>15201</v>
      </c>
      <c r="F757" s="1" t="s">
        <v>132</v>
      </c>
      <c r="G757" s="1" t="s">
        <v>15202</v>
      </c>
      <c r="H757" s="1" t="s">
        <v>15203</v>
      </c>
      <c r="I757" s="1" t="s">
        <v>15204</v>
      </c>
      <c r="J757" s="1" t="s">
        <v>15205</v>
      </c>
      <c r="K757" s="1" t="s">
        <v>15206</v>
      </c>
      <c r="L757" s="1" t="s">
        <v>15207</v>
      </c>
      <c r="M757" s="1" t="s">
        <v>15208</v>
      </c>
      <c r="N757" s="1" t="s">
        <v>132</v>
      </c>
      <c r="O757" s="1" t="s">
        <v>15209</v>
      </c>
      <c r="P757" s="1" t="s">
        <v>15210</v>
      </c>
      <c r="Q757" s="1" t="s">
        <v>132</v>
      </c>
      <c r="R757" s="1" t="s">
        <v>15211</v>
      </c>
      <c r="S757" s="1" t="s">
        <v>15212</v>
      </c>
      <c r="T757" s="1" t="s">
        <v>132</v>
      </c>
      <c r="U757" s="1" t="s">
        <v>15213</v>
      </c>
      <c r="V757" s="1" t="s">
        <v>15214</v>
      </c>
      <c r="W757" s="1" t="s">
        <v>15211</v>
      </c>
      <c r="X757" s="1" t="s">
        <v>15215</v>
      </c>
      <c r="Y757" s="1" t="s">
        <v>15216</v>
      </c>
      <c r="Z757" s="1" t="s">
        <v>15217</v>
      </c>
      <c r="AA757" s="1" t="s">
        <v>15218</v>
      </c>
      <c r="AB757" s="1" t="s">
        <v>15219</v>
      </c>
      <c r="AC757" s="1" t="s">
        <v>15220</v>
      </c>
      <c r="AD757" s="1" t="s">
        <v>15221</v>
      </c>
      <c r="AE757" s="1" t="s">
        <v>15222</v>
      </c>
      <c r="AF757" s="1" t="s">
        <v>15223</v>
      </c>
      <c r="AG757" s="1" t="s">
        <v>15224</v>
      </c>
      <c r="AH757" s="1" t="s">
        <v>15225</v>
      </c>
      <c r="AI757" s="1" t="s">
        <v>15226</v>
      </c>
      <c r="AJ757" s="1" t="s">
        <v>132</v>
      </c>
      <c r="AK757" s="1" t="s">
        <v>15227</v>
      </c>
      <c r="AL757" s="1" t="s">
        <v>15228</v>
      </c>
      <c r="AM757" s="1" t="s">
        <v>132</v>
      </c>
      <c r="AN757" s="1" t="s">
        <v>132</v>
      </c>
    </row>
    <row r="758" ht="15.75" customHeight="1">
      <c r="A758" s="1" t="s">
        <v>127</v>
      </c>
      <c r="B758" s="1" t="s">
        <v>15229</v>
      </c>
      <c r="C758" s="1" t="s">
        <v>15230</v>
      </c>
      <c r="D758" s="8" t="s">
        <v>15231</v>
      </c>
      <c r="E758" s="1" t="s">
        <v>15232</v>
      </c>
      <c r="F758" s="1" t="s">
        <v>132</v>
      </c>
      <c r="G758" s="1" t="s">
        <v>15233</v>
      </c>
      <c r="H758" s="1" t="s">
        <v>15234</v>
      </c>
      <c r="I758" s="1" t="s">
        <v>15235</v>
      </c>
      <c r="J758" s="1" t="s">
        <v>15236</v>
      </c>
      <c r="K758" s="1" t="s">
        <v>15237</v>
      </c>
      <c r="L758" s="1" t="s">
        <v>15238</v>
      </c>
      <c r="M758" s="1" t="s">
        <v>15230</v>
      </c>
      <c r="N758" s="1" t="s">
        <v>132</v>
      </c>
      <c r="O758" s="1" t="s">
        <v>15239</v>
      </c>
      <c r="P758" s="1" t="s">
        <v>15240</v>
      </c>
      <c r="Q758" s="1" t="s">
        <v>132</v>
      </c>
      <c r="R758" s="1" t="s">
        <v>15241</v>
      </c>
      <c r="S758" s="1" t="s">
        <v>15242</v>
      </c>
      <c r="T758" s="1" t="s">
        <v>132</v>
      </c>
      <c r="U758" s="1" t="s">
        <v>15243</v>
      </c>
      <c r="V758" s="1" t="s">
        <v>15244</v>
      </c>
      <c r="W758" s="1" t="s">
        <v>15245</v>
      </c>
      <c r="X758" s="1" t="s">
        <v>15230</v>
      </c>
      <c r="Y758" s="1" t="s">
        <v>15246</v>
      </c>
      <c r="Z758" s="1" t="s">
        <v>15238</v>
      </c>
      <c r="AA758" s="1" t="s">
        <v>15247</v>
      </c>
      <c r="AB758" s="1" t="s">
        <v>15248</v>
      </c>
      <c r="AC758" s="1" t="s">
        <v>15249</v>
      </c>
      <c r="AD758" s="1" t="s">
        <v>15250</v>
      </c>
      <c r="AE758" s="1" t="s">
        <v>15230</v>
      </c>
      <c r="AF758" s="1" t="s">
        <v>15238</v>
      </c>
      <c r="AG758" s="1" t="s">
        <v>15251</v>
      </c>
      <c r="AH758" s="1" t="s">
        <v>15252</v>
      </c>
      <c r="AI758" s="1" t="s">
        <v>15253</v>
      </c>
      <c r="AJ758" s="1" t="s">
        <v>132</v>
      </c>
      <c r="AK758" s="1" t="s">
        <v>15254</v>
      </c>
      <c r="AL758" s="1" t="s">
        <v>15255</v>
      </c>
      <c r="AM758" s="1" t="s">
        <v>15256</v>
      </c>
      <c r="AN758" s="1" t="s">
        <v>15256</v>
      </c>
    </row>
    <row r="759" ht="15.75" customHeight="1">
      <c r="A759" s="1" t="s">
        <v>38</v>
      </c>
      <c r="B759" s="1" t="s">
        <v>15257</v>
      </c>
      <c r="C759" s="1" t="s">
        <v>15258</v>
      </c>
      <c r="D759" s="8" t="s">
        <v>8446</v>
      </c>
      <c r="E759" s="1" t="s">
        <v>15259</v>
      </c>
      <c r="F759" s="1" t="s">
        <v>15260</v>
      </c>
      <c r="G759" s="1" t="s">
        <v>132</v>
      </c>
      <c r="H759" s="1" t="s">
        <v>132</v>
      </c>
      <c r="I759" s="1" t="s">
        <v>15261</v>
      </c>
      <c r="J759" s="1" t="s">
        <v>132</v>
      </c>
      <c r="K759" s="1" t="s">
        <v>15262</v>
      </c>
      <c r="L759" s="1" t="s">
        <v>132</v>
      </c>
      <c r="M759" s="1" t="s">
        <v>8451</v>
      </c>
      <c r="N759" s="1" t="s">
        <v>15263</v>
      </c>
      <c r="O759" s="1" t="s">
        <v>132</v>
      </c>
      <c r="P759" s="1" t="s">
        <v>15264</v>
      </c>
      <c r="Q759" s="1" t="s">
        <v>15265</v>
      </c>
      <c r="R759" s="1" t="s">
        <v>132</v>
      </c>
      <c r="S759" s="1" t="s">
        <v>8454</v>
      </c>
      <c r="T759" s="1" t="s">
        <v>132</v>
      </c>
      <c r="U759" s="1" t="s">
        <v>15266</v>
      </c>
      <c r="V759" s="1" t="s">
        <v>15267</v>
      </c>
      <c r="W759" s="1" t="s">
        <v>132</v>
      </c>
      <c r="X759" s="1" t="s">
        <v>15268</v>
      </c>
      <c r="Y759" s="1" t="s">
        <v>132</v>
      </c>
      <c r="Z759" s="1" t="s">
        <v>15269</v>
      </c>
      <c r="AA759" s="1" t="s">
        <v>15270</v>
      </c>
      <c r="AB759" s="1" t="s">
        <v>132</v>
      </c>
      <c r="AC759" s="1" t="s">
        <v>15271</v>
      </c>
      <c r="AD759" s="1" t="s">
        <v>15272</v>
      </c>
      <c r="AE759" s="1" t="s">
        <v>132</v>
      </c>
      <c r="AF759" s="1" t="s">
        <v>15273</v>
      </c>
      <c r="AG759" s="1" t="s">
        <v>15274</v>
      </c>
      <c r="AH759" s="1" t="s">
        <v>132</v>
      </c>
      <c r="AI759" s="1" t="s">
        <v>132</v>
      </c>
      <c r="AJ759" s="1" t="s">
        <v>15275</v>
      </c>
      <c r="AK759" s="1" t="s">
        <v>15276</v>
      </c>
      <c r="AL759" s="1" t="s">
        <v>132</v>
      </c>
      <c r="AM759" s="1" t="s">
        <v>15277</v>
      </c>
      <c r="AN759" s="1" t="s">
        <v>15277</v>
      </c>
    </row>
    <row r="760" ht="15.75" customHeight="1">
      <c r="A760" s="1" t="s">
        <v>38</v>
      </c>
      <c r="B760" s="1" t="s">
        <v>15278</v>
      </c>
      <c r="C760" s="1" t="s">
        <v>15279</v>
      </c>
      <c r="D760" s="8" t="s">
        <v>15280</v>
      </c>
      <c r="E760" s="1" t="s">
        <v>15281</v>
      </c>
      <c r="F760" s="1" t="s">
        <v>15282</v>
      </c>
      <c r="G760" s="1" t="s">
        <v>132</v>
      </c>
      <c r="H760" s="1" t="s">
        <v>132</v>
      </c>
      <c r="I760" s="1" t="s">
        <v>15283</v>
      </c>
      <c r="J760" s="1" t="s">
        <v>132</v>
      </c>
      <c r="K760" s="1" t="s">
        <v>15284</v>
      </c>
      <c r="L760" s="1" t="s">
        <v>132</v>
      </c>
      <c r="M760" s="1" t="s">
        <v>15285</v>
      </c>
      <c r="N760" s="1" t="s">
        <v>15286</v>
      </c>
      <c r="O760" s="1" t="s">
        <v>132</v>
      </c>
      <c r="P760" s="1" t="s">
        <v>15287</v>
      </c>
      <c r="Q760" s="1" t="s">
        <v>132</v>
      </c>
      <c r="R760" s="1" t="s">
        <v>132</v>
      </c>
      <c r="S760" s="1" t="s">
        <v>15288</v>
      </c>
      <c r="T760" s="1" t="s">
        <v>132</v>
      </c>
      <c r="U760" s="1" t="s">
        <v>15289</v>
      </c>
      <c r="V760" s="1" t="s">
        <v>132</v>
      </c>
      <c r="W760" s="1" t="s">
        <v>132</v>
      </c>
      <c r="X760" s="1" t="s">
        <v>15290</v>
      </c>
      <c r="Y760" s="1" t="s">
        <v>132</v>
      </c>
      <c r="Z760" s="1" t="s">
        <v>15291</v>
      </c>
      <c r="AA760" s="1" t="s">
        <v>132</v>
      </c>
      <c r="AB760" s="1" t="s">
        <v>132</v>
      </c>
      <c r="AC760" s="1" t="s">
        <v>15292</v>
      </c>
      <c r="AD760" s="1" t="s">
        <v>132</v>
      </c>
      <c r="AE760" s="1" t="s">
        <v>132</v>
      </c>
      <c r="AF760" s="1" t="s">
        <v>15293</v>
      </c>
      <c r="AG760" s="1" t="s">
        <v>15294</v>
      </c>
      <c r="AH760" s="1" t="s">
        <v>132</v>
      </c>
      <c r="AI760" s="1" t="s">
        <v>132</v>
      </c>
      <c r="AJ760" s="1" t="s">
        <v>15295</v>
      </c>
      <c r="AK760" s="1" t="s">
        <v>132</v>
      </c>
      <c r="AL760" s="1" t="s">
        <v>132</v>
      </c>
      <c r="AM760" s="1" t="s">
        <v>15296</v>
      </c>
      <c r="AN760" s="1" t="s">
        <v>15296</v>
      </c>
    </row>
    <row r="761" ht="15.75" customHeight="1">
      <c r="A761" s="1" t="s">
        <v>38</v>
      </c>
      <c r="B761" s="1" t="s">
        <v>15297</v>
      </c>
      <c r="C761" s="1" t="s">
        <v>12760</v>
      </c>
      <c r="D761" s="8" t="s">
        <v>15298</v>
      </c>
      <c r="E761" s="1" t="s">
        <v>12762</v>
      </c>
      <c r="F761" s="1" t="s">
        <v>15299</v>
      </c>
      <c r="G761" s="1" t="s">
        <v>132</v>
      </c>
      <c r="H761" s="1" t="s">
        <v>132</v>
      </c>
      <c r="I761" s="1" t="s">
        <v>15300</v>
      </c>
      <c r="J761" s="1" t="s">
        <v>132</v>
      </c>
      <c r="K761" s="1" t="s">
        <v>15301</v>
      </c>
      <c r="L761" s="1" t="s">
        <v>132</v>
      </c>
      <c r="M761" s="1" t="s">
        <v>15302</v>
      </c>
      <c r="N761" s="1" t="s">
        <v>15303</v>
      </c>
      <c r="O761" s="1" t="s">
        <v>132</v>
      </c>
      <c r="P761" s="1" t="s">
        <v>15304</v>
      </c>
      <c r="Q761" s="1" t="s">
        <v>132</v>
      </c>
      <c r="R761" s="1" t="s">
        <v>132</v>
      </c>
      <c r="S761" s="1" t="s">
        <v>12771</v>
      </c>
      <c r="T761" s="1" t="s">
        <v>132</v>
      </c>
      <c r="U761" s="1" t="s">
        <v>132</v>
      </c>
      <c r="V761" s="1" t="s">
        <v>132</v>
      </c>
      <c r="W761" s="1" t="s">
        <v>132</v>
      </c>
      <c r="X761" s="1" t="s">
        <v>15305</v>
      </c>
      <c r="Y761" s="1" t="s">
        <v>132</v>
      </c>
      <c r="Z761" s="1" t="s">
        <v>15306</v>
      </c>
      <c r="AA761" s="1" t="s">
        <v>132</v>
      </c>
      <c r="AB761" s="1" t="s">
        <v>132</v>
      </c>
      <c r="AC761" s="1" t="s">
        <v>12780</v>
      </c>
      <c r="AD761" s="1" t="s">
        <v>132</v>
      </c>
      <c r="AE761" s="1" t="s">
        <v>132</v>
      </c>
      <c r="AF761" s="1" t="s">
        <v>15307</v>
      </c>
      <c r="AG761" s="1" t="s">
        <v>132</v>
      </c>
      <c r="AH761" s="1" t="s">
        <v>132</v>
      </c>
      <c r="AI761" s="1" t="s">
        <v>132</v>
      </c>
      <c r="AJ761" s="1" t="s">
        <v>132</v>
      </c>
      <c r="AK761" s="1" t="s">
        <v>132</v>
      </c>
      <c r="AL761" s="1" t="s">
        <v>132</v>
      </c>
      <c r="AM761" s="1" t="s">
        <v>132</v>
      </c>
      <c r="AN761" s="1" t="s">
        <v>132</v>
      </c>
    </row>
    <row r="762" ht="15.75" customHeight="1">
      <c r="A762" s="1" t="s">
        <v>127</v>
      </c>
      <c r="B762" s="1" t="s">
        <v>15308</v>
      </c>
      <c r="C762" s="1" t="s">
        <v>5370</v>
      </c>
      <c r="D762" s="8" t="s">
        <v>5371</v>
      </c>
      <c r="E762" s="1" t="s">
        <v>5372</v>
      </c>
      <c r="F762" s="1" t="s">
        <v>132</v>
      </c>
      <c r="G762" s="1" t="s">
        <v>5373</v>
      </c>
      <c r="H762" s="1" t="s">
        <v>5374</v>
      </c>
      <c r="I762" s="1" t="s">
        <v>5375</v>
      </c>
      <c r="J762" s="1" t="s">
        <v>5376</v>
      </c>
      <c r="K762" s="1" t="s">
        <v>15309</v>
      </c>
      <c r="L762" s="1" t="s">
        <v>5378</v>
      </c>
      <c r="M762" s="1" t="s">
        <v>5379</v>
      </c>
      <c r="N762" s="1" t="s">
        <v>132</v>
      </c>
      <c r="O762" s="1" t="s">
        <v>5380</v>
      </c>
      <c r="P762" s="1" t="s">
        <v>5381</v>
      </c>
      <c r="Q762" s="1" t="s">
        <v>132</v>
      </c>
      <c r="R762" s="1" t="s">
        <v>5382</v>
      </c>
      <c r="S762" s="1" t="s">
        <v>5383</v>
      </c>
      <c r="T762" s="1" t="s">
        <v>132</v>
      </c>
      <c r="U762" s="1" t="s">
        <v>5385</v>
      </c>
      <c r="V762" s="1" t="s">
        <v>5386</v>
      </c>
      <c r="W762" s="1" t="s">
        <v>5382</v>
      </c>
      <c r="X762" s="1" t="s">
        <v>5387</v>
      </c>
      <c r="Y762" s="1" t="s">
        <v>5374</v>
      </c>
      <c r="Z762" s="1" t="s">
        <v>5373</v>
      </c>
      <c r="AA762" s="1" t="s">
        <v>5388</v>
      </c>
      <c r="AB762" s="1" t="s">
        <v>5389</v>
      </c>
      <c r="AC762" s="1" t="s">
        <v>5390</v>
      </c>
      <c r="AD762" s="1" t="s">
        <v>5373</v>
      </c>
      <c r="AE762" s="1" t="s">
        <v>5391</v>
      </c>
      <c r="AF762" s="1" t="s">
        <v>5392</v>
      </c>
      <c r="AG762" s="1" t="s">
        <v>5374</v>
      </c>
      <c r="AH762" s="1" t="s">
        <v>5393</v>
      </c>
      <c r="AI762" s="1" t="s">
        <v>15310</v>
      </c>
      <c r="AJ762" s="1" t="s">
        <v>132</v>
      </c>
      <c r="AK762" s="1" t="s">
        <v>5395</v>
      </c>
      <c r="AL762" s="1" t="s">
        <v>5396</v>
      </c>
      <c r="AM762" s="1" t="s">
        <v>5397</v>
      </c>
      <c r="AN762" s="1" t="s">
        <v>5397</v>
      </c>
    </row>
    <row r="763" ht="15.75" customHeight="1">
      <c r="A763" s="1" t="s">
        <v>38</v>
      </c>
      <c r="B763" s="1" t="s">
        <v>15311</v>
      </c>
      <c r="C763" s="1" t="s">
        <v>15312</v>
      </c>
      <c r="D763" s="1" t="s">
        <v>132</v>
      </c>
      <c r="E763" s="1" t="s">
        <v>132</v>
      </c>
      <c r="F763" s="1" t="s">
        <v>132</v>
      </c>
      <c r="G763" s="1" t="s">
        <v>132</v>
      </c>
      <c r="H763" s="1" t="s">
        <v>132</v>
      </c>
      <c r="I763" s="1" t="s">
        <v>15312</v>
      </c>
      <c r="J763" s="1" t="s">
        <v>132</v>
      </c>
      <c r="K763" s="1" t="s">
        <v>15312</v>
      </c>
      <c r="L763" s="1" t="s">
        <v>132</v>
      </c>
      <c r="M763" s="1" t="s">
        <v>15313</v>
      </c>
      <c r="N763" s="1" t="s">
        <v>132</v>
      </c>
      <c r="O763" s="1" t="s">
        <v>132</v>
      </c>
      <c r="P763" s="1" t="s">
        <v>15312</v>
      </c>
      <c r="Q763" s="1" t="s">
        <v>132</v>
      </c>
      <c r="R763" s="1" t="s">
        <v>132</v>
      </c>
      <c r="S763" s="1" t="s">
        <v>132</v>
      </c>
      <c r="T763" s="1" t="s">
        <v>132</v>
      </c>
      <c r="U763" s="1" t="s">
        <v>132</v>
      </c>
      <c r="V763" s="1" t="s">
        <v>132</v>
      </c>
      <c r="W763" s="1" t="s">
        <v>132</v>
      </c>
      <c r="X763" s="1" t="s">
        <v>132</v>
      </c>
      <c r="Y763" s="1" t="s">
        <v>132</v>
      </c>
      <c r="Z763" s="1" t="s">
        <v>132</v>
      </c>
      <c r="AA763" s="1" t="s">
        <v>132</v>
      </c>
      <c r="AB763" s="1" t="s">
        <v>132</v>
      </c>
      <c r="AC763" s="1" t="s">
        <v>15314</v>
      </c>
      <c r="AD763" s="1" t="s">
        <v>132</v>
      </c>
      <c r="AE763" s="1" t="s">
        <v>132</v>
      </c>
      <c r="AF763" s="1" t="s">
        <v>15315</v>
      </c>
      <c r="AG763" s="1" t="s">
        <v>132</v>
      </c>
      <c r="AH763" s="1" t="s">
        <v>132</v>
      </c>
      <c r="AI763" s="1" t="s">
        <v>132</v>
      </c>
      <c r="AJ763" s="1" t="s">
        <v>132</v>
      </c>
      <c r="AK763" s="1" t="s">
        <v>132</v>
      </c>
      <c r="AL763" s="1" t="s">
        <v>132</v>
      </c>
      <c r="AM763" s="1" t="s">
        <v>132</v>
      </c>
      <c r="AN763" s="1" t="s">
        <v>132</v>
      </c>
    </row>
    <row r="764" ht="15.75" customHeight="1">
      <c r="A764" s="1" t="s">
        <v>127</v>
      </c>
      <c r="B764" s="1" t="s">
        <v>15316</v>
      </c>
      <c r="C764" s="1" t="s">
        <v>15317</v>
      </c>
      <c r="D764" s="8" t="s">
        <v>15318</v>
      </c>
      <c r="E764" s="1" t="s">
        <v>15319</v>
      </c>
      <c r="F764" s="1" t="s">
        <v>132</v>
      </c>
      <c r="G764" s="1" t="s">
        <v>15320</v>
      </c>
      <c r="H764" s="1" t="s">
        <v>15321</v>
      </c>
      <c r="I764" s="1" t="s">
        <v>15322</v>
      </c>
      <c r="J764" s="1" t="s">
        <v>15323</v>
      </c>
      <c r="K764" s="1" t="s">
        <v>15324</v>
      </c>
      <c r="L764" s="1" t="s">
        <v>15325</v>
      </c>
      <c r="M764" s="1" t="s">
        <v>15326</v>
      </c>
      <c r="N764" s="1" t="s">
        <v>132</v>
      </c>
      <c r="O764" s="1" t="s">
        <v>15327</v>
      </c>
      <c r="P764" s="1" t="s">
        <v>15328</v>
      </c>
      <c r="Q764" s="1" t="s">
        <v>132</v>
      </c>
      <c r="R764" s="1" t="s">
        <v>15329</v>
      </c>
      <c r="S764" s="1" t="s">
        <v>15330</v>
      </c>
      <c r="T764" s="1" t="s">
        <v>132</v>
      </c>
      <c r="U764" s="1" t="s">
        <v>15331</v>
      </c>
      <c r="V764" s="1" t="s">
        <v>15332</v>
      </c>
      <c r="W764" s="1" t="s">
        <v>15333</v>
      </c>
      <c r="X764" s="1" t="s">
        <v>15334</v>
      </c>
      <c r="Y764" s="1" t="s">
        <v>15335</v>
      </c>
      <c r="Z764" s="1" t="s">
        <v>15336</v>
      </c>
      <c r="AA764" s="1" t="s">
        <v>15337</v>
      </c>
      <c r="AB764" s="1" t="s">
        <v>15338</v>
      </c>
      <c r="AC764" s="1" t="s">
        <v>15339</v>
      </c>
      <c r="AD764" s="1" t="s">
        <v>15320</v>
      </c>
      <c r="AE764" s="1" t="s">
        <v>15340</v>
      </c>
      <c r="AF764" s="1" t="s">
        <v>15341</v>
      </c>
      <c r="AG764" s="1" t="s">
        <v>15342</v>
      </c>
      <c r="AH764" s="1" t="s">
        <v>15343</v>
      </c>
      <c r="AI764" s="1" t="s">
        <v>15344</v>
      </c>
      <c r="AJ764" s="1" t="s">
        <v>132</v>
      </c>
      <c r="AK764" s="1" t="s">
        <v>15345</v>
      </c>
      <c r="AL764" s="1" t="s">
        <v>15346</v>
      </c>
      <c r="AM764" s="1" t="s">
        <v>132</v>
      </c>
      <c r="AN764" s="1" t="s">
        <v>132</v>
      </c>
    </row>
    <row r="765" ht="15.75" customHeight="1">
      <c r="A765" s="1" t="s">
        <v>127</v>
      </c>
      <c r="B765" s="1" t="s">
        <v>15347</v>
      </c>
      <c r="C765" s="1" t="s">
        <v>8168</v>
      </c>
      <c r="D765" s="8" t="s">
        <v>8169</v>
      </c>
      <c r="E765" s="1" t="s">
        <v>8170</v>
      </c>
      <c r="F765" s="1" t="s">
        <v>132</v>
      </c>
      <c r="G765" s="1" t="s">
        <v>8171</v>
      </c>
      <c r="H765" s="1" t="s">
        <v>8172</v>
      </c>
      <c r="I765" s="1" t="s">
        <v>8173</v>
      </c>
      <c r="J765" s="1" t="s">
        <v>8174</v>
      </c>
      <c r="K765" s="1" t="s">
        <v>8175</v>
      </c>
      <c r="L765" s="1" t="s">
        <v>8176</v>
      </c>
      <c r="M765" s="1" t="s">
        <v>8168</v>
      </c>
      <c r="N765" s="1" t="s">
        <v>132</v>
      </c>
      <c r="O765" s="1" t="s">
        <v>8177</v>
      </c>
      <c r="P765" s="1" t="s">
        <v>15348</v>
      </c>
      <c r="Q765" s="1" t="s">
        <v>132</v>
      </c>
      <c r="R765" s="1" t="s">
        <v>8178</v>
      </c>
      <c r="S765" s="1" t="s">
        <v>8168</v>
      </c>
      <c r="T765" s="1" t="s">
        <v>132</v>
      </c>
      <c r="U765" s="1" t="s">
        <v>8181</v>
      </c>
      <c r="V765" s="1" t="s">
        <v>8182</v>
      </c>
      <c r="W765" s="1" t="s">
        <v>8183</v>
      </c>
      <c r="X765" s="1" t="s">
        <v>8184</v>
      </c>
      <c r="Y765" s="1" t="s">
        <v>8185</v>
      </c>
      <c r="Z765" s="1" t="s">
        <v>8186</v>
      </c>
      <c r="AA765" s="1" t="s">
        <v>15349</v>
      </c>
      <c r="AB765" s="1" t="s">
        <v>8188</v>
      </c>
      <c r="AC765" s="1" t="s">
        <v>15350</v>
      </c>
      <c r="AD765" s="1" t="s">
        <v>8171</v>
      </c>
      <c r="AE765" s="1" t="s">
        <v>8190</v>
      </c>
      <c r="AF765" s="1" t="s">
        <v>15351</v>
      </c>
      <c r="AG765" s="1" t="s">
        <v>8191</v>
      </c>
      <c r="AH765" s="1" t="s">
        <v>8192</v>
      </c>
      <c r="AI765" s="1" t="s">
        <v>8193</v>
      </c>
      <c r="AJ765" s="1" t="s">
        <v>132</v>
      </c>
      <c r="AK765" s="1" t="s">
        <v>8194</v>
      </c>
      <c r="AL765" s="1" t="s">
        <v>8195</v>
      </c>
      <c r="AM765" s="1" t="s">
        <v>8196</v>
      </c>
      <c r="AN765" s="1" t="s">
        <v>8196</v>
      </c>
    </row>
    <row r="766" ht="15.75" customHeight="1">
      <c r="A766" s="1" t="s">
        <v>4051</v>
      </c>
      <c r="B766" s="1" t="s">
        <v>15352</v>
      </c>
      <c r="C766" s="1" t="s">
        <v>15353</v>
      </c>
      <c r="D766" s="8" t="s">
        <v>15354</v>
      </c>
      <c r="E766" s="1" t="s">
        <v>15355</v>
      </c>
      <c r="F766" s="1" t="s">
        <v>132</v>
      </c>
      <c r="G766" s="1" t="s">
        <v>15356</v>
      </c>
      <c r="H766" s="1" t="s">
        <v>15357</v>
      </c>
      <c r="I766" s="1" t="s">
        <v>15358</v>
      </c>
      <c r="J766" s="1" t="s">
        <v>15359</v>
      </c>
      <c r="K766" s="1" t="s">
        <v>15360</v>
      </c>
      <c r="L766" s="1" t="s">
        <v>15361</v>
      </c>
      <c r="M766" s="1" t="s">
        <v>15362</v>
      </c>
      <c r="N766" s="1" t="s">
        <v>132</v>
      </c>
      <c r="O766" s="1" t="s">
        <v>15363</v>
      </c>
      <c r="P766" s="1" t="s">
        <v>15364</v>
      </c>
      <c r="Q766" s="1" t="s">
        <v>132</v>
      </c>
      <c r="R766" s="1" t="s">
        <v>15365</v>
      </c>
      <c r="S766" s="1" t="s">
        <v>15366</v>
      </c>
      <c r="T766" s="1" t="s">
        <v>132</v>
      </c>
      <c r="U766" s="1" t="s">
        <v>15367</v>
      </c>
      <c r="V766" s="1" t="s">
        <v>15368</v>
      </c>
      <c r="W766" s="1" t="s">
        <v>15369</v>
      </c>
      <c r="X766" s="1" t="s">
        <v>15370</v>
      </c>
      <c r="Y766" s="1" t="s">
        <v>15371</v>
      </c>
      <c r="Z766" s="1" t="s">
        <v>15372</v>
      </c>
      <c r="AA766" s="1" t="s">
        <v>15373</v>
      </c>
      <c r="AB766" s="1" t="s">
        <v>15374</v>
      </c>
      <c r="AC766" s="1" t="s">
        <v>15375</v>
      </c>
      <c r="AD766" s="1" t="s">
        <v>15376</v>
      </c>
      <c r="AE766" s="1" t="s">
        <v>15377</v>
      </c>
      <c r="AF766" s="1" t="s">
        <v>15378</v>
      </c>
      <c r="AG766" s="1" t="s">
        <v>15379</v>
      </c>
      <c r="AH766" s="1" t="s">
        <v>15380</v>
      </c>
      <c r="AI766" s="1" t="s">
        <v>15381</v>
      </c>
      <c r="AJ766" s="1" t="s">
        <v>132</v>
      </c>
      <c r="AK766" s="1" t="s">
        <v>15382</v>
      </c>
      <c r="AL766" s="14" t="s">
        <v>15383</v>
      </c>
      <c r="AM766" s="1" t="s">
        <v>132</v>
      </c>
      <c r="AN766" s="1" t="s">
        <v>132</v>
      </c>
    </row>
    <row r="767" ht="15.75" customHeight="1">
      <c r="A767" s="1" t="s">
        <v>38</v>
      </c>
      <c r="B767" s="1" t="s">
        <v>15384</v>
      </c>
      <c r="C767" s="1" t="s">
        <v>15385</v>
      </c>
      <c r="D767" s="8" t="s">
        <v>15386</v>
      </c>
      <c r="E767" s="1" t="s">
        <v>15387</v>
      </c>
      <c r="F767" s="1" t="s">
        <v>15388</v>
      </c>
      <c r="G767" s="1" t="s">
        <v>132</v>
      </c>
      <c r="H767" s="1" t="s">
        <v>132</v>
      </c>
      <c r="I767" s="1" t="s">
        <v>15389</v>
      </c>
      <c r="J767" s="1" t="s">
        <v>132</v>
      </c>
      <c r="K767" s="1" t="s">
        <v>15390</v>
      </c>
      <c r="L767" s="1" t="s">
        <v>132</v>
      </c>
      <c r="M767" s="1" t="s">
        <v>15391</v>
      </c>
      <c r="N767" s="1" t="s">
        <v>15390</v>
      </c>
      <c r="O767" s="1" t="s">
        <v>132</v>
      </c>
      <c r="P767" s="1" t="s">
        <v>15392</v>
      </c>
      <c r="Q767" s="1" t="s">
        <v>132</v>
      </c>
      <c r="R767" s="1" t="s">
        <v>132</v>
      </c>
      <c r="S767" s="1" t="s">
        <v>15393</v>
      </c>
      <c r="T767" s="1" t="s">
        <v>132</v>
      </c>
      <c r="U767" s="1" t="s">
        <v>132</v>
      </c>
      <c r="V767" s="1" t="s">
        <v>132</v>
      </c>
      <c r="W767" s="1" t="s">
        <v>132</v>
      </c>
      <c r="X767" s="1" t="s">
        <v>15394</v>
      </c>
      <c r="Y767" s="1" t="s">
        <v>132</v>
      </c>
      <c r="Z767" s="1" t="s">
        <v>15395</v>
      </c>
      <c r="AA767" s="1" t="s">
        <v>132</v>
      </c>
      <c r="AB767" s="1" t="s">
        <v>132</v>
      </c>
      <c r="AC767" s="1" t="s">
        <v>15396</v>
      </c>
      <c r="AD767" s="1" t="s">
        <v>132</v>
      </c>
      <c r="AE767" s="1" t="s">
        <v>132</v>
      </c>
      <c r="AF767" s="1" t="s">
        <v>15397</v>
      </c>
      <c r="AG767" s="1" t="s">
        <v>132</v>
      </c>
      <c r="AH767" s="1" t="s">
        <v>132</v>
      </c>
      <c r="AI767" s="1" t="s">
        <v>132</v>
      </c>
      <c r="AJ767" s="1" t="s">
        <v>132</v>
      </c>
      <c r="AK767" s="1" t="s">
        <v>132</v>
      </c>
      <c r="AL767" s="1" t="s">
        <v>132</v>
      </c>
      <c r="AM767" s="1" t="s">
        <v>132</v>
      </c>
      <c r="AN767" s="1" t="s">
        <v>132</v>
      </c>
    </row>
    <row r="768" ht="15.75" customHeight="1">
      <c r="A768" s="1" t="s">
        <v>43182</v>
      </c>
      <c r="B768" s="1" t="s">
        <v>43239</v>
      </c>
      <c r="C768" s="1" t="s">
        <v>43240</v>
      </c>
      <c r="D768" s="1" t="s">
        <v>132</v>
      </c>
      <c r="E768" s="1" t="s">
        <v>132</v>
      </c>
      <c r="F768" s="1" t="s">
        <v>132</v>
      </c>
      <c r="G768" s="1" t="s">
        <v>132</v>
      </c>
      <c r="H768" s="1" t="s">
        <v>132</v>
      </c>
      <c r="I768" s="1" t="s">
        <v>132</v>
      </c>
      <c r="J768" s="1" t="s">
        <v>132</v>
      </c>
      <c r="K768" s="1" t="s">
        <v>132</v>
      </c>
      <c r="L768" s="1" t="s">
        <v>132</v>
      </c>
      <c r="M768" s="1" t="s">
        <v>132</v>
      </c>
      <c r="N768" s="1" t="s">
        <v>132</v>
      </c>
      <c r="O768" s="1" t="s">
        <v>132</v>
      </c>
      <c r="P768" s="1" t="s">
        <v>132</v>
      </c>
      <c r="Q768" s="1" t="s">
        <v>132</v>
      </c>
      <c r="R768" s="1" t="s">
        <v>132</v>
      </c>
      <c r="S768" s="1" t="s">
        <v>132</v>
      </c>
      <c r="T768" s="1" t="s">
        <v>132</v>
      </c>
      <c r="U768" s="1" t="s">
        <v>132</v>
      </c>
      <c r="V768" s="1" t="s">
        <v>132</v>
      </c>
      <c r="W768" s="1" t="s">
        <v>132</v>
      </c>
      <c r="X768" s="1" t="s">
        <v>132</v>
      </c>
      <c r="Y768" s="1" t="s">
        <v>132</v>
      </c>
      <c r="Z768" s="1" t="s">
        <v>132</v>
      </c>
      <c r="AA768" s="1" t="s">
        <v>132</v>
      </c>
      <c r="AB768" s="1" t="s">
        <v>132</v>
      </c>
      <c r="AC768" s="1" t="s">
        <v>132</v>
      </c>
      <c r="AD768" s="1" t="s">
        <v>132</v>
      </c>
      <c r="AE768" s="1" t="s">
        <v>132</v>
      </c>
      <c r="AF768" s="1" t="s">
        <v>132</v>
      </c>
      <c r="AG768" s="1" t="s">
        <v>132</v>
      </c>
      <c r="AH768" s="1" t="s">
        <v>132</v>
      </c>
      <c r="AI768" s="1" t="s">
        <v>132</v>
      </c>
      <c r="AJ768" s="1" t="s">
        <v>132</v>
      </c>
      <c r="AK768" s="1" t="s">
        <v>132</v>
      </c>
      <c r="AL768" s="1" t="s">
        <v>132</v>
      </c>
      <c r="AM768" s="1" t="s">
        <v>132</v>
      </c>
      <c r="AN768" s="1" t="s">
        <v>132</v>
      </c>
    </row>
    <row r="769" ht="15.75" customHeight="1">
      <c r="A769" s="1" t="s">
        <v>127</v>
      </c>
      <c r="B769" s="1" t="s">
        <v>15398</v>
      </c>
      <c r="C769" s="1" t="s">
        <v>15399</v>
      </c>
      <c r="D769" s="8" t="s">
        <v>15400</v>
      </c>
      <c r="E769" s="1" t="s">
        <v>15401</v>
      </c>
      <c r="F769" s="1" t="s">
        <v>132</v>
      </c>
      <c r="G769" s="1" t="s">
        <v>15402</v>
      </c>
      <c r="H769" s="1" t="s">
        <v>15403</v>
      </c>
      <c r="I769" s="1" t="s">
        <v>15404</v>
      </c>
      <c r="J769" s="1" t="s">
        <v>15405</v>
      </c>
      <c r="K769" s="1" t="s">
        <v>15406</v>
      </c>
      <c r="L769" s="1" t="s">
        <v>15407</v>
      </c>
      <c r="M769" s="1" t="s">
        <v>15408</v>
      </c>
      <c r="N769" s="1" t="s">
        <v>132</v>
      </c>
      <c r="O769" s="1" t="s">
        <v>15409</v>
      </c>
      <c r="P769" s="1" t="s">
        <v>15410</v>
      </c>
      <c r="Q769" s="1" t="s">
        <v>132</v>
      </c>
      <c r="R769" s="1" t="s">
        <v>15411</v>
      </c>
      <c r="S769" s="1" t="s">
        <v>15412</v>
      </c>
      <c r="T769" s="1" t="s">
        <v>132</v>
      </c>
      <c r="U769" s="1" t="s">
        <v>15413</v>
      </c>
      <c r="V769" s="1" t="s">
        <v>15414</v>
      </c>
      <c r="W769" s="1" t="s">
        <v>15415</v>
      </c>
      <c r="X769" s="1" t="s">
        <v>15416</v>
      </c>
      <c r="Y769" s="1" t="s">
        <v>15417</v>
      </c>
      <c r="Z769" s="1" t="s">
        <v>15418</v>
      </c>
      <c r="AA769" s="1" t="s">
        <v>15419</v>
      </c>
      <c r="AB769" s="1" t="s">
        <v>15420</v>
      </c>
      <c r="AC769" s="1" t="s">
        <v>15421</v>
      </c>
      <c r="AD769" s="1" t="s">
        <v>15422</v>
      </c>
      <c r="AE769" s="1" t="s">
        <v>15423</v>
      </c>
      <c r="AF769" s="1" t="s">
        <v>15424</v>
      </c>
      <c r="AG769" s="1" t="s">
        <v>15425</v>
      </c>
      <c r="AH769" s="1" t="s">
        <v>15426</v>
      </c>
      <c r="AI769" s="1" t="s">
        <v>15427</v>
      </c>
      <c r="AJ769" s="1" t="s">
        <v>132</v>
      </c>
      <c r="AK769" s="1" t="s">
        <v>15428</v>
      </c>
      <c r="AL769" s="1" t="s">
        <v>15429</v>
      </c>
      <c r="AM769" s="1" t="s">
        <v>15430</v>
      </c>
      <c r="AN769" s="1" t="s">
        <v>15430</v>
      </c>
    </row>
    <row r="770" ht="15.75" customHeight="1">
      <c r="A770" s="1" t="s">
        <v>127</v>
      </c>
      <c r="B770" s="1" t="s">
        <v>15431</v>
      </c>
      <c r="C770" s="1" t="s">
        <v>15432</v>
      </c>
      <c r="D770" s="8" t="s">
        <v>15433</v>
      </c>
      <c r="E770" s="1" t="s">
        <v>15434</v>
      </c>
      <c r="F770" s="1" t="s">
        <v>132</v>
      </c>
      <c r="G770" s="1" t="s">
        <v>15435</v>
      </c>
      <c r="H770" s="1" t="s">
        <v>15436</v>
      </c>
      <c r="I770" s="1" t="s">
        <v>15437</v>
      </c>
      <c r="J770" s="1" t="s">
        <v>15438</v>
      </c>
      <c r="K770" s="1" t="s">
        <v>15439</v>
      </c>
      <c r="L770" s="1" t="s">
        <v>15440</v>
      </c>
      <c r="M770" s="1" t="s">
        <v>15441</v>
      </c>
      <c r="N770" s="1" t="s">
        <v>132</v>
      </c>
      <c r="O770" s="1" t="s">
        <v>15442</v>
      </c>
      <c r="P770" s="1" t="s">
        <v>15432</v>
      </c>
      <c r="Q770" s="1" t="s">
        <v>132</v>
      </c>
      <c r="R770" s="1" t="s">
        <v>15443</v>
      </c>
      <c r="S770" s="1" t="s">
        <v>15444</v>
      </c>
      <c r="T770" s="1" t="s">
        <v>132</v>
      </c>
      <c r="U770" s="1" t="s">
        <v>15445</v>
      </c>
      <c r="V770" s="1" t="s">
        <v>15446</v>
      </c>
      <c r="W770" s="1" t="s">
        <v>15443</v>
      </c>
      <c r="X770" s="1" t="s">
        <v>15447</v>
      </c>
      <c r="Y770" s="1" t="s">
        <v>15448</v>
      </c>
      <c r="Z770" s="1" t="s">
        <v>14824</v>
      </c>
      <c r="AA770" s="1" t="s">
        <v>15449</v>
      </c>
      <c r="AB770" s="1" t="s">
        <v>15450</v>
      </c>
      <c r="AC770" s="1" t="s">
        <v>15451</v>
      </c>
      <c r="AD770" s="1" t="s">
        <v>15452</v>
      </c>
      <c r="AE770" s="1" t="s">
        <v>15453</v>
      </c>
      <c r="AF770" s="1" t="s">
        <v>15454</v>
      </c>
      <c r="AG770" s="1" t="s">
        <v>15455</v>
      </c>
      <c r="AH770" s="1" t="s">
        <v>15456</v>
      </c>
      <c r="AI770" s="1" t="s">
        <v>15457</v>
      </c>
      <c r="AJ770" s="1" t="s">
        <v>132</v>
      </c>
      <c r="AK770" s="1" t="s">
        <v>15458</v>
      </c>
      <c r="AL770" s="1" t="s">
        <v>15459</v>
      </c>
      <c r="AM770" s="1" t="s">
        <v>132</v>
      </c>
      <c r="AN770" s="1" t="s">
        <v>132</v>
      </c>
    </row>
    <row r="771" ht="15.75" customHeight="1">
      <c r="A771" s="1" t="s">
        <v>38</v>
      </c>
      <c r="B771" s="1" t="s">
        <v>15460</v>
      </c>
      <c r="C771" s="1" t="s">
        <v>15461</v>
      </c>
      <c r="D771" s="1" t="s">
        <v>132</v>
      </c>
      <c r="E771" s="1" t="s">
        <v>132</v>
      </c>
      <c r="F771" s="1" t="s">
        <v>132</v>
      </c>
      <c r="G771" s="1" t="s">
        <v>132</v>
      </c>
      <c r="H771" s="1" t="s">
        <v>132</v>
      </c>
      <c r="I771" s="1" t="s">
        <v>15462</v>
      </c>
      <c r="J771" s="1" t="s">
        <v>132</v>
      </c>
      <c r="K771" s="1" t="s">
        <v>15463</v>
      </c>
      <c r="L771" s="1" t="s">
        <v>132</v>
      </c>
      <c r="M771" s="1" t="s">
        <v>15464</v>
      </c>
      <c r="N771" s="1" t="s">
        <v>132</v>
      </c>
      <c r="O771" s="1" t="s">
        <v>132</v>
      </c>
      <c r="P771" s="1" t="s">
        <v>15465</v>
      </c>
      <c r="Q771" s="1" t="s">
        <v>132</v>
      </c>
      <c r="R771" s="1" t="s">
        <v>132</v>
      </c>
      <c r="S771" s="1" t="s">
        <v>132</v>
      </c>
      <c r="T771" s="1" t="s">
        <v>132</v>
      </c>
      <c r="U771" s="1" t="s">
        <v>132</v>
      </c>
      <c r="V771" s="1" t="s">
        <v>132</v>
      </c>
      <c r="W771" s="1" t="s">
        <v>132</v>
      </c>
      <c r="X771" s="1" t="s">
        <v>132</v>
      </c>
      <c r="Y771" s="1" t="s">
        <v>132</v>
      </c>
      <c r="Z771" s="1" t="s">
        <v>132</v>
      </c>
      <c r="AA771" s="1" t="s">
        <v>132</v>
      </c>
      <c r="AB771" s="1" t="s">
        <v>132</v>
      </c>
      <c r="AC771" s="1" t="s">
        <v>15466</v>
      </c>
      <c r="AD771" s="1" t="s">
        <v>132</v>
      </c>
      <c r="AE771" s="1" t="s">
        <v>132</v>
      </c>
      <c r="AF771" s="1" t="s">
        <v>15467</v>
      </c>
      <c r="AG771" s="1" t="s">
        <v>132</v>
      </c>
      <c r="AH771" s="1" t="s">
        <v>132</v>
      </c>
      <c r="AI771" s="1" t="s">
        <v>132</v>
      </c>
      <c r="AJ771" s="1" t="s">
        <v>132</v>
      </c>
      <c r="AK771" s="1" t="s">
        <v>132</v>
      </c>
      <c r="AL771" s="1" t="s">
        <v>132</v>
      </c>
      <c r="AM771" s="1" t="s">
        <v>132</v>
      </c>
      <c r="AN771" s="1" t="s">
        <v>132</v>
      </c>
    </row>
    <row r="772" ht="15.75" customHeight="1">
      <c r="A772" s="1" t="s">
        <v>38</v>
      </c>
      <c r="B772" s="1" t="s">
        <v>15468</v>
      </c>
      <c r="C772" s="1" t="s">
        <v>15469</v>
      </c>
      <c r="D772" s="1" t="s">
        <v>132</v>
      </c>
      <c r="E772" s="1" t="s">
        <v>132</v>
      </c>
      <c r="F772" s="1" t="s">
        <v>132</v>
      </c>
      <c r="G772" s="1" t="s">
        <v>132</v>
      </c>
      <c r="H772" s="1" t="s">
        <v>132</v>
      </c>
      <c r="I772" s="1" t="s">
        <v>15469</v>
      </c>
      <c r="J772" s="1" t="s">
        <v>132</v>
      </c>
      <c r="K772" s="1" t="s">
        <v>15469</v>
      </c>
      <c r="L772" s="1" t="s">
        <v>132</v>
      </c>
      <c r="M772" s="1" t="s">
        <v>15469</v>
      </c>
      <c r="N772" s="1" t="s">
        <v>132</v>
      </c>
      <c r="O772" s="1" t="s">
        <v>132</v>
      </c>
      <c r="P772" s="1" t="s">
        <v>15469</v>
      </c>
      <c r="Q772" s="1" t="s">
        <v>132</v>
      </c>
      <c r="R772" s="1" t="s">
        <v>132</v>
      </c>
      <c r="S772" s="1" t="s">
        <v>132</v>
      </c>
      <c r="T772" s="1" t="s">
        <v>132</v>
      </c>
      <c r="U772" s="1" t="s">
        <v>132</v>
      </c>
      <c r="V772" s="1" t="s">
        <v>132</v>
      </c>
      <c r="W772" s="1" t="s">
        <v>132</v>
      </c>
      <c r="X772" s="1" t="s">
        <v>132</v>
      </c>
      <c r="Y772" s="1" t="s">
        <v>132</v>
      </c>
      <c r="Z772" s="1" t="s">
        <v>132</v>
      </c>
      <c r="AA772" s="1" t="s">
        <v>132</v>
      </c>
      <c r="AB772" s="1" t="s">
        <v>132</v>
      </c>
      <c r="AC772" s="1" t="s">
        <v>15470</v>
      </c>
      <c r="AD772" s="1" t="s">
        <v>132</v>
      </c>
      <c r="AE772" s="1" t="s">
        <v>132</v>
      </c>
      <c r="AF772" s="1" t="s">
        <v>15469</v>
      </c>
      <c r="AG772" s="1" t="s">
        <v>132</v>
      </c>
      <c r="AH772" s="1" t="s">
        <v>132</v>
      </c>
      <c r="AI772" s="1" t="s">
        <v>132</v>
      </c>
      <c r="AJ772" s="1" t="s">
        <v>132</v>
      </c>
      <c r="AK772" s="1" t="s">
        <v>132</v>
      </c>
      <c r="AL772" s="1" t="s">
        <v>132</v>
      </c>
      <c r="AM772" s="1" t="s">
        <v>132</v>
      </c>
      <c r="AN772" s="1" t="s">
        <v>132</v>
      </c>
    </row>
    <row r="773" ht="15.75" customHeight="1">
      <c r="A773" s="1" t="s">
        <v>38</v>
      </c>
      <c r="B773" s="1" t="s">
        <v>15471</v>
      </c>
      <c r="C773" s="1" t="s">
        <v>15472</v>
      </c>
      <c r="D773" s="8" t="s">
        <v>15473</v>
      </c>
      <c r="E773" s="1" t="s">
        <v>15474</v>
      </c>
      <c r="F773" s="1" t="s">
        <v>15475</v>
      </c>
      <c r="G773" s="1" t="s">
        <v>132</v>
      </c>
      <c r="H773" s="1" t="s">
        <v>132</v>
      </c>
      <c r="I773" s="1" t="s">
        <v>15476</v>
      </c>
      <c r="J773" s="1" t="s">
        <v>132</v>
      </c>
      <c r="K773" s="1" t="s">
        <v>15477</v>
      </c>
      <c r="L773" s="1" t="s">
        <v>132</v>
      </c>
      <c r="M773" s="1" t="s">
        <v>15478</v>
      </c>
      <c r="N773" s="1" t="s">
        <v>15479</v>
      </c>
      <c r="O773" s="1" t="s">
        <v>132</v>
      </c>
      <c r="P773" s="1" t="s">
        <v>15480</v>
      </c>
      <c r="Q773" s="1" t="s">
        <v>132</v>
      </c>
      <c r="R773" s="1" t="s">
        <v>132</v>
      </c>
      <c r="S773" s="1" t="s">
        <v>15481</v>
      </c>
      <c r="T773" s="1" t="s">
        <v>132</v>
      </c>
      <c r="U773" s="1" t="s">
        <v>15482</v>
      </c>
      <c r="V773" s="1" t="s">
        <v>15483</v>
      </c>
      <c r="W773" s="1" t="s">
        <v>132</v>
      </c>
      <c r="X773" s="1" t="s">
        <v>15484</v>
      </c>
      <c r="Y773" s="1" t="s">
        <v>132</v>
      </c>
      <c r="Z773" s="1" t="s">
        <v>15485</v>
      </c>
      <c r="AA773" s="1" t="s">
        <v>15486</v>
      </c>
      <c r="AB773" s="1" t="s">
        <v>132</v>
      </c>
      <c r="AC773" s="1" t="s">
        <v>15487</v>
      </c>
      <c r="AD773" s="1" t="s">
        <v>132</v>
      </c>
      <c r="AE773" s="1" t="s">
        <v>132</v>
      </c>
      <c r="AF773" s="1" t="s">
        <v>15488</v>
      </c>
      <c r="AG773" s="1" t="s">
        <v>15489</v>
      </c>
      <c r="AH773" s="1" t="s">
        <v>132</v>
      </c>
      <c r="AI773" s="1" t="s">
        <v>132</v>
      </c>
      <c r="AJ773" s="1" t="s">
        <v>15490</v>
      </c>
      <c r="AK773" s="1" t="s">
        <v>132</v>
      </c>
      <c r="AL773" s="1" t="s">
        <v>132</v>
      </c>
      <c r="AM773" s="1" t="s">
        <v>15491</v>
      </c>
      <c r="AN773" s="1" t="s">
        <v>15491</v>
      </c>
    </row>
    <row r="774" ht="15.75" customHeight="1">
      <c r="A774" s="1" t="s">
        <v>38</v>
      </c>
      <c r="B774" s="1" t="s">
        <v>15492</v>
      </c>
      <c r="C774" s="1" t="s">
        <v>15493</v>
      </c>
      <c r="D774" s="8" t="s">
        <v>15494</v>
      </c>
      <c r="E774" s="1" t="s">
        <v>15495</v>
      </c>
      <c r="F774" s="1" t="s">
        <v>15496</v>
      </c>
      <c r="G774" s="1" t="s">
        <v>132</v>
      </c>
      <c r="H774" s="1" t="s">
        <v>132</v>
      </c>
      <c r="I774" s="1" t="s">
        <v>15497</v>
      </c>
      <c r="J774" s="1" t="s">
        <v>132</v>
      </c>
      <c r="K774" s="1" t="s">
        <v>15498</v>
      </c>
      <c r="L774" s="1" t="s">
        <v>132</v>
      </c>
      <c r="M774" s="1" t="s">
        <v>15499</v>
      </c>
      <c r="N774" s="1" t="s">
        <v>15500</v>
      </c>
      <c r="O774" s="1" t="s">
        <v>132</v>
      </c>
      <c r="P774" s="1" t="s">
        <v>15501</v>
      </c>
      <c r="Q774" s="1" t="s">
        <v>132</v>
      </c>
      <c r="R774" s="1" t="s">
        <v>132</v>
      </c>
      <c r="S774" s="1" t="s">
        <v>15502</v>
      </c>
      <c r="T774" s="1" t="s">
        <v>132</v>
      </c>
      <c r="U774" s="1" t="s">
        <v>15503</v>
      </c>
      <c r="V774" s="1" t="s">
        <v>15504</v>
      </c>
      <c r="W774" s="1" t="s">
        <v>132</v>
      </c>
      <c r="X774" s="1" t="s">
        <v>15505</v>
      </c>
      <c r="Y774" s="1" t="s">
        <v>132</v>
      </c>
      <c r="Z774" s="1" t="s">
        <v>15506</v>
      </c>
      <c r="AA774" s="1" t="s">
        <v>15507</v>
      </c>
      <c r="AB774" s="1" t="s">
        <v>132</v>
      </c>
      <c r="AC774" s="1" t="s">
        <v>15508</v>
      </c>
      <c r="AD774" s="1" t="s">
        <v>132</v>
      </c>
      <c r="AE774" s="1" t="s">
        <v>132</v>
      </c>
      <c r="AF774" s="1" t="s">
        <v>15509</v>
      </c>
      <c r="AG774" s="1" t="s">
        <v>15510</v>
      </c>
      <c r="AH774" s="1" t="s">
        <v>132</v>
      </c>
      <c r="AI774" s="1" t="s">
        <v>132</v>
      </c>
      <c r="AJ774" s="1" t="s">
        <v>15511</v>
      </c>
      <c r="AK774" s="1" t="s">
        <v>132</v>
      </c>
      <c r="AL774" s="1" t="s">
        <v>132</v>
      </c>
      <c r="AM774" s="1" t="s">
        <v>15512</v>
      </c>
      <c r="AN774" s="1" t="s">
        <v>15512</v>
      </c>
    </row>
    <row r="775" ht="15.75" customHeight="1">
      <c r="A775" s="1" t="s">
        <v>127</v>
      </c>
      <c r="B775" s="1" t="s">
        <v>15513</v>
      </c>
      <c r="C775" s="1" t="s">
        <v>15514</v>
      </c>
      <c r="D775" s="8" t="s">
        <v>15515</v>
      </c>
      <c r="E775" s="1" t="s">
        <v>15514</v>
      </c>
      <c r="F775" s="1" t="s">
        <v>132</v>
      </c>
      <c r="G775" s="1" t="s">
        <v>15514</v>
      </c>
      <c r="H775" s="1" t="s">
        <v>15514</v>
      </c>
      <c r="I775" s="1" t="s">
        <v>15514</v>
      </c>
      <c r="J775" s="1" t="s">
        <v>15514</v>
      </c>
      <c r="K775" s="1" t="s">
        <v>15514</v>
      </c>
      <c r="L775" s="1" t="s">
        <v>15514</v>
      </c>
      <c r="M775" s="1" t="s">
        <v>15516</v>
      </c>
      <c r="N775" s="1" t="s">
        <v>132</v>
      </c>
      <c r="O775" s="1" t="s">
        <v>15517</v>
      </c>
      <c r="P775" s="1" t="s">
        <v>15514</v>
      </c>
      <c r="Q775" s="1" t="s">
        <v>132</v>
      </c>
      <c r="R775" s="1" t="s">
        <v>15514</v>
      </c>
      <c r="S775" s="1" t="s">
        <v>15514</v>
      </c>
      <c r="T775" s="1" t="s">
        <v>132</v>
      </c>
      <c r="U775" s="1" t="s">
        <v>15514</v>
      </c>
      <c r="V775" s="1" t="s">
        <v>15518</v>
      </c>
      <c r="W775" s="1" t="s">
        <v>15514</v>
      </c>
      <c r="X775" s="1" t="s">
        <v>15519</v>
      </c>
      <c r="Y775" s="1" t="s">
        <v>15520</v>
      </c>
      <c r="Z775" s="1" t="s">
        <v>15514</v>
      </c>
      <c r="AA775" s="1" t="s">
        <v>15514</v>
      </c>
      <c r="AB775" s="1" t="s">
        <v>15514</v>
      </c>
      <c r="AC775" s="1" t="s">
        <v>15514</v>
      </c>
      <c r="AD775" s="1" t="s">
        <v>15514</v>
      </c>
      <c r="AE775" s="1" t="s">
        <v>15514</v>
      </c>
      <c r="AF775" s="1" t="s">
        <v>15514</v>
      </c>
      <c r="AG775" s="1" t="s">
        <v>15514</v>
      </c>
      <c r="AH775" s="1" t="s">
        <v>15521</v>
      </c>
      <c r="AI775" s="1" t="s">
        <v>15522</v>
      </c>
      <c r="AJ775" s="1" t="s">
        <v>132</v>
      </c>
      <c r="AK775" s="1" t="s">
        <v>15514</v>
      </c>
      <c r="AL775" s="1" t="s">
        <v>15523</v>
      </c>
      <c r="AM775" s="1" t="s">
        <v>15524</v>
      </c>
      <c r="AN775" s="1" t="s">
        <v>15524</v>
      </c>
    </row>
    <row r="776" ht="15.75" customHeight="1">
      <c r="A776" s="1" t="s">
        <v>38</v>
      </c>
      <c r="B776" s="1" t="s">
        <v>15525</v>
      </c>
      <c r="C776" s="1" t="s">
        <v>15526</v>
      </c>
      <c r="D776" s="8" t="s">
        <v>15527</v>
      </c>
      <c r="E776" s="1" t="s">
        <v>15528</v>
      </c>
      <c r="F776" s="1" t="s">
        <v>15529</v>
      </c>
      <c r="G776" s="1" t="s">
        <v>132</v>
      </c>
      <c r="H776" s="1" t="s">
        <v>132</v>
      </c>
      <c r="I776" s="1" t="s">
        <v>15530</v>
      </c>
      <c r="J776" s="1" t="s">
        <v>132</v>
      </c>
      <c r="K776" s="1" t="s">
        <v>15531</v>
      </c>
      <c r="L776" s="1" t="s">
        <v>132</v>
      </c>
      <c r="M776" s="1" t="s">
        <v>15532</v>
      </c>
      <c r="N776" s="1" t="s">
        <v>15533</v>
      </c>
      <c r="O776" s="1" t="s">
        <v>132</v>
      </c>
      <c r="P776" s="1" t="s">
        <v>15534</v>
      </c>
      <c r="Q776" s="1" t="s">
        <v>15535</v>
      </c>
      <c r="R776" s="1" t="s">
        <v>132</v>
      </c>
      <c r="S776" s="1" t="s">
        <v>15536</v>
      </c>
      <c r="T776" s="1" t="s">
        <v>132</v>
      </c>
      <c r="U776" s="1" t="s">
        <v>15537</v>
      </c>
      <c r="V776" s="1" t="s">
        <v>15538</v>
      </c>
      <c r="W776" s="1" t="s">
        <v>132</v>
      </c>
      <c r="X776" s="1" t="s">
        <v>15539</v>
      </c>
      <c r="Y776" s="1" t="s">
        <v>132</v>
      </c>
      <c r="Z776" s="1" t="s">
        <v>15540</v>
      </c>
      <c r="AA776" s="1" t="s">
        <v>15541</v>
      </c>
      <c r="AB776" s="1" t="s">
        <v>132</v>
      </c>
      <c r="AC776" s="1" t="s">
        <v>15542</v>
      </c>
      <c r="AD776" s="1" t="s">
        <v>15543</v>
      </c>
      <c r="AE776" s="1" t="s">
        <v>132</v>
      </c>
      <c r="AF776" s="1" t="s">
        <v>15544</v>
      </c>
      <c r="AG776" s="1" t="s">
        <v>15545</v>
      </c>
      <c r="AH776" s="1" t="s">
        <v>132</v>
      </c>
      <c r="AI776" s="1" t="s">
        <v>132</v>
      </c>
      <c r="AJ776" s="1" t="s">
        <v>15546</v>
      </c>
      <c r="AK776" s="1" t="s">
        <v>15547</v>
      </c>
      <c r="AL776" s="1" t="s">
        <v>132</v>
      </c>
      <c r="AM776" s="1" t="s">
        <v>15548</v>
      </c>
      <c r="AN776" s="1" t="s">
        <v>15548</v>
      </c>
    </row>
    <row r="777" ht="15.75" customHeight="1">
      <c r="A777" s="1" t="s">
        <v>38</v>
      </c>
      <c r="B777" s="1" t="s">
        <v>15549</v>
      </c>
      <c r="C777" s="1" t="s">
        <v>15550</v>
      </c>
      <c r="D777" s="8" t="s">
        <v>15551</v>
      </c>
      <c r="E777" s="1" t="s">
        <v>15552</v>
      </c>
      <c r="F777" s="1" t="s">
        <v>15553</v>
      </c>
      <c r="G777" s="1" t="s">
        <v>132</v>
      </c>
      <c r="H777" s="1" t="s">
        <v>132</v>
      </c>
      <c r="I777" s="1" t="s">
        <v>15554</v>
      </c>
      <c r="J777" s="1" t="s">
        <v>132</v>
      </c>
      <c r="K777" s="1" t="s">
        <v>15555</v>
      </c>
      <c r="L777" s="1" t="s">
        <v>132</v>
      </c>
      <c r="M777" s="1" t="s">
        <v>15556</v>
      </c>
      <c r="N777" s="1" t="s">
        <v>15557</v>
      </c>
      <c r="O777" s="1" t="s">
        <v>132</v>
      </c>
      <c r="P777" s="1" t="s">
        <v>15558</v>
      </c>
      <c r="Q777" s="1" t="s">
        <v>132</v>
      </c>
      <c r="R777" s="1" t="s">
        <v>132</v>
      </c>
      <c r="S777" s="1" t="s">
        <v>15559</v>
      </c>
      <c r="T777" s="1" t="s">
        <v>132</v>
      </c>
      <c r="U777" s="1" t="s">
        <v>15560</v>
      </c>
      <c r="V777" s="1" t="s">
        <v>132</v>
      </c>
      <c r="W777" s="1" t="s">
        <v>132</v>
      </c>
      <c r="X777" s="1" t="s">
        <v>15561</v>
      </c>
      <c r="Y777" s="1" t="s">
        <v>132</v>
      </c>
      <c r="Z777" s="1" t="s">
        <v>15562</v>
      </c>
      <c r="AA777" s="1" t="s">
        <v>15563</v>
      </c>
      <c r="AB777" s="1" t="s">
        <v>132</v>
      </c>
      <c r="AC777" s="1" t="s">
        <v>15564</v>
      </c>
      <c r="AD777" s="1" t="s">
        <v>132</v>
      </c>
      <c r="AE777" s="1" t="s">
        <v>132</v>
      </c>
      <c r="AF777" s="1" t="s">
        <v>15565</v>
      </c>
      <c r="AG777" s="1" t="s">
        <v>132</v>
      </c>
      <c r="AH777" s="1" t="s">
        <v>132</v>
      </c>
      <c r="AI777" s="1" t="s">
        <v>132</v>
      </c>
      <c r="AJ777" s="1" t="s">
        <v>132</v>
      </c>
      <c r="AK777" s="1" t="s">
        <v>132</v>
      </c>
      <c r="AL777" s="1" t="s">
        <v>132</v>
      </c>
      <c r="AM777" s="1" t="s">
        <v>132</v>
      </c>
      <c r="AN777" s="1" t="s">
        <v>132</v>
      </c>
    </row>
    <row r="778" ht="15.75" customHeight="1">
      <c r="A778" s="1" t="s">
        <v>38</v>
      </c>
      <c r="B778" s="1" t="s">
        <v>15566</v>
      </c>
      <c r="C778" s="1" t="s">
        <v>15566</v>
      </c>
      <c r="D778" s="1" t="s">
        <v>132</v>
      </c>
      <c r="E778" s="1" t="s">
        <v>132</v>
      </c>
      <c r="F778" s="1" t="s">
        <v>132</v>
      </c>
      <c r="G778" s="1" t="s">
        <v>132</v>
      </c>
      <c r="H778" s="1" t="s">
        <v>132</v>
      </c>
      <c r="I778" s="1" t="s">
        <v>15566</v>
      </c>
      <c r="J778" s="1" t="s">
        <v>132</v>
      </c>
      <c r="K778" s="1" t="s">
        <v>15566</v>
      </c>
      <c r="L778" s="1" t="s">
        <v>132</v>
      </c>
      <c r="M778" s="1" t="s">
        <v>15567</v>
      </c>
      <c r="N778" s="1" t="s">
        <v>132</v>
      </c>
      <c r="O778" s="1" t="s">
        <v>132</v>
      </c>
      <c r="P778" s="1" t="s">
        <v>15566</v>
      </c>
      <c r="Q778" s="1" t="s">
        <v>132</v>
      </c>
      <c r="R778" s="1" t="s">
        <v>132</v>
      </c>
      <c r="S778" s="1" t="s">
        <v>132</v>
      </c>
      <c r="T778" s="1" t="s">
        <v>132</v>
      </c>
      <c r="U778" s="1" t="s">
        <v>132</v>
      </c>
      <c r="V778" s="1" t="s">
        <v>132</v>
      </c>
      <c r="W778" s="1" t="s">
        <v>132</v>
      </c>
      <c r="X778" s="1" t="s">
        <v>132</v>
      </c>
      <c r="Y778" s="1" t="s">
        <v>132</v>
      </c>
      <c r="Z778" s="1" t="s">
        <v>132</v>
      </c>
      <c r="AA778" s="1" t="s">
        <v>132</v>
      </c>
      <c r="AB778" s="1" t="s">
        <v>132</v>
      </c>
      <c r="AC778" s="1" t="s">
        <v>15568</v>
      </c>
      <c r="AD778" s="1" t="s">
        <v>132</v>
      </c>
      <c r="AE778" s="1" t="s">
        <v>132</v>
      </c>
      <c r="AF778" s="1" t="s">
        <v>15569</v>
      </c>
      <c r="AG778" s="1" t="s">
        <v>132</v>
      </c>
      <c r="AH778" s="1" t="s">
        <v>132</v>
      </c>
      <c r="AI778" s="1" t="s">
        <v>132</v>
      </c>
      <c r="AJ778" s="1" t="s">
        <v>132</v>
      </c>
      <c r="AK778" s="1" t="s">
        <v>132</v>
      </c>
      <c r="AL778" s="1" t="s">
        <v>132</v>
      </c>
      <c r="AM778" s="1" t="s">
        <v>132</v>
      </c>
      <c r="AN778" s="1" t="s">
        <v>132</v>
      </c>
    </row>
    <row r="779" ht="15.75" customHeight="1">
      <c r="A779" s="1" t="s">
        <v>127</v>
      </c>
      <c r="B779" s="1" t="s">
        <v>15570</v>
      </c>
      <c r="C779" s="1" t="s">
        <v>15571</v>
      </c>
      <c r="D779" s="8" t="s">
        <v>15572</v>
      </c>
      <c r="E779" s="1" t="s">
        <v>15573</v>
      </c>
      <c r="F779" s="1" t="s">
        <v>132</v>
      </c>
      <c r="G779" s="1" t="s">
        <v>15574</v>
      </c>
      <c r="H779" s="1" t="s">
        <v>15575</v>
      </c>
      <c r="I779" s="1" t="s">
        <v>15576</v>
      </c>
      <c r="J779" s="1" t="s">
        <v>15577</v>
      </c>
      <c r="K779" s="1" t="s">
        <v>15578</v>
      </c>
      <c r="L779" s="1" t="s">
        <v>15579</v>
      </c>
      <c r="M779" s="1" t="s">
        <v>15571</v>
      </c>
      <c r="N779" s="1" t="s">
        <v>132</v>
      </c>
      <c r="O779" s="1" t="s">
        <v>15580</v>
      </c>
      <c r="P779" s="1" t="s">
        <v>15571</v>
      </c>
      <c r="Q779" s="1" t="s">
        <v>132</v>
      </c>
      <c r="R779" s="1" t="s">
        <v>15581</v>
      </c>
      <c r="S779" s="1" t="s">
        <v>15582</v>
      </c>
      <c r="T779" s="1" t="s">
        <v>132</v>
      </c>
      <c r="U779" s="1" t="s">
        <v>15583</v>
      </c>
      <c r="V779" s="1" t="s">
        <v>15584</v>
      </c>
      <c r="W779" s="1" t="s">
        <v>15585</v>
      </c>
      <c r="X779" s="1" t="s">
        <v>15586</v>
      </c>
      <c r="Y779" s="1" t="s">
        <v>15587</v>
      </c>
      <c r="Z779" s="1" t="s">
        <v>15588</v>
      </c>
      <c r="AA779" s="1" t="s">
        <v>15589</v>
      </c>
      <c r="AB779" s="1" t="s">
        <v>15590</v>
      </c>
      <c r="AC779" s="1" t="s">
        <v>15591</v>
      </c>
      <c r="AD779" s="1" t="s">
        <v>15592</v>
      </c>
      <c r="AE779" s="1" t="s">
        <v>15593</v>
      </c>
      <c r="AF779" s="1" t="s">
        <v>15594</v>
      </c>
      <c r="AG779" s="1" t="s">
        <v>15595</v>
      </c>
      <c r="AH779" s="1" t="s">
        <v>15596</v>
      </c>
      <c r="AI779" s="1" t="s">
        <v>15597</v>
      </c>
      <c r="AJ779" s="1" t="s">
        <v>132</v>
      </c>
      <c r="AK779" s="1" t="s">
        <v>15598</v>
      </c>
      <c r="AL779" s="1" t="s">
        <v>15599</v>
      </c>
      <c r="AM779" s="1" t="s">
        <v>132</v>
      </c>
      <c r="AN779" s="1" t="s">
        <v>132</v>
      </c>
    </row>
    <row r="780" ht="15.75" customHeight="1">
      <c r="A780" s="1" t="s">
        <v>38</v>
      </c>
      <c r="B780" s="1" t="s">
        <v>15600</v>
      </c>
      <c r="C780" s="1" t="s">
        <v>15601</v>
      </c>
      <c r="D780" s="8" t="s">
        <v>15602</v>
      </c>
      <c r="E780" s="1" t="s">
        <v>15603</v>
      </c>
      <c r="F780" s="1" t="s">
        <v>15604</v>
      </c>
      <c r="G780" s="1" t="s">
        <v>132</v>
      </c>
      <c r="H780" s="1" t="s">
        <v>132</v>
      </c>
      <c r="I780" s="1" t="s">
        <v>15605</v>
      </c>
      <c r="J780" s="1" t="s">
        <v>132</v>
      </c>
      <c r="K780" s="1" t="s">
        <v>15606</v>
      </c>
      <c r="L780" s="1" t="s">
        <v>132</v>
      </c>
      <c r="M780" s="1" t="s">
        <v>15607</v>
      </c>
      <c r="N780" s="1" t="s">
        <v>15606</v>
      </c>
      <c r="O780" s="1" t="s">
        <v>132</v>
      </c>
      <c r="P780" s="1" t="s">
        <v>15608</v>
      </c>
      <c r="Q780" s="1" t="s">
        <v>15609</v>
      </c>
      <c r="R780" s="1" t="s">
        <v>132</v>
      </c>
      <c r="S780" s="1" t="s">
        <v>15610</v>
      </c>
      <c r="T780" s="1" t="s">
        <v>132</v>
      </c>
      <c r="U780" s="1" t="s">
        <v>15611</v>
      </c>
      <c r="V780" s="1" t="s">
        <v>15612</v>
      </c>
      <c r="W780" s="1" t="s">
        <v>132</v>
      </c>
      <c r="X780" s="1" t="s">
        <v>15613</v>
      </c>
      <c r="Y780" s="1" t="s">
        <v>132</v>
      </c>
      <c r="Z780" s="1" t="s">
        <v>15614</v>
      </c>
      <c r="AA780" s="1" t="s">
        <v>15615</v>
      </c>
      <c r="AB780" s="1" t="s">
        <v>132</v>
      </c>
      <c r="AC780" s="1" t="s">
        <v>15616</v>
      </c>
      <c r="AD780" s="1" t="s">
        <v>15617</v>
      </c>
      <c r="AE780" s="1" t="s">
        <v>132</v>
      </c>
      <c r="AF780" s="1" t="s">
        <v>15618</v>
      </c>
      <c r="AG780" s="1" t="s">
        <v>15619</v>
      </c>
      <c r="AH780" s="1" t="s">
        <v>132</v>
      </c>
      <c r="AI780" s="1" t="s">
        <v>132</v>
      </c>
      <c r="AJ780" s="1" t="s">
        <v>15620</v>
      </c>
      <c r="AK780" s="1" t="s">
        <v>15621</v>
      </c>
      <c r="AL780" s="1" t="s">
        <v>132</v>
      </c>
      <c r="AM780" s="1" t="s">
        <v>15622</v>
      </c>
      <c r="AN780" s="1" t="s">
        <v>15622</v>
      </c>
    </row>
    <row r="781" ht="15.75" customHeight="1">
      <c r="A781" s="1" t="s">
        <v>38</v>
      </c>
      <c r="B781" s="1" t="s">
        <v>15623</v>
      </c>
      <c r="C781" s="1" t="s">
        <v>43241</v>
      </c>
      <c r="D781" s="1" t="s">
        <v>132</v>
      </c>
      <c r="E781" s="1" t="s">
        <v>15625</v>
      </c>
      <c r="F781" s="1" t="s">
        <v>15626</v>
      </c>
      <c r="G781" s="1" t="s">
        <v>132</v>
      </c>
      <c r="H781" s="1" t="s">
        <v>132</v>
      </c>
      <c r="I781" s="1" t="s">
        <v>15628</v>
      </c>
      <c r="J781" s="1" t="s">
        <v>132</v>
      </c>
      <c r="K781" s="1" t="s">
        <v>15629</v>
      </c>
      <c r="L781" s="1" t="s">
        <v>132</v>
      </c>
      <c r="M781" s="1" t="s">
        <v>15630</v>
      </c>
      <c r="N781" s="1" t="s">
        <v>15631</v>
      </c>
      <c r="O781" s="1" t="s">
        <v>132</v>
      </c>
      <c r="P781" s="1" t="s">
        <v>15632</v>
      </c>
      <c r="Q781" s="1" t="s">
        <v>132</v>
      </c>
      <c r="R781" s="1" t="s">
        <v>132</v>
      </c>
      <c r="S781" s="1" t="s">
        <v>15634</v>
      </c>
      <c r="T781" s="1" t="s">
        <v>132</v>
      </c>
      <c r="U781" s="1" t="s">
        <v>132</v>
      </c>
      <c r="V781" s="1" t="s">
        <v>132</v>
      </c>
      <c r="W781" s="1" t="s">
        <v>132</v>
      </c>
      <c r="X781" s="1" t="s">
        <v>15638</v>
      </c>
      <c r="Y781" s="1" t="s">
        <v>132</v>
      </c>
      <c r="Z781" s="1" t="s">
        <v>15640</v>
      </c>
      <c r="AA781" s="1" t="s">
        <v>132</v>
      </c>
      <c r="AB781" s="1" t="s">
        <v>132</v>
      </c>
      <c r="AC781" s="1" t="s">
        <v>132</v>
      </c>
      <c r="AD781" s="1" t="s">
        <v>132</v>
      </c>
      <c r="AE781" s="1" t="s">
        <v>132</v>
      </c>
      <c r="AF781" s="1" t="s">
        <v>132</v>
      </c>
      <c r="AG781" s="1" t="s">
        <v>132</v>
      </c>
      <c r="AH781" s="1" t="s">
        <v>132</v>
      </c>
      <c r="AI781" s="1" t="s">
        <v>132</v>
      </c>
      <c r="AJ781" s="1" t="s">
        <v>132</v>
      </c>
      <c r="AK781" s="1" t="s">
        <v>132</v>
      </c>
      <c r="AL781" s="1" t="s">
        <v>132</v>
      </c>
      <c r="AM781" s="1" t="s">
        <v>132</v>
      </c>
      <c r="AN781" s="1" t="s">
        <v>132</v>
      </c>
    </row>
    <row r="782" ht="15.75" customHeight="1">
      <c r="A782" s="1" t="s">
        <v>127</v>
      </c>
      <c r="B782" s="1" t="s">
        <v>15642</v>
      </c>
      <c r="C782" s="1" t="s">
        <v>15643</v>
      </c>
      <c r="D782" s="8" t="s">
        <v>15644</v>
      </c>
      <c r="E782" s="1" t="s">
        <v>15645</v>
      </c>
      <c r="F782" s="1" t="s">
        <v>132</v>
      </c>
      <c r="G782" s="1" t="s">
        <v>15646</v>
      </c>
      <c r="H782" s="1" t="s">
        <v>15647</v>
      </c>
      <c r="I782" s="1" t="s">
        <v>15648</v>
      </c>
      <c r="J782" s="1" t="s">
        <v>15649</v>
      </c>
      <c r="K782" s="1" t="s">
        <v>15650</v>
      </c>
      <c r="L782" s="1" t="s">
        <v>15651</v>
      </c>
      <c r="M782" s="1" t="s">
        <v>15652</v>
      </c>
      <c r="N782" s="1" t="s">
        <v>132</v>
      </c>
      <c r="O782" s="1" t="s">
        <v>15653</v>
      </c>
      <c r="P782" s="1" t="s">
        <v>2855</v>
      </c>
      <c r="Q782" s="1" t="s">
        <v>132</v>
      </c>
      <c r="R782" s="1" t="s">
        <v>15654</v>
      </c>
      <c r="S782" s="1" t="s">
        <v>15655</v>
      </c>
      <c r="T782" s="1" t="s">
        <v>132</v>
      </c>
      <c r="U782" s="1" t="s">
        <v>15656</v>
      </c>
      <c r="V782" s="1" t="s">
        <v>15657</v>
      </c>
      <c r="W782" s="1" t="s">
        <v>15654</v>
      </c>
      <c r="X782" s="1" t="s">
        <v>15658</v>
      </c>
      <c r="Y782" s="1" t="s">
        <v>15659</v>
      </c>
      <c r="Z782" s="1" t="s">
        <v>15660</v>
      </c>
      <c r="AA782" s="1" t="s">
        <v>15661</v>
      </c>
      <c r="AB782" s="1" t="s">
        <v>15662</v>
      </c>
      <c r="AC782" s="1" t="s">
        <v>15663</v>
      </c>
      <c r="AD782" s="1" t="s">
        <v>15664</v>
      </c>
      <c r="AE782" s="1" t="s">
        <v>15665</v>
      </c>
      <c r="AF782" s="1" t="s">
        <v>15666</v>
      </c>
      <c r="AG782" s="1" t="s">
        <v>15667</v>
      </c>
      <c r="AH782" s="1" t="s">
        <v>15668</v>
      </c>
      <c r="AI782" s="1" t="s">
        <v>15669</v>
      </c>
      <c r="AJ782" s="1" t="s">
        <v>132</v>
      </c>
      <c r="AK782" s="1" t="s">
        <v>15670</v>
      </c>
      <c r="AL782" s="1" t="s">
        <v>15671</v>
      </c>
      <c r="AM782" s="1" t="s">
        <v>132</v>
      </c>
      <c r="AN782" s="1" t="s">
        <v>132</v>
      </c>
    </row>
    <row r="783" ht="15.75" customHeight="1">
      <c r="A783" s="1" t="s">
        <v>127</v>
      </c>
      <c r="B783" s="1" t="s">
        <v>15672</v>
      </c>
      <c r="C783" s="1" t="s">
        <v>15673</v>
      </c>
      <c r="D783" s="8" t="s">
        <v>15674</v>
      </c>
      <c r="E783" s="1" t="s">
        <v>15675</v>
      </c>
      <c r="F783" s="1" t="s">
        <v>132</v>
      </c>
      <c r="G783" s="1" t="s">
        <v>15676</v>
      </c>
      <c r="H783" s="1" t="s">
        <v>15677</v>
      </c>
      <c r="I783" s="1" t="s">
        <v>15678</v>
      </c>
      <c r="J783" s="1" t="s">
        <v>15679</v>
      </c>
      <c r="K783" s="1" t="s">
        <v>15680</v>
      </c>
      <c r="L783" s="1" t="s">
        <v>15681</v>
      </c>
      <c r="M783" s="1" t="s">
        <v>15682</v>
      </c>
      <c r="N783" s="1" t="s">
        <v>132</v>
      </c>
      <c r="O783" s="1" t="s">
        <v>15683</v>
      </c>
      <c r="P783" s="1" t="s">
        <v>13138</v>
      </c>
      <c r="Q783" s="1" t="s">
        <v>132</v>
      </c>
      <c r="R783" s="1" t="s">
        <v>15684</v>
      </c>
      <c r="S783" s="1" t="s">
        <v>15685</v>
      </c>
      <c r="T783" s="1" t="s">
        <v>132</v>
      </c>
      <c r="U783" s="1" t="s">
        <v>15686</v>
      </c>
      <c r="V783" s="1" t="s">
        <v>15687</v>
      </c>
      <c r="W783" s="1" t="s">
        <v>15684</v>
      </c>
      <c r="X783" s="1" t="s">
        <v>15688</v>
      </c>
      <c r="Y783" s="1" t="s">
        <v>15677</v>
      </c>
      <c r="Z783" s="1" t="s">
        <v>15689</v>
      </c>
      <c r="AA783" s="1" t="s">
        <v>15690</v>
      </c>
      <c r="AB783" s="1" t="s">
        <v>15691</v>
      </c>
      <c r="AC783" s="1" t="s">
        <v>15692</v>
      </c>
      <c r="AD783" s="1" t="s">
        <v>15693</v>
      </c>
      <c r="AE783" s="1" t="s">
        <v>15694</v>
      </c>
      <c r="AF783" s="1" t="s">
        <v>15695</v>
      </c>
      <c r="AG783" s="1" t="s">
        <v>15677</v>
      </c>
      <c r="AH783" s="1" t="s">
        <v>15696</v>
      </c>
      <c r="AI783" s="1" t="s">
        <v>15697</v>
      </c>
      <c r="AJ783" s="1" t="s">
        <v>132</v>
      </c>
      <c r="AK783" s="1" t="s">
        <v>15698</v>
      </c>
      <c r="AL783" s="1" t="s">
        <v>15699</v>
      </c>
      <c r="AM783" s="1" t="s">
        <v>132</v>
      </c>
      <c r="AN783" s="1" t="s">
        <v>132</v>
      </c>
    </row>
    <row r="784" ht="15.75" customHeight="1">
      <c r="A784" s="1" t="s">
        <v>38</v>
      </c>
      <c r="B784" s="1" t="s">
        <v>15700</v>
      </c>
      <c r="C784" s="1" t="s">
        <v>15701</v>
      </c>
      <c r="D784" s="8" t="s">
        <v>15702</v>
      </c>
      <c r="E784" s="1" t="s">
        <v>15703</v>
      </c>
      <c r="F784" s="1" t="s">
        <v>15704</v>
      </c>
      <c r="G784" s="1" t="s">
        <v>132</v>
      </c>
      <c r="H784" s="1" t="s">
        <v>132</v>
      </c>
      <c r="I784" s="1" t="s">
        <v>15705</v>
      </c>
      <c r="J784" s="1" t="s">
        <v>132</v>
      </c>
      <c r="K784" s="1" t="s">
        <v>15706</v>
      </c>
      <c r="L784" s="1" t="s">
        <v>132</v>
      </c>
      <c r="M784" s="1" t="s">
        <v>15707</v>
      </c>
      <c r="N784" s="1" t="s">
        <v>15708</v>
      </c>
      <c r="O784" s="1" t="s">
        <v>132</v>
      </c>
      <c r="P784" s="1" t="s">
        <v>15709</v>
      </c>
      <c r="Q784" s="1" t="s">
        <v>132</v>
      </c>
      <c r="R784" s="1" t="s">
        <v>132</v>
      </c>
      <c r="S784" s="1" t="s">
        <v>15710</v>
      </c>
      <c r="T784" s="1" t="s">
        <v>132</v>
      </c>
      <c r="U784" s="1" t="s">
        <v>15711</v>
      </c>
      <c r="V784" s="1" t="s">
        <v>132</v>
      </c>
      <c r="W784" s="1" t="s">
        <v>132</v>
      </c>
      <c r="X784" s="1" t="s">
        <v>15712</v>
      </c>
      <c r="Y784" s="1" t="s">
        <v>132</v>
      </c>
      <c r="Z784" s="1" t="s">
        <v>15713</v>
      </c>
      <c r="AA784" s="1" t="s">
        <v>132</v>
      </c>
      <c r="AB784" s="1" t="s">
        <v>132</v>
      </c>
      <c r="AC784" s="1" t="s">
        <v>15714</v>
      </c>
      <c r="AD784" s="1" t="s">
        <v>132</v>
      </c>
      <c r="AE784" s="1" t="s">
        <v>132</v>
      </c>
      <c r="AF784" s="1" t="s">
        <v>15715</v>
      </c>
      <c r="AG784" s="1" t="s">
        <v>15716</v>
      </c>
      <c r="AH784" s="1" t="s">
        <v>132</v>
      </c>
      <c r="AI784" s="1" t="s">
        <v>132</v>
      </c>
      <c r="AJ784" s="1" t="s">
        <v>15717</v>
      </c>
      <c r="AK784" s="1" t="s">
        <v>132</v>
      </c>
      <c r="AL784" s="1" t="s">
        <v>132</v>
      </c>
      <c r="AM784" s="1" t="s">
        <v>15718</v>
      </c>
      <c r="AN784" s="1" t="s">
        <v>15718</v>
      </c>
    </row>
    <row r="785" ht="15.75" customHeight="1">
      <c r="A785" s="1" t="s">
        <v>127</v>
      </c>
      <c r="B785" s="1" t="s">
        <v>15719</v>
      </c>
      <c r="C785" s="1" t="s">
        <v>15720</v>
      </c>
      <c r="D785" s="8" t="s">
        <v>15721</v>
      </c>
      <c r="E785" s="1" t="s">
        <v>15722</v>
      </c>
      <c r="F785" s="1" t="s">
        <v>132</v>
      </c>
      <c r="G785" s="1" t="s">
        <v>15720</v>
      </c>
      <c r="H785" s="1" t="s">
        <v>15720</v>
      </c>
      <c r="I785" s="1" t="s">
        <v>15720</v>
      </c>
      <c r="J785" s="1" t="s">
        <v>15723</v>
      </c>
      <c r="K785" s="1" t="s">
        <v>15720</v>
      </c>
      <c r="L785" s="1" t="s">
        <v>15720</v>
      </c>
      <c r="M785" s="1" t="s">
        <v>15720</v>
      </c>
      <c r="N785" s="1" t="s">
        <v>132</v>
      </c>
      <c r="O785" s="1" t="s">
        <v>15724</v>
      </c>
      <c r="P785" s="1" t="s">
        <v>15720</v>
      </c>
      <c r="Q785" s="1" t="s">
        <v>132</v>
      </c>
      <c r="R785" s="1" t="s">
        <v>15720</v>
      </c>
      <c r="S785" s="1" t="s">
        <v>15720</v>
      </c>
      <c r="T785" s="1" t="s">
        <v>132</v>
      </c>
      <c r="U785" s="1" t="s">
        <v>15725</v>
      </c>
      <c r="V785" s="1" t="s">
        <v>15726</v>
      </c>
      <c r="W785" s="1" t="s">
        <v>15720</v>
      </c>
      <c r="X785" s="1" t="s">
        <v>15720</v>
      </c>
      <c r="Y785" s="1" t="s">
        <v>15720</v>
      </c>
      <c r="Z785" s="1" t="s">
        <v>15720</v>
      </c>
      <c r="AA785" s="1" t="s">
        <v>15720</v>
      </c>
      <c r="AB785" s="1" t="s">
        <v>15720</v>
      </c>
      <c r="AC785" s="1" t="s">
        <v>15727</v>
      </c>
      <c r="AD785" s="1" t="s">
        <v>15720</v>
      </c>
      <c r="AE785" s="1" t="s">
        <v>15720</v>
      </c>
      <c r="AF785" s="1" t="s">
        <v>15720</v>
      </c>
      <c r="AG785" s="1" t="s">
        <v>15720</v>
      </c>
      <c r="AH785" s="1" t="s">
        <v>15728</v>
      </c>
      <c r="AI785" s="1" t="s">
        <v>15720</v>
      </c>
      <c r="AJ785" s="1" t="s">
        <v>132</v>
      </c>
      <c r="AK785" s="1" t="s">
        <v>15720</v>
      </c>
      <c r="AL785" s="1" t="s">
        <v>15720</v>
      </c>
      <c r="AM785" s="1" t="s">
        <v>132</v>
      </c>
      <c r="AN785" s="1" t="s">
        <v>132</v>
      </c>
    </row>
    <row r="786" ht="15.75" customHeight="1">
      <c r="A786" s="1" t="s">
        <v>127</v>
      </c>
      <c r="B786" s="1" t="s">
        <v>15729</v>
      </c>
      <c r="C786" s="1" t="s">
        <v>15730</v>
      </c>
      <c r="D786" s="8" t="s">
        <v>15731</v>
      </c>
      <c r="E786" s="1" t="s">
        <v>15732</v>
      </c>
      <c r="F786" s="1" t="s">
        <v>132</v>
      </c>
      <c r="G786" s="1" t="s">
        <v>15733</v>
      </c>
      <c r="H786" s="1" t="s">
        <v>15734</v>
      </c>
      <c r="I786" s="1" t="s">
        <v>15735</v>
      </c>
      <c r="J786" s="1" t="s">
        <v>15736</v>
      </c>
      <c r="K786" s="1" t="s">
        <v>15737</v>
      </c>
      <c r="L786" s="1" t="s">
        <v>15738</v>
      </c>
      <c r="M786" s="1" t="s">
        <v>15739</v>
      </c>
      <c r="N786" s="1" t="s">
        <v>132</v>
      </c>
      <c r="O786" s="1" t="s">
        <v>15740</v>
      </c>
      <c r="P786" s="1" t="s">
        <v>15741</v>
      </c>
      <c r="Q786" s="1" t="s">
        <v>132</v>
      </c>
      <c r="R786" s="1" t="s">
        <v>15742</v>
      </c>
      <c r="S786" s="1" t="s">
        <v>15743</v>
      </c>
      <c r="T786" s="1" t="s">
        <v>132</v>
      </c>
      <c r="U786" s="1" t="s">
        <v>15744</v>
      </c>
      <c r="V786" s="1" t="s">
        <v>15745</v>
      </c>
      <c r="W786" s="1" t="s">
        <v>15746</v>
      </c>
      <c r="X786" s="1" t="s">
        <v>15747</v>
      </c>
      <c r="Y786" s="1" t="s">
        <v>15748</v>
      </c>
      <c r="Z786" s="1" t="s">
        <v>15749</v>
      </c>
      <c r="AA786" s="1" t="s">
        <v>15750</v>
      </c>
      <c r="AB786" s="1" t="s">
        <v>15751</v>
      </c>
      <c r="AC786" s="1" t="s">
        <v>15752</v>
      </c>
      <c r="AD786" s="1" t="s">
        <v>15753</v>
      </c>
      <c r="AE786" s="1" t="s">
        <v>15754</v>
      </c>
      <c r="AF786" s="1" t="s">
        <v>15755</v>
      </c>
      <c r="AG786" s="1" t="s">
        <v>15756</v>
      </c>
      <c r="AH786" s="1" t="s">
        <v>15757</v>
      </c>
      <c r="AI786" s="1" t="s">
        <v>15758</v>
      </c>
      <c r="AJ786" s="1" t="s">
        <v>132</v>
      </c>
      <c r="AK786" s="1" t="s">
        <v>15759</v>
      </c>
      <c r="AL786" s="1" t="s">
        <v>15760</v>
      </c>
      <c r="AM786" s="1" t="s">
        <v>15761</v>
      </c>
      <c r="AN786" s="1" t="s">
        <v>15761</v>
      </c>
    </row>
    <row r="787" ht="15.75" customHeight="1">
      <c r="A787" s="1" t="s">
        <v>127</v>
      </c>
      <c r="B787" s="1" t="s">
        <v>15762</v>
      </c>
      <c r="C787" s="1" t="s">
        <v>15763</v>
      </c>
      <c r="D787" s="8" t="s">
        <v>15764</v>
      </c>
      <c r="E787" s="1" t="s">
        <v>15765</v>
      </c>
      <c r="F787" s="1" t="s">
        <v>132</v>
      </c>
      <c r="G787" s="1" t="s">
        <v>15766</v>
      </c>
      <c r="H787" s="1" t="s">
        <v>15767</v>
      </c>
      <c r="I787" s="1" t="s">
        <v>15768</v>
      </c>
      <c r="J787" s="1" t="s">
        <v>15769</v>
      </c>
      <c r="K787" s="1" t="s">
        <v>15770</v>
      </c>
      <c r="L787" s="1" t="s">
        <v>15771</v>
      </c>
      <c r="M787" s="1" t="s">
        <v>15772</v>
      </c>
      <c r="N787" s="1" t="s">
        <v>132</v>
      </c>
      <c r="O787" s="1" t="s">
        <v>15773</v>
      </c>
      <c r="P787" s="1" t="s">
        <v>15763</v>
      </c>
      <c r="Q787" s="1" t="s">
        <v>132</v>
      </c>
      <c r="R787" s="1" t="s">
        <v>15774</v>
      </c>
      <c r="S787" s="1" t="s">
        <v>15775</v>
      </c>
      <c r="T787" s="1" t="s">
        <v>132</v>
      </c>
      <c r="U787" s="1" t="s">
        <v>15776</v>
      </c>
      <c r="V787" s="1" t="s">
        <v>15777</v>
      </c>
      <c r="W787" s="1" t="s">
        <v>15778</v>
      </c>
      <c r="X787" s="1" t="s">
        <v>15779</v>
      </c>
      <c r="Y787" s="1" t="s">
        <v>15780</v>
      </c>
      <c r="Z787" s="1" t="s">
        <v>15781</v>
      </c>
      <c r="AA787" s="1" t="s">
        <v>15782</v>
      </c>
      <c r="AB787" s="1" t="s">
        <v>15783</v>
      </c>
      <c r="AC787" s="1" t="s">
        <v>15784</v>
      </c>
      <c r="AD787" s="1" t="s">
        <v>15785</v>
      </c>
      <c r="AE787" s="1" t="s">
        <v>15786</v>
      </c>
      <c r="AF787" s="1" t="s">
        <v>15787</v>
      </c>
      <c r="AG787" s="1" t="s">
        <v>15788</v>
      </c>
      <c r="AH787" s="1" t="s">
        <v>15789</v>
      </c>
      <c r="AI787" s="1" t="s">
        <v>15790</v>
      </c>
      <c r="AJ787" s="1" t="s">
        <v>132</v>
      </c>
      <c r="AK787" s="1" t="s">
        <v>15791</v>
      </c>
      <c r="AL787" s="1" t="s">
        <v>15792</v>
      </c>
      <c r="AM787" s="1" t="s">
        <v>132</v>
      </c>
      <c r="AN787" s="1" t="s">
        <v>132</v>
      </c>
    </row>
    <row r="788" ht="15.75" customHeight="1">
      <c r="A788" s="1" t="s">
        <v>38</v>
      </c>
      <c r="B788" s="1" t="s">
        <v>15793</v>
      </c>
      <c r="C788" s="1" t="s">
        <v>15794</v>
      </c>
      <c r="D788" s="8" t="s">
        <v>15795</v>
      </c>
      <c r="E788" s="1" t="s">
        <v>15796</v>
      </c>
      <c r="F788" s="1" t="s">
        <v>15797</v>
      </c>
      <c r="G788" s="1" t="s">
        <v>132</v>
      </c>
      <c r="H788" s="1" t="s">
        <v>132</v>
      </c>
      <c r="I788" s="1" t="s">
        <v>15798</v>
      </c>
      <c r="J788" s="1" t="s">
        <v>132</v>
      </c>
      <c r="K788" s="1" t="s">
        <v>15799</v>
      </c>
      <c r="L788" s="1" t="s">
        <v>132</v>
      </c>
      <c r="M788" s="1" t="s">
        <v>15800</v>
      </c>
      <c r="N788" s="1" t="s">
        <v>15799</v>
      </c>
      <c r="O788" s="1" t="s">
        <v>132</v>
      </c>
      <c r="P788" s="1" t="s">
        <v>15801</v>
      </c>
      <c r="Q788" s="1" t="s">
        <v>15802</v>
      </c>
      <c r="R788" s="1" t="s">
        <v>132</v>
      </c>
      <c r="S788" s="1" t="s">
        <v>15803</v>
      </c>
      <c r="T788" s="1" t="s">
        <v>132</v>
      </c>
      <c r="U788" s="1" t="s">
        <v>15804</v>
      </c>
      <c r="V788" s="1" t="s">
        <v>15805</v>
      </c>
      <c r="W788" s="1" t="s">
        <v>132</v>
      </c>
      <c r="X788" s="1" t="s">
        <v>15806</v>
      </c>
      <c r="Y788" s="1" t="s">
        <v>132</v>
      </c>
      <c r="Z788" s="1" t="s">
        <v>15807</v>
      </c>
      <c r="AA788" s="1" t="s">
        <v>15808</v>
      </c>
      <c r="AB788" s="1" t="s">
        <v>132</v>
      </c>
      <c r="AC788" s="1" t="s">
        <v>15809</v>
      </c>
      <c r="AD788" s="1" t="s">
        <v>132</v>
      </c>
      <c r="AE788" s="1" t="s">
        <v>132</v>
      </c>
      <c r="AF788" s="1" t="s">
        <v>15810</v>
      </c>
      <c r="AG788" s="1" t="s">
        <v>15811</v>
      </c>
      <c r="AH788" s="1" t="s">
        <v>132</v>
      </c>
      <c r="AI788" s="1" t="s">
        <v>132</v>
      </c>
      <c r="AJ788" s="1" t="s">
        <v>15812</v>
      </c>
      <c r="AK788" s="1" t="s">
        <v>132</v>
      </c>
      <c r="AL788" s="1" t="s">
        <v>132</v>
      </c>
      <c r="AM788" s="1" t="s">
        <v>15813</v>
      </c>
      <c r="AN788" s="1" t="s">
        <v>15813</v>
      </c>
    </row>
    <row r="789" ht="15.75" customHeight="1">
      <c r="A789" s="1" t="s">
        <v>38</v>
      </c>
      <c r="B789" s="1" t="s">
        <v>15814</v>
      </c>
      <c r="C789" s="1" t="s">
        <v>132</v>
      </c>
      <c r="D789" s="1" t="s">
        <v>132</v>
      </c>
      <c r="E789" s="1" t="s">
        <v>132</v>
      </c>
      <c r="F789" s="1" t="s">
        <v>132</v>
      </c>
      <c r="G789" s="1" t="s">
        <v>132</v>
      </c>
      <c r="H789" s="1" t="s">
        <v>132</v>
      </c>
      <c r="I789" s="1" t="s">
        <v>132</v>
      </c>
      <c r="J789" s="1" t="s">
        <v>132</v>
      </c>
      <c r="K789" s="1" t="s">
        <v>132</v>
      </c>
      <c r="L789" s="1" t="s">
        <v>132</v>
      </c>
      <c r="M789" s="1" t="s">
        <v>132</v>
      </c>
      <c r="N789" s="1" t="s">
        <v>132</v>
      </c>
      <c r="O789" s="1" t="s">
        <v>132</v>
      </c>
      <c r="P789" s="1" t="s">
        <v>132</v>
      </c>
      <c r="Q789" s="1" t="s">
        <v>132</v>
      </c>
      <c r="R789" s="1" t="s">
        <v>132</v>
      </c>
      <c r="S789" s="1" t="s">
        <v>132</v>
      </c>
      <c r="T789" s="1" t="s">
        <v>132</v>
      </c>
      <c r="U789" s="1" t="s">
        <v>132</v>
      </c>
      <c r="V789" s="1" t="s">
        <v>132</v>
      </c>
      <c r="W789" s="1" t="s">
        <v>132</v>
      </c>
      <c r="X789" s="1" t="s">
        <v>132</v>
      </c>
      <c r="Y789" s="1" t="s">
        <v>132</v>
      </c>
      <c r="Z789" s="1" t="s">
        <v>132</v>
      </c>
      <c r="AA789" s="1" t="s">
        <v>132</v>
      </c>
      <c r="AB789" s="1" t="s">
        <v>132</v>
      </c>
      <c r="AC789" s="1" t="s">
        <v>132</v>
      </c>
      <c r="AD789" s="1" t="s">
        <v>132</v>
      </c>
      <c r="AE789" s="1" t="s">
        <v>132</v>
      </c>
      <c r="AF789" s="1" t="s">
        <v>132</v>
      </c>
      <c r="AG789" s="1" t="s">
        <v>132</v>
      </c>
      <c r="AH789" s="1" t="s">
        <v>132</v>
      </c>
      <c r="AI789" s="1" t="s">
        <v>132</v>
      </c>
      <c r="AJ789" s="1" t="s">
        <v>132</v>
      </c>
      <c r="AK789" s="1" t="s">
        <v>132</v>
      </c>
      <c r="AL789" s="1" t="s">
        <v>132</v>
      </c>
      <c r="AM789" s="1" t="s">
        <v>132</v>
      </c>
      <c r="AN789" s="1" t="s">
        <v>132</v>
      </c>
    </row>
    <row r="790" ht="15.75" customHeight="1">
      <c r="A790" s="1" t="s">
        <v>127</v>
      </c>
      <c r="B790" s="1" t="s">
        <v>15815</v>
      </c>
      <c r="C790" s="1" t="s">
        <v>15816</v>
      </c>
      <c r="D790" s="8" t="s">
        <v>15817</v>
      </c>
      <c r="E790" s="1" t="s">
        <v>15818</v>
      </c>
      <c r="F790" s="1" t="s">
        <v>132</v>
      </c>
      <c r="G790" s="1" t="s">
        <v>15819</v>
      </c>
      <c r="H790" s="1" t="s">
        <v>15820</v>
      </c>
      <c r="I790" s="1" t="s">
        <v>15821</v>
      </c>
      <c r="J790" s="1" t="s">
        <v>15822</v>
      </c>
      <c r="K790" s="1" t="s">
        <v>15823</v>
      </c>
      <c r="L790" s="1" t="s">
        <v>15824</v>
      </c>
      <c r="M790" s="1" t="s">
        <v>15825</v>
      </c>
      <c r="N790" s="1" t="s">
        <v>132</v>
      </c>
      <c r="O790" s="1" t="s">
        <v>15826</v>
      </c>
      <c r="P790" s="1" t="s">
        <v>15827</v>
      </c>
      <c r="Q790" s="1" t="s">
        <v>132</v>
      </c>
      <c r="R790" s="1" t="s">
        <v>15828</v>
      </c>
      <c r="S790" s="1" t="s">
        <v>15829</v>
      </c>
      <c r="T790" s="1" t="s">
        <v>132</v>
      </c>
      <c r="U790" s="1" t="s">
        <v>15830</v>
      </c>
      <c r="V790" s="1" t="s">
        <v>15831</v>
      </c>
      <c r="W790" s="1" t="s">
        <v>15832</v>
      </c>
      <c r="X790" s="1" t="s">
        <v>15833</v>
      </c>
      <c r="Y790" s="1" t="s">
        <v>15834</v>
      </c>
      <c r="Z790" s="1" t="s">
        <v>15835</v>
      </c>
      <c r="AA790" s="1" t="s">
        <v>15836</v>
      </c>
      <c r="AB790" s="1" t="s">
        <v>15837</v>
      </c>
      <c r="AC790" s="1" t="s">
        <v>15838</v>
      </c>
      <c r="AD790" s="1" t="s">
        <v>15839</v>
      </c>
      <c r="AE790" s="1" t="s">
        <v>15840</v>
      </c>
      <c r="AF790" s="1" t="s">
        <v>15841</v>
      </c>
      <c r="AG790" s="1" t="s">
        <v>15842</v>
      </c>
      <c r="AH790" s="1" t="s">
        <v>15843</v>
      </c>
      <c r="AI790" s="1" t="s">
        <v>15844</v>
      </c>
      <c r="AJ790" s="1" t="s">
        <v>132</v>
      </c>
      <c r="AK790" s="1" t="s">
        <v>15845</v>
      </c>
      <c r="AL790" s="1" t="s">
        <v>15846</v>
      </c>
      <c r="AM790" s="1" t="s">
        <v>15847</v>
      </c>
      <c r="AN790" s="1" t="s">
        <v>15847</v>
      </c>
    </row>
    <row r="791" ht="15.75" customHeight="1">
      <c r="A791" s="1" t="s">
        <v>127</v>
      </c>
      <c r="B791" s="1" t="s">
        <v>15848</v>
      </c>
      <c r="C791" s="1" t="s">
        <v>15849</v>
      </c>
      <c r="D791" s="8" t="s">
        <v>15850</v>
      </c>
      <c r="E791" s="1" t="s">
        <v>15851</v>
      </c>
      <c r="F791" s="1" t="s">
        <v>132</v>
      </c>
      <c r="G791" s="1" t="s">
        <v>15852</v>
      </c>
      <c r="H791" s="1" t="s">
        <v>15853</v>
      </c>
      <c r="I791" s="1" t="s">
        <v>15849</v>
      </c>
      <c r="J791" s="1" t="s">
        <v>15854</v>
      </c>
      <c r="K791" s="1" t="s">
        <v>15855</v>
      </c>
      <c r="L791" s="1" t="s">
        <v>15856</v>
      </c>
      <c r="M791" s="1" t="s">
        <v>15857</v>
      </c>
      <c r="N791" s="1" t="s">
        <v>132</v>
      </c>
      <c r="O791" s="1" t="s">
        <v>15858</v>
      </c>
      <c r="P791" s="1" t="s">
        <v>15855</v>
      </c>
      <c r="Q791" s="1" t="s">
        <v>132</v>
      </c>
      <c r="R791" s="1" t="s">
        <v>15859</v>
      </c>
      <c r="S791" s="1" t="s">
        <v>15849</v>
      </c>
      <c r="T791" s="1" t="s">
        <v>132</v>
      </c>
      <c r="U791" s="1" t="s">
        <v>15860</v>
      </c>
      <c r="V791" s="1" t="s">
        <v>15861</v>
      </c>
      <c r="W791" s="1" t="s">
        <v>15862</v>
      </c>
      <c r="X791" s="1" t="s">
        <v>15849</v>
      </c>
      <c r="Y791" s="1" t="s">
        <v>15863</v>
      </c>
      <c r="Z791" s="1" t="s">
        <v>15864</v>
      </c>
      <c r="AA791" s="1" t="s">
        <v>15865</v>
      </c>
      <c r="AB791" s="1" t="s">
        <v>15866</v>
      </c>
      <c r="AC791" s="1" t="s">
        <v>15867</v>
      </c>
      <c r="AD791" s="1" t="s">
        <v>15868</v>
      </c>
      <c r="AE791" s="1" t="s">
        <v>15869</v>
      </c>
      <c r="AF791" s="1" t="s">
        <v>15870</v>
      </c>
      <c r="AG791" s="1" t="s">
        <v>15853</v>
      </c>
      <c r="AH791" s="1" t="s">
        <v>15871</v>
      </c>
      <c r="AI791" s="1" t="s">
        <v>15872</v>
      </c>
      <c r="AJ791" s="1" t="s">
        <v>132</v>
      </c>
      <c r="AK791" s="1" t="s">
        <v>15873</v>
      </c>
      <c r="AL791" s="1" t="s">
        <v>15874</v>
      </c>
      <c r="AM791" s="1" t="s">
        <v>15875</v>
      </c>
      <c r="AN791" s="1" t="s">
        <v>15875</v>
      </c>
    </row>
    <row r="792" ht="15.75" customHeight="1">
      <c r="A792" s="1" t="s">
        <v>127</v>
      </c>
      <c r="B792" s="1" t="s">
        <v>15876</v>
      </c>
      <c r="C792" s="1" t="s">
        <v>5924</v>
      </c>
      <c r="D792" s="8" t="s">
        <v>15877</v>
      </c>
      <c r="E792" s="1" t="s">
        <v>15878</v>
      </c>
      <c r="F792" s="1" t="s">
        <v>132</v>
      </c>
      <c r="G792" s="1" t="s">
        <v>5924</v>
      </c>
      <c r="H792" s="1" t="s">
        <v>5924</v>
      </c>
      <c r="I792" s="1" t="s">
        <v>15879</v>
      </c>
      <c r="J792" s="1" t="s">
        <v>15880</v>
      </c>
      <c r="K792" s="1" t="s">
        <v>15881</v>
      </c>
      <c r="L792" s="1" t="s">
        <v>15882</v>
      </c>
      <c r="M792" s="1" t="s">
        <v>15883</v>
      </c>
      <c r="N792" s="1" t="s">
        <v>132</v>
      </c>
      <c r="O792" s="1" t="s">
        <v>15884</v>
      </c>
      <c r="P792" s="1" t="s">
        <v>15885</v>
      </c>
      <c r="Q792" s="1" t="s">
        <v>132</v>
      </c>
      <c r="R792" s="1" t="s">
        <v>5924</v>
      </c>
      <c r="S792" s="1" t="s">
        <v>15886</v>
      </c>
      <c r="T792" s="1" t="s">
        <v>132</v>
      </c>
      <c r="U792" s="1" t="s">
        <v>15887</v>
      </c>
      <c r="V792" s="1" t="s">
        <v>15888</v>
      </c>
      <c r="W792" s="1" t="s">
        <v>5924</v>
      </c>
      <c r="X792" s="1" t="s">
        <v>15889</v>
      </c>
      <c r="Y792" s="1" t="s">
        <v>5924</v>
      </c>
      <c r="Z792" s="1" t="s">
        <v>15890</v>
      </c>
      <c r="AA792" s="1" t="s">
        <v>15891</v>
      </c>
      <c r="AB792" s="1" t="s">
        <v>5079</v>
      </c>
      <c r="AC792" s="1" t="s">
        <v>15892</v>
      </c>
      <c r="AD792" s="1" t="s">
        <v>15893</v>
      </c>
      <c r="AE792" s="1" t="s">
        <v>15894</v>
      </c>
      <c r="AF792" s="1" t="s">
        <v>15895</v>
      </c>
      <c r="AG792" s="1" t="s">
        <v>5924</v>
      </c>
      <c r="AH792" s="1" t="s">
        <v>15896</v>
      </c>
      <c r="AI792" s="1" t="s">
        <v>15897</v>
      </c>
      <c r="AJ792" s="1" t="s">
        <v>132</v>
      </c>
      <c r="AK792" s="1" t="s">
        <v>15898</v>
      </c>
      <c r="AL792" s="1" t="s">
        <v>15899</v>
      </c>
      <c r="AM792" s="1" t="s">
        <v>132</v>
      </c>
      <c r="AN792" s="1" t="s">
        <v>132</v>
      </c>
    </row>
    <row r="793" ht="15.75" customHeight="1">
      <c r="A793" s="1" t="s">
        <v>38</v>
      </c>
      <c r="B793" s="1" t="s">
        <v>15900</v>
      </c>
      <c r="C793" s="1" t="s">
        <v>15901</v>
      </c>
      <c r="D793" s="8" t="s">
        <v>15902</v>
      </c>
      <c r="E793" s="1" t="s">
        <v>15903</v>
      </c>
      <c r="F793" s="1" t="s">
        <v>15904</v>
      </c>
      <c r="G793" s="1" t="s">
        <v>132</v>
      </c>
      <c r="H793" s="1" t="s">
        <v>132</v>
      </c>
      <c r="I793" s="1" t="s">
        <v>15905</v>
      </c>
      <c r="J793" s="1" t="s">
        <v>132</v>
      </c>
      <c r="K793" s="1" t="s">
        <v>15906</v>
      </c>
      <c r="L793" s="1" t="s">
        <v>132</v>
      </c>
      <c r="M793" s="1" t="s">
        <v>15907</v>
      </c>
      <c r="N793" s="1" t="s">
        <v>15908</v>
      </c>
      <c r="O793" s="1" t="s">
        <v>132</v>
      </c>
      <c r="P793" s="1" t="s">
        <v>15909</v>
      </c>
      <c r="Q793" s="1" t="s">
        <v>15910</v>
      </c>
      <c r="R793" s="1" t="s">
        <v>132</v>
      </c>
      <c r="S793" s="1" t="s">
        <v>15911</v>
      </c>
      <c r="T793" s="1" t="s">
        <v>132</v>
      </c>
      <c r="U793" s="1" t="s">
        <v>15912</v>
      </c>
      <c r="V793" s="1" t="s">
        <v>15913</v>
      </c>
      <c r="W793" s="1" t="s">
        <v>132</v>
      </c>
      <c r="X793" s="1" t="s">
        <v>15914</v>
      </c>
      <c r="Y793" s="1" t="s">
        <v>132</v>
      </c>
      <c r="Z793" s="1" t="s">
        <v>15915</v>
      </c>
      <c r="AA793" s="1" t="s">
        <v>15916</v>
      </c>
      <c r="AB793" s="1" t="s">
        <v>132</v>
      </c>
      <c r="AC793" s="1" t="s">
        <v>15917</v>
      </c>
      <c r="AD793" s="1" t="s">
        <v>15918</v>
      </c>
      <c r="AE793" s="1" t="s">
        <v>132</v>
      </c>
      <c r="AF793" s="1" t="s">
        <v>15919</v>
      </c>
      <c r="AG793" s="1" t="s">
        <v>15920</v>
      </c>
      <c r="AH793" s="1" t="s">
        <v>132</v>
      </c>
      <c r="AI793" s="1" t="s">
        <v>132</v>
      </c>
      <c r="AJ793" s="1" t="s">
        <v>15921</v>
      </c>
      <c r="AK793" s="1" t="s">
        <v>15922</v>
      </c>
      <c r="AL793" s="1" t="s">
        <v>132</v>
      </c>
      <c r="AM793" s="1" t="s">
        <v>15923</v>
      </c>
      <c r="AN793" s="1" t="s">
        <v>15923</v>
      </c>
    </row>
    <row r="794" ht="15.75" customHeight="1">
      <c r="A794" s="1" t="s">
        <v>127</v>
      </c>
      <c r="B794" s="1" t="s">
        <v>15924</v>
      </c>
      <c r="C794" s="1" t="s">
        <v>15925</v>
      </c>
      <c r="D794" s="8" t="s">
        <v>15926</v>
      </c>
      <c r="E794" s="1" t="s">
        <v>15927</v>
      </c>
      <c r="F794" s="1" t="s">
        <v>132</v>
      </c>
      <c r="G794" s="1" t="s">
        <v>15925</v>
      </c>
      <c r="H794" s="1" t="s">
        <v>15925</v>
      </c>
      <c r="I794" s="1" t="s">
        <v>15925</v>
      </c>
      <c r="J794" s="1" t="s">
        <v>15925</v>
      </c>
      <c r="K794" s="1" t="s">
        <v>15925</v>
      </c>
      <c r="L794" s="1" t="s">
        <v>15928</v>
      </c>
      <c r="M794" s="1" t="s">
        <v>15925</v>
      </c>
      <c r="N794" s="1" t="s">
        <v>132</v>
      </c>
      <c r="O794" s="1" t="s">
        <v>15929</v>
      </c>
      <c r="P794" s="1" t="s">
        <v>15925</v>
      </c>
      <c r="Q794" s="1" t="s">
        <v>132</v>
      </c>
      <c r="R794" s="1" t="s">
        <v>15930</v>
      </c>
      <c r="S794" s="1" t="s">
        <v>15931</v>
      </c>
      <c r="T794" s="1" t="s">
        <v>132</v>
      </c>
      <c r="U794" s="1" t="s">
        <v>15932</v>
      </c>
      <c r="V794" s="1" t="s">
        <v>15933</v>
      </c>
      <c r="W794" s="1" t="s">
        <v>15934</v>
      </c>
      <c r="X794" s="1" t="s">
        <v>15925</v>
      </c>
      <c r="Y794" s="1" t="s">
        <v>15925</v>
      </c>
      <c r="Z794" s="1" t="s">
        <v>15925</v>
      </c>
      <c r="AA794" s="1" t="s">
        <v>15925</v>
      </c>
      <c r="AB794" s="1" t="s">
        <v>15935</v>
      </c>
      <c r="AC794" s="1" t="s">
        <v>15927</v>
      </c>
      <c r="AD794" s="1" t="s">
        <v>15925</v>
      </c>
      <c r="AE794" s="1" t="s">
        <v>15925</v>
      </c>
      <c r="AF794" s="1" t="s">
        <v>15936</v>
      </c>
      <c r="AG794" s="1" t="s">
        <v>15925</v>
      </c>
      <c r="AH794" s="1" t="s">
        <v>15925</v>
      </c>
      <c r="AI794" s="1" t="s">
        <v>15937</v>
      </c>
      <c r="AJ794" s="1" t="s">
        <v>132</v>
      </c>
      <c r="AK794" s="1" t="s">
        <v>15925</v>
      </c>
      <c r="AL794" s="1" t="s">
        <v>15938</v>
      </c>
      <c r="AM794" s="1" t="s">
        <v>132</v>
      </c>
      <c r="AN794" s="1" t="s">
        <v>132</v>
      </c>
    </row>
    <row r="795" ht="15.75" customHeight="1">
      <c r="A795" s="1" t="s">
        <v>127</v>
      </c>
      <c r="B795" s="1" t="s">
        <v>15939</v>
      </c>
      <c r="C795" s="1" t="s">
        <v>15940</v>
      </c>
      <c r="D795" s="8" t="s">
        <v>15941</v>
      </c>
      <c r="E795" s="1" t="s">
        <v>15940</v>
      </c>
      <c r="F795" s="1" t="s">
        <v>132</v>
      </c>
      <c r="G795" s="1" t="s">
        <v>15940</v>
      </c>
      <c r="H795" s="1" t="s">
        <v>15940</v>
      </c>
      <c r="I795" s="1" t="s">
        <v>15942</v>
      </c>
      <c r="J795" s="1" t="s">
        <v>15940</v>
      </c>
      <c r="K795" s="1" t="s">
        <v>15943</v>
      </c>
      <c r="L795" s="1" t="s">
        <v>15940</v>
      </c>
      <c r="M795" s="1" t="s">
        <v>15940</v>
      </c>
      <c r="N795" s="1" t="s">
        <v>132</v>
      </c>
      <c r="O795" s="1" t="s">
        <v>15944</v>
      </c>
      <c r="P795" s="1" t="s">
        <v>15940</v>
      </c>
      <c r="Q795" s="1" t="s">
        <v>132</v>
      </c>
      <c r="R795" s="1" t="s">
        <v>15940</v>
      </c>
      <c r="S795" s="1" t="s">
        <v>15940</v>
      </c>
      <c r="T795" s="1" t="s">
        <v>132</v>
      </c>
      <c r="U795" s="1" t="s">
        <v>15945</v>
      </c>
      <c r="V795" s="1" t="s">
        <v>15940</v>
      </c>
      <c r="W795" s="1" t="s">
        <v>15940</v>
      </c>
      <c r="X795" s="1" t="s">
        <v>15946</v>
      </c>
      <c r="Y795" s="1" t="s">
        <v>15940</v>
      </c>
      <c r="Z795" s="1" t="s">
        <v>15940</v>
      </c>
      <c r="AA795" s="1" t="s">
        <v>15947</v>
      </c>
      <c r="AB795" s="1" t="s">
        <v>15940</v>
      </c>
      <c r="AC795" s="1" t="s">
        <v>2376</v>
      </c>
      <c r="AD795" s="1" t="s">
        <v>15940</v>
      </c>
      <c r="AE795" s="1" t="s">
        <v>15940</v>
      </c>
      <c r="AF795" s="1" t="s">
        <v>15940</v>
      </c>
      <c r="AG795" s="1" t="s">
        <v>15940</v>
      </c>
      <c r="AH795" s="1" t="s">
        <v>15948</v>
      </c>
      <c r="AI795" s="1" t="s">
        <v>15949</v>
      </c>
      <c r="AJ795" s="1" t="s">
        <v>132</v>
      </c>
      <c r="AK795" s="1" t="s">
        <v>15940</v>
      </c>
      <c r="AL795" s="1" t="s">
        <v>15950</v>
      </c>
      <c r="AM795" s="1" t="s">
        <v>15951</v>
      </c>
      <c r="AN795" s="1" t="s">
        <v>15951</v>
      </c>
    </row>
    <row r="796" ht="15.75" customHeight="1">
      <c r="A796" s="1" t="s">
        <v>127</v>
      </c>
      <c r="B796" s="1" t="s">
        <v>15952</v>
      </c>
      <c r="C796" s="1" t="s">
        <v>15953</v>
      </c>
      <c r="D796" s="8" t="s">
        <v>15954</v>
      </c>
      <c r="E796" s="1" t="s">
        <v>15955</v>
      </c>
      <c r="F796" s="1" t="s">
        <v>132</v>
      </c>
      <c r="G796" s="1" t="s">
        <v>15956</v>
      </c>
      <c r="H796" s="1" t="s">
        <v>15957</v>
      </c>
      <c r="I796" s="1" t="s">
        <v>13784</v>
      </c>
      <c r="J796" s="1" t="s">
        <v>15958</v>
      </c>
      <c r="K796" s="1" t="s">
        <v>13784</v>
      </c>
      <c r="L796" s="1" t="s">
        <v>15959</v>
      </c>
      <c r="M796" s="1" t="s">
        <v>13784</v>
      </c>
      <c r="N796" s="1" t="s">
        <v>132</v>
      </c>
      <c r="O796" s="1" t="s">
        <v>15960</v>
      </c>
      <c r="P796" s="1" t="s">
        <v>15961</v>
      </c>
      <c r="Q796" s="1" t="s">
        <v>132</v>
      </c>
      <c r="R796" s="1" t="s">
        <v>15962</v>
      </c>
      <c r="S796" s="1" t="s">
        <v>15963</v>
      </c>
      <c r="T796" s="1" t="s">
        <v>132</v>
      </c>
      <c r="U796" s="1" t="s">
        <v>15964</v>
      </c>
      <c r="V796" s="1" t="s">
        <v>15965</v>
      </c>
      <c r="W796" s="1" t="s">
        <v>15962</v>
      </c>
      <c r="X796" s="1" t="s">
        <v>15966</v>
      </c>
      <c r="Y796" s="1" t="s">
        <v>15957</v>
      </c>
      <c r="Z796" s="1" t="s">
        <v>15967</v>
      </c>
      <c r="AA796" s="1" t="s">
        <v>15968</v>
      </c>
      <c r="AB796" s="1" t="s">
        <v>15969</v>
      </c>
      <c r="AC796" s="1" t="s">
        <v>15970</v>
      </c>
      <c r="AD796" s="1" t="s">
        <v>15971</v>
      </c>
      <c r="AE796" s="1" t="s">
        <v>15972</v>
      </c>
      <c r="AF796" s="1" t="s">
        <v>13784</v>
      </c>
      <c r="AG796" s="1" t="s">
        <v>15973</v>
      </c>
      <c r="AH796" s="1" t="s">
        <v>15974</v>
      </c>
      <c r="AI796" s="1" t="s">
        <v>15975</v>
      </c>
      <c r="AJ796" s="1" t="s">
        <v>132</v>
      </c>
      <c r="AK796" s="1" t="s">
        <v>15976</v>
      </c>
      <c r="AL796" s="1" t="s">
        <v>15977</v>
      </c>
      <c r="AM796" s="1" t="s">
        <v>15978</v>
      </c>
      <c r="AN796" s="1" t="s">
        <v>15978</v>
      </c>
    </row>
    <row r="797" ht="15.75" customHeight="1">
      <c r="A797" s="1" t="s">
        <v>38</v>
      </c>
      <c r="B797" s="1" t="s">
        <v>15979</v>
      </c>
      <c r="C797" s="1" t="s">
        <v>15980</v>
      </c>
      <c r="D797" s="8" t="s">
        <v>15981</v>
      </c>
      <c r="E797" s="1" t="s">
        <v>15982</v>
      </c>
      <c r="F797" s="1" t="s">
        <v>15983</v>
      </c>
      <c r="G797" s="1" t="s">
        <v>132</v>
      </c>
      <c r="H797" s="1" t="s">
        <v>132</v>
      </c>
      <c r="I797" s="1" t="s">
        <v>15984</v>
      </c>
      <c r="J797" s="1" t="s">
        <v>132</v>
      </c>
      <c r="K797" s="1" t="s">
        <v>15985</v>
      </c>
      <c r="L797" s="1" t="s">
        <v>132</v>
      </c>
      <c r="M797" s="1" t="s">
        <v>15986</v>
      </c>
      <c r="N797" s="1" t="s">
        <v>15987</v>
      </c>
      <c r="O797" s="1" t="s">
        <v>132</v>
      </c>
      <c r="P797" s="1" t="s">
        <v>15988</v>
      </c>
      <c r="Q797" s="1" t="s">
        <v>15989</v>
      </c>
      <c r="R797" s="1" t="s">
        <v>132</v>
      </c>
      <c r="S797" s="1" t="s">
        <v>15990</v>
      </c>
      <c r="T797" s="1" t="s">
        <v>132</v>
      </c>
      <c r="U797" s="1" t="s">
        <v>15991</v>
      </c>
      <c r="V797" s="1" t="s">
        <v>15992</v>
      </c>
      <c r="W797" s="1" t="s">
        <v>132</v>
      </c>
      <c r="X797" s="1" t="s">
        <v>15993</v>
      </c>
      <c r="Y797" s="1" t="s">
        <v>132</v>
      </c>
      <c r="Z797" s="1" t="s">
        <v>15994</v>
      </c>
      <c r="AA797" s="1" t="s">
        <v>15995</v>
      </c>
      <c r="AB797" s="1" t="s">
        <v>132</v>
      </c>
      <c r="AC797" s="1" t="s">
        <v>15996</v>
      </c>
      <c r="AD797" s="1" t="s">
        <v>132</v>
      </c>
      <c r="AE797" s="1" t="s">
        <v>132</v>
      </c>
      <c r="AF797" s="1" t="s">
        <v>15997</v>
      </c>
      <c r="AG797" s="1" t="s">
        <v>15998</v>
      </c>
      <c r="AH797" s="1" t="s">
        <v>132</v>
      </c>
      <c r="AI797" s="1" t="s">
        <v>132</v>
      </c>
      <c r="AJ797" s="1" t="s">
        <v>15999</v>
      </c>
      <c r="AK797" s="1" t="s">
        <v>16000</v>
      </c>
      <c r="AL797" s="1" t="s">
        <v>132</v>
      </c>
      <c r="AM797" s="1" t="s">
        <v>16001</v>
      </c>
      <c r="AN797" s="1" t="s">
        <v>16001</v>
      </c>
    </row>
    <row r="798" ht="15.75" customHeight="1">
      <c r="A798" s="1" t="s">
        <v>38</v>
      </c>
      <c r="B798" s="1" t="s">
        <v>16002</v>
      </c>
      <c r="C798" s="1" t="s">
        <v>16003</v>
      </c>
      <c r="D798" s="8" t="s">
        <v>16004</v>
      </c>
      <c r="E798" s="1" t="s">
        <v>16005</v>
      </c>
      <c r="F798" s="1" t="s">
        <v>16006</v>
      </c>
      <c r="G798" s="1" t="s">
        <v>132</v>
      </c>
      <c r="H798" s="1" t="s">
        <v>132</v>
      </c>
      <c r="I798" s="1" t="s">
        <v>16007</v>
      </c>
      <c r="J798" s="1" t="s">
        <v>132</v>
      </c>
      <c r="K798" s="1" t="s">
        <v>16008</v>
      </c>
      <c r="L798" s="1" t="s">
        <v>132</v>
      </c>
      <c r="M798" s="1" t="s">
        <v>16009</v>
      </c>
      <c r="N798" s="1" t="s">
        <v>16010</v>
      </c>
      <c r="O798" s="1" t="s">
        <v>132</v>
      </c>
      <c r="P798" s="1" t="s">
        <v>16011</v>
      </c>
      <c r="Q798" s="1" t="s">
        <v>132</v>
      </c>
      <c r="R798" s="1" t="s">
        <v>132</v>
      </c>
      <c r="S798" s="1" t="s">
        <v>16012</v>
      </c>
      <c r="T798" s="1" t="s">
        <v>132</v>
      </c>
      <c r="U798" s="1" t="s">
        <v>16013</v>
      </c>
      <c r="V798" s="1" t="s">
        <v>16014</v>
      </c>
      <c r="W798" s="1" t="s">
        <v>132</v>
      </c>
      <c r="X798" s="1" t="s">
        <v>16015</v>
      </c>
      <c r="Y798" s="1" t="s">
        <v>132</v>
      </c>
      <c r="Z798" s="1" t="s">
        <v>16016</v>
      </c>
      <c r="AA798" s="1" t="s">
        <v>16017</v>
      </c>
      <c r="AB798" s="1" t="s">
        <v>132</v>
      </c>
      <c r="AC798" s="1" t="s">
        <v>16018</v>
      </c>
      <c r="AD798" s="1" t="s">
        <v>132</v>
      </c>
      <c r="AE798" s="1" t="s">
        <v>132</v>
      </c>
      <c r="AF798" s="1" t="s">
        <v>16019</v>
      </c>
      <c r="AG798" s="1" t="s">
        <v>16020</v>
      </c>
      <c r="AH798" s="1" t="s">
        <v>132</v>
      </c>
      <c r="AI798" s="1" t="s">
        <v>132</v>
      </c>
      <c r="AJ798" s="1" t="s">
        <v>16021</v>
      </c>
      <c r="AK798" s="1" t="s">
        <v>16022</v>
      </c>
      <c r="AL798" s="1" t="s">
        <v>132</v>
      </c>
      <c r="AM798" s="1" t="s">
        <v>16023</v>
      </c>
      <c r="AN798" s="1" t="s">
        <v>16023</v>
      </c>
    </row>
    <row r="799" ht="15.75" customHeight="1">
      <c r="A799" s="1" t="s">
        <v>127</v>
      </c>
      <c r="B799" s="1" t="s">
        <v>16024</v>
      </c>
      <c r="C799" s="1" t="s">
        <v>16025</v>
      </c>
      <c r="D799" s="8" t="s">
        <v>16026</v>
      </c>
      <c r="E799" s="1" t="s">
        <v>16027</v>
      </c>
      <c r="F799" s="1" t="s">
        <v>132</v>
      </c>
      <c r="G799" s="1" t="s">
        <v>16028</v>
      </c>
      <c r="H799" s="1" t="s">
        <v>16029</v>
      </c>
      <c r="I799" s="1" t="s">
        <v>16030</v>
      </c>
      <c r="J799" s="1" t="s">
        <v>16031</v>
      </c>
      <c r="K799" s="1" t="s">
        <v>16032</v>
      </c>
      <c r="L799" s="1" t="s">
        <v>16033</v>
      </c>
      <c r="M799" s="1" t="s">
        <v>16034</v>
      </c>
      <c r="N799" s="1" t="s">
        <v>132</v>
      </c>
      <c r="O799" s="1" t="s">
        <v>16035</v>
      </c>
      <c r="P799" s="1" t="s">
        <v>16036</v>
      </c>
      <c r="Q799" s="1" t="s">
        <v>132</v>
      </c>
      <c r="R799" s="1" t="s">
        <v>16037</v>
      </c>
      <c r="S799" s="1" t="s">
        <v>16038</v>
      </c>
      <c r="T799" s="1" t="s">
        <v>132</v>
      </c>
      <c r="U799" s="1" t="s">
        <v>16039</v>
      </c>
      <c r="V799" s="1" t="s">
        <v>16040</v>
      </c>
      <c r="W799" s="1" t="s">
        <v>16037</v>
      </c>
      <c r="X799" s="1" t="s">
        <v>16041</v>
      </c>
      <c r="Y799" s="1" t="s">
        <v>16029</v>
      </c>
      <c r="Z799" s="1" t="s">
        <v>16042</v>
      </c>
      <c r="AA799" s="1" t="s">
        <v>16043</v>
      </c>
      <c r="AB799" s="1" t="s">
        <v>16044</v>
      </c>
      <c r="AC799" s="1" t="s">
        <v>16045</v>
      </c>
      <c r="AD799" s="1" t="s">
        <v>16046</v>
      </c>
      <c r="AE799" s="1" t="s">
        <v>16047</v>
      </c>
      <c r="AF799" s="1" t="s">
        <v>16048</v>
      </c>
      <c r="AG799" s="1" t="s">
        <v>16049</v>
      </c>
      <c r="AH799" s="1" t="s">
        <v>16050</v>
      </c>
      <c r="AI799" s="1" t="s">
        <v>16051</v>
      </c>
      <c r="AJ799" s="1" t="s">
        <v>132</v>
      </c>
      <c r="AK799" s="1" t="s">
        <v>16052</v>
      </c>
      <c r="AL799" s="1" t="s">
        <v>16053</v>
      </c>
      <c r="AM799" s="1" t="s">
        <v>16054</v>
      </c>
      <c r="AN799" s="1" t="s">
        <v>16054</v>
      </c>
    </row>
    <row r="800" ht="15.75" customHeight="1">
      <c r="A800" s="1" t="s">
        <v>127</v>
      </c>
      <c r="B800" s="1" t="s">
        <v>16055</v>
      </c>
      <c r="C800" s="1" t="s">
        <v>16056</v>
      </c>
      <c r="D800" s="8" t="s">
        <v>16057</v>
      </c>
      <c r="E800" s="1" t="s">
        <v>16058</v>
      </c>
      <c r="F800" s="1" t="s">
        <v>132</v>
      </c>
      <c r="G800" s="13" t="s">
        <v>16059</v>
      </c>
      <c r="H800" s="1" t="s">
        <v>16060</v>
      </c>
      <c r="I800" s="1" t="s">
        <v>16061</v>
      </c>
      <c r="J800" s="1" t="s">
        <v>132</v>
      </c>
      <c r="K800" s="1" t="s">
        <v>16062</v>
      </c>
      <c r="L800" s="1" t="s">
        <v>16063</v>
      </c>
      <c r="M800" s="1" t="s">
        <v>16064</v>
      </c>
      <c r="N800" s="1" t="s">
        <v>132</v>
      </c>
      <c r="O800" s="1" t="s">
        <v>16065</v>
      </c>
      <c r="P800" s="1" t="s">
        <v>16066</v>
      </c>
      <c r="Q800" s="1" t="s">
        <v>132</v>
      </c>
      <c r="R800" s="1" t="s">
        <v>16067</v>
      </c>
      <c r="S800" s="1" t="s">
        <v>16068</v>
      </c>
      <c r="T800" s="8" t="s">
        <v>16069</v>
      </c>
      <c r="U800" s="1" t="s">
        <v>16070</v>
      </c>
      <c r="V800" s="1" t="s">
        <v>16071</v>
      </c>
      <c r="W800" s="1" t="s">
        <v>16072</v>
      </c>
      <c r="X800" s="1" t="s">
        <v>43242</v>
      </c>
      <c r="Y800" s="1" t="s">
        <v>16074</v>
      </c>
      <c r="Z800" s="1" t="s">
        <v>16075</v>
      </c>
      <c r="AA800" s="1" t="s">
        <v>16076</v>
      </c>
      <c r="AB800" s="13" t="s">
        <v>16077</v>
      </c>
      <c r="AC800" s="1" t="s">
        <v>16078</v>
      </c>
      <c r="AD800" s="13" t="s">
        <v>16079</v>
      </c>
      <c r="AF800" s="1" t="s">
        <v>16080</v>
      </c>
      <c r="AG800" s="1" t="s">
        <v>16081</v>
      </c>
      <c r="AH800" s="1" t="s">
        <v>16082</v>
      </c>
      <c r="AI800" s="1" t="s">
        <v>16083</v>
      </c>
      <c r="AJ800" s="1" t="s">
        <v>132</v>
      </c>
      <c r="AK800" s="1" t="s">
        <v>16084</v>
      </c>
      <c r="AL800" s="1" t="s">
        <v>16085</v>
      </c>
      <c r="AM800" s="1" t="s">
        <v>16085</v>
      </c>
      <c r="AN800" s="1" t="s">
        <v>16085</v>
      </c>
    </row>
    <row r="801" ht="15.75" customHeight="1">
      <c r="A801" s="1" t="s">
        <v>127</v>
      </c>
      <c r="B801" s="1" t="s">
        <v>16086</v>
      </c>
      <c r="C801" s="1" t="s">
        <v>4716</v>
      </c>
      <c r="D801" s="8" t="s">
        <v>4717</v>
      </c>
      <c r="E801" s="1" t="s">
        <v>4718</v>
      </c>
      <c r="F801" s="1" t="s">
        <v>132</v>
      </c>
      <c r="G801" s="1" t="s">
        <v>4719</v>
      </c>
      <c r="H801" s="1" t="s">
        <v>4720</v>
      </c>
      <c r="I801" s="1" t="s">
        <v>4721</v>
      </c>
      <c r="J801" s="1" t="s">
        <v>4722</v>
      </c>
      <c r="K801" s="1" t="s">
        <v>4723</v>
      </c>
      <c r="L801" s="1" t="s">
        <v>4724</v>
      </c>
      <c r="M801" s="1" t="s">
        <v>4725</v>
      </c>
      <c r="N801" s="1" t="s">
        <v>132</v>
      </c>
      <c r="O801" s="1" t="s">
        <v>4726</v>
      </c>
      <c r="P801" s="1" t="s">
        <v>4727</v>
      </c>
      <c r="Q801" s="1" t="s">
        <v>132</v>
      </c>
      <c r="R801" s="1" t="s">
        <v>4728</v>
      </c>
      <c r="S801" s="1" t="s">
        <v>4729</v>
      </c>
      <c r="T801" s="1" t="s">
        <v>132</v>
      </c>
      <c r="U801" s="1" t="s">
        <v>4731</v>
      </c>
      <c r="V801" s="1" t="s">
        <v>4732</v>
      </c>
      <c r="W801" s="1" t="s">
        <v>4728</v>
      </c>
      <c r="X801" s="1" t="s">
        <v>4733</v>
      </c>
      <c r="Y801" s="1" t="s">
        <v>4734</v>
      </c>
      <c r="Z801" s="1" t="s">
        <v>4735</v>
      </c>
      <c r="AA801" s="1" t="s">
        <v>4723</v>
      </c>
      <c r="AB801" s="1" t="s">
        <v>4736</v>
      </c>
      <c r="AC801" s="1" t="s">
        <v>4737</v>
      </c>
      <c r="AD801" s="1" t="s">
        <v>4738</v>
      </c>
      <c r="AE801" s="1" t="s">
        <v>4739</v>
      </c>
      <c r="AF801" s="1" t="s">
        <v>4740</v>
      </c>
      <c r="AG801" s="1" t="s">
        <v>4741</v>
      </c>
      <c r="AH801" s="1" t="s">
        <v>4742</v>
      </c>
      <c r="AI801" s="1" t="s">
        <v>16087</v>
      </c>
      <c r="AJ801" s="1" t="s">
        <v>132</v>
      </c>
      <c r="AK801" s="1" t="s">
        <v>4744</v>
      </c>
      <c r="AL801" s="1" t="s">
        <v>4745</v>
      </c>
      <c r="AM801" s="1" t="s">
        <v>4746</v>
      </c>
      <c r="AN801" s="1" t="s">
        <v>4746</v>
      </c>
    </row>
    <row r="802" ht="15.75" customHeight="1">
      <c r="A802" s="1" t="s">
        <v>38</v>
      </c>
      <c r="B802" s="1" t="s">
        <v>16088</v>
      </c>
      <c r="C802" s="1" t="s">
        <v>16089</v>
      </c>
      <c r="D802" s="1" t="s">
        <v>132</v>
      </c>
      <c r="E802" s="1" t="s">
        <v>16090</v>
      </c>
      <c r="F802" s="1" t="s">
        <v>16091</v>
      </c>
      <c r="G802" s="1" t="s">
        <v>132</v>
      </c>
      <c r="H802" s="1" t="s">
        <v>132</v>
      </c>
      <c r="I802" s="1" t="s">
        <v>16092</v>
      </c>
      <c r="J802" s="1" t="s">
        <v>132</v>
      </c>
      <c r="K802" s="1" t="s">
        <v>16093</v>
      </c>
      <c r="L802" s="1" t="s">
        <v>132</v>
      </c>
      <c r="M802" s="1" t="s">
        <v>16094</v>
      </c>
      <c r="N802" s="1" t="s">
        <v>16093</v>
      </c>
      <c r="O802" s="1" t="s">
        <v>132</v>
      </c>
      <c r="P802" s="1" t="s">
        <v>16095</v>
      </c>
      <c r="Q802" s="1" t="s">
        <v>132</v>
      </c>
      <c r="R802" s="1" t="s">
        <v>132</v>
      </c>
      <c r="S802" s="1" t="s">
        <v>16096</v>
      </c>
      <c r="T802" s="1" t="s">
        <v>132</v>
      </c>
      <c r="U802" s="1" t="s">
        <v>16097</v>
      </c>
      <c r="V802" s="1" t="s">
        <v>132</v>
      </c>
      <c r="W802" s="1" t="s">
        <v>132</v>
      </c>
      <c r="X802" s="1" t="s">
        <v>16098</v>
      </c>
      <c r="Y802" s="1" t="s">
        <v>132</v>
      </c>
      <c r="Z802" s="1" t="s">
        <v>16099</v>
      </c>
      <c r="AA802" s="1" t="s">
        <v>132</v>
      </c>
      <c r="AB802" s="1" t="s">
        <v>132</v>
      </c>
      <c r="AC802" s="1" t="s">
        <v>16100</v>
      </c>
      <c r="AD802" s="1" t="s">
        <v>132</v>
      </c>
      <c r="AE802" s="1" t="s">
        <v>132</v>
      </c>
      <c r="AF802" s="1" t="s">
        <v>16101</v>
      </c>
      <c r="AG802" s="1" t="s">
        <v>132</v>
      </c>
      <c r="AH802" s="1" t="s">
        <v>132</v>
      </c>
      <c r="AI802" s="1" t="s">
        <v>132</v>
      </c>
      <c r="AJ802" s="1" t="s">
        <v>132</v>
      </c>
      <c r="AK802" s="1" t="s">
        <v>132</v>
      </c>
      <c r="AL802" s="1" t="s">
        <v>132</v>
      </c>
      <c r="AM802" s="1" t="s">
        <v>132</v>
      </c>
      <c r="AN802" s="1" t="s">
        <v>132</v>
      </c>
    </row>
    <row r="803" ht="15.75" customHeight="1">
      <c r="A803" s="1" t="s">
        <v>38</v>
      </c>
      <c r="B803" s="1" t="s">
        <v>16102</v>
      </c>
      <c r="C803" s="1" t="s">
        <v>16103</v>
      </c>
      <c r="D803" s="1" t="s">
        <v>132</v>
      </c>
      <c r="E803" s="1" t="s">
        <v>16104</v>
      </c>
      <c r="F803" s="1" t="s">
        <v>16105</v>
      </c>
      <c r="G803" s="1" t="s">
        <v>132</v>
      </c>
      <c r="H803" s="1" t="s">
        <v>132</v>
      </c>
      <c r="I803" s="1" t="s">
        <v>16106</v>
      </c>
      <c r="J803" s="1" t="s">
        <v>132</v>
      </c>
      <c r="K803" s="1" t="s">
        <v>16107</v>
      </c>
      <c r="L803" s="1" t="s">
        <v>132</v>
      </c>
      <c r="M803" s="1" t="s">
        <v>16108</v>
      </c>
      <c r="N803" s="1" t="s">
        <v>16109</v>
      </c>
      <c r="O803" s="1" t="s">
        <v>132</v>
      </c>
      <c r="P803" s="1" t="s">
        <v>16110</v>
      </c>
      <c r="Q803" s="1" t="s">
        <v>16111</v>
      </c>
      <c r="R803" s="1" t="s">
        <v>132</v>
      </c>
      <c r="S803" s="1" t="s">
        <v>16112</v>
      </c>
      <c r="T803" s="1" t="s">
        <v>132</v>
      </c>
      <c r="U803" s="1" t="s">
        <v>16113</v>
      </c>
      <c r="V803" s="1" t="s">
        <v>16114</v>
      </c>
      <c r="W803" s="1" t="s">
        <v>132</v>
      </c>
      <c r="X803" s="1" t="s">
        <v>16115</v>
      </c>
      <c r="Y803" s="1" t="s">
        <v>132</v>
      </c>
      <c r="Z803" s="1" t="s">
        <v>16116</v>
      </c>
      <c r="AA803" s="1" t="s">
        <v>16117</v>
      </c>
      <c r="AB803" s="1" t="s">
        <v>132</v>
      </c>
      <c r="AC803" s="1" t="s">
        <v>16118</v>
      </c>
      <c r="AD803" s="1" t="s">
        <v>16119</v>
      </c>
      <c r="AE803" s="1" t="s">
        <v>132</v>
      </c>
      <c r="AF803" s="1" t="s">
        <v>16120</v>
      </c>
      <c r="AG803" s="1" t="s">
        <v>16121</v>
      </c>
      <c r="AH803" s="1" t="s">
        <v>132</v>
      </c>
      <c r="AI803" s="1" t="s">
        <v>132</v>
      </c>
      <c r="AJ803" s="1" t="s">
        <v>16122</v>
      </c>
      <c r="AK803" s="1" t="s">
        <v>16123</v>
      </c>
      <c r="AL803" s="1" t="s">
        <v>132</v>
      </c>
      <c r="AM803" s="1" t="s">
        <v>16124</v>
      </c>
      <c r="AN803" s="1" t="s">
        <v>16124</v>
      </c>
    </row>
    <row r="804" ht="15.75" customHeight="1">
      <c r="A804" s="1" t="s">
        <v>127</v>
      </c>
      <c r="B804" s="1" t="s">
        <v>16125</v>
      </c>
      <c r="C804" s="1" t="s">
        <v>16126</v>
      </c>
      <c r="D804" s="8" t="s">
        <v>16127</v>
      </c>
      <c r="E804" s="1" t="s">
        <v>16128</v>
      </c>
      <c r="F804" s="1" t="s">
        <v>132</v>
      </c>
      <c r="G804" s="1" t="s">
        <v>16129</v>
      </c>
      <c r="H804" s="1" t="s">
        <v>16130</v>
      </c>
      <c r="I804" s="1" t="s">
        <v>16131</v>
      </c>
      <c r="J804" s="1" t="s">
        <v>16132</v>
      </c>
      <c r="K804" s="1" t="s">
        <v>16133</v>
      </c>
      <c r="L804" s="1" t="s">
        <v>16134</v>
      </c>
      <c r="M804" s="1" t="s">
        <v>16135</v>
      </c>
      <c r="N804" s="1" t="s">
        <v>132</v>
      </c>
      <c r="O804" s="1" t="s">
        <v>16136</v>
      </c>
      <c r="P804" s="1" t="s">
        <v>16137</v>
      </c>
      <c r="Q804" s="1" t="s">
        <v>132</v>
      </c>
      <c r="R804" s="1" t="s">
        <v>16138</v>
      </c>
      <c r="S804" s="1" t="s">
        <v>16139</v>
      </c>
      <c r="T804" s="1" t="s">
        <v>132</v>
      </c>
      <c r="U804" s="1" t="s">
        <v>16140</v>
      </c>
      <c r="V804" s="1" t="s">
        <v>16141</v>
      </c>
      <c r="W804" s="1" t="s">
        <v>16138</v>
      </c>
      <c r="X804" s="1" t="s">
        <v>16142</v>
      </c>
      <c r="Y804" s="1" t="s">
        <v>16130</v>
      </c>
      <c r="Z804" s="1" t="s">
        <v>16143</v>
      </c>
      <c r="AA804" s="1" t="s">
        <v>16144</v>
      </c>
      <c r="AB804" s="1" t="s">
        <v>16145</v>
      </c>
      <c r="AC804" s="1" t="s">
        <v>16146</v>
      </c>
      <c r="AD804" s="1" t="s">
        <v>16147</v>
      </c>
      <c r="AE804" s="1" t="s">
        <v>16148</v>
      </c>
      <c r="AF804" s="1" t="s">
        <v>16149</v>
      </c>
      <c r="AG804" s="1" t="s">
        <v>16150</v>
      </c>
      <c r="AH804" s="1" t="s">
        <v>16151</v>
      </c>
      <c r="AI804" s="1" t="s">
        <v>16152</v>
      </c>
      <c r="AJ804" s="1" t="s">
        <v>132</v>
      </c>
      <c r="AK804" s="1" t="s">
        <v>16153</v>
      </c>
      <c r="AL804" s="1" t="s">
        <v>16154</v>
      </c>
      <c r="AM804" s="1" t="s">
        <v>16155</v>
      </c>
      <c r="AN804" s="1" t="s">
        <v>16155</v>
      </c>
    </row>
    <row r="805" ht="15.75" customHeight="1">
      <c r="A805" s="1" t="s">
        <v>127</v>
      </c>
      <c r="B805" s="1" t="s">
        <v>16156</v>
      </c>
      <c r="C805" s="1" t="s">
        <v>16157</v>
      </c>
      <c r="D805" s="8" t="s">
        <v>16158</v>
      </c>
      <c r="E805" s="1" t="s">
        <v>16159</v>
      </c>
      <c r="F805" s="1" t="s">
        <v>132</v>
      </c>
      <c r="G805" s="1" t="s">
        <v>16160</v>
      </c>
      <c r="H805" s="1" t="s">
        <v>16161</v>
      </c>
      <c r="I805" s="1" t="s">
        <v>16162</v>
      </c>
      <c r="J805" s="1" t="s">
        <v>16163</v>
      </c>
      <c r="K805" s="1" t="s">
        <v>16164</v>
      </c>
      <c r="L805" s="1" t="s">
        <v>16165</v>
      </c>
      <c r="M805" s="1" t="s">
        <v>16166</v>
      </c>
      <c r="N805" s="1" t="s">
        <v>132</v>
      </c>
      <c r="O805" s="1" t="s">
        <v>16167</v>
      </c>
      <c r="P805" s="1" t="s">
        <v>16157</v>
      </c>
      <c r="Q805" s="1" t="s">
        <v>132</v>
      </c>
      <c r="R805" s="1" t="s">
        <v>16168</v>
      </c>
      <c r="S805" s="1" t="s">
        <v>16169</v>
      </c>
      <c r="T805" s="1" t="s">
        <v>132</v>
      </c>
      <c r="U805" s="1" t="s">
        <v>16170</v>
      </c>
      <c r="V805" s="1" t="s">
        <v>16171</v>
      </c>
      <c r="W805" s="1" t="s">
        <v>16172</v>
      </c>
      <c r="X805" s="1" t="s">
        <v>16173</v>
      </c>
      <c r="Y805" s="1" t="s">
        <v>16174</v>
      </c>
      <c r="Z805" s="1" t="s">
        <v>16175</v>
      </c>
      <c r="AA805" s="1" t="s">
        <v>16176</v>
      </c>
      <c r="AB805" s="1" t="s">
        <v>16177</v>
      </c>
      <c r="AC805" s="1" t="s">
        <v>16178</v>
      </c>
      <c r="AD805" s="1" t="s">
        <v>16179</v>
      </c>
      <c r="AE805" s="1" t="s">
        <v>16180</v>
      </c>
      <c r="AF805" s="1" t="s">
        <v>16181</v>
      </c>
      <c r="AG805" s="1" t="s">
        <v>16182</v>
      </c>
      <c r="AH805" s="1" t="s">
        <v>16183</v>
      </c>
      <c r="AI805" s="1" t="s">
        <v>16184</v>
      </c>
      <c r="AJ805" s="1" t="s">
        <v>132</v>
      </c>
      <c r="AK805" s="1" t="s">
        <v>16185</v>
      </c>
      <c r="AL805" s="1" t="s">
        <v>16186</v>
      </c>
      <c r="AM805" s="1" t="s">
        <v>16187</v>
      </c>
      <c r="AN805" s="1" t="s">
        <v>16187</v>
      </c>
    </row>
    <row r="806" ht="15.75" customHeight="1">
      <c r="A806" s="1" t="s">
        <v>38</v>
      </c>
      <c r="B806" s="1" t="s">
        <v>16188</v>
      </c>
      <c r="C806" s="1" t="s">
        <v>16189</v>
      </c>
      <c r="D806" s="1" t="s">
        <v>132</v>
      </c>
      <c r="E806" s="1" t="s">
        <v>132</v>
      </c>
      <c r="F806" s="1" t="s">
        <v>132</v>
      </c>
      <c r="G806" s="1" t="s">
        <v>132</v>
      </c>
      <c r="H806" s="1" t="s">
        <v>132</v>
      </c>
      <c r="I806" s="1" t="s">
        <v>16190</v>
      </c>
      <c r="J806" s="1" t="s">
        <v>132</v>
      </c>
      <c r="K806" s="1" t="s">
        <v>16191</v>
      </c>
      <c r="L806" s="1" t="s">
        <v>132</v>
      </c>
      <c r="M806" s="1" t="s">
        <v>16192</v>
      </c>
      <c r="N806" s="1" t="s">
        <v>132</v>
      </c>
      <c r="O806" s="1" t="s">
        <v>132</v>
      </c>
      <c r="P806" s="1" t="s">
        <v>16189</v>
      </c>
      <c r="Q806" s="1" t="s">
        <v>132</v>
      </c>
      <c r="R806" s="1" t="s">
        <v>132</v>
      </c>
      <c r="S806" s="1" t="s">
        <v>132</v>
      </c>
      <c r="T806" s="1" t="s">
        <v>132</v>
      </c>
      <c r="U806" s="1" t="s">
        <v>132</v>
      </c>
      <c r="V806" s="1" t="s">
        <v>132</v>
      </c>
      <c r="W806" s="1" t="s">
        <v>132</v>
      </c>
      <c r="X806" s="1" t="s">
        <v>132</v>
      </c>
      <c r="Y806" s="1" t="s">
        <v>132</v>
      </c>
      <c r="Z806" s="1" t="s">
        <v>132</v>
      </c>
      <c r="AA806" s="1" t="s">
        <v>132</v>
      </c>
      <c r="AB806" s="1" t="s">
        <v>132</v>
      </c>
      <c r="AC806" s="1" t="s">
        <v>16193</v>
      </c>
      <c r="AD806" s="1" t="s">
        <v>132</v>
      </c>
      <c r="AE806" s="1" t="s">
        <v>132</v>
      </c>
      <c r="AF806" s="1" t="s">
        <v>16194</v>
      </c>
      <c r="AG806" s="1" t="s">
        <v>132</v>
      </c>
      <c r="AH806" s="1" t="s">
        <v>132</v>
      </c>
      <c r="AI806" s="1" t="s">
        <v>132</v>
      </c>
      <c r="AJ806" s="1" t="s">
        <v>132</v>
      </c>
      <c r="AK806" s="1" t="s">
        <v>132</v>
      </c>
      <c r="AL806" s="1" t="s">
        <v>132</v>
      </c>
      <c r="AM806" s="1" t="s">
        <v>132</v>
      </c>
      <c r="AN806" s="1" t="s">
        <v>132</v>
      </c>
    </row>
    <row r="807" ht="15.75" customHeight="1">
      <c r="A807" s="1" t="s">
        <v>38</v>
      </c>
      <c r="B807" s="1" t="s">
        <v>16195</v>
      </c>
      <c r="C807" s="1" t="s">
        <v>16196</v>
      </c>
      <c r="D807" s="8" t="s">
        <v>16197</v>
      </c>
      <c r="E807" s="1" t="s">
        <v>16198</v>
      </c>
      <c r="F807" s="1" t="s">
        <v>16199</v>
      </c>
      <c r="G807" s="1" t="s">
        <v>132</v>
      </c>
      <c r="H807" s="1" t="s">
        <v>132</v>
      </c>
      <c r="I807" s="1" t="s">
        <v>16200</v>
      </c>
      <c r="J807" s="1" t="s">
        <v>132</v>
      </c>
      <c r="K807" s="1" t="s">
        <v>16201</v>
      </c>
      <c r="L807" s="1" t="s">
        <v>132</v>
      </c>
      <c r="M807" s="1" t="s">
        <v>16202</v>
      </c>
      <c r="N807" s="1" t="s">
        <v>16203</v>
      </c>
      <c r="O807" s="1" t="s">
        <v>132</v>
      </c>
      <c r="P807" s="1" t="s">
        <v>16204</v>
      </c>
      <c r="Q807" s="1" t="s">
        <v>16205</v>
      </c>
      <c r="R807" s="1" t="s">
        <v>132</v>
      </c>
      <c r="S807" s="1" t="s">
        <v>16206</v>
      </c>
      <c r="T807" s="1" t="s">
        <v>132</v>
      </c>
      <c r="U807" s="1" t="s">
        <v>16207</v>
      </c>
      <c r="V807" s="1" t="s">
        <v>16208</v>
      </c>
      <c r="W807" s="1" t="s">
        <v>132</v>
      </c>
      <c r="X807" s="1" t="s">
        <v>16209</v>
      </c>
      <c r="Y807" s="1" t="s">
        <v>132</v>
      </c>
      <c r="Z807" s="1" t="s">
        <v>16210</v>
      </c>
      <c r="AA807" s="1" t="s">
        <v>16211</v>
      </c>
      <c r="AB807" s="1" t="s">
        <v>132</v>
      </c>
      <c r="AC807" s="1" t="s">
        <v>16212</v>
      </c>
      <c r="AD807" s="1" t="s">
        <v>16213</v>
      </c>
      <c r="AE807" s="1" t="s">
        <v>132</v>
      </c>
      <c r="AF807" s="1" t="s">
        <v>16214</v>
      </c>
      <c r="AG807" s="1" t="s">
        <v>16215</v>
      </c>
      <c r="AH807" s="1" t="s">
        <v>132</v>
      </c>
      <c r="AI807" s="1" t="s">
        <v>132</v>
      </c>
      <c r="AJ807" s="1" t="s">
        <v>16216</v>
      </c>
      <c r="AK807" s="1" t="s">
        <v>16217</v>
      </c>
      <c r="AL807" s="1" t="s">
        <v>132</v>
      </c>
      <c r="AM807" s="1" t="s">
        <v>16218</v>
      </c>
      <c r="AN807" s="1" t="s">
        <v>16218</v>
      </c>
    </row>
    <row r="808" ht="15.75" customHeight="1">
      <c r="A808" s="1" t="s">
        <v>38</v>
      </c>
      <c r="B808" s="1" t="s">
        <v>16219</v>
      </c>
      <c r="C808" s="1" t="s">
        <v>16220</v>
      </c>
      <c r="D808" s="1" t="s">
        <v>132</v>
      </c>
      <c r="E808" s="1" t="s">
        <v>16221</v>
      </c>
      <c r="F808" s="1" t="s">
        <v>16222</v>
      </c>
      <c r="G808" s="1" t="s">
        <v>132</v>
      </c>
      <c r="H808" s="1" t="s">
        <v>132</v>
      </c>
      <c r="I808" s="1" t="s">
        <v>16223</v>
      </c>
      <c r="J808" s="1" t="s">
        <v>132</v>
      </c>
      <c r="K808" s="1" t="s">
        <v>16224</v>
      </c>
      <c r="L808" s="1" t="s">
        <v>132</v>
      </c>
      <c r="M808" s="1" t="s">
        <v>16225</v>
      </c>
      <c r="N808" s="1" t="s">
        <v>16226</v>
      </c>
      <c r="O808" s="1" t="s">
        <v>132</v>
      </c>
      <c r="P808" s="1" t="s">
        <v>16227</v>
      </c>
      <c r="Q808" s="1" t="s">
        <v>132</v>
      </c>
      <c r="R808" s="1" t="s">
        <v>132</v>
      </c>
      <c r="S808" s="1" t="s">
        <v>16228</v>
      </c>
      <c r="T808" s="1" t="s">
        <v>132</v>
      </c>
      <c r="U808" s="1" t="s">
        <v>132</v>
      </c>
      <c r="V808" s="1" t="s">
        <v>132</v>
      </c>
      <c r="W808" s="1" t="s">
        <v>132</v>
      </c>
      <c r="X808" s="1" t="s">
        <v>16229</v>
      </c>
      <c r="Y808" s="1" t="s">
        <v>132</v>
      </c>
      <c r="Z808" s="1" t="s">
        <v>16230</v>
      </c>
      <c r="AA808" s="1" t="s">
        <v>132</v>
      </c>
      <c r="AB808" s="1" t="s">
        <v>132</v>
      </c>
      <c r="AC808" s="1" t="s">
        <v>132</v>
      </c>
      <c r="AD808" s="1" t="s">
        <v>132</v>
      </c>
      <c r="AE808" s="1" t="s">
        <v>132</v>
      </c>
      <c r="AF808" s="1" t="s">
        <v>132</v>
      </c>
      <c r="AG808" s="1" t="s">
        <v>132</v>
      </c>
      <c r="AH808" s="1" t="s">
        <v>132</v>
      </c>
      <c r="AI808" s="1" t="s">
        <v>132</v>
      </c>
      <c r="AJ808" s="1" t="s">
        <v>132</v>
      </c>
      <c r="AK808" s="1" t="s">
        <v>132</v>
      </c>
      <c r="AL808" s="1" t="s">
        <v>132</v>
      </c>
      <c r="AM808" s="1" t="s">
        <v>132</v>
      </c>
      <c r="AN808" s="1" t="s">
        <v>132</v>
      </c>
    </row>
    <row r="809" ht="15.75" customHeight="1">
      <c r="A809" s="1" t="s">
        <v>38</v>
      </c>
      <c r="B809" s="1" t="s">
        <v>16231</v>
      </c>
      <c r="C809" s="1" t="s">
        <v>16232</v>
      </c>
      <c r="D809" s="1" t="s">
        <v>132</v>
      </c>
      <c r="E809" s="1" t="s">
        <v>132</v>
      </c>
      <c r="F809" s="1" t="s">
        <v>132</v>
      </c>
      <c r="G809" s="1" t="s">
        <v>132</v>
      </c>
      <c r="H809" s="1" t="s">
        <v>132</v>
      </c>
      <c r="I809" s="1" t="s">
        <v>16233</v>
      </c>
      <c r="J809" s="1" t="s">
        <v>132</v>
      </c>
      <c r="K809" s="1" t="s">
        <v>16234</v>
      </c>
      <c r="L809" s="1" t="s">
        <v>132</v>
      </c>
      <c r="M809" s="1" t="s">
        <v>16235</v>
      </c>
      <c r="N809" s="1" t="s">
        <v>132</v>
      </c>
      <c r="O809" s="1" t="s">
        <v>132</v>
      </c>
      <c r="P809" s="1" t="s">
        <v>16232</v>
      </c>
      <c r="Q809" s="1" t="s">
        <v>132</v>
      </c>
      <c r="R809" s="1" t="s">
        <v>132</v>
      </c>
      <c r="S809" s="1" t="s">
        <v>132</v>
      </c>
      <c r="T809" s="1" t="s">
        <v>132</v>
      </c>
      <c r="U809" s="1" t="s">
        <v>132</v>
      </c>
      <c r="V809" s="1" t="s">
        <v>132</v>
      </c>
      <c r="W809" s="1" t="s">
        <v>132</v>
      </c>
      <c r="X809" s="1" t="s">
        <v>132</v>
      </c>
      <c r="Y809" s="1" t="s">
        <v>132</v>
      </c>
      <c r="Z809" s="1" t="s">
        <v>132</v>
      </c>
      <c r="AA809" s="1" t="s">
        <v>132</v>
      </c>
      <c r="AB809" s="1" t="s">
        <v>132</v>
      </c>
      <c r="AC809" s="1" t="s">
        <v>16236</v>
      </c>
      <c r="AD809" s="1" t="s">
        <v>132</v>
      </c>
      <c r="AE809" s="1" t="s">
        <v>132</v>
      </c>
      <c r="AF809" s="1" t="s">
        <v>16237</v>
      </c>
      <c r="AG809" s="1" t="s">
        <v>132</v>
      </c>
      <c r="AH809" s="1" t="s">
        <v>132</v>
      </c>
      <c r="AI809" s="1" t="s">
        <v>132</v>
      </c>
      <c r="AJ809" s="1" t="s">
        <v>132</v>
      </c>
      <c r="AK809" s="1" t="s">
        <v>132</v>
      </c>
      <c r="AL809" s="1" t="s">
        <v>132</v>
      </c>
      <c r="AM809" s="1" t="s">
        <v>132</v>
      </c>
      <c r="AN809" s="1" t="s">
        <v>132</v>
      </c>
    </row>
    <row r="810" ht="15.75" customHeight="1">
      <c r="A810" s="1" t="s">
        <v>127</v>
      </c>
      <c r="B810" s="1" t="s">
        <v>16238</v>
      </c>
      <c r="C810" s="1" t="s">
        <v>16239</v>
      </c>
      <c r="D810" s="8" t="s">
        <v>16240</v>
      </c>
      <c r="E810" s="1" t="s">
        <v>16241</v>
      </c>
      <c r="F810" s="1" t="s">
        <v>132</v>
      </c>
      <c r="G810" s="1" t="s">
        <v>16242</v>
      </c>
      <c r="H810" s="1" t="s">
        <v>16243</v>
      </c>
      <c r="I810" s="1" t="s">
        <v>16239</v>
      </c>
      <c r="J810" s="1" t="s">
        <v>16239</v>
      </c>
      <c r="K810" s="1" t="s">
        <v>16244</v>
      </c>
      <c r="L810" s="1" t="s">
        <v>16245</v>
      </c>
      <c r="M810" s="1" t="s">
        <v>16246</v>
      </c>
      <c r="N810" s="1" t="s">
        <v>132</v>
      </c>
      <c r="O810" s="1" t="s">
        <v>16247</v>
      </c>
      <c r="P810" s="1" t="s">
        <v>16248</v>
      </c>
      <c r="Q810" s="1" t="s">
        <v>132</v>
      </c>
      <c r="R810" s="1" t="s">
        <v>16249</v>
      </c>
      <c r="S810" s="1" t="s">
        <v>16250</v>
      </c>
      <c r="T810" s="1" t="s">
        <v>132</v>
      </c>
      <c r="U810" s="1" t="s">
        <v>16251</v>
      </c>
      <c r="V810" s="1" t="s">
        <v>16252</v>
      </c>
      <c r="W810" s="1" t="s">
        <v>16253</v>
      </c>
      <c r="X810" s="1" t="s">
        <v>16254</v>
      </c>
      <c r="Y810" s="1" t="s">
        <v>16255</v>
      </c>
      <c r="Z810" s="11" t="s">
        <v>16256</v>
      </c>
      <c r="AA810" s="1" t="s">
        <v>16257</v>
      </c>
      <c r="AB810" s="1" t="s">
        <v>16258</v>
      </c>
      <c r="AC810" s="1" t="s">
        <v>16259</v>
      </c>
      <c r="AD810" s="1" t="s">
        <v>16260</v>
      </c>
      <c r="AE810" s="1" t="s">
        <v>16261</v>
      </c>
      <c r="AF810" s="1" t="s">
        <v>16262</v>
      </c>
      <c r="AG810" s="1" t="s">
        <v>16255</v>
      </c>
      <c r="AH810" s="1" t="s">
        <v>16263</v>
      </c>
      <c r="AI810" s="1" t="s">
        <v>16264</v>
      </c>
      <c r="AJ810" s="1" t="s">
        <v>132</v>
      </c>
      <c r="AK810" s="1" t="s">
        <v>16265</v>
      </c>
      <c r="AL810" s="1" t="s">
        <v>16266</v>
      </c>
      <c r="AM810" s="1" t="s">
        <v>132</v>
      </c>
      <c r="AN810" s="1" t="s">
        <v>132</v>
      </c>
    </row>
    <row r="811" ht="15.75" customHeight="1">
      <c r="A811" s="1" t="s">
        <v>127</v>
      </c>
      <c r="B811" s="1" t="s">
        <v>16267</v>
      </c>
      <c r="C811" s="1" t="s">
        <v>16268</v>
      </c>
      <c r="D811" s="8" t="s">
        <v>16269</v>
      </c>
      <c r="E811" s="1" t="s">
        <v>16270</v>
      </c>
      <c r="F811" s="1" t="s">
        <v>132</v>
      </c>
      <c r="G811" s="1" t="s">
        <v>16271</v>
      </c>
      <c r="H811" s="1" t="s">
        <v>16272</v>
      </c>
      <c r="I811" s="1" t="s">
        <v>16268</v>
      </c>
      <c r="J811" s="1" t="s">
        <v>16273</v>
      </c>
      <c r="K811" s="1" t="s">
        <v>16268</v>
      </c>
      <c r="L811" s="1" t="s">
        <v>16274</v>
      </c>
      <c r="M811" s="1" t="s">
        <v>16275</v>
      </c>
      <c r="N811" s="1" t="s">
        <v>132</v>
      </c>
      <c r="O811" s="1" t="s">
        <v>16276</v>
      </c>
      <c r="P811" s="1" t="s">
        <v>16277</v>
      </c>
      <c r="Q811" s="1" t="s">
        <v>132</v>
      </c>
      <c r="R811" s="1" t="s">
        <v>16278</v>
      </c>
      <c r="S811" s="1" t="s">
        <v>16279</v>
      </c>
      <c r="T811" s="1" t="s">
        <v>132</v>
      </c>
      <c r="U811" s="1" t="s">
        <v>16280</v>
      </c>
      <c r="V811" s="1" t="s">
        <v>16281</v>
      </c>
      <c r="W811" s="1" t="s">
        <v>16278</v>
      </c>
      <c r="X811" s="1" t="s">
        <v>16282</v>
      </c>
      <c r="Y811" s="1" t="s">
        <v>16272</v>
      </c>
      <c r="Z811" s="1" t="s">
        <v>16283</v>
      </c>
      <c r="AA811" s="1" t="s">
        <v>16268</v>
      </c>
      <c r="AB811" s="1" t="s">
        <v>16284</v>
      </c>
      <c r="AC811" s="1" t="s">
        <v>16285</v>
      </c>
      <c r="AD811" s="1" t="s">
        <v>16286</v>
      </c>
      <c r="AE811" s="1" t="s">
        <v>16287</v>
      </c>
      <c r="AF811" s="1" t="s">
        <v>16288</v>
      </c>
      <c r="AG811" s="1" t="s">
        <v>16272</v>
      </c>
      <c r="AH811" s="1" t="s">
        <v>16289</v>
      </c>
      <c r="AI811" s="1" t="s">
        <v>16290</v>
      </c>
      <c r="AJ811" s="1" t="s">
        <v>132</v>
      </c>
      <c r="AK811" s="1" t="s">
        <v>16291</v>
      </c>
      <c r="AL811" s="1" t="s">
        <v>16292</v>
      </c>
      <c r="AM811" s="1" t="s">
        <v>16293</v>
      </c>
      <c r="AN811" s="1" t="s">
        <v>16293</v>
      </c>
    </row>
    <row r="812" ht="15.75" customHeight="1">
      <c r="A812" s="1" t="s">
        <v>38</v>
      </c>
      <c r="B812" s="1" t="s">
        <v>16294</v>
      </c>
      <c r="C812" s="1" t="s">
        <v>16295</v>
      </c>
      <c r="D812" s="8" t="s">
        <v>16296</v>
      </c>
      <c r="E812" s="1" t="s">
        <v>16297</v>
      </c>
      <c r="F812" s="1" t="s">
        <v>16298</v>
      </c>
      <c r="G812" s="1" t="s">
        <v>132</v>
      </c>
      <c r="H812" s="1" t="s">
        <v>132</v>
      </c>
      <c r="I812" s="1" t="s">
        <v>16299</v>
      </c>
      <c r="J812" s="1" t="s">
        <v>132</v>
      </c>
      <c r="K812" s="1" t="s">
        <v>16300</v>
      </c>
      <c r="L812" s="1" t="s">
        <v>132</v>
      </c>
      <c r="M812" s="1" t="s">
        <v>16301</v>
      </c>
      <c r="N812" s="1" t="s">
        <v>16302</v>
      </c>
      <c r="O812" s="1" t="s">
        <v>132</v>
      </c>
      <c r="P812" s="1" t="s">
        <v>16303</v>
      </c>
      <c r="Q812" s="1" t="s">
        <v>16304</v>
      </c>
      <c r="R812" s="1" t="s">
        <v>132</v>
      </c>
      <c r="S812" s="1" t="s">
        <v>16305</v>
      </c>
      <c r="T812" s="1" t="s">
        <v>132</v>
      </c>
      <c r="U812" s="1" t="s">
        <v>16306</v>
      </c>
      <c r="V812" s="1" t="s">
        <v>16307</v>
      </c>
      <c r="W812" s="1" t="s">
        <v>132</v>
      </c>
      <c r="X812" s="1" t="s">
        <v>16308</v>
      </c>
      <c r="Y812" s="1" t="s">
        <v>132</v>
      </c>
      <c r="Z812" s="1" t="s">
        <v>16309</v>
      </c>
      <c r="AA812" s="1" t="s">
        <v>16310</v>
      </c>
      <c r="AB812" s="1" t="s">
        <v>132</v>
      </c>
      <c r="AC812" s="1" t="s">
        <v>16311</v>
      </c>
      <c r="AD812" s="1" t="s">
        <v>16312</v>
      </c>
      <c r="AE812" s="1" t="s">
        <v>132</v>
      </c>
      <c r="AF812" s="1" t="s">
        <v>16313</v>
      </c>
      <c r="AG812" s="1" t="s">
        <v>16314</v>
      </c>
      <c r="AH812" s="1" t="s">
        <v>132</v>
      </c>
      <c r="AI812" s="1" t="s">
        <v>132</v>
      </c>
      <c r="AJ812" s="1" t="s">
        <v>16315</v>
      </c>
      <c r="AK812" s="1" t="s">
        <v>16316</v>
      </c>
      <c r="AL812" s="1" t="s">
        <v>132</v>
      </c>
      <c r="AM812" s="1" t="s">
        <v>16317</v>
      </c>
      <c r="AN812" s="1" t="s">
        <v>16317</v>
      </c>
    </row>
    <row r="813" ht="15.75" customHeight="1">
      <c r="A813" s="1" t="s">
        <v>127</v>
      </c>
      <c r="B813" s="1" t="s">
        <v>16318</v>
      </c>
      <c r="C813" s="1" t="s">
        <v>16319</v>
      </c>
      <c r="D813" s="8" t="s">
        <v>16320</v>
      </c>
      <c r="E813" s="1" t="s">
        <v>16321</v>
      </c>
      <c r="F813" s="1" t="s">
        <v>132</v>
      </c>
      <c r="G813" s="1" t="s">
        <v>16322</v>
      </c>
      <c r="H813" s="1" t="s">
        <v>16323</v>
      </c>
      <c r="I813" s="1" t="s">
        <v>16324</v>
      </c>
      <c r="J813" s="1" t="s">
        <v>16325</v>
      </c>
      <c r="K813" s="1" t="s">
        <v>16326</v>
      </c>
      <c r="L813" s="1" t="s">
        <v>16327</v>
      </c>
      <c r="M813" s="1" t="s">
        <v>16328</v>
      </c>
      <c r="N813" s="1" t="s">
        <v>132</v>
      </c>
      <c r="O813" s="1" t="s">
        <v>16329</v>
      </c>
      <c r="P813" s="1" t="s">
        <v>16330</v>
      </c>
      <c r="Q813" s="1" t="s">
        <v>132</v>
      </c>
      <c r="R813" s="1" t="s">
        <v>16331</v>
      </c>
      <c r="S813" s="1" t="s">
        <v>16332</v>
      </c>
      <c r="T813" s="1" t="s">
        <v>132</v>
      </c>
      <c r="U813" s="1" t="s">
        <v>16333</v>
      </c>
      <c r="V813" s="1" t="s">
        <v>16334</v>
      </c>
      <c r="W813" s="1" t="s">
        <v>16335</v>
      </c>
      <c r="X813" s="1" t="s">
        <v>16336</v>
      </c>
      <c r="Y813" s="1" t="s">
        <v>16337</v>
      </c>
      <c r="Z813" s="1" t="s">
        <v>16338</v>
      </c>
      <c r="AA813" s="1" t="s">
        <v>16339</v>
      </c>
      <c r="AB813" s="1" t="s">
        <v>16340</v>
      </c>
      <c r="AC813" s="1" t="s">
        <v>16341</v>
      </c>
      <c r="AD813" s="1" t="s">
        <v>16342</v>
      </c>
      <c r="AE813" s="1" t="s">
        <v>16343</v>
      </c>
      <c r="AF813" s="1" t="s">
        <v>16344</v>
      </c>
      <c r="AG813" s="1" t="s">
        <v>16345</v>
      </c>
      <c r="AH813" s="1" t="s">
        <v>16346</v>
      </c>
      <c r="AI813" s="1" t="s">
        <v>16347</v>
      </c>
      <c r="AJ813" s="1" t="s">
        <v>132</v>
      </c>
      <c r="AK813" s="1" t="s">
        <v>16348</v>
      </c>
      <c r="AL813" s="1" t="s">
        <v>16349</v>
      </c>
      <c r="AM813" s="1" t="s">
        <v>132</v>
      </c>
      <c r="AN813" s="1" t="s">
        <v>132</v>
      </c>
    </row>
    <row r="814" ht="15.75" customHeight="1">
      <c r="A814" s="1" t="s">
        <v>38</v>
      </c>
      <c r="B814" s="1" t="s">
        <v>16350</v>
      </c>
      <c r="C814" s="1" t="s">
        <v>16351</v>
      </c>
      <c r="D814" s="8" t="s">
        <v>16352</v>
      </c>
      <c r="E814" s="1" t="s">
        <v>16353</v>
      </c>
      <c r="F814" s="1" t="s">
        <v>16354</v>
      </c>
      <c r="G814" s="1" t="s">
        <v>132</v>
      </c>
      <c r="H814" s="1" t="s">
        <v>132</v>
      </c>
      <c r="I814" s="1" t="s">
        <v>16355</v>
      </c>
      <c r="J814" s="1" t="s">
        <v>132</v>
      </c>
      <c r="K814" s="1" t="s">
        <v>16356</v>
      </c>
      <c r="L814" s="1" t="s">
        <v>132</v>
      </c>
      <c r="M814" s="1" t="s">
        <v>16357</v>
      </c>
      <c r="N814" s="1" t="s">
        <v>16358</v>
      </c>
      <c r="O814" s="1" t="s">
        <v>132</v>
      </c>
      <c r="P814" s="1" t="s">
        <v>16359</v>
      </c>
      <c r="Q814" s="1" t="s">
        <v>16360</v>
      </c>
      <c r="R814" s="1" t="s">
        <v>132</v>
      </c>
      <c r="S814" s="1" t="s">
        <v>16361</v>
      </c>
      <c r="T814" s="1" t="s">
        <v>132</v>
      </c>
      <c r="U814" s="1" t="s">
        <v>16362</v>
      </c>
      <c r="V814" s="1" t="s">
        <v>16363</v>
      </c>
      <c r="W814" s="1" t="s">
        <v>132</v>
      </c>
      <c r="X814" s="1" t="s">
        <v>16364</v>
      </c>
      <c r="Y814" s="1" t="s">
        <v>132</v>
      </c>
      <c r="Z814" s="1" t="s">
        <v>16365</v>
      </c>
      <c r="AA814" s="1" t="s">
        <v>16366</v>
      </c>
      <c r="AB814" s="1" t="s">
        <v>132</v>
      </c>
      <c r="AC814" s="1" t="s">
        <v>16367</v>
      </c>
      <c r="AD814" s="1" t="s">
        <v>16368</v>
      </c>
      <c r="AE814" s="1" t="s">
        <v>132</v>
      </c>
      <c r="AF814" s="1" t="s">
        <v>16369</v>
      </c>
      <c r="AG814" s="1" t="s">
        <v>16370</v>
      </c>
      <c r="AH814" s="1" t="s">
        <v>132</v>
      </c>
      <c r="AI814" s="1" t="s">
        <v>132</v>
      </c>
      <c r="AJ814" s="1" t="s">
        <v>16371</v>
      </c>
      <c r="AK814" s="1" t="s">
        <v>16372</v>
      </c>
      <c r="AL814" s="1" t="s">
        <v>132</v>
      </c>
      <c r="AM814" s="1" t="s">
        <v>16373</v>
      </c>
      <c r="AN814" s="1" t="s">
        <v>16373</v>
      </c>
    </row>
    <row r="815" ht="15.75" customHeight="1">
      <c r="A815" s="1" t="s">
        <v>16374</v>
      </c>
      <c r="B815" s="1" t="s">
        <v>16375</v>
      </c>
      <c r="C815" s="1" t="s">
        <v>16376</v>
      </c>
      <c r="D815" s="1" t="s">
        <v>132</v>
      </c>
      <c r="E815" s="1" t="s">
        <v>132</v>
      </c>
      <c r="F815" s="1" t="s">
        <v>132</v>
      </c>
      <c r="G815" s="1" t="s">
        <v>132</v>
      </c>
      <c r="H815" s="1" t="s">
        <v>132</v>
      </c>
      <c r="I815" s="1" t="s">
        <v>132</v>
      </c>
      <c r="J815" s="1" t="s">
        <v>132</v>
      </c>
      <c r="K815" s="1" t="s">
        <v>132</v>
      </c>
      <c r="L815" s="1" t="s">
        <v>132</v>
      </c>
      <c r="M815" s="1" t="s">
        <v>132</v>
      </c>
      <c r="N815" s="1" t="s">
        <v>132</v>
      </c>
      <c r="O815" s="1" t="s">
        <v>132</v>
      </c>
      <c r="P815" s="1" t="s">
        <v>132</v>
      </c>
      <c r="Q815" s="1" t="s">
        <v>132</v>
      </c>
      <c r="R815" s="1" t="s">
        <v>132</v>
      </c>
      <c r="S815" s="1" t="s">
        <v>132</v>
      </c>
      <c r="T815" s="1" t="s">
        <v>132</v>
      </c>
      <c r="U815" s="1" t="s">
        <v>132</v>
      </c>
      <c r="V815" s="1" t="s">
        <v>132</v>
      </c>
      <c r="W815" s="1" t="s">
        <v>132</v>
      </c>
      <c r="X815" s="1" t="s">
        <v>132</v>
      </c>
      <c r="Y815" s="1" t="s">
        <v>132</v>
      </c>
      <c r="Z815" s="1" t="s">
        <v>132</v>
      </c>
      <c r="AA815" s="1" t="s">
        <v>132</v>
      </c>
      <c r="AB815" s="1" t="s">
        <v>132</v>
      </c>
      <c r="AC815" s="1" t="s">
        <v>132</v>
      </c>
      <c r="AD815" s="1" t="s">
        <v>132</v>
      </c>
      <c r="AE815" s="1" t="s">
        <v>132</v>
      </c>
      <c r="AF815" s="1" t="s">
        <v>132</v>
      </c>
      <c r="AG815" s="1" t="s">
        <v>132</v>
      </c>
      <c r="AH815" s="1" t="s">
        <v>132</v>
      </c>
      <c r="AI815" s="1" t="s">
        <v>132</v>
      </c>
      <c r="AJ815" s="1" t="s">
        <v>132</v>
      </c>
      <c r="AK815" s="1" t="s">
        <v>132</v>
      </c>
      <c r="AL815" s="1" t="s">
        <v>132</v>
      </c>
      <c r="AM815" s="1" t="s">
        <v>132</v>
      </c>
      <c r="AN815" s="1" t="s">
        <v>132</v>
      </c>
    </row>
    <row r="816" ht="15.75" customHeight="1">
      <c r="A816" s="1" t="s">
        <v>38</v>
      </c>
      <c r="B816" s="1" t="s">
        <v>16377</v>
      </c>
      <c r="C816" s="1" t="s">
        <v>16378</v>
      </c>
      <c r="D816" s="8" t="s">
        <v>16379</v>
      </c>
      <c r="E816" s="1" t="s">
        <v>16380</v>
      </c>
      <c r="F816" s="1" t="s">
        <v>8212</v>
      </c>
      <c r="G816" s="1" t="s">
        <v>132</v>
      </c>
      <c r="H816" s="1" t="s">
        <v>132</v>
      </c>
      <c r="I816" s="1" t="s">
        <v>19</v>
      </c>
      <c r="J816" s="1" t="s">
        <v>132</v>
      </c>
      <c r="K816" s="1" t="s">
        <v>3462</v>
      </c>
      <c r="L816" s="1" t="s">
        <v>132</v>
      </c>
      <c r="M816" s="1" t="s">
        <v>16381</v>
      </c>
      <c r="N816" s="1" t="s">
        <v>16382</v>
      </c>
      <c r="O816" s="1" t="s">
        <v>132</v>
      </c>
      <c r="P816" s="1" t="s">
        <v>16383</v>
      </c>
      <c r="Q816" s="1" t="s">
        <v>16384</v>
      </c>
      <c r="R816" s="1" t="s">
        <v>132</v>
      </c>
      <c r="S816" s="1" t="s">
        <v>16385</v>
      </c>
      <c r="T816" s="1" t="s">
        <v>132</v>
      </c>
      <c r="U816" s="1" t="s">
        <v>16386</v>
      </c>
      <c r="V816" s="1" t="s">
        <v>16387</v>
      </c>
      <c r="W816" s="1" t="s">
        <v>132</v>
      </c>
      <c r="X816" s="1" t="s">
        <v>16388</v>
      </c>
      <c r="Y816" s="1" t="s">
        <v>132</v>
      </c>
      <c r="Z816" s="1" t="s">
        <v>16389</v>
      </c>
      <c r="AA816" s="1" t="s">
        <v>16390</v>
      </c>
      <c r="AB816" s="1" t="s">
        <v>132</v>
      </c>
      <c r="AC816" s="1" t="s">
        <v>16391</v>
      </c>
      <c r="AD816" s="1" t="s">
        <v>16392</v>
      </c>
      <c r="AE816" s="1" t="s">
        <v>132</v>
      </c>
      <c r="AF816" s="1" t="s">
        <v>16393</v>
      </c>
      <c r="AG816" s="1" t="s">
        <v>16394</v>
      </c>
      <c r="AH816" s="1" t="s">
        <v>132</v>
      </c>
      <c r="AI816" s="1" t="s">
        <v>132</v>
      </c>
      <c r="AJ816" s="1" t="s">
        <v>16395</v>
      </c>
      <c r="AK816" s="1" t="s">
        <v>16396</v>
      </c>
      <c r="AL816" s="1" t="s">
        <v>132</v>
      </c>
      <c r="AM816" s="1" t="s">
        <v>16397</v>
      </c>
      <c r="AN816" s="1" t="s">
        <v>16397</v>
      </c>
    </row>
    <row r="817" ht="15.75" customHeight="1">
      <c r="A817" s="1" t="s">
        <v>127</v>
      </c>
      <c r="B817" s="1" t="s">
        <v>16398</v>
      </c>
      <c r="C817" s="1" t="s">
        <v>16399</v>
      </c>
      <c r="D817" s="8" t="s">
        <v>16400</v>
      </c>
      <c r="E817" s="1" t="s">
        <v>16401</v>
      </c>
      <c r="F817" s="1" t="s">
        <v>132</v>
      </c>
      <c r="G817" s="1" t="s">
        <v>16402</v>
      </c>
      <c r="H817" s="1" t="s">
        <v>16403</v>
      </c>
      <c r="I817" s="1" t="s">
        <v>16404</v>
      </c>
      <c r="J817" s="1" t="s">
        <v>16405</v>
      </c>
      <c r="K817" s="1" t="s">
        <v>16406</v>
      </c>
      <c r="L817" s="1" t="s">
        <v>16407</v>
      </c>
      <c r="M817" s="1" t="s">
        <v>16408</v>
      </c>
      <c r="N817" s="1" t="s">
        <v>132</v>
      </c>
      <c r="O817" s="1" t="s">
        <v>16409</v>
      </c>
      <c r="P817" s="1" t="s">
        <v>16410</v>
      </c>
      <c r="Q817" s="1" t="s">
        <v>132</v>
      </c>
      <c r="R817" s="1" t="s">
        <v>16411</v>
      </c>
      <c r="S817" s="1" t="s">
        <v>16412</v>
      </c>
      <c r="T817" s="8" t="s">
        <v>16413</v>
      </c>
      <c r="U817" s="1" t="s">
        <v>16414</v>
      </c>
      <c r="V817" s="1" t="s">
        <v>16415</v>
      </c>
      <c r="W817" s="1" t="s">
        <v>16416</v>
      </c>
      <c r="X817" s="1" t="s">
        <v>16417</v>
      </c>
      <c r="Y817" s="1" t="s">
        <v>16418</v>
      </c>
      <c r="Z817" s="1" t="s">
        <v>16419</v>
      </c>
      <c r="AA817" s="1" t="s">
        <v>16420</v>
      </c>
      <c r="AB817" s="1" t="s">
        <v>16421</v>
      </c>
      <c r="AC817" s="1" t="s">
        <v>16422</v>
      </c>
      <c r="AD817" s="1" t="s">
        <v>16423</v>
      </c>
      <c r="AE817" s="1" t="s">
        <v>16424</v>
      </c>
      <c r="AF817" s="1" t="s">
        <v>16425</v>
      </c>
      <c r="AG817" s="1" t="s">
        <v>16426</v>
      </c>
      <c r="AH817" s="1" t="s">
        <v>16427</v>
      </c>
      <c r="AI817" s="1" t="s">
        <v>16428</v>
      </c>
      <c r="AJ817" s="1" t="s">
        <v>132</v>
      </c>
      <c r="AK817" s="1" t="s">
        <v>16429</v>
      </c>
      <c r="AL817" s="1" t="s">
        <v>16430</v>
      </c>
      <c r="AM817" s="1" t="s">
        <v>16431</v>
      </c>
      <c r="AN817" s="1" t="s">
        <v>16431</v>
      </c>
    </row>
    <row r="818" ht="15.75" customHeight="1">
      <c r="A818" s="1" t="s">
        <v>127</v>
      </c>
      <c r="B818" s="1" t="s">
        <v>16432</v>
      </c>
      <c r="C818" s="1" t="s">
        <v>16433</v>
      </c>
      <c r="D818" s="8" t="s">
        <v>16434</v>
      </c>
      <c r="E818" s="1" t="s">
        <v>16435</v>
      </c>
      <c r="F818" s="1" t="s">
        <v>132</v>
      </c>
      <c r="G818" s="1" t="s">
        <v>16436</v>
      </c>
      <c r="H818" s="1" t="s">
        <v>16437</v>
      </c>
      <c r="I818" s="1" t="s">
        <v>16438</v>
      </c>
      <c r="J818" s="1" t="s">
        <v>16439</v>
      </c>
      <c r="K818" s="1" t="s">
        <v>16440</v>
      </c>
      <c r="L818" s="1" t="s">
        <v>16441</v>
      </c>
      <c r="M818" s="1" t="s">
        <v>16442</v>
      </c>
      <c r="N818" s="1" t="s">
        <v>132</v>
      </c>
      <c r="O818" s="1" t="s">
        <v>16443</v>
      </c>
      <c r="P818" s="1" t="s">
        <v>16433</v>
      </c>
      <c r="Q818" s="1" t="s">
        <v>132</v>
      </c>
      <c r="R818" s="1" t="s">
        <v>16444</v>
      </c>
      <c r="S818" s="1" t="s">
        <v>16445</v>
      </c>
      <c r="T818" s="8" t="s">
        <v>16446</v>
      </c>
      <c r="U818" s="1" t="s">
        <v>16447</v>
      </c>
      <c r="V818" s="1" t="s">
        <v>16448</v>
      </c>
      <c r="W818" s="1" t="s">
        <v>16449</v>
      </c>
      <c r="X818" s="1" t="s">
        <v>16450</v>
      </c>
      <c r="Y818" s="1" t="s">
        <v>16437</v>
      </c>
      <c r="Z818" s="1" t="s">
        <v>16451</v>
      </c>
      <c r="AA818" s="1" t="s">
        <v>16452</v>
      </c>
      <c r="AB818" s="1" t="s">
        <v>16453</v>
      </c>
      <c r="AC818" s="1" t="s">
        <v>16454</v>
      </c>
      <c r="AD818" s="1" t="s">
        <v>16455</v>
      </c>
      <c r="AE818" s="1" t="s">
        <v>16456</v>
      </c>
      <c r="AF818" s="1" t="s">
        <v>16457</v>
      </c>
      <c r="AG818" s="1" t="s">
        <v>16458</v>
      </c>
      <c r="AH818" s="1" t="s">
        <v>16459</v>
      </c>
      <c r="AI818" s="1" t="s">
        <v>16460</v>
      </c>
      <c r="AJ818" s="1" t="s">
        <v>132</v>
      </c>
      <c r="AK818" s="1" t="s">
        <v>16461</v>
      </c>
      <c r="AL818" s="1" t="s">
        <v>16462</v>
      </c>
      <c r="AM818" s="1" t="s">
        <v>16463</v>
      </c>
      <c r="AN818" s="1" t="s">
        <v>16463</v>
      </c>
    </row>
    <row r="819" ht="15.75" customHeight="1">
      <c r="A819" s="1" t="s">
        <v>127</v>
      </c>
      <c r="B819" s="1" t="s">
        <v>16464</v>
      </c>
      <c r="C819" s="1" t="s">
        <v>16465</v>
      </c>
      <c r="D819" s="8" t="s">
        <v>16466</v>
      </c>
      <c r="E819" s="1" t="s">
        <v>16467</v>
      </c>
      <c r="F819" s="1" t="s">
        <v>132</v>
      </c>
      <c r="G819" s="1" t="s">
        <v>16468</v>
      </c>
      <c r="H819" s="1" t="s">
        <v>16469</v>
      </c>
      <c r="I819" s="1" t="s">
        <v>16470</v>
      </c>
      <c r="J819" s="1" t="s">
        <v>16471</v>
      </c>
      <c r="K819" s="1" t="s">
        <v>16472</v>
      </c>
      <c r="L819" s="1" t="s">
        <v>16473</v>
      </c>
      <c r="M819" s="1" t="s">
        <v>16474</v>
      </c>
      <c r="N819" s="1" t="s">
        <v>132</v>
      </c>
      <c r="O819" s="1" t="s">
        <v>16475</v>
      </c>
      <c r="P819" s="1" t="s">
        <v>16476</v>
      </c>
      <c r="Q819" s="1" t="s">
        <v>132</v>
      </c>
      <c r="R819" s="1" t="s">
        <v>16477</v>
      </c>
      <c r="S819" s="1" t="s">
        <v>16478</v>
      </c>
      <c r="T819" s="8" t="s">
        <v>16479</v>
      </c>
      <c r="U819" s="1" t="s">
        <v>16480</v>
      </c>
      <c r="V819" s="1" t="s">
        <v>16481</v>
      </c>
      <c r="W819" s="1" t="s">
        <v>16482</v>
      </c>
      <c r="X819" s="1" t="s">
        <v>16483</v>
      </c>
      <c r="Y819" s="1" t="s">
        <v>16484</v>
      </c>
      <c r="Z819" s="1" t="s">
        <v>16485</v>
      </c>
      <c r="AA819" s="1" t="s">
        <v>16486</v>
      </c>
      <c r="AB819" s="1" t="s">
        <v>16487</v>
      </c>
      <c r="AC819" s="1" t="s">
        <v>16488</v>
      </c>
      <c r="AD819" s="1" t="s">
        <v>16489</v>
      </c>
      <c r="AE819" s="1" t="s">
        <v>16490</v>
      </c>
      <c r="AF819" s="1" t="s">
        <v>16491</v>
      </c>
      <c r="AG819" s="1" t="s">
        <v>16492</v>
      </c>
      <c r="AH819" s="1" t="s">
        <v>16493</v>
      </c>
      <c r="AI819" s="1" t="s">
        <v>16494</v>
      </c>
      <c r="AJ819" s="1" t="s">
        <v>132</v>
      </c>
      <c r="AK819" s="1" t="s">
        <v>16495</v>
      </c>
      <c r="AL819" s="1" t="s">
        <v>16480</v>
      </c>
      <c r="AM819" s="1" t="s">
        <v>16496</v>
      </c>
      <c r="AN819" s="1" t="s">
        <v>16496</v>
      </c>
    </row>
    <row r="820" ht="15.75" customHeight="1">
      <c r="A820" s="1" t="s">
        <v>38</v>
      </c>
      <c r="B820" s="1" t="s">
        <v>16497</v>
      </c>
      <c r="C820" s="1" t="s">
        <v>16498</v>
      </c>
      <c r="D820" s="1" t="s">
        <v>132</v>
      </c>
      <c r="E820" s="1" t="s">
        <v>16499</v>
      </c>
      <c r="F820" s="1" t="s">
        <v>16500</v>
      </c>
      <c r="G820" s="1" t="s">
        <v>132</v>
      </c>
      <c r="H820" s="1" t="s">
        <v>132</v>
      </c>
      <c r="I820" s="1" t="s">
        <v>16501</v>
      </c>
      <c r="J820" s="1" t="s">
        <v>132</v>
      </c>
      <c r="K820" s="1" t="s">
        <v>16502</v>
      </c>
      <c r="L820" s="1" t="s">
        <v>132</v>
      </c>
      <c r="M820" s="1" t="s">
        <v>16503</v>
      </c>
      <c r="N820" s="1" t="s">
        <v>16504</v>
      </c>
      <c r="O820" s="1" t="s">
        <v>132</v>
      </c>
      <c r="P820" s="1" t="s">
        <v>16505</v>
      </c>
      <c r="Q820" s="1" t="s">
        <v>16506</v>
      </c>
      <c r="R820" s="1" t="s">
        <v>132</v>
      </c>
      <c r="S820" s="1" t="s">
        <v>16507</v>
      </c>
      <c r="T820" s="1" t="s">
        <v>132</v>
      </c>
      <c r="U820" s="1" t="s">
        <v>16508</v>
      </c>
      <c r="V820" s="1" t="s">
        <v>16509</v>
      </c>
      <c r="W820" s="1" t="s">
        <v>132</v>
      </c>
      <c r="X820" s="1" t="s">
        <v>16510</v>
      </c>
      <c r="Y820" s="1" t="s">
        <v>132</v>
      </c>
      <c r="Z820" s="1" t="s">
        <v>16511</v>
      </c>
      <c r="AA820" s="1" t="s">
        <v>16512</v>
      </c>
      <c r="AB820" s="1" t="s">
        <v>132</v>
      </c>
      <c r="AC820" s="1" t="s">
        <v>16513</v>
      </c>
      <c r="AD820" s="1" t="s">
        <v>16514</v>
      </c>
      <c r="AE820" s="1" t="s">
        <v>132</v>
      </c>
      <c r="AF820" s="1" t="s">
        <v>16515</v>
      </c>
      <c r="AG820" s="1" t="s">
        <v>16516</v>
      </c>
      <c r="AH820" s="1" t="s">
        <v>132</v>
      </c>
      <c r="AI820" s="1" t="s">
        <v>132</v>
      </c>
      <c r="AJ820" s="1" t="s">
        <v>16517</v>
      </c>
      <c r="AK820" s="1" t="s">
        <v>16518</v>
      </c>
      <c r="AL820" s="1" t="s">
        <v>132</v>
      </c>
      <c r="AM820" s="1" t="s">
        <v>16519</v>
      </c>
      <c r="AN820" s="1" t="s">
        <v>16519</v>
      </c>
    </row>
    <row r="821" ht="15.75" customHeight="1">
      <c r="A821" s="1" t="s">
        <v>38</v>
      </c>
      <c r="B821" s="1" t="s">
        <v>16520</v>
      </c>
      <c r="C821" s="1" t="s">
        <v>16521</v>
      </c>
      <c r="D821" s="1" t="s">
        <v>132</v>
      </c>
      <c r="E821" s="1" t="s">
        <v>132</v>
      </c>
      <c r="F821" s="1" t="s">
        <v>132</v>
      </c>
      <c r="G821" s="1" t="s">
        <v>132</v>
      </c>
      <c r="H821" s="1" t="s">
        <v>132</v>
      </c>
      <c r="I821" s="1" t="s">
        <v>16522</v>
      </c>
      <c r="J821" s="1" t="s">
        <v>132</v>
      </c>
      <c r="K821" s="1" t="s">
        <v>16523</v>
      </c>
      <c r="L821" s="1" t="s">
        <v>132</v>
      </c>
      <c r="M821" s="1" t="s">
        <v>16524</v>
      </c>
      <c r="N821" s="1" t="s">
        <v>132</v>
      </c>
      <c r="O821" s="1" t="s">
        <v>132</v>
      </c>
      <c r="P821" s="1" t="s">
        <v>16521</v>
      </c>
      <c r="Q821" s="1" t="s">
        <v>132</v>
      </c>
      <c r="R821" s="1" t="s">
        <v>132</v>
      </c>
      <c r="S821" s="1" t="s">
        <v>132</v>
      </c>
      <c r="T821" s="1" t="s">
        <v>132</v>
      </c>
      <c r="U821" s="1" t="s">
        <v>132</v>
      </c>
      <c r="V821" s="1" t="s">
        <v>132</v>
      </c>
      <c r="W821" s="1" t="s">
        <v>132</v>
      </c>
      <c r="X821" s="1" t="s">
        <v>132</v>
      </c>
      <c r="Y821" s="1" t="s">
        <v>132</v>
      </c>
      <c r="Z821" s="1" t="s">
        <v>132</v>
      </c>
      <c r="AA821" s="1" t="s">
        <v>132</v>
      </c>
      <c r="AB821" s="1" t="s">
        <v>132</v>
      </c>
      <c r="AC821" s="1" t="s">
        <v>16525</v>
      </c>
      <c r="AD821" s="1" t="s">
        <v>132</v>
      </c>
      <c r="AE821" s="1" t="s">
        <v>132</v>
      </c>
      <c r="AF821" s="1" t="s">
        <v>16526</v>
      </c>
      <c r="AG821" s="1" t="s">
        <v>132</v>
      </c>
      <c r="AH821" s="1" t="s">
        <v>132</v>
      </c>
      <c r="AI821" s="1" t="s">
        <v>132</v>
      </c>
      <c r="AJ821" s="1" t="s">
        <v>132</v>
      </c>
      <c r="AK821" s="1" t="s">
        <v>132</v>
      </c>
      <c r="AL821" s="1" t="s">
        <v>132</v>
      </c>
      <c r="AM821" s="1" t="s">
        <v>132</v>
      </c>
      <c r="AN821" s="1" t="s">
        <v>132</v>
      </c>
    </row>
    <row r="822" ht="15.75" customHeight="1">
      <c r="A822" s="1" t="s">
        <v>127</v>
      </c>
      <c r="B822" s="1" t="s">
        <v>16527</v>
      </c>
      <c r="C822" s="1" t="s">
        <v>16528</v>
      </c>
      <c r="D822" s="8" t="s">
        <v>16529</v>
      </c>
      <c r="E822" s="1" t="s">
        <v>7895</v>
      </c>
      <c r="F822" s="1" t="s">
        <v>132</v>
      </c>
      <c r="G822" s="1" t="s">
        <v>16530</v>
      </c>
      <c r="H822" s="1" t="s">
        <v>16531</v>
      </c>
      <c r="I822" s="1" t="s">
        <v>7897</v>
      </c>
      <c r="J822" s="1" t="s">
        <v>16532</v>
      </c>
      <c r="K822" s="1" t="s">
        <v>7898</v>
      </c>
      <c r="L822" s="1" t="s">
        <v>16533</v>
      </c>
      <c r="M822" s="1" t="s">
        <v>16534</v>
      </c>
      <c r="N822" s="1" t="s">
        <v>132</v>
      </c>
      <c r="O822" s="1" t="s">
        <v>16535</v>
      </c>
      <c r="P822" s="1" t="s">
        <v>16536</v>
      </c>
      <c r="Q822" s="1" t="s">
        <v>132</v>
      </c>
      <c r="R822" s="1" t="s">
        <v>16537</v>
      </c>
      <c r="S822" s="1" t="s">
        <v>7898</v>
      </c>
      <c r="T822" s="8" t="s">
        <v>16538</v>
      </c>
      <c r="U822" s="1" t="s">
        <v>7900</v>
      </c>
      <c r="V822" s="1" t="s">
        <v>16539</v>
      </c>
      <c r="W822" s="1" t="s">
        <v>16537</v>
      </c>
      <c r="X822" s="1" t="s">
        <v>7901</v>
      </c>
      <c r="Y822" s="1" t="s">
        <v>16531</v>
      </c>
      <c r="Z822" s="1" t="s">
        <v>16540</v>
      </c>
      <c r="AA822" s="1" t="s">
        <v>7898</v>
      </c>
      <c r="AB822" s="1" t="s">
        <v>16541</v>
      </c>
      <c r="AC822" s="1" t="s">
        <v>7903</v>
      </c>
      <c r="AD822" s="1" t="s">
        <v>16542</v>
      </c>
      <c r="AE822" s="1" t="s">
        <v>16543</v>
      </c>
      <c r="AF822" s="1" t="s">
        <v>16544</v>
      </c>
      <c r="AG822" s="1" t="s">
        <v>16531</v>
      </c>
      <c r="AH822" s="1" t="s">
        <v>16545</v>
      </c>
      <c r="AI822" s="1" t="s">
        <v>16546</v>
      </c>
      <c r="AJ822" s="1" t="s">
        <v>132</v>
      </c>
      <c r="AK822" s="1" t="s">
        <v>16547</v>
      </c>
      <c r="AL822" s="1" t="s">
        <v>7900</v>
      </c>
      <c r="AM822" s="1" t="s">
        <v>16548</v>
      </c>
      <c r="AN822" s="1" t="s">
        <v>16548</v>
      </c>
    </row>
    <row r="823" ht="15.75" customHeight="1">
      <c r="A823" s="1" t="s">
        <v>38</v>
      </c>
      <c r="B823" s="1" t="s">
        <v>16549</v>
      </c>
      <c r="C823" s="1" t="s">
        <v>16550</v>
      </c>
      <c r="D823" s="8" t="s">
        <v>16551</v>
      </c>
      <c r="E823" s="1" t="s">
        <v>16552</v>
      </c>
      <c r="F823" s="1" t="s">
        <v>16553</v>
      </c>
      <c r="G823" s="1" t="s">
        <v>132</v>
      </c>
      <c r="H823" s="1" t="s">
        <v>132</v>
      </c>
      <c r="I823" s="1" t="s">
        <v>16554</v>
      </c>
      <c r="J823" s="1" t="s">
        <v>132</v>
      </c>
      <c r="K823" s="1" t="s">
        <v>16555</v>
      </c>
      <c r="L823" s="1" t="s">
        <v>132</v>
      </c>
      <c r="M823" s="1" t="s">
        <v>16556</v>
      </c>
      <c r="N823" s="1" t="s">
        <v>16557</v>
      </c>
      <c r="O823" s="1" t="s">
        <v>132</v>
      </c>
      <c r="P823" s="1" t="s">
        <v>16558</v>
      </c>
      <c r="Q823" s="1" t="s">
        <v>16559</v>
      </c>
      <c r="R823" s="1" t="s">
        <v>132</v>
      </c>
      <c r="S823" s="1" t="s">
        <v>16560</v>
      </c>
      <c r="T823" s="1" t="s">
        <v>132</v>
      </c>
      <c r="U823" s="1" t="s">
        <v>16561</v>
      </c>
      <c r="V823" s="1" t="s">
        <v>16562</v>
      </c>
      <c r="W823" s="1" t="s">
        <v>132</v>
      </c>
      <c r="X823" s="1" t="s">
        <v>16563</v>
      </c>
      <c r="Y823" s="1" t="s">
        <v>132</v>
      </c>
      <c r="Z823" s="1" t="s">
        <v>16564</v>
      </c>
      <c r="AA823" s="1" t="s">
        <v>16565</v>
      </c>
      <c r="AB823" s="1" t="s">
        <v>132</v>
      </c>
      <c r="AC823" s="1" t="s">
        <v>16566</v>
      </c>
      <c r="AD823" s="1" t="s">
        <v>16567</v>
      </c>
      <c r="AE823" s="1" t="s">
        <v>132</v>
      </c>
      <c r="AF823" s="1" t="s">
        <v>16568</v>
      </c>
      <c r="AG823" s="1" t="s">
        <v>16569</v>
      </c>
      <c r="AH823" s="1" t="s">
        <v>132</v>
      </c>
      <c r="AI823" s="1" t="s">
        <v>132</v>
      </c>
      <c r="AJ823" s="1" t="s">
        <v>16570</v>
      </c>
      <c r="AK823" s="1" t="s">
        <v>16571</v>
      </c>
      <c r="AL823" s="1" t="s">
        <v>132</v>
      </c>
      <c r="AM823" s="1" t="s">
        <v>16572</v>
      </c>
      <c r="AN823" s="1" t="s">
        <v>16572</v>
      </c>
    </row>
    <row r="824" ht="15.75" customHeight="1">
      <c r="A824" s="1" t="s">
        <v>127</v>
      </c>
      <c r="B824" s="1" t="s">
        <v>16573</v>
      </c>
      <c r="C824" s="1" t="s">
        <v>16574</v>
      </c>
      <c r="D824" s="8" t="s">
        <v>16575</v>
      </c>
      <c r="E824" s="1" t="s">
        <v>16574</v>
      </c>
      <c r="F824" s="1" t="s">
        <v>132</v>
      </c>
      <c r="G824" s="1" t="s">
        <v>16574</v>
      </c>
      <c r="H824" s="1" t="s">
        <v>16574</v>
      </c>
      <c r="I824" s="1" t="s">
        <v>16574</v>
      </c>
      <c r="J824" s="1" t="s">
        <v>16574</v>
      </c>
      <c r="K824" s="1" t="s">
        <v>16574</v>
      </c>
      <c r="L824" s="1" t="s">
        <v>16576</v>
      </c>
      <c r="M824" s="1" t="s">
        <v>16574</v>
      </c>
      <c r="N824" s="1" t="s">
        <v>132</v>
      </c>
      <c r="O824" s="1" t="s">
        <v>16574</v>
      </c>
      <c r="P824" s="1" t="s">
        <v>16574</v>
      </c>
      <c r="Q824" s="1" t="s">
        <v>132</v>
      </c>
      <c r="R824" s="1" t="s">
        <v>16574</v>
      </c>
      <c r="S824" s="1" t="s">
        <v>16574</v>
      </c>
      <c r="T824" s="8" t="s">
        <v>16577</v>
      </c>
      <c r="U824" s="1" t="s">
        <v>16574</v>
      </c>
      <c r="V824" s="1" t="s">
        <v>16578</v>
      </c>
      <c r="W824" s="1" t="s">
        <v>16574</v>
      </c>
      <c r="X824" s="1" t="s">
        <v>16574</v>
      </c>
      <c r="Y824" s="1" t="s">
        <v>16574</v>
      </c>
      <c r="Z824" s="1" t="s">
        <v>16574</v>
      </c>
      <c r="AA824" s="1" t="s">
        <v>16574</v>
      </c>
      <c r="AB824" s="1" t="s">
        <v>16574</v>
      </c>
      <c r="AC824" s="1" t="s">
        <v>16579</v>
      </c>
      <c r="AD824" s="1" t="s">
        <v>16580</v>
      </c>
      <c r="AE824" s="1" t="s">
        <v>16574</v>
      </c>
      <c r="AF824" s="1" t="s">
        <v>16574</v>
      </c>
      <c r="AG824" s="1" t="s">
        <v>16574</v>
      </c>
      <c r="AH824" s="1" t="s">
        <v>16574</v>
      </c>
      <c r="AI824" s="1" t="s">
        <v>16574</v>
      </c>
      <c r="AJ824" s="1" t="s">
        <v>132</v>
      </c>
      <c r="AK824" s="1" t="s">
        <v>16574</v>
      </c>
      <c r="AL824" s="1" t="s">
        <v>16574</v>
      </c>
      <c r="AM824" s="1" t="s">
        <v>132</v>
      </c>
      <c r="AN824" s="1" t="s">
        <v>132</v>
      </c>
    </row>
    <row r="825" ht="15.75" customHeight="1">
      <c r="A825" s="1" t="s">
        <v>127</v>
      </c>
      <c r="B825" s="1" t="s">
        <v>16581</v>
      </c>
      <c r="C825" s="1" t="s">
        <v>16582</v>
      </c>
      <c r="D825" s="1" t="s">
        <v>16583</v>
      </c>
      <c r="E825" s="1" t="s">
        <v>16584</v>
      </c>
      <c r="F825" s="1" t="s">
        <v>16582</v>
      </c>
      <c r="G825" s="1" t="s">
        <v>132</v>
      </c>
      <c r="H825" s="1" t="s">
        <v>16585</v>
      </c>
      <c r="I825" s="1" t="s">
        <v>16584</v>
      </c>
      <c r="J825" s="1" t="s">
        <v>132</v>
      </c>
      <c r="K825" s="1" t="s">
        <v>16586</v>
      </c>
      <c r="L825" s="1" t="s">
        <v>16587</v>
      </c>
      <c r="M825" s="1" t="s">
        <v>16588</v>
      </c>
      <c r="N825" s="1" t="s">
        <v>132</v>
      </c>
      <c r="O825" s="1" t="s">
        <v>132</v>
      </c>
      <c r="P825" s="1" t="s">
        <v>16589</v>
      </c>
      <c r="Q825" s="1" t="s">
        <v>132</v>
      </c>
      <c r="R825" s="1" t="s">
        <v>16590</v>
      </c>
      <c r="S825" s="1" t="s">
        <v>16591</v>
      </c>
      <c r="T825" s="1" t="s">
        <v>16592</v>
      </c>
      <c r="U825" s="1" t="s">
        <v>16593</v>
      </c>
      <c r="V825" s="1" t="s">
        <v>16594</v>
      </c>
      <c r="W825" s="1" t="s">
        <v>16595</v>
      </c>
      <c r="X825" s="1" t="s">
        <v>16583</v>
      </c>
      <c r="Y825" s="1" t="s">
        <v>16596</v>
      </c>
      <c r="Z825" s="1" t="s">
        <v>16597</v>
      </c>
      <c r="AA825" s="1" t="s">
        <v>16598</v>
      </c>
      <c r="AB825" s="1" t="s">
        <v>132</v>
      </c>
      <c r="AC825" s="1" t="s">
        <v>16599</v>
      </c>
      <c r="AD825" s="1" t="s">
        <v>132</v>
      </c>
      <c r="AE825" s="1" t="s">
        <v>132</v>
      </c>
      <c r="AF825" s="1" t="s">
        <v>16600</v>
      </c>
      <c r="AG825" s="1" t="s">
        <v>16601</v>
      </c>
      <c r="AH825" s="1" t="s">
        <v>132</v>
      </c>
      <c r="AI825" s="1" t="s">
        <v>16592</v>
      </c>
      <c r="AJ825" s="1" t="s">
        <v>132</v>
      </c>
      <c r="AK825" s="1" t="s">
        <v>132</v>
      </c>
      <c r="AL825" s="1" t="s">
        <v>16594</v>
      </c>
      <c r="AM825" s="1" t="s">
        <v>16602</v>
      </c>
      <c r="AN825" s="1" t="s">
        <v>16602</v>
      </c>
    </row>
    <row r="826" ht="15.75" customHeight="1">
      <c r="A826" s="1" t="s">
        <v>127</v>
      </c>
      <c r="B826" s="1" t="s">
        <v>16603</v>
      </c>
      <c r="C826" s="1" t="s">
        <v>16604</v>
      </c>
      <c r="D826" s="8" t="s">
        <v>16605</v>
      </c>
      <c r="E826" s="1" t="s">
        <v>16606</v>
      </c>
      <c r="F826" s="1" t="s">
        <v>132</v>
      </c>
      <c r="G826" s="1" t="s">
        <v>16607</v>
      </c>
      <c r="H826" s="1" t="s">
        <v>16608</v>
      </c>
      <c r="I826" s="1" t="s">
        <v>16609</v>
      </c>
      <c r="J826" s="1" t="s">
        <v>16610</v>
      </c>
      <c r="K826" s="1" t="s">
        <v>16611</v>
      </c>
      <c r="L826" s="1" t="s">
        <v>16612</v>
      </c>
      <c r="M826" s="1" t="s">
        <v>16613</v>
      </c>
      <c r="N826" s="1" t="s">
        <v>132</v>
      </c>
      <c r="O826" s="1" t="s">
        <v>16614</v>
      </c>
      <c r="P826" s="1" t="s">
        <v>16615</v>
      </c>
      <c r="Q826" s="1" t="s">
        <v>132</v>
      </c>
      <c r="R826" s="1" t="s">
        <v>16616</v>
      </c>
      <c r="S826" s="1" t="s">
        <v>16617</v>
      </c>
      <c r="T826" s="8" t="s">
        <v>16618</v>
      </c>
      <c r="U826" s="1" t="s">
        <v>16619</v>
      </c>
      <c r="V826" s="1" t="s">
        <v>16620</v>
      </c>
      <c r="W826" s="1" t="s">
        <v>16616</v>
      </c>
      <c r="X826" s="1" t="s">
        <v>16621</v>
      </c>
      <c r="Y826" s="1" t="s">
        <v>16622</v>
      </c>
      <c r="Z826" s="1" t="s">
        <v>16623</v>
      </c>
      <c r="AA826" s="1" t="s">
        <v>16624</v>
      </c>
      <c r="AB826" s="1" t="s">
        <v>16625</v>
      </c>
      <c r="AC826" s="1" t="s">
        <v>16626</v>
      </c>
      <c r="AD826" s="1" t="s">
        <v>16627</v>
      </c>
      <c r="AE826" s="1" t="s">
        <v>16628</v>
      </c>
      <c r="AF826" s="1" t="s">
        <v>16604</v>
      </c>
      <c r="AG826" s="1" t="s">
        <v>16629</v>
      </c>
      <c r="AH826" s="1" t="s">
        <v>16630</v>
      </c>
      <c r="AI826" s="1" t="s">
        <v>16631</v>
      </c>
      <c r="AJ826" s="1" t="s">
        <v>132</v>
      </c>
      <c r="AK826" s="1" t="s">
        <v>16632</v>
      </c>
      <c r="AL826" s="1" t="s">
        <v>16633</v>
      </c>
      <c r="AM826" s="1" t="s">
        <v>132</v>
      </c>
      <c r="AN826" s="1" t="s">
        <v>132</v>
      </c>
    </row>
    <row r="827" ht="15.75" customHeight="1">
      <c r="A827" s="1" t="s">
        <v>127</v>
      </c>
      <c r="B827" s="1" t="s">
        <v>16634</v>
      </c>
      <c r="C827" s="1" t="s">
        <v>16635</v>
      </c>
      <c r="D827" s="8" t="s">
        <v>16636</v>
      </c>
      <c r="E827" s="1" t="s">
        <v>16637</v>
      </c>
      <c r="F827" s="1" t="s">
        <v>132</v>
      </c>
      <c r="G827" s="1" t="s">
        <v>16638</v>
      </c>
      <c r="H827" s="1" t="s">
        <v>16639</v>
      </c>
      <c r="I827" s="1" t="s">
        <v>16640</v>
      </c>
      <c r="J827" s="1" t="s">
        <v>16641</v>
      </c>
      <c r="K827" s="1" t="s">
        <v>16642</v>
      </c>
      <c r="L827" s="1" t="s">
        <v>16643</v>
      </c>
      <c r="M827" s="1" t="s">
        <v>16644</v>
      </c>
      <c r="N827" s="1" t="s">
        <v>132</v>
      </c>
      <c r="O827" s="1" t="s">
        <v>16645</v>
      </c>
      <c r="P827" s="1" t="s">
        <v>16646</v>
      </c>
      <c r="Q827" s="1" t="s">
        <v>132</v>
      </c>
      <c r="R827" s="1" t="s">
        <v>16647</v>
      </c>
      <c r="S827" s="1" t="s">
        <v>16635</v>
      </c>
      <c r="T827" s="8" t="s">
        <v>16648</v>
      </c>
      <c r="U827" s="1" t="s">
        <v>16649</v>
      </c>
      <c r="V827" s="1" t="s">
        <v>16650</v>
      </c>
      <c r="W827" s="1" t="s">
        <v>16647</v>
      </c>
      <c r="X827" s="1" t="s">
        <v>16651</v>
      </c>
      <c r="Y827" s="1" t="s">
        <v>16639</v>
      </c>
      <c r="Z827" s="1" t="s">
        <v>16652</v>
      </c>
      <c r="AA827" s="1" t="s">
        <v>16635</v>
      </c>
      <c r="AB827" s="1" t="s">
        <v>16653</v>
      </c>
      <c r="AC827" s="1" t="s">
        <v>16654</v>
      </c>
      <c r="AD827" s="1" t="s">
        <v>16655</v>
      </c>
      <c r="AE827" s="1" t="s">
        <v>16656</v>
      </c>
      <c r="AF827" s="1" t="s">
        <v>16657</v>
      </c>
      <c r="AG827" s="1" t="s">
        <v>16639</v>
      </c>
      <c r="AH827" s="1" t="s">
        <v>16658</v>
      </c>
      <c r="AI827" s="1" t="s">
        <v>16659</v>
      </c>
      <c r="AJ827" s="1" t="s">
        <v>132</v>
      </c>
      <c r="AK827" s="1" t="s">
        <v>16660</v>
      </c>
      <c r="AL827" s="1" t="s">
        <v>16661</v>
      </c>
      <c r="AM827" s="1" t="s">
        <v>16662</v>
      </c>
      <c r="AN827" s="1" t="s">
        <v>16662</v>
      </c>
    </row>
    <row r="828" ht="15.75" customHeight="1">
      <c r="A828" s="1" t="s">
        <v>38</v>
      </c>
      <c r="B828" s="1" t="s">
        <v>16663</v>
      </c>
      <c r="C828" s="1" t="s">
        <v>16664</v>
      </c>
      <c r="D828" s="1" t="s">
        <v>132</v>
      </c>
      <c r="E828" s="1" t="s">
        <v>132</v>
      </c>
      <c r="F828" s="1" t="s">
        <v>132</v>
      </c>
      <c r="G828" s="1" t="s">
        <v>132</v>
      </c>
      <c r="H828" s="1" t="s">
        <v>132</v>
      </c>
      <c r="I828" s="1" t="s">
        <v>132</v>
      </c>
      <c r="J828" s="1" t="s">
        <v>132</v>
      </c>
      <c r="K828" s="1" t="s">
        <v>132</v>
      </c>
      <c r="L828" s="1" t="s">
        <v>132</v>
      </c>
      <c r="M828" s="1" t="s">
        <v>132</v>
      </c>
      <c r="N828" s="1" t="s">
        <v>132</v>
      </c>
      <c r="O828" s="1" t="s">
        <v>132</v>
      </c>
      <c r="P828" s="1" t="s">
        <v>132</v>
      </c>
      <c r="Q828" s="1" t="s">
        <v>132</v>
      </c>
      <c r="R828" s="1" t="s">
        <v>132</v>
      </c>
      <c r="S828" s="1" t="s">
        <v>132</v>
      </c>
      <c r="T828" s="1" t="s">
        <v>132</v>
      </c>
      <c r="U828" s="1" t="s">
        <v>132</v>
      </c>
      <c r="V828" s="1" t="s">
        <v>132</v>
      </c>
      <c r="W828" s="1" t="s">
        <v>132</v>
      </c>
      <c r="X828" s="1" t="s">
        <v>132</v>
      </c>
      <c r="Y828" s="1" t="s">
        <v>132</v>
      </c>
      <c r="Z828" s="1" t="s">
        <v>132</v>
      </c>
      <c r="AA828" s="1" t="s">
        <v>132</v>
      </c>
      <c r="AB828" s="1" t="s">
        <v>132</v>
      </c>
      <c r="AC828" s="1" t="s">
        <v>132</v>
      </c>
      <c r="AD828" s="1" t="s">
        <v>132</v>
      </c>
      <c r="AE828" s="1" t="s">
        <v>132</v>
      </c>
      <c r="AF828" s="1" t="s">
        <v>132</v>
      </c>
      <c r="AG828" s="1" t="s">
        <v>132</v>
      </c>
      <c r="AH828" s="1" t="s">
        <v>132</v>
      </c>
      <c r="AI828" s="1" t="s">
        <v>132</v>
      </c>
      <c r="AJ828" s="1" t="s">
        <v>132</v>
      </c>
      <c r="AK828" s="1" t="s">
        <v>132</v>
      </c>
      <c r="AL828" s="1" t="s">
        <v>132</v>
      </c>
      <c r="AM828" s="1" t="s">
        <v>132</v>
      </c>
      <c r="AN828" s="1" t="s">
        <v>132</v>
      </c>
    </row>
    <row r="829" ht="15.75" customHeight="1">
      <c r="A829" s="1" t="s">
        <v>38</v>
      </c>
      <c r="B829" s="1" t="s">
        <v>16665</v>
      </c>
      <c r="C829" s="1" t="s">
        <v>16666</v>
      </c>
      <c r="D829" s="8" t="s">
        <v>16667</v>
      </c>
      <c r="E829" s="1" t="s">
        <v>16668</v>
      </c>
      <c r="F829" s="1" t="s">
        <v>16669</v>
      </c>
      <c r="G829" s="1" t="s">
        <v>132</v>
      </c>
      <c r="H829" s="1" t="s">
        <v>132</v>
      </c>
      <c r="I829" s="1" t="s">
        <v>16670</v>
      </c>
      <c r="J829" s="1" t="s">
        <v>132</v>
      </c>
      <c r="K829" s="1" t="s">
        <v>16671</v>
      </c>
      <c r="L829" s="1" t="s">
        <v>132</v>
      </c>
      <c r="M829" s="1" t="s">
        <v>16672</v>
      </c>
      <c r="N829" s="1" t="s">
        <v>16673</v>
      </c>
      <c r="O829" s="1" t="s">
        <v>132</v>
      </c>
      <c r="P829" s="1" t="s">
        <v>16674</v>
      </c>
      <c r="Q829" s="1" t="s">
        <v>16675</v>
      </c>
      <c r="R829" s="1" t="s">
        <v>132</v>
      </c>
      <c r="S829" s="1" t="s">
        <v>16676</v>
      </c>
      <c r="T829" s="1" t="s">
        <v>132</v>
      </c>
      <c r="U829" s="1" t="s">
        <v>16677</v>
      </c>
      <c r="V829" s="1" t="s">
        <v>16678</v>
      </c>
      <c r="W829" s="1" t="s">
        <v>132</v>
      </c>
      <c r="X829" s="1" t="s">
        <v>16679</v>
      </c>
      <c r="Y829" s="1" t="s">
        <v>132</v>
      </c>
      <c r="Z829" s="1" t="s">
        <v>16680</v>
      </c>
      <c r="AA829" s="1" t="s">
        <v>16681</v>
      </c>
      <c r="AB829" s="1" t="s">
        <v>132</v>
      </c>
      <c r="AC829" s="1" t="s">
        <v>16682</v>
      </c>
      <c r="AD829" s="1" t="s">
        <v>16683</v>
      </c>
      <c r="AE829" s="1" t="s">
        <v>132</v>
      </c>
      <c r="AF829" s="1" t="s">
        <v>16684</v>
      </c>
      <c r="AG829" s="1" t="s">
        <v>16685</v>
      </c>
      <c r="AH829" s="1" t="s">
        <v>132</v>
      </c>
      <c r="AI829" s="1" t="s">
        <v>132</v>
      </c>
      <c r="AJ829" s="1" t="s">
        <v>16686</v>
      </c>
      <c r="AK829" s="1" t="s">
        <v>16687</v>
      </c>
      <c r="AL829" s="1" t="s">
        <v>132</v>
      </c>
      <c r="AM829" s="1" t="s">
        <v>16688</v>
      </c>
      <c r="AN829" s="1" t="s">
        <v>16688</v>
      </c>
    </row>
    <row r="830" ht="15.75" customHeight="1">
      <c r="A830" s="1" t="s">
        <v>127</v>
      </c>
      <c r="B830" s="1" t="s">
        <v>16689</v>
      </c>
      <c r="C830" s="1" t="s">
        <v>16690</v>
      </c>
      <c r="D830" s="8" t="s">
        <v>16691</v>
      </c>
      <c r="E830" s="1" t="s">
        <v>16692</v>
      </c>
      <c r="F830" s="1" t="s">
        <v>132</v>
      </c>
      <c r="G830" s="1" t="s">
        <v>16693</v>
      </c>
      <c r="H830" s="1" t="s">
        <v>16694</v>
      </c>
      <c r="I830" s="1" t="s">
        <v>16695</v>
      </c>
      <c r="J830" s="1" t="s">
        <v>16696</v>
      </c>
      <c r="K830" s="1" t="s">
        <v>16697</v>
      </c>
      <c r="L830" s="1" t="s">
        <v>16698</v>
      </c>
      <c r="M830" s="1" t="s">
        <v>16699</v>
      </c>
      <c r="N830" s="1" t="s">
        <v>132</v>
      </c>
      <c r="O830" s="1" t="s">
        <v>16700</v>
      </c>
      <c r="P830" s="1" t="s">
        <v>16701</v>
      </c>
      <c r="Q830" s="1" t="s">
        <v>132</v>
      </c>
      <c r="R830" s="1" t="s">
        <v>16702</v>
      </c>
      <c r="S830" s="1" t="s">
        <v>16703</v>
      </c>
      <c r="T830" s="8" t="s">
        <v>16704</v>
      </c>
      <c r="U830" s="1" t="s">
        <v>16705</v>
      </c>
      <c r="V830" s="1" t="s">
        <v>16706</v>
      </c>
      <c r="W830" s="1" t="s">
        <v>16702</v>
      </c>
      <c r="X830" s="1" t="s">
        <v>16707</v>
      </c>
      <c r="Y830" s="1" t="s">
        <v>16708</v>
      </c>
      <c r="Z830" s="1" t="s">
        <v>16709</v>
      </c>
      <c r="AA830" s="1" t="s">
        <v>16710</v>
      </c>
      <c r="AB830" s="1" t="s">
        <v>16711</v>
      </c>
      <c r="AC830" s="1" t="s">
        <v>16712</v>
      </c>
      <c r="AD830" s="1" t="s">
        <v>16713</v>
      </c>
      <c r="AE830" s="1" t="s">
        <v>16714</v>
      </c>
      <c r="AF830" s="1" t="s">
        <v>16715</v>
      </c>
      <c r="AG830" s="1" t="s">
        <v>16716</v>
      </c>
      <c r="AH830" s="1" t="s">
        <v>16717</v>
      </c>
      <c r="AI830" s="1" t="s">
        <v>16718</v>
      </c>
      <c r="AJ830" s="1" t="s">
        <v>132</v>
      </c>
      <c r="AK830" s="1" t="s">
        <v>16719</v>
      </c>
      <c r="AL830" s="1" t="s">
        <v>16720</v>
      </c>
      <c r="AM830" s="1" t="s">
        <v>16721</v>
      </c>
      <c r="AN830" s="1" t="s">
        <v>16721</v>
      </c>
    </row>
    <row r="831" ht="15.75" customHeight="1">
      <c r="A831" s="1" t="s">
        <v>38</v>
      </c>
      <c r="B831" s="1" t="s">
        <v>16722</v>
      </c>
      <c r="C831" s="1" t="s">
        <v>16723</v>
      </c>
      <c r="D831" s="8" t="s">
        <v>16724</v>
      </c>
      <c r="E831" s="1" t="s">
        <v>16725</v>
      </c>
      <c r="F831" s="1" t="s">
        <v>16726</v>
      </c>
      <c r="G831" s="1" t="s">
        <v>132</v>
      </c>
      <c r="H831" s="1" t="s">
        <v>132</v>
      </c>
      <c r="I831" s="1" t="s">
        <v>16727</v>
      </c>
      <c r="J831" s="1" t="s">
        <v>132</v>
      </c>
      <c r="K831" s="1" t="s">
        <v>16728</v>
      </c>
      <c r="L831" s="1" t="s">
        <v>132</v>
      </c>
      <c r="M831" s="1" t="s">
        <v>16729</v>
      </c>
      <c r="N831" s="1" t="s">
        <v>16730</v>
      </c>
      <c r="O831" s="1" t="s">
        <v>132</v>
      </c>
      <c r="P831" s="1" t="s">
        <v>16731</v>
      </c>
      <c r="Q831" s="1" t="s">
        <v>132</v>
      </c>
      <c r="R831" s="1" t="s">
        <v>132</v>
      </c>
      <c r="S831" s="1" t="s">
        <v>16732</v>
      </c>
      <c r="T831" s="1" t="s">
        <v>132</v>
      </c>
      <c r="U831" s="1" t="s">
        <v>16733</v>
      </c>
      <c r="V831" s="1" t="s">
        <v>132</v>
      </c>
      <c r="W831" s="1" t="s">
        <v>132</v>
      </c>
      <c r="X831" s="1" t="s">
        <v>16734</v>
      </c>
      <c r="Y831" s="1" t="s">
        <v>132</v>
      </c>
      <c r="Z831" s="1" t="s">
        <v>16735</v>
      </c>
      <c r="AA831" s="1" t="s">
        <v>132</v>
      </c>
      <c r="AB831" s="1" t="s">
        <v>132</v>
      </c>
      <c r="AC831" s="1" t="s">
        <v>16736</v>
      </c>
      <c r="AD831" s="1" t="s">
        <v>132</v>
      </c>
      <c r="AE831" s="1" t="s">
        <v>132</v>
      </c>
      <c r="AF831" s="1" t="s">
        <v>16737</v>
      </c>
      <c r="AG831" s="1" t="s">
        <v>16738</v>
      </c>
      <c r="AH831" s="1" t="s">
        <v>132</v>
      </c>
      <c r="AI831" s="1" t="s">
        <v>132</v>
      </c>
      <c r="AJ831" s="1" t="s">
        <v>16739</v>
      </c>
      <c r="AK831" s="1" t="s">
        <v>132</v>
      </c>
      <c r="AL831" s="1" t="s">
        <v>132</v>
      </c>
      <c r="AM831" s="1" t="s">
        <v>16740</v>
      </c>
      <c r="AN831" s="1" t="s">
        <v>16740</v>
      </c>
    </row>
    <row r="832" ht="15.75" customHeight="1">
      <c r="A832" s="1" t="s">
        <v>127</v>
      </c>
      <c r="B832" s="1" t="s">
        <v>16741</v>
      </c>
      <c r="C832" s="1" t="s">
        <v>16742</v>
      </c>
      <c r="D832" s="8" t="s">
        <v>16743</v>
      </c>
      <c r="E832" s="1" t="s">
        <v>16744</v>
      </c>
      <c r="F832" s="1" t="s">
        <v>132</v>
      </c>
      <c r="G832" s="1" t="s">
        <v>16745</v>
      </c>
      <c r="H832" s="1" t="s">
        <v>16746</v>
      </c>
      <c r="I832" s="1" t="s">
        <v>16747</v>
      </c>
      <c r="J832" s="1" t="s">
        <v>16748</v>
      </c>
      <c r="K832" s="1" t="s">
        <v>16749</v>
      </c>
      <c r="L832" s="1" t="s">
        <v>16750</v>
      </c>
      <c r="M832" s="1" t="s">
        <v>16751</v>
      </c>
      <c r="N832" s="1" t="s">
        <v>132</v>
      </c>
      <c r="O832" s="1" t="s">
        <v>16752</v>
      </c>
      <c r="P832" s="1" t="s">
        <v>16753</v>
      </c>
      <c r="Q832" s="1" t="s">
        <v>132</v>
      </c>
      <c r="R832" s="1" t="s">
        <v>16754</v>
      </c>
      <c r="S832" s="1" t="s">
        <v>16755</v>
      </c>
      <c r="T832" s="8" t="s">
        <v>16756</v>
      </c>
      <c r="U832" s="1" t="s">
        <v>16757</v>
      </c>
      <c r="V832" s="1" t="s">
        <v>16758</v>
      </c>
      <c r="W832" s="1" t="s">
        <v>16759</v>
      </c>
      <c r="X832" s="1" t="s">
        <v>16760</v>
      </c>
      <c r="Y832" s="1" t="s">
        <v>16761</v>
      </c>
      <c r="Z832" s="1" t="s">
        <v>16762</v>
      </c>
      <c r="AA832" s="1" t="s">
        <v>16763</v>
      </c>
      <c r="AB832" s="1" t="s">
        <v>16764</v>
      </c>
      <c r="AC832" s="1" t="s">
        <v>16765</v>
      </c>
      <c r="AD832" s="1" t="s">
        <v>16766</v>
      </c>
      <c r="AE832" s="1" t="s">
        <v>16767</v>
      </c>
      <c r="AF832" s="1" t="s">
        <v>16768</v>
      </c>
      <c r="AG832" s="1" t="s">
        <v>16769</v>
      </c>
      <c r="AH832" s="1" t="s">
        <v>16770</v>
      </c>
      <c r="AI832" s="1" t="s">
        <v>16771</v>
      </c>
      <c r="AJ832" s="1" t="s">
        <v>132</v>
      </c>
      <c r="AK832" s="1" t="s">
        <v>16772</v>
      </c>
      <c r="AL832" s="1" t="s">
        <v>16773</v>
      </c>
      <c r="AM832" s="1" t="s">
        <v>132</v>
      </c>
      <c r="AN832" s="1" t="s">
        <v>132</v>
      </c>
    </row>
    <row r="833" ht="15.75" customHeight="1">
      <c r="A833" s="1" t="s">
        <v>38</v>
      </c>
      <c r="B833" s="1" t="s">
        <v>16774</v>
      </c>
      <c r="C833" s="1" t="s">
        <v>16775</v>
      </c>
      <c r="D833" s="8" t="s">
        <v>16776</v>
      </c>
      <c r="E833" s="1" t="s">
        <v>16777</v>
      </c>
      <c r="F833" s="1" t="s">
        <v>16778</v>
      </c>
      <c r="G833" s="1" t="s">
        <v>132</v>
      </c>
      <c r="H833" s="1" t="s">
        <v>132</v>
      </c>
      <c r="I833" s="1" t="s">
        <v>16779</v>
      </c>
      <c r="J833" s="1" t="s">
        <v>132</v>
      </c>
      <c r="K833" s="1" t="s">
        <v>16780</v>
      </c>
      <c r="L833" s="1" t="s">
        <v>132</v>
      </c>
      <c r="M833" s="1" t="s">
        <v>16781</v>
      </c>
      <c r="N833" s="1" t="s">
        <v>16782</v>
      </c>
      <c r="O833" s="1" t="s">
        <v>132</v>
      </c>
      <c r="P833" s="1" t="s">
        <v>16783</v>
      </c>
      <c r="Q833" s="1" t="s">
        <v>16784</v>
      </c>
      <c r="R833" s="1" t="s">
        <v>132</v>
      </c>
      <c r="S833" s="1" t="s">
        <v>16785</v>
      </c>
      <c r="T833" s="1" t="s">
        <v>132</v>
      </c>
      <c r="U833" s="1" t="s">
        <v>16786</v>
      </c>
      <c r="V833" s="1" t="s">
        <v>16787</v>
      </c>
      <c r="W833" s="1" t="s">
        <v>132</v>
      </c>
      <c r="X833" s="1" t="s">
        <v>16788</v>
      </c>
      <c r="Y833" s="1" t="s">
        <v>132</v>
      </c>
      <c r="Z833" s="1" t="s">
        <v>16789</v>
      </c>
      <c r="AA833" s="1" t="s">
        <v>16790</v>
      </c>
      <c r="AB833" s="1" t="s">
        <v>132</v>
      </c>
      <c r="AC833" s="1" t="s">
        <v>16791</v>
      </c>
      <c r="AD833" s="1" t="s">
        <v>16792</v>
      </c>
      <c r="AE833" s="1" t="s">
        <v>132</v>
      </c>
      <c r="AF833" s="1" t="s">
        <v>16793</v>
      </c>
      <c r="AG833" s="1" t="s">
        <v>16794</v>
      </c>
      <c r="AH833" s="1" t="s">
        <v>132</v>
      </c>
      <c r="AI833" s="1" t="s">
        <v>132</v>
      </c>
      <c r="AJ833" s="1" t="s">
        <v>16796</v>
      </c>
      <c r="AK833" s="1" t="s">
        <v>16797</v>
      </c>
      <c r="AL833" s="1" t="s">
        <v>132</v>
      </c>
      <c r="AM833" s="1" t="s">
        <v>16798</v>
      </c>
      <c r="AN833" s="1" t="s">
        <v>16798</v>
      </c>
    </row>
    <row r="834" ht="15.75" customHeight="1">
      <c r="A834" s="1" t="s">
        <v>127</v>
      </c>
      <c r="B834" s="1" t="s">
        <v>16799</v>
      </c>
      <c r="C834" s="1" t="s">
        <v>16800</v>
      </c>
      <c r="D834" s="8" t="s">
        <v>16801</v>
      </c>
      <c r="E834" s="1" t="s">
        <v>16802</v>
      </c>
      <c r="F834" s="1" t="s">
        <v>132</v>
      </c>
      <c r="G834" s="1" t="s">
        <v>16803</v>
      </c>
      <c r="H834" s="1" t="s">
        <v>16804</v>
      </c>
      <c r="I834" s="1" t="s">
        <v>16805</v>
      </c>
      <c r="J834" s="1" t="s">
        <v>16806</v>
      </c>
      <c r="K834" s="1" t="s">
        <v>16807</v>
      </c>
      <c r="L834" s="1" t="s">
        <v>16808</v>
      </c>
      <c r="M834" s="1" t="s">
        <v>16809</v>
      </c>
      <c r="N834" s="1" t="s">
        <v>132</v>
      </c>
      <c r="O834" s="1" t="s">
        <v>16810</v>
      </c>
      <c r="P834" s="1" t="s">
        <v>16811</v>
      </c>
      <c r="Q834" s="1" t="s">
        <v>132</v>
      </c>
      <c r="R834" s="1" t="s">
        <v>16812</v>
      </c>
      <c r="S834" s="1" t="s">
        <v>16813</v>
      </c>
      <c r="T834" s="8" t="s">
        <v>16814</v>
      </c>
      <c r="U834" s="1" t="s">
        <v>16815</v>
      </c>
      <c r="V834" s="1" t="s">
        <v>16816</v>
      </c>
      <c r="W834" s="1" t="s">
        <v>16817</v>
      </c>
      <c r="X834" s="1" t="s">
        <v>16818</v>
      </c>
      <c r="Y834" s="1" t="s">
        <v>16804</v>
      </c>
      <c r="Z834" s="1" t="s">
        <v>16819</v>
      </c>
      <c r="AA834" s="1" t="s">
        <v>16820</v>
      </c>
      <c r="AB834" s="1" t="s">
        <v>16821</v>
      </c>
      <c r="AC834" s="1" t="s">
        <v>16822</v>
      </c>
      <c r="AD834" s="1" t="s">
        <v>16823</v>
      </c>
      <c r="AE834" s="1" t="s">
        <v>16824</v>
      </c>
      <c r="AF834" s="1" t="s">
        <v>16825</v>
      </c>
      <c r="AG834" s="1" t="s">
        <v>16804</v>
      </c>
      <c r="AH834" s="1" t="s">
        <v>16826</v>
      </c>
      <c r="AI834" s="1" t="s">
        <v>16827</v>
      </c>
      <c r="AJ834" s="1" t="s">
        <v>132</v>
      </c>
      <c r="AK834" s="1" t="s">
        <v>16828</v>
      </c>
      <c r="AL834" s="1" t="s">
        <v>16829</v>
      </c>
      <c r="AM834" s="1" t="s">
        <v>16830</v>
      </c>
      <c r="AN834" s="1" t="s">
        <v>16830</v>
      </c>
    </row>
    <row r="835" ht="15.75" customHeight="1">
      <c r="A835" s="1" t="s">
        <v>127</v>
      </c>
      <c r="B835" s="1" t="s">
        <v>16831</v>
      </c>
      <c r="C835" s="1" t="s">
        <v>16832</v>
      </c>
      <c r="D835" s="8" t="s">
        <v>16833</v>
      </c>
      <c r="E835" s="1" t="s">
        <v>16834</v>
      </c>
      <c r="F835" s="1" t="s">
        <v>132</v>
      </c>
      <c r="G835" s="1" t="s">
        <v>16835</v>
      </c>
      <c r="H835" s="1" t="s">
        <v>16836</v>
      </c>
      <c r="I835" s="1" t="s">
        <v>16837</v>
      </c>
      <c r="J835" s="1" t="s">
        <v>16838</v>
      </c>
      <c r="K835" s="1" t="s">
        <v>16839</v>
      </c>
      <c r="L835" s="1" t="s">
        <v>14776</v>
      </c>
      <c r="M835" s="1" t="s">
        <v>14777</v>
      </c>
      <c r="N835" s="1" t="s">
        <v>132</v>
      </c>
      <c r="O835" s="1" t="s">
        <v>16840</v>
      </c>
      <c r="P835" s="1" t="s">
        <v>16841</v>
      </c>
      <c r="Q835" s="1" t="s">
        <v>132</v>
      </c>
      <c r="R835" s="1" t="s">
        <v>16842</v>
      </c>
      <c r="S835" s="1" t="s">
        <v>16843</v>
      </c>
      <c r="T835" s="8" t="s">
        <v>16844</v>
      </c>
      <c r="U835" s="1" t="s">
        <v>384</v>
      </c>
      <c r="V835" s="1" t="s">
        <v>16845</v>
      </c>
      <c r="W835" s="1" t="s">
        <v>16842</v>
      </c>
      <c r="X835" s="1" t="s">
        <v>16846</v>
      </c>
      <c r="Y835" s="1" t="s">
        <v>16836</v>
      </c>
      <c r="Z835" s="1" t="s">
        <v>16847</v>
      </c>
      <c r="AA835" s="1" t="s">
        <v>16848</v>
      </c>
      <c r="AB835" s="1" t="s">
        <v>16849</v>
      </c>
      <c r="AC835" s="1" t="s">
        <v>16850</v>
      </c>
      <c r="AD835" s="1" t="s">
        <v>16835</v>
      </c>
      <c r="AE835" s="1" t="s">
        <v>16851</v>
      </c>
      <c r="AF835" s="1" t="s">
        <v>16852</v>
      </c>
      <c r="AG835" s="1" t="s">
        <v>16836</v>
      </c>
      <c r="AH835" s="1" t="s">
        <v>16853</v>
      </c>
      <c r="AI835" s="1" t="s">
        <v>14773</v>
      </c>
      <c r="AJ835" s="1" t="s">
        <v>132</v>
      </c>
      <c r="AK835" s="1" t="s">
        <v>16854</v>
      </c>
      <c r="AL835" s="1" t="s">
        <v>384</v>
      </c>
      <c r="AM835" s="1" t="s">
        <v>400</v>
      </c>
      <c r="AN835" s="1" t="s">
        <v>400</v>
      </c>
    </row>
    <row r="836" ht="15.75" customHeight="1">
      <c r="A836" s="1" t="s">
        <v>2265</v>
      </c>
      <c r="B836" s="1" t="s">
        <v>16855</v>
      </c>
      <c r="C836" s="1" t="s">
        <v>16856</v>
      </c>
      <c r="D836" s="8" t="s">
        <v>16857</v>
      </c>
      <c r="E836" s="1" t="s">
        <v>16858</v>
      </c>
      <c r="F836" s="1" t="s">
        <v>132</v>
      </c>
      <c r="G836" s="1" t="s">
        <v>16859</v>
      </c>
      <c r="H836" s="1" t="s">
        <v>16860</v>
      </c>
      <c r="I836" s="1" t="s">
        <v>16861</v>
      </c>
      <c r="J836" s="1" t="s">
        <v>16862</v>
      </c>
      <c r="K836" s="1" t="s">
        <v>16863</v>
      </c>
      <c r="L836" s="1" t="s">
        <v>16864</v>
      </c>
      <c r="M836" s="1" t="s">
        <v>16865</v>
      </c>
      <c r="N836" s="1" t="s">
        <v>132</v>
      </c>
      <c r="O836" s="1" t="s">
        <v>16866</v>
      </c>
      <c r="P836" s="1" t="s">
        <v>16867</v>
      </c>
      <c r="Q836" s="1" t="s">
        <v>132</v>
      </c>
      <c r="R836" s="1" t="s">
        <v>16868</v>
      </c>
      <c r="S836" s="1" t="s">
        <v>16869</v>
      </c>
      <c r="T836" s="8" t="s">
        <v>16870</v>
      </c>
      <c r="U836" s="1" t="s">
        <v>16871</v>
      </c>
      <c r="V836" s="1" t="s">
        <v>7844</v>
      </c>
      <c r="W836" s="1" t="s">
        <v>16872</v>
      </c>
      <c r="X836" s="1" t="s">
        <v>16873</v>
      </c>
      <c r="Y836" s="1" t="s">
        <v>16874</v>
      </c>
      <c r="Z836" s="1" t="s">
        <v>16875</v>
      </c>
      <c r="AA836" s="1" t="s">
        <v>16876</v>
      </c>
      <c r="AB836" s="1" t="s">
        <v>16877</v>
      </c>
      <c r="AC836" s="1" t="s">
        <v>16878</v>
      </c>
      <c r="AD836" s="1" t="s">
        <v>16879</v>
      </c>
      <c r="AE836" s="1" t="s">
        <v>16880</v>
      </c>
      <c r="AF836" s="1" t="s">
        <v>16881</v>
      </c>
      <c r="AG836" s="1" t="s">
        <v>16882</v>
      </c>
      <c r="AH836" s="1" t="s">
        <v>16883</v>
      </c>
      <c r="AI836" s="1" t="s">
        <v>16884</v>
      </c>
      <c r="AJ836" s="1" t="s">
        <v>132</v>
      </c>
      <c r="AK836" s="1" t="s">
        <v>16885</v>
      </c>
      <c r="AL836" s="14" t="s">
        <v>16886</v>
      </c>
      <c r="AM836" s="1" t="s">
        <v>132</v>
      </c>
      <c r="AN836" s="1" t="s">
        <v>132</v>
      </c>
    </row>
    <row r="837" ht="15.75" customHeight="1">
      <c r="A837" s="1" t="s">
        <v>127</v>
      </c>
      <c r="B837" s="1" t="s">
        <v>16887</v>
      </c>
      <c r="C837" s="1" t="s">
        <v>16888</v>
      </c>
      <c r="D837" s="8" t="s">
        <v>16889</v>
      </c>
      <c r="E837" s="1" t="s">
        <v>16890</v>
      </c>
      <c r="F837" s="1" t="s">
        <v>132</v>
      </c>
      <c r="G837" s="1" t="s">
        <v>16891</v>
      </c>
      <c r="H837" s="1" t="s">
        <v>16892</v>
      </c>
      <c r="I837" s="1" t="s">
        <v>16893</v>
      </c>
      <c r="J837" s="1" t="s">
        <v>16894</v>
      </c>
      <c r="K837" s="1" t="s">
        <v>16895</v>
      </c>
      <c r="L837" s="1" t="s">
        <v>16896</v>
      </c>
      <c r="M837" s="1" t="s">
        <v>16897</v>
      </c>
      <c r="N837" s="1" t="s">
        <v>132</v>
      </c>
      <c r="O837" s="1" t="s">
        <v>16898</v>
      </c>
      <c r="P837" s="1" t="s">
        <v>16899</v>
      </c>
      <c r="Q837" s="1" t="s">
        <v>132</v>
      </c>
      <c r="R837" s="1" t="s">
        <v>16900</v>
      </c>
      <c r="S837" s="1" t="s">
        <v>16901</v>
      </c>
      <c r="T837" s="8" t="s">
        <v>16902</v>
      </c>
      <c r="U837" s="1" t="s">
        <v>16903</v>
      </c>
      <c r="V837" s="1" t="s">
        <v>16904</v>
      </c>
      <c r="W837" s="1" t="s">
        <v>16905</v>
      </c>
      <c r="X837" s="1" t="s">
        <v>16906</v>
      </c>
      <c r="Y837" s="1" t="s">
        <v>16907</v>
      </c>
      <c r="Z837" s="1" t="s">
        <v>16908</v>
      </c>
      <c r="AA837" s="1" t="s">
        <v>16909</v>
      </c>
      <c r="AB837" s="1" t="s">
        <v>16910</v>
      </c>
      <c r="AC837" s="1" t="s">
        <v>16911</v>
      </c>
      <c r="AD837" s="1" t="s">
        <v>16912</v>
      </c>
      <c r="AE837" s="1" t="s">
        <v>16913</v>
      </c>
      <c r="AF837" s="1" t="s">
        <v>16914</v>
      </c>
      <c r="AG837" s="1" t="s">
        <v>16915</v>
      </c>
      <c r="AH837" s="1" t="s">
        <v>16916</v>
      </c>
      <c r="AI837" s="1" t="s">
        <v>16917</v>
      </c>
      <c r="AJ837" s="1" t="s">
        <v>132</v>
      </c>
      <c r="AK837" s="1" t="s">
        <v>16918</v>
      </c>
      <c r="AL837" s="1" t="s">
        <v>16919</v>
      </c>
      <c r="AM837" s="1" t="s">
        <v>16920</v>
      </c>
      <c r="AN837" s="1" t="s">
        <v>16920</v>
      </c>
    </row>
    <row r="838" ht="15.75" customHeight="1">
      <c r="A838" s="1" t="s">
        <v>38</v>
      </c>
      <c r="B838" s="1" t="s">
        <v>16921</v>
      </c>
      <c r="C838" s="1" t="s">
        <v>16922</v>
      </c>
      <c r="D838" s="8" t="s">
        <v>16923</v>
      </c>
      <c r="E838" s="1" t="s">
        <v>16924</v>
      </c>
      <c r="F838" s="1" t="s">
        <v>16925</v>
      </c>
      <c r="G838" s="1" t="s">
        <v>132</v>
      </c>
      <c r="H838" s="1" t="s">
        <v>132</v>
      </c>
      <c r="I838" s="1" t="s">
        <v>16926</v>
      </c>
      <c r="J838" s="1" t="s">
        <v>132</v>
      </c>
      <c r="K838" s="1" t="s">
        <v>16927</v>
      </c>
      <c r="L838" s="1" t="s">
        <v>132</v>
      </c>
      <c r="M838" s="1" t="s">
        <v>16928</v>
      </c>
      <c r="N838" s="1" t="s">
        <v>16929</v>
      </c>
      <c r="O838" s="1" t="s">
        <v>132</v>
      </c>
      <c r="P838" s="1" t="s">
        <v>16930</v>
      </c>
      <c r="Q838" s="1" t="s">
        <v>16931</v>
      </c>
      <c r="R838" s="1" t="s">
        <v>132</v>
      </c>
      <c r="S838" s="1" t="s">
        <v>16932</v>
      </c>
      <c r="T838" s="1" t="s">
        <v>132</v>
      </c>
      <c r="U838" s="1" t="s">
        <v>16933</v>
      </c>
      <c r="V838" s="1" t="s">
        <v>16934</v>
      </c>
      <c r="W838" s="1" t="s">
        <v>132</v>
      </c>
      <c r="X838" s="1" t="s">
        <v>16935</v>
      </c>
      <c r="Y838" s="1" t="s">
        <v>132</v>
      </c>
      <c r="Z838" s="1" t="s">
        <v>16936</v>
      </c>
      <c r="AA838" s="1" t="s">
        <v>16929</v>
      </c>
      <c r="AB838" s="1" t="s">
        <v>132</v>
      </c>
      <c r="AC838" s="1" t="s">
        <v>16937</v>
      </c>
      <c r="AD838" s="1" t="s">
        <v>16938</v>
      </c>
      <c r="AE838" s="1" t="s">
        <v>132</v>
      </c>
      <c r="AF838" s="1" t="s">
        <v>16939</v>
      </c>
      <c r="AG838" s="1" t="s">
        <v>16940</v>
      </c>
      <c r="AH838" s="1" t="s">
        <v>132</v>
      </c>
      <c r="AI838" s="1" t="s">
        <v>132</v>
      </c>
      <c r="AJ838" s="1" t="s">
        <v>16941</v>
      </c>
      <c r="AK838" s="1" t="s">
        <v>16942</v>
      </c>
      <c r="AL838" s="1" t="s">
        <v>132</v>
      </c>
      <c r="AM838" s="1" t="s">
        <v>16943</v>
      </c>
      <c r="AN838" s="1" t="s">
        <v>16943</v>
      </c>
    </row>
    <row r="839" ht="15.75" customHeight="1">
      <c r="A839" s="1" t="s">
        <v>127</v>
      </c>
      <c r="B839" s="1" t="s">
        <v>16944</v>
      </c>
      <c r="C839" s="1" t="s">
        <v>16945</v>
      </c>
      <c r="D839" s="8" t="s">
        <v>16946</v>
      </c>
      <c r="E839" s="1" t="s">
        <v>16947</v>
      </c>
      <c r="F839" s="1" t="s">
        <v>132</v>
      </c>
      <c r="G839" s="1" t="s">
        <v>16948</v>
      </c>
      <c r="H839" s="1" t="s">
        <v>16949</v>
      </c>
      <c r="I839" s="1" t="s">
        <v>16950</v>
      </c>
      <c r="J839" s="1" t="s">
        <v>16951</v>
      </c>
      <c r="K839" s="1" t="s">
        <v>16952</v>
      </c>
      <c r="L839" s="1" t="s">
        <v>16953</v>
      </c>
      <c r="M839" s="1" t="s">
        <v>16954</v>
      </c>
      <c r="N839" s="1" t="s">
        <v>132</v>
      </c>
      <c r="O839" s="1" t="s">
        <v>16955</v>
      </c>
      <c r="P839" s="1" t="s">
        <v>16956</v>
      </c>
      <c r="Q839" s="1" t="s">
        <v>132</v>
      </c>
      <c r="R839" s="1" t="s">
        <v>16957</v>
      </c>
      <c r="S839" s="1" t="s">
        <v>16958</v>
      </c>
      <c r="T839" s="8" t="s">
        <v>16959</v>
      </c>
      <c r="U839" s="1" t="s">
        <v>16960</v>
      </c>
      <c r="V839" s="1" t="s">
        <v>16961</v>
      </c>
      <c r="W839" s="1" t="s">
        <v>16957</v>
      </c>
      <c r="X839" s="1" t="s">
        <v>16962</v>
      </c>
      <c r="Y839" s="1" t="s">
        <v>16963</v>
      </c>
      <c r="Z839" s="1" t="s">
        <v>16964</v>
      </c>
      <c r="AA839" s="1" t="s">
        <v>16965</v>
      </c>
      <c r="AB839" s="1" t="s">
        <v>16966</v>
      </c>
      <c r="AC839" s="1" t="s">
        <v>16967</v>
      </c>
      <c r="AD839" s="1" t="s">
        <v>16968</v>
      </c>
      <c r="AE839" s="1" t="s">
        <v>16969</v>
      </c>
      <c r="AF839" s="1" t="s">
        <v>16970</v>
      </c>
      <c r="AG839" s="1" t="s">
        <v>16971</v>
      </c>
      <c r="AH839" s="1" t="s">
        <v>16972</v>
      </c>
      <c r="AI839" s="1" t="s">
        <v>16973</v>
      </c>
      <c r="AJ839" s="1" t="s">
        <v>132</v>
      </c>
      <c r="AK839" s="1" t="s">
        <v>16974</v>
      </c>
      <c r="AL839" s="1" t="s">
        <v>16975</v>
      </c>
      <c r="AM839" s="1" t="s">
        <v>16976</v>
      </c>
      <c r="AN839" s="1" t="s">
        <v>16976</v>
      </c>
    </row>
    <row r="840" ht="15.75" customHeight="1">
      <c r="A840" s="1" t="s">
        <v>38</v>
      </c>
      <c r="B840" s="1" t="s">
        <v>16977</v>
      </c>
      <c r="C840" s="1" t="s">
        <v>16978</v>
      </c>
      <c r="D840" s="1" t="s">
        <v>132</v>
      </c>
      <c r="E840" s="1" t="s">
        <v>132</v>
      </c>
      <c r="F840" s="1" t="s">
        <v>132</v>
      </c>
      <c r="G840" s="1" t="s">
        <v>132</v>
      </c>
      <c r="H840" s="1" t="s">
        <v>132</v>
      </c>
      <c r="I840" s="1" t="s">
        <v>16979</v>
      </c>
      <c r="J840" s="1" t="s">
        <v>132</v>
      </c>
      <c r="K840" s="1" t="s">
        <v>16980</v>
      </c>
      <c r="L840" s="1" t="s">
        <v>132</v>
      </c>
      <c r="M840" s="1" t="s">
        <v>16981</v>
      </c>
      <c r="N840" s="1" t="s">
        <v>132</v>
      </c>
      <c r="O840" s="1" t="s">
        <v>132</v>
      </c>
      <c r="P840" s="1" t="s">
        <v>16978</v>
      </c>
      <c r="Q840" s="1" t="s">
        <v>132</v>
      </c>
      <c r="R840" s="1" t="s">
        <v>132</v>
      </c>
      <c r="S840" s="1" t="s">
        <v>132</v>
      </c>
      <c r="T840" s="1" t="s">
        <v>132</v>
      </c>
      <c r="U840" s="1" t="s">
        <v>132</v>
      </c>
      <c r="V840" s="1" t="s">
        <v>132</v>
      </c>
      <c r="W840" s="1" t="s">
        <v>132</v>
      </c>
      <c r="X840" s="1" t="s">
        <v>132</v>
      </c>
      <c r="Y840" s="1" t="s">
        <v>132</v>
      </c>
      <c r="Z840" s="1" t="s">
        <v>132</v>
      </c>
      <c r="AA840" s="1" t="s">
        <v>132</v>
      </c>
      <c r="AB840" s="1" t="s">
        <v>132</v>
      </c>
      <c r="AC840" s="1" t="s">
        <v>16982</v>
      </c>
      <c r="AD840" s="1" t="s">
        <v>132</v>
      </c>
      <c r="AE840" s="1" t="s">
        <v>132</v>
      </c>
      <c r="AF840" s="1" t="s">
        <v>16983</v>
      </c>
      <c r="AG840" s="1" t="s">
        <v>132</v>
      </c>
      <c r="AH840" s="1" t="s">
        <v>132</v>
      </c>
      <c r="AI840" s="1" t="s">
        <v>132</v>
      </c>
      <c r="AJ840" s="1" t="s">
        <v>132</v>
      </c>
      <c r="AK840" s="1" t="s">
        <v>132</v>
      </c>
      <c r="AL840" s="1" t="s">
        <v>132</v>
      </c>
      <c r="AM840" s="1" t="s">
        <v>132</v>
      </c>
      <c r="AN840" s="1" t="s">
        <v>132</v>
      </c>
    </row>
    <row r="841" ht="15.75" customHeight="1">
      <c r="A841" s="1" t="s">
        <v>127</v>
      </c>
      <c r="B841" s="1" t="s">
        <v>16984</v>
      </c>
      <c r="C841" s="1" t="s">
        <v>16985</v>
      </c>
      <c r="D841" s="8" t="s">
        <v>16986</v>
      </c>
      <c r="E841" s="1" t="s">
        <v>16987</v>
      </c>
      <c r="F841" s="1" t="s">
        <v>132</v>
      </c>
      <c r="G841" s="1" t="s">
        <v>16988</v>
      </c>
      <c r="H841" s="1" t="s">
        <v>16989</v>
      </c>
      <c r="I841" s="1" t="s">
        <v>16990</v>
      </c>
      <c r="J841" s="1" t="s">
        <v>8924</v>
      </c>
      <c r="K841" s="1" t="s">
        <v>16991</v>
      </c>
      <c r="L841" s="1" t="s">
        <v>16992</v>
      </c>
      <c r="M841" s="1" t="s">
        <v>16985</v>
      </c>
      <c r="N841" s="1" t="s">
        <v>132</v>
      </c>
      <c r="O841" s="1" t="s">
        <v>16993</v>
      </c>
      <c r="P841" s="1" t="s">
        <v>16994</v>
      </c>
      <c r="Q841" s="1" t="s">
        <v>132</v>
      </c>
      <c r="R841" s="1" t="s">
        <v>16995</v>
      </c>
      <c r="S841" s="1" t="s">
        <v>16996</v>
      </c>
      <c r="T841" s="8" t="s">
        <v>8932</v>
      </c>
      <c r="U841" s="1" t="s">
        <v>16997</v>
      </c>
      <c r="V841" s="1" t="s">
        <v>16998</v>
      </c>
      <c r="W841" s="1" t="s">
        <v>16995</v>
      </c>
      <c r="X841" s="1" t="s">
        <v>16999</v>
      </c>
      <c r="Y841" s="1" t="s">
        <v>8937</v>
      </c>
      <c r="Z841" s="1" t="s">
        <v>17000</v>
      </c>
      <c r="AA841" s="1" t="s">
        <v>17001</v>
      </c>
      <c r="AB841" s="1" t="s">
        <v>17002</v>
      </c>
      <c r="AC841" s="1" t="s">
        <v>17003</v>
      </c>
      <c r="AD841" s="1" t="s">
        <v>17004</v>
      </c>
      <c r="AE841" s="1" t="s">
        <v>17005</v>
      </c>
      <c r="AF841" s="1" t="s">
        <v>17006</v>
      </c>
      <c r="AG841" s="1" t="s">
        <v>17007</v>
      </c>
      <c r="AH841" s="1" t="s">
        <v>17008</v>
      </c>
      <c r="AI841" s="1" t="s">
        <v>17009</v>
      </c>
      <c r="AJ841" s="1" t="s">
        <v>132</v>
      </c>
      <c r="AK841" s="1" t="s">
        <v>17010</v>
      </c>
      <c r="AL841" s="1" t="s">
        <v>16997</v>
      </c>
      <c r="AM841" s="1" t="s">
        <v>132</v>
      </c>
      <c r="AN841" s="1" t="s">
        <v>132</v>
      </c>
    </row>
    <row r="842" ht="15.75" customHeight="1">
      <c r="A842" s="1" t="s">
        <v>127</v>
      </c>
      <c r="B842" s="1" t="s">
        <v>17011</v>
      </c>
      <c r="C842" s="1" t="s">
        <v>17012</v>
      </c>
      <c r="D842" s="8" t="s">
        <v>17013</v>
      </c>
      <c r="E842" s="1" t="s">
        <v>17014</v>
      </c>
      <c r="F842" s="1" t="s">
        <v>132</v>
      </c>
      <c r="G842" s="1" t="s">
        <v>17015</v>
      </c>
      <c r="H842" s="1" t="s">
        <v>17016</v>
      </c>
      <c r="I842" s="1" t="s">
        <v>17012</v>
      </c>
      <c r="J842" s="1" t="s">
        <v>17017</v>
      </c>
      <c r="K842" s="1" t="s">
        <v>17018</v>
      </c>
      <c r="L842" s="1" t="s">
        <v>17019</v>
      </c>
      <c r="M842" s="1" t="s">
        <v>17020</v>
      </c>
      <c r="N842" s="1" t="s">
        <v>132</v>
      </c>
      <c r="O842" s="1" t="s">
        <v>17021</v>
      </c>
      <c r="P842" s="1" t="s">
        <v>17022</v>
      </c>
      <c r="Q842" s="1" t="s">
        <v>132</v>
      </c>
      <c r="R842" s="1" t="s">
        <v>17023</v>
      </c>
      <c r="S842" s="1" t="s">
        <v>17024</v>
      </c>
      <c r="T842" s="8" t="s">
        <v>17025</v>
      </c>
      <c r="U842" s="1" t="s">
        <v>17026</v>
      </c>
      <c r="V842" s="1" t="s">
        <v>17027</v>
      </c>
      <c r="W842" s="1" t="s">
        <v>17023</v>
      </c>
      <c r="X842" s="1" t="s">
        <v>17028</v>
      </c>
      <c r="Y842" s="1" t="s">
        <v>17029</v>
      </c>
      <c r="Z842" s="1" t="s">
        <v>8326</v>
      </c>
      <c r="AA842" s="1" t="s">
        <v>17030</v>
      </c>
      <c r="AB842" s="1" t="s">
        <v>17031</v>
      </c>
      <c r="AC842" s="1" t="s">
        <v>17032</v>
      </c>
      <c r="AD842" s="1" t="s">
        <v>17033</v>
      </c>
      <c r="AE842" s="1" t="s">
        <v>17034</v>
      </c>
      <c r="AF842" s="1" t="s">
        <v>17035</v>
      </c>
      <c r="AG842" s="1" t="s">
        <v>17036</v>
      </c>
      <c r="AH842" s="1" t="s">
        <v>17037</v>
      </c>
      <c r="AI842" s="1" t="s">
        <v>17038</v>
      </c>
      <c r="AJ842" s="1" t="s">
        <v>132</v>
      </c>
      <c r="AK842" s="1" t="s">
        <v>17039</v>
      </c>
      <c r="AL842" s="1" t="s">
        <v>17040</v>
      </c>
      <c r="AM842" s="1" t="s">
        <v>132</v>
      </c>
      <c r="AN842" s="1" t="s">
        <v>132</v>
      </c>
    </row>
    <row r="843" ht="15.75" customHeight="1">
      <c r="A843" s="1" t="s">
        <v>38</v>
      </c>
      <c r="B843" s="1" t="s">
        <v>17041</v>
      </c>
      <c r="C843" s="1" t="s">
        <v>17042</v>
      </c>
      <c r="D843" s="1" t="s">
        <v>132</v>
      </c>
      <c r="E843" s="1" t="s">
        <v>17043</v>
      </c>
      <c r="F843" s="1" t="s">
        <v>17044</v>
      </c>
      <c r="G843" s="1" t="s">
        <v>132</v>
      </c>
      <c r="H843" s="1" t="s">
        <v>132</v>
      </c>
      <c r="I843" s="1" t="s">
        <v>17045</v>
      </c>
      <c r="J843" s="1" t="s">
        <v>132</v>
      </c>
      <c r="K843" s="1" t="s">
        <v>17046</v>
      </c>
      <c r="L843" s="1" t="s">
        <v>132</v>
      </c>
      <c r="M843" s="1" t="s">
        <v>17047</v>
      </c>
      <c r="N843" s="1" t="s">
        <v>17048</v>
      </c>
      <c r="O843" s="1" t="s">
        <v>132</v>
      </c>
      <c r="P843" s="1" t="s">
        <v>17049</v>
      </c>
      <c r="Q843" s="1" t="s">
        <v>132</v>
      </c>
      <c r="R843" s="1" t="s">
        <v>132</v>
      </c>
      <c r="S843" s="1" t="s">
        <v>17050</v>
      </c>
      <c r="T843" s="1" t="s">
        <v>132</v>
      </c>
      <c r="U843" s="1" t="s">
        <v>17051</v>
      </c>
      <c r="V843" s="1" t="s">
        <v>17052</v>
      </c>
      <c r="W843" s="1" t="s">
        <v>132</v>
      </c>
      <c r="X843" s="1" t="s">
        <v>17053</v>
      </c>
      <c r="Y843" s="1" t="s">
        <v>132</v>
      </c>
      <c r="Z843" s="1" t="s">
        <v>17054</v>
      </c>
      <c r="AA843" s="1" t="s">
        <v>17055</v>
      </c>
      <c r="AB843" s="1" t="s">
        <v>132</v>
      </c>
      <c r="AC843" s="1" t="s">
        <v>17056</v>
      </c>
      <c r="AD843" s="1" t="s">
        <v>132</v>
      </c>
      <c r="AE843" s="1" t="s">
        <v>132</v>
      </c>
      <c r="AF843" s="1" t="s">
        <v>17057</v>
      </c>
      <c r="AG843" s="1" t="s">
        <v>17058</v>
      </c>
      <c r="AH843" s="1" t="s">
        <v>132</v>
      </c>
      <c r="AI843" s="1" t="s">
        <v>132</v>
      </c>
      <c r="AJ843" s="1" t="s">
        <v>17059</v>
      </c>
      <c r="AK843" s="1" t="s">
        <v>17060</v>
      </c>
      <c r="AL843" s="1" t="s">
        <v>132</v>
      </c>
      <c r="AM843" s="1" t="s">
        <v>17061</v>
      </c>
      <c r="AN843" s="1" t="s">
        <v>17061</v>
      </c>
    </row>
    <row r="844" ht="15.75" customHeight="1">
      <c r="A844" s="1" t="s">
        <v>127</v>
      </c>
      <c r="B844" s="1" t="s">
        <v>17062</v>
      </c>
      <c r="C844" s="1" t="s">
        <v>17063</v>
      </c>
      <c r="D844" s="8" t="s">
        <v>17064</v>
      </c>
      <c r="E844" s="1" t="s">
        <v>17063</v>
      </c>
      <c r="F844" s="1" t="s">
        <v>132</v>
      </c>
      <c r="G844" s="1" t="s">
        <v>17063</v>
      </c>
      <c r="H844" s="1" t="s">
        <v>17065</v>
      </c>
      <c r="I844" s="1" t="s">
        <v>17063</v>
      </c>
      <c r="J844" s="1" t="s">
        <v>17066</v>
      </c>
      <c r="K844" s="1" t="s">
        <v>17063</v>
      </c>
      <c r="L844" s="1" t="s">
        <v>17063</v>
      </c>
      <c r="M844" s="1" t="s">
        <v>17063</v>
      </c>
      <c r="N844" s="1" t="s">
        <v>132</v>
      </c>
      <c r="O844" s="1" t="s">
        <v>17067</v>
      </c>
      <c r="P844" s="1" t="s">
        <v>17063</v>
      </c>
      <c r="Q844" s="1" t="s">
        <v>132</v>
      </c>
      <c r="R844" s="1" t="s">
        <v>17068</v>
      </c>
      <c r="S844" s="1" t="s">
        <v>17063</v>
      </c>
      <c r="T844" s="1" t="s">
        <v>17063</v>
      </c>
      <c r="U844" s="1" t="s">
        <v>17063</v>
      </c>
      <c r="V844" s="1" t="s">
        <v>17069</v>
      </c>
      <c r="W844" s="1" t="s">
        <v>17070</v>
      </c>
      <c r="X844" s="1" t="s">
        <v>17071</v>
      </c>
      <c r="Y844" s="1" t="s">
        <v>17072</v>
      </c>
      <c r="Z844" s="1" t="s">
        <v>17063</v>
      </c>
      <c r="AA844" s="1" t="s">
        <v>17073</v>
      </c>
      <c r="AB844" s="1" t="s">
        <v>17074</v>
      </c>
      <c r="AC844" s="1" t="s">
        <v>17075</v>
      </c>
      <c r="AD844" s="1" t="s">
        <v>17063</v>
      </c>
      <c r="AE844" s="1" t="s">
        <v>17063</v>
      </c>
      <c r="AF844" s="1" t="s">
        <v>17063</v>
      </c>
      <c r="AG844" s="1" t="s">
        <v>17063</v>
      </c>
      <c r="AH844" s="1" t="s">
        <v>17076</v>
      </c>
      <c r="AI844" s="1" t="s">
        <v>17077</v>
      </c>
      <c r="AJ844" s="1" t="s">
        <v>132</v>
      </c>
      <c r="AK844" s="1" t="s">
        <v>17063</v>
      </c>
      <c r="AL844" s="1" t="s">
        <v>17078</v>
      </c>
      <c r="AM844" s="1" t="s">
        <v>17079</v>
      </c>
      <c r="AN844" s="1" t="s">
        <v>17079</v>
      </c>
    </row>
    <row r="845" ht="15.75" customHeight="1">
      <c r="A845" s="1" t="s">
        <v>38</v>
      </c>
      <c r="B845" s="1" t="s">
        <v>17080</v>
      </c>
      <c r="C845" s="1" t="s">
        <v>17081</v>
      </c>
      <c r="D845" s="8" t="s">
        <v>17082</v>
      </c>
      <c r="E845" s="1" t="s">
        <v>17083</v>
      </c>
      <c r="F845" s="1" t="s">
        <v>17084</v>
      </c>
      <c r="G845" s="1" t="s">
        <v>132</v>
      </c>
      <c r="H845" s="1" t="s">
        <v>132</v>
      </c>
      <c r="I845" s="1" t="s">
        <v>17085</v>
      </c>
      <c r="J845" s="1" t="s">
        <v>132</v>
      </c>
      <c r="K845" s="1" t="s">
        <v>17086</v>
      </c>
      <c r="L845" s="1" t="s">
        <v>132</v>
      </c>
      <c r="M845" s="1" t="s">
        <v>17087</v>
      </c>
      <c r="N845" s="1" t="s">
        <v>17088</v>
      </c>
      <c r="O845" s="1" t="s">
        <v>132</v>
      </c>
      <c r="P845" s="1" t="s">
        <v>17089</v>
      </c>
      <c r="Q845" s="1" t="s">
        <v>132</v>
      </c>
      <c r="R845" s="1" t="s">
        <v>132</v>
      </c>
      <c r="S845" s="1" t="s">
        <v>17090</v>
      </c>
      <c r="T845" s="1" t="s">
        <v>132</v>
      </c>
      <c r="U845" s="1" t="s">
        <v>17091</v>
      </c>
      <c r="V845" s="1" t="s">
        <v>17092</v>
      </c>
      <c r="W845" s="1" t="s">
        <v>132</v>
      </c>
      <c r="X845" s="1" t="s">
        <v>17093</v>
      </c>
      <c r="Y845" s="1" t="s">
        <v>132</v>
      </c>
      <c r="Z845" s="1" t="s">
        <v>17094</v>
      </c>
      <c r="AA845" s="1" t="s">
        <v>132</v>
      </c>
      <c r="AB845" s="1" t="s">
        <v>132</v>
      </c>
      <c r="AC845" s="1" t="s">
        <v>17095</v>
      </c>
      <c r="AD845" s="1" t="s">
        <v>132</v>
      </c>
      <c r="AE845" s="1" t="s">
        <v>132</v>
      </c>
      <c r="AF845" s="1" t="s">
        <v>17096</v>
      </c>
      <c r="AG845" s="1" t="s">
        <v>17097</v>
      </c>
      <c r="AH845" s="1" t="s">
        <v>132</v>
      </c>
      <c r="AI845" s="1" t="s">
        <v>132</v>
      </c>
      <c r="AJ845" s="1" t="s">
        <v>17098</v>
      </c>
      <c r="AK845" s="1" t="s">
        <v>132</v>
      </c>
      <c r="AL845" s="1" t="s">
        <v>132</v>
      </c>
      <c r="AM845" s="1" t="s">
        <v>17099</v>
      </c>
      <c r="AN845" s="1" t="s">
        <v>17099</v>
      </c>
    </row>
    <row r="846" ht="15.75" customHeight="1">
      <c r="A846" s="1" t="s">
        <v>38</v>
      </c>
      <c r="B846" s="1" t="s">
        <v>17100</v>
      </c>
      <c r="C846" s="1" t="s">
        <v>17101</v>
      </c>
      <c r="D846" s="1" t="s">
        <v>132</v>
      </c>
      <c r="E846" s="1" t="s">
        <v>132</v>
      </c>
      <c r="F846" s="1" t="s">
        <v>132</v>
      </c>
      <c r="G846" s="1" t="s">
        <v>132</v>
      </c>
      <c r="H846" s="1" t="s">
        <v>132</v>
      </c>
      <c r="I846" s="1" t="s">
        <v>17102</v>
      </c>
      <c r="J846" s="1" t="s">
        <v>132</v>
      </c>
      <c r="K846" s="1" t="s">
        <v>17103</v>
      </c>
      <c r="L846" s="1" t="s">
        <v>132</v>
      </c>
      <c r="M846" s="1" t="s">
        <v>17104</v>
      </c>
      <c r="N846" s="1" t="s">
        <v>132</v>
      </c>
      <c r="O846" s="1" t="s">
        <v>132</v>
      </c>
      <c r="P846" s="1" t="s">
        <v>17101</v>
      </c>
      <c r="Q846" s="1" t="s">
        <v>132</v>
      </c>
      <c r="R846" s="1" t="s">
        <v>132</v>
      </c>
      <c r="S846" s="1" t="s">
        <v>132</v>
      </c>
      <c r="T846" s="1" t="s">
        <v>132</v>
      </c>
      <c r="U846" s="1" t="s">
        <v>132</v>
      </c>
      <c r="V846" s="1" t="s">
        <v>132</v>
      </c>
      <c r="W846" s="1" t="s">
        <v>132</v>
      </c>
      <c r="X846" s="1" t="s">
        <v>132</v>
      </c>
      <c r="Y846" s="1" t="s">
        <v>132</v>
      </c>
      <c r="Z846" s="1" t="s">
        <v>132</v>
      </c>
      <c r="AA846" s="1" t="s">
        <v>132</v>
      </c>
      <c r="AB846" s="1" t="s">
        <v>132</v>
      </c>
      <c r="AC846" s="1" t="s">
        <v>17105</v>
      </c>
      <c r="AD846" s="1" t="s">
        <v>132</v>
      </c>
      <c r="AE846" s="1" t="s">
        <v>132</v>
      </c>
      <c r="AF846" s="1" t="s">
        <v>17106</v>
      </c>
      <c r="AG846" s="1" t="s">
        <v>132</v>
      </c>
      <c r="AH846" s="1" t="s">
        <v>132</v>
      </c>
      <c r="AI846" s="1" t="s">
        <v>132</v>
      </c>
      <c r="AJ846" s="1" t="s">
        <v>132</v>
      </c>
      <c r="AK846" s="1" t="s">
        <v>132</v>
      </c>
      <c r="AL846" s="1" t="s">
        <v>132</v>
      </c>
      <c r="AM846" s="1" t="s">
        <v>132</v>
      </c>
      <c r="AN846" s="1" t="s">
        <v>132</v>
      </c>
    </row>
    <row r="847" ht="15.75" customHeight="1">
      <c r="A847" s="1" t="s">
        <v>127</v>
      </c>
      <c r="B847" s="1" t="s">
        <v>17107</v>
      </c>
      <c r="C847" s="1" t="s">
        <v>17108</v>
      </c>
      <c r="D847" s="8" t="s">
        <v>17109</v>
      </c>
      <c r="E847" s="1" t="s">
        <v>17110</v>
      </c>
      <c r="F847" s="1" t="s">
        <v>132</v>
      </c>
      <c r="G847" s="1" t="s">
        <v>17111</v>
      </c>
      <c r="H847" s="1" t="s">
        <v>17112</v>
      </c>
      <c r="I847" s="1" t="s">
        <v>17113</v>
      </c>
      <c r="J847" s="1" t="s">
        <v>17114</v>
      </c>
      <c r="K847" s="1" t="s">
        <v>17115</v>
      </c>
      <c r="L847" s="1" t="s">
        <v>17116</v>
      </c>
      <c r="M847" s="1" t="s">
        <v>17117</v>
      </c>
      <c r="N847" s="1" t="s">
        <v>132</v>
      </c>
      <c r="O847" s="1" t="s">
        <v>17118</v>
      </c>
      <c r="P847" s="1" t="s">
        <v>17119</v>
      </c>
      <c r="Q847" s="1" t="s">
        <v>132</v>
      </c>
      <c r="R847" s="1" t="s">
        <v>17120</v>
      </c>
      <c r="S847" s="1" t="s">
        <v>17121</v>
      </c>
      <c r="T847" s="8" t="s">
        <v>17122</v>
      </c>
      <c r="U847" s="1" t="s">
        <v>17123</v>
      </c>
      <c r="V847" s="1" t="s">
        <v>17124</v>
      </c>
      <c r="W847" s="1" t="s">
        <v>17125</v>
      </c>
      <c r="X847" s="1" t="s">
        <v>17126</v>
      </c>
      <c r="Y847" s="1" t="s">
        <v>17127</v>
      </c>
      <c r="Z847" s="1" t="s">
        <v>17128</v>
      </c>
      <c r="AA847" s="1" t="s">
        <v>17129</v>
      </c>
      <c r="AB847" s="1" t="s">
        <v>17130</v>
      </c>
      <c r="AC847" s="1" t="s">
        <v>17131</v>
      </c>
      <c r="AD847" s="1" t="s">
        <v>17132</v>
      </c>
      <c r="AE847" s="1" t="s">
        <v>17133</v>
      </c>
      <c r="AF847" s="1" t="s">
        <v>17134</v>
      </c>
      <c r="AG847" s="1" t="s">
        <v>17135</v>
      </c>
      <c r="AH847" s="1" t="s">
        <v>17136</v>
      </c>
      <c r="AI847" s="1" t="s">
        <v>17137</v>
      </c>
      <c r="AJ847" s="1" t="s">
        <v>132</v>
      </c>
      <c r="AK847" s="1" t="s">
        <v>17138</v>
      </c>
      <c r="AL847" s="1" t="s">
        <v>17139</v>
      </c>
      <c r="AM847" s="1" t="s">
        <v>132</v>
      </c>
      <c r="AN847" s="1" t="s">
        <v>132</v>
      </c>
    </row>
    <row r="848" ht="15.75" customHeight="1">
      <c r="A848" s="1" t="s">
        <v>38</v>
      </c>
      <c r="B848" s="1" t="s">
        <v>17140</v>
      </c>
      <c r="C848" s="1" t="s">
        <v>17141</v>
      </c>
      <c r="D848" s="8" t="s">
        <v>17142</v>
      </c>
      <c r="E848" s="1" t="s">
        <v>17143</v>
      </c>
      <c r="F848" s="1" t="s">
        <v>17144</v>
      </c>
      <c r="G848" s="1" t="s">
        <v>132</v>
      </c>
      <c r="H848" s="1" t="s">
        <v>132</v>
      </c>
      <c r="I848" s="1" t="s">
        <v>17145</v>
      </c>
      <c r="J848" s="1" t="s">
        <v>132</v>
      </c>
      <c r="K848" s="1" t="s">
        <v>17146</v>
      </c>
      <c r="L848" s="1" t="s">
        <v>132</v>
      </c>
      <c r="M848" s="1" t="s">
        <v>17147</v>
      </c>
      <c r="N848" s="1" t="s">
        <v>17148</v>
      </c>
      <c r="O848" s="1" t="s">
        <v>132</v>
      </c>
      <c r="P848" s="1" t="s">
        <v>17149</v>
      </c>
      <c r="Q848" s="1" t="s">
        <v>17150</v>
      </c>
      <c r="R848" s="1" t="s">
        <v>132</v>
      </c>
      <c r="S848" s="1" t="s">
        <v>17151</v>
      </c>
      <c r="T848" s="1" t="s">
        <v>132</v>
      </c>
      <c r="U848" s="1" t="s">
        <v>6222</v>
      </c>
      <c r="V848" s="1" t="s">
        <v>17152</v>
      </c>
      <c r="W848" s="1" t="s">
        <v>132</v>
      </c>
      <c r="X848" s="1" t="s">
        <v>17153</v>
      </c>
      <c r="Y848" s="1" t="s">
        <v>132</v>
      </c>
      <c r="Z848" s="1" t="s">
        <v>17154</v>
      </c>
      <c r="AA848" s="1" t="s">
        <v>17155</v>
      </c>
      <c r="AB848" s="1" t="s">
        <v>132</v>
      </c>
      <c r="AC848" s="1" t="s">
        <v>17156</v>
      </c>
      <c r="AD848" s="1" t="s">
        <v>132</v>
      </c>
      <c r="AE848" s="1" t="s">
        <v>132</v>
      </c>
      <c r="AF848" s="1" t="s">
        <v>17157</v>
      </c>
      <c r="AG848" s="1" t="s">
        <v>17158</v>
      </c>
      <c r="AH848" s="1" t="s">
        <v>132</v>
      </c>
      <c r="AI848" s="1" t="s">
        <v>132</v>
      </c>
      <c r="AJ848" s="1" t="s">
        <v>17159</v>
      </c>
      <c r="AK848" s="1" t="s">
        <v>17160</v>
      </c>
      <c r="AL848" s="1" t="s">
        <v>132</v>
      </c>
      <c r="AM848" s="1" t="s">
        <v>17161</v>
      </c>
      <c r="AN848" s="1" t="s">
        <v>17161</v>
      </c>
    </row>
    <row r="849" ht="15.75" customHeight="1">
      <c r="A849" s="1" t="s">
        <v>38</v>
      </c>
      <c r="B849" s="1" t="s">
        <v>17162</v>
      </c>
      <c r="C849" s="1" t="s">
        <v>17163</v>
      </c>
      <c r="D849" s="8" t="s">
        <v>17164</v>
      </c>
      <c r="E849" s="1" t="s">
        <v>17165</v>
      </c>
      <c r="F849" s="1" t="s">
        <v>17166</v>
      </c>
      <c r="G849" s="1" t="s">
        <v>132</v>
      </c>
      <c r="H849" s="1" t="s">
        <v>132</v>
      </c>
      <c r="I849" s="1" t="s">
        <v>17167</v>
      </c>
      <c r="J849" s="1" t="s">
        <v>132</v>
      </c>
      <c r="K849" s="1" t="s">
        <v>17168</v>
      </c>
      <c r="L849" s="1" t="s">
        <v>132</v>
      </c>
      <c r="M849" s="1" t="s">
        <v>17166</v>
      </c>
      <c r="N849" s="1" t="s">
        <v>17169</v>
      </c>
      <c r="O849" s="1" t="s">
        <v>132</v>
      </c>
      <c r="P849" s="1" t="s">
        <v>17170</v>
      </c>
      <c r="Q849" s="1" t="s">
        <v>17163</v>
      </c>
      <c r="R849" s="1" t="s">
        <v>132</v>
      </c>
      <c r="S849" s="1" t="s">
        <v>17169</v>
      </c>
      <c r="T849" s="1" t="s">
        <v>132</v>
      </c>
      <c r="U849" s="1" t="s">
        <v>17171</v>
      </c>
      <c r="V849" s="1" t="s">
        <v>17172</v>
      </c>
      <c r="W849" s="1" t="s">
        <v>132</v>
      </c>
      <c r="X849" s="1" t="s">
        <v>17173</v>
      </c>
      <c r="Y849" s="1" t="s">
        <v>132</v>
      </c>
      <c r="Z849" s="1" t="s">
        <v>17174</v>
      </c>
      <c r="AA849" s="1" t="s">
        <v>17169</v>
      </c>
      <c r="AB849" s="1" t="s">
        <v>132</v>
      </c>
      <c r="AC849" s="1" t="s">
        <v>17175</v>
      </c>
      <c r="AD849" s="1" t="s">
        <v>17176</v>
      </c>
      <c r="AE849" s="1" t="s">
        <v>132</v>
      </c>
      <c r="AF849" s="1" t="s">
        <v>17177</v>
      </c>
      <c r="AG849" s="1" t="s">
        <v>17178</v>
      </c>
      <c r="AH849" s="1" t="s">
        <v>132</v>
      </c>
      <c r="AI849" s="1" t="s">
        <v>132</v>
      </c>
      <c r="AJ849" s="1" t="s">
        <v>17179</v>
      </c>
      <c r="AK849" s="1" t="s">
        <v>17180</v>
      </c>
      <c r="AL849" s="1" t="s">
        <v>132</v>
      </c>
      <c r="AM849" s="1" t="s">
        <v>17181</v>
      </c>
      <c r="AN849" s="1" t="s">
        <v>17181</v>
      </c>
    </row>
    <row r="850" ht="15.75" customHeight="1">
      <c r="A850" s="1" t="s">
        <v>38</v>
      </c>
      <c r="B850" s="1" t="s">
        <v>17182</v>
      </c>
      <c r="C850" s="1" t="s">
        <v>17183</v>
      </c>
      <c r="D850" s="8" t="s">
        <v>17184</v>
      </c>
      <c r="E850" s="1" t="s">
        <v>17185</v>
      </c>
      <c r="F850" s="1" t="s">
        <v>17186</v>
      </c>
      <c r="G850" s="1" t="s">
        <v>132</v>
      </c>
      <c r="H850" s="1" t="s">
        <v>132</v>
      </c>
      <c r="I850" s="1" t="s">
        <v>17187</v>
      </c>
      <c r="J850" s="1" t="s">
        <v>132</v>
      </c>
      <c r="K850" s="1" t="s">
        <v>17188</v>
      </c>
      <c r="L850" s="1" t="s">
        <v>132</v>
      </c>
      <c r="M850" s="1" t="s">
        <v>17189</v>
      </c>
      <c r="N850" s="1" t="s">
        <v>17190</v>
      </c>
      <c r="O850" s="1" t="s">
        <v>132</v>
      </c>
      <c r="P850" s="1" t="s">
        <v>17191</v>
      </c>
      <c r="Q850" s="1" t="s">
        <v>17192</v>
      </c>
      <c r="R850" s="1" t="s">
        <v>132</v>
      </c>
      <c r="S850" s="1" t="s">
        <v>17193</v>
      </c>
      <c r="T850" s="1" t="s">
        <v>132</v>
      </c>
      <c r="U850" s="1" t="s">
        <v>17194</v>
      </c>
      <c r="V850" s="1" t="s">
        <v>17195</v>
      </c>
      <c r="W850" s="1" t="s">
        <v>132</v>
      </c>
      <c r="X850" s="1" t="s">
        <v>17196</v>
      </c>
      <c r="Y850" s="1" t="s">
        <v>132</v>
      </c>
      <c r="Z850" s="1" t="s">
        <v>17197</v>
      </c>
      <c r="AA850" s="1" t="s">
        <v>17198</v>
      </c>
      <c r="AB850" s="1" t="s">
        <v>132</v>
      </c>
      <c r="AC850" s="1" t="s">
        <v>17199</v>
      </c>
      <c r="AD850" s="1" t="s">
        <v>17200</v>
      </c>
      <c r="AE850" s="1" t="s">
        <v>132</v>
      </c>
      <c r="AF850" s="1" t="s">
        <v>17201</v>
      </c>
      <c r="AG850" s="1" t="s">
        <v>17202</v>
      </c>
      <c r="AH850" s="1" t="s">
        <v>132</v>
      </c>
      <c r="AI850" s="1" t="s">
        <v>132</v>
      </c>
      <c r="AJ850" s="1" t="s">
        <v>17203</v>
      </c>
      <c r="AK850" s="1" t="s">
        <v>17204</v>
      </c>
      <c r="AL850" s="1" t="s">
        <v>132</v>
      </c>
      <c r="AM850" s="1" t="s">
        <v>17205</v>
      </c>
      <c r="AN850" s="1" t="s">
        <v>17205</v>
      </c>
    </row>
    <row r="851" ht="15.75" customHeight="1">
      <c r="A851" s="1" t="s">
        <v>38</v>
      </c>
      <c r="B851" s="1" t="s">
        <v>17206</v>
      </c>
      <c r="C851" s="1" t="s">
        <v>17207</v>
      </c>
      <c r="D851" s="1" t="s">
        <v>132</v>
      </c>
      <c r="E851" s="1" t="s">
        <v>132</v>
      </c>
      <c r="F851" s="1" t="s">
        <v>132</v>
      </c>
      <c r="G851" s="1" t="s">
        <v>132</v>
      </c>
      <c r="H851" s="1" t="s">
        <v>132</v>
      </c>
      <c r="I851" s="1" t="s">
        <v>17207</v>
      </c>
      <c r="J851" s="1" t="s">
        <v>132</v>
      </c>
      <c r="K851" s="1" t="s">
        <v>17207</v>
      </c>
      <c r="L851" s="1" t="s">
        <v>132</v>
      </c>
      <c r="M851" s="1" t="s">
        <v>17208</v>
      </c>
      <c r="N851" s="1" t="s">
        <v>132</v>
      </c>
      <c r="O851" s="1" t="s">
        <v>132</v>
      </c>
      <c r="P851" s="1" t="s">
        <v>17207</v>
      </c>
      <c r="Q851" s="1" t="s">
        <v>132</v>
      </c>
      <c r="R851" s="1" t="s">
        <v>132</v>
      </c>
      <c r="S851" s="1" t="s">
        <v>132</v>
      </c>
      <c r="T851" s="1" t="s">
        <v>132</v>
      </c>
      <c r="U851" s="1" t="s">
        <v>132</v>
      </c>
      <c r="V851" s="1" t="s">
        <v>132</v>
      </c>
      <c r="W851" s="1" t="s">
        <v>132</v>
      </c>
      <c r="X851" s="1" t="s">
        <v>132</v>
      </c>
      <c r="Y851" s="1" t="s">
        <v>132</v>
      </c>
      <c r="Z851" s="1" t="s">
        <v>132</v>
      </c>
      <c r="AA851" s="1" t="s">
        <v>132</v>
      </c>
      <c r="AB851" s="1" t="s">
        <v>132</v>
      </c>
      <c r="AC851" s="1" t="s">
        <v>17209</v>
      </c>
      <c r="AD851" s="1" t="s">
        <v>132</v>
      </c>
      <c r="AE851" s="1" t="s">
        <v>132</v>
      </c>
      <c r="AF851" s="1" t="s">
        <v>17210</v>
      </c>
      <c r="AG851" s="1" t="s">
        <v>132</v>
      </c>
      <c r="AH851" s="1" t="s">
        <v>132</v>
      </c>
      <c r="AI851" s="1" t="s">
        <v>132</v>
      </c>
      <c r="AJ851" s="1" t="s">
        <v>132</v>
      </c>
      <c r="AK851" s="1" t="s">
        <v>132</v>
      </c>
      <c r="AL851" s="1" t="s">
        <v>132</v>
      </c>
      <c r="AM851" s="1" t="s">
        <v>132</v>
      </c>
      <c r="AN851" s="1" t="s">
        <v>132</v>
      </c>
    </row>
    <row r="852" ht="15.75" customHeight="1">
      <c r="A852" s="1" t="s">
        <v>38</v>
      </c>
      <c r="B852" s="1" t="s">
        <v>17211</v>
      </c>
      <c r="C852" s="1" t="s">
        <v>17212</v>
      </c>
      <c r="D852" s="8" t="s">
        <v>17213</v>
      </c>
      <c r="E852" s="1" t="s">
        <v>17214</v>
      </c>
      <c r="F852" s="1" t="s">
        <v>17215</v>
      </c>
      <c r="G852" s="1" t="s">
        <v>132</v>
      </c>
      <c r="H852" s="1" t="s">
        <v>132</v>
      </c>
      <c r="I852" s="1" t="s">
        <v>17216</v>
      </c>
      <c r="J852" s="1" t="s">
        <v>132</v>
      </c>
      <c r="K852" s="1" t="s">
        <v>17217</v>
      </c>
      <c r="L852" s="1" t="s">
        <v>132</v>
      </c>
      <c r="M852" s="1" t="s">
        <v>17218</v>
      </c>
      <c r="N852" s="1" t="s">
        <v>17219</v>
      </c>
      <c r="O852" s="1" t="s">
        <v>132</v>
      </c>
      <c r="P852" s="1" t="s">
        <v>17220</v>
      </c>
      <c r="Q852" s="1" t="s">
        <v>17221</v>
      </c>
      <c r="R852" s="1" t="s">
        <v>132</v>
      </c>
      <c r="S852" s="1" t="s">
        <v>17222</v>
      </c>
      <c r="T852" s="1" t="s">
        <v>132</v>
      </c>
      <c r="U852" s="1" t="s">
        <v>17223</v>
      </c>
      <c r="V852" s="1" t="s">
        <v>17224</v>
      </c>
      <c r="W852" s="1" t="s">
        <v>132</v>
      </c>
      <c r="X852" s="1" t="s">
        <v>17225</v>
      </c>
      <c r="Y852" s="1" t="s">
        <v>132</v>
      </c>
      <c r="Z852" s="1" t="s">
        <v>17226</v>
      </c>
      <c r="AA852" s="1" t="s">
        <v>17227</v>
      </c>
      <c r="AB852" s="1" t="s">
        <v>132</v>
      </c>
      <c r="AC852" s="1" t="s">
        <v>17228</v>
      </c>
      <c r="AD852" s="1" t="s">
        <v>17229</v>
      </c>
      <c r="AE852" s="1" t="s">
        <v>132</v>
      </c>
      <c r="AF852" s="1" t="s">
        <v>17230</v>
      </c>
      <c r="AG852" s="1" t="s">
        <v>17231</v>
      </c>
      <c r="AH852" s="1" t="s">
        <v>132</v>
      </c>
      <c r="AI852" s="1" t="s">
        <v>132</v>
      </c>
      <c r="AJ852" s="1" t="s">
        <v>17232</v>
      </c>
      <c r="AK852" s="1" t="s">
        <v>17233</v>
      </c>
      <c r="AL852" s="1" t="s">
        <v>132</v>
      </c>
      <c r="AM852" s="1" t="s">
        <v>17234</v>
      </c>
      <c r="AN852" s="1" t="s">
        <v>17234</v>
      </c>
    </row>
    <row r="853" ht="15.75" customHeight="1">
      <c r="A853" s="1" t="s">
        <v>38</v>
      </c>
      <c r="B853" s="1" t="s">
        <v>17235</v>
      </c>
      <c r="C853" s="1" t="s">
        <v>6246</v>
      </c>
      <c r="D853" s="1" t="s">
        <v>132</v>
      </c>
      <c r="E853" s="1" t="s">
        <v>132</v>
      </c>
      <c r="F853" s="1" t="s">
        <v>132</v>
      </c>
      <c r="G853" s="1" t="s">
        <v>132</v>
      </c>
      <c r="H853" s="1" t="s">
        <v>132</v>
      </c>
      <c r="I853" s="1" t="s">
        <v>6246</v>
      </c>
      <c r="J853" s="1" t="s">
        <v>132</v>
      </c>
      <c r="K853" s="1" t="s">
        <v>6246</v>
      </c>
      <c r="L853" s="1" t="s">
        <v>132</v>
      </c>
      <c r="M853" s="1" t="s">
        <v>12995</v>
      </c>
      <c r="N853" s="1" t="s">
        <v>132</v>
      </c>
      <c r="O853" s="1" t="s">
        <v>132</v>
      </c>
      <c r="P853" s="1" t="s">
        <v>6246</v>
      </c>
      <c r="Q853" s="1" t="s">
        <v>132</v>
      </c>
      <c r="R853" s="1" t="s">
        <v>132</v>
      </c>
      <c r="S853" s="1" t="s">
        <v>132</v>
      </c>
      <c r="T853" s="1" t="s">
        <v>132</v>
      </c>
      <c r="U853" s="1" t="s">
        <v>132</v>
      </c>
      <c r="V853" s="1" t="s">
        <v>132</v>
      </c>
      <c r="W853" s="1" t="s">
        <v>132</v>
      </c>
      <c r="X853" s="1" t="s">
        <v>132</v>
      </c>
      <c r="Y853" s="1" t="s">
        <v>132</v>
      </c>
      <c r="Z853" s="1" t="s">
        <v>132</v>
      </c>
      <c r="AA853" s="1" t="s">
        <v>132</v>
      </c>
      <c r="AB853" s="1" t="s">
        <v>132</v>
      </c>
      <c r="AC853" s="1" t="s">
        <v>17236</v>
      </c>
      <c r="AD853" s="1" t="s">
        <v>132</v>
      </c>
      <c r="AE853" s="1" t="s">
        <v>132</v>
      </c>
      <c r="AF853" s="1" t="s">
        <v>17237</v>
      </c>
      <c r="AG853" s="1" t="s">
        <v>132</v>
      </c>
      <c r="AH853" s="1" t="s">
        <v>132</v>
      </c>
      <c r="AI853" s="1" t="s">
        <v>132</v>
      </c>
      <c r="AJ853" s="1" t="s">
        <v>132</v>
      </c>
      <c r="AK853" s="1" t="s">
        <v>132</v>
      </c>
      <c r="AL853" s="1" t="s">
        <v>132</v>
      </c>
      <c r="AM853" s="1" t="s">
        <v>132</v>
      </c>
      <c r="AN853" s="1" t="s">
        <v>132</v>
      </c>
    </row>
    <row r="854" ht="15.75" customHeight="1">
      <c r="A854" s="1" t="s">
        <v>38</v>
      </c>
      <c r="B854" s="1" t="s">
        <v>17238</v>
      </c>
      <c r="C854" s="1" t="s">
        <v>17239</v>
      </c>
      <c r="D854" s="1" t="s">
        <v>132</v>
      </c>
      <c r="E854" s="1" t="s">
        <v>132</v>
      </c>
      <c r="F854" s="1" t="s">
        <v>132</v>
      </c>
      <c r="G854" s="1" t="s">
        <v>132</v>
      </c>
      <c r="H854" s="1" t="s">
        <v>132</v>
      </c>
      <c r="I854" s="1" t="s">
        <v>132</v>
      </c>
      <c r="J854" s="1" t="s">
        <v>132</v>
      </c>
      <c r="K854" s="1" t="s">
        <v>132</v>
      </c>
      <c r="L854" s="1" t="s">
        <v>132</v>
      </c>
      <c r="M854" s="1" t="s">
        <v>132</v>
      </c>
      <c r="N854" s="1" t="s">
        <v>132</v>
      </c>
      <c r="O854" s="1" t="s">
        <v>132</v>
      </c>
      <c r="P854" s="1" t="s">
        <v>132</v>
      </c>
      <c r="Q854" s="1" t="s">
        <v>132</v>
      </c>
      <c r="R854" s="1" t="s">
        <v>132</v>
      </c>
      <c r="S854" s="1" t="s">
        <v>132</v>
      </c>
      <c r="T854" s="1" t="s">
        <v>132</v>
      </c>
      <c r="U854" s="1" t="s">
        <v>132</v>
      </c>
      <c r="V854" s="1" t="s">
        <v>132</v>
      </c>
      <c r="W854" s="1" t="s">
        <v>132</v>
      </c>
      <c r="X854" s="1" t="s">
        <v>132</v>
      </c>
      <c r="Y854" s="1" t="s">
        <v>132</v>
      </c>
      <c r="Z854" s="1" t="s">
        <v>132</v>
      </c>
      <c r="AA854" s="1" t="s">
        <v>132</v>
      </c>
      <c r="AB854" s="1" t="s">
        <v>132</v>
      </c>
      <c r="AC854" s="1" t="s">
        <v>132</v>
      </c>
      <c r="AD854" s="1" t="s">
        <v>132</v>
      </c>
      <c r="AE854" s="1" t="s">
        <v>132</v>
      </c>
      <c r="AF854" s="1" t="s">
        <v>132</v>
      </c>
      <c r="AG854" s="1" t="s">
        <v>132</v>
      </c>
      <c r="AH854" s="1" t="s">
        <v>132</v>
      </c>
      <c r="AI854" s="1" t="s">
        <v>132</v>
      </c>
      <c r="AJ854" s="1" t="s">
        <v>132</v>
      </c>
      <c r="AK854" s="1" t="s">
        <v>132</v>
      </c>
      <c r="AL854" s="1" t="s">
        <v>132</v>
      </c>
      <c r="AM854" s="1" t="s">
        <v>132</v>
      </c>
      <c r="AN854" s="1" t="s">
        <v>132</v>
      </c>
    </row>
    <row r="855" ht="15.75" customHeight="1">
      <c r="A855" s="1" t="s">
        <v>127</v>
      </c>
      <c r="B855" s="1" t="s">
        <v>17240</v>
      </c>
      <c r="C855" s="1" t="s">
        <v>17241</v>
      </c>
      <c r="D855" s="8" t="s">
        <v>17242</v>
      </c>
      <c r="E855" s="1" t="s">
        <v>17243</v>
      </c>
      <c r="F855" s="1" t="s">
        <v>132</v>
      </c>
      <c r="G855" s="1" t="s">
        <v>17244</v>
      </c>
      <c r="H855" s="1" t="s">
        <v>17245</v>
      </c>
      <c r="I855" s="1" t="s">
        <v>17246</v>
      </c>
      <c r="J855" s="1" t="s">
        <v>17247</v>
      </c>
      <c r="K855" s="1" t="s">
        <v>17248</v>
      </c>
      <c r="L855" s="1" t="s">
        <v>17249</v>
      </c>
      <c r="M855" s="1" t="s">
        <v>17250</v>
      </c>
      <c r="N855" s="1" t="s">
        <v>132</v>
      </c>
      <c r="O855" s="1" t="s">
        <v>17251</v>
      </c>
      <c r="P855" s="1" t="s">
        <v>17252</v>
      </c>
      <c r="Q855" s="1" t="s">
        <v>132</v>
      </c>
      <c r="R855" s="1" t="s">
        <v>17253</v>
      </c>
      <c r="S855" s="1" t="s">
        <v>17254</v>
      </c>
      <c r="T855" s="8" t="s">
        <v>17255</v>
      </c>
      <c r="U855" s="1" t="s">
        <v>17256</v>
      </c>
      <c r="V855" s="1" t="s">
        <v>17257</v>
      </c>
      <c r="W855" s="1" t="s">
        <v>17253</v>
      </c>
      <c r="X855" s="1" t="s">
        <v>17258</v>
      </c>
      <c r="Y855" s="1" t="s">
        <v>17259</v>
      </c>
      <c r="Z855" s="1" t="s">
        <v>17260</v>
      </c>
      <c r="AA855" s="1" t="s">
        <v>17261</v>
      </c>
      <c r="AB855" s="1" t="s">
        <v>17262</v>
      </c>
      <c r="AC855" s="1" t="s">
        <v>17263</v>
      </c>
      <c r="AD855" s="1" t="s">
        <v>17264</v>
      </c>
      <c r="AE855" s="1" t="s">
        <v>17265</v>
      </c>
      <c r="AF855" s="1" t="s">
        <v>17266</v>
      </c>
      <c r="AG855" s="1" t="s">
        <v>17267</v>
      </c>
      <c r="AH855" s="1" t="s">
        <v>17268</v>
      </c>
      <c r="AI855" s="1" t="s">
        <v>17269</v>
      </c>
      <c r="AJ855" s="1" t="s">
        <v>132</v>
      </c>
      <c r="AK855" s="1" t="s">
        <v>17270</v>
      </c>
      <c r="AL855" s="1" t="s">
        <v>17271</v>
      </c>
      <c r="AM855" s="1" t="s">
        <v>132</v>
      </c>
      <c r="AN855" s="1" t="s">
        <v>132</v>
      </c>
    </row>
    <row r="856" ht="15.75" customHeight="1">
      <c r="A856" s="1" t="s">
        <v>16374</v>
      </c>
      <c r="B856" s="1" t="s">
        <v>17272</v>
      </c>
      <c r="C856" s="1" t="s">
        <v>17273</v>
      </c>
      <c r="D856" s="1" t="s">
        <v>132</v>
      </c>
      <c r="E856" s="1" t="s">
        <v>132</v>
      </c>
      <c r="F856" s="1" t="s">
        <v>132</v>
      </c>
      <c r="G856" s="1" t="s">
        <v>132</v>
      </c>
      <c r="H856" s="1" t="s">
        <v>132</v>
      </c>
      <c r="I856" s="1" t="s">
        <v>132</v>
      </c>
      <c r="J856" s="1" t="s">
        <v>132</v>
      </c>
      <c r="K856" s="1" t="s">
        <v>132</v>
      </c>
      <c r="L856" s="1" t="s">
        <v>132</v>
      </c>
      <c r="M856" s="1" t="s">
        <v>132</v>
      </c>
      <c r="N856" s="1" t="s">
        <v>132</v>
      </c>
      <c r="O856" s="1" t="s">
        <v>132</v>
      </c>
      <c r="P856" s="1" t="s">
        <v>132</v>
      </c>
      <c r="Q856" s="1" t="s">
        <v>132</v>
      </c>
      <c r="R856" s="1" t="s">
        <v>132</v>
      </c>
      <c r="S856" s="1" t="s">
        <v>132</v>
      </c>
      <c r="T856" s="1" t="s">
        <v>132</v>
      </c>
      <c r="U856" s="1" t="s">
        <v>132</v>
      </c>
      <c r="V856" s="1" t="s">
        <v>132</v>
      </c>
      <c r="W856" s="1" t="s">
        <v>132</v>
      </c>
      <c r="X856" s="1" t="s">
        <v>132</v>
      </c>
      <c r="Y856" s="1" t="s">
        <v>132</v>
      </c>
      <c r="Z856" s="1" t="s">
        <v>132</v>
      </c>
      <c r="AA856" s="1" t="s">
        <v>132</v>
      </c>
      <c r="AB856" s="1" t="s">
        <v>132</v>
      </c>
      <c r="AC856" s="1" t="s">
        <v>132</v>
      </c>
      <c r="AD856" s="1" t="s">
        <v>132</v>
      </c>
      <c r="AE856" s="1" t="s">
        <v>132</v>
      </c>
      <c r="AF856" s="1" t="s">
        <v>132</v>
      </c>
      <c r="AG856" s="1" t="s">
        <v>132</v>
      </c>
      <c r="AH856" s="1" t="s">
        <v>132</v>
      </c>
      <c r="AI856" s="1" t="s">
        <v>132</v>
      </c>
      <c r="AJ856" s="1" t="s">
        <v>132</v>
      </c>
      <c r="AK856" s="1" t="s">
        <v>132</v>
      </c>
      <c r="AL856" s="1" t="s">
        <v>132</v>
      </c>
      <c r="AM856" s="1" t="s">
        <v>132</v>
      </c>
      <c r="AN856" s="1" t="s">
        <v>132</v>
      </c>
    </row>
    <row r="857" ht="15.75" customHeight="1">
      <c r="A857" s="1" t="s">
        <v>127</v>
      </c>
      <c r="B857" s="1" t="s">
        <v>17275</v>
      </c>
      <c r="C857" s="1" t="s">
        <v>17276</v>
      </c>
      <c r="D857" s="8" t="s">
        <v>17277</v>
      </c>
      <c r="E857" s="1" t="s">
        <v>17278</v>
      </c>
      <c r="F857" s="1" t="s">
        <v>132</v>
      </c>
      <c r="G857" s="1" t="s">
        <v>17279</v>
      </c>
      <c r="H857" s="1" t="s">
        <v>17280</v>
      </c>
      <c r="I857" s="1" t="s">
        <v>17281</v>
      </c>
      <c r="J857" s="1" t="s">
        <v>17282</v>
      </c>
      <c r="K857" s="1" t="s">
        <v>17283</v>
      </c>
      <c r="L857" s="1" t="s">
        <v>17284</v>
      </c>
      <c r="M857" s="1" t="s">
        <v>17285</v>
      </c>
      <c r="N857" s="1" t="s">
        <v>132</v>
      </c>
      <c r="O857" s="1" t="s">
        <v>17286</v>
      </c>
      <c r="P857" s="1" t="s">
        <v>17276</v>
      </c>
      <c r="Q857" s="1" t="s">
        <v>132</v>
      </c>
      <c r="R857" s="1" t="s">
        <v>17287</v>
      </c>
      <c r="S857" s="1" t="s">
        <v>17288</v>
      </c>
      <c r="T857" s="8" t="s">
        <v>17289</v>
      </c>
      <c r="U857" s="1" t="s">
        <v>17290</v>
      </c>
      <c r="V857" s="1" t="s">
        <v>17291</v>
      </c>
      <c r="W857" s="1" t="s">
        <v>17292</v>
      </c>
      <c r="X857" s="1" t="s">
        <v>17293</v>
      </c>
      <c r="Y857" s="1" t="s">
        <v>17280</v>
      </c>
      <c r="Z857" s="1" t="s">
        <v>17294</v>
      </c>
      <c r="AA857" s="1" t="s">
        <v>17295</v>
      </c>
      <c r="AB857" s="1" t="s">
        <v>17296</v>
      </c>
      <c r="AC857" s="1" t="s">
        <v>17297</v>
      </c>
      <c r="AD857" s="1" t="s">
        <v>17298</v>
      </c>
      <c r="AE857" s="1" t="s">
        <v>17299</v>
      </c>
      <c r="AF857" s="1" t="s">
        <v>17300</v>
      </c>
      <c r="AG857" s="1" t="s">
        <v>17301</v>
      </c>
      <c r="AH857" s="1" t="s">
        <v>17302</v>
      </c>
      <c r="AI857" s="1" t="s">
        <v>17303</v>
      </c>
      <c r="AJ857" s="1" t="s">
        <v>132</v>
      </c>
      <c r="AK857" s="1" t="s">
        <v>17304</v>
      </c>
      <c r="AL857" s="1" t="s">
        <v>17305</v>
      </c>
      <c r="AM857" s="1" t="s">
        <v>132</v>
      </c>
      <c r="AN857" s="1" t="s">
        <v>132</v>
      </c>
    </row>
    <row r="858" ht="15.75" customHeight="1">
      <c r="A858" s="1" t="s">
        <v>127</v>
      </c>
      <c r="B858" s="1" t="s">
        <v>17306</v>
      </c>
      <c r="C858" s="1" t="s">
        <v>17307</v>
      </c>
      <c r="D858" s="8" t="s">
        <v>17308</v>
      </c>
      <c r="E858" s="1" t="s">
        <v>17309</v>
      </c>
      <c r="F858" s="1" t="s">
        <v>132</v>
      </c>
      <c r="G858" s="1" t="s">
        <v>17310</v>
      </c>
      <c r="H858" s="1" t="s">
        <v>17311</v>
      </c>
      <c r="I858" s="1" t="s">
        <v>17312</v>
      </c>
      <c r="J858" s="1" t="s">
        <v>17313</v>
      </c>
      <c r="K858" s="1" t="s">
        <v>17314</v>
      </c>
      <c r="L858" s="1" t="s">
        <v>17315</v>
      </c>
      <c r="M858" s="1" t="s">
        <v>17316</v>
      </c>
      <c r="N858" s="1" t="s">
        <v>132</v>
      </c>
      <c r="O858" s="1" t="s">
        <v>17317</v>
      </c>
      <c r="P858" s="1" t="s">
        <v>17318</v>
      </c>
      <c r="Q858" s="1" t="s">
        <v>132</v>
      </c>
      <c r="R858" s="1" t="s">
        <v>17319</v>
      </c>
      <c r="S858" s="1" t="s">
        <v>17320</v>
      </c>
      <c r="T858" s="8" t="s">
        <v>17321</v>
      </c>
      <c r="U858" s="1" t="s">
        <v>17322</v>
      </c>
      <c r="V858" s="1" t="s">
        <v>17323</v>
      </c>
      <c r="W858" s="1" t="s">
        <v>17324</v>
      </c>
      <c r="X858" s="1" t="s">
        <v>17325</v>
      </c>
      <c r="Y858" s="1" t="s">
        <v>17326</v>
      </c>
      <c r="Z858" s="1" t="s">
        <v>17327</v>
      </c>
      <c r="AA858" s="1" t="s">
        <v>17328</v>
      </c>
      <c r="AB858" s="1" t="s">
        <v>17329</v>
      </c>
      <c r="AC858" s="1" t="s">
        <v>17330</v>
      </c>
      <c r="AD858" s="1" t="s">
        <v>17331</v>
      </c>
      <c r="AE858" s="1" t="s">
        <v>17332</v>
      </c>
      <c r="AF858" s="1" t="s">
        <v>17333</v>
      </c>
      <c r="AG858" s="1" t="s">
        <v>17334</v>
      </c>
      <c r="AH858" s="1" t="s">
        <v>17335</v>
      </c>
      <c r="AI858" s="1" t="s">
        <v>17336</v>
      </c>
      <c r="AJ858" s="1" t="s">
        <v>132</v>
      </c>
      <c r="AK858" s="1" t="s">
        <v>17337</v>
      </c>
      <c r="AL858" s="1" t="s">
        <v>17338</v>
      </c>
      <c r="AM858" s="1" t="s">
        <v>132</v>
      </c>
      <c r="AN858" s="1" t="s">
        <v>132</v>
      </c>
    </row>
    <row r="859" ht="15.75" customHeight="1">
      <c r="A859" s="1" t="s">
        <v>38</v>
      </c>
      <c r="B859" s="1" t="s">
        <v>17339</v>
      </c>
      <c r="C859" s="1" t="s">
        <v>17340</v>
      </c>
      <c r="D859" s="8" t="s">
        <v>17341</v>
      </c>
      <c r="E859" s="1" t="s">
        <v>17342</v>
      </c>
      <c r="F859" s="1" t="s">
        <v>17343</v>
      </c>
      <c r="G859" s="1" t="s">
        <v>132</v>
      </c>
      <c r="H859" s="1" t="s">
        <v>132</v>
      </c>
      <c r="I859" s="1" t="s">
        <v>17344</v>
      </c>
      <c r="J859" s="1" t="s">
        <v>132</v>
      </c>
      <c r="K859" s="1" t="s">
        <v>17345</v>
      </c>
      <c r="L859" s="1" t="s">
        <v>132</v>
      </c>
      <c r="M859" s="1" t="s">
        <v>17346</v>
      </c>
      <c r="N859" s="1" t="s">
        <v>17347</v>
      </c>
      <c r="O859" s="1" t="s">
        <v>132</v>
      </c>
      <c r="P859" s="1" t="s">
        <v>17348</v>
      </c>
      <c r="Q859" s="1" t="s">
        <v>132</v>
      </c>
      <c r="R859" s="1" t="s">
        <v>132</v>
      </c>
      <c r="S859" s="1" t="s">
        <v>17349</v>
      </c>
      <c r="T859" s="1" t="s">
        <v>132</v>
      </c>
      <c r="U859" s="1" t="s">
        <v>17350</v>
      </c>
      <c r="V859" s="1" t="s">
        <v>17351</v>
      </c>
      <c r="W859" s="1" t="s">
        <v>132</v>
      </c>
      <c r="X859" s="1" t="s">
        <v>17352</v>
      </c>
      <c r="Y859" s="1" t="s">
        <v>132</v>
      </c>
      <c r="Z859" s="1" t="s">
        <v>17353</v>
      </c>
      <c r="AA859" s="1" t="s">
        <v>132</v>
      </c>
      <c r="AB859" s="1" t="s">
        <v>132</v>
      </c>
      <c r="AC859" s="1" t="s">
        <v>17354</v>
      </c>
      <c r="AD859" s="1" t="s">
        <v>132</v>
      </c>
      <c r="AE859" s="1" t="s">
        <v>132</v>
      </c>
      <c r="AF859" s="1" t="s">
        <v>17355</v>
      </c>
      <c r="AG859" s="1" t="s">
        <v>17356</v>
      </c>
      <c r="AH859" s="1" t="s">
        <v>132</v>
      </c>
      <c r="AI859" s="1" t="s">
        <v>132</v>
      </c>
      <c r="AJ859" s="1" t="s">
        <v>17357</v>
      </c>
      <c r="AK859" s="1" t="s">
        <v>132</v>
      </c>
      <c r="AL859" s="1" t="s">
        <v>132</v>
      </c>
      <c r="AM859" s="1" t="s">
        <v>17358</v>
      </c>
      <c r="AN859" s="1" t="s">
        <v>17358</v>
      </c>
    </row>
    <row r="860" ht="15.75" customHeight="1">
      <c r="A860" s="1" t="s">
        <v>127</v>
      </c>
      <c r="B860" s="1" t="s">
        <v>17359</v>
      </c>
      <c r="C860" s="1" t="s">
        <v>17360</v>
      </c>
      <c r="D860" s="8" t="s">
        <v>17361</v>
      </c>
      <c r="E860" s="1" t="s">
        <v>17360</v>
      </c>
      <c r="F860" s="1" t="s">
        <v>132</v>
      </c>
      <c r="G860" s="1" t="s">
        <v>17360</v>
      </c>
      <c r="H860" s="1" t="s">
        <v>17360</v>
      </c>
      <c r="I860" s="1" t="s">
        <v>17360</v>
      </c>
      <c r="J860" s="1" t="s">
        <v>17362</v>
      </c>
      <c r="K860" s="1" t="s">
        <v>17360</v>
      </c>
      <c r="L860" s="1" t="s">
        <v>17360</v>
      </c>
      <c r="M860" s="1" t="s">
        <v>17363</v>
      </c>
      <c r="N860" s="1" t="s">
        <v>132</v>
      </c>
      <c r="O860" s="1" t="s">
        <v>17364</v>
      </c>
      <c r="P860" s="1" t="s">
        <v>17360</v>
      </c>
      <c r="Q860" s="1" t="s">
        <v>132</v>
      </c>
      <c r="R860" s="1" t="s">
        <v>17360</v>
      </c>
      <c r="S860" s="1" t="s">
        <v>17360</v>
      </c>
      <c r="T860" s="8" t="s">
        <v>17365</v>
      </c>
      <c r="U860" s="1" t="s">
        <v>17366</v>
      </c>
      <c r="V860" s="1" t="s">
        <v>17367</v>
      </c>
      <c r="W860" s="1" t="s">
        <v>17360</v>
      </c>
      <c r="X860" s="1" t="s">
        <v>17360</v>
      </c>
      <c r="Y860" s="1" t="s">
        <v>17360</v>
      </c>
      <c r="Z860" s="1" t="s">
        <v>17360</v>
      </c>
      <c r="AA860" s="1" t="s">
        <v>17360</v>
      </c>
      <c r="AB860" s="1" t="s">
        <v>17360</v>
      </c>
      <c r="AC860" s="1" t="s">
        <v>17368</v>
      </c>
      <c r="AD860" s="1" t="s">
        <v>17360</v>
      </c>
      <c r="AE860" s="1" t="s">
        <v>17360</v>
      </c>
      <c r="AF860" s="1" t="s">
        <v>17360</v>
      </c>
      <c r="AG860" s="1" t="s">
        <v>17360</v>
      </c>
      <c r="AH860" s="1" t="s">
        <v>17360</v>
      </c>
      <c r="AI860" s="1" t="s">
        <v>17360</v>
      </c>
      <c r="AJ860" s="1" t="s">
        <v>132</v>
      </c>
      <c r="AK860" s="1" t="s">
        <v>17360</v>
      </c>
      <c r="AL860" s="1" t="s">
        <v>17360</v>
      </c>
      <c r="AM860" s="1" t="s">
        <v>132</v>
      </c>
      <c r="AN860" s="1" t="s">
        <v>132</v>
      </c>
    </row>
    <row r="861" ht="15.75" customHeight="1">
      <c r="A861" s="1" t="s">
        <v>127</v>
      </c>
      <c r="B861" s="1" t="s">
        <v>17369</v>
      </c>
      <c r="C861" s="1" t="s">
        <v>17370</v>
      </c>
      <c r="D861" s="8" t="s">
        <v>17371</v>
      </c>
      <c r="E861" s="1" t="s">
        <v>17372</v>
      </c>
      <c r="F861" s="1" t="s">
        <v>132</v>
      </c>
      <c r="G861" s="1" t="s">
        <v>17373</v>
      </c>
      <c r="H861" s="1" t="s">
        <v>17374</v>
      </c>
      <c r="I861" s="1" t="s">
        <v>17375</v>
      </c>
      <c r="J861" s="1" t="s">
        <v>17376</v>
      </c>
      <c r="K861" s="1" t="s">
        <v>17377</v>
      </c>
      <c r="L861" s="1" t="s">
        <v>17378</v>
      </c>
      <c r="M861" s="1" t="s">
        <v>17379</v>
      </c>
      <c r="N861" s="1" t="s">
        <v>132</v>
      </c>
      <c r="O861" s="1" t="s">
        <v>17380</v>
      </c>
      <c r="P861" s="1" t="s">
        <v>17381</v>
      </c>
      <c r="Q861" s="1" t="s">
        <v>132</v>
      </c>
      <c r="R861" s="1" t="s">
        <v>17382</v>
      </c>
      <c r="S861" s="1" t="s">
        <v>17383</v>
      </c>
      <c r="T861" s="8" t="s">
        <v>17384</v>
      </c>
      <c r="U861" s="1" t="s">
        <v>17370</v>
      </c>
      <c r="V861" s="1" t="s">
        <v>17385</v>
      </c>
      <c r="W861" s="1" t="s">
        <v>17386</v>
      </c>
      <c r="X861" s="1" t="s">
        <v>17387</v>
      </c>
      <c r="Y861" s="1" t="s">
        <v>17388</v>
      </c>
      <c r="Z861" s="1" t="s">
        <v>17389</v>
      </c>
      <c r="AA861" s="1" t="s">
        <v>17390</v>
      </c>
      <c r="AB861" s="1" t="s">
        <v>17391</v>
      </c>
      <c r="AC861" s="1" t="s">
        <v>17392</v>
      </c>
      <c r="AD861" s="1" t="s">
        <v>17393</v>
      </c>
      <c r="AE861" s="1" t="s">
        <v>17394</v>
      </c>
      <c r="AF861" s="1" t="s">
        <v>17395</v>
      </c>
      <c r="AG861" s="1" t="s">
        <v>17396</v>
      </c>
      <c r="AH861" s="1" t="s">
        <v>17397</v>
      </c>
      <c r="AI861" s="1" t="s">
        <v>17398</v>
      </c>
      <c r="AJ861" s="1" t="s">
        <v>132</v>
      </c>
      <c r="AK861" s="1" t="s">
        <v>17399</v>
      </c>
      <c r="AL861" s="1" t="s">
        <v>17400</v>
      </c>
      <c r="AM861" s="1" t="s">
        <v>132</v>
      </c>
      <c r="AN861" s="1" t="s">
        <v>132</v>
      </c>
    </row>
    <row r="862" ht="15.75" customHeight="1">
      <c r="A862" s="1" t="s">
        <v>127</v>
      </c>
      <c r="B862" s="1" t="s">
        <v>17401</v>
      </c>
      <c r="C862" s="1" t="s">
        <v>17402</v>
      </c>
      <c r="D862" s="8" t="s">
        <v>17403</v>
      </c>
      <c r="E862" s="1" t="s">
        <v>17404</v>
      </c>
      <c r="F862" s="1" t="s">
        <v>132</v>
      </c>
      <c r="G862" s="1" t="s">
        <v>17405</v>
      </c>
      <c r="H862" s="1" t="s">
        <v>17406</v>
      </c>
      <c r="I862" s="1" t="s">
        <v>17407</v>
      </c>
      <c r="J862" s="1" t="s">
        <v>17408</v>
      </c>
      <c r="K862" s="1" t="s">
        <v>2800</v>
      </c>
      <c r="L862" s="1" t="s">
        <v>2801</v>
      </c>
      <c r="M862" s="1" t="s">
        <v>2802</v>
      </c>
      <c r="N862" s="1" t="s">
        <v>132</v>
      </c>
      <c r="O862" s="1" t="s">
        <v>2803</v>
      </c>
      <c r="P862" s="1" t="s">
        <v>17409</v>
      </c>
      <c r="Q862" s="1" t="s">
        <v>132</v>
      </c>
      <c r="R862" s="1" t="s">
        <v>17410</v>
      </c>
      <c r="S862" s="1" t="s">
        <v>3825</v>
      </c>
      <c r="T862" s="8" t="s">
        <v>17411</v>
      </c>
      <c r="U862" s="1" t="s">
        <v>2808</v>
      </c>
      <c r="V862" s="1" t="s">
        <v>2809</v>
      </c>
      <c r="W862" s="1" t="s">
        <v>17412</v>
      </c>
      <c r="X862" s="1" t="s">
        <v>17413</v>
      </c>
      <c r="Y862" s="1" t="s">
        <v>17414</v>
      </c>
      <c r="Z862" s="1" t="s">
        <v>2813</v>
      </c>
      <c r="AA862" s="1" t="s">
        <v>2800</v>
      </c>
      <c r="AB862" s="1" t="s">
        <v>17415</v>
      </c>
      <c r="AC862" s="1" t="s">
        <v>2816</v>
      </c>
      <c r="AD862" s="1" t="s">
        <v>17416</v>
      </c>
      <c r="AE862" s="1" t="s">
        <v>17417</v>
      </c>
      <c r="AF862" s="1" t="s">
        <v>17418</v>
      </c>
      <c r="AG862" s="1" t="s">
        <v>17419</v>
      </c>
      <c r="AH862" s="1" t="s">
        <v>2821</v>
      </c>
      <c r="AI862" s="1" t="s">
        <v>17420</v>
      </c>
      <c r="AJ862" s="1" t="s">
        <v>132</v>
      </c>
      <c r="AK862" s="1" t="s">
        <v>17421</v>
      </c>
      <c r="AL862" s="1" t="s">
        <v>17422</v>
      </c>
      <c r="AM862" s="1" t="s">
        <v>17423</v>
      </c>
      <c r="AN862" s="1" t="s">
        <v>17423</v>
      </c>
    </row>
    <row r="863" ht="15.75" customHeight="1">
      <c r="A863" s="1" t="s">
        <v>127</v>
      </c>
      <c r="B863" s="1" t="s">
        <v>17424</v>
      </c>
      <c r="C863" s="1" t="s">
        <v>17425</v>
      </c>
      <c r="D863" s="8" t="s">
        <v>17426</v>
      </c>
      <c r="E863" s="1" t="s">
        <v>17427</v>
      </c>
      <c r="F863" s="1" t="s">
        <v>132</v>
      </c>
      <c r="G863" s="1" t="s">
        <v>17428</v>
      </c>
      <c r="H863" s="1" t="s">
        <v>17429</v>
      </c>
      <c r="I863" s="1" t="s">
        <v>17430</v>
      </c>
      <c r="J863" s="1" t="s">
        <v>17431</v>
      </c>
      <c r="K863" s="1" t="s">
        <v>17432</v>
      </c>
      <c r="L863" s="1" t="s">
        <v>17433</v>
      </c>
      <c r="M863" s="1" t="s">
        <v>17434</v>
      </c>
      <c r="N863" s="1" t="s">
        <v>132</v>
      </c>
      <c r="O863" s="1" t="s">
        <v>17435</v>
      </c>
      <c r="P863" s="1" t="s">
        <v>17425</v>
      </c>
      <c r="Q863" s="1" t="s">
        <v>132</v>
      </c>
      <c r="R863" s="1" t="s">
        <v>17436</v>
      </c>
      <c r="S863" s="1" t="s">
        <v>17437</v>
      </c>
      <c r="T863" s="8" t="s">
        <v>17438</v>
      </c>
      <c r="U863" s="1" t="s">
        <v>17439</v>
      </c>
      <c r="V863" s="1" t="s">
        <v>17440</v>
      </c>
      <c r="W863" s="1" t="s">
        <v>17441</v>
      </c>
      <c r="X863" s="1" t="s">
        <v>17442</v>
      </c>
      <c r="Y863" s="1" t="s">
        <v>17443</v>
      </c>
      <c r="Z863" s="1" t="s">
        <v>17444</v>
      </c>
      <c r="AA863" s="1" t="s">
        <v>17445</v>
      </c>
      <c r="AB863" s="1" t="s">
        <v>17446</v>
      </c>
      <c r="AC863" s="1" t="s">
        <v>17447</v>
      </c>
      <c r="AD863" s="1" t="s">
        <v>17448</v>
      </c>
      <c r="AE863" s="1" t="s">
        <v>17449</v>
      </c>
      <c r="AF863" s="1" t="s">
        <v>17450</v>
      </c>
      <c r="AG863" s="1" t="s">
        <v>17451</v>
      </c>
      <c r="AH863" s="1" t="s">
        <v>17452</v>
      </c>
      <c r="AI863" s="1" t="s">
        <v>17453</v>
      </c>
      <c r="AJ863" s="1" t="s">
        <v>132</v>
      </c>
      <c r="AK863" s="1" t="s">
        <v>17454</v>
      </c>
      <c r="AL863" s="1" t="s">
        <v>17455</v>
      </c>
      <c r="AM863" s="1" t="s">
        <v>132</v>
      </c>
      <c r="AN863" s="1" t="s">
        <v>132</v>
      </c>
    </row>
    <row r="864" ht="15.75" customHeight="1">
      <c r="A864" s="1" t="s">
        <v>127</v>
      </c>
      <c r="B864" s="1" t="s">
        <v>17456</v>
      </c>
      <c r="C864" s="1" t="s">
        <v>17457</v>
      </c>
      <c r="D864" s="8" t="s">
        <v>17458</v>
      </c>
      <c r="E864" s="1" t="s">
        <v>17459</v>
      </c>
      <c r="F864" s="1" t="s">
        <v>132</v>
      </c>
      <c r="G864" s="1" t="s">
        <v>17460</v>
      </c>
      <c r="H864" s="1" t="s">
        <v>17461</v>
      </c>
      <c r="I864" s="1" t="s">
        <v>17462</v>
      </c>
      <c r="J864" s="1" t="s">
        <v>17457</v>
      </c>
      <c r="K864" s="1" t="s">
        <v>17463</v>
      </c>
      <c r="L864" s="1" t="s">
        <v>17464</v>
      </c>
      <c r="M864" s="1" t="s">
        <v>17465</v>
      </c>
      <c r="N864" s="1" t="s">
        <v>132</v>
      </c>
      <c r="O864" s="1" t="s">
        <v>17466</v>
      </c>
      <c r="P864" s="1" t="s">
        <v>17467</v>
      </c>
      <c r="Q864" s="1" t="s">
        <v>132</v>
      </c>
      <c r="R864" s="1" t="s">
        <v>17468</v>
      </c>
      <c r="S864" s="1" t="s">
        <v>17469</v>
      </c>
      <c r="T864" s="8" t="s">
        <v>17470</v>
      </c>
      <c r="U864" s="1" t="s">
        <v>17471</v>
      </c>
      <c r="V864" s="1" t="s">
        <v>17472</v>
      </c>
      <c r="W864" s="1" t="s">
        <v>17468</v>
      </c>
      <c r="X864" s="1" t="s">
        <v>17473</v>
      </c>
      <c r="Y864" s="1" t="s">
        <v>17474</v>
      </c>
      <c r="Z864" s="1" t="s">
        <v>17475</v>
      </c>
      <c r="AA864" s="1" t="s">
        <v>17476</v>
      </c>
      <c r="AB864" s="1" t="s">
        <v>17477</v>
      </c>
      <c r="AC864" s="1" t="s">
        <v>17478</v>
      </c>
      <c r="AD864" s="1" t="s">
        <v>17479</v>
      </c>
      <c r="AE864" s="1" t="s">
        <v>17480</v>
      </c>
      <c r="AF864" s="1" t="s">
        <v>17457</v>
      </c>
      <c r="AG864" s="1" t="s">
        <v>17481</v>
      </c>
      <c r="AH864" s="1" t="s">
        <v>17482</v>
      </c>
      <c r="AI864" s="1" t="s">
        <v>17483</v>
      </c>
      <c r="AJ864" s="1" t="s">
        <v>132</v>
      </c>
      <c r="AK864" s="1" t="s">
        <v>17484</v>
      </c>
      <c r="AL864" s="1" t="s">
        <v>17485</v>
      </c>
      <c r="AM864" s="1" t="s">
        <v>17486</v>
      </c>
      <c r="AN864" s="1" t="s">
        <v>17486</v>
      </c>
    </row>
    <row r="865" ht="15.75" customHeight="1">
      <c r="A865" s="1" t="s">
        <v>38</v>
      </c>
      <c r="B865" s="1" t="s">
        <v>17487</v>
      </c>
      <c r="C865" s="1" t="s">
        <v>17488</v>
      </c>
      <c r="D865" s="8" t="s">
        <v>17489</v>
      </c>
      <c r="E865" s="1" t="s">
        <v>17490</v>
      </c>
      <c r="F865" s="1" t="s">
        <v>17491</v>
      </c>
      <c r="G865" s="1" t="s">
        <v>132</v>
      </c>
      <c r="H865" s="1" t="s">
        <v>132</v>
      </c>
      <c r="I865" s="1" t="s">
        <v>17492</v>
      </c>
      <c r="J865" s="1" t="s">
        <v>132</v>
      </c>
      <c r="K865" s="1" t="s">
        <v>17493</v>
      </c>
      <c r="L865" s="1" t="s">
        <v>132</v>
      </c>
      <c r="M865" s="1" t="s">
        <v>17494</v>
      </c>
      <c r="N865" s="1" t="s">
        <v>17495</v>
      </c>
      <c r="O865" s="1" t="s">
        <v>132</v>
      </c>
      <c r="P865" s="1" t="s">
        <v>17496</v>
      </c>
      <c r="Q865" s="1" t="s">
        <v>132</v>
      </c>
      <c r="R865" s="1" t="s">
        <v>132</v>
      </c>
      <c r="S865" s="1" t="s">
        <v>17497</v>
      </c>
      <c r="T865" s="1" t="s">
        <v>132</v>
      </c>
      <c r="U865" s="1" t="s">
        <v>132</v>
      </c>
      <c r="V865" s="1" t="s">
        <v>132</v>
      </c>
      <c r="W865" s="1" t="s">
        <v>132</v>
      </c>
      <c r="X865" s="1" t="s">
        <v>17498</v>
      </c>
      <c r="Y865" s="1" t="s">
        <v>132</v>
      </c>
      <c r="Z865" s="1" t="s">
        <v>17499</v>
      </c>
      <c r="AA865" s="1" t="s">
        <v>17500</v>
      </c>
      <c r="AB865" s="1" t="s">
        <v>132</v>
      </c>
      <c r="AC865" s="1" t="s">
        <v>17501</v>
      </c>
      <c r="AD865" s="1" t="s">
        <v>132</v>
      </c>
      <c r="AE865" s="1" t="s">
        <v>132</v>
      </c>
      <c r="AF865" s="1" t="s">
        <v>17502</v>
      </c>
      <c r="AG865" s="1" t="s">
        <v>132</v>
      </c>
      <c r="AH865" s="1" t="s">
        <v>132</v>
      </c>
      <c r="AI865" s="1" t="s">
        <v>132</v>
      </c>
      <c r="AJ865" s="1" t="s">
        <v>132</v>
      </c>
      <c r="AK865" s="1" t="s">
        <v>132</v>
      </c>
      <c r="AL865" s="1" t="s">
        <v>132</v>
      </c>
      <c r="AM865" s="1" t="s">
        <v>132</v>
      </c>
      <c r="AN865" s="1" t="s">
        <v>132</v>
      </c>
    </row>
    <row r="866" ht="15.75" customHeight="1">
      <c r="A866" s="1" t="s">
        <v>127</v>
      </c>
      <c r="B866" s="1" t="s">
        <v>17503</v>
      </c>
      <c r="C866" s="1" t="s">
        <v>17504</v>
      </c>
      <c r="D866" s="8" t="s">
        <v>17505</v>
      </c>
      <c r="E866" s="1" t="s">
        <v>17504</v>
      </c>
      <c r="F866" s="1" t="s">
        <v>132</v>
      </c>
      <c r="G866" s="1" t="s">
        <v>17506</v>
      </c>
      <c r="H866" s="1" t="s">
        <v>17504</v>
      </c>
      <c r="I866" s="1" t="s">
        <v>17507</v>
      </c>
      <c r="J866" s="1" t="s">
        <v>17504</v>
      </c>
      <c r="K866" s="1" t="s">
        <v>17508</v>
      </c>
      <c r="L866" s="1" t="s">
        <v>17504</v>
      </c>
      <c r="M866" s="1" t="s">
        <v>17509</v>
      </c>
      <c r="N866" s="1" t="s">
        <v>132</v>
      </c>
      <c r="O866" s="1" t="s">
        <v>17510</v>
      </c>
      <c r="P866" s="1" t="s">
        <v>17507</v>
      </c>
      <c r="Q866" s="1" t="s">
        <v>132</v>
      </c>
      <c r="R866" s="1" t="s">
        <v>17511</v>
      </c>
      <c r="S866" s="1" t="s">
        <v>17504</v>
      </c>
      <c r="T866" s="1" t="s">
        <v>17504</v>
      </c>
      <c r="U866" s="1" t="s">
        <v>17512</v>
      </c>
      <c r="V866" s="1" t="s">
        <v>17513</v>
      </c>
      <c r="W866" s="1" t="s">
        <v>17504</v>
      </c>
      <c r="X866" s="1" t="s">
        <v>17514</v>
      </c>
      <c r="Y866" s="1" t="s">
        <v>17515</v>
      </c>
      <c r="Z866" s="1" t="s">
        <v>17516</v>
      </c>
      <c r="AA866" s="1" t="s">
        <v>17517</v>
      </c>
      <c r="AB866" s="1" t="s">
        <v>17518</v>
      </c>
      <c r="AC866" s="1" t="s">
        <v>17519</v>
      </c>
      <c r="AD866" s="1" t="s">
        <v>17520</v>
      </c>
      <c r="AE866" s="1" t="s">
        <v>17504</v>
      </c>
      <c r="AF866" s="1" t="s">
        <v>17521</v>
      </c>
      <c r="AG866" s="1" t="s">
        <v>17504</v>
      </c>
      <c r="AH866" s="1" t="s">
        <v>17522</v>
      </c>
      <c r="AI866" s="1" t="s">
        <v>17504</v>
      </c>
      <c r="AJ866" s="1" t="s">
        <v>132</v>
      </c>
      <c r="AK866" s="1" t="s">
        <v>17523</v>
      </c>
      <c r="AL866" s="1" t="s">
        <v>17524</v>
      </c>
      <c r="AM866" s="1" t="s">
        <v>17525</v>
      </c>
      <c r="AN866" s="1" t="s">
        <v>17525</v>
      </c>
    </row>
    <row r="867" ht="15.75" customHeight="1">
      <c r="A867" s="1" t="s">
        <v>127</v>
      </c>
      <c r="B867" s="1" t="s">
        <v>17526</v>
      </c>
      <c r="C867" s="1" t="s">
        <v>8146</v>
      </c>
      <c r="D867" s="8" t="s">
        <v>17527</v>
      </c>
      <c r="E867" s="1" t="s">
        <v>17528</v>
      </c>
      <c r="F867" s="1" t="s">
        <v>132</v>
      </c>
      <c r="G867" s="1" t="s">
        <v>17529</v>
      </c>
      <c r="H867" s="1" t="s">
        <v>17530</v>
      </c>
      <c r="I867" s="1" t="s">
        <v>17531</v>
      </c>
      <c r="J867" s="1" t="s">
        <v>17532</v>
      </c>
      <c r="K867" s="1" t="s">
        <v>17533</v>
      </c>
      <c r="L867" s="1" t="s">
        <v>8151</v>
      </c>
      <c r="M867" s="1" t="s">
        <v>17534</v>
      </c>
      <c r="N867" s="1" t="s">
        <v>132</v>
      </c>
      <c r="O867" s="1" t="s">
        <v>17535</v>
      </c>
      <c r="P867" s="1" t="s">
        <v>17536</v>
      </c>
      <c r="Q867" s="1" t="s">
        <v>132</v>
      </c>
      <c r="R867" s="1" t="s">
        <v>17537</v>
      </c>
      <c r="S867" s="1" t="s">
        <v>8156</v>
      </c>
      <c r="T867" s="8" t="s">
        <v>17538</v>
      </c>
      <c r="U867" s="1" t="s">
        <v>17539</v>
      </c>
      <c r="V867" s="1" t="s">
        <v>17540</v>
      </c>
      <c r="W867" s="1" t="s">
        <v>17541</v>
      </c>
      <c r="X867" s="1" t="s">
        <v>8147</v>
      </c>
      <c r="Y867" s="1" t="s">
        <v>8160</v>
      </c>
      <c r="Z867" s="1" t="s">
        <v>17542</v>
      </c>
      <c r="AA867" s="1" t="s">
        <v>17543</v>
      </c>
      <c r="AB867" s="1" t="s">
        <v>17544</v>
      </c>
      <c r="AC867" s="1" t="s">
        <v>17545</v>
      </c>
      <c r="AD867" s="1" t="s">
        <v>17546</v>
      </c>
      <c r="AE867" s="1" t="s">
        <v>17547</v>
      </c>
      <c r="AF867" s="1" t="s">
        <v>17548</v>
      </c>
      <c r="AG867" s="1" t="s">
        <v>8164</v>
      </c>
      <c r="AH867" s="1" t="s">
        <v>17549</v>
      </c>
      <c r="AI867" s="1" t="s">
        <v>17550</v>
      </c>
      <c r="AJ867" s="1" t="s">
        <v>132</v>
      </c>
      <c r="AK867" s="1" t="s">
        <v>17551</v>
      </c>
      <c r="AL867" s="1" t="s">
        <v>17552</v>
      </c>
      <c r="AM867" s="1" t="s">
        <v>132</v>
      </c>
      <c r="AN867" s="1" t="s">
        <v>132</v>
      </c>
    </row>
    <row r="868" ht="15.75" customHeight="1">
      <c r="A868" s="1" t="s">
        <v>127</v>
      </c>
      <c r="B868" s="1" t="s">
        <v>17553</v>
      </c>
      <c r="C868" s="1" t="s">
        <v>17554</v>
      </c>
      <c r="D868" s="8" t="s">
        <v>13068</v>
      </c>
      <c r="E868" s="1" t="s">
        <v>13069</v>
      </c>
      <c r="F868" s="1" t="s">
        <v>132</v>
      </c>
      <c r="G868" s="1" t="s">
        <v>17555</v>
      </c>
      <c r="H868" s="1" t="s">
        <v>17556</v>
      </c>
      <c r="I868" s="1" t="s">
        <v>17557</v>
      </c>
      <c r="J868" s="1" t="s">
        <v>17558</v>
      </c>
      <c r="K868" s="1" t="s">
        <v>17559</v>
      </c>
      <c r="L868" s="1" t="s">
        <v>17560</v>
      </c>
      <c r="M868" s="1" t="s">
        <v>13073</v>
      </c>
      <c r="N868" s="1" t="s">
        <v>132</v>
      </c>
      <c r="O868" s="1" t="s">
        <v>17561</v>
      </c>
      <c r="P868" s="1" t="s">
        <v>17562</v>
      </c>
      <c r="Q868" s="1" t="s">
        <v>132</v>
      </c>
      <c r="R868" s="1" t="s">
        <v>17563</v>
      </c>
      <c r="S868" s="1" t="s">
        <v>13070</v>
      </c>
      <c r="T868" s="8" t="s">
        <v>17564</v>
      </c>
      <c r="U868" s="1" t="s">
        <v>17565</v>
      </c>
      <c r="V868" s="1" t="s">
        <v>17566</v>
      </c>
      <c r="W868" s="1" t="s">
        <v>17567</v>
      </c>
      <c r="X868" s="1" t="s">
        <v>17568</v>
      </c>
      <c r="Y868" s="1" t="s">
        <v>17556</v>
      </c>
      <c r="Z868" s="1" t="s">
        <v>17569</v>
      </c>
      <c r="AA868" s="1" t="s">
        <v>17570</v>
      </c>
      <c r="AB868" s="1" t="s">
        <v>17571</v>
      </c>
      <c r="AC868" s="1" t="s">
        <v>17572</v>
      </c>
      <c r="AD868" s="1" t="s">
        <v>17573</v>
      </c>
      <c r="AE868" s="1" t="s">
        <v>17574</v>
      </c>
      <c r="AF868" s="1" t="s">
        <v>17575</v>
      </c>
      <c r="AG868" s="1" t="s">
        <v>17556</v>
      </c>
      <c r="AH868" s="1" t="s">
        <v>17576</v>
      </c>
      <c r="AI868" s="1" t="s">
        <v>17577</v>
      </c>
      <c r="AJ868" s="1" t="s">
        <v>132</v>
      </c>
      <c r="AK868" s="1" t="s">
        <v>17578</v>
      </c>
      <c r="AL868" s="1" t="s">
        <v>17579</v>
      </c>
      <c r="AM868" s="1" t="s">
        <v>132</v>
      </c>
      <c r="AN868" s="1" t="s">
        <v>132</v>
      </c>
    </row>
    <row r="869" ht="15.75" customHeight="1">
      <c r="A869" s="1" t="s">
        <v>127</v>
      </c>
      <c r="B869" s="1" t="s">
        <v>17580</v>
      </c>
      <c r="C869" s="1" t="s">
        <v>17581</v>
      </c>
      <c r="D869" s="8" t="s">
        <v>17582</v>
      </c>
      <c r="E869" s="1" t="s">
        <v>17583</v>
      </c>
      <c r="F869" s="1" t="s">
        <v>132</v>
      </c>
      <c r="G869" s="1" t="s">
        <v>17584</v>
      </c>
      <c r="H869" s="1" t="s">
        <v>17585</v>
      </c>
      <c r="I869" s="1" t="s">
        <v>17586</v>
      </c>
      <c r="J869" s="1" t="s">
        <v>17587</v>
      </c>
      <c r="K869" s="1" t="s">
        <v>17588</v>
      </c>
      <c r="L869" s="1" t="s">
        <v>17589</v>
      </c>
      <c r="M869" s="1" t="s">
        <v>17590</v>
      </c>
      <c r="N869" s="1" t="s">
        <v>132</v>
      </c>
      <c r="O869" s="1" t="s">
        <v>17591</v>
      </c>
      <c r="P869" s="1" t="s">
        <v>17592</v>
      </c>
      <c r="Q869" s="1" t="s">
        <v>132</v>
      </c>
      <c r="R869" s="1" t="s">
        <v>17593</v>
      </c>
      <c r="S869" s="1" t="s">
        <v>17594</v>
      </c>
      <c r="T869" s="8" t="s">
        <v>11227</v>
      </c>
      <c r="U869" s="1" t="s">
        <v>17595</v>
      </c>
      <c r="V869" s="1" t="s">
        <v>17596</v>
      </c>
      <c r="W869" s="1" t="s">
        <v>17597</v>
      </c>
      <c r="X869" s="1" t="s">
        <v>17598</v>
      </c>
      <c r="Y869" s="1" t="s">
        <v>17599</v>
      </c>
      <c r="Z869" s="1" t="s">
        <v>17600</v>
      </c>
      <c r="AA869" s="1" t="s">
        <v>17601</v>
      </c>
      <c r="AB869" s="1" t="s">
        <v>17602</v>
      </c>
      <c r="AC869" s="1" t="s">
        <v>17603</v>
      </c>
      <c r="AD869" s="1" t="s">
        <v>17604</v>
      </c>
      <c r="AE869" s="1" t="s">
        <v>17605</v>
      </c>
      <c r="AF869" s="1" t="s">
        <v>17606</v>
      </c>
      <c r="AG869" s="1" t="s">
        <v>17607</v>
      </c>
      <c r="AH869" s="1" t="s">
        <v>17608</v>
      </c>
      <c r="AI869" s="1" t="s">
        <v>17609</v>
      </c>
      <c r="AJ869" s="1" t="s">
        <v>132</v>
      </c>
      <c r="AK869" s="1" t="s">
        <v>17610</v>
      </c>
      <c r="AL869" s="1" t="s">
        <v>17611</v>
      </c>
      <c r="AM869" s="1" t="s">
        <v>17612</v>
      </c>
      <c r="AN869" s="1" t="s">
        <v>17612</v>
      </c>
    </row>
    <row r="870" ht="15.75" customHeight="1">
      <c r="A870" s="1" t="s">
        <v>38</v>
      </c>
      <c r="B870" s="1" t="s">
        <v>17613</v>
      </c>
      <c r="C870" s="1" t="s">
        <v>17614</v>
      </c>
      <c r="D870" s="1" t="s">
        <v>132</v>
      </c>
      <c r="E870" s="1" t="s">
        <v>132</v>
      </c>
      <c r="F870" s="1" t="s">
        <v>132</v>
      </c>
      <c r="G870" s="1" t="s">
        <v>132</v>
      </c>
      <c r="H870" s="1" t="s">
        <v>132</v>
      </c>
      <c r="I870" s="1" t="s">
        <v>17615</v>
      </c>
      <c r="J870" s="1" t="s">
        <v>132</v>
      </c>
      <c r="K870" s="1" t="s">
        <v>17616</v>
      </c>
      <c r="L870" s="1" t="s">
        <v>132</v>
      </c>
      <c r="M870" s="1" t="s">
        <v>17617</v>
      </c>
      <c r="N870" s="1" t="s">
        <v>132</v>
      </c>
      <c r="O870" s="1" t="s">
        <v>132</v>
      </c>
      <c r="P870" s="1" t="s">
        <v>17614</v>
      </c>
      <c r="Q870" s="1" t="s">
        <v>132</v>
      </c>
      <c r="R870" s="1" t="s">
        <v>132</v>
      </c>
      <c r="S870" s="1" t="s">
        <v>132</v>
      </c>
      <c r="T870" s="1" t="s">
        <v>132</v>
      </c>
      <c r="U870" s="1" t="s">
        <v>132</v>
      </c>
      <c r="V870" s="1" t="s">
        <v>132</v>
      </c>
      <c r="W870" s="1" t="s">
        <v>132</v>
      </c>
      <c r="X870" s="1" t="s">
        <v>132</v>
      </c>
      <c r="Y870" s="1" t="s">
        <v>132</v>
      </c>
      <c r="Z870" s="1" t="s">
        <v>132</v>
      </c>
      <c r="AA870" s="1" t="s">
        <v>132</v>
      </c>
      <c r="AB870" s="1" t="s">
        <v>132</v>
      </c>
      <c r="AC870" s="1" t="s">
        <v>17618</v>
      </c>
      <c r="AD870" s="1" t="s">
        <v>132</v>
      </c>
      <c r="AE870" s="1" t="s">
        <v>132</v>
      </c>
      <c r="AF870" s="1" t="s">
        <v>17619</v>
      </c>
      <c r="AG870" s="1" t="s">
        <v>132</v>
      </c>
      <c r="AH870" s="1" t="s">
        <v>132</v>
      </c>
      <c r="AI870" s="1" t="s">
        <v>132</v>
      </c>
      <c r="AJ870" s="1" t="s">
        <v>132</v>
      </c>
      <c r="AK870" s="1" t="s">
        <v>132</v>
      </c>
      <c r="AL870" s="1" t="s">
        <v>132</v>
      </c>
      <c r="AM870" s="1" t="s">
        <v>132</v>
      </c>
      <c r="AN870" s="1" t="s">
        <v>132</v>
      </c>
    </row>
    <row r="871" ht="15.75" customHeight="1">
      <c r="A871" s="1" t="s">
        <v>38</v>
      </c>
      <c r="B871" s="1" t="s">
        <v>17620</v>
      </c>
      <c r="C871" s="1" t="s">
        <v>17621</v>
      </c>
      <c r="D871" s="8" t="s">
        <v>17622</v>
      </c>
      <c r="E871" s="1" t="s">
        <v>17623</v>
      </c>
      <c r="F871" s="1" t="s">
        <v>17624</v>
      </c>
      <c r="G871" s="1" t="s">
        <v>132</v>
      </c>
      <c r="H871" s="1" t="s">
        <v>132</v>
      </c>
      <c r="I871" s="1" t="s">
        <v>17625</v>
      </c>
      <c r="J871" s="1" t="s">
        <v>132</v>
      </c>
      <c r="K871" s="1" t="s">
        <v>17626</v>
      </c>
      <c r="L871" s="1" t="s">
        <v>132</v>
      </c>
      <c r="M871" s="1" t="s">
        <v>17627</v>
      </c>
      <c r="N871" s="1" t="s">
        <v>17626</v>
      </c>
      <c r="O871" s="1" t="s">
        <v>132</v>
      </c>
      <c r="P871" s="1" t="s">
        <v>17628</v>
      </c>
      <c r="Q871" s="1" t="s">
        <v>17629</v>
      </c>
      <c r="R871" s="1" t="s">
        <v>132</v>
      </c>
      <c r="S871" s="1" t="s">
        <v>17630</v>
      </c>
      <c r="T871" s="1" t="s">
        <v>132</v>
      </c>
      <c r="U871" s="1" t="s">
        <v>17631</v>
      </c>
      <c r="V871" s="1" t="s">
        <v>17632</v>
      </c>
      <c r="W871" s="1" t="s">
        <v>132</v>
      </c>
      <c r="X871" s="1" t="s">
        <v>17633</v>
      </c>
      <c r="Y871" s="1" t="s">
        <v>132</v>
      </c>
      <c r="Z871" s="1" t="s">
        <v>17634</v>
      </c>
      <c r="AA871" s="1" t="s">
        <v>17635</v>
      </c>
      <c r="AB871" s="1" t="s">
        <v>132</v>
      </c>
      <c r="AC871" s="1" t="s">
        <v>17636</v>
      </c>
      <c r="AD871" s="1" t="s">
        <v>132</v>
      </c>
      <c r="AE871" s="1" t="s">
        <v>132</v>
      </c>
      <c r="AF871" s="1" t="s">
        <v>17637</v>
      </c>
      <c r="AG871" s="1" t="s">
        <v>17638</v>
      </c>
      <c r="AH871" s="1" t="s">
        <v>132</v>
      </c>
      <c r="AI871" s="1" t="s">
        <v>132</v>
      </c>
      <c r="AJ871" s="1" t="s">
        <v>17639</v>
      </c>
      <c r="AK871" s="1" t="s">
        <v>17640</v>
      </c>
      <c r="AL871" s="1" t="s">
        <v>132</v>
      </c>
      <c r="AM871" s="1" t="s">
        <v>17641</v>
      </c>
      <c r="AN871" s="1" t="s">
        <v>17641</v>
      </c>
    </row>
    <row r="872" ht="15.75" customHeight="1">
      <c r="A872" s="1" t="s">
        <v>127</v>
      </c>
      <c r="B872" s="1" t="s">
        <v>17642</v>
      </c>
      <c r="C872" s="1" t="s">
        <v>17643</v>
      </c>
      <c r="D872" s="8" t="s">
        <v>17644</v>
      </c>
      <c r="E872" s="1" t="s">
        <v>17645</v>
      </c>
      <c r="F872" s="1" t="s">
        <v>132</v>
      </c>
      <c r="G872" s="1" t="s">
        <v>17646</v>
      </c>
      <c r="H872" s="1" t="s">
        <v>17647</v>
      </c>
      <c r="I872" s="1" t="s">
        <v>17648</v>
      </c>
      <c r="J872" s="1" t="s">
        <v>17649</v>
      </c>
      <c r="K872" s="1" t="s">
        <v>17650</v>
      </c>
      <c r="L872" s="1" t="s">
        <v>17651</v>
      </c>
      <c r="M872" s="1" t="s">
        <v>17652</v>
      </c>
      <c r="N872" s="1" t="s">
        <v>132</v>
      </c>
      <c r="O872" s="1" t="s">
        <v>17653</v>
      </c>
      <c r="P872" s="1" t="s">
        <v>17654</v>
      </c>
      <c r="Q872" s="1" t="s">
        <v>132</v>
      </c>
      <c r="R872" s="1" t="s">
        <v>17655</v>
      </c>
      <c r="S872" s="1" t="s">
        <v>17656</v>
      </c>
      <c r="T872" s="8" t="s">
        <v>17657</v>
      </c>
      <c r="U872" s="1" t="s">
        <v>17658</v>
      </c>
      <c r="V872" s="1" t="s">
        <v>17659</v>
      </c>
      <c r="W872" s="1" t="s">
        <v>17660</v>
      </c>
      <c r="X872" s="1" t="s">
        <v>17661</v>
      </c>
      <c r="Y872" s="1" t="s">
        <v>17662</v>
      </c>
      <c r="Z872" s="1" t="s">
        <v>17663</v>
      </c>
      <c r="AA872" s="1" t="s">
        <v>17664</v>
      </c>
      <c r="AB872" s="1" t="s">
        <v>17665</v>
      </c>
      <c r="AC872" s="1" t="s">
        <v>17666</v>
      </c>
      <c r="AD872" s="1" t="s">
        <v>17667</v>
      </c>
      <c r="AE872" s="1" t="s">
        <v>17668</v>
      </c>
      <c r="AF872" s="1" t="s">
        <v>17669</v>
      </c>
      <c r="AG872" s="1" t="s">
        <v>17670</v>
      </c>
      <c r="AH872" s="1" t="s">
        <v>17671</v>
      </c>
      <c r="AI872" s="1" t="s">
        <v>17672</v>
      </c>
      <c r="AJ872" s="1" t="s">
        <v>132</v>
      </c>
      <c r="AK872" s="1" t="s">
        <v>17673</v>
      </c>
      <c r="AL872" s="1" t="s">
        <v>17674</v>
      </c>
      <c r="AM872" s="1" t="s">
        <v>132</v>
      </c>
      <c r="AN872" s="1" t="s">
        <v>132</v>
      </c>
    </row>
    <row r="873" ht="15.75" customHeight="1">
      <c r="A873" s="1" t="s">
        <v>127</v>
      </c>
      <c r="B873" s="1" t="s">
        <v>17675</v>
      </c>
      <c r="C873" s="1" t="s">
        <v>17676</v>
      </c>
      <c r="D873" s="8" t="s">
        <v>17677</v>
      </c>
      <c r="E873" s="1" t="s">
        <v>17678</v>
      </c>
      <c r="F873" s="1" t="s">
        <v>132</v>
      </c>
      <c r="G873" s="1" t="s">
        <v>17679</v>
      </c>
      <c r="H873" s="1" t="s">
        <v>17680</v>
      </c>
      <c r="I873" s="1" t="s">
        <v>17676</v>
      </c>
      <c r="J873" s="1" t="s">
        <v>17681</v>
      </c>
      <c r="K873" s="1" t="s">
        <v>17676</v>
      </c>
      <c r="L873" s="1" t="s">
        <v>17682</v>
      </c>
      <c r="M873" s="1" t="s">
        <v>17676</v>
      </c>
      <c r="N873" s="1" t="s">
        <v>132</v>
      </c>
      <c r="O873" s="1" t="s">
        <v>17683</v>
      </c>
      <c r="P873" s="1" t="s">
        <v>17676</v>
      </c>
      <c r="Q873" s="1" t="s">
        <v>132</v>
      </c>
      <c r="R873" s="1" t="s">
        <v>17676</v>
      </c>
      <c r="S873" s="1" t="s">
        <v>17676</v>
      </c>
      <c r="T873" s="8" t="s">
        <v>17684</v>
      </c>
      <c r="U873" s="1" t="s">
        <v>17676</v>
      </c>
      <c r="V873" s="1" t="s">
        <v>17685</v>
      </c>
      <c r="W873" s="1" t="s">
        <v>17686</v>
      </c>
      <c r="X873" s="1" t="s">
        <v>17676</v>
      </c>
      <c r="Y873" s="1" t="s">
        <v>17687</v>
      </c>
      <c r="Z873" s="1" t="s">
        <v>17676</v>
      </c>
      <c r="AA873" s="1" t="s">
        <v>17676</v>
      </c>
      <c r="AB873" s="1" t="s">
        <v>17688</v>
      </c>
      <c r="AC873" s="1" t="s">
        <v>17676</v>
      </c>
      <c r="AD873" s="1" t="s">
        <v>17679</v>
      </c>
      <c r="AE873" s="1" t="s">
        <v>17689</v>
      </c>
      <c r="AF873" s="1" t="s">
        <v>17676</v>
      </c>
      <c r="AG873" s="1" t="s">
        <v>17690</v>
      </c>
      <c r="AH873" s="1" t="s">
        <v>17691</v>
      </c>
      <c r="AI873" s="1" t="s">
        <v>17676</v>
      </c>
      <c r="AJ873" s="1" t="s">
        <v>132</v>
      </c>
      <c r="AK873" s="1" t="s">
        <v>17692</v>
      </c>
      <c r="AL873" s="1" t="s">
        <v>17676</v>
      </c>
      <c r="AM873" s="1" t="s">
        <v>132</v>
      </c>
      <c r="AN873" s="1" t="s">
        <v>132</v>
      </c>
    </row>
    <row r="874" ht="15.75" customHeight="1">
      <c r="A874" s="1" t="s">
        <v>127</v>
      </c>
      <c r="B874" s="1" t="s">
        <v>17693</v>
      </c>
      <c r="C874" s="1" t="s">
        <v>17694</v>
      </c>
      <c r="D874" s="8" t="s">
        <v>17695</v>
      </c>
      <c r="E874" s="1" t="s">
        <v>17696</v>
      </c>
      <c r="F874" s="1" t="s">
        <v>132</v>
      </c>
      <c r="G874" s="1" t="s">
        <v>17697</v>
      </c>
      <c r="H874" s="1" t="s">
        <v>17698</v>
      </c>
      <c r="I874" s="1" t="s">
        <v>17699</v>
      </c>
      <c r="J874" s="1" t="s">
        <v>17700</v>
      </c>
      <c r="K874" s="1" t="s">
        <v>17701</v>
      </c>
      <c r="L874" s="1" t="s">
        <v>17702</v>
      </c>
      <c r="M874" s="1" t="s">
        <v>17703</v>
      </c>
      <c r="N874" s="1" t="s">
        <v>132</v>
      </c>
      <c r="O874" s="1" t="s">
        <v>17704</v>
      </c>
      <c r="P874" s="1" t="s">
        <v>17705</v>
      </c>
      <c r="Q874" s="1" t="s">
        <v>132</v>
      </c>
      <c r="R874" s="1" t="s">
        <v>17706</v>
      </c>
      <c r="S874" s="1" t="s">
        <v>17707</v>
      </c>
      <c r="T874" s="8" t="s">
        <v>17708</v>
      </c>
      <c r="U874" s="1" t="s">
        <v>17709</v>
      </c>
      <c r="V874" s="1" t="s">
        <v>17710</v>
      </c>
      <c r="W874" s="1" t="s">
        <v>17706</v>
      </c>
      <c r="X874" s="1" t="s">
        <v>17711</v>
      </c>
      <c r="Y874" s="1" t="s">
        <v>17698</v>
      </c>
      <c r="Z874" s="1" t="s">
        <v>17712</v>
      </c>
      <c r="AA874" s="1" t="s">
        <v>17713</v>
      </c>
      <c r="AB874" s="1" t="s">
        <v>17714</v>
      </c>
      <c r="AC874" s="1" t="s">
        <v>17715</v>
      </c>
      <c r="AD874" s="1" t="s">
        <v>17716</v>
      </c>
      <c r="AE874" s="1" t="s">
        <v>17717</v>
      </c>
      <c r="AF874" s="1" t="s">
        <v>17718</v>
      </c>
      <c r="AG874" s="1" t="s">
        <v>17719</v>
      </c>
      <c r="AH874" s="1" t="s">
        <v>17720</v>
      </c>
      <c r="AI874" s="1" t="s">
        <v>17721</v>
      </c>
      <c r="AJ874" s="1" t="s">
        <v>132</v>
      </c>
      <c r="AK874" s="1" t="s">
        <v>17722</v>
      </c>
      <c r="AL874" s="1" t="s">
        <v>17723</v>
      </c>
      <c r="AM874" s="1" t="s">
        <v>132</v>
      </c>
      <c r="AN874" s="1" t="s">
        <v>132</v>
      </c>
    </row>
    <row r="875" ht="15.75" customHeight="1">
      <c r="A875" s="1" t="s">
        <v>127</v>
      </c>
      <c r="B875" s="1" t="s">
        <v>17724</v>
      </c>
      <c r="C875" s="1" t="s">
        <v>17725</v>
      </c>
      <c r="D875" s="8" t="s">
        <v>8780</v>
      </c>
      <c r="E875" s="1" t="s">
        <v>17726</v>
      </c>
      <c r="F875" s="1" t="s">
        <v>132</v>
      </c>
      <c r="G875" s="1" t="s">
        <v>8782</v>
      </c>
      <c r="H875" s="1" t="s">
        <v>17727</v>
      </c>
      <c r="I875" s="1" t="s">
        <v>17728</v>
      </c>
      <c r="J875" s="1" t="s">
        <v>8785</v>
      </c>
      <c r="K875" s="1" t="s">
        <v>10375</v>
      </c>
      <c r="L875" s="1" t="s">
        <v>8787</v>
      </c>
      <c r="M875" s="1" t="s">
        <v>113</v>
      </c>
      <c r="N875" s="1" t="s">
        <v>132</v>
      </c>
      <c r="O875" s="1" t="s">
        <v>17729</v>
      </c>
      <c r="P875" s="1" t="s">
        <v>8790</v>
      </c>
      <c r="Q875" s="1" t="s">
        <v>132</v>
      </c>
      <c r="R875" s="1" t="s">
        <v>10641</v>
      </c>
      <c r="S875" s="1" t="s">
        <v>8792</v>
      </c>
      <c r="T875" s="8" t="s">
        <v>8793</v>
      </c>
      <c r="U875" s="1" t="s">
        <v>17730</v>
      </c>
      <c r="V875" s="1" t="s">
        <v>8795</v>
      </c>
      <c r="W875" s="1" t="s">
        <v>10641</v>
      </c>
      <c r="X875" s="1" t="s">
        <v>17725</v>
      </c>
      <c r="Y875" s="1" t="s">
        <v>8796</v>
      </c>
      <c r="Z875" s="1" t="s">
        <v>8797</v>
      </c>
      <c r="AA875" s="1" t="s">
        <v>17731</v>
      </c>
      <c r="AB875" s="1" t="s">
        <v>17732</v>
      </c>
      <c r="AC875" s="1" t="s">
        <v>17733</v>
      </c>
      <c r="AD875" s="1" t="s">
        <v>8801</v>
      </c>
      <c r="AE875" s="1" t="s">
        <v>10389</v>
      </c>
      <c r="AF875" s="1" t="s">
        <v>17734</v>
      </c>
      <c r="AG875" s="1" t="s">
        <v>8804</v>
      </c>
      <c r="AH875" s="1" t="s">
        <v>8805</v>
      </c>
      <c r="AI875" s="1" t="s">
        <v>17735</v>
      </c>
      <c r="AJ875" s="1" t="s">
        <v>132</v>
      </c>
      <c r="AK875" s="1" t="s">
        <v>8807</v>
      </c>
      <c r="AL875" s="1" t="s">
        <v>17736</v>
      </c>
      <c r="AM875" s="1" t="s">
        <v>132</v>
      </c>
      <c r="AN875" s="1" t="s">
        <v>132</v>
      </c>
    </row>
    <row r="876" ht="15.75" customHeight="1">
      <c r="A876" s="1" t="s">
        <v>38</v>
      </c>
      <c r="B876" s="1" t="s">
        <v>17737</v>
      </c>
      <c r="C876" s="1" t="s">
        <v>17738</v>
      </c>
      <c r="D876" s="8" t="s">
        <v>17739</v>
      </c>
      <c r="E876" s="1" t="s">
        <v>17740</v>
      </c>
      <c r="F876" s="1" t="s">
        <v>17741</v>
      </c>
      <c r="G876" s="1" t="s">
        <v>132</v>
      </c>
      <c r="H876" s="1" t="s">
        <v>132</v>
      </c>
      <c r="I876" s="1" t="s">
        <v>17742</v>
      </c>
      <c r="J876" s="1" t="s">
        <v>132</v>
      </c>
      <c r="K876" s="1" t="s">
        <v>17743</v>
      </c>
      <c r="L876" s="1" t="s">
        <v>132</v>
      </c>
      <c r="M876" s="1" t="s">
        <v>17744</v>
      </c>
      <c r="N876" s="1" t="s">
        <v>17745</v>
      </c>
      <c r="O876" s="1" t="s">
        <v>132</v>
      </c>
      <c r="P876" s="1" t="s">
        <v>17746</v>
      </c>
      <c r="Q876" s="1" t="s">
        <v>17747</v>
      </c>
      <c r="R876" s="1" t="s">
        <v>132</v>
      </c>
      <c r="S876" s="1" t="s">
        <v>17748</v>
      </c>
      <c r="T876" s="1" t="s">
        <v>132</v>
      </c>
      <c r="U876" s="1" t="s">
        <v>17749</v>
      </c>
      <c r="V876" s="1" t="s">
        <v>17750</v>
      </c>
      <c r="W876" s="1" t="s">
        <v>132</v>
      </c>
      <c r="X876" s="1" t="s">
        <v>17751</v>
      </c>
      <c r="Y876" s="1" t="s">
        <v>132</v>
      </c>
      <c r="Z876" s="1" t="s">
        <v>17752</v>
      </c>
      <c r="AA876" s="1" t="s">
        <v>17753</v>
      </c>
      <c r="AB876" s="1" t="s">
        <v>132</v>
      </c>
      <c r="AC876" s="1" t="s">
        <v>17754</v>
      </c>
      <c r="AD876" s="1" t="s">
        <v>17755</v>
      </c>
      <c r="AE876" s="1" t="s">
        <v>132</v>
      </c>
      <c r="AF876" s="1" t="s">
        <v>17756</v>
      </c>
      <c r="AG876" s="1" t="s">
        <v>17757</v>
      </c>
      <c r="AH876" s="1" t="s">
        <v>132</v>
      </c>
      <c r="AI876" s="1" t="s">
        <v>132</v>
      </c>
      <c r="AJ876" s="1" t="s">
        <v>17758</v>
      </c>
      <c r="AK876" s="1" t="s">
        <v>17759</v>
      </c>
      <c r="AL876" s="1" t="s">
        <v>132</v>
      </c>
      <c r="AM876" s="1" t="s">
        <v>17760</v>
      </c>
      <c r="AN876" s="1" t="s">
        <v>17760</v>
      </c>
    </row>
    <row r="877" ht="15.75" customHeight="1">
      <c r="A877" s="1" t="s">
        <v>127</v>
      </c>
      <c r="B877" s="1" t="s">
        <v>17761</v>
      </c>
      <c r="C877" s="1" t="s">
        <v>17762</v>
      </c>
      <c r="D877" s="8" t="s">
        <v>17763</v>
      </c>
      <c r="E877" s="1" t="s">
        <v>17764</v>
      </c>
      <c r="F877" s="1" t="s">
        <v>132</v>
      </c>
      <c r="G877" s="1" t="s">
        <v>17765</v>
      </c>
      <c r="H877" s="1" t="s">
        <v>17766</v>
      </c>
      <c r="I877" s="1" t="s">
        <v>17762</v>
      </c>
      <c r="J877" s="1" t="s">
        <v>17767</v>
      </c>
      <c r="K877" s="1" t="s">
        <v>17768</v>
      </c>
      <c r="L877" s="1" t="s">
        <v>17769</v>
      </c>
      <c r="M877" s="1" t="s">
        <v>17770</v>
      </c>
      <c r="N877" s="1" t="s">
        <v>132</v>
      </c>
      <c r="O877" s="1" t="s">
        <v>17771</v>
      </c>
      <c r="P877" s="1" t="s">
        <v>17772</v>
      </c>
      <c r="Q877" s="1" t="s">
        <v>132</v>
      </c>
      <c r="R877" s="1" t="s">
        <v>17773</v>
      </c>
      <c r="S877" s="1" t="s">
        <v>17774</v>
      </c>
      <c r="T877" s="8" t="s">
        <v>17775</v>
      </c>
      <c r="U877" s="1" t="s">
        <v>17776</v>
      </c>
      <c r="V877" s="1" t="s">
        <v>17777</v>
      </c>
      <c r="W877" s="1" t="s">
        <v>17773</v>
      </c>
      <c r="X877" s="1" t="s">
        <v>17778</v>
      </c>
      <c r="Y877" s="1" t="s">
        <v>17779</v>
      </c>
      <c r="Z877" s="1" t="s">
        <v>17780</v>
      </c>
      <c r="AA877" s="1" t="s">
        <v>17781</v>
      </c>
      <c r="AB877" s="1" t="s">
        <v>17782</v>
      </c>
      <c r="AC877" s="1" t="s">
        <v>17783</v>
      </c>
      <c r="AD877" s="1" t="s">
        <v>17784</v>
      </c>
      <c r="AE877" s="1" t="s">
        <v>17762</v>
      </c>
      <c r="AF877" s="1" t="s">
        <v>17785</v>
      </c>
      <c r="AG877" s="1" t="s">
        <v>17786</v>
      </c>
      <c r="AH877" s="1" t="s">
        <v>17787</v>
      </c>
      <c r="AI877" s="1" t="s">
        <v>17788</v>
      </c>
      <c r="AJ877" s="1" t="s">
        <v>132</v>
      </c>
      <c r="AK877" s="1" t="s">
        <v>17789</v>
      </c>
      <c r="AL877" s="1" t="s">
        <v>17790</v>
      </c>
      <c r="AM877" s="1" t="s">
        <v>132</v>
      </c>
      <c r="AN877" s="1" t="s">
        <v>132</v>
      </c>
    </row>
    <row r="878" ht="15.75" customHeight="1">
      <c r="A878" s="1" t="s">
        <v>127</v>
      </c>
      <c r="B878" s="1" t="s">
        <v>17791</v>
      </c>
      <c r="C878" s="1" t="s">
        <v>17792</v>
      </c>
      <c r="D878" s="8" t="s">
        <v>17793</v>
      </c>
      <c r="E878" s="1" t="s">
        <v>17794</v>
      </c>
      <c r="F878" s="1" t="s">
        <v>132</v>
      </c>
      <c r="G878" s="1" t="s">
        <v>17795</v>
      </c>
      <c r="H878" s="1" t="s">
        <v>17796</v>
      </c>
      <c r="I878" s="1" t="s">
        <v>17797</v>
      </c>
      <c r="J878" s="1" t="s">
        <v>17798</v>
      </c>
      <c r="K878" s="1" t="s">
        <v>17799</v>
      </c>
      <c r="L878" s="1" t="s">
        <v>17800</v>
      </c>
      <c r="M878" s="1" t="s">
        <v>17801</v>
      </c>
      <c r="N878" s="1" t="s">
        <v>132</v>
      </c>
      <c r="O878" s="1" t="s">
        <v>17802</v>
      </c>
      <c r="P878" s="1" t="s">
        <v>17803</v>
      </c>
      <c r="Q878" s="1" t="s">
        <v>132</v>
      </c>
      <c r="R878" s="1" t="s">
        <v>17804</v>
      </c>
      <c r="S878" s="1" t="s">
        <v>17805</v>
      </c>
      <c r="T878" s="8" t="s">
        <v>17806</v>
      </c>
      <c r="U878" s="1" t="s">
        <v>17807</v>
      </c>
      <c r="V878" s="1" t="s">
        <v>17808</v>
      </c>
      <c r="W878" s="1" t="s">
        <v>17809</v>
      </c>
      <c r="X878" s="1" t="s">
        <v>17810</v>
      </c>
      <c r="Y878" s="1" t="s">
        <v>17811</v>
      </c>
      <c r="Z878" s="1" t="s">
        <v>17812</v>
      </c>
      <c r="AA878" s="1" t="s">
        <v>17799</v>
      </c>
      <c r="AB878" s="1" t="s">
        <v>17813</v>
      </c>
      <c r="AC878" s="1" t="s">
        <v>17814</v>
      </c>
      <c r="AD878" s="1" t="s">
        <v>17815</v>
      </c>
      <c r="AE878" s="1" t="s">
        <v>17816</v>
      </c>
      <c r="AF878" s="1" t="s">
        <v>17812</v>
      </c>
      <c r="AG878" s="1" t="s">
        <v>17817</v>
      </c>
      <c r="AH878" s="1" t="s">
        <v>17818</v>
      </c>
      <c r="AI878" s="1" t="s">
        <v>17819</v>
      </c>
      <c r="AJ878" s="1" t="s">
        <v>132</v>
      </c>
      <c r="AK878" s="1" t="s">
        <v>17820</v>
      </c>
      <c r="AL878" s="1" t="s">
        <v>17821</v>
      </c>
      <c r="AM878" s="1" t="s">
        <v>132</v>
      </c>
      <c r="AN878" s="1" t="s">
        <v>132</v>
      </c>
    </row>
    <row r="879" ht="15.75" customHeight="1">
      <c r="A879" s="1" t="s">
        <v>127</v>
      </c>
      <c r="B879" s="1" t="s">
        <v>17822</v>
      </c>
      <c r="C879" s="1" t="s">
        <v>17823</v>
      </c>
      <c r="D879" s="8" t="s">
        <v>17824</v>
      </c>
      <c r="E879" s="1" t="s">
        <v>17825</v>
      </c>
      <c r="F879" s="1" t="s">
        <v>132</v>
      </c>
      <c r="G879" s="1" t="s">
        <v>17826</v>
      </c>
      <c r="H879" s="1" t="s">
        <v>17827</v>
      </c>
      <c r="I879" s="1" t="s">
        <v>17828</v>
      </c>
      <c r="J879" s="1" t="s">
        <v>17829</v>
      </c>
      <c r="K879" s="1" t="s">
        <v>17830</v>
      </c>
      <c r="L879" s="1" t="s">
        <v>17831</v>
      </c>
      <c r="M879" s="1" t="s">
        <v>17832</v>
      </c>
      <c r="N879" s="1" t="s">
        <v>132</v>
      </c>
      <c r="O879" s="1" t="s">
        <v>17833</v>
      </c>
      <c r="P879" s="1" t="s">
        <v>17834</v>
      </c>
      <c r="Q879" s="1" t="s">
        <v>132</v>
      </c>
      <c r="R879" s="1" t="s">
        <v>17835</v>
      </c>
      <c r="S879" s="1" t="s">
        <v>17836</v>
      </c>
      <c r="T879" s="8" t="s">
        <v>17837</v>
      </c>
      <c r="U879" s="1" t="s">
        <v>17838</v>
      </c>
      <c r="V879" s="1" t="s">
        <v>17839</v>
      </c>
      <c r="W879" s="1" t="s">
        <v>17840</v>
      </c>
      <c r="X879" s="1" t="s">
        <v>17841</v>
      </c>
      <c r="Y879" s="1" t="s">
        <v>17842</v>
      </c>
      <c r="Z879" s="1" t="s">
        <v>17843</v>
      </c>
      <c r="AA879" s="1" t="s">
        <v>17844</v>
      </c>
      <c r="AB879" s="1" t="s">
        <v>17845</v>
      </c>
      <c r="AC879" s="1" t="s">
        <v>17846</v>
      </c>
      <c r="AD879" s="1" t="s">
        <v>17847</v>
      </c>
      <c r="AE879" s="1" t="s">
        <v>17848</v>
      </c>
      <c r="AF879" s="1" t="s">
        <v>17849</v>
      </c>
      <c r="AG879" s="1" t="s">
        <v>17850</v>
      </c>
      <c r="AH879" s="1" t="s">
        <v>17851</v>
      </c>
      <c r="AI879" s="1" t="s">
        <v>17852</v>
      </c>
      <c r="AJ879" s="1" t="s">
        <v>132</v>
      </c>
      <c r="AK879" s="1" t="s">
        <v>17853</v>
      </c>
      <c r="AL879" s="1" t="s">
        <v>17854</v>
      </c>
      <c r="AM879" s="1" t="s">
        <v>132</v>
      </c>
      <c r="AN879" s="1" t="s">
        <v>132</v>
      </c>
    </row>
    <row r="880" ht="15.75" customHeight="1">
      <c r="A880" s="1" t="s">
        <v>127</v>
      </c>
      <c r="B880" s="1" t="s">
        <v>17855</v>
      </c>
      <c r="C880" s="1" t="s">
        <v>17856</v>
      </c>
      <c r="D880" s="8" t="s">
        <v>17857</v>
      </c>
      <c r="E880" s="1" t="s">
        <v>17858</v>
      </c>
      <c r="F880" s="1" t="s">
        <v>132</v>
      </c>
      <c r="G880" s="1" t="s">
        <v>17859</v>
      </c>
      <c r="H880" s="1" t="s">
        <v>17860</v>
      </c>
      <c r="I880" s="1" t="s">
        <v>17861</v>
      </c>
      <c r="J880" s="1" t="s">
        <v>17862</v>
      </c>
      <c r="K880" s="1" t="s">
        <v>17863</v>
      </c>
      <c r="L880" s="1" t="s">
        <v>17864</v>
      </c>
      <c r="M880" s="1" t="s">
        <v>17865</v>
      </c>
      <c r="N880" s="1" t="s">
        <v>132</v>
      </c>
      <c r="O880" s="1" t="s">
        <v>17866</v>
      </c>
      <c r="P880" s="1" t="s">
        <v>17867</v>
      </c>
      <c r="Q880" s="1" t="s">
        <v>132</v>
      </c>
      <c r="R880" s="1" t="s">
        <v>17868</v>
      </c>
      <c r="S880" s="1" t="s">
        <v>17869</v>
      </c>
      <c r="T880" s="8" t="s">
        <v>17870</v>
      </c>
      <c r="U880" s="1" t="s">
        <v>17871</v>
      </c>
      <c r="V880" s="1" t="s">
        <v>17872</v>
      </c>
      <c r="W880" s="1" t="s">
        <v>17873</v>
      </c>
      <c r="X880" s="1" t="s">
        <v>17874</v>
      </c>
      <c r="Y880" s="1" t="s">
        <v>17875</v>
      </c>
      <c r="Z880" s="1" t="s">
        <v>17876</v>
      </c>
      <c r="AA880" s="1" t="s">
        <v>17877</v>
      </c>
      <c r="AB880" s="1" t="s">
        <v>17878</v>
      </c>
      <c r="AC880" s="1" t="s">
        <v>17879</v>
      </c>
      <c r="AD880" s="1" t="s">
        <v>17880</v>
      </c>
      <c r="AE880" s="1" t="s">
        <v>17881</v>
      </c>
      <c r="AF880" s="1" t="s">
        <v>17882</v>
      </c>
      <c r="AG880" s="1" t="s">
        <v>17883</v>
      </c>
      <c r="AH880" s="1" t="s">
        <v>17884</v>
      </c>
      <c r="AI880" s="1" t="s">
        <v>17885</v>
      </c>
      <c r="AJ880" s="1" t="s">
        <v>132</v>
      </c>
      <c r="AK880" s="1" t="s">
        <v>17886</v>
      </c>
      <c r="AL880" s="1" t="s">
        <v>17887</v>
      </c>
      <c r="AM880" s="1" t="s">
        <v>132</v>
      </c>
      <c r="AN880" s="1" t="s">
        <v>132</v>
      </c>
    </row>
    <row r="881" ht="15.75" customHeight="1">
      <c r="A881" s="1" t="s">
        <v>38</v>
      </c>
      <c r="B881" s="1" t="s">
        <v>17888</v>
      </c>
      <c r="C881" s="1" t="s">
        <v>17889</v>
      </c>
      <c r="D881" s="8" t="s">
        <v>17890</v>
      </c>
      <c r="E881" s="1" t="s">
        <v>17891</v>
      </c>
      <c r="F881" s="1" t="s">
        <v>17892</v>
      </c>
      <c r="G881" s="1" t="s">
        <v>132</v>
      </c>
      <c r="H881" s="1" t="s">
        <v>132</v>
      </c>
      <c r="I881" s="1" t="s">
        <v>17894</v>
      </c>
      <c r="J881" s="1" t="s">
        <v>132</v>
      </c>
      <c r="K881" s="1" t="s">
        <v>17895</v>
      </c>
      <c r="L881" s="1" t="s">
        <v>132</v>
      </c>
      <c r="M881" s="1" t="s">
        <v>17896</v>
      </c>
      <c r="N881" s="1" t="s">
        <v>17897</v>
      </c>
      <c r="O881" s="1" t="s">
        <v>132</v>
      </c>
      <c r="P881" s="1" t="s">
        <v>17898</v>
      </c>
      <c r="Q881" s="1" t="s">
        <v>17899</v>
      </c>
      <c r="R881" s="1" t="s">
        <v>132</v>
      </c>
      <c r="S881" s="1" t="s">
        <v>17900</v>
      </c>
      <c r="T881" s="1" t="s">
        <v>132</v>
      </c>
      <c r="U881" s="1" t="s">
        <v>17901</v>
      </c>
      <c r="V881" s="1" t="s">
        <v>17902</v>
      </c>
      <c r="W881" s="1" t="s">
        <v>132</v>
      </c>
      <c r="X881" s="1" t="s">
        <v>17903</v>
      </c>
      <c r="Y881" s="1" t="s">
        <v>132</v>
      </c>
      <c r="Z881" s="1" t="s">
        <v>17904</v>
      </c>
      <c r="AA881" s="1" t="s">
        <v>17905</v>
      </c>
      <c r="AB881" s="1" t="s">
        <v>132</v>
      </c>
      <c r="AC881" s="1" t="s">
        <v>17906</v>
      </c>
      <c r="AD881" s="1" t="s">
        <v>17907</v>
      </c>
      <c r="AE881" s="1" t="s">
        <v>132</v>
      </c>
      <c r="AF881" s="1" t="s">
        <v>17908</v>
      </c>
      <c r="AG881" s="1" t="s">
        <v>17909</v>
      </c>
      <c r="AH881" s="1" t="s">
        <v>132</v>
      </c>
      <c r="AI881" s="1" t="s">
        <v>132</v>
      </c>
      <c r="AJ881" s="1" t="s">
        <v>17911</v>
      </c>
      <c r="AK881" s="1" t="s">
        <v>17912</v>
      </c>
      <c r="AL881" s="1" t="s">
        <v>132</v>
      </c>
      <c r="AM881" s="1" t="s">
        <v>17913</v>
      </c>
      <c r="AN881" s="1" t="s">
        <v>17913</v>
      </c>
    </row>
    <row r="882" ht="15.75" customHeight="1">
      <c r="A882" s="1" t="s">
        <v>38</v>
      </c>
      <c r="B882" s="1" t="s">
        <v>17914</v>
      </c>
      <c r="C882" s="1" t="s">
        <v>17915</v>
      </c>
      <c r="D882" s="1" t="s">
        <v>132</v>
      </c>
      <c r="E882" s="1" t="s">
        <v>17916</v>
      </c>
      <c r="F882" s="1" t="s">
        <v>17917</v>
      </c>
      <c r="G882" s="1" t="s">
        <v>132</v>
      </c>
      <c r="H882" s="1" t="s">
        <v>132</v>
      </c>
      <c r="I882" s="1" t="s">
        <v>17918</v>
      </c>
      <c r="J882" s="1" t="s">
        <v>132</v>
      </c>
      <c r="K882" s="1" t="s">
        <v>17919</v>
      </c>
      <c r="L882" s="1" t="s">
        <v>132</v>
      </c>
      <c r="M882" s="1" t="s">
        <v>17920</v>
      </c>
      <c r="N882" s="1" t="s">
        <v>17921</v>
      </c>
      <c r="O882" s="1" t="s">
        <v>132</v>
      </c>
      <c r="P882" s="1" t="s">
        <v>17922</v>
      </c>
      <c r="Q882" s="1" t="s">
        <v>132</v>
      </c>
      <c r="R882" s="1" t="s">
        <v>132</v>
      </c>
      <c r="S882" s="1" t="s">
        <v>17923</v>
      </c>
      <c r="T882" s="1" t="s">
        <v>132</v>
      </c>
      <c r="U882" s="1" t="s">
        <v>17924</v>
      </c>
      <c r="V882" s="1" t="s">
        <v>17925</v>
      </c>
      <c r="W882" s="1" t="s">
        <v>132</v>
      </c>
      <c r="X882" s="1" t="s">
        <v>17926</v>
      </c>
      <c r="Y882" s="1" t="s">
        <v>132</v>
      </c>
      <c r="Z882" s="1" t="s">
        <v>17927</v>
      </c>
      <c r="AA882" s="1" t="s">
        <v>132</v>
      </c>
      <c r="AB882" s="1" t="s">
        <v>132</v>
      </c>
      <c r="AC882" s="1" t="s">
        <v>17928</v>
      </c>
      <c r="AD882" s="1" t="s">
        <v>132</v>
      </c>
      <c r="AE882" s="1" t="s">
        <v>132</v>
      </c>
      <c r="AF882" s="1" t="s">
        <v>17929</v>
      </c>
      <c r="AG882" s="1" t="s">
        <v>17930</v>
      </c>
      <c r="AH882" s="1" t="s">
        <v>132</v>
      </c>
      <c r="AI882" s="1" t="s">
        <v>132</v>
      </c>
      <c r="AJ882" s="1" t="s">
        <v>17931</v>
      </c>
      <c r="AK882" s="1" t="s">
        <v>132</v>
      </c>
      <c r="AL882" s="1" t="s">
        <v>132</v>
      </c>
      <c r="AM882" s="1" t="s">
        <v>17932</v>
      </c>
      <c r="AN882" s="1" t="s">
        <v>17932</v>
      </c>
    </row>
    <row r="883" ht="15.75" customHeight="1">
      <c r="A883" s="1" t="s">
        <v>127</v>
      </c>
      <c r="B883" s="1" t="s">
        <v>17933</v>
      </c>
      <c r="C883" s="1" t="s">
        <v>17934</v>
      </c>
      <c r="D883" s="8" t="s">
        <v>17935</v>
      </c>
      <c r="E883" s="1" t="s">
        <v>17936</v>
      </c>
      <c r="F883" s="1" t="s">
        <v>132</v>
      </c>
      <c r="G883" s="1" t="s">
        <v>17937</v>
      </c>
      <c r="H883" s="1" t="s">
        <v>17938</v>
      </c>
      <c r="I883" s="1" t="s">
        <v>17939</v>
      </c>
      <c r="J883" s="1" t="s">
        <v>17940</v>
      </c>
      <c r="K883" s="1" t="s">
        <v>17941</v>
      </c>
      <c r="L883" s="1" t="s">
        <v>17942</v>
      </c>
      <c r="M883" s="1" t="s">
        <v>17943</v>
      </c>
      <c r="N883" s="1" t="s">
        <v>132</v>
      </c>
      <c r="O883" s="1" t="s">
        <v>17944</v>
      </c>
      <c r="P883" s="1" t="s">
        <v>17945</v>
      </c>
      <c r="Q883" s="1" t="s">
        <v>132</v>
      </c>
      <c r="R883" s="1" t="s">
        <v>17946</v>
      </c>
      <c r="S883" s="1" t="s">
        <v>17947</v>
      </c>
      <c r="T883" s="8" t="s">
        <v>17948</v>
      </c>
      <c r="U883" s="1" t="s">
        <v>17949</v>
      </c>
      <c r="V883" s="1" t="s">
        <v>17950</v>
      </c>
      <c r="W883" s="1" t="s">
        <v>17946</v>
      </c>
      <c r="X883" s="1" t="s">
        <v>17951</v>
      </c>
      <c r="Y883" s="1" t="s">
        <v>17938</v>
      </c>
      <c r="Z883" s="1" t="s">
        <v>17952</v>
      </c>
      <c r="AA883" s="1" t="s">
        <v>17953</v>
      </c>
      <c r="AB883" s="1" t="s">
        <v>17954</v>
      </c>
      <c r="AC883" s="1" t="s">
        <v>17955</v>
      </c>
      <c r="AD883" s="1" t="s">
        <v>17956</v>
      </c>
      <c r="AE883" s="1" t="s">
        <v>17957</v>
      </c>
      <c r="AF883" s="1" t="s">
        <v>17958</v>
      </c>
      <c r="AG883" s="1" t="s">
        <v>17959</v>
      </c>
      <c r="AH883" s="1" t="s">
        <v>17960</v>
      </c>
      <c r="AI883" s="1" t="s">
        <v>17961</v>
      </c>
      <c r="AJ883" s="1" t="s">
        <v>132</v>
      </c>
      <c r="AK883" s="1" t="s">
        <v>17962</v>
      </c>
      <c r="AL883" s="1" t="s">
        <v>17963</v>
      </c>
      <c r="AM883" s="1" t="s">
        <v>17964</v>
      </c>
      <c r="AN883" s="1" t="s">
        <v>17964</v>
      </c>
    </row>
    <row r="884" ht="15.75" customHeight="1">
      <c r="A884" s="1" t="s">
        <v>38</v>
      </c>
      <c r="B884" s="1" t="s">
        <v>17965</v>
      </c>
      <c r="C884" s="1" t="s">
        <v>17966</v>
      </c>
      <c r="D884" s="1" t="s">
        <v>132</v>
      </c>
      <c r="E884" s="1" t="s">
        <v>17967</v>
      </c>
      <c r="F884" s="1" t="s">
        <v>132</v>
      </c>
      <c r="G884" s="1" t="s">
        <v>132</v>
      </c>
      <c r="H884" s="1" t="s">
        <v>132</v>
      </c>
      <c r="I884" s="1" t="s">
        <v>17968</v>
      </c>
      <c r="J884" s="1" t="s">
        <v>132</v>
      </c>
      <c r="K884" s="1" t="s">
        <v>17969</v>
      </c>
      <c r="L884" s="1" t="s">
        <v>132</v>
      </c>
      <c r="M884" s="1" t="s">
        <v>17970</v>
      </c>
      <c r="N884" s="1" t="s">
        <v>17971</v>
      </c>
      <c r="O884" s="1" t="s">
        <v>132</v>
      </c>
      <c r="P884" s="1" t="s">
        <v>17972</v>
      </c>
      <c r="Q884" s="1" t="s">
        <v>132</v>
      </c>
      <c r="R884" s="1" t="s">
        <v>132</v>
      </c>
      <c r="S884" s="1" t="s">
        <v>17973</v>
      </c>
      <c r="T884" s="1" t="s">
        <v>132</v>
      </c>
      <c r="U884" s="1" t="s">
        <v>132</v>
      </c>
      <c r="V884" s="1" t="s">
        <v>132</v>
      </c>
      <c r="W884" s="1" t="s">
        <v>132</v>
      </c>
      <c r="X884" s="1" t="s">
        <v>17974</v>
      </c>
      <c r="Y884" s="1" t="s">
        <v>132</v>
      </c>
      <c r="Z884" s="1" t="s">
        <v>17975</v>
      </c>
      <c r="AA884" s="1" t="s">
        <v>132</v>
      </c>
      <c r="AB884" s="1" t="s">
        <v>132</v>
      </c>
      <c r="AC884" s="1" t="s">
        <v>132</v>
      </c>
      <c r="AD884" s="1" t="s">
        <v>132</v>
      </c>
      <c r="AE884" s="1" t="s">
        <v>132</v>
      </c>
      <c r="AF884" s="1" t="s">
        <v>132</v>
      </c>
      <c r="AG884" s="1" t="s">
        <v>132</v>
      </c>
      <c r="AH884" s="1" t="s">
        <v>132</v>
      </c>
      <c r="AI884" s="1" t="s">
        <v>132</v>
      </c>
      <c r="AJ884" s="1" t="s">
        <v>132</v>
      </c>
      <c r="AK884" s="1" t="s">
        <v>132</v>
      </c>
      <c r="AL884" s="1" t="s">
        <v>132</v>
      </c>
      <c r="AM884" s="1" t="s">
        <v>132</v>
      </c>
      <c r="AN884" s="1" t="s">
        <v>132</v>
      </c>
    </row>
    <row r="885" ht="15.75" customHeight="1">
      <c r="A885" s="1" t="s">
        <v>43182</v>
      </c>
      <c r="B885" s="1" t="s">
        <v>43243</v>
      </c>
      <c r="C885" s="1" t="s">
        <v>43244</v>
      </c>
      <c r="D885" s="1" t="s">
        <v>132</v>
      </c>
      <c r="E885" s="1" t="s">
        <v>132</v>
      </c>
      <c r="F885" s="1" t="s">
        <v>132</v>
      </c>
      <c r="G885" s="1" t="s">
        <v>132</v>
      </c>
      <c r="H885" s="1" t="s">
        <v>132</v>
      </c>
      <c r="I885" s="1" t="s">
        <v>132</v>
      </c>
      <c r="J885" s="1" t="s">
        <v>132</v>
      </c>
      <c r="K885" s="1" t="s">
        <v>132</v>
      </c>
      <c r="L885" s="1" t="s">
        <v>132</v>
      </c>
      <c r="M885" s="1" t="s">
        <v>132</v>
      </c>
      <c r="N885" s="1" t="s">
        <v>132</v>
      </c>
      <c r="O885" s="1" t="s">
        <v>132</v>
      </c>
      <c r="P885" s="1" t="s">
        <v>132</v>
      </c>
      <c r="Q885" s="1" t="s">
        <v>132</v>
      </c>
      <c r="R885" s="1" t="s">
        <v>132</v>
      </c>
      <c r="S885" s="1" t="s">
        <v>132</v>
      </c>
      <c r="T885" s="1" t="s">
        <v>132</v>
      </c>
      <c r="U885" s="1" t="s">
        <v>132</v>
      </c>
      <c r="V885" s="1" t="s">
        <v>132</v>
      </c>
      <c r="W885" s="1" t="s">
        <v>132</v>
      </c>
      <c r="X885" s="1" t="s">
        <v>132</v>
      </c>
      <c r="Y885" s="1" t="s">
        <v>132</v>
      </c>
      <c r="Z885" s="1" t="s">
        <v>132</v>
      </c>
      <c r="AA885" s="1" t="s">
        <v>132</v>
      </c>
      <c r="AB885" s="1" t="s">
        <v>132</v>
      </c>
      <c r="AC885" s="1" t="s">
        <v>132</v>
      </c>
      <c r="AD885" s="1" t="s">
        <v>132</v>
      </c>
      <c r="AE885" s="1" t="s">
        <v>132</v>
      </c>
      <c r="AF885" s="1" t="s">
        <v>132</v>
      </c>
      <c r="AG885" s="1" t="s">
        <v>132</v>
      </c>
      <c r="AH885" s="1" t="s">
        <v>132</v>
      </c>
      <c r="AI885" s="1" t="s">
        <v>132</v>
      </c>
      <c r="AJ885" s="1" t="s">
        <v>132</v>
      </c>
      <c r="AK885" s="1" t="s">
        <v>132</v>
      </c>
      <c r="AL885" s="1" t="s">
        <v>132</v>
      </c>
      <c r="AM885" s="1" t="s">
        <v>132</v>
      </c>
      <c r="AN885" s="1" t="s">
        <v>132</v>
      </c>
    </row>
    <row r="886" ht="15.75" customHeight="1">
      <c r="A886" s="1" t="s">
        <v>127</v>
      </c>
      <c r="B886" s="1" t="s">
        <v>17976</v>
      </c>
      <c r="C886" s="1" t="s">
        <v>17977</v>
      </c>
      <c r="D886" s="8" t="s">
        <v>17978</v>
      </c>
      <c r="E886" s="1" t="s">
        <v>17979</v>
      </c>
      <c r="F886" s="1" t="s">
        <v>132</v>
      </c>
      <c r="G886" s="1" t="s">
        <v>17980</v>
      </c>
      <c r="H886" s="1" t="s">
        <v>17981</v>
      </c>
      <c r="I886" s="1" t="s">
        <v>17982</v>
      </c>
      <c r="J886" s="1" t="s">
        <v>17983</v>
      </c>
      <c r="K886" s="1" t="s">
        <v>17984</v>
      </c>
      <c r="L886" s="1" t="s">
        <v>17985</v>
      </c>
      <c r="M886" s="1" t="s">
        <v>17986</v>
      </c>
      <c r="N886" s="1" t="s">
        <v>132</v>
      </c>
      <c r="O886" s="1" t="s">
        <v>17987</v>
      </c>
      <c r="P886" s="1" t="s">
        <v>17988</v>
      </c>
      <c r="Q886" s="1" t="s">
        <v>132</v>
      </c>
      <c r="R886" s="1" t="s">
        <v>17989</v>
      </c>
      <c r="S886" s="1" t="s">
        <v>17990</v>
      </c>
      <c r="T886" s="8" t="s">
        <v>17991</v>
      </c>
      <c r="U886" s="1" t="s">
        <v>17992</v>
      </c>
      <c r="V886" s="1" t="s">
        <v>17993</v>
      </c>
      <c r="W886" s="1" t="s">
        <v>17994</v>
      </c>
      <c r="X886" s="1" t="s">
        <v>17995</v>
      </c>
      <c r="Y886" s="1" t="s">
        <v>17996</v>
      </c>
      <c r="Z886" s="1" t="s">
        <v>17997</v>
      </c>
      <c r="AA886" s="1" t="s">
        <v>17998</v>
      </c>
      <c r="AB886" s="1" t="s">
        <v>17999</v>
      </c>
      <c r="AC886" s="1" t="s">
        <v>18000</v>
      </c>
      <c r="AD886" s="1" t="s">
        <v>18001</v>
      </c>
      <c r="AE886" s="1" t="s">
        <v>18002</v>
      </c>
      <c r="AF886" s="1" t="s">
        <v>18003</v>
      </c>
      <c r="AG886" s="1" t="s">
        <v>18004</v>
      </c>
      <c r="AH886" s="1" t="s">
        <v>18005</v>
      </c>
      <c r="AI886" s="1" t="s">
        <v>18006</v>
      </c>
      <c r="AJ886" s="1" t="s">
        <v>132</v>
      </c>
      <c r="AK886" s="1" t="s">
        <v>18007</v>
      </c>
      <c r="AL886" s="1" t="s">
        <v>18008</v>
      </c>
      <c r="AM886" s="1" t="s">
        <v>18009</v>
      </c>
      <c r="AN886" s="1" t="s">
        <v>18009</v>
      </c>
    </row>
    <row r="887" ht="15.75" customHeight="1">
      <c r="A887" s="1" t="s">
        <v>38</v>
      </c>
      <c r="B887" s="1" t="s">
        <v>18010</v>
      </c>
      <c r="C887" s="1" t="s">
        <v>18011</v>
      </c>
      <c r="D887" s="8" t="s">
        <v>18012</v>
      </c>
      <c r="E887" s="1" t="s">
        <v>18013</v>
      </c>
      <c r="F887" s="1" t="s">
        <v>18014</v>
      </c>
      <c r="G887" s="1" t="s">
        <v>132</v>
      </c>
      <c r="H887" s="1" t="s">
        <v>132</v>
      </c>
      <c r="I887" s="1" t="s">
        <v>18017</v>
      </c>
      <c r="J887" s="1" t="s">
        <v>132</v>
      </c>
      <c r="K887" s="1" t="s">
        <v>18018</v>
      </c>
      <c r="L887" s="1" t="s">
        <v>132</v>
      </c>
      <c r="M887" s="1" t="s">
        <v>18020</v>
      </c>
      <c r="N887" s="1" t="s">
        <v>18021</v>
      </c>
      <c r="O887" s="1" t="s">
        <v>132</v>
      </c>
      <c r="P887" s="1" t="s">
        <v>18022</v>
      </c>
      <c r="Q887" s="1" t="s">
        <v>132</v>
      </c>
      <c r="R887" s="1" t="s">
        <v>132</v>
      </c>
      <c r="S887" s="1" t="s">
        <v>18023</v>
      </c>
      <c r="T887" s="1" t="s">
        <v>132</v>
      </c>
      <c r="U887" s="1" t="s">
        <v>18024</v>
      </c>
      <c r="V887" s="1" t="s">
        <v>18025</v>
      </c>
      <c r="W887" s="1" t="s">
        <v>132</v>
      </c>
      <c r="X887" s="1" t="s">
        <v>18026</v>
      </c>
      <c r="Y887" s="1" t="s">
        <v>132</v>
      </c>
      <c r="Z887" s="1" t="s">
        <v>18028</v>
      </c>
      <c r="AA887" s="1" t="s">
        <v>18021</v>
      </c>
      <c r="AB887" s="1" t="s">
        <v>132</v>
      </c>
      <c r="AC887" s="1" t="s">
        <v>18029</v>
      </c>
      <c r="AD887" s="1" t="s">
        <v>132</v>
      </c>
      <c r="AE887" s="1" t="s">
        <v>132</v>
      </c>
      <c r="AF887" s="1" t="s">
        <v>18030</v>
      </c>
      <c r="AG887" s="1" t="s">
        <v>18031</v>
      </c>
      <c r="AH887" s="1" t="s">
        <v>132</v>
      </c>
      <c r="AI887" s="1" t="s">
        <v>132</v>
      </c>
      <c r="AJ887" s="1" t="s">
        <v>18032</v>
      </c>
      <c r="AK887" s="1" t="s">
        <v>18033</v>
      </c>
      <c r="AL887" s="1" t="s">
        <v>132</v>
      </c>
      <c r="AM887" s="1" t="s">
        <v>18034</v>
      </c>
      <c r="AN887" s="1" t="s">
        <v>18034</v>
      </c>
    </row>
    <row r="888" ht="15.75" customHeight="1">
      <c r="A888" s="1" t="s">
        <v>38</v>
      </c>
      <c r="B888" s="1" t="s">
        <v>18035</v>
      </c>
      <c r="C888" s="1" t="s">
        <v>18036</v>
      </c>
      <c r="D888" s="1" t="s">
        <v>132</v>
      </c>
      <c r="E888" s="1" t="s">
        <v>132</v>
      </c>
      <c r="F888" s="1" t="s">
        <v>132</v>
      </c>
      <c r="G888" s="1" t="s">
        <v>132</v>
      </c>
      <c r="H888" s="1" t="s">
        <v>132</v>
      </c>
      <c r="I888" s="1" t="s">
        <v>18037</v>
      </c>
      <c r="J888" s="1" t="s">
        <v>132</v>
      </c>
      <c r="K888" s="1" t="s">
        <v>18038</v>
      </c>
      <c r="L888" s="1" t="s">
        <v>132</v>
      </c>
      <c r="M888" s="1" t="s">
        <v>18039</v>
      </c>
      <c r="N888" s="1" t="s">
        <v>132</v>
      </c>
      <c r="O888" s="1" t="s">
        <v>132</v>
      </c>
      <c r="P888" s="1" t="s">
        <v>18040</v>
      </c>
      <c r="Q888" s="1" t="s">
        <v>132</v>
      </c>
      <c r="R888" s="1" t="s">
        <v>132</v>
      </c>
      <c r="S888" s="1" t="s">
        <v>132</v>
      </c>
      <c r="T888" s="1" t="s">
        <v>132</v>
      </c>
      <c r="U888" s="1" t="s">
        <v>132</v>
      </c>
      <c r="V888" s="1" t="s">
        <v>132</v>
      </c>
      <c r="W888" s="1" t="s">
        <v>132</v>
      </c>
      <c r="X888" s="1" t="s">
        <v>132</v>
      </c>
      <c r="Y888" s="1" t="s">
        <v>132</v>
      </c>
      <c r="Z888" s="1" t="s">
        <v>132</v>
      </c>
      <c r="AA888" s="1" t="s">
        <v>132</v>
      </c>
      <c r="AB888" s="1" t="s">
        <v>132</v>
      </c>
      <c r="AC888" s="1" t="s">
        <v>18041</v>
      </c>
      <c r="AD888" s="1" t="s">
        <v>132</v>
      </c>
      <c r="AE888" s="1" t="s">
        <v>132</v>
      </c>
      <c r="AF888" s="1" t="s">
        <v>18042</v>
      </c>
      <c r="AG888" s="1" t="s">
        <v>132</v>
      </c>
      <c r="AH888" s="1" t="s">
        <v>132</v>
      </c>
      <c r="AI888" s="1" t="s">
        <v>132</v>
      </c>
      <c r="AJ888" s="1" t="s">
        <v>132</v>
      </c>
      <c r="AK888" s="1" t="s">
        <v>132</v>
      </c>
      <c r="AL888" s="1" t="s">
        <v>132</v>
      </c>
      <c r="AM888" s="1" t="s">
        <v>132</v>
      </c>
      <c r="AN888" s="1" t="s">
        <v>132</v>
      </c>
    </row>
    <row r="889" ht="15.75" customHeight="1">
      <c r="A889" s="1" t="s">
        <v>127</v>
      </c>
      <c r="B889" s="1" t="s">
        <v>18043</v>
      </c>
      <c r="C889" s="1" t="s">
        <v>18044</v>
      </c>
      <c r="D889" s="8" t="s">
        <v>18045</v>
      </c>
      <c r="E889" s="1" t="s">
        <v>18046</v>
      </c>
      <c r="F889" s="1" t="s">
        <v>132</v>
      </c>
      <c r="G889" s="1" t="s">
        <v>18047</v>
      </c>
      <c r="H889" s="1" t="s">
        <v>18048</v>
      </c>
      <c r="I889" s="1" t="s">
        <v>18049</v>
      </c>
      <c r="J889" s="1" t="s">
        <v>18050</v>
      </c>
      <c r="K889" s="1" t="s">
        <v>18051</v>
      </c>
      <c r="L889" s="1" t="s">
        <v>18052</v>
      </c>
      <c r="M889" s="1" t="s">
        <v>18053</v>
      </c>
      <c r="N889" s="1" t="s">
        <v>132</v>
      </c>
      <c r="O889" s="1" t="s">
        <v>18054</v>
      </c>
      <c r="P889" s="1" t="s">
        <v>18055</v>
      </c>
      <c r="Q889" s="1" t="s">
        <v>132</v>
      </c>
      <c r="R889" s="1" t="s">
        <v>18056</v>
      </c>
      <c r="S889" s="1" t="s">
        <v>18057</v>
      </c>
      <c r="T889" s="8" t="s">
        <v>18058</v>
      </c>
      <c r="U889" s="1" t="s">
        <v>18059</v>
      </c>
      <c r="V889" s="1" t="s">
        <v>18060</v>
      </c>
      <c r="W889" s="1" t="s">
        <v>18061</v>
      </c>
      <c r="X889" s="1" t="s">
        <v>18062</v>
      </c>
      <c r="Y889" s="1" t="s">
        <v>8796</v>
      </c>
      <c r="Z889" s="1" t="s">
        <v>18063</v>
      </c>
      <c r="AA889" s="1" t="s">
        <v>18064</v>
      </c>
      <c r="AB889" s="1" t="s">
        <v>18065</v>
      </c>
      <c r="AC889" s="1" t="s">
        <v>18066</v>
      </c>
      <c r="AD889" s="1" t="s">
        <v>18067</v>
      </c>
      <c r="AE889" s="1" t="s">
        <v>18068</v>
      </c>
      <c r="AF889" s="1" t="s">
        <v>18069</v>
      </c>
      <c r="AG889" s="1" t="s">
        <v>18070</v>
      </c>
      <c r="AH889" s="1" t="s">
        <v>18071</v>
      </c>
      <c r="AI889" s="1" t="s">
        <v>18072</v>
      </c>
      <c r="AJ889" s="1" t="s">
        <v>132</v>
      </c>
      <c r="AK889" s="1" t="s">
        <v>18073</v>
      </c>
      <c r="AL889" s="1" t="s">
        <v>18074</v>
      </c>
      <c r="AM889" s="1" t="s">
        <v>132</v>
      </c>
      <c r="AN889" s="1" t="s">
        <v>132</v>
      </c>
    </row>
    <row r="890" ht="15.75" customHeight="1">
      <c r="A890" s="1" t="s">
        <v>127</v>
      </c>
      <c r="B890" s="1" t="s">
        <v>18075</v>
      </c>
      <c r="C890" s="1" t="s">
        <v>11487</v>
      </c>
      <c r="D890" s="8" t="s">
        <v>18076</v>
      </c>
      <c r="E890" s="1" t="s">
        <v>11489</v>
      </c>
      <c r="F890" s="1" t="s">
        <v>132</v>
      </c>
      <c r="G890" s="1" t="s">
        <v>11490</v>
      </c>
      <c r="H890" s="1" t="s">
        <v>11491</v>
      </c>
      <c r="I890" s="1" t="s">
        <v>11492</v>
      </c>
      <c r="J890" s="1" t="s">
        <v>11493</v>
      </c>
      <c r="K890" s="1" t="s">
        <v>5107</v>
      </c>
      <c r="L890" s="1" t="s">
        <v>11494</v>
      </c>
      <c r="M890" s="1" t="s">
        <v>11495</v>
      </c>
      <c r="N890" s="1" t="s">
        <v>132</v>
      </c>
      <c r="O890" s="1" t="s">
        <v>11496</v>
      </c>
      <c r="P890" s="1" t="s">
        <v>18077</v>
      </c>
      <c r="Q890" s="1" t="s">
        <v>132</v>
      </c>
      <c r="R890" s="1" t="s">
        <v>18078</v>
      </c>
      <c r="S890" s="1" t="s">
        <v>18079</v>
      </c>
      <c r="T890" s="8" t="s">
        <v>11499</v>
      </c>
      <c r="U890" s="1" t="s">
        <v>18080</v>
      </c>
      <c r="V890" s="1" t="s">
        <v>18081</v>
      </c>
      <c r="W890" s="1" t="s">
        <v>18082</v>
      </c>
      <c r="X890" s="1" t="s">
        <v>18083</v>
      </c>
      <c r="Y890" s="1" t="s">
        <v>11503</v>
      </c>
      <c r="Z890" s="1" t="s">
        <v>5119</v>
      </c>
      <c r="AA890" s="1" t="s">
        <v>11504</v>
      </c>
      <c r="AB890" s="1" t="s">
        <v>11505</v>
      </c>
      <c r="AC890" s="1" t="s">
        <v>11506</v>
      </c>
      <c r="AD890" s="1" t="s">
        <v>11507</v>
      </c>
      <c r="AE890" s="1" t="s">
        <v>11508</v>
      </c>
      <c r="AF890" s="1" t="s">
        <v>5125</v>
      </c>
      <c r="AG890" s="1" t="s">
        <v>11509</v>
      </c>
      <c r="AH890" s="1" t="s">
        <v>11510</v>
      </c>
      <c r="AI890" s="1" t="s">
        <v>11511</v>
      </c>
      <c r="AJ890" s="1" t="s">
        <v>132</v>
      </c>
      <c r="AK890" s="1" t="s">
        <v>11512</v>
      </c>
      <c r="AL890" s="1" t="s">
        <v>18084</v>
      </c>
      <c r="AM890" s="1" t="s">
        <v>18085</v>
      </c>
      <c r="AN890" s="1" t="s">
        <v>18085</v>
      </c>
    </row>
    <row r="891" ht="15.75" customHeight="1">
      <c r="A891" s="1" t="s">
        <v>4051</v>
      </c>
      <c r="B891" s="1" t="s">
        <v>18086</v>
      </c>
      <c r="C891" s="1" t="s">
        <v>18087</v>
      </c>
      <c r="D891" s="8" t="s">
        <v>18088</v>
      </c>
      <c r="E891" s="1" t="s">
        <v>18089</v>
      </c>
      <c r="F891" s="1" t="s">
        <v>132</v>
      </c>
      <c r="G891" s="1" t="s">
        <v>18090</v>
      </c>
      <c r="H891" s="1" t="s">
        <v>18091</v>
      </c>
      <c r="I891" s="1" t="s">
        <v>132</v>
      </c>
      <c r="J891" s="1" t="s">
        <v>18092</v>
      </c>
      <c r="K891" s="1" t="s">
        <v>18093</v>
      </c>
      <c r="L891" s="1" t="s">
        <v>18094</v>
      </c>
      <c r="M891" s="1" t="s">
        <v>18095</v>
      </c>
      <c r="N891" s="1" t="s">
        <v>132</v>
      </c>
      <c r="O891" s="1" t="s">
        <v>18096</v>
      </c>
      <c r="P891" s="1" t="s">
        <v>18097</v>
      </c>
      <c r="Q891" s="1" t="s">
        <v>132</v>
      </c>
      <c r="R891" s="1" t="s">
        <v>18098</v>
      </c>
      <c r="S891" s="1" t="s">
        <v>18099</v>
      </c>
      <c r="T891" s="8" t="s">
        <v>18100</v>
      </c>
      <c r="U891" s="1" t="s">
        <v>18101</v>
      </c>
      <c r="V891" s="1" t="s">
        <v>18102</v>
      </c>
      <c r="W891" s="1" t="s">
        <v>18103</v>
      </c>
      <c r="X891" s="1" t="s">
        <v>18104</v>
      </c>
      <c r="Y891" s="1" t="s">
        <v>18105</v>
      </c>
      <c r="Z891" s="11" t="s">
        <v>18106</v>
      </c>
      <c r="AA891" s="1" t="s">
        <v>18107</v>
      </c>
      <c r="AB891" s="1" t="s">
        <v>18108</v>
      </c>
      <c r="AC891" s="1" t="s">
        <v>132</v>
      </c>
      <c r="AD891" s="1" t="s">
        <v>18109</v>
      </c>
      <c r="AE891" s="1" t="s">
        <v>18110</v>
      </c>
      <c r="AF891" s="1" t="s">
        <v>132</v>
      </c>
      <c r="AG891" s="1" t="s">
        <v>18111</v>
      </c>
      <c r="AH891" s="1" t="s">
        <v>18112</v>
      </c>
      <c r="AI891" s="1" t="s">
        <v>18113</v>
      </c>
      <c r="AJ891" s="1" t="s">
        <v>132</v>
      </c>
      <c r="AK891" s="1" t="s">
        <v>18114</v>
      </c>
      <c r="AL891" s="14" t="s">
        <v>18115</v>
      </c>
      <c r="AM891" s="1" t="s">
        <v>132</v>
      </c>
      <c r="AN891" s="1" t="s">
        <v>132</v>
      </c>
    </row>
    <row r="892" ht="15.75" customHeight="1">
      <c r="A892" s="1" t="s">
        <v>127</v>
      </c>
      <c r="B892" s="1" t="s">
        <v>18116</v>
      </c>
      <c r="C892" s="1" t="s">
        <v>18117</v>
      </c>
      <c r="D892" s="8" t="s">
        <v>18118</v>
      </c>
      <c r="E892" s="1" t="s">
        <v>18119</v>
      </c>
      <c r="F892" s="1" t="s">
        <v>132</v>
      </c>
      <c r="G892" s="1" t="s">
        <v>18120</v>
      </c>
      <c r="H892" s="1" t="s">
        <v>18121</v>
      </c>
      <c r="I892" s="1" t="s">
        <v>18122</v>
      </c>
      <c r="J892" s="1" t="s">
        <v>18123</v>
      </c>
      <c r="K892" s="1" t="s">
        <v>18124</v>
      </c>
      <c r="L892" s="1" t="s">
        <v>18125</v>
      </c>
      <c r="M892" s="1" t="s">
        <v>18126</v>
      </c>
      <c r="N892" s="1" t="s">
        <v>132</v>
      </c>
      <c r="O892" s="1" t="s">
        <v>18127</v>
      </c>
      <c r="P892" s="1" t="s">
        <v>18128</v>
      </c>
      <c r="Q892" s="1" t="s">
        <v>132</v>
      </c>
      <c r="R892" s="1" t="s">
        <v>18129</v>
      </c>
      <c r="S892" s="1" t="s">
        <v>18130</v>
      </c>
      <c r="T892" s="8" t="s">
        <v>18131</v>
      </c>
      <c r="U892" s="1" t="s">
        <v>18132</v>
      </c>
      <c r="V892" s="1" t="s">
        <v>18133</v>
      </c>
      <c r="W892" s="1" t="s">
        <v>18129</v>
      </c>
      <c r="X892" s="1" t="s">
        <v>18117</v>
      </c>
      <c r="Y892" s="1" t="s">
        <v>18134</v>
      </c>
      <c r="Z892" s="1" t="s">
        <v>18135</v>
      </c>
      <c r="AA892" s="1" t="s">
        <v>18136</v>
      </c>
      <c r="AB892" s="1" t="s">
        <v>18135</v>
      </c>
      <c r="AC892" s="1" t="s">
        <v>18137</v>
      </c>
      <c r="AD892" s="1" t="s">
        <v>18135</v>
      </c>
      <c r="AE892" s="1" t="s">
        <v>18138</v>
      </c>
      <c r="AF892" s="1" t="s">
        <v>18117</v>
      </c>
      <c r="AG892" s="1" t="s">
        <v>18122</v>
      </c>
      <c r="AH892" s="1" t="s">
        <v>18139</v>
      </c>
      <c r="AI892" s="1" t="s">
        <v>18140</v>
      </c>
      <c r="AJ892" s="1" t="s">
        <v>132</v>
      </c>
      <c r="AK892" s="1" t="s">
        <v>18141</v>
      </c>
      <c r="AL892" s="1" t="s">
        <v>18142</v>
      </c>
      <c r="AM892" s="1" t="s">
        <v>132</v>
      </c>
      <c r="AN892" s="1" t="s">
        <v>132</v>
      </c>
    </row>
    <row r="893" ht="15.75" customHeight="1">
      <c r="A893" s="1" t="s">
        <v>127</v>
      </c>
      <c r="B893" s="1" t="s">
        <v>18143</v>
      </c>
      <c r="C893" s="1" t="s">
        <v>18144</v>
      </c>
      <c r="D893" s="8" t="s">
        <v>18145</v>
      </c>
      <c r="E893" s="1" t="s">
        <v>18146</v>
      </c>
      <c r="F893" s="1" t="s">
        <v>132</v>
      </c>
      <c r="G893" s="1" t="s">
        <v>18147</v>
      </c>
      <c r="H893" s="1" t="s">
        <v>18148</v>
      </c>
      <c r="I893" s="1" t="s">
        <v>18144</v>
      </c>
      <c r="J893" s="1" t="s">
        <v>18144</v>
      </c>
      <c r="K893" s="1" t="s">
        <v>18144</v>
      </c>
      <c r="L893" s="1" t="s">
        <v>18149</v>
      </c>
      <c r="M893" s="1" t="s">
        <v>18150</v>
      </c>
      <c r="N893" s="1" t="s">
        <v>132</v>
      </c>
      <c r="O893" s="1" t="s">
        <v>18151</v>
      </c>
      <c r="P893" s="1" t="s">
        <v>18152</v>
      </c>
      <c r="Q893" s="1" t="s">
        <v>132</v>
      </c>
      <c r="R893" s="1" t="s">
        <v>18153</v>
      </c>
      <c r="S893" s="1" t="s">
        <v>18144</v>
      </c>
      <c r="T893" s="8" t="s">
        <v>18154</v>
      </c>
      <c r="U893" s="1" t="s">
        <v>18155</v>
      </c>
      <c r="V893" s="1" t="s">
        <v>18156</v>
      </c>
      <c r="W893" s="1" t="s">
        <v>18157</v>
      </c>
      <c r="X893" s="1" t="s">
        <v>18158</v>
      </c>
      <c r="Y893" s="1" t="s">
        <v>18159</v>
      </c>
      <c r="Z893" s="1" t="s">
        <v>18160</v>
      </c>
      <c r="AA893" s="1" t="s">
        <v>18144</v>
      </c>
      <c r="AB893" s="1" t="s">
        <v>18161</v>
      </c>
      <c r="AC893" s="1" t="s">
        <v>18162</v>
      </c>
      <c r="AD893" s="1" t="s">
        <v>18163</v>
      </c>
      <c r="AE893" s="1" t="s">
        <v>18144</v>
      </c>
      <c r="AF893" s="1" t="s">
        <v>18164</v>
      </c>
      <c r="AG893" s="1" t="s">
        <v>18144</v>
      </c>
      <c r="AH893" s="1" t="s">
        <v>18165</v>
      </c>
      <c r="AI893" s="1" t="s">
        <v>18166</v>
      </c>
      <c r="AJ893" s="1" t="s">
        <v>132</v>
      </c>
      <c r="AK893" s="1" t="s">
        <v>18167</v>
      </c>
      <c r="AL893" s="1" t="s">
        <v>18168</v>
      </c>
      <c r="AM893" s="1" t="s">
        <v>18169</v>
      </c>
      <c r="AN893" s="1" t="s">
        <v>18169</v>
      </c>
    </row>
    <row r="894" ht="15.75" customHeight="1">
      <c r="A894" s="1" t="s">
        <v>38</v>
      </c>
      <c r="B894" s="1" t="s">
        <v>18170</v>
      </c>
      <c r="C894" s="1" t="s">
        <v>18171</v>
      </c>
      <c r="D894" s="1" t="s">
        <v>132</v>
      </c>
      <c r="E894" s="1" t="s">
        <v>18172</v>
      </c>
      <c r="F894" s="1" t="s">
        <v>18173</v>
      </c>
      <c r="G894" s="1" t="s">
        <v>132</v>
      </c>
      <c r="H894" s="1" t="s">
        <v>132</v>
      </c>
      <c r="I894" s="1" t="s">
        <v>18174</v>
      </c>
      <c r="J894" s="1" t="s">
        <v>132</v>
      </c>
      <c r="K894" s="1" t="s">
        <v>18175</v>
      </c>
      <c r="L894" s="1" t="s">
        <v>132</v>
      </c>
      <c r="M894" s="1" t="s">
        <v>18176</v>
      </c>
      <c r="N894" s="1" t="s">
        <v>18177</v>
      </c>
      <c r="O894" s="1" t="s">
        <v>132</v>
      </c>
      <c r="P894" s="1" t="s">
        <v>18178</v>
      </c>
      <c r="Q894" s="1" t="s">
        <v>132</v>
      </c>
      <c r="R894" s="1" t="s">
        <v>132</v>
      </c>
      <c r="S894" s="1" t="s">
        <v>18179</v>
      </c>
      <c r="T894" s="1" t="s">
        <v>132</v>
      </c>
      <c r="U894" s="1" t="s">
        <v>18180</v>
      </c>
      <c r="V894" s="1" t="s">
        <v>132</v>
      </c>
      <c r="W894" s="1" t="s">
        <v>132</v>
      </c>
      <c r="X894" s="1" t="s">
        <v>18181</v>
      </c>
      <c r="Y894" s="1" t="s">
        <v>132</v>
      </c>
      <c r="Z894" s="1" t="s">
        <v>18182</v>
      </c>
      <c r="AA894" s="1" t="s">
        <v>132</v>
      </c>
      <c r="AB894" s="1" t="s">
        <v>132</v>
      </c>
      <c r="AC894" s="1" t="s">
        <v>18183</v>
      </c>
      <c r="AD894" s="1" t="s">
        <v>132</v>
      </c>
      <c r="AE894" s="1" t="s">
        <v>132</v>
      </c>
      <c r="AF894" s="1" t="s">
        <v>18184</v>
      </c>
      <c r="AG894" s="1" t="s">
        <v>132</v>
      </c>
      <c r="AH894" s="1" t="s">
        <v>132</v>
      </c>
      <c r="AI894" s="1" t="s">
        <v>132</v>
      </c>
      <c r="AJ894" s="1" t="s">
        <v>132</v>
      </c>
      <c r="AK894" s="1" t="s">
        <v>132</v>
      </c>
      <c r="AL894" s="1" t="s">
        <v>132</v>
      </c>
      <c r="AM894" s="1" t="s">
        <v>18185</v>
      </c>
      <c r="AN894" s="1" t="s">
        <v>18185</v>
      </c>
    </row>
    <row r="895" ht="15.75" customHeight="1">
      <c r="A895" s="1" t="s">
        <v>38</v>
      </c>
      <c r="B895" s="1" t="s">
        <v>18186</v>
      </c>
      <c r="C895" s="1" t="s">
        <v>18187</v>
      </c>
      <c r="D895" s="8" t="s">
        <v>18188</v>
      </c>
      <c r="E895" s="1" t="s">
        <v>18189</v>
      </c>
      <c r="F895" s="1" t="s">
        <v>18190</v>
      </c>
      <c r="G895" s="1" t="s">
        <v>132</v>
      </c>
      <c r="H895" s="1" t="s">
        <v>132</v>
      </c>
      <c r="I895" s="1" t="s">
        <v>18191</v>
      </c>
      <c r="J895" s="1" t="s">
        <v>132</v>
      </c>
      <c r="K895" s="1" t="s">
        <v>18187</v>
      </c>
      <c r="L895" s="1" t="s">
        <v>132</v>
      </c>
      <c r="M895" s="1" t="s">
        <v>18192</v>
      </c>
      <c r="N895" s="1" t="s">
        <v>18193</v>
      </c>
      <c r="O895" s="1" t="s">
        <v>132</v>
      </c>
      <c r="P895" s="1" t="s">
        <v>18194</v>
      </c>
      <c r="Q895" s="1" t="s">
        <v>132</v>
      </c>
      <c r="R895" s="1" t="s">
        <v>132</v>
      </c>
      <c r="S895" s="1" t="s">
        <v>18195</v>
      </c>
      <c r="T895" s="1" t="s">
        <v>132</v>
      </c>
      <c r="U895" s="1" t="s">
        <v>18196</v>
      </c>
      <c r="V895" s="1" t="s">
        <v>18197</v>
      </c>
      <c r="W895" s="1" t="s">
        <v>132</v>
      </c>
      <c r="X895" s="1" t="s">
        <v>18198</v>
      </c>
      <c r="Y895" s="1" t="s">
        <v>132</v>
      </c>
      <c r="Z895" s="1" t="s">
        <v>18199</v>
      </c>
      <c r="AA895" s="1" t="s">
        <v>18193</v>
      </c>
      <c r="AB895" s="1" t="s">
        <v>132</v>
      </c>
      <c r="AC895" s="1" t="s">
        <v>18200</v>
      </c>
      <c r="AD895" s="1" t="s">
        <v>132</v>
      </c>
      <c r="AE895" s="1" t="s">
        <v>132</v>
      </c>
      <c r="AF895" s="1" t="s">
        <v>18201</v>
      </c>
      <c r="AG895" s="1" t="s">
        <v>18202</v>
      </c>
      <c r="AH895" s="1" t="s">
        <v>132</v>
      </c>
      <c r="AI895" s="1" t="s">
        <v>132</v>
      </c>
      <c r="AJ895" s="1" t="s">
        <v>18203</v>
      </c>
      <c r="AK895" s="1" t="s">
        <v>18204</v>
      </c>
      <c r="AL895" s="1" t="s">
        <v>132</v>
      </c>
      <c r="AM895" s="1" t="s">
        <v>18205</v>
      </c>
      <c r="AN895" s="1" t="s">
        <v>18205</v>
      </c>
    </row>
    <row r="896" ht="15.75" customHeight="1">
      <c r="A896" s="1" t="s">
        <v>127</v>
      </c>
      <c r="B896" s="1" t="s">
        <v>18206</v>
      </c>
      <c r="C896" s="1" t="s">
        <v>18207</v>
      </c>
      <c r="D896" s="8" t="s">
        <v>18208</v>
      </c>
      <c r="E896" s="1" t="s">
        <v>18209</v>
      </c>
      <c r="F896" s="1" t="s">
        <v>132</v>
      </c>
      <c r="G896" s="1" t="s">
        <v>18210</v>
      </c>
      <c r="H896" s="1" t="s">
        <v>18211</v>
      </c>
      <c r="I896" s="1" t="s">
        <v>18212</v>
      </c>
      <c r="J896" s="1" t="s">
        <v>18213</v>
      </c>
      <c r="K896" s="1" t="s">
        <v>18214</v>
      </c>
      <c r="L896" s="1" t="s">
        <v>18215</v>
      </c>
      <c r="M896" s="1" t="s">
        <v>18216</v>
      </c>
      <c r="N896" s="1" t="s">
        <v>132</v>
      </c>
      <c r="O896" s="1" t="s">
        <v>18217</v>
      </c>
      <c r="P896" s="1" t="s">
        <v>18218</v>
      </c>
      <c r="Q896" s="1" t="s">
        <v>132</v>
      </c>
      <c r="R896" s="1" t="s">
        <v>18219</v>
      </c>
      <c r="S896" s="1" t="s">
        <v>18220</v>
      </c>
      <c r="T896" s="8" t="s">
        <v>18221</v>
      </c>
      <c r="U896" s="1" t="s">
        <v>18222</v>
      </c>
      <c r="V896" s="1" t="s">
        <v>18223</v>
      </c>
      <c r="W896" s="1" t="s">
        <v>18219</v>
      </c>
      <c r="X896" s="1" t="s">
        <v>18224</v>
      </c>
      <c r="Y896" s="1" t="s">
        <v>18225</v>
      </c>
      <c r="Z896" s="1" t="s">
        <v>18226</v>
      </c>
      <c r="AA896" s="1" t="s">
        <v>18227</v>
      </c>
      <c r="AB896" s="1" t="s">
        <v>18228</v>
      </c>
      <c r="AC896" s="1" t="s">
        <v>18229</v>
      </c>
      <c r="AD896" s="1" t="s">
        <v>18230</v>
      </c>
      <c r="AE896" s="1" t="s">
        <v>18231</v>
      </c>
      <c r="AF896" s="1" t="s">
        <v>18232</v>
      </c>
      <c r="AG896" s="1" t="s">
        <v>18233</v>
      </c>
      <c r="AH896" s="1" t="s">
        <v>18234</v>
      </c>
      <c r="AI896" s="1" t="s">
        <v>18235</v>
      </c>
      <c r="AJ896" s="1" t="s">
        <v>132</v>
      </c>
      <c r="AK896" s="1" t="s">
        <v>18236</v>
      </c>
      <c r="AL896" s="1" t="s">
        <v>18237</v>
      </c>
      <c r="AM896" s="1" t="s">
        <v>132</v>
      </c>
      <c r="AN896" s="1" t="s">
        <v>132</v>
      </c>
    </row>
    <row r="897" ht="15.75" customHeight="1">
      <c r="A897" s="1" t="s">
        <v>127</v>
      </c>
      <c r="B897" s="1" t="s">
        <v>18238</v>
      </c>
      <c r="C897" s="1" t="s">
        <v>18239</v>
      </c>
      <c r="D897" s="1" t="s">
        <v>132</v>
      </c>
      <c r="E897" s="1" t="s">
        <v>18240</v>
      </c>
      <c r="F897" s="1" t="s">
        <v>18241</v>
      </c>
      <c r="G897" s="1" t="s">
        <v>132</v>
      </c>
      <c r="H897" s="1" t="s">
        <v>18242</v>
      </c>
      <c r="I897" s="1" t="s">
        <v>18243</v>
      </c>
      <c r="J897" s="1" t="s">
        <v>132</v>
      </c>
      <c r="K897" s="1" t="s">
        <v>18241</v>
      </c>
      <c r="L897" s="1" t="s">
        <v>18244</v>
      </c>
      <c r="M897" s="1" t="s">
        <v>18245</v>
      </c>
      <c r="N897" s="1" t="s">
        <v>18241</v>
      </c>
      <c r="O897" s="1" t="s">
        <v>132</v>
      </c>
      <c r="P897" s="1" t="s">
        <v>18246</v>
      </c>
      <c r="Q897" s="1" t="s">
        <v>132</v>
      </c>
      <c r="R897" s="1" t="s">
        <v>18247</v>
      </c>
      <c r="S897" s="1" t="s">
        <v>18248</v>
      </c>
      <c r="T897" s="1" t="s">
        <v>132</v>
      </c>
      <c r="U897" s="1" t="s">
        <v>18249</v>
      </c>
      <c r="V897" s="1" t="s">
        <v>5435</v>
      </c>
      <c r="W897" s="1" t="s">
        <v>18250</v>
      </c>
      <c r="X897" s="1" t="s">
        <v>18251</v>
      </c>
      <c r="Y897" s="1" t="s">
        <v>18242</v>
      </c>
      <c r="Z897" s="1" t="s">
        <v>18252</v>
      </c>
      <c r="AA897" s="1" t="s">
        <v>18253</v>
      </c>
      <c r="AB897" s="1" t="s">
        <v>132</v>
      </c>
      <c r="AC897" s="1" t="s">
        <v>18254</v>
      </c>
      <c r="AD897" s="1" t="s">
        <v>132</v>
      </c>
      <c r="AE897" s="1" t="s">
        <v>132</v>
      </c>
      <c r="AF897" s="1" t="s">
        <v>18255</v>
      </c>
      <c r="AG897" s="1" t="s">
        <v>18256</v>
      </c>
      <c r="AH897" s="1" t="s">
        <v>132</v>
      </c>
      <c r="AI897" s="1" t="s">
        <v>18257</v>
      </c>
      <c r="AJ897" s="1" t="s">
        <v>132</v>
      </c>
      <c r="AK897" s="1" t="s">
        <v>132</v>
      </c>
      <c r="AL897" s="1" t="s">
        <v>18258</v>
      </c>
      <c r="AM897" s="1" t="s">
        <v>132</v>
      </c>
      <c r="AN897" s="1" t="s">
        <v>132</v>
      </c>
    </row>
    <row r="898" ht="15.75" customHeight="1">
      <c r="A898" s="1" t="s">
        <v>38</v>
      </c>
      <c r="B898" s="1" t="s">
        <v>18259</v>
      </c>
      <c r="C898" s="1" t="s">
        <v>18260</v>
      </c>
      <c r="D898" s="8" t="s">
        <v>18261</v>
      </c>
      <c r="E898" s="1" t="s">
        <v>18262</v>
      </c>
      <c r="F898" s="1" t="s">
        <v>18263</v>
      </c>
      <c r="G898" s="1" t="s">
        <v>132</v>
      </c>
      <c r="H898" s="1" t="s">
        <v>132</v>
      </c>
      <c r="I898" s="1" t="s">
        <v>18264</v>
      </c>
      <c r="J898" s="1" t="s">
        <v>132</v>
      </c>
      <c r="K898" s="1" t="s">
        <v>18265</v>
      </c>
      <c r="L898" s="1" t="s">
        <v>132</v>
      </c>
      <c r="M898" s="1" t="s">
        <v>10640</v>
      </c>
      <c r="N898" s="1" t="s">
        <v>18265</v>
      </c>
      <c r="O898" s="1" t="s">
        <v>132</v>
      </c>
      <c r="P898" s="1" t="s">
        <v>18266</v>
      </c>
      <c r="Q898" s="1" t="s">
        <v>18267</v>
      </c>
      <c r="R898" s="1" t="s">
        <v>132</v>
      </c>
      <c r="S898" s="1" t="s">
        <v>18268</v>
      </c>
      <c r="T898" s="1" t="s">
        <v>132</v>
      </c>
      <c r="U898" s="1" t="s">
        <v>117</v>
      </c>
      <c r="V898" s="1" t="s">
        <v>18269</v>
      </c>
      <c r="W898" s="1" t="s">
        <v>132</v>
      </c>
      <c r="X898" s="1" t="s">
        <v>18270</v>
      </c>
      <c r="Y898" s="1" t="s">
        <v>132</v>
      </c>
      <c r="Z898" s="1" t="s">
        <v>18271</v>
      </c>
      <c r="AA898" s="1" t="s">
        <v>18265</v>
      </c>
      <c r="AB898" s="1" t="s">
        <v>132</v>
      </c>
      <c r="AC898" s="1" t="s">
        <v>18272</v>
      </c>
      <c r="AD898" s="1" t="s">
        <v>18273</v>
      </c>
      <c r="AE898" s="1" t="s">
        <v>132</v>
      </c>
      <c r="AF898" s="1" t="s">
        <v>18274</v>
      </c>
      <c r="AG898" s="1" t="s">
        <v>18275</v>
      </c>
      <c r="AH898" s="1" t="s">
        <v>132</v>
      </c>
      <c r="AI898" s="1" t="s">
        <v>132</v>
      </c>
      <c r="AJ898" s="1" t="s">
        <v>18276</v>
      </c>
      <c r="AK898" s="1" t="s">
        <v>18277</v>
      </c>
      <c r="AL898" s="1" t="s">
        <v>132</v>
      </c>
      <c r="AM898" s="1" t="s">
        <v>126</v>
      </c>
      <c r="AN898" s="1" t="s">
        <v>126</v>
      </c>
    </row>
    <row r="899" ht="15.75" customHeight="1">
      <c r="A899" s="1" t="s">
        <v>127</v>
      </c>
      <c r="B899" s="1" t="s">
        <v>18278</v>
      </c>
      <c r="C899" s="1" t="s">
        <v>18279</v>
      </c>
      <c r="D899" s="8" t="s">
        <v>18280</v>
      </c>
      <c r="E899" s="1" t="s">
        <v>18281</v>
      </c>
      <c r="F899" s="1" t="s">
        <v>132</v>
      </c>
      <c r="G899" s="1" t="s">
        <v>18282</v>
      </c>
      <c r="H899" s="1" t="s">
        <v>18283</v>
      </c>
      <c r="I899" s="1" t="s">
        <v>18284</v>
      </c>
      <c r="J899" s="1" t="s">
        <v>18285</v>
      </c>
      <c r="K899" s="1" t="s">
        <v>18286</v>
      </c>
      <c r="L899" s="1" t="s">
        <v>18287</v>
      </c>
      <c r="M899" s="1" t="s">
        <v>18288</v>
      </c>
      <c r="N899" s="1" t="s">
        <v>132</v>
      </c>
      <c r="O899" s="1" t="s">
        <v>18289</v>
      </c>
      <c r="P899" s="1" t="s">
        <v>18290</v>
      </c>
      <c r="Q899" s="1" t="s">
        <v>132</v>
      </c>
      <c r="R899" s="1" t="s">
        <v>18291</v>
      </c>
      <c r="S899" s="1" t="s">
        <v>18292</v>
      </c>
      <c r="T899" s="8" t="s">
        <v>18293</v>
      </c>
      <c r="U899" s="1" t="s">
        <v>18294</v>
      </c>
      <c r="V899" s="1" t="s">
        <v>18295</v>
      </c>
      <c r="W899" s="1" t="s">
        <v>18291</v>
      </c>
      <c r="X899" s="1" t="s">
        <v>18296</v>
      </c>
      <c r="Y899" s="1" t="s">
        <v>18297</v>
      </c>
      <c r="Z899" s="1" t="s">
        <v>18298</v>
      </c>
      <c r="AA899" s="1" t="s">
        <v>18299</v>
      </c>
      <c r="AB899" s="1" t="s">
        <v>18300</v>
      </c>
      <c r="AC899" s="1" t="s">
        <v>18301</v>
      </c>
      <c r="AD899" s="1" t="s">
        <v>18302</v>
      </c>
      <c r="AE899" s="1" t="s">
        <v>18303</v>
      </c>
      <c r="AF899" s="1" t="s">
        <v>18304</v>
      </c>
      <c r="AG899" s="1" t="s">
        <v>18283</v>
      </c>
      <c r="AH899" s="1" t="s">
        <v>18305</v>
      </c>
      <c r="AI899" s="1" t="s">
        <v>18306</v>
      </c>
      <c r="AJ899" s="1" t="s">
        <v>132</v>
      </c>
      <c r="AK899" s="1" t="s">
        <v>18307</v>
      </c>
      <c r="AL899" s="1" t="s">
        <v>18308</v>
      </c>
      <c r="AM899" s="1" t="s">
        <v>132</v>
      </c>
      <c r="AN899" s="1" t="s">
        <v>132</v>
      </c>
    </row>
    <row r="900" ht="15.75" customHeight="1">
      <c r="A900" s="1" t="s">
        <v>127</v>
      </c>
      <c r="B900" s="1" t="s">
        <v>18309</v>
      </c>
      <c r="C900" s="1" t="s">
        <v>18310</v>
      </c>
      <c r="D900" s="8" t="s">
        <v>18311</v>
      </c>
      <c r="E900" s="1" t="s">
        <v>18312</v>
      </c>
      <c r="F900" s="1" t="s">
        <v>132</v>
      </c>
      <c r="G900" s="1" t="s">
        <v>18313</v>
      </c>
      <c r="H900" s="1" t="s">
        <v>18314</v>
      </c>
      <c r="I900" s="1" t="s">
        <v>18315</v>
      </c>
      <c r="J900" s="1" t="s">
        <v>18316</v>
      </c>
      <c r="K900" s="1" t="s">
        <v>18317</v>
      </c>
      <c r="L900" s="1" t="s">
        <v>18318</v>
      </c>
      <c r="M900" s="1" t="s">
        <v>18319</v>
      </c>
      <c r="N900" s="1" t="s">
        <v>132</v>
      </c>
      <c r="O900" s="1" t="s">
        <v>18320</v>
      </c>
      <c r="P900" s="1" t="s">
        <v>18321</v>
      </c>
      <c r="Q900" s="1" t="s">
        <v>132</v>
      </c>
      <c r="R900" s="1" t="s">
        <v>18322</v>
      </c>
      <c r="S900" s="1" t="s">
        <v>18323</v>
      </c>
      <c r="T900" s="8" t="s">
        <v>18324</v>
      </c>
      <c r="U900" s="1" t="s">
        <v>18325</v>
      </c>
      <c r="V900" s="1" t="s">
        <v>18326</v>
      </c>
      <c r="W900" s="1" t="s">
        <v>18322</v>
      </c>
      <c r="X900" s="1" t="s">
        <v>18327</v>
      </c>
      <c r="Y900" s="1" t="s">
        <v>18328</v>
      </c>
      <c r="Z900" s="1" t="s">
        <v>18329</v>
      </c>
      <c r="AA900" s="1" t="s">
        <v>18330</v>
      </c>
      <c r="AB900" s="1" t="s">
        <v>18331</v>
      </c>
      <c r="AC900" s="1" t="s">
        <v>18332</v>
      </c>
      <c r="AD900" s="1" t="s">
        <v>18333</v>
      </c>
      <c r="AE900" s="1" t="s">
        <v>18334</v>
      </c>
      <c r="AF900" s="1" t="s">
        <v>18335</v>
      </c>
      <c r="AG900" s="1" t="s">
        <v>18336</v>
      </c>
      <c r="AH900" s="1" t="s">
        <v>18337</v>
      </c>
      <c r="AI900" s="1" t="s">
        <v>18338</v>
      </c>
      <c r="AJ900" s="1" t="s">
        <v>132</v>
      </c>
      <c r="AK900" s="1" t="s">
        <v>18339</v>
      </c>
      <c r="AL900" s="1" t="s">
        <v>18340</v>
      </c>
      <c r="AM900" s="1" t="s">
        <v>18341</v>
      </c>
      <c r="AN900" s="1" t="s">
        <v>18341</v>
      </c>
    </row>
    <row r="901" ht="15.75" customHeight="1">
      <c r="A901" s="1" t="s">
        <v>127</v>
      </c>
      <c r="B901" s="1" t="s">
        <v>18342</v>
      </c>
      <c r="C901" s="1" t="s">
        <v>18343</v>
      </c>
      <c r="D901" s="8" t="s">
        <v>18344</v>
      </c>
      <c r="E901" s="1" t="s">
        <v>18345</v>
      </c>
      <c r="F901" s="1" t="s">
        <v>132</v>
      </c>
      <c r="G901" s="1" t="s">
        <v>18346</v>
      </c>
      <c r="H901" s="1" t="s">
        <v>18347</v>
      </c>
      <c r="I901" s="1" t="s">
        <v>18348</v>
      </c>
      <c r="J901" s="1" t="s">
        <v>18349</v>
      </c>
      <c r="K901" s="1" t="s">
        <v>18350</v>
      </c>
      <c r="L901" s="1" t="s">
        <v>18351</v>
      </c>
      <c r="M901" s="1" t="s">
        <v>18352</v>
      </c>
      <c r="N901" s="1" t="s">
        <v>132</v>
      </c>
      <c r="O901" s="1" t="s">
        <v>18353</v>
      </c>
      <c r="P901" s="1" t="s">
        <v>18354</v>
      </c>
      <c r="Q901" s="1" t="s">
        <v>132</v>
      </c>
      <c r="R901" s="1" t="s">
        <v>18355</v>
      </c>
      <c r="S901" s="1" t="s">
        <v>18356</v>
      </c>
      <c r="T901" s="8" t="s">
        <v>18357</v>
      </c>
      <c r="U901" s="1" t="s">
        <v>18358</v>
      </c>
      <c r="V901" s="1" t="s">
        <v>18359</v>
      </c>
      <c r="W901" s="1" t="s">
        <v>18355</v>
      </c>
      <c r="X901" s="1" t="s">
        <v>18360</v>
      </c>
      <c r="Y901" s="1" t="s">
        <v>18347</v>
      </c>
      <c r="Z901" s="1" t="s">
        <v>18361</v>
      </c>
      <c r="AA901" s="1" t="s">
        <v>18362</v>
      </c>
      <c r="AB901" s="1" t="s">
        <v>18363</v>
      </c>
      <c r="AC901" s="1" t="s">
        <v>18364</v>
      </c>
      <c r="AD901" s="1" t="s">
        <v>18365</v>
      </c>
      <c r="AE901" s="1" t="s">
        <v>18366</v>
      </c>
      <c r="AF901" s="1" t="s">
        <v>18367</v>
      </c>
      <c r="AG901" s="1" t="s">
        <v>18368</v>
      </c>
      <c r="AH901" s="1" t="s">
        <v>18369</v>
      </c>
      <c r="AI901" s="1" t="s">
        <v>18370</v>
      </c>
      <c r="AJ901" s="1" t="s">
        <v>132</v>
      </c>
      <c r="AK901" s="1" t="s">
        <v>18371</v>
      </c>
      <c r="AL901" s="1" t="s">
        <v>18372</v>
      </c>
      <c r="AM901" s="1" t="s">
        <v>18373</v>
      </c>
      <c r="AN901" s="1" t="s">
        <v>18373</v>
      </c>
    </row>
    <row r="902" ht="15.75" customHeight="1">
      <c r="A902" s="13" t="s">
        <v>127</v>
      </c>
      <c r="B902" s="1" t="s">
        <v>18374</v>
      </c>
      <c r="C902" s="1" t="s">
        <v>18375</v>
      </c>
      <c r="D902" s="1" t="s">
        <v>132</v>
      </c>
      <c r="E902" s="1" t="s">
        <v>132</v>
      </c>
      <c r="F902" s="1" t="s">
        <v>132</v>
      </c>
      <c r="G902" s="1" t="s">
        <v>132</v>
      </c>
      <c r="H902" s="1" t="s">
        <v>18376</v>
      </c>
      <c r="I902" s="1" t="s">
        <v>18377</v>
      </c>
      <c r="J902" s="1" t="s">
        <v>132</v>
      </c>
      <c r="K902" s="1" t="s">
        <v>18378</v>
      </c>
      <c r="L902" s="1" t="s">
        <v>18379</v>
      </c>
      <c r="M902" s="1" t="s">
        <v>18380</v>
      </c>
      <c r="N902" s="1" t="s">
        <v>132</v>
      </c>
      <c r="O902" s="1" t="s">
        <v>132</v>
      </c>
      <c r="P902" s="1" t="s">
        <v>18381</v>
      </c>
      <c r="Q902" s="1" t="s">
        <v>132</v>
      </c>
      <c r="R902" s="1" t="s">
        <v>18382</v>
      </c>
      <c r="S902" s="1" t="s">
        <v>18383</v>
      </c>
      <c r="T902" s="1" t="s">
        <v>132</v>
      </c>
      <c r="U902" s="1" t="s">
        <v>18384</v>
      </c>
      <c r="V902" s="1" t="s">
        <v>18385</v>
      </c>
      <c r="W902" s="1" t="s">
        <v>18386</v>
      </c>
      <c r="X902" s="1" t="s">
        <v>18387</v>
      </c>
      <c r="Y902" s="1" t="s">
        <v>18388</v>
      </c>
      <c r="Z902" s="1" t="s">
        <v>18389</v>
      </c>
      <c r="AA902" s="1" t="s">
        <v>18390</v>
      </c>
      <c r="AB902" s="1" t="s">
        <v>132</v>
      </c>
      <c r="AC902" s="1" t="s">
        <v>18391</v>
      </c>
      <c r="AD902" s="1" t="s">
        <v>132</v>
      </c>
      <c r="AE902" s="1" t="s">
        <v>132</v>
      </c>
      <c r="AF902" s="1" t="s">
        <v>132</v>
      </c>
      <c r="AG902" s="1" t="s">
        <v>18392</v>
      </c>
      <c r="AH902" s="1" t="s">
        <v>132</v>
      </c>
      <c r="AI902" s="1" t="s">
        <v>18393</v>
      </c>
      <c r="AJ902" s="1" t="s">
        <v>132</v>
      </c>
      <c r="AK902" s="1" t="s">
        <v>132</v>
      </c>
      <c r="AL902" s="1" t="s">
        <v>18394</v>
      </c>
      <c r="AM902" s="1" t="s">
        <v>132</v>
      </c>
      <c r="AN902" s="1" t="s">
        <v>132</v>
      </c>
    </row>
    <row r="903" ht="15.75" customHeight="1">
      <c r="A903" s="1" t="s">
        <v>38</v>
      </c>
      <c r="B903" s="1" t="s">
        <v>18395</v>
      </c>
      <c r="C903" s="1" t="s">
        <v>18396</v>
      </c>
      <c r="D903" s="8" t="s">
        <v>18397</v>
      </c>
      <c r="E903" s="1" t="s">
        <v>18398</v>
      </c>
      <c r="F903" s="1" t="s">
        <v>18399</v>
      </c>
      <c r="G903" s="1" t="s">
        <v>132</v>
      </c>
      <c r="H903" s="1" t="s">
        <v>132</v>
      </c>
      <c r="I903" s="1" t="s">
        <v>18400</v>
      </c>
      <c r="J903" s="1" t="s">
        <v>132</v>
      </c>
      <c r="K903" s="1" t="s">
        <v>18401</v>
      </c>
      <c r="L903" s="1" t="s">
        <v>132</v>
      </c>
      <c r="M903" s="1" t="s">
        <v>18402</v>
      </c>
      <c r="N903" s="1" t="s">
        <v>18403</v>
      </c>
      <c r="O903" s="1" t="s">
        <v>132</v>
      </c>
      <c r="P903" s="1" t="s">
        <v>18404</v>
      </c>
      <c r="Q903" s="1" t="s">
        <v>132</v>
      </c>
      <c r="R903" s="1" t="s">
        <v>132</v>
      </c>
      <c r="S903" s="1" t="s">
        <v>18405</v>
      </c>
      <c r="T903" s="1" t="s">
        <v>132</v>
      </c>
      <c r="U903" s="1" t="s">
        <v>18406</v>
      </c>
      <c r="V903" s="1" t="s">
        <v>18407</v>
      </c>
      <c r="W903" s="1" t="s">
        <v>132</v>
      </c>
      <c r="X903" s="1" t="s">
        <v>18408</v>
      </c>
      <c r="Y903" s="1" t="s">
        <v>132</v>
      </c>
      <c r="Z903" s="1" t="s">
        <v>18409</v>
      </c>
      <c r="AA903" s="1" t="s">
        <v>18410</v>
      </c>
      <c r="AB903" s="1" t="s">
        <v>132</v>
      </c>
      <c r="AC903" s="1" t="s">
        <v>18411</v>
      </c>
      <c r="AD903" s="1" t="s">
        <v>132</v>
      </c>
      <c r="AE903" s="1" t="s">
        <v>132</v>
      </c>
      <c r="AF903" s="1" t="s">
        <v>18412</v>
      </c>
      <c r="AG903" s="1" t="s">
        <v>18413</v>
      </c>
      <c r="AH903" s="1" t="s">
        <v>132</v>
      </c>
      <c r="AI903" s="1" t="s">
        <v>132</v>
      </c>
      <c r="AJ903" s="1" t="s">
        <v>18414</v>
      </c>
      <c r="AK903" s="1" t="s">
        <v>18415</v>
      </c>
      <c r="AL903" s="1" t="s">
        <v>132</v>
      </c>
      <c r="AM903" s="1" t="s">
        <v>18416</v>
      </c>
      <c r="AN903" s="1" t="s">
        <v>18416</v>
      </c>
    </row>
    <row r="904" ht="15.75" customHeight="1">
      <c r="A904" s="1" t="s">
        <v>38</v>
      </c>
      <c r="B904" s="1" t="s">
        <v>18417</v>
      </c>
      <c r="C904" s="1" t="s">
        <v>18418</v>
      </c>
      <c r="D904" s="8" t="s">
        <v>18419</v>
      </c>
      <c r="E904" s="1" t="s">
        <v>18420</v>
      </c>
      <c r="F904" s="1" t="s">
        <v>18421</v>
      </c>
      <c r="G904" s="1" t="s">
        <v>132</v>
      </c>
      <c r="H904" s="1" t="s">
        <v>132</v>
      </c>
      <c r="I904" s="1" t="s">
        <v>18422</v>
      </c>
      <c r="J904" s="1" t="s">
        <v>132</v>
      </c>
      <c r="K904" s="1" t="s">
        <v>18423</v>
      </c>
      <c r="L904" s="1" t="s">
        <v>132</v>
      </c>
      <c r="M904" s="1" t="s">
        <v>18424</v>
      </c>
      <c r="N904" s="1" t="s">
        <v>18425</v>
      </c>
      <c r="O904" s="1" t="s">
        <v>132</v>
      </c>
      <c r="P904" s="1" t="s">
        <v>18426</v>
      </c>
      <c r="Q904" s="1" t="s">
        <v>18427</v>
      </c>
      <c r="R904" s="1" t="s">
        <v>132</v>
      </c>
      <c r="S904" s="1" t="s">
        <v>18428</v>
      </c>
      <c r="T904" s="1" t="s">
        <v>132</v>
      </c>
      <c r="U904" s="1" t="s">
        <v>18429</v>
      </c>
      <c r="V904" s="1" t="s">
        <v>18430</v>
      </c>
      <c r="W904" s="1" t="s">
        <v>132</v>
      </c>
      <c r="X904" s="1" t="s">
        <v>18431</v>
      </c>
      <c r="Y904" s="1" t="s">
        <v>132</v>
      </c>
      <c r="Z904" s="1" t="s">
        <v>18432</v>
      </c>
      <c r="AA904" s="1" t="s">
        <v>18433</v>
      </c>
      <c r="AB904" s="1" t="s">
        <v>132</v>
      </c>
      <c r="AC904" s="1" t="s">
        <v>18434</v>
      </c>
      <c r="AD904" s="1" t="s">
        <v>18435</v>
      </c>
      <c r="AE904" s="1" t="s">
        <v>132</v>
      </c>
      <c r="AF904" s="1" t="s">
        <v>18436</v>
      </c>
      <c r="AG904" s="1" t="s">
        <v>18437</v>
      </c>
      <c r="AH904" s="1" t="s">
        <v>132</v>
      </c>
      <c r="AI904" s="1" t="s">
        <v>132</v>
      </c>
      <c r="AJ904" s="1" t="s">
        <v>18438</v>
      </c>
      <c r="AK904" s="1" t="s">
        <v>18439</v>
      </c>
      <c r="AL904" s="1" t="s">
        <v>132</v>
      </c>
      <c r="AM904" s="1" t="s">
        <v>18440</v>
      </c>
      <c r="AN904" s="1" t="s">
        <v>18440</v>
      </c>
    </row>
    <row r="905" ht="15.75" customHeight="1">
      <c r="A905" s="1" t="s">
        <v>127</v>
      </c>
      <c r="B905" s="1" t="s">
        <v>18441</v>
      </c>
      <c r="C905" s="1" t="s">
        <v>18442</v>
      </c>
      <c r="D905" s="8" t="s">
        <v>18443</v>
      </c>
      <c r="E905" s="1" t="s">
        <v>18444</v>
      </c>
      <c r="F905" s="1" t="s">
        <v>132</v>
      </c>
      <c r="G905" s="1" t="s">
        <v>18445</v>
      </c>
      <c r="H905" s="1" t="s">
        <v>18446</v>
      </c>
      <c r="I905" s="1" t="s">
        <v>18447</v>
      </c>
      <c r="J905" s="1" t="s">
        <v>18448</v>
      </c>
      <c r="K905" s="1" t="s">
        <v>18449</v>
      </c>
      <c r="L905" s="1" t="s">
        <v>18450</v>
      </c>
      <c r="M905" s="1" t="s">
        <v>18451</v>
      </c>
      <c r="N905" s="1" t="s">
        <v>132</v>
      </c>
      <c r="O905" s="1" t="s">
        <v>18452</v>
      </c>
      <c r="P905" s="1" t="s">
        <v>18453</v>
      </c>
      <c r="Q905" s="1" t="s">
        <v>132</v>
      </c>
      <c r="R905" s="1" t="s">
        <v>18454</v>
      </c>
      <c r="S905" s="1" t="s">
        <v>18455</v>
      </c>
      <c r="T905" s="8" t="s">
        <v>18456</v>
      </c>
      <c r="U905" s="1" t="s">
        <v>18457</v>
      </c>
      <c r="V905" s="1" t="s">
        <v>18458</v>
      </c>
      <c r="W905" s="1" t="s">
        <v>18459</v>
      </c>
      <c r="X905" s="1" t="s">
        <v>18460</v>
      </c>
      <c r="Y905" s="1" t="s">
        <v>18461</v>
      </c>
      <c r="Z905" s="1" t="s">
        <v>18462</v>
      </c>
      <c r="AA905" s="1" t="s">
        <v>18463</v>
      </c>
      <c r="AB905" s="1" t="s">
        <v>18464</v>
      </c>
      <c r="AC905" s="1" t="s">
        <v>18465</v>
      </c>
      <c r="AD905" s="1" t="s">
        <v>18466</v>
      </c>
      <c r="AE905" s="1" t="s">
        <v>18467</v>
      </c>
      <c r="AF905" s="1" t="s">
        <v>18468</v>
      </c>
      <c r="AG905" s="1" t="s">
        <v>18469</v>
      </c>
      <c r="AH905" s="1" t="s">
        <v>18470</v>
      </c>
      <c r="AI905" s="1" t="s">
        <v>18471</v>
      </c>
      <c r="AJ905" s="1" t="s">
        <v>132</v>
      </c>
      <c r="AK905" s="1" t="s">
        <v>18472</v>
      </c>
      <c r="AL905" s="1" t="s">
        <v>18473</v>
      </c>
      <c r="AM905" s="1" t="s">
        <v>18474</v>
      </c>
      <c r="AN905" s="1" t="s">
        <v>18474</v>
      </c>
    </row>
    <row r="906" ht="15.75" customHeight="1">
      <c r="A906" s="1" t="s">
        <v>127</v>
      </c>
      <c r="B906" s="1" t="s">
        <v>18475</v>
      </c>
      <c r="C906" s="1" t="s">
        <v>18476</v>
      </c>
      <c r="D906" s="8" t="s">
        <v>18477</v>
      </c>
      <c r="E906" s="1" t="s">
        <v>18478</v>
      </c>
      <c r="F906" s="1" t="s">
        <v>132</v>
      </c>
      <c r="G906" s="1" t="s">
        <v>18479</v>
      </c>
      <c r="H906" s="1" t="s">
        <v>18480</v>
      </c>
      <c r="I906" s="1" t="s">
        <v>18481</v>
      </c>
      <c r="J906" s="1" t="s">
        <v>18482</v>
      </c>
      <c r="K906" s="1" t="s">
        <v>18483</v>
      </c>
      <c r="L906" s="1" t="s">
        <v>18484</v>
      </c>
      <c r="M906" s="1" t="s">
        <v>18485</v>
      </c>
      <c r="N906" s="1" t="s">
        <v>132</v>
      </c>
      <c r="O906" s="1" t="s">
        <v>18486</v>
      </c>
      <c r="P906" s="1" t="s">
        <v>18487</v>
      </c>
      <c r="Q906" s="1" t="s">
        <v>132</v>
      </c>
      <c r="R906" s="1" t="s">
        <v>18488</v>
      </c>
      <c r="S906" s="1" t="s">
        <v>18489</v>
      </c>
      <c r="T906" s="8" t="s">
        <v>18490</v>
      </c>
      <c r="U906" s="1" t="s">
        <v>18491</v>
      </c>
      <c r="V906" s="1" t="s">
        <v>18492</v>
      </c>
      <c r="W906" s="1" t="s">
        <v>18488</v>
      </c>
      <c r="X906" s="1" t="s">
        <v>18480</v>
      </c>
      <c r="Y906" s="1" t="s">
        <v>18493</v>
      </c>
      <c r="Z906" s="1" t="s">
        <v>18494</v>
      </c>
      <c r="AA906" s="1" t="s">
        <v>18495</v>
      </c>
      <c r="AB906" s="1" t="s">
        <v>18496</v>
      </c>
      <c r="AC906" s="1" t="s">
        <v>18497</v>
      </c>
      <c r="AD906" s="1" t="s">
        <v>18498</v>
      </c>
      <c r="AE906" s="1" t="s">
        <v>18499</v>
      </c>
      <c r="AF906" s="1" t="s">
        <v>18500</v>
      </c>
      <c r="AG906" s="1" t="s">
        <v>18493</v>
      </c>
      <c r="AH906" s="1" t="s">
        <v>18501</v>
      </c>
      <c r="AI906" s="1" t="s">
        <v>18502</v>
      </c>
      <c r="AJ906" s="1" t="s">
        <v>132</v>
      </c>
      <c r="AK906" s="1" t="s">
        <v>18503</v>
      </c>
      <c r="AL906" s="1" t="s">
        <v>18504</v>
      </c>
      <c r="AM906" s="1" t="s">
        <v>132</v>
      </c>
      <c r="AN906" s="1" t="s">
        <v>132</v>
      </c>
    </row>
    <row r="907" ht="15.75" customHeight="1">
      <c r="A907" s="1" t="s">
        <v>127</v>
      </c>
      <c r="B907" s="1" t="s">
        <v>18505</v>
      </c>
      <c r="C907" s="1" t="s">
        <v>18506</v>
      </c>
      <c r="D907" s="8" t="s">
        <v>18507</v>
      </c>
      <c r="E907" s="1" t="s">
        <v>18508</v>
      </c>
      <c r="F907" s="1" t="s">
        <v>132</v>
      </c>
      <c r="G907" s="1" t="s">
        <v>18509</v>
      </c>
      <c r="H907" s="1" t="s">
        <v>18510</v>
      </c>
      <c r="I907" s="1" t="s">
        <v>18511</v>
      </c>
      <c r="J907" s="1" t="s">
        <v>18512</v>
      </c>
      <c r="K907" s="1" t="s">
        <v>18513</v>
      </c>
      <c r="L907" s="1" t="s">
        <v>18514</v>
      </c>
      <c r="M907" s="1" t="s">
        <v>18515</v>
      </c>
      <c r="N907" s="1" t="s">
        <v>132</v>
      </c>
      <c r="O907" s="1" t="s">
        <v>18516</v>
      </c>
      <c r="P907" s="1" t="s">
        <v>18517</v>
      </c>
      <c r="Q907" s="1" t="s">
        <v>132</v>
      </c>
      <c r="R907" s="1" t="s">
        <v>18518</v>
      </c>
      <c r="S907" s="1" t="s">
        <v>18519</v>
      </c>
      <c r="T907" s="8" t="s">
        <v>18520</v>
      </c>
      <c r="U907" s="1" t="s">
        <v>18521</v>
      </c>
      <c r="V907" s="1" t="s">
        <v>18522</v>
      </c>
      <c r="W907" s="1" t="s">
        <v>18523</v>
      </c>
      <c r="X907" s="1" t="s">
        <v>18524</v>
      </c>
      <c r="Y907" s="1" t="s">
        <v>18525</v>
      </c>
      <c r="Z907" s="1" t="s">
        <v>18526</v>
      </c>
      <c r="AA907" s="1" t="s">
        <v>18527</v>
      </c>
      <c r="AB907" s="1" t="s">
        <v>18528</v>
      </c>
      <c r="AC907" s="1" t="s">
        <v>18529</v>
      </c>
      <c r="AD907" s="1" t="s">
        <v>18530</v>
      </c>
      <c r="AE907" s="1" t="s">
        <v>18531</v>
      </c>
      <c r="AF907" s="1" t="s">
        <v>18532</v>
      </c>
      <c r="AG907" s="1" t="s">
        <v>18533</v>
      </c>
      <c r="AH907" s="1" t="s">
        <v>18534</v>
      </c>
      <c r="AI907" s="1" t="s">
        <v>18535</v>
      </c>
      <c r="AJ907" s="1" t="s">
        <v>132</v>
      </c>
      <c r="AK907" s="1" t="s">
        <v>18536</v>
      </c>
      <c r="AL907" s="1" t="s">
        <v>18537</v>
      </c>
      <c r="AM907" s="1" t="s">
        <v>18538</v>
      </c>
      <c r="AN907" s="1" t="s">
        <v>18538</v>
      </c>
    </row>
    <row r="908" ht="15.75" customHeight="1">
      <c r="A908" s="1" t="s">
        <v>127</v>
      </c>
      <c r="B908" s="1" t="s">
        <v>18539</v>
      </c>
      <c r="C908" s="1" t="s">
        <v>18540</v>
      </c>
      <c r="D908" s="8" t="s">
        <v>18541</v>
      </c>
      <c r="E908" s="1" t="s">
        <v>18542</v>
      </c>
      <c r="F908" s="1" t="s">
        <v>132</v>
      </c>
      <c r="G908" s="1" t="s">
        <v>18543</v>
      </c>
      <c r="H908" s="1" t="s">
        <v>18544</v>
      </c>
      <c r="I908" s="1" t="s">
        <v>18545</v>
      </c>
      <c r="J908" s="1" t="s">
        <v>18546</v>
      </c>
      <c r="K908" s="1" t="s">
        <v>18547</v>
      </c>
      <c r="L908" s="1" t="s">
        <v>18548</v>
      </c>
      <c r="M908" s="1" t="s">
        <v>18549</v>
      </c>
      <c r="N908" s="1" t="s">
        <v>132</v>
      </c>
      <c r="O908" s="1" t="s">
        <v>18550</v>
      </c>
      <c r="P908" s="1" t="s">
        <v>18551</v>
      </c>
      <c r="Q908" s="1" t="s">
        <v>132</v>
      </c>
      <c r="R908" s="1" t="s">
        <v>18552</v>
      </c>
      <c r="S908" s="1" t="s">
        <v>18553</v>
      </c>
      <c r="T908" s="8" t="s">
        <v>18554</v>
      </c>
      <c r="U908" s="1" t="s">
        <v>18555</v>
      </c>
      <c r="V908" s="1" t="s">
        <v>18556</v>
      </c>
      <c r="W908" s="1" t="s">
        <v>18557</v>
      </c>
      <c r="X908" s="1" t="s">
        <v>18558</v>
      </c>
      <c r="Y908" s="1" t="s">
        <v>18559</v>
      </c>
      <c r="Z908" s="1" t="s">
        <v>18560</v>
      </c>
      <c r="AA908" s="1" t="s">
        <v>18561</v>
      </c>
      <c r="AB908" s="1" t="s">
        <v>18562</v>
      </c>
      <c r="AC908" s="1" t="s">
        <v>18563</v>
      </c>
      <c r="AD908" s="1" t="s">
        <v>18564</v>
      </c>
      <c r="AE908" s="1" t="s">
        <v>18565</v>
      </c>
      <c r="AF908" s="1" t="s">
        <v>18566</v>
      </c>
      <c r="AG908" s="1" t="s">
        <v>18567</v>
      </c>
      <c r="AH908" s="1" t="s">
        <v>18568</v>
      </c>
      <c r="AI908" s="1" t="s">
        <v>18569</v>
      </c>
      <c r="AJ908" s="1" t="s">
        <v>132</v>
      </c>
      <c r="AK908" s="1" t="s">
        <v>18570</v>
      </c>
      <c r="AL908" s="1" t="s">
        <v>18571</v>
      </c>
      <c r="AM908" s="1" t="s">
        <v>132</v>
      </c>
      <c r="AN908" s="1" t="s">
        <v>132</v>
      </c>
    </row>
    <row r="909" ht="15.75" customHeight="1">
      <c r="A909" s="1" t="s">
        <v>127</v>
      </c>
      <c r="B909" s="1" t="s">
        <v>18572</v>
      </c>
      <c r="C909" s="1" t="s">
        <v>18573</v>
      </c>
      <c r="D909" s="8" t="s">
        <v>18574</v>
      </c>
      <c r="E909" s="1" t="s">
        <v>18575</v>
      </c>
      <c r="F909" s="1" t="s">
        <v>132</v>
      </c>
      <c r="G909" s="1" t="s">
        <v>18576</v>
      </c>
      <c r="H909" s="1" t="s">
        <v>18577</v>
      </c>
      <c r="I909" s="1" t="s">
        <v>18573</v>
      </c>
      <c r="J909" s="1" t="s">
        <v>18578</v>
      </c>
      <c r="K909" s="1" t="s">
        <v>18573</v>
      </c>
      <c r="L909" s="1" t="s">
        <v>18573</v>
      </c>
      <c r="M909" s="1" t="s">
        <v>18579</v>
      </c>
      <c r="N909" s="1" t="s">
        <v>132</v>
      </c>
      <c r="O909" s="1" t="s">
        <v>18580</v>
      </c>
      <c r="P909" s="1" t="s">
        <v>18573</v>
      </c>
      <c r="Q909" s="1" t="s">
        <v>132</v>
      </c>
      <c r="R909" s="1" t="s">
        <v>18581</v>
      </c>
      <c r="S909" s="1" t="s">
        <v>18573</v>
      </c>
      <c r="T909" s="8" t="s">
        <v>18582</v>
      </c>
      <c r="U909" s="1" t="s">
        <v>18583</v>
      </c>
      <c r="V909" s="1" t="s">
        <v>18584</v>
      </c>
      <c r="W909" s="1" t="s">
        <v>18581</v>
      </c>
      <c r="X909" s="1" t="s">
        <v>18573</v>
      </c>
      <c r="Y909" s="1" t="s">
        <v>18573</v>
      </c>
      <c r="Z909" s="1" t="s">
        <v>18573</v>
      </c>
      <c r="AA909" s="1" t="s">
        <v>18573</v>
      </c>
      <c r="AB909" s="1" t="s">
        <v>18585</v>
      </c>
      <c r="AC909" s="1" t="s">
        <v>18586</v>
      </c>
      <c r="AD909" s="1" t="s">
        <v>18587</v>
      </c>
      <c r="AE909" s="1" t="s">
        <v>18588</v>
      </c>
      <c r="AF909" s="1" t="s">
        <v>18573</v>
      </c>
      <c r="AG909" s="1" t="s">
        <v>18589</v>
      </c>
      <c r="AH909" s="1" t="s">
        <v>18590</v>
      </c>
      <c r="AI909" s="1" t="s">
        <v>18591</v>
      </c>
      <c r="AJ909" s="1" t="s">
        <v>132</v>
      </c>
      <c r="AK909" s="1" t="s">
        <v>18592</v>
      </c>
      <c r="AL909" s="1" t="s">
        <v>18593</v>
      </c>
      <c r="AM909" s="1" t="s">
        <v>18594</v>
      </c>
      <c r="AN909" s="1" t="s">
        <v>18594</v>
      </c>
    </row>
    <row r="910" ht="15.75" customHeight="1">
      <c r="A910" s="1" t="s">
        <v>127</v>
      </c>
      <c r="B910" s="1" t="s">
        <v>18595</v>
      </c>
      <c r="C910" s="1" t="s">
        <v>18596</v>
      </c>
      <c r="D910" s="8" t="s">
        <v>18597</v>
      </c>
      <c r="E910" s="1" t="s">
        <v>18598</v>
      </c>
      <c r="F910" s="1" t="s">
        <v>132</v>
      </c>
      <c r="G910" s="1" t="s">
        <v>18599</v>
      </c>
      <c r="H910" s="1" t="s">
        <v>18600</v>
      </c>
      <c r="I910" s="1" t="s">
        <v>18601</v>
      </c>
      <c r="J910" s="1" t="s">
        <v>18602</v>
      </c>
      <c r="K910" s="1" t="s">
        <v>18603</v>
      </c>
      <c r="L910" s="1" t="s">
        <v>18604</v>
      </c>
      <c r="M910" s="1" t="s">
        <v>18605</v>
      </c>
      <c r="N910" s="1" t="s">
        <v>132</v>
      </c>
      <c r="O910" s="1" t="s">
        <v>18606</v>
      </c>
      <c r="P910" s="1" t="s">
        <v>18607</v>
      </c>
      <c r="Q910" s="1" t="s">
        <v>132</v>
      </c>
      <c r="R910" s="1" t="s">
        <v>18608</v>
      </c>
      <c r="S910" s="1" t="s">
        <v>18609</v>
      </c>
      <c r="T910" s="8" t="s">
        <v>18610</v>
      </c>
      <c r="U910" s="1" t="s">
        <v>18611</v>
      </c>
      <c r="V910" s="1" t="s">
        <v>18612</v>
      </c>
      <c r="W910" s="1" t="s">
        <v>18613</v>
      </c>
      <c r="X910" s="1" t="s">
        <v>18614</v>
      </c>
      <c r="Y910" s="1" t="s">
        <v>18615</v>
      </c>
      <c r="Z910" s="1" t="s">
        <v>18616</v>
      </c>
      <c r="AA910" s="1" t="s">
        <v>18617</v>
      </c>
      <c r="AB910" s="1" t="s">
        <v>18618</v>
      </c>
      <c r="AC910" s="1" t="s">
        <v>18619</v>
      </c>
      <c r="AD910" s="1" t="s">
        <v>18620</v>
      </c>
      <c r="AE910" s="1" t="s">
        <v>18621</v>
      </c>
      <c r="AF910" s="1" t="s">
        <v>18622</v>
      </c>
      <c r="AG910" s="1" t="s">
        <v>18623</v>
      </c>
      <c r="AH910" s="1" t="s">
        <v>18624</v>
      </c>
      <c r="AI910" s="1" t="s">
        <v>18625</v>
      </c>
      <c r="AJ910" s="1" t="s">
        <v>132</v>
      </c>
      <c r="AK910" s="1" t="s">
        <v>18626</v>
      </c>
      <c r="AL910" s="1" t="s">
        <v>18627</v>
      </c>
      <c r="AM910" s="1" t="s">
        <v>18628</v>
      </c>
      <c r="AN910" s="1" t="s">
        <v>18628</v>
      </c>
    </row>
    <row r="911" ht="15.75" customHeight="1">
      <c r="A911" s="1" t="s">
        <v>127</v>
      </c>
      <c r="B911" s="1" t="s">
        <v>18629</v>
      </c>
      <c r="C911" s="1" t="s">
        <v>18630</v>
      </c>
      <c r="D911" s="8" t="s">
        <v>234</v>
      </c>
      <c r="E911" s="1" t="s">
        <v>18631</v>
      </c>
      <c r="F911" s="1" t="s">
        <v>132</v>
      </c>
      <c r="G911" s="1" t="s">
        <v>18632</v>
      </c>
      <c r="H911" s="1" t="s">
        <v>18633</v>
      </c>
      <c r="I911" s="1" t="s">
        <v>18633</v>
      </c>
      <c r="J911" s="1" t="s">
        <v>18634</v>
      </c>
      <c r="K911" s="1" t="s">
        <v>18635</v>
      </c>
      <c r="L911" s="1" t="s">
        <v>18636</v>
      </c>
      <c r="M911" s="1" t="s">
        <v>237</v>
      </c>
      <c r="N911" s="1" t="s">
        <v>132</v>
      </c>
      <c r="O911" s="1" t="s">
        <v>18637</v>
      </c>
      <c r="P911" s="1" t="s">
        <v>18638</v>
      </c>
      <c r="Q911" s="1" t="s">
        <v>132</v>
      </c>
      <c r="R911" s="1" t="s">
        <v>18639</v>
      </c>
      <c r="S911" s="1" t="s">
        <v>18640</v>
      </c>
      <c r="T911" s="8" t="s">
        <v>238</v>
      </c>
      <c r="U911" s="1" t="s">
        <v>18641</v>
      </c>
      <c r="V911" s="1" t="s">
        <v>18642</v>
      </c>
      <c r="W911" s="1" t="s">
        <v>18639</v>
      </c>
      <c r="X911" s="1" t="s">
        <v>18630</v>
      </c>
      <c r="Y911" s="1" t="s">
        <v>18633</v>
      </c>
      <c r="Z911" s="1" t="s">
        <v>18633</v>
      </c>
      <c r="AA911" s="1" t="s">
        <v>18635</v>
      </c>
      <c r="AB911" s="1" t="s">
        <v>18630</v>
      </c>
      <c r="AC911" s="1" t="s">
        <v>18643</v>
      </c>
      <c r="AD911" s="1" t="s">
        <v>18644</v>
      </c>
      <c r="AE911" s="1" t="s">
        <v>18645</v>
      </c>
      <c r="AF911" s="1" t="s">
        <v>18646</v>
      </c>
      <c r="AG911" s="1" t="s">
        <v>18647</v>
      </c>
      <c r="AH911" s="1" t="s">
        <v>18648</v>
      </c>
      <c r="AI911" s="1" t="s">
        <v>18649</v>
      </c>
      <c r="AJ911" s="1" t="s">
        <v>132</v>
      </c>
      <c r="AK911" s="1" t="s">
        <v>3773</v>
      </c>
      <c r="AL911" s="1" t="s">
        <v>18650</v>
      </c>
      <c r="AM911" s="1" t="s">
        <v>132</v>
      </c>
      <c r="AN911" s="1" t="s">
        <v>132</v>
      </c>
    </row>
    <row r="912" ht="15.75" customHeight="1">
      <c r="A912" s="1" t="s">
        <v>127</v>
      </c>
      <c r="B912" s="1" t="s">
        <v>18651</v>
      </c>
      <c r="C912" s="1" t="s">
        <v>18652</v>
      </c>
      <c r="D912" s="8" t="s">
        <v>18653</v>
      </c>
      <c r="E912" s="1" t="s">
        <v>18654</v>
      </c>
      <c r="F912" s="1" t="s">
        <v>132</v>
      </c>
      <c r="G912" s="1" t="s">
        <v>18655</v>
      </c>
      <c r="H912" s="1" t="s">
        <v>18656</v>
      </c>
      <c r="I912" s="1" t="s">
        <v>18657</v>
      </c>
      <c r="J912" s="1" t="s">
        <v>18658</v>
      </c>
      <c r="K912" s="1" t="s">
        <v>18659</v>
      </c>
      <c r="L912" s="1" t="s">
        <v>18660</v>
      </c>
      <c r="M912" s="1" t="s">
        <v>18661</v>
      </c>
      <c r="N912" s="1" t="s">
        <v>132</v>
      </c>
      <c r="O912" s="1" t="s">
        <v>18662</v>
      </c>
      <c r="P912" s="1" t="s">
        <v>18652</v>
      </c>
      <c r="Q912" s="1" t="s">
        <v>132</v>
      </c>
      <c r="R912" s="1" t="s">
        <v>18663</v>
      </c>
      <c r="S912" s="1" t="s">
        <v>18664</v>
      </c>
      <c r="T912" s="8" t="s">
        <v>18665</v>
      </c>
      <c r="U912" s="1" t="s">
        <v>18666</v>
      </c>
      <c r="V912" s="1" t="s">
        <v>18667</v>
      </c>
      <c r="W912" s="1" t="s">
        <v>18663</v>
      </c>
      <c r="X912" s="1" t="s">
        <v>18668</v>
      </c>
      <c r="Y912" s="1" t="s">
        <v>18656</v>
      </c>
      <c r="Z912" s="1" t="s">
        <v>18669</v>
      </c>
      <c r="AA912" s="1" t="s">
        <v>18670</v>
      </c>
      <c r="AB912" s="1" t="s">
        <v>18671</v>
      </c>
      <c r="AC912" s="1" t="s">
        <v>18672</v>
      </c>
      <c r="AD912" s="1" t="s">
        <v>18673</v>
      </c>
      <c r="AE912" s="1" t="s">
        <v>18674</v>
      </c>
      <c r="AF912" s="1" t="s">
        <v>18675</v>
      </c>
      <c r="AG912" s="1" t="s">
        <v>18676</v>
      </c>
      <c r="AH912" s="1" t="s">
        <v>18677</v>
      </c>
      <c r="AI912" s="1" t="s">
        <v>18678</v>
      </c>
      <c r="AJ912" s="1" t="s">
        <v>132</v>
      </c>
      <c r="AK912" s="1" t="s">
        <v>18679</v>
      </c>
      <c r="AL912" s="1" t="s">
        <v>18680</v>
      </c>
      <c r="AM912" s="1" t="s">
        <v>132</v>
      </c>
      <c r="AN912" s="1" t="s">
        <v>132</v>
      </c>
    </row>
    <row r="913" ht="15.75" customHeight="1">
      <c r="A913" s="1" t="s">
        <v>127</v>
      </c>
      <c r="B913" s="1" t="s">
        <v>18681</v>
      </c>
      <c r="C913" s="1" t="s">
        <v>13164</v>
      </c>
      <c r="D913" s="8" t="s">
        <v>13165</v>
      </c>
      <c r="E913" s="1" t="s">
        <v>13166</v>
      </c>
      <c r="F913" s="1" t="s">
        <v>132</v>
      </c>
      <c r="G913" s="1" t="s">
        <v>13167</v>
      </c>
      <c r="H913" s="1" t="s">
        <v>13168</v>
      </c>
      <c r="I913" s="1" t="s">
        <v>13164</v>
      </c>
      <c r="J913" s="1" t="s">
        <v>13169</v>
      </c>
      <c r="K913" s="1" t="s">
        <v>13164</v>
      </c>
      <c r="L913" s="1" t="s">
        <v>13164</v>
      </c>
      <c r="M913" s="1" t="s">
        <v>13164</v>
      </c>
      <c r="N913" s="1" t="s">
        <v>132</v>
      </c>
      <c r="O913" s="1" t="s">
        <v>13170</v>
      </c>
      <c r="P913" s="1" t="s">
        <v>13164</v>
      </c>
      <c r="Q913" s="1" t="s">
        <v>132</v>
      </c>
      <c r="R913" s="1" t="s">
        <v>18682</v>
      </c>
      <c r="S913" s="1" t="s">
        <v>13164</v>
      </c>
      <c r="T913" s="8" t="s">
        <v>18683</v>
      </c>
      <c r="U913" s="1" t="s">
        <v>13172</v>
      </c>
      <c r="V913" s="1" t="s">
        <v>13173</v>
      </c>
      <c r="W913" s="1" t="s">
        <v>13174</v>
      </c>
      <c r="X913" s="1" t="s">
        <v>13164</v>
      </c>
      <c r="Y913" s="1" t="s">
        <v>13176</v>
      </c>
      <c r="Z913" s="1" t="s">
        <v>13164</v>
      </c>
      <c r="AA913" s="1" t="s">
        <v>18684</v>
      </c>
      <c r="AB913" s="1" t="s">
        <v>13179</v>
      </c>
      <c r="AC913" s="1" t="s">
        <v>18685</v>
      </c>
      <c r="AD913" s="1" t="s">
        <v>13181</v>
      </c>
      <c r="AE913" s="1" t="s">
        <v>13182</v>
      </c>
      <c r="AF913" s="1" t="s">
        <v>13164</v>
      </c>
      <c r="AG913" s="1" t="s">
        <v>13183</v>
      </c>
      <c r="AH913" s="1" t="s">
        <v>13184</v>
      </c>
      <c r="AI913" s="1" t="s">
        <v>18686</v>
      </c>
      <c r="AJ913" s="1" t="s">
        <v>132</v>
      </c>
      <c r="AK913" s="1" t="s">
        <v>13186</v>
      </c>
      <c r="AL913" s="1" t="s">
        <v>18687</v>
      </c>
      <c r="AM913" s="1" t="s">
        <v>18688</v>
      </c>
      <c r="AN913" s="1" t="s">
        <v>18688</v>
      </c>
    </row>
    <row r="914" ht="15.75" customHeight="1">
      <c r="A914" s="1" t="s">
        <v>127</v>
      </c>
      <c r="B914" s="1" t="s">
        <v>18689</v>
      </c>
      <c r="C914" s="1" t="s">
        <v>18690</v>
      </c>
      <c r="D914" s="8" t="s">
        <v>18691</v>
      </c>
      <c r="E914" s="1" t="s">
        <v>18692</v>
      </c>
      <c r="F914" s="1" t="s">
        <v>132</v>
      </c>
      <c r="G914" s="1" t="s">
        <v>18693</v>
      </c>
      <c r="H914" s="1" t="s">
        <v>18694</v>
      </c>
      <c r="I914" s="1" t="s">
        <v>18695</v>
      </c>
      <c r="J914" s="1" t="s">
        <v>18696</v>
      </c>
      <c r="K914" s="1" t="s">
        <v>18690</v>
      </c>
      <c r="L914" s="1" t="s">
        <v>18697</v>
      </c>
      <c r="M914" s="1" t="s">
        <v>18698</v>
      </c>
      <c r="N914" s="1" t="s">
        <v>132</v>
      </c>
      <c r="O914" s="1" t="s">
        <v>18699</v>
      </c>
      <c r="P914" s="1" t="s">
        <v>18700</v>
      </c>
      <c r="Q914" s="1" t="s">
        <v>132</v>
      </c>
      <c r="R914" s="1" t="s">
        <v>18701</v>
      </c>
      <c r="S914" s="1" t="s">
        <v>18702</v>
      </c>
      <c r="T914" s="8" t="s">
        <v>18703</v>
      </c>
      <c r="U914" s="1" t="s">
        <v>18704</v>
      </c>
      <c r="V914" s="1" t="s">
        <v>18705</v>
      </c>
      <c r="W914" s="1" t="s">
        <v>18706</v>
      </c>
      <c r="X914" s="1" t="s">
        <v>18707</v>
      </c>
      <c r="Y914" s="1" t="s">
        <v>18708</v>
      </c>
      <c r="Z914" s="1" t="s">
        <v>18709</v>
      </c>
      <c r="AA914" s="1" t="s">
        <v>18710</v>
      </c>
      <c r="AB914" s="1" t="s">
        <v>18711</v>
      </c>
      <c r="AC914" s="1" t="s">
        <v>18712</v>
      </c>
      <c r="AD914" s="1" t="s">
        <v>18713</v>
      </c>
      <c r="AE914" s="1" t="s">
        <v>18714</v>
      </c>
      <c r="AF914" s="1" t="s">
        <v>18715</v>
      </c>
      <c r="AG914" s="1" t="s">
        <v>18716</v>
      </c>
      <c r="AH914" s="1" t="s">
        <v>18717</v>
      </c>
      <c r="AI914" s="1" t="s">
        <v>18718</v>
      </c>
      <c r="AJ914" s="1" t="s">
        <v>132</v>
      </c>
      <c r="AK914" s="1" t="s">
        <v>18719</v>
      </c>
      <c r="AL914" s="1" t="s">
        <v>18720</v>
      </c>
      <c r="AM914" s="1" t="s">
        <v>132</v>
      </c>
      <c r="AN914" s="1" t="s">
        <v>132</v>
      </c>
    </row>
    <row r="915" ht="15.75" customHeight="1">
      <c r="A915" s="1" t="s">
        <v>38</v>
      </c>
      <c r="B915" s="1" t="s">
        <v>18721</v>
      </c>
      <c r="C915" s="1" t="s">
        <v>18722</v>
      </c>
      <c r="D915" s="1" t="s">
        <v>132</v>
      </c>
      <c r="E915" s="1" t="s">
        <v>132</v>
      </c>
      <c r="F915" s="1" t="s">
        <v>132</v>
      </c>
      <c r="G915" s="1" t="s">
        <v>132</v>
      </c>
      <c r="H915" s="1" t="s">
        <v>132</v>
      </c>
      <c r="I915" s="1" t="s">
        <v>18723</v>
      </c>
      <c r="J915" s="1" t="s">
        <v>132</v>
      </c>
      <c r="K915" s="1" t="s">
        <v>18724</v>
      </c>
      <c r="L915" s="1" t="s">
        <v>132</v>
      </c>
      <c r="M915" s="1" t="s">
        <v>18725</v>
      </c>
      <c r="N915" s="1" t="s">
        <v>132</v>
      </c>
      <c r="O915" s="1" t="s">
        <v>132</v>
      </c>
      <c r="P915" s="1" t="s">
        <v>18726</v>
      </c>
      <c r="Q915" s="1" t="s">
        <v>132</v>
      </c>
      <c r="R915" s="1" t="s">
        <v>132</v>
      </c>
      <c r="S915" s="1" t="s">
        <v>132</v>
      </c>
      <c r="T915" s="1" t="s">
        <v>132</v>
      </c>
      <c r="U915" s="1" t="s">
        <v>132</v>
      </c>
      <c r="V915" s="1" t="s">
        <v>132</v>
      </c>
      <c r="W915" s="1" t="s">
        <v>132</v>
      </c>
      <c r="X915" s="1" t="s">
        <v>132</v>
      </c>
      <c r="Y915" s="1" t="s">
        <v>132</v>
      </c>
      <c r="Z915" s="1" t="s">
        <v>132</v>
      </c>
      <c r="AA915" s="1" t="s">
        <v>132</v>
      </c>
      <c r="AB915" s="1" t="s">
        <v>132</v>
      </c>
      <c r="AC915" s="1" t="s">
        <v>18727</v>
      </c>
      <c r="AD915" s="1" t="s">
        <v>132</v>
      </c>
      <c r="AE915" s="1" t="s">
        <v>132</v>
      </c>
      <c r="AF915" s="1" t="s">
        <v>18728</v>
      </c>
      <c r="AG915" s="1" t="s">
        <v>132</v>
      </c>
      <c r="AH915" s="1" t="s">
        <v>132</v>
      </c>
      <c r="AI915" s="1" t="s">
        <v>132</v>
      </c>
      <c r="AJ915" s="1" t="s">
        <v>132</v>
      </c>
      <c r="AK915" s="1" t="s">
        <v>132</v>
      </c>
      <c r="AL915" s="1" t="s">
        <v>132</v>
      </c>
      <c r="AM915" s="1" t="s">
        <v>132</v>
      </c>
      <c r="AN915" s="1" t="s">
        <v>132</v>
      </c>
    </row>
    <row r="916" ht="15.75" customHeight="1">
      <c r="A916" s="1" t="s">
        <v>38</v>
      </c>
      <c r="B916" s="1" t="s">
        <v>18729</v>
      </c>
      <c r="C916" s="1" t="s">
        <v>18730</v>
      </c>
      <c r="D916" s="1" t="s">
        <v>132</v>
      </c>
      <c r="E916" s="1" t="s">
        <v>132</v>
      </c>
      <c r="F916" s="1" t="s">
        <v>132</v>
      </c>
      <c r="G916" s="1" t="s">
        <v>132</v>
      </c>
      <c r="H916" s="1" t="s">
        <v>132</v>
      </c>
      <c r="I916" s="1" t="s">
        <v>18731</v>
      </c>
      <c r="J916" s="1" t="s">
        <v>132</v>
      </c>
      <c r="K916" s="1" t="s">
        <v>18732</v>
      </c>
      <c r="L916" s="1" t="s">
        <v>132</v>
      </c>
      <c r="M916" s="1" t="s">
        <v>18733</v>
      </c>
      <c r="N916" s="1" t="s">
        <v>132</v>
      </c>
      <c r="O916" s="1" t="s">
        <v>132</v>
      </c>
      <c r="P916" s="1" t="s">
        <v>18730</v>
      </c>
      <c r="Q916" s="1" t="s">
        <v>132</v>
      </c>
      <c r="R916" s="1" t="s">
        <v>132</v>
      </c>
      <c r="S916" s="1" t="s">
        <v>132</v>
      </c>
      <c r="T916" s="1" t="s">
        <v>132</v>
      </c>
      <c r="U916" s="1" t="s">
        <v>132</v>
      </c>
      <c r="V916" s="1" t="s">
        <v>132</v>
      </c>
      <c r="W916" s="1" t="s">
        <v>132</v>
      </c>
      <c r="X916" s="1" t="s">
        <v>132</v>
      </c>
      <c r="Y916" s="1" t="s">
        <v>132</v>
      </c>
      <c r="Z916" s="1" t="s">
        <v>132</v>
      </c>
      <c r="AA916" s="1" t="s">
        <v>132</v>
      </c>
      <c r="AB916" s="1" t="s">
        <v>132</v>
      </c>
      <c r="AC916" s="1" t="s">
        <v>18734</v>
      </c>
      <c r="AD916" s="1" t="s">
        <v>132</v>
      </c>
      <c r="AE916" s="1" t="s">
        <v>132</v>
      </c>
      <c r="AF916" s="1" t="s">
        <v>18735</v>
      </c>
      <c r="AG916" s="1" t="s">
        <v>132</v>
      </c>
      <c r="AH916" s="1" t="s">
        <v>132</v>
      </c>
      <c r="AI916" s="1" t="s">
        <v>132</v>
      </c>
      <c r="AJ916" s="1" t="s">
        <v>132</v>
      </c>
      <c r="AK916" s="1" t="s">
        <v>132</v>
      </c>
      <c r="AL916" s="1" t="s">
        <v>132</v>
      </c>
      <c r="AM916" s="1" t="s">
        <v>132</v>
      </c>
      <c r="AN916" s="1" t="s">
        <v>132</v>
      </c>
    </row>
    <row r="917" ht="15.75" customHeight="1">
      <c r="A917" s="1" t="s">
        <v>127</v>
      </c>
      <c r="B917" s="1" t="s">
        <v>18736</v>
      </c>
      <c r="C917" s="1" t="s">
        <v>18737</v>
      </c>
      <c r="D917" s="8" t="s">
        <v>18738</v>
      </c>
      <c r="E917" s="1" t="s">
        <v>404</v>
      </c>
      <c r="F917" s="1" t="s">
        <v>132</v>
      </c>
      <c r="G917" s="1" t="s">
        <v>18739</v>
      </c>
      <c r="H917" s="1" t="s">
        <v>18740</v>
      </c>
      <c r="I917" s="1" t="s">
        <v>407</v>
      </c>
      <c r="J917" s="1" t="s">
        <v>18741</v>
      </c>
      <c r="K917" s="1" t="s">
        <v>409</v>
      </c>
      <c r="L917" s="1" t="s">
        <v>18742</v>
      </c>
      <c r="M917" s="1" t="s">
        <v>18743</v>
      </c>
      <c r="N917" s="1" t="s">
        <v>132</v>
      </c>
      <c r="O917" s="1" t="s">
        <v>412</v>
      </c>
      <c r="P917" s="1" t="s">
        <v>413</v>
      </c>
      <c r="Q917" s="1" t="s">
        <v>132</v>
      </c>
      <c r="R917" s="1" t="s">
        <v>414</v>
      </c>
      <c r="S917" s="1" t="s">
        <v>18744</v>
      </c>
      <c r="T917" s="8" t="s">
        <v>18745</v>
      </c>
      <c r="U917" s="1" t="s">
        <v>417</v>
      </c>
      <c r="V917" s="1" t="s">
        <v>418</v>
      </c>
      <c r="W917" s="1" t="s">
        <v>419</v>
      </c>
      <c r="X917" s="1" t="s">
        <v>420</v>
      </c>
      <c r="Y917" s="1" t="s">
        <v>18746</v>
      </c>
      <c r="Z917" s="1" t="s">
        <v>421</v>
      </c>
      <c r="AA917" s="1" t="s">
        <v>18747</v>
      </c>
      <c r="AB917" s="1" t="s">
        <v>18748</v>
      </c>
      <c r="AC917" s="1" t="s">
        <v>424</v>
      </c>
      <c r="AD917" s="1" t="s">
        <v>18749</v>
      </c>
      <c r="AE917" s="1" t="s">
        <v>18750</v>
      </c>
      <c r="AF917" s="1" t="s">
        <v>427</v>
      </c>
      <c r="AG917" s="1" t="s">
        <v>428</v>
      </c>
      <c r="AH917" s="1" t="s">
        <v>18751</v>
      </c>
      <c r="AI917" s="1" t="s">
        <v>18752</v>
      </c>
      <c r="AJ917" s="1" t="s">
        <v>132</v>
      </c>
      <c r="AK917" s="1" t="s">
        <v>431</v>
      </c>
      <c r="AL917" s="1" t="s">
        <v>432</v>
      </c>
      <c r="AM917" s="1" t="s">
        <v>433</v>
      </c>
      <c r="AN917" s="1" t="s">
        <v>433</v>
      </c>
    </row>
    <row r="918" ht="15.75" customHeight="1">
      <c r="A918" s="1" t="s">
        <v>38</v>
      </c>
      <c r="B918" s="1" t="s">
        <v>18753</v>
      </c>
      <c r="C918" s="1" t="s">
        <v>18754</v>
      </c>
      <c r="D918" s="1" t="s">
        <v>132</v>
      </c>
      <c r="E918" s="1" t="s">
        <v>132</v>
      </c>
      <c r="F918" s="1" t="s">
        <v>132</v>
      </c>
      <c r="G918" s="1" t="s">
        <v>132</v>
      </c>
      <c r="H918" s="1" t="s">
        <v>132</v>
      </c>
      <c r="I918" s="1" t="s">
        <v>132</v>
      </c>
      <c r="J918" s="1" t="s">
        <v>132</v>
      </c>
      <c r="K918" s="1" t="s">
        <v>132</v>
      </c>
      <c r="L918" s="1" t="s">
        <v>132</v>
      </c>
      <c r="M918" s="1" t="s">
        <v>132</v>
      </c>
      <c r="N918" s="1" t="s">
        <v>132</v>
      </c>
      <c r="O918" s="1" t="s">
        <v>132</v>
      </c>
      <c r="P918" s="1" t="s">
        <v>132</v>
      </c>
      <c r="Q918" s="1" t="s">
        <v>132</v>
      </c>
      <c r="R918" s="1" t="s">
        <v>132</v>
      </c>
      <c r="S918" s="1" t="s">
        <v>132</v>
      </c>
      <c r="T918" s="1" t="s">
        <v>132</v>
      </c>
      <c r="U918" s="1" t="s">
        <v>132</v>
      </c>
      <c r="V918" s="1" t="s">
        <v>132</v>
      </c>
      <c r="W918" s="1" t="s">
        <v>132</v>
      </c>
      <c r="X918" s="1" t="s">
        <v>132</v>
      </c>
      <c r="Y918" s="1" t="s">
        <v>132</v>
      </c>
      <c r="Z918" s="1" t="s">
        <v>132</v>
      </c>
      <c r="AA918" s="1" t="s">
        <v>132</v>
      </c>
      <c r="AB918" s="1" t="s">
        <v>132</v>
      </c>
      <c r="AC918" s="1" t="s">
        <v>132</v>
      </c>
      <c r="AD918" s="1" t="s">
        <v>132</v>
      </c>
      <c r="AE918" s="1" t="s">
        <v>132</v>
      </c>
      <c r="AF918" s="1" t="s">
        <v>132</v>
      </c>
      <c r="AG918" s="1" t="s">
        <v>132</v>
      </c>
      <c r="AH918" s="1" t="s">
        <v>132</v>
      </c>
      <c r="AI918" s="1" t="s">
        <v>132</v>
      </c>
      <c r="AJ918" s="1" t="s">
        <v>132</v>
      </c>
      <c r="AK918" s="1" t="s">
        <v>132</v>
      </c>
      <c r="AL918" s="1" t="s">
        <v>132</v>
      </c>
      <c r="AM918" s="1" t="s">
        <v>132</v>
      </c>
      <c r="AN918" s="1" t="s">
        <v>132</v>
      </c>
    </row>
    <row r="919" ht="15.75" customHeight="1">
      <c r="A919" s="1" t="s">
        <v>43182</v>
      </c>
      <c r="B919" s="1" t="s">
        <v>43245</v>
      </c>
      <c r="C919" s="1" t="s">
        <v>43246</v>
      </c>
      <c r="D919" s="1" t="s">
        <v>132</v>
      </c>
      <c r="E919" s="1" t="s">
        <v>132</v>
      </c>
      <c r="F919" s="1" t="s">
        <v>132</v>
      </c>
      <c r="G919" s="1" t="s">
        <v>132</v>
      </c>
      <c r="H919" s="1" t="s">
        <v>132</v>
      </c>
      <c r="I919" s="1" t="s">
        <v>132</v>
      </c>
      <c r="J919" s="1" t="s">
        <v>132</v>
      </c>
      <c r="K919" s="1" t="s">
        <v>132</v>
      </c>
      <c r="L919" s="1" t="s">
        <v>132</v>
      </c>
      <c r="M919" s="1" t="s">
        <v>132</v>
      </c>
      <c r="N919" s="1" t="s">
        <v>132</v>
      </c>
      <c r="O919" s="1" t="s">
        <v>132</v>
      </c>
      <c r="P919" s="1" t="s">
        <v>132</v>
      </c>
      <c r="Q919" s="1" t="s">
        <v>132</v>
      </c>
      <c r="R919" s="1" t="s">
        <v>132</v>
      </c>
      <c r="S919" s="1" t="s">
        <v>132</v>
      </c>
      <c r="T919" s="1" t="s">
        <v>132</v>
      </c>
      <c r="U919" s="1" t="s">
        <v>132</v>
      </c>
      <c r="V919" s="1" t="s">
        <v>132</v>
      </c>
      <c r="W919" s="1" t="s">
        <v>132</v>
      </c>
      <c r="X919" s="1" t="s">
        <v>132</v>
      </c>
      <c r="Y919" s="1" t="s">
        <v>132</v>
      </c>
      <c r="Z919" s="1" t="s">
        <v>132</v>
      </c>
      <c r="AA919" s="1" t="s">
        <v>132</v>
      </c>
      <c r="AB919" s="1" t="s">
        <v>132</v>
      </c>
      <c r="AC919" s="1" t="s">
        <v>132</v>
      </c>
      <c r="AD919" s="1" t="s">
        <v>132</v>
      </c>
      <c r="AE919" s="1" t="s">
        <v>132</v>
      </c>
      <c r="AF919" s="1" t="s">
        <v>132</v>
      </c>
      <c r="AG919" s="1" t="s">
        <v>132</v>
      </c>
      <c r="AH919" s="1" t="s">
        <v>132</v>
      </c>
      <c r="AI919" s="1" t="s">
        <v>132</v>
      </c>
      <c r="AJ919" s="1" t="s">
        <v>132</v>
      </c>
      <c r="AK919" s="1" t="s">
        <v>132</v>
      </c>
      <c r="AL919" s="1" t="s">
        <v>132</v>
      </c>
      <c r="AM919" s="1" t="s">
        <v>132</v>
      </c>
      <c r="AN919" s="1" t="s">
        <v>132</v>
      </c>
    </row>
    <row r="920" ht="15.75" customHeight="1">
      <c r="A920" s="1" t="s">
        <v>38</v>
      </c>
      <c r="B920" s="1" t="s">
        <v>18755</v>
      </c>
      <c r="C920" s="1" t="s">
        <v>18756</v>
      </c>
      <c r="D920" s="1" t="s">
        <v>132</v>
      </c>
      <c r="E920" s="1" t="s">
        <v>132</v>
      </c>
      <c r="F920" s="1" t="s">
        <v>132</v>
      </c>
      <c r="G920" s="1" t="s">
        <v>132</v>
      </c>
      <c r="H920" s="1" t="s">
        <v>132</v>
      </c>
      <c r="I920" s="1" t="s">
        <v>18756</v>
      </c>
      <c r="J920" s="1" t="s">
        <v>132</v>
      </c>
      <c r="K920" s="1" t="s">
        <v>18756</v>
      </c>
      <c r="L920" s="1" t="s">
        <v>132</v>
      </c>
      <c r="M920" s="1" t="s">
        <v>18757</v>
      </c>
      <c r="N920" s="1" t="s">
        <v>132</v>
      </c>
      <c r="O920" s="1" t="s">
        <v>132</v>
      </c>
      <c r="P920" s="1" t="s">
        <v>18756</v>
      </c>
      <c r="Q920" s="1" t="s">
        <v>132</v>
      </c>
      <c r="R920" s="1" t="s">
        <v>132</v>
      </c>
      <c r="S920" s="1" t="s">
        <v>132</v>
      </c>
      <c r="T920" s="1" t="s">
        <v>132</v>
      </c>
      <c r="U920" s="1" t="s">
        <v>132</v>
      </c>
      <c r="V920" s="1" t="s">
        <v>132</v>
      </c>
      <c r="W920" s="1" t="s">
        <v>132</v>
      </c>
      <c r="X920" s="1" t="s">
        <v>132</v>
      </c>
      <c r="Y920" s="1" t="s">
        <v>132</v>
      </c>
      <c r="Z920" s="1" t="s">
        <v>132</v>
      </c>
      <c r="AA920" s="1" t="s">
        <v>132</v>
      </c>
      <c r="AB920" s="1" t="s">
        <v>132</v>
      </c>
      <c r="AC920" s="1" t="s">
        <v>18758</v>
      </c>
      <c r="AD920" s="1" t="s">
        <v>132</v>
      </c>
      <c r="AE920" s="1" t="s">
        <v>132</v>
      </c>
      <c r="AF920" s="1" t="s">
        <v>18756</v>
      </c>
      <c r="AG920" s="1" t="s">
        <v>132</v>
      </c>
      <c r="AH920" s="1" t="s">
        <v>132</v>
      </c>
      <c r="AI920" s="1" t="s">
        <v>132</v>
      </c>
      <c r="AJ920" s="1" t="s">
        <v>132</v>
      </c>
      <c r="AK920" s="1" t="s">
        <v>132</v>
      </c>
      <c r="AL920" s="1" t="s">
        <v>132</v>
      </c>
      <c r="AM920" s="1" t="s">
        <v>132</v>
      </c>
      <c r="AN920" s="1" t="s">
        <v>132</v>
      </c>
    </row>
    <row r="921" ht="15.75" customHeight="1">
      <c r="A921" s="1" t="s">
        <v>127</v>
      </c>
      <c r="B921" s="1" t="s">
        <v>18759</v>
      </c>
      <c r="C921" s="1" t="s">
        <v>18760</v>
      </c>
      <c r="D921" s="8" t="s">
        <v>18761</v>
      </c>
      <c r="E921" s="1" t="s">
        <v>18762</v>
      </c>
      <c r="F921" s="1" t="s">
        <v>132</v>
      </c>
      <c r="G921" s="1" t="s">
        <v>18763</v>
      </c>
      <c r="H921" s="1" t="s">
        <v>18764</v>
      </c>
      <c r="I921" s="1" t="s">
        <v>18765</v>
      </c>
      <c r="J921" s="1" t="s">
        <v>18766</v>
      </c>
      <c r="K921" s="1" t="s">
        <v>18767</v>
      </c>
      <c r="L921" s="1" t="s">
        <v>18768</v>
      </c>
      <c r="M921" s="1" t="s">
        <v>18769</v>
      </c>
      <c r="N921" s="1" t="s">
        <v>132</v>
      </c>
      <c r="O921" s="1" t="s">
        <v>18770</v>
      </c>
      <c r="P921" s="1" t="s">
        <v>18771</v>
      </c>
      <c r="Q921" s="1" t="s">
        <v>132</v>
      </c>
      <c r="R921" s="1" t="s">
        <v>18772</v>
      </c>
      <c r="S921" s="1" t="s">
        <v>18773</v>
      </c>
      <c r="T921" s="8" t="s">
        <v>18774</v>
      </c>
      <c r="U921" s="1" t="s">
        <v>18775</v>
      </c>
      <c r="V921" s="1" t="s">
        <v>18776</v>
      </c>
      <c r="W921" s="1" t="s">
        <v>18772</v>
      </c>
      <c r="X921" s="1" t="s">
        <v>18777</v>
      </c>
      <c r="Y921" s="1" t="s">
        <v>18778</v>
      </c>
      <c r="Z921" s="1" t="s">
        <v>18779</v>
      </c>
      <c r="AA921" s="1" t="s">
        <v>18780</v>
      </c>
      <c r="AB921" s="1" t="s">
        <v>18781</v>
      </c>
      <c r="AC921" s="1" t="s">
        <v>18782</v>
      </c>
      <c r="AD921" s="1" t="s">
        <v>18783</v>
      </c>
      <c r="AE921" s="1" t="s">
        <v>18784</v>
      </c>
      <c r="AF921" s="1" t="s">
        <v>18785</v>
      </c>
      <c r="AG921" s="1" t="s">
        <v>18786</v>
      </c>
      <c r="AH921" s="1" t="s">
        <v>18787</v>
      </c>
      <c r="AI921" s="1" t="s">
        <v>18788</v>
      </c>
      <c r="AJ921" s="1" t="s">
        <v>132</v>
      </c>
      <c r="AK921" s="1" t="s">
        <v>18789</v>
      </c>
      <c r="AL921" s="1" t="s">
        <v>18790</v>
      </c>
      <c r="AM921" s="1" t="s">
        <v>18791</v>
      </c>
      <c r="AN921" s="1" t="s">
        <v>18791</v>
      </c>
    </row>
    <row r="922" ht="15.75" customHeight="1">
      <c r="A922" s="1" t="s">
        <v>127</v>
      </c>
      <c r="B922" s="1" t="s">
        <v>18792</v>
      </c>
      <c r="C922" s="1" t="s">
        <v>18793</v>
      </c>
      <c r="D922" s="8" t="s">
        <v>18794</v>
      </c>
      <c r="E922" s="1" t="s">
        <v>18795</v>
      </c>
      <c r="F922" s="1" t="s">
        <v>132</v>
      </c>
      <c r="G922" s="1" t="s">
        <v>18796</v>
      </c>
      <c r="H922" s="1" t="s">
        <v>18793</v>
      </c>
      <c r="I922" s="1" t="s">
        <v>18797</v>
      </c>
      <c r="J922" s="1" t="s">
        <v>18798</v>
      </c>
      <c r="K922" s="1" t="s">
        <v>18799</v>
      </c>
      <c r="L922" s="1" t="s">
        <v>18800</v>
      </c>
      <c r="M922" s="1" t="s">
        <v>18801</v>
      </c>
      <c r="N922" s="1" t="s">
        <v>132</v>
      </c>
      <c r="O922" s="1" t="s">
        <v>18802</v>
      </c>
      <c r="P922" s="1" t="s">
        <v>18803</v>
      </c>
      <c r="Q922" s="1" t="s">
        <v>132</v>
      </c>
      <c r="R922" s="1" t="s">
        <v>18804</v>
      </c>
      <c r="S922" s="1" t="s">
        <v>18805</v>
      </c>
      <c r="T922" s="8" t="s">
        <v>18806</v>
      </c>
      <c r="U922" s="1" t="s">
        <v>18807</v>
      </c>
      <c r="V922" s="1" t="s">
        <v>18808</v>
      </c>
      <c r="W922" s="1" t="s">
        <v>18809</v>
      </c>
      <c r="X922" s="1" t="s">
        <v>18810</v>
      </c>
      <c r="Y922" s="1" t="s">
        <v>18793</v>
      </c>
      <c r="Z922" s="1" t="s">
        <v>18811</v>
      </c>
      <c r="AA922" s="1" t="s">
        <v>18799</v>
      </c>
      <c r="AB922" s="1" t="s">
        <v>18812</v>
      </c>
      <c r="AC922" s="1" t="s">
        <v>18813</v>
      </c>
      <c r="AD922" s="1" t="s">
        <v>18814</v>
      </c>
      <c r="AE922" s="1" t="s">
        <v>18815</v>
      </c>
      <c r="AF922" s="1" t="s">
        <v>18816</v>
      </c>
      <c r="AG922" s="1" t="s">
        <v>18817</v>
      </c>
      <c r="AH922" s="1" t="s">
        <v>18818</v>
      </c>
      <c r="AI922" s="1" t="s">
        <v>18819</v>
      </c>
      <c r="AJ922" s="1" t="s">
        <v>132</v>
      </c>
      <c r="AK922" s="1" t="s">
        <v>18820</v>
      </c>
      <c r="AL922" s="1" t="s">
        <v>18821</v>
      </c>
      <c r="AM922" s="1" t="s">
        <v>132</v>
      </c>
      <c r="AN922" s="1" t="s">
        <v>132</v>
      </c>
    </row>
    <row r="923" ht="15.75" customHeight="1">
      <c r="A923" s="1" t="s">
        <v>38</v>
      </c>
      <c r="B923" s="1" t="s">
        <v>18822</v>
      </c>
      <c r="C923" s="1" t="s">
        <v>18823</v>
      </c>
      <c r="D923" s="8" t="s">
        <v>18824</v>
      </c>
      <c r="E923" s="1" t="s">
        <v>18825</v>
      </c>
      <c r="F923" s="1" t="s">
        <v>18826</v>
      </c>
      <c r="G923" s="1" t="s">
        <v>132</v>
      </c>
      <c r="H923" s="1" t="s">
        <v>132</v>
      </c>
      <c r="I923" s="1" t="s">
        <v>18827</v>
      </c>
      <c r="J923" s="1" t="s">
        <v>132</v>
      </c>
      <c r="K923" s="1" t="s">
        <v>18828</v>
      </c>
      <c r="L923" s="1" t="s">
        <v>132</v>
      </c>
      <c r="M923" s="1" t="s">
        <v>18829</v>
      </c>
      <c r="N923" s="1" t="s">
        <v>18830</v>
      </c>
      <c r="O923" s="1" t="s">
        <v>132</v>
      </c>
      <c r="P923" s="1" t="s">
        <v>18831</v>
      </c>
      <c r="Q923" s="1" t="s">
        <v>132</v>
      </c>
      <c r="R923" s="1" t="s">
        <v>132</v>
      </c>
      <c r="S923" s="1" t="s">
        <v>18832</v>
      </c>
      <c r="T923" s="1" t="s">
        <v>132</v>
      </c>
      <c r="U923" s="1" t="s">
        <v>132</v>
      </c>
      <c r="V923" s="1" t="s">
        <v>132</v>
      </c>
      <c r="W923" s="1" t="s">
        <v>132</v>
      </c>
      <c r="X923" s="1" t="s">
        <v>18833</v>
      </c>
      <c r="Y923" s="1" t="s">
        <v>132</v>
      </c>
      <c r="Z923" s="1" t="s">
        <v>18834</v>
      </c>
      <c r="AA923" s="1" t="s">
        <v>132</v>
      </c>
      <c r="AB923" s="1" t="s">
        <v>132</v>
      </c>
      <c r="AC923" s="1" t="s">
        <v>18835</v>
      </c>
      <c r="AD923" s="1" t="s">
        <v>132</v>
      </c>
      <c r="AE923" s="1" t="s">
        <v>132</v>
      </c>
      <c r="AF923" s="1" t="s">
        <v>132</v>
      </c>
      <c r="AG923" s="1" t="s">
        <v>132</v>
      </c>
      <c r="AH923" s="1" t="s">
        <v>132</v>
      </c>
      <c r="AI923" s="1" t="s">
        <v>132</v>
      </c>
      <c r="AJ923" s="1" t="s">
        <v>132</v>
      </c>
      <c r="AK923" s="1" t="s">
        <v>132</v>
      </c>
      <c r="AL923" s="1" t="s">
        <v>132</v>
      </c>
      <c r="AM923" s="1" t="s">
        <v>132</v>
      </c>
      <c r="AN923" s="1" t="s">
        <v>132</v>
      </c>
    </row>
    <row r="924" ht="15.75" customHeight="1">
      <c r="A924" s="1" t="s">
        <v>38</v>
      </c>
      <c r="B924" s="1" t="s">
        <v>18836</v>
      </c>
      <c r="C924" s="1" t="s">
        <v>18837</v>
      </c>
      <c r="D924" s="8" t="s">
        <v>18838</v>
      </c>
      <c r="E924" s="1" t="s">
        <v>18839</v>
      </c>
      <c r="F924" s="1" t="s">
        <v>18840</v>
      </c>
      <c r="G924" s="1" t="s">
        <v>132</v>
      </c>
      <c r="H924" s="1" t="s">
        <v>132</v>
      </c>
      <c r="I924" s="1" t="s">
        <v>18841</v>
      </c>
      <c r="J924" s="1" t="s">
        <v>132</v>
      </c>
      <c r="K924" s="1" t="s">
        <v>18842</v>
      </c>
      <c r="L924" s="1" t="s">
        <v>132</v>
      </c>
      <c r="M924" s="1" t="s">
        <v>18843</v>
      </c>
      <c r="N924" s="1" t="s">
        <v>18844</v>
      </c>
      <c r="O924" s="1" t="s">
        <v>132</v>
      </c>
      <c r="P924" s="1" t="s">
        <v>18845</v>
      </c>
      <c r="Q924" s="1" t="s">
        <v>132</v>
      </c>
      <c r="R924" s="1" t="s">
        <v>132</v>
      </c>
      <c r="S924" s="1" t="s">
        <v>18846</v>
      </c>
      <c r="T924" s="1" t="s">
        <v>132</v>
      </c>
      <c r="U924" s="1" t="s">
        <v>18847</v>
      </c>
      <c r="V924" s="1" t="s">
        <v>132</v>
      </c>
      <c r="W924" s="1" t="s">
        <v>132</v>
      </c>
      <c r="X924" s="1" t="s">
        <v>18848</v>
      </c>
      <c r="Y924" s="1" t="s">
        <v>132</v>
      </c>
      <c r="Z924" s="1" t="s">
        <v>18849</v>
      </c>
      <c r="AA924" s="1" t="s">
        <v>18850</v>
      </c>
      <c r="AB924" s="1" t="s">
        <v>132</v>
      </c>
      <c r="AC924" s="1" t="s">
        <v>18851</v>
      </c>
      <c r="AD924" s="1" t="s">
        <v>132</v>
      </c>
      <c r="AE924" s="1" t="s">
        <v>132</v>
      </c>
      <c r="AF924" s="1" t="s">
        <v>18852</v>
      </c>
      <c r="AG924" s="1" t="s">
        <v>132</v>
      </c>
      <c r="AH924" s="1" t="s">
        <v>132</v>
      </c>
      <c r="AI924" s="1" t="s">
        <v>132</v>
      </c>
      <c r="AJ924" s="1" t="s">
        <v>132</v>
      </c>
      <c r="AK924" s="1" t="s">
        <v>132</v>
      </c>
      <c r="AL924" s="1" t="s">
        <v>132</v>
      </c>
      <c r="AM924" s="1" t="s">
        <v>132</v>
      </c>
      <c r="AN924" s="1" t="s">
        <v>132</v>
      </c>
    </row>
    <row r="925" ht="15.75" customHeight="1">
      <c r="A925" s="1" t="s">
        <v>127</v>
      </c>
      <c r="B925" s="1" t="s">
        <v>18853</v>
      </c>
      <c r="C925" s="1" t="s">
        <v>18854</v>
      </c>
      <c r="D925" s="8" t="s">
        <v>18855</v>
      </c>
      <c r="E925" s="1" t="s">
        <v>18856</v>
      </c>
      <c r="F925" s="1" t="s">
        <v>132</v>
      </c>
      <c r="G925" s="1" t="s">
        <v>18857</v>
      </c>
      <c r="H925" s="1" t="s">
        <v>18858</v>
      </c>
      <c r="I925" s="1" t="s">
        <v>18859</v>
      </c>
      <c r="J925" s="1" t="s">
        <v>18860</v>
      </c>
      <c r="K925" s="1" t="s">
        <v>18861</v>
      </c>
      <c r="L925" s="1" t="s">
        <v>18862</v>
      </c>
      <c r="M925" s="1" t="s">
        <v>18863</v>
      </c>
      <c r="N925" s="1" t="s">
        <v>132</v>
      </c>
      <c r="O925" s="1" t="s">
        <v>18864</v>
      </c>
      <c r="P925" s="1" t="s">
        <v>18865</v>
      </c>
      <c r="Q925" s="1" t="s">
        <v>132</v>
      </c>
      <c r="R925" s="1" t="s">
        <v>18866</v>
      </c>
      <c r="S925" s="1" t="s">
        <v>18867</v>
      </c>
      <c r="T925" s="8" t="s">
        <v>18868</v>
      </c>
      <c r="U925" s="1" t="s">
        <v>18869</v>
      </c>
      <c r="V925" s="1" t="s">
        <v>18870</v>
      </c>
      <c r="W925" s="1" t="s">
        <v>18871</v>
      </c>
      <c r="X925" s="1" t="s">
        <v>18872</v>
      </c>
      <c r="Y925" s="1" t="s">
        <v>18873</v>
      </c>
      <c r="Z925" s="1" t="s">
        <v>18874</v>
      </c>
      <c r="AA925" s="1" t="s">
        <v>18875</v>
      </c>
      <c r="AB925" s="1" t="s">
        <v>18876</v>
      </c>
      <c r="AC925" s="1" t="s">
        <v>18877</v>
      </c>
      <c r="AD925" s="1" t="s">
        <v>18878</v>
      </c>
      <c r="AE925" s="1" t="s">
        <v>18879</v>
      </c>
      <c r="AF925" s="1" t="s">
        <v>18880</v>
      </c>
      <c r="AG925" s="1" t="s">
        <v>18881</v>
      </c>
      <c r="AH925" s="1" t="s">
        <v>18882</v>
      </c>
      <c r="AI925" s="1" t="s">
        <v>18883</v>
      </c>
      <c r="AJ925" s="1" t="s">
        <v>132</v>
      </c>
      <c r="AK925" s="1" t="s">
        <v>18884</v>
      </c>
      <c r="AL925" s="1" t="s">
        <v>18885</v>
      </c>
      <c r="AM925" s="1" t="s">
        <v>18886</v>
      </c>
      <c r="AN925" s="1" t="s">
        <v>18886</v>
      </c>
    </row>
    <row r="926" ht="15.75" customHeight="1">
      <c r="A926" s="1" t="s">
        <v>38</v>
      </c>
      <c r="B926" s="1" t="s">
        <v>18887</v>
      </c>
      <c r="C926" s="1" t="s">
        <v>18888</v>
      </c>
      <c r="D926" s="1" t="s">
        <v>132</v>
      </c>
      <c r="E926" s="1" t="s">
        <v>132</v>
      </c>
      <c r="F926" s="1" t="s">
        <v>132</v>
      </c>
      <c r="G926" s="1" t="s">
        <v>132</v>
      </c>
      <c r="H926" s="1" t="s">
        <v>132</v>
      </c>
      <c r="I926" s="1" t="s">
        <v>18889</v>
      </c>
      <c r="J926" s="1" t="s">
        <v>132</v>
      </c>
      <c r="K926" s="1" t="s">
        <v>18890</v>
      </c>
      <c r="L926" s="1" t="s">
        <v>132</v>
      </c>
      <c r="M926" s="1" t="s">
        <v>18891</v>
      </c>
      <c r="N926" s="1" t="s">
        <v>132</v>
      </c>
      <c r="O926" s="1" t="s">
        <v>132</v>
      </c>
      <c r="P926" s="1" t="s">
        <v>18888</v>
      </c>
      <c r="Q926" s="1" t="s">
        <v>132</v>
      </c>
      <c r="R926" s="1" t="s">
        <v>132</v>
      </c>
      <c r="S926" s="1" t="s">
        <v>132</v>
      </c>
      <c r="T926" s="1" t="s">
        <v>132</v>
      </c>
      <c r="U926" s="1" t="s">
        <v>132</v>
      </c>
      <c r="V926" s="1" t="s">
        <v>132</v>
      </c>
      <c r="W926" s="1" t="s">
        <v>132</v>
      </c>
      <c r="X926" s="1" t="s">
        <v>132</v>
      </c>
      <c r="Y926" s="1" t="s">
        <v>132</v>
      </c>
      <c r="Z926" s="1" t="s">
        <v>132</v>
      </c>
      <c r="AA926" s="1" t="s">
        <v>132</v>
      </c>
      <c r="AB926" s="1" t="s">
        <v>132</v>
      </c>
      <c r="AC926" s="1" t="s">
        <v>18892</v>
      </c>
      <c r="AD926" s="1" t="s">
        <v>132</v>
      </c>
      <c r="AE926" s="1" t="s">
        <v>132</v>
      </c>
      <c r="AF926" s="1" t="s">
        <v>18893</v>
      </c>
      <c r="AG926" s="1" t="s">
        <v>132</v>
      </c>
      <c r="AH926" s="1" t="s">
        <v>132</v>
      </c>
      <c r="AI926" s="1" t="s">
        <v>132</v>
      </c>
      <c r="AJ926" s="1" t="s">
        <v>132</v>
      </c>
      <c r="AK926" s="1" t="s">
        <v>132</v>
      </c>
      <c r="AL926" s="1" t="s">
        <v>132</v>
      </c>
      <c r="AM926" s="1" t="s">
        <v>132</v>
      </c>
      <c r="AN926" s="1" t="s">
        <v>132</v>
      </c>
    </row>
    <row r="927" ht="15.75" customHeight="1">
      <c r="A927" s="1" t="s">
        <v>127</v>
      </c>
      <c r="B927" s="1" t="s">
        <v>18894</v>
      </c>
      <c r="C927" s="1" t="s">
        <v>8813</v>
      </c>
      <c r="D927" s="8" t="s">
        <v>8814</v>
      </c>
      <c r="E927" s="1" t="s">
        <v>8815</v>
      </c>
      <c r="F927" s="1" t="s">
        <v>132</v>
      </c>
      <c r="G927" s="1" t="s">
        <v>8816</v>
      </c>
      <c r="H927" s="1" t="s">
        <v>8817</v>
      </c>
      <c r="I927" s="1" t="s">
        <v>18895</v>
      </c>
      <c r="J927" s="1" t="s">
        <v>8819</v>
      </c>
      <c r="K927" s="1" t="s">
        <v>8820</v>
      </c>
      <c r="L927" s="1" t="s">
        <v>8821</v>
      </c>
      <c r="M927" s="1" t="s">
        <v>8813</v>
      </c>
      <c r="N927" s="1" t="s">
        <v>132</v>
      </c>
      <c r="O927" s="1" t="s">
        <v>8822</v>
      </c>
      <c r="P927" s="1" t="s">
        <v>18896</v>
      </c>
      <c r="Q927" s="1" t="s">
        <v>132</v>
      </c>
      <c r="R927" s="1" t="s">
        <v>8824</v>
      </c>
      <c r="S927" s="1" t="s">
        <v>8825</v>
      </c>
      <c r="T927" s="8" t="s">
        <v>8826</v>
      </c>
      <c r="U927" s="1" t="s">
        <v>18897</v>
      </c>
      <c r="V927" s="1" t="s">
        <v>8828</v>
      </c>
      <c r="W927" s="1" t="s">
        <v>8829</v>
      </c>
      <c r="X927" s="1" t="s">
        <v>8813</v>
      </c>
      <c r="Y927" s="1" t="s">
        <v>8830</v>
      </c>
      <c r="Z927" s="1" t="s">
        <v>18898</v>
      </c>
      <c r="AA927" s="1" t="s">
        <v>18899</v>
      </c>
      <c r="AB927" s="1" t="s">
        <v>8833</v>
      </c>
      <c r="AC927" s="1" t="s">
        <v>18900</v>
      </c>
      <c r="AD927" s="1" t="s">
        <v>8835</v>
      </c>
      <c r="AE927" s="1" t="s">
        <v>8836</v>
      </c>
      <c r="AF927" s="1" t="s">
        <v>8837</v>
      </c>
      <c r="AG927" s="1" t="s">
        <v>8838</v>
      </c>
      <c r="AH927" s="1" t="s">
        <v>8839</v>
      </c>
      <c r="AI927" s="1" t="s">
        <v>8840</v>
      </c>
      <c r="AJ927" s="1" t="s">
        <v>132</v>
      </c>
      <c r="AK927" s="1" t="s">
        <v>8841</v>
      </c>
      <c r="AL927" s="1" t="s">
        <v>8842</v>
      </c>
      <c r="AM927" s="1" t="s">
        <v>18901</v>
      </c>
      <c r="AN927" s="1" t="s">
        <v>18901</v>
      </c>
    </row>
    <row r="928" ht="15.75" customHeight="1">
      <c r="A928" s="1" t="s">
        <v>38</v>
      </c>
      <c r="B928" s="1" t="s">
        <v>18902</v>
      </c>
      <c r="C928" s="1" t="s">
        <v>18903</v>
      </c>
      <c r="D928" s="8" t="s">
        <v>18904</v>
      </c>
      <c r="E928" s="1" t="s">
        <v>18905</v>
      </c>
      <c r="F928" s="1" t="s">
        <v>18906</v>
      </c>
      <c r="G928" s="1" t="s">
        <v>132</v>
      </c>
      <c r="H928" s="1" t="s">
        <v>132</v>
      </c>
      <c r="I928" s="1" t="s">
        <v>18907</v>
      </c>
      <c r="J928" s="1" t="s">
        <v>132</v>
      </c>
      <c r="K928" s="1" t="s">
        <v>18908</v>
      </c>
      <c r="L928" s="1" t="s">
        <v>132</v>
      </c>
      <c r="M928" s="1" t="s">
        <v>18909</v>
      </c>
      <c r="N928" s="1" t="s">
        <v>18910</v>
      </c>
      <c r="O928" s="1" t="s">
        <v>132</v>
      </c>
      <c r="P928" s="1" t="s">
        <v>18911</v>
      </c>
      <c r="Q928" s="1" t="s">
        <v>132</v>
      </c>
      <c r="R928" s="1" t="s">
        <v>132</v>
      </c>
      <c r="S928" s="1" t="s">
        <v>18912</v>
      </c>
      <c r="T928" s="1" t="s">
        <v>132</v>
      </c>
      <c r="U928" s="1" t="s">
        <v>18913</v>
      </c>
      <c r="V928" s="1" t="s">
        <v>132</v>
      </c>
      <c r="W928" s="1" t="s">
        <v>132</v>
      </c>
      <c r="X928" s="1" t="s">
        <v>18914</v>
      </c>
      <c r="Y928" s="1" t="s">
        <v>132</v>
      </c>
      <c r="Z928" s="1" t="s">
        <v>18915</v>
      </c>
      <c r="AA928" s="1" t="s">
        <v>132</v>
      </c>
      <c r="AB928" s="1" t="s">
        <v>132</v>
      </c>
      <c r="AC928" s="1" t="s">
        <v>18916</v>
      </c>
      <c r="AD928" s="1" t="s">
        <v>132</v>
      </c>
      <c r="AE928" s="1" t="s">
        <v>132</v>
      </c>
      <c r="AF928" s="1" t="s">
        <v>18917</v>
      </c>
      <c r="AG928" s="1" t="s">
        <v>18918</v>
      </c>
      <c r="AH928" s="1" t="s">
        <v>132</v>
      </c>
      <c r="AI928" s="1" t="s">
        <v>132</v>
      </c>
      <c r="AJ928" s="1" t="s">
        <v>18919</v>
      </c>
      <c r="AK928" s="1" t="s">
        <v>132</v>
      </c>
      <c r="AL928" s="1" t="s">
        <v>132</v>
      </c>
      <c r="AM928" s="1" t="s">
        <v>18920</v>
      </c>
      <c r="AN928" s="1" t="s">
        <v>18920</v>
      </c>
    </row>
    <row r="929" ht="15.75" customHeight="1">
      <c r="A929" s="1" t="s">
        <v>127</v>
      </c>
      <c r="B929" s="1" t="s">
        <v>18921</v>
      </c>
      <c r="C929" s="1" t="s">
        <v>18922</v>
      </c>
      <c r="D929" s="8" t="s">
        <v>18923</v>
      </c>
      <c r="E929" s="1" t="s">
        <v>18924</v>
      </c>
      <c r="F929" s="1" t="s">
        <v>132</v>
      </c>
      <c r="G929" s="1" t="s">
        <v>18925</v>
      </c>
      <c r="H929" s="1" t="s">
        <v>18926</v>
      </c>
      <c r="I929" s="1" t="s">
        <v>18927</v>
      </c>
      <c r="J929" s="1" t="s">
        <v>18928</v>
      </c>
      <c r="K929" s="1" t="s">
        <v>18929</v>
      </c>
      <c r="L929" s="1" t="s">
        <v>18930</v>
      </c>
      <c r="M929" s="1" t="s">
        <v>18931</v>
      </c>
      <c r="N929" s="1" t="s">
        <v>132</v>
      </c>
      <c r="O929" s="1" t="s">
        <v>18932</v>
      </c>
      <c r="P929" s="1" t="s">
        <v>7899</v>
      </c>
      <c r="Q929" s="1" t="s">
        <v>132</v>
      </c>
      <c r="R929" s="1" t="s">
        <v>18933</v>
      </c>
      <c r="S929" s="1" t="s">
        <v>18934</v>
      </c>
      <c r="T929" s="8" t="s">
        <v>18935</v>
      </c>
      <c r="U929" s="1" t="s">
        <v>18936</v>
      </c>
      <c r="V929" s="1" t="s">
        <v>18937</v>
      </c>
      <c r="W929" s="1" t="s">
        <v>18933</v>
      </c>
      <c r="X929" s="1" t="s">
        <v>18927</v>
      </c>
      <c r="Y929" s="1" t="s">
        <v>18938</v>
      </c>
      <c r="Z929" s="1" t="s">
        <v>18939</v>
      </c>
      <c r="AA929" s="1" t="s">
        <v>18940</v>
      </c>
      <c r="AB929" s="1" t="s">
        <v>18941</v>
      </c>
      <c r="AC929" s="1" t="s">
        <v>18942</v>
      </c>
      <c r="AD929" s="1" t="s">
        <v>18925</v>
      </c>
      <c r="AE929" s="1" t="s">
        <v>18943</v>
      </c>
      <c r="AF929" s="1" t="s">
        <v>18944</v>
      </c>
      <c r="AG929" s="1" t="s">
        <v>18945</v>
      </c>
      <c r="AH929" s="1" t="s">
        <v>18946</v>
      </c>
      <c r="AI929" s="1" t="s">
        <v>18947</v>
      </c>
      <c r="AJ929" s="1" t="s">
        <v>132</v>
      </c>
      <c r="AK929" s="1" t="s">
        <v>18948</v>
      </c>
      <c r="AL929" s="1" t="s">
        <v>18936</v>
      </c>
      <c r="AM929" s="1" t="s">
        <v>18949</v>
      </c>
      <c r="AN929" s="1" t="s">
        <v>18949</v>
      </c>
    </row>
    <row r="930" ht="15.75" customHeight="1">
      <c r="A930" s="1" t="s">
        <v>127</v>
      </c>
      <c r="B930" s="1" t="s">
        <v>18950</v>
      </c>
      <c r="C930" s="1" t="s">
        <v>18951</v>
      </c>
      <c r="D930" s="8" t="s">
        <v>18952</v>
      </c>
      <c r="E930" s="1" t="s">
        <v>18953</v>
      </c>
      <c r="F930" s="1" t="s">
        <v>132</v>
      </c>
      <c r="G930" s="1" t="s">
        <v>18954</v>
      </c>
      <c r="H930" s="1" t="s">
        <v>18955</v>
      </c>
      <c r="I930" s="1" t="s">
        <v>18956</v>
      </c>
      <c r="J930" s="1" t="s">
        <v>18957</v>
      </c>
      <c r="K930" s="1" t="s">
        <v>18958</v>
      </c>
      <c r="L930" s="1" t="s">
        <v>18959</v>
      </c>
      <c r="M930" s="1" t="s">
        <v>18960</v>
      </c>
      <c r="N930" s="1" t="s">
        <v>132</v>
      </c>
      <c r="O930" s="1" t="s">
        <v>18961</v>
      </c>
      <c r="P930" s="1" t="s">
        <v>18962</v>
      </c>
      <c r="Q930" s="1" t="s">
        <v>132</v>
      </c>
      <c r="R930" s="1" t="s">
        <v>18963</v>
      </c>
      <c r="S930" s="1" t="s">
        <v>18964</v>
      </c>
      <c r="T930" s="8" t="s">
        <v>18965</v>
      </c>
      <c r="U930" s="1" t="s">
        <v>18966</v>
      </c>
      <c r="V930" s="1" t="s">
        <v>18967</v>
      </c>
      <c r="W930" s="1" t="s">
        <v>18968</v>
      </c>
      <c r="X930" s="1" t="s">
        <v>18969</v>
      </c>
      <c r="Y930" s="1" t="s">
        <v>18970</v>
      </c>
      <c r="Z930" s="1" t="s">
        <v>18971</v>
      </c>
      <c r="AA930" s="1" t="s">
        <v>18972</v>
      </c>
      <c r="AB930" s="1" t="s">
        <v>18973</v>
      </c>
      <c r="AC930" s="1" t="s">
        <v>18974</v>
      </c>
      <c r="AD930" s="1" t="s">
        <v>18975</v>
      </c>
      <c r="AE930" s="1" t="s">
        <v>18976</v>
      </c>
      <c r="AF930" s="1" t="s">
        <v>18977</v>
      </c>
      <c r="AG930" s="1" t="s">
        <v>18978</v>
      </c>
      <c r="AH930" s="1" t="s">
        <v>18979</v>
      </c>
      <c r="AI930" s="1" t="s">
        <v>18980</v>
      </c>
      <c r="AJ930" s="1" t="s">
        <v>132</v>
      </c>
      <c r="AK930" s="1" t="s">
        <v>18981</v>
      </c>
      <c r="AL930" s="1" t="s">
        <v>18982</v>
      </c>
      <c r="AM930" s="1" t="s">
        <v>132</v>
      </c>
      <c r="AN930" s="1" t="s">
        <v>132</v>
      </c>
    </row>
    <row r="931" ht="15.75" customHeight="1">
      <c r="A931" s="1" t="s">
        <v>127</v>
      </c>
      <c r="B931" s="1" t="s">
        <v>18983</v>
      </c>
      <c r="C931" s="1" t="s">
        <v>18984</v>
      </c>
      <c r="D931" s="8" t="s">
        <v>7763</v>
      </c>
      <c r="E931" s="1" t="s">
        <v>18985</v>
      </c>
      <c r="F931" s="1" t="s">
        <v>132</v>
      </c>
      <c r="G931" s="1" t="s">
        <v>18986</v>
      </c>
      <c r="H931" s="1" t="s">
        <v>18987</v>
      </c>
      <c r="I931" s="1" t="s">
        <v>18988</v>
      </c>
      <c r="J931" s="1" t="s">
        <v>18989</v>
      </c>
      <c r="K931" s="1" t="s">
        <v>6250</v>
      </c>
      <c r="L931" s="1" t="s">
        <v>18990</v>
      </c>
      <c r="M931" s="1" t="s">
        <v>18991</v>
      </c>
      <c r="N931" s="1" t="s">
        <v>132</v>
      </c>
      <c r="O931" s="1" t="s">
        <v>18992</v>
      </c>
      <c r="P931" s="1" t="s">
        <v>18993</v>
      </c>
      <c r="Q931" s="1" t="s">
        <v>132</v>
      </c>
      <c r="R931" s="1" t="s">
        <v>18994</v>
      </c>
      <c r="S931" s="1" t="s">
        <v>18995</v>
      </c>
      <c r="T931" s="8" t="s">
        <v>18996</v>
      </c>
      <c r="U931" s="1" t="s">
        <v>18997</v>
      </c>
      <c r="V931" s="1" t="s">
        <v>18998</v>
      </c>
      <c r="W931" s="1" t="s">
        <v>18994</v>
      </c>
      <c r="X931" s="1" t="s">
        <v>18999</v>
      </c>
      <c r="Y931" s="1" t="s">
        <v>19000</v>
      </c>
      <c r="Z931" s="1" t="s">
        <v>19001</v>
      </c>
      <c r="AA931" s="1" t="s">
        <v>6250</v>
      </c>
      <c r="AB931" s="1" t="s">
        <v>19002</v>
      </c>
      <c r="AC931" s="1" t="s">
        <v>19003</v>
      </c>
      <c r="AD931" s="1" t="s">
        <v>19004</v>
      </c>
      <c r="AE931" s="1" t="s">
        <v>19005</v>
      </c>
      <c r="AF931" s="1" t="s">
        <v>19006</v>
      </c>
      <c r="AG931" s="1" t="s">
        <v>19007</v>
      </c>
      <c r="AH931" s="1" t="s">
        <v>7788</v>
      </c>
      <c r="AI931" s="1" t="s">
        <v>19008</v>
      </c>
      <c r="AJ931" s="1" t="s">
        <v>132</v>
      </c>
      <c r="AK931" s="1" t="s">
        <v>19009</v>
      </c>
      <c r="AL931" s="1" t="s">
        <v>19010</v>
      </c>
      <c r="AM931" s="1" t="s">
        <v>132</v>
      </c>
      <c r="AN931" s="1" t="s">
        <v>132</v>
      </c>
    </row>
    <row r="932" ht="15.75" customHeight="1">
      <c r="A932" s="1" t="s">
        <v>38</v>
      </c>
      <c r="B932" s="1" t="s">
        <v>19011</v>
      </c>
      <c r="C932" s="1" t="s">
        <v>19012</v>
      </c>
      <c r="D932" s="8" t="s">
        <v>19013</v>
      </c>
      <c r="E932" s="1" t="s">
        <v>19014</v>
      </c>
      <c r="F932" s="1" t="s">
        <v>19015</v>
      </c>
      <c r="G932" s="1" t="s">
        <v>132</v>
      </c>
      <c r="H932" s="1" t="s">
        <v>132</v>
      </c>
      <c r="I932" s="1" t="s">
        <v>19016</v>
      </c>
      <c r="J932" s="1" t="s">
        <v>132</v>
      </c>
      <c r="K932" s="1" t="s">
        <v>19017</v>
      </c>
      <c r="L932" s="1" t="s">
        <v>132</v>
      </c>
      <c r="M932" s="1" t="s">
        <v>19018</v>
      </c>
      <c r="N932" s="1" t="s">
        <v>19019</v>
      </c>
      <c r="O932" s="1" t="s">
        <v>132</v>
      </c>
      <c r="P932" s="1" t="s">
        <v>19020</v>
      </c>
      <c r="Q932" s="1" t="s">
        <v>132</v>
      </c>
      <c r="R932" s="1" t="s">
        <v>132</v>
      </c>
      <c r="S932" s="1" t="s">
        <v>19021</v>
      </c>
      <c r="T932" s="1" t="s">
        <v>132</v>
      </c>
      <c r="U932" s="1" t="s">
        <v>19022</v>
      </c>
      <c r="V932" s="1" t="s">
        <v>132</v>
      </c>
      <c r="W932" s="1" t="s">
        <v>132</v>
      </c>
      <c r="X932" s="1" t="s">
        <v>19023</v>
      </c>
      <c r="Y932" s="1" t="s">
        <v>132</v>
      </c>
      <c r="Z932" s="1" t="s">
        <v>19024</v>
      </c>
      <c r="AA932" s="1" t="s">
        <v>132</v>
      </c>
      <c r="AB932" s="1" t="s">
        <v>132</v>
      </c>
      <c r="AC932" s="1" t="s">
        <v>19025</v>
      </c>
      <c r="AD932" s="1" t="s">
        <v>132</v>
      </c>
      <c r="AE932" s="1" t="s">
        <v>132</v>
      </c>
      <c r="AF932" s="1" t="s">
        <v>19026</v>
      </c>
      <c r="AG932" s="1" t="s">
        <v>132</v>
      </c>
      <c r="AH932" s="1" t="s">
        <v>132</v>
      </c>
      <c r="AI932" s="1" t="s">
        <v>132</v>
      </c>
      <c r="AJ932" s="1" t="s">
        <v>132</v>
      </c>
      <c r="AK932" s="1" t="s">
        <v>132</v>
      </c>
      <c r="AL932" s="1" t="s">
        <v>132</v>
      </c>
      <c r="AM932" s="1" t="s">
        <v>132</v>
      </c>
      <c r="AN932" s="1" t="s">
        <v>132</v>
      </c>
    </row>
    <row r="933" ht="15.75" customHeight="1">
      <c r="A933" s="1" t="s">
        <v>127</v>
      </c>
      <c r="B933" s="1" t="s">
        <v>19027</v>
      </c>
      <c r="C933" s="1" t="s">
        <v>19028</v>
      </c>
      <c r="D933" s="1" t="s">
        <v>132</v>
      </c>
      <c r="E933" s="1" t="s">
        <v>132</v>
      </c>
      <c r="F933" s="1" t="s">
        <v>132</v>
      </c>
      <c r="G933" s="1" t="s">
        <v>132</v>
      </c>
      <c r="H933" s="1" t="s">
        <v>19029</v>
      </c>
      <c r="I933" s="1" t="s">
        <v>19030</v>
      </c>
      <c r="J933" s="1" t="s">
        <v>132</v>
      </c>
      <c r="K933" s="1" t="s">
        <v>19031</v>
      </c>
      <c r="L933" s="1" t="s">
        <v>19032</v>
      </c>
      <c r="M933" s="1" t="s">
        <v>19033</v>
      </c>
      <c r="N933" s="1" t="s">
        <v>132</v>
      </c>
      <c r="O933" s="1" t="s">
        <v>132</v>
      </c>
      <c r="P933" s="1" t="s">
        <v>19034</v>
      </c>
      <c r="Q933" s="1" t="s">
        <v>132</v>
      </c>
      <c r="R933" s="1" t="s">
        <v>19035</v>
      </c>
      <c r="S933" s="1" t="s">
        <v>19036</v>
      </c>
      <c r="T933" s="1" t="s">
        <v>132</v>
      </c>
      <c r="U933" s="1" t="s">
        <v>1220</v>
      </c>
      <c r="V933" s="1" t="s">
        <v>19037</v>
      </c>
      <c r="W933" s="1" t="s">
        <v>19038</v>
      </c>
      <c r="X933" s="1" t="s">
        <v>19039</v>
      </c>
      <c r="Y933" s="1" t="s">
        <v>19040</v>
      </c>
      <c r="Z933" s="1" t="s">
        <v>19041</v>
      </c>
      <c r="AA933" s="1" t="s">
        <v>19042</v>
      </c>
      <c r="AB933" s="1" t="s">
        <v>132</v>
      </c>
      <c r="AC933" s="1" t="s">
        <v>19043</v>
      </c>
      <c r="AD933" s="1" t="s">
        <v>132</v>
      </c>
      <c r="AE933" s="1" t="s">
        <v>132</v>
      </c>
      <c r="AF933" s="1" t="s">
        <v>19044</v>
      </c>
      <c r="AG933" s="1" t="s">
        <v>19045</v>
      </c>
      <c r="AH933" s="1" t="s">
        <v>132</v>
      </c>
      <c r="AI933" s="1" t="s">
        <v>19046</v>
      </c>
      <c r="AJ933" s="1" t="s">
        <v>132</v>
      </c>
      <c r="AK933" s="1" t="s">
        <v>132</v>
      </c>
      <c r="AL933" s="1" t="s">
        <v>19047</v>
      </c>
      <c r="AM933" s="1" t="s">
        <v>132</v>
      </c>
      <c r="AN933" s="1" t="s">
        <v>132</v>
      </c>
    </row>
    <row r="934" ht="15.75" customHeight="1">
      <c r="A934" s="1" t="s">
        <v>127</v>
      </c>
      <c r="B934" s="1" t="s">
        <v>19048</v>
      </c>
      <c r="C934" s="1" t="s">
        <v>19049</v>
      </c>
      <c r="D934" s="8" t="s">
        <v>19050</v>
      </c>
      <c r="E934" s="1" t="s">
        <v>19051</v>
      </c>
      <c r="F934" s="1" t="s">
        <v>132</v>
      </c>
      <c r="G934" s="1" t="s">
        <v>19052</v>
      </c>
      <c r="H934" s="1" t="s">
        <v>19053</v>
      </c>
      <c r="I934" s="1" t="s">
        <v>19054</v>
      </c>
      <c r="J934" s="1" t="s">
        <v>19055</v>
      </c>
      <c r="K934" s="1" t="s">
        <v>19056</v>
      </c>
      <c r="L934" s="1" t="s">
        <v>19057</v>
      </c>
      <c r="M934" s="1" t="s">
        <v>19058</v>
      </c>
      <c r="N934" s="1" t="s">
        <v>132</v>
      </c>
      <c r="O934" s="1" t="s">
        <v>19059</v>
      </c>
      <c r="P934" s="1" t="s">
        <v>19060</v>
      </c>
      <c r="Q934" s="1" t="s">
        <v>132</v>
      </c>
      <c r="R934" s="1" t="s">
        <v>19061</v>
      </c>
      <c r="S934" s="1" t="s">
        <v>19062</v>
      </c>
      <c r="T934" s="8" t="s">
        <v>19063</v>
      </c>
      <c r="U934" s="1" t="s">
        <v>19064</v>
      </c>
      <c r="V934" s="1" t="s">
        <v>19065</v>
      </c>
      <c r="W934" s="1" t="s">
        <v>19066</v>
      </c>
      <c r="X934" s="1" t="s">
        <v>19067</v>
      </c>
      <c r="Y934" s="1" t="s">
        <v>19068</v>
      </c>
      <c r="Z934" s="1" t="s">
        <v>19069</v>
      </c>
      <c r="AA934" s="1" t="s">
        <v>19070</v>
      </c>
      <c r="AB934" s="1" t="s">
        <v>19071</v>
      </c>
      <c r="AC934" s="1" t="s">
        <v>19072</v>
      </c>
      <c r="AD934" s="1" t="s">
        <v>19073</v>
      </c>
      <c r="AE934" s="1" t="s">
        <v>19074</v>
      </c>
      <c r="AF934" s="1" t="s">
        <v>19075</v>
      </c>
      <c r="AG934" s="1" t="s">
        <v>19076</v>
      </c>
      <c r="AH934" s="1" t="s">
        <v>19077</v>
      </c>
      <c r="AI934" s="1" t="s">
        <v>19078</v>
      </c>
      <c r="AJ934" s="1" t="s">
        <v>132</v>
      </c>
      <c r="AK934" s="1" t="s">
        <v>19079</v>
      </c>
      <c r="AL934" s="1" t="s">
        <v>19080</v>
      </c>
      <c r="AM934" s="1" t="s">
        <v>19081</v>
      </c>
      <c r="AN934" s="1" t="s">
        <v>19081</v>
      </c>
    </row>
    <row r="935" ht="15.75" customHeight="1">
      <c r="A935" s="1" t="s">
        <v>127</v>
      </c>
      <c r="B935" s="1" t="s">
        <v>19082</v>
      </c>
      <c r="C935" s="1" t="s">
        <v>19083</v>
      </c>
      <c r="D935" s="8" t="s">
        <v>19084</v>
      </c>
      <c r="E935" s="1" t="s">
        <v>19085</v>
      </c>
      <c r="F935" s="1" t="s">
        <v>132</v>
      </c>
      <c r="G935" s="1" t="s">
        <v>19086</v>
      </c>
      <c r="H935" s="1" t="s">
        <v>19087</v>
      </c>
      <c r="I935" s="1" t="s">
        <v>9392</v>
      </c>
      <c r="J935" s="1" t="s">
        <v>19088</v>
      </c>
      <c r="K935" s="1" t="s">
        <v>19089</v>
      </c>
      <c r="L935" s="1" t="s">
        <v>19090</v>
      </c>
      <c r="M935" s="1" t="s">
        <v>19091</v>
      </c>
      <c r="N935" s="1" t="s">
        <v>132</v>
      </c>
      <c r="O935" s="1" t="s">
        <v>19092</v>
      </c>
      <c r="P935" s="1" t="s">
        <v>19083</v>
      </c>
      <c r="Q935" s="1" t="s">
        <v>132</v>
      </c>
      <c r="R935" s="1" t="s">
        <v>19093</v>
      </c>
      <c r="S935" s="1" t="s">
        <v>19094</v>
      </c>
      <c r="T935" s="8" t="s">
        <v>19095</v>
      </c>
      <c r="U935" s="1" t="s">
        <v>19096</v>
      </c>
      <c r="V935" s="1" t="s">
        <v>19097</v>
      </c>
      <c r="W935" s="1" t="s">
        <v>19098</v>
      </c>
      <c r="X935" s="1" t="s">
        <v>19083</v>
      </c>
      <c r="Y935" s="1" t="s">
        <v>19087</v>
      </c>
      <c r="Z935" s="1" t="s">
        <v>19099</v>
      </c>
      <c r="AA935" s="1" t="s">
        <v>19100</v>
      </c>
      <c r="AB935" s="1" t="s">
        <v>19101</v>
      </c>
      <c r="AC935" s="1" t="s">
        <v>19102</v>
      </c>
      <c r="AD935" s="1" t="s">
        <v>19103</v>
      </c>
      <c r="AE935" s="1" t="s">
        <v>19104</v>
      </c>
      <c r="AF935" s="1" t="s">
        <v>19105</v>
      </c>
      <c r="AG935" s="1" t="s">
        <v>19106</v>
      </c>
      <c r="AH935" s="1" t="s">
        <v>19107</v>
      </c>
      <c r="AI935" s="1" t="s">
        <v>19108</v>
      </c>
      <c r="AJ935" s="1" t="s">
        <v>132</v>
      </c>
      <c r="AK935" s="1" t="s">
        <v>19109</v>
      </c>
      <c r="AL935" s="1" t="s">
        <v>19110</v>
      </c>
      <c r="AM935" s="1" t="s">
        <v>132</v>
      </c>
      <c r="AN935" s="1" t="s">
        <v>132</v>
      </c>
    </row>
    <row r="936" ht="15.75" customHeight="1">
      <c r="A936" s="1" t="s">
        <v>127</v>
      </c>
      <c r="B936" s="1" t="s">
        <v>19111</v>
      </c>
      <c r="C936" s="1" t="s">
        <v>19112</v>
      </c>
      <c r="D936" s="8" t="s">
        <v>19113</v>
      </c>
      <c r="E936" s="1" t="s">
        <v>19114</v>
      </c>
      <c r="F936" s="1" t="s">
        <v>132</v>
      </c>
      <c r="G936" s="1" t="s">
        <v>19115</v>
      </c>
      <c r="H936" s="1" t="s">
        <v>19116</v>
      </c>
      <c r="I936" s="1" t="s">
        <v>19117</v>
      </c>
      <c r="J936" s="1" t="s">
        <v>19118</v>
      </c>
      <c r="K936" s="1" t="s">
        <v>19119</v>
      </c>
      <c r="L936" s="1" t="s">
        <v>19120</v>
      </c>
      <c r="M936" s="1" t="s">
        <v>19121</v>
      </c>
      <c r="N936" s="1" t="s">
        <v>132</v>
      </c>
      <c r="O936" s="1" t="s">
        <v>19122</v>
      </c>
      <c r="P936" s="1" t="s">
        <v>19112</v>
      </c>
      <c r="Q936" s="1" t="s">
        <v>132</v>
      </c>
      <c r="R936" s="1" t="s">
        <v>19123</v>
      </c>
      <c r="S936" s="1" t="s">
        <v>19124</v>
      </c>
      <c r="T936" s="8" t="s">
        <v>19125</v>
      </c>
      <c r="U936" s="1" t="s">
        <v>19126</v>
      </c>
      <c r="V936" s="1" t="s">
        <v>19127</v>
      </c>
      <c r="W936" s="1" t="s">
        <v>19123</v>
      </c>
      <c r="X936" s="1" t="s">
        <v>19112</v>
      </c>
      <c r="Y936" s="1" t="s">
        <v>19128</v>
      </c>
      <c r="Z936" s="1" t="s">
        <v>19129</v>
      </c>
      <c r="AA936" s="1" t="s">
        <v>19130</v>
      </c>
      <c r="AB936" s="1" t="s">
        <v>19131</v>
      </c>
      <c r="AC936" s="1" t="s">
        <v>19132</v>
      </c>
      <c r="AD936" s="1" t="s">
        <v>19133</v>
      </c>
      <c r="AE936" s="1" t="s">
        <v>19134</v>
      </c>
      <c r="AF936" s="1" t="s">
        <v>19135</v>
      </c>
      <c r="AG936" s="1" t="s">
        <v>19136</v>
      </c>
      <c r="AH936" s="1" t="s">
        <v>19137</v>
      </c>
      <c r="AI936" s="1" t="s">
        <v>19138</v>
      </c>
      <c r="AJ936" s="1" t="s">
        <v>132</v>
      </c>
      <c r="AK936" s="1" t="s">
        <v>19139</v>
      </c>
      <c r="AL936" s="1" t="s">
        <v>19140</v>
      </c>
      <c r="AM936" s="1" t="s">
        <v>132</v>
      </c>
      <c r="AN936" s="1" t="s">
        <v>132</v>
      </c>
    </row>
    <row r="937" ht="15.75" customHeight="1">
      <c r="A937" s="1" t="s">
        <v>127</v>
      </c>
      <c r="B937" s="1" t="s">
        <v>19141</v>
      </c>
      <c r="C937" s="1" t="s">
        <v>15925</v>
      </c>
      <c r="D937" s="8" t="s">
        <v>15926</v>
      </c>
      <c r="E937" s="1" t="s">
        <v>15927</v>
      </c>
      <c r="F937" s="1" t="s">
        <v>132</v>
      </c>
      <c r="G937" s="1" t="s">
        <v>15925</v>
      </c>
      <c r="H937" s="1" t="s">
        <v>15925</v>
      </c>
      <c r="I937" s="1" t="s">
        <v>15925</v>
      </c>
      <c r="J937" s="1" t="s">
        <v>15925</v>
      </c>
      <c r="K937" s="1" t="s">
        <v>15925</v>
      </c>
      <c r="L937" s="1" t="s">
        <v>15928</v>
      </c>
      <c r="M937" s="1" t="s">
        <v>15925</v>
      </c>
      <c r="N937" s="1" t="s">
        <v>132</v>
      </c>
      <c r="O937" s="1" t="s">
        <v>15929</v>
      </c>
      <c r="P937" s="1" t="s">
        <v>15925</v>
      </c>
      <c r="Q937" s="1" t="s">
        <v>132</v>
      </c>
      <c r="R937" s="1" t="s">
        <v>15930</v>
      </c>
      <c r="S937" s="1" t="s">
        <v>19142</v>
      </c>
      <c r="T937" s="8" t="s">
        <v>19143</v>
      </c>
      <c r="U937" s="1" t="s">
        <v>19144</v>
      </c>
      <c r="V937" s="1" t="s">
        <v>15933</v>
      </c>
      <c r="W937" s="1" t="s">
        <v>15934</v>
      </c>
      <c r="X937" s="1" t="s">
        <v>15925</v>
      </c>
      <c r="Y937" s="1" t="s">
        <v>15925</v>
      </c>
      <c r="Z937" s="1" t="s">
        <v>15925</v>
      </c>
      <c r="AA937" s="1" t="s">
        <v>15925</v>
      </c>
      <c r="AB937" s="1" t="s">
        <v>15935</v>
      </c>
      <c r="AC937" s="1" t="s">
        <v>15927</v>
      </c>
      <c r="AD937" s="1" t="s">
        <v>15925</v>
      </c>
      <c r="AE937" s="1" t="s">
        <v>15925</v>
      </c>
      <c r="AF937" s="1" t="s">
        <v>15925</v>
      </c>
      <c r="AG937" s="1" t="s">
        <v>15925</v>
      </c>
      <c r="AH937" s="1" t="s">
        <v>15925</v>
      </c>
      <c r="AI937" s="1" t="s">
        <v>15937</v>
      </c>
      <c r="AJ937" s="1" t="s">
        <v>132</v>
      </c>
      <c r="AK937" s="1" t="s">
        <v>15925</v>
      </c>
      <c r="AL937" s="1" t="s">
        <v>19145</v>
      </c>
      <c r="AM937" s="1" t="s">
        <v>19146</v>
      </c>
      <c r="AN937" s="1" t="s">
        <v>19146</v>
      </c>
    </row>
    <row r="938" ht="15.75" customHeight="1">
      <c r="A938" s="1" t="s">
        <v>127</v>
      </c>
      <c r="B938" s="1" t="s">
        <v>19147</v>
      </c>
      <c r="C938" s="1" t="s">
        <v>19148</v>
      </c>
      <c r="D938" s="8" t="s">
        <v>19149</v>
      </c>
      <c r="E938" s="1" t="s">
        <v>19150</v>
      </c>
      <c r="F938" s="1" t="s">
        <v>132</v>
      </c>
      <c r="G938" s="1" t="s">
        <v>19151</v>
      </c>
      <c r="H938" s="1" t="s">
        <v>19152</v>
      </c>
      <c r="I938" s="1" t="s">
        <v>19153</v>
      </c>
      <c r="J938" s="1" t="s">
        <v>19154</v>
      </c>
      <c r="K938" s="1" t="s">
        <v>19155</v>
      </c>
      <c r="L938" s="1" t="s">
        <v>19156</v>
      </c>
      <c r="M938" s="1" t="s">
        <v>19157</v>
      </c>
      <c r="N938" s="1" t="s">
        <v>132</v>
      </c>
      <c r="O938" s="1" t="s">
        <v>19158</v>
      </c>
      <c r="P938" s="1" t="s">
        <v>19159</v>
      </c>
      <c r="Q938" s="1" t="s">
        <v>132</v>
      </c>
      <c r="R938" s="1" t="s">
        <v>19160</v>
      </c>
      <c r="S938" s="1" t="s">
        <v>19161</v>
      </c>
      <c r="T938" s="8" t="s">
        <v>19162</v>
      </c>
      <c r="U938" s="1" t="s">
        <v>19163</v>
      </c>
      <c r="V938" s="1" t="s">
        <v>19164</v>
      </c>
      <c r="W938" s="1" t="s">
        <v>19160</v>
      </c>
      <c r="X938" s="1" t="s">
        <v>19165</v>
      </c>
      <c r="Y938" s="1" t="s">
        <v>19166</v>
      </c>
      <c r="Z938" s="1" t="s">
        <v>19167</v>
      </c>
      <c r="AA938" s="1" t="s">
        <v>19168</v>
      </c>
      <c r="AB938" s="1" t="s">
        <v>19169</v>
      </c>
      <c r="AC938" s="1" t="s">
        <v>19170</v>
      </c>
      <c r="AD938" s="1" t="s">
        <v>19171</v>
      </c>
      <c r="AE938" s="1" t="s">
        <v>19172</v>
      </c>
      <c r="AF938" s="1" t="s">
        <v>19173</v>
      </c>
      <c r="AG938" s="1" t="s">
        <v>19152</v>
      </c>
      <c r="AH938" s="1" t="s">
        <v>19174</v>
      </c>
      <c r="AI938" s="1" t="s">
        <v>19175</v>
      </c>
      <c r="AJ938" s="1" t="s">
        <v>132</v>
      </c>
      <c r="AK938" s="1" t="s">
        <v>19176</v>
      </c>
      <c r="AL938" s="1" t="s">
        <v>19177</v>
      </c>
      <c r="AM938" s="1" t="s">
        <v>132</v>
      </c>
      <c r="AN938" s="1" t="s">
        <v>132</v>
      </c>
    </row>
    <row r="939" ht="15.75" customHeight="1">
      <c r="A939" s="1" t="s">
        <v>38</v>
      </c>
      <c r="B939" s="1" t="s">
        <v>19178</v>
      </c>
      <c r="C939" s="1" t="s">
        <v>19179</v>
      </c>
      <c r="D939" s="1" t="s">
        <v>132</v>
      </c>
      <c r="E939" s="1" t="s">
        <v>132</v>
      </c>
      <c r="F939" s="1" t="s">
        <v>132</v>
      </c>
      <c r="G939" s="1" t="s">
        <v>132</v>
      </c>
      <c r="H939" s="1" t="s">
        <v>132</v>
      </c>
      <c r="I939" s="1" t="s">
        <v>19180</v>
      </c>
      <c r="J939" s="1" t="s">
        <v>132</v>
      </c>
      <c r="K939" s="1" t="s">
        <v>19181</v>
      </c>
      <c r="L939" s="1" t="s">
        <v>132</v>
      </c>
      <c r="M939" s="1" t="s">
        <v>19182</v>
      </c>
      <c r="N939" s="1" t="s">
        <v>132</v>
      </c>
      <c r="O939" s="1" t="s">
        <v>132</v>
      </c>
      <c r="P939" s="1" t="s">
        <v>19183</v>
      </c>
      <c r="Q939" s="1" t="s">
        <v>132</v>
      </c>
      <c r="R939" s="1" t="s">
        <v>132</v>
      </c>
      <c r="S939" s="1" t="s">
        <v>132</v>
      </c>
      <c r="T939" s="1" t="s">
        <v>132</v>
      </c>
      <c r="U939" s="1" t="s">
        <v>132</v>
      </c>
      <c r="V939" s="1" t="s">
        <v>132</v>
      </c>
      <c r="W939" s="1" t="s">
        <v>132</v>
      </c>
      <c r="X939" s="1" t="s">
        <v>132</v>
      </c>
      <c r="Y939" s="1" t="s">
        <v>132</v>
      </c>
      <c r="Z939" s="1" t="s">
        <v>132</v>
      </c>
      <c r="AA939" s="1" t="s">
        <v>132</v>
      </c>
      <c r="AB939" s="1" t="s">
        <v>132</v>
      </c>
      <c r="AC939" s="1" t="s">
        <v>19184</v>
      </c>
      <c r="AD939" s="1" t="s">
        <v>132</v>
      </c>
      <c r="AE939" s="1" t="s">
        <v>132</v>
      </c>
      <c r="AF939" s="1" t="s">
        <v>19185</v>
      </c>
      <c r="AG939" s="1" t="s">
        <v>132</v>
      </c>
      <c r="AH939" s="1" t="s">
        <v>132</v>
      </c>
      <c r="AI939" s="1" t="s">
        <v>132</v>
      </c>
      <c r="AJ939" s="1" t="s">
        <v>132</v>
      </c>
      <c r="AK939" s="1" t="s">
        <v>132</v>
      </c>
      <c r="AL939" s="1" t="s">
        <v>132</v>
      </c>
      <c r="AM939" s="1" t="s">
        <v>132</v>
      </c>
      <c r="AN939" s="1" t="s">
        <v>132</v>
      </c>
    </row>
    <row r="940" ht="15.75" customHeight="1">
      <c r="A940" s="1" t="s">
        <v>127</v>
      </c>
      <c r="B940" s="1" t="s">
        <v>19186</v>
      </c>
      <c r="C940" s="1" t="s">
        <v>19187</v>
      </c>
      <c r="D940" s="8" t="s">
        <v>19188</v>
      </c>
      <c r="E940" s="1" t="s">
        <v>19189</v>
      </c>
      <c r="F940" s="1" t="s">
        <v>132</v>
      </c>
      <c r="G940" s="1" t="s">
        <v>19190</v>
      </c>
      <c r="H940" s="1" t="s">
        <v>4014</v>
      </c>
      <c r="I940" s="1" t="s">
        <v>19191</v>
      </c>
      <c r="J940" s="1" t="s">
        <v>19192</v>
      </c>
      <c r="K940" s="1" t="s">
        <v>19193</v>
      </c>
      <c r="L940" s="1" t="s">
        <v>19194</v>
      </c>
      <c r="M940" s="1" t="s">
        <v>19195</v>
      </c>
      <c r="N940" s="1" t="s">
        <v>132</v>
      </c>
      <c r="O940" s="1" t="s">
        <v>4019</v>
      </c>
      <c r="P940" s="1" t="s">
        <v>19196</v>
      </c>
      <c r="Q940" s="1" t="s">
        <v>132</v>
      </c>
      <c r="R940" s="1" t="s">
        <v>4014</v>
      </c>
      <c r="S940" s="1" t="s">
        <v>19197</v>
      </c>
      <c r="T940" s="8" t="s">
        <v>19198</v>
      </c>
      <c r="U940" s="1" t="s">
        <v>4021</v>
      </c>
      <c r="V940" s="1" t="s">
        <v>4022</v>
      </c>
      <c r="W940" s="1" t="s">
        <v>4014</v>
      </c>
      <c r="X940" s="1" t="s">
        <v>19187</v>
      </c>
      <c r="Y940" s="1" t="s">
        <v>19199</v>
      </c>
      <c r="Z940" s="1" t="s">
        <v>19200</v>
      </c>
      <c r="AA940" s="1" t="s">
        <v>19193</v>
      </c>
      <c r="AB940" s="1" t="s">
        <v>19197</v>
      </c>
      <c r="AC940" s="1" t="s">
        <v>19201</v>
      </c>
      <c r="AD940" s="1" t="s">
        <v>19190</v>
      </c>
      <c r="AE940" s="1" t="s">
        <v>4017</v>
      </c>
      <c r="AF940" s="1" t="s">
        <v>4017</v>
      </c>
      <c r="AG940" s="1" t="s">
        <v>4011</v>
      </c>
      <c r="AH940" s="1" t="s">
        <v>4024</v>
      </c>
      <c r="AI940" s="1" t="s">
        <v>19202</v>
      </c>
      <c r="AJ940" s="1" t="s">
        <v>132</v>
      </c>
      <c r="AK940" s="1" t="s">
        <v>4026</v>
      </c>
      <c r="AL940" s="1" t="s">
        <v>4027</v>
      </c>
      <c r="AM940" s="1" t="s">
        <v>132</v>
      </c>
      <c r="AN940" s="1" t="s">
        <v>132</v>
      </c>
    </row>
    <row r="941" ht="15.75" customHeight="1">
      <c r="A941" s="1" t="s">
        <v>127</v>
      </c>
      <c r="B941" s="1" t="s">
        <v>19203</v>
      </c>
      <c r="C941" s="1" t="s">
        <v>18171</v>
      </c>
      <c r="D941" s="8" t="s">
        <v>19204</v>
      </c>
      <c r="E941" s="1" t="s">
        <v>18172</v>
      </c>
      <c r="F941" s="1" t="s">
        <v>132</v>
      </c>
      <c r="G941" s="1" t="s">
        <v>19205</v>
      </c>
      <c r="H941" s="1" t="s">
        <v>19206</v>
      </c>
      <c r="I941" s="1" t="s">
        <v>18174</v>
      </c>
      <c r="J941" s="1" t="s">
        <v>19207</v>
      </c>
      <c r="K941" s="1" t="s">
        <v>18175</v>
      </c>
      <c r="L941" s="1" t="s">
        <v>19208</v>
      </c>
      <c r="M941" s="1" t="s">
        <v>19209</v>
      </c>
      <c r="N941" s="1" t="s">
        <v>132</v>
      </c>
      <c r="O941" s="1" t="s">
        <v>19210</v>
      </c>
      <c r="P941" s="1" t="s">
        <v>18178</v>
      </c>
      <c r="Q941" s="1" t="s">
        <v>132</v>
      </c>
      <c r="R941" s="1" t="s">
        <v>19211</v>
      </c>
      <c r="S941" s="1" t="s">
        <v>19212</v>
      </c>
      <c r="T941" s="8" t="s">
        <v>19213</v>
      </c>
      <c r="U941" s="1" t="s">
        <v>19214</v>
      </c>
      <c r="V941" s="1" t="s">
        <v>19215</v>
      </c>
      <c r="W941" s="1" t="s">
        <v>19216</v>
      </c>
      <c r="X941" s="1" t="s">
        <v>19217</v>
      </c>
      <c r="Y941" s="1" t="s">
        <v>19206</v>
      </c>
      <c r="Z941" s="1" t="s">
        <v>19218</v>
      </c>
      <c r="AA941" s="1" t="s">
        <v>19219</v>
      </c>
      <c r="AB941" s="1" t="s">
        <v>19220</v>
      </c>
      <c r="AC941" s="1" t="s">
        <v>18183</v>
      </c>
      <c r="AD941" s="1" t="s">
        <v>19221</v>
      </c>
      <c r="AE941" s="1" t="s">
        <v>19222</v>
      </c>
      <c r="AF941" s="1" t="s">
        <v>19223</v>
      </c>
      <c r="AG941" s="1" t="s">
        <v>19224</v>
      </c>
      <c r="AH941" s="1" t="s">
        <v>19225</v>
      </c>
      <c r="AI941" s="1" t="s">
        <v>19226</v>
      </c>
      <c r="AJ941" s="1" t="s">
        <v>132</v>
      </c>
      <c r="AK941" s="1" t="s">
        <v>19227</v>
      </c>
      <c r="AL941" s="1" t="s">
        <v>19228</v>
      </c>
      <c r="AM941" s="1" t="s">
        <v>132</v>
      </c>
      <c r="AN941" s="1" t="s">
        <v>132</v>
      </c>
    </row>
    <row r="942" ht="15.75" customHeight="1">
      <c r="A942" s="1" t="s">
        <v>127</v>
      </c>
      <c r="B942" s="1" t="s">
        <v>19229</v>
      </c>
      <c r="C942" s="1" t="s">
        <v>19230</v>
      </c>
      <c r="D942" s="8" t="s">
        <v>19231</v>
      </c>
      <c r="E942" s="1" t="s">
        <v>19232</v>
      </c>
      <c r="F942" s="1" t="s">
        <v>132</v>
      </c>
      <c r="G942" s="1" t="s">
        <v>19233</v>
      </c>
      <c r="H942" s="1" t="s">
        <v>19234</v>
      </c>
      <c r="I942" s="1" t="s">
        <v>19235</v>
      </c>
      <c r="J942" s="1" t="s">
        <v>19236</v>
      </c>
      <c r="K942" s="1" t="s">
        <v>19237</v>
      </c>
      <c r="L942" s="1" t="s">
        <v>19238</v>
      </c>
      <c r="M942" s="1" t="s">
        <v>19239</v>
      </c>
      <c r="N942" s="1" t="s">
        <v>132</v>
      </c>
      <c r="O942" s="1" t="s">
        <v>19240</v>
      </c>
      <c r="P942" s="1" t="s">
        <v>19241</v>
      </c>
      <c r="Q942" s="1" t="s">
        <v>132</v>
      </c>
      <c r="R942" s="1" t="s">
        <v>19242</v>
      </c>
      <c r="S942" s="1" t="s">
        <v>19243</v>
      </c>
      <c r="T942" s="8" t="s">
        <v>19244</v>
      </c>
      <c r="U942" s="1" t="s">
        <v>19245</v>
      </c>
      <c r="V942" s="1" t="s">
        <v>19246</v>
      </c>
      <c r="W942" s="1" t="s">
        <v>19247</v>
      </c>
      <c r="X942" s="1" t="s">
        <v>19248</v>
      </c>
      <c r="Y942" s="1" t="s">
        <v>19249</v>
      </c>
      <c r="Z942" s="1" t="s">
        <v>19250</v>
      </c>
      <c r="AA942" s="1" t="s">
        <v>19251</v>
      </c>
      <c r="AB942" s="1" t="s">
        <v>19252</v>
      </c>
      <c r="AC942" s="1" t="s">
        <v>19253</v>
      </c>
      <c r="AD942" s="1" t="s">
        <v>19254</v>
      </c>
      <c r="AE942" s="1" t="s">
        <v>19255</v>
      </c>
      <c r="AF942" s="1" t="s">
        <v>19256</v>
      </c>
      <c r="AG942" s="1" t="s">
        <v>19257</v>
      </c>
      <c r="AH942" s="1" t="s">
        <v>19258</v>
      </c>
      <c r="AI942" s="1" t="s">
        <v>19259</v>
      </c>
      <c r="AJ942" s="1" t="s">
        <v>132</v>
      </c>
      <c r="AK942" s="1" t="s">
        <v>19260</v>
      </c>
      <c r="AL942" s="1" t="s">
        <v>19261</v>
      </c>
      <c r="AM942" s="1" t="s">
        <v>19262</v>
      </c>
      <c r="AN942" s="1" t="s">
        <v>19262</v>
      </c>
    </row>
    <row r="943" ht="15.75" customHeight="1">
      <c r="A943" s="1" t="s">
        <v>38</v>
      </c>
      <c r="B943" s="1" t="s">
        <v>19263</v>
      </c>
      <c r="C943" s="1" t="s">
        <v>19264</v>
      </c>
      <c r="D943" s="8" t="s">
        <v>19265</v>
      </c>
      <c r="E943" s="1" t="s">
        <v>19266</v>
      </c>
      <c r="F943" s="1" t="s">
        <v>19267</v>
      </c>
      <c r="G943" s="1" t="s">
        <v>132</v>
      </c>
      <c r="H943" s="1" t="s">
        <v>132</v>
      </c>
      <c r="I943" s="1" t="s">
        <v>19268</v>
      </c>
      <c r="J943" s="1" t="s">
        <v>132</v>
      </c>
      <c r="K943" s="1" t="s">
        <v>19269</v>
      </c>
      <c r="L943" s="1" t="s">
        <v>132</v>
      </c>
      <c r="M943" s="1" t="s">
        <v>19270</v>
      </c>
      <c r="N943" s="1" t="s">
        <v>19271</v>
      </c>
      <c r="O943" s="1" t="s">
        <v>132</v>
      </c>
      <c r="P943" s="1" t="s">
        <v>19272</v>
      </c>
      <c r="Q943" s="1" t="s">
        <v>132</v>
      </c>
      <c r="R943" s="1" t="s">
        <v>132</v>
      </c>
      <c r="S943" s="1" t="s">
        <v>19273</v>
      </c>
      <c r="T943" s="1" t="s">
        <v>132</v>
      </c>
      <c r="U943" s="1" t="s">
        <v>19274</v>
      </c>
      <c r="V943" s="1" t="s">
        <v>132</v>
      </c>
      <c r="W943" s="1" t="s">
        <v>132</v>
      </c>
      <c r="X943" s="1" t="s">
        <v>19275</v>
      </c>
      <c r="Y943" s="1" t="s">
        <v>132</v>
      </c>
      <c r="Z943" s="1" t="s">
        <v>19276</v>
      </c>
      <c r="AA943" s="1" t="s">
        <v>132</v>
      </c>
      <c r="AB943" s="1" t="s">
        <v>132</v>
      </c>
      <c r="AC943" s="1" t="s">
        <v>19277</v>
      </c>
      <c r="AD943" s="1" t="s">
        <v>132</v>
      </c>
      <c r="AE943" s="1" t="s">
        <v>132</v>
      </c>
      <c r="AF943" s="1" t="s">
        <v>19278</v>
      </c>
      <c r="AG943" s="1" t="s">
        <v>132</v>
      </c>
      <c r="AH943" s="1" t="s">
        <v>132</v>
      </c>
      <c r="AI943" s="1" t="s">
        <v>132</v>
      </c>
      <c r="AJ943" s="1" t="s">
        <v>132</v>
      </c>
      <c r="AK943" s="1" t="s">
        <v>132</v>
      </c>
      <c r="AL943" s="1" t="s">
        <v>132</v>
      </c>
      <c r="AM943" s="1" t="s">
        <v>132</v>
      </c>
      <c r="AN943" s="1" t="s">
        <v>132</v>
      </c>
    </row>
    <row r="944" ht="15.75" customHeight="1">
      <c r="A944" s="1" t="s">
        <v>127</v>
      </c>
      <c r="B944" s="1" t="s">
        <v>19279</v>
      </c>
      <c r="C944" s="1" t="s">
        <v>19280</v>
      </c>
      <c r="D944" s="8" t="s">
        <v>19281</v>
      </c>
      <c r="E944" s="1" t="s">
        <v>19282</v>
      </c>
      <c r="F944" s="1" t="s">
        <v>132</v>
      </c>
      <c r="G944" s="1" t="s">
        <v>19283</v>
      </c>
      <c r="H944" s="1" t="s">
        <v>19284</v>
      </c>
      <c r="I944" s="1" t="s">
        <v>19285</v>
      </c>
      <c r="J944" s="1" t="s">
        <v>19286</v>
      </c>
      <c r="K944" s="1" t="s">
        <v>19280</v>
      </c>
      <c r="L944" s="1" t="s">
        <v>19287</v>
      </c>
      <c r="M944" s="1" t="s">
        <v>19280</v>
      </c>
      <c r="N944" s="1" t="s">
        <v>132</v>
      </c>
      <c r="O944" s="1" t="s">
        <v>19288</v>
      </c>
      <c r="P944" s="1" t="s">
        <v>19280</v>
      </c>
      <c r="Q944" s="1" t="s">
        <v>132</v>
      </c>
      <c r="R944" s="1" t="s">
        <v>19289</v>
      </c>
      <c r="S944" s="1" t="s">
        <v>19290</v>
      </c>
      <c r="T944" s="8" t="s">
        <v>19291</v>
      </c>
      <c r="U944" s="1" t="s">
        <v>19292</v>
      </c>
      <c r="V944" s="1" t="s">
        <v>19293</v>
      </c>
      <c r="W944" s="1" t="s">
        <v>19294</v>
      </c>
      <c r="X944" s="1" t="s">
        <v>19295</v>
      </c>
      <c r="Y944" s="1" t="s">
        <v>19296</v>
      </c>
      <c r="Z944" s="1" t="s">
        <v>19297</v>
      </c>
      <c r="AA944" s="1" t="s">
        <v>19280</v>
      </c>
      <c r="AB944" s="1" t="s">
        <v>19298</v>
      </c>
      <c r="AC944" s="1" t="s">
        <v>19299</v>
      </c>
      <c r="AD944" s="1" t="s">
        <v>19300</v>
      </c>
      <c r="AE944" s="1" t="s">
        <v>19301</v>
      </c>
      <c r="AF944" s="1" t="s">
        <v>19280</v>
      </c>
      <c r="AG944" s="1" t="s">
        <v>19302</v>
      </c>
      <c r="AH944" s="1" t="s">
        <v>19303</v>
      </c>
      <c r="AI944" s="1" t="s">
        <v>19304</v>
      </c>
      <c r="AJ944" s="1" t="s">
        <v>132</v>
      </c>
      <c r="AK944" s="1" t="s">
        <v>19305</v>
      </c>
      <c r="AL944" s="1" t="s">
        <v>19306</v>
      </c>
      <c r="AM944" s="1" t="s">
        <v>19307</v>
      </c>
      <c r="AN944" s="1" t="s">
        <v>19307</v>
      </c>
    </row>
    <row r="945" ht="15.75" customHeight="1">
      <c r="A945" s="1" t="s">
        <v>38</v>
      </c>
      <c r="B945" s="1" t="s">
        <v>19308</v>
      </c>
      <c r="C945" s="1" t="s">
        <v>19309</v>
      </c>
      <c r="D945" s="1" t="s">
        <v>132</v>
      </c>
      <c r="E945" s="1" t="s">
        <v>132</v>
      </c>
      <c r="F945" s="1" t="s">
        <v>132</v>
      </c>
      <c r="G945" s="1" t="s">
        <v>132</v>
      </c>
      <c r="H945" s="1" t="s">
        <v>132</v>
      </c>
      <c r="I945" s="1" t="s">
        <v>19310</v>
      </c>
      <c r="J945" s="1" t="s">
        <v>132</v>
      </c>
      <c r="K945" s="1" t="s">
        <v>19311</v>
      </c>
      <c r="L945" s="1" t="s">
        <v>132</v>
      </c>
      <c r="M945" s="1" t="s">
        <v>19312</v>
      </c>
      <c r="N945" s="1" t="s">
        <v>132</v>
      </c>
      <c r="O945" s="1" t="s">
        <v>132</v>
      </c>
      <c r="P945" s="1" t="s">
        <v>19309</v>
      </c>
      <c r="Q945" s="1" t="s">
        <v>132</v>
      </c>
      <c r="R945" s="1" t="s">
        <v>132</v>
      </c>
      <c r="S945" s="1" t="s">
        <v>132</v>
      </c>
      <c r="T945" s="1" t="s">
        <v>132</v>
      </c>
      <c r="U945" s="1" t="s">
        <v>132</v>
      </c>
      <c r="V945" s="1" t="s">
        <v>132</v>
      </c>
      <c r="W945" s="1" t="s">
        <v>132</v>
      </c>
      <c r="X945" s="1" t="s">
        <v>132</v>
      </c>
      <c r="Y945" s="1" t="s">
        <v>132</v>
      </c>
      <c r="Z945" s="1" t="s">
        <v>132</v>
      </c>
      <c r="AA945" s="1" t="s">
        <v>132</v>
      </c>
      <c r="AB945" s="1" t="s">
        <v>132</v>
      </c>
      <c r="AC945" s="1" t="s">
        <v>19313</v>
      </c>
      <c r="AD945" s="1" t="s">
        <v>132</v>
      </c>
      <c r="AE945" s="1" t="s">
        <v>132</v>
      </c>
      <c r="AF945" s="1" t="s">
        <v>19314</v>
      </c>
      <c r="AG945" s="1" t="s">
        <v>132</v>
      </c>
      <c r="AH945" s="1" t="s">
        <v>132</v>
      </c>
      <c r="AI945" s="1" t="s">
        <v>132</v>
      </c>
      <c r="AJ945" s="1" t="s">
        <v>132</v>
      </c>
      <c r="AK945" s="1" t="s">
        <v>132</v>
      </c>
      <c r="AL945" s="1" t="s">
        <v>132</v>
      </c>
      <c r="AM945" s="1" t="s">
        <v>132</v>
      </c>
      <c r="AN945" s="1" t="s">
        <v>132</v>
      </c>
    </row>
    <row r="946" ht="15.75" customHeight="1">
      <c r="A946" s="1" t="s">
        <v>127</v>
      </c>
      <c r="B946" s="1" t="s">
        <v>19315</v>
      </c>
      <c r="C946" s="1" t="s">
        <v>19316</v>
      </c>
      <c r="D946" s="8" t="s">
        <v>19317</v>
      </c>
      <c r="E946" s="1" t="s">
        <v>19318</v>
      </c>
      <c r="F946" s="1" t="s">
        <v>132</v>
      </c>
      <c r="G946" s="1" t="s">
        <v>19319</v>
      </c>
      <c r="H946" s="1" t="s">
        <v>19320</v>
      </c>
      <c r="I946" s="1" t="s">
        <v>19321</v>
      </c>
      <c r="J946" s="1" t="s">
        <v>19322</v>
      </c>
      <c r="K946" s="1" t="s">
        <v>19323</v>
      </c>
      <c r="L946" s="1" t="s">
        <v>19324</v>
      </c>
      <c r="M946" s="1" t="s">
        <v>19325</v>
      </c>
      <c r="N946" s="1" t="s">
        <v>132</v>
      </c>
      <c r="O946" s="1" t="s">
        <v>19326</v>
      </c>
      <c r="P946" s="1" t="s">
        <v>19327</v>
      </c>
      <c r="Q946" s="1" t="s">
        <v>132</v>
      </c>
      <c r="R946" s="1" t="s">
        <v>19328</v>
      </c>
      <c r="S946" s="1" t="s">
        <v>19329</v>
      </c>
      <c r="T946" s="8" t="s">
        <v>19330</v>
      </c>
      <c r="U946" s="1" t="s">
        <v>19331</v>
      </c>
      <c r="V946" s="1" t="s">
        <v>19332</v>
      </c>
      <c r="W946" s="1" t="s">
        <v>19328</v>
      </c>
      <c r="X946" s="1" t="s">
        <v>19333</v>
      </c>
      <c r="Y946" s="1" t="s">
        <v>19334</v>
      </c>
      <c r="Z946" s="1" t="s">
        <v>19335</v>
      </c>
      <c r="AA946" s="1" t="s">
        <v>19336</v>
      </c>
      <c r="AB946" s="1" t="s">
        <v>19337</v>
      </c>
      <c r="AC946" s="1" t="s">
        <v>19338</v>
      </c>
      <c r="AD946" s="1" t="s">
        <v>19339</v>
      </c>
      <c r="AE946" s="1" t="s">
        <v>19340</v>
      </c>
      <c r="AF946" s="1" t="s">
        <v>19341</v>
      </c>
      <c r="AG946" s="1" t="s">
        <v>19342</v>
      </c>
      <c r="AH946" s="1" t="s">
        <v>19343</v>
      </c>
      <c r="AI946" s="1" t="s">
        <v>19344</v>
      </c>
      <c r="AJ946" s="1" t="s">
        <v>132</v>
      </c>
      <c r="AK946" s="1" t="s">
        <v>19345</v>
      </c>
      <c r="AL946" s="1" t="s">
        <v>19346</v>
      </c>
      <c r="AM946" s="1" t="s">
        <v>19347</v>
      </c>
      <c r="AN946" s="1" t="s">
        <v>19347</v>
      </c>
    </row>
    <row r="947" ht="15.75" customHeight="1">
      <c r="A947" s="1" t="s">
        <v>127</v>
      </c>
      <c r="B947" s="1" t="s">
        <v>19348</v>
      </c>
      <c r="C947" s="1" t="s">
        <v>19349</v>
      </c>
      <c r="D947" s="8" t="s">
        <v>19350</v>
      </c>
      <c r="E947" s="1" t="s">
        <v>19351</v>
      </c>
      <c r="F947" s="1" t="s">
        <v>132</v>
      </c>
      <c r="G947" s="1" t="s">
        <v>19352</v>
      </c>
      <c r="H947" s="1" t="s">
        <v>19353</v>
      </c>
      <c r="I947" s="1" t="s">
        <v>19354</v>
      </c>
      <c r="J947" s="1" t="s">
        <v>19355</v>
      </c>
      <c r="K947" s="1" t="s">
        <v>19356</v>
      </c>
      <c r="L947" s="1" t="s">
        <v>19357</v>
      </c>
      <c r="M947" s="1" t="s">
        <v>19358</v>
      </c>
      <c r="N947" s="1" t="s">
        <v>132</v>
      </c>
      <c r="O947" s="1" t="s">
        <v>19359</v>
      </c>
      <c r="P947" s="1" t="s">
        <v>19360</v>
      </c>
      <c r="Q947" s="1" t="s">
        <v>132</v>
      </c>
      <c r="R947" s="1" t="s">
        <v>19361</v>
      </c>
      <c r="S947" s="1" t="s">
        <v>19349</v>
      </c>
      <c r="T947" s="8" t="s">
        <v>19362</v>
      </c>
      <c r="U947" s="1" t="s">
        <v>19363</v>
      </c>
      <c r="V947" s="1" t="s">
        <v>19364</v>
      </c>
      <c r="W947" s="1" t="s">
        <v>19361</v>
      </c>
      <c r="X947" s="1" t="s">
        <v>19365</v>
      </c>
      <c r="Y947" s="1" t="s">
        <v>19366</v>
      </c>
      <c r="Z947" s="1" t="s">
        <v>19349</v>
      </c>
      <c r="AA947" s="1" t="s">
        <v>19367</v>
      </c>
      <c r="AB947" s="1" t="s">
        <v>19368</v>
      </c>
      <c r="AC947" s="1" t="s">
        <v>19369</v>
      </c>
      <c r="AD947" s="1" t="s">
        <v>19370</v>
      </c>
      <c r="AE947" s="1" t="s">
        <v>19371</v>
      </c>
      <c r="AF947" s="1" t="s">
        <v>19349</v>
      </c>
      <c r="AG947" s="1" t="s">
        <v>19372</v>
      </c>
      <c r="AH947" s="1" t="s">
        <v>19373</v>
      </c>
      <c r="AI947" s="1" t="s">
        <v>19374</v>
      </c>
      <c r="AJ947" s="1" t="s">
        <v>132</v>
      </c>
      <c r="AK947" s="1" t="s">
        <v>19375</v>
      </c>
      <c r="AL947" s="1" t="s">
        <v>19376</v>
      </c>
      <c r="AM947" s="1" t="s">
        <v>19377</v>
      </c>
      <c r="AN947" s="1" t="s">
        <v>19377</v>
      </c>
    </row>
    <row r="948" ht="15.75" customHeight="1">
      <c r="A948" s="1" t="s">
        <v>38</v>
      </c>
      <c r="B948" s="1" t="s">
        <v>19378</v>
      </c>
      <c r="C948" s="1" t="s">
        <v>19379</v>
      </c>
      <c r="D948" s="8" t="s">
        <v>19380</v>
      </c>
      <c r="E948" s="1" t="s">
        <v>19381</v>
      </c>
      <c r="F948" s="1" t="s">
        <v>19382</v>
      </c>
      <c r="G948" s="1" t="s">
        <v>132</v>
      </c>
      <c r="H948" s="1" t="s">
        <v>132</v>
      </c>
      <c r="I948" s="1" t="s">
        <v>19383</v>
      </c>
      <c r="J948" s="1" t="s">
        <v>132</v>
      </c>
      <c r="K948" s="1" t="s">
        <v>19384</v>
      </c>
      <c r="L948" s="1" t="s">
        <v>132</v>
      </c>
      <c r="M948" s="1" t="s">
        <v>19385</v>
      </c>
      <c r="N948" s="1" t="s">
        <v>19386</v>
      </c>
      <c r="O948" s="1" t="s">
        <v>132</v>
      </c>
      <c r="P948" s="1" t="s">
        <v>19387</v>
      </c>
      <c r="Q948" s="1" t="s">
        <v>19388</v>
      </c>
      <c r="R948" s="1" t="s">
        <v>132</v>
      </c>
      <c r="S948" s="1" t="s">
        <v>19389</v>
      </c>
      <c r="T948" s="1" t="s">
        <v>132</v>
      </c>
      <c r="U948" s="1" t="s">
        <v>19390</v>
      </c>
      <c r="V948" s="1" t="s">
        <v>19391</v>
      </c>
      <c r="W948" s="1" t="s">
        <v>132</v>
      </c>
      <c r="X948" s="1" t="s">
        <v>19392</v>
      </c>
      <c r="Y948" s="1" t="s">
        <v>132</v>
      </c>
      <c r="Z948" s="1" t="s">
        <v>19393</v>
      </c>
      <c r="AA948" s="1" t="s">
        <v>19394</v>
      </c>
      <c r="AB948" s="1" t="s">
        <v>132</v>
      </c>
      <c r="AC948" s="1" t="s">
        <v>19395</v>
      </c>
      <c r="AD948" s="1" t="s">
        <v>132</v>
      </c>
      <c r="AE948" s="1" t="s">
        <v>132</v>
      </c>
      <c r="AF948" s="1" t="s">
        <v>19396</v>
      </c>
      <c r="AG948" s="1" t="s">
        <v>19397</v>
      </c>
      <c r="AH948" s="1" t="s">
        <v>132</v>
      </c>
      <c r="AI948" s="1" t="s">
        <v>132</v>
      </c>
      <c r="AJ948" s="1" t="s">
        <v>19398</v>
      </c>
      <c r="AK948" s="1" t="s">
        <v>19399</v>
      </c>
      <c r="AL948" s="1" t="s">
        <v>132</v>
      </c>
      <c r="AM948" s="1" t="s">
        <v>19400</v>
      </c>
      <c r="AN948" s="1" t="s">
        <v>19400</v>
      </c>
    </row>
    <row r="949" ht="15.75" customHeight="1">
      <c r="A949" s="1" t="s">
        <v>127</v>
      </c>
      <c r="B949" s="1" t="s">
        <v>19401</v>
      </c>
      <c r="C949" s="1" t="s">
        <v>19402</v>
      </c>
      <c r="D949" s="8" t="s">
        <v>19403</v>
      </c>
      <c r="E949" s="1" t="s">
        <v>19404</v>
      </c>
      <c r="F949" s="1" t="s">
        <v>132</v>
      </c>
      <c r="G949" s="1" t="s">
        <v>19405</v>
      </c>
      <c r="H949" s="1" t="s">
        <v>19406</v>
      </c>
      <c r="I949" s="1" t="s">
        <v>19407</v>
      </c>
      <c r="J949" s="1" t="s">
        <v>19408</v>
      </c>
      <c r="K949" s="1" t="s">
        <v>19409</v>
      </c>
      <c r="L949" s="1" t="s">
        <v>19410</v>
      </c>
      <c r="M949" s="1" t="s">
        <v>19411</v>
      </c>
      <c r="N949" s="1" t="s">
        <v>132</v>
      </c>
      <c r="O949" s="1" t="s">
        <v>19412</v>
      </c>
      <c r="P949" s="1" t="s">
        <v>19413</v>
      </c>
      <c r="Q949" s="1" t="s">
        <v>132</v>
      </c>
      <c r="R949" s="1" t="s">
        <v>19414</v>
      </c>
      <c r="S949" s="1" t="s">
        <v>19415</v>
      </c>
      <c r="T949" s="8" t="s">
        <v>19416</v>
      </c>
      <c r="U949" s="1" t="s">
        <v>19417</v>
      </c>
      <c r="V949" s="1" t="s">
        <v>19418</v>
      </c>
      <c r="W949" s="1" t="s">
        <v>19414</v>
      </c>
      <c r="X949" s="1" t="s">
        <v>19419</v>
      </c>
      <c r="Y949" s="1" t="s">
        <v>19420</v>
      </c>
      <c r="Z949" s="1" t="s">
        <v>19421</v>
      </c>
      <c r="AA949" s="1" t="s">
        <v>19422</v>
      </c>
      <c r="AB949" s="1" t="s">
        <v>19423</v>
      </c>
      <c r="AC949" s="1" t="s">
        <v>19424</v>
      </c>
      <c r="AD949" s="1" t="s">
        <v>19425</v>
      </c>
      <c r="AE949" s="1" t="s">
        <v>19426</v>
      </c>
      <c r="AF949" s="1" t="s">
        <v>19427</v>
      </c>
      <c r="AG949" s="1" t="s">
        <v>19428</v>
      </c>
      <c r="AH949" s="1" t="s">
        <v>19429</v>
      </c>
      <c r="AI949" s="1" t="s">
        <v>19430</v>
      </c>
      <c r="AJ949" s="1" t="s">
        <v>132</v>
      </c>
      <c r="AK949" s="1" t="s">
        <v>19431</v>
      </c>
      <c r="AL949" s="1" t="s">
        <v>19432</v>
      </c>
      <c r="AM949" s="1" t="s">
        <v>19433</v>
      </c>
      <c r="AN949" s="1" t="s">
        <v>19433</v>
      </c>
    </row>
    <row r="950" ht="15.75" customHeight="1">
      <c r="A950" s="1" t="s">
        <v>38</v>
      </c>
      <c r="B950" s="1" t="s">
        <v>19434</v>
      </c>
      <c r="C950" s="1" t="s">
        <v>19435</v>
      </c>
      <c r="D950" s="1" t="s">
        <v>132</v>
      </c>
      <c r="E950" s="1" t="s">
        <v>19436</v>
      </c>
      <c r="F950" s="1" t="s">
        <v>132</v>
      </c>
      <c r="G950" s="1" t="s">
        <v>132</v>
      </c>
      <c r="H950" s="1" t="s">
        <v>132</v>
      </c>
      <c r="I950" s="1" t="s">
        <v>19437</v>
      </c>
      <c r="J950" s="1" t="s">
        <v>132</v>
      </c>
      <c r="K950" s="1" t="s">
        <v>19438</v>
      </c>
      <c r="L950" s="1" t="s">
        <v>132</v>
      </c>
      <c r="M950" s="1" t="s">
        <v>19439</v>
      </c>
      <c r="N950" s="1" t="s">
        <v>19438</v>
      </c>
      <c r="O950" s="1" t="s">
        <v>132</v>
      </c>
      <c r="P950" s="1" t="s">
        <v>19440</v>
      </c>
      <c r="Q950" s="1" t="s">
        <v>132</v>
      </c>
      <c r="R950" s="1" t="s">
        <v>132</v>
      </c>
      <c r="S950" s="1" t="s">
        <v>19441</v>
      </c>
      <c r="T950" s="1" t="s">
        <v>132</v>
      </c>
      <c r="U950" s="1" t="s">
        <v>132</v>
      </c>
      <c r="V950" s="1" t="s">
        <v>132</v>
      </c>
      <c r="W950" s="1" t="s">
        <v>132</v>
      </c>
      <c r="X950" s="1" t="s">
        <v>19442</v>
      </c>
      <c r="Y950" s="1" t="s">
        <v>132</v>
      </c>
      <c r="Z950" s="1" t="s">
        <v>19443</v>
      </c>
      <c r="AA950" s="1" t="s">
        <v>132</v>
      </c>
      <c r="AB950" s="1" t="s">
        <v>132</v>
      </c>
      <c r="AC950" s="1" t="s">
        <v>132</v>
      </c>
      <c r="AD950" s="1" t="s">
        <v>132</v>
      </c>
      <c r="AE950" s="1" t="s">
        <v>132</v>
      </c>
      <c r="AF950" s="1" t="s">
        <v>132</v>
      </c>
      <c r="AG950" s="1" t="s">
        <v>132</v>
      </c>
      <c r="AH950" s="1" t="s">
        <v>132</v>
      </c>
      <c r="AI950" s="1" t="s">
        <v>132</v>
      </c>
      <c r="AJ950" s="1" t="s">
        <v>132</v>
      </c>
      <c r="AK950" s="1" t="s">
        <v>132</v>
      </c>
      <c r="AL950" s="1" t="s">
        <v>132</v>
      </c>
      <c r="AM950" s="1" t="s">
        <v>132</v>
      </c>
      <c r="AN950" s="1" t="s">
        <v>132</v>
      </c>
    </row>
    <row r="951" ht="15.75" customHeight="1">
      <c r="A951" s="1" t="s">
        <v>127</v>
      </c>
      <c r="B951" s="1" t="s">
        <v>19444</v>
      </c>
      <c r="C951" s="1" t="s">
        <v>19445</v>
      </c>
      <c r="D951" s="8" t="s">
        <v>5371</v>
      </c>
      <c r="E951" s="1" t="s">
        <v>19446</v>
      </c>
      <c r="F951" s="1" t="s">
        <v>132</v>
      </c>
      <c r="G951" s="1" t="s">
        <v>19447</v>
      </c>
      <c r="H951" s="1" t="s">
        <v>19445</v>
      </c>
      <c r="I951" s="1" t="s">
        <v>12179</v>
      </c>
      <c r="J951" s="1" t="s">
        <v>19448</v>
      </c>
      <c r="K951" s="1" t="s">
        <v>19449</v>
      </c>
      <c r="L951" s="1" t="s">
        <v>19450</v>
      </c>
      <c r="M951" s="1" t="s">
        <v>19449</v>
      </c>
      <c r="N951" s="1" t="s">
        <v>132</v>
      </c>
      <c r="O951" s="1" t="s">
        <v>19451</v>
      </c>
      <c r="P951" s="1" t="s">
        <v>19452</v>
      </c>
      <c r="Q951" s="1" t="s">
        <v>132</v>
      </c>
      <c r="R951" s="1" t="s">
        <v>12178</v>
      </c>
      <c r="S951" s="1" t="s">
        <v>19445</v>
      </c>
      <c r="T951" s="8" t="s">
        <v>5384</v>
      </c>
      <c r="U951" s="1" t="s">
        <v>19445</v>
      </c>
      <c r="V951" s="1" t="s">
        <v>5386</v>
      </c>
      <c r="W951" s="1" t="s">
        <v>12178</v>
      </c>
      <c r="X951" s="1" t="s">
        <v>19445</v>
      </c>
      <c r="Y951" s="1" t="s">
        <v>19453</v>
      </c>
      <c r="Z951" s="1" t="s">
        <v>19447</v>
      </c>
      <c r="AA951" s="1" t="s">
        <v>5388</v>
      </c>
      <c r="AB951" s="1" t="s">
        <v>19449</v>
      </c>
      <c r="AC951" s="1" t="s">
        <v>19454</v>
      </c>
      <c r="AD951" s="1" t="s">
        <v>19445</v>
      </c>
      <c r="AE951" s="1" t="s">
        <v>19445</v>
      </c>
      <c r="AF951" s="1" t="s">
        <v>19455</v>
      </c>
      <c r="AG951" s="1" t="s">
        <v>19453</v>
      </c>
      <c r="AH951" s="1" t="s">
        <v>5393</v>
      </c>
      <c r="AI951" s="1" t="s">
        <v>15310</v>
      </c>
      <c r="AJ951" s="1" t="s">
        <v>132</v>
      </c>
      <c r="AK951" s="1" t="s">
        <v>12181</v>
      </c>
      <c r="AL951" s="1" t="s">
        <v>5396</v>
      </c>
      <c r="AM951" s="1" t="s">
        <v>5397</v>
      </c>
      <c r="AN951" s="1" t="s">
        <v>5397</v>
      </c>
    </row>
    <row r="952" ht="15.75" customHeight="1">
      <c r="A952" s="1" t="s">
        <v>38</v>
      </c>
      <c r="B952" s="1" t="s">
        <v>19456</v>
      </c>
      <c r="C952" s="1" t="s">
        <v>19457</v>
      </c>
      <c r="D952" s="8" t="s">
        <v>19458</v>
      </c>
      <c r="E952" s="1" t="s">
        <v>19459</v>
      </c>
      <c r="F952" s="1" t="s">
        <v>19460</v>
      </c>
      <c r="G952" s="1" t="s">
        <v>132</v>
      </c>
      <c r="H952" s="1" t="s">
        <v>132</v>
      </c>
      <c r="I952" s="1" t="s">
        <v>19461</v>
      </c>
      <c r="J952" s="1" t="s">
        <v>132</v>
      </c>
      <c r="K952" s="1" t="s">
        <v>19462</v>
      </c>
      <c r="L952" s="1" t="s">
        <v>132</v>
      </c>
      <c r="M952" s="1" t="s">
        <v>19463</v>
      </c>
      <c r="N952" s="1" t="s">
        <v>19464</v>
      </c>
      <c r="O952" s="1" t="s">
        <v>132</v>
      </c>
      <c r="P952" s="1" t="s">
        <v>19465</v>
      </c>
      <c r="Q952" s="1" t="s">
        <v>132</v>
      </c>
      <c r="R952" s="1" t="s">
        <v>132</v>
      </c>
      <c r="S952" s="1" t="s">
        <v>19466</v>
      </c>
      <c r="T952" s="1" t="s">
        <v>132</v>
      </c>
      <c r="U952" s="1" t="s">
        <v>19467</v>
      </c>
      <c r="V952" s="1" t="s">
        <v>132</v>
      </c>
      <c r="W952" s="1" t="s">
        <v>132</v>
      </c>
      <c r="X952" s="1" t="s">
        <v>19468</v>
      </c>
      <c r="Y952" s="1" t="s">
        <v>132</v>
      </c>
      <c r="Z952" s="1" t="s">
        <v>19469</v>
      </c>
      <c r="AA952" s="1" t="s">
        <v>132</v>
      </c>
      <c r="AB952" s="1" t="s">
        <v>132</v>
      </c>
      <c r="AC952" s="1" t="s">
        <v>19470</v>
      </c>
      <c r="AD952" s="1" t="s">
        <v>132</v>
      </c>
      <c r="AE952" s="1" t="s">
        <v>132</v>
      </c>
      <c r="AF952" s="1" t="s">
        <v>19471</v>
      </c>
      <c r="AG952" s="1" t="s">
        <v>132</v>
      </c>
      <c r="AH952" s="1" t="s">
        <v>132</v>
      </c>
      <c r="AI952" s="1" t="s">
        <v>132</v>
      </c>
      <c r="AJ952" s="1" t="s">
        <v>132</v>
      </c>
      <c r="AK952" s="1" t="s">
        <v>132</v>
      </c>
      <c r="AL952" s="1" t="s">
        <v>132</v>
      </c>
      <c r="AM952" s="1" t="s">
        <v>132</v>
      </c>
      <c r="AN952" s="1" t="s">
        <v>132</v>
      </c>
    </row>
    <row r="953" ht="15.75" customHeight="1">
      <c r="A953" s="1" t="s">
        <v>38</v>
      </c>
      <c r="B953" s="1" t="s">
        <v>19472</v>
      </c>
      <c r="C953" s="1" t="s">
        <v>19473</v>
      </c>
      <c r="D953" s="8" t="s">
        <v>19474</v>
      </c>
      <c r="E953" s="1" t="s">
        <v>19475</v>
      </c>
      <c r="F953" s="1" t="s">
        <v>19476</v>
      </c>
      <c r="G953" s="1" t="s">
        <v>132</v>
      </c>
      <c r="H953" s="1" t="s">
        <v>132</v>
      </c>
      <c r="I953" s="1" t="s">
        <v>19477</v>
      </c>
      <c r="J953" s="1" t="s">
        <v>132</v>
      </c>
      <c r="K953" s="1" t="s">
        <v>17217</v>
      </c>
      <c r="L953" s="1" t="s">
        <v>132</v>
      </c>
      <c r="M953" s="1" t="s">
        <v>19478</v>
      </c>
      <c r="N953" s="1" t="s">
        <v>19479</v>
      </c>
      <c r="O953" s="1" t="s">
        <v>132</v>
      </c>
      <c r="P953" s="1" t="s">
        <v>19480</v>
      </c>
      <c r="Q953" s="1" t="s">
        <v>132</v>
      </c>
      <c r="R953" s="1" t="s">
        <v>132</v>
      </c>
      <c r="S953" s="1" t="s">
        <v>19481</v>
      </c>
      <c r="T953" s="1" t="s">
        <v>132</v>
      </c>
      <c r="U953" s="1" t="s">
        <v>19482</v>
      </c>
      <c r="V953" s="1" t="s">
        <v>19483</v>
      </c>
      <c r="W953" s="1" t="s">
        <v>132</v>
      </c>
      <c r="X953" s="1" t="s">
        <v>19484</v>
      </c>
      <c r="Y953" s="1" t="s">
        <v>132</v>
      </c>
      <c r="Z953" s="1" t="s">
        <v>19485</v>
      </c>
      <c r="AA953" s="1" t="s">
        <v>19486</v>
      </c>
      <c r="AB953" s="1" t="s">
        <v>132</v>
      </c>
      <c r="AC953" s="1" t="s">
        <v>19487</v>
      </c>
      <c r="AD953" s="1" t="s">
        <v>132</v>
      </c>
      <c r="AE953" s="1" t="s">
        <v>132</v>
      </c>
      <c r="AF953" s="1" t="s">
        <v>19488</v>
      </c>
      <c r="AG953" s="1" t="s">
        <v>19489</v>
      </c>
      <c r="AH953" s="1" t="s">
        <v>132</v>
      </c>
      <c r="AI953" s="1" t="s">
        <v>132</v>
      </c>
      <c r="AJ953" s="1" t="s">
        <v>19490</v>
      </c>
      <c r="AK953" s="1" t="s">
        <v>132</v>
      </c>
      <c r="AL953" s="1" t="s">
        <v>132</v>
      </c>
      <c r="AM953" s="1" t="s">
        <v>19491</v>
      </c>
      <c r="AN953" s="1" t="s">
        <v>19491</v>
      </c>
    </row>
    <row r="954" ht="15.75" customHeight="1">
      <c r="A954" s="1" t="s">
        <v>38</v>
      </c>
      <c r="B954" s="1" t="s">
        <v>19492</v>
      </c>
      <c r="C954" s="1" t="s">
        <v>19493</v>
      </c>
      <c r="D954" s="1" t="s">
        <v>132</v>
      </c>
      <c r="E954" s="1" t="s">
        <v>132</v>
      </c>
      <c r="F954" s="1" t="s">
        <v>132</v>
      </c>
      <c r="G954" s="1" t="s">
        <v>132</v>
      </c>
      <c r="H954" s="1" t="s">
        <v>132</v>
      </c>
      <c r="I954" s="1" t="s">
        <v>19494</v>
      </c>
      <c r="J954" s="1" t="s">
        <v>132</v>
      </c>
      <c r="K954" s="1" t="s">
        <v>19495</v>
      </c>
      <c r="L954" s="1" t="s">
        <v>132</v>
      </c>
      <c r="M954" s="1" t="s">
        <v>19496</v>
      </c>
      <c r="N954" s="1" t="s">
        <v>132</v>
      </c>
      <c r="O954" s="1" t="s">
        <v>132</v>
      </c>
      <c r="P954" s="1" t="s">
        <v>19497</v>
      </c>
      <c r="Q954" s="1" t="s">
        <v>132</v>
      </c>
      <c r="R954" s="1" t="s">
        <v>132</v>
      </c>
      <c r="S954" s="1" t="s">
        <v>132</v>
      </c>
      <c r="T954" s="1" t="s">
        <v>132</v>
      </c>
      <c r="U954" s="1" t="s">
        <v>132</v>
      </c>
      <c r="V954" s="1" t="s">
        <v>132</v>
      </c>
      <c r="W954" s="1" t="s">
        <v>132</v>
      </c>
      <c r="X954" s="1" t="s">
        <v>132</v>
      </c>
      <c r="Y954" s="1" t="s">
        <v>132</v>
      </c>
      <c r="Z954" s="1" t="s">
        <v>132</v>
      </c>
      <c r="AA954" s="1" t="s">
        <v>132</v>
      </c>
      <c r="AB954" s="1" t="s">
        <v>132</v>
      </c>
      <c r="AC954" s="1" t="s">
        <v>19498</v>
      </c>
      <c r="AD954" s="1" t="s">
        <v>132</v>
      </c>
      <c r="AE954" s="1" t="s">
        <v>132</v>
      </c>
      <c r="AF954" s="1" t="s">
        <v>19499</v>
      </c>
      <c r="AG954" s="1" t="s">
        <v>132</v>
      </c>
      <c r="AH954" s="1" t="s">
        <v>132</v>
      </c>
      <c r="AI954" s="1" t="s">
        <v>132</v>
      </c>
      <c r="AJ954" s="1" t="s">
        <v>132</v>
      </c>
      <c r="AK954" s="1" t="s">
        <v>132</v>
      </c>
      <c r="AL954" s="1" t="s">
        <v>132</v>
      </c>
      <c r="AM954" s="1" t="s">
        <v>132</v>
      </c>
      <c r="AN954" s="1" t="s">
        <v>132</v>
      </c>
    </row>
    <row r="955" ht="15.75" customHeight="1">
      <c r="A955" s="1" t="s">
        <v>38</v>
      </c>
      <c r="B955" s="1" t="s">
        <v>19500</v>
      </c>
      <c r="C955" s="1" t="s">
        <v>19501</v>
      </c>
      <c r="D955" s="8" t="s">
        <v>19502</v>
      </c>
      <c r="E955" s="1" t="s">
        <v>19503</v>
      </c>
      <c r="F955" s="1" t="s">
        <v>19504</v>
      </c>
      <c r="G955" s="1" t="s">
        <v>132</v>
      </c>
      <c r="H955" s="1" t="s">
        <v>132</v>
      </c>
      <c r="I955" s="1" t="s">
        <v>19505</v>
      </c>
      <c r="J955" s="1" t="s">
        <v>132</v>
      </c>
      <c r="K955" s="1" t="s">
        <v>19506</v>
      </c>
      <c r="L955" s="1" t="s">
        <v>132</v>
      </c>
      <c r="M955" s="1" t="s">
        <v>19507</v>
      </c>
      <c r="N955" s="1" t="s">
        <v>19508</v>
      </c>
      <c r="O955" s="1" t="s">
        <v>132</v>
      </c>
      <c r="P955" s="1" t="s">
        <v>19509</v>
      </c>
      <c r="Q955" s="1" t="s">
        <v>132</v>
      </c>
      <c r="R955" s="1" t="s">
        <v>132</v>
      </c>
      <c r="S955" s="1" t="s">
        <v>19510</v>
      </c>
      <c r="T955" s="1" t="s">
        <v>132</v>
      </c>
      <c r="U955" s="1" t="s">
        <v>19511</v>
      </c>
      <c r="V955" s="1" t="s">
        <v>19512</v>
      </c>
      <c r="W955" s="1" t="s">
        <v>132</v>
      </c>
      <c r="X955" s="1" t="s">
        <v>19513</v>
      </c>
      <c r="Y955" s="1" t="s">
        <v>132</v>
      </c>
      <c r="Z955" s="1" t="s">
        <v>19514</v>
      </c>
      <c r="AA955" s="1" t="s">
        <v>19515</v>
      </c>
      <c r="AB955" s="1" t="s">
        <v>132</v>
      </c>
      <c r="AC955" s="1" t="s">
        <v>19516</v>
      </c>
      <c r="AD955" s="1" t="s">
        <v>132</v>
      </c>
      <c r="AE955" s="1" t="s">
        <v>132</v>
      </c>
      <c r="AF955" s="1" t="s">
        <v>19517</v>
      </c>
      <c r="AG955" s="1" t="s">
        <v>19518</v>
      </c>
      <c r="AH955" s="1" t="s">
        <v>132</v>
      </c>
      <c r="AI955" s="1" t="s">
        <v>132</v>
      </c>
      <c r="AJ955" s="1" t="s">
        <v>19519</v>
      </c>
      <c r="AK955" s="1" t="s">
        <v>19520</v>
      </c>
      <c r="AL955" s="1" t="s">
        <v>132</v>
      </c>
      <c r="AM955" s="1" t="s">
        <v>19521</v>
      </c>
      <c r="AN955" s="1" t="s">
        <v>19521</v>
      </c>
    </row>
    <row r="956" ht="15.75" customHeight="1">
      <c r="A956" s="1" t="s">
        <v>127</v>
      </c>
      <c r="B956" s="1" t="s">
        <v>19522</v>
      </c>
      <c r="C956" s="1" t="s">
        <v>19523</v>
      </c>
      <c r="D956" s="8" t="s">
        <v>19524</v>
      </c>
      <c r="E956" s="1" t="s">
        <v>19525</v>
      </c>
      <c r="F956" s="1" t="s">
        <v>132</v>
      </c>
      <c r="G956" s="1" t="s">
        <v>19526</v>
      </c>
      <c r="H956" s="1" t="s">
        <v>19527</v>
      </c>
      <c r="I956" s="1" t="s">
        <v>19528</v>
      </c>
      <c r="J956" s="1" t="s">
        <v>19529</v>
      </c>
      <c r="K956" s="1" t="s">
        <v>19530</v>
      </c>
      <c r="L956" s="1" t="s">
        <v>19531</v>
      </c>
      <c r="M956" s="1" t="s">
        <v>19532</v>
      </c>
      <c r="N956" s="1" t="s">
        <v>132</v>
      </c>
      <c r="O956" s="1" t="s">
        <v>19533</v>
      </c>
      <c r="P956" s="1" t="s">
        <v>19534</v>
      </c>
      <c r="Q956" s="1" t="s">
        <v>132</v>
      </c>
      <c r="R956" s="1" t="s">
        <v>19535</v>
      </c>
      <c r="S956" s="1" t="s">
        <v>19536</v>
      </c>
      <c r="T956" s="8" t="s">
        <v>19537</v>
      </c>
      <c r="U956" s="1" t="s">
        <v>19538</v>
      </c>
      <c r="V956" s="1" t="s">
        <v>19539</v>
      </c>
      <c r="W956" s="1" t="s">
        <v>19540</v>
      </c>
      <c r="X956" s="1" t="s">
        <v>19541</v>
      </c>
      <c r="Y956" s="1" t="s">
        <v>19542</v>
      </c>
      <c r="Z956" s="1" t="s">
        <v>19543</v>
      </c>
      <c r="AA956" s="1" t="s">
        <v>19544</v>
      </c>
      <c r="AB956" s="1" t="s">
        <v>19545</v>
      </c>
      <c r="AC956" s="1" t="s">
        <v>19546</v>
      </c>
      <c r="AD956" s="1" t="s">
        <v>19547</v>
      </c>
      <c r="AE956" s="1" t="s">
        <v>19548</v>
      </c>
      <c r="AF956" s="1" t="s">
        <v>19549</v>
      </c>
      <c r="AG956" s="1" t="s">
        <v>19550</v>
      </c>
      <c r="AH956" s="1" t="s">
        <v>19551</v>
      </c>
      <c r="AI956" s="1" t="s">
        <v>19552</v>
      </c>
      <c r="AJ956" s="1" t="s">
        <v>132</v>
      </c>
      <c r="AK956" s="1" t="s">
        <v>19553</v>
      </c>
      <c r="AL956" s="1" t="s">
        <v>19554</v>
      </c>
      <c r="AM956" s="1" t="s">
        <v>132</v>
      </c>
      <c r="AN956" s="1" t="s">
        <v>132</v>
      </c>
    </row>
    <row r="957" ht="15.75" customHeight="1">
      <c r="A957" s="1" t="s">
        <v>43182</v>
      </c>
      <c r="B957" s="1" t="s">
        <v>43247</v>
      </c>
      <c r="C957" s="1" t="s">
        <v>43194</v>
      </c>
      <c r="D957" s="1" t="s">
        <v>132</v>
      </c>
      <c r="E957" s="1" t="s">
        <v>132</v>
      </c>
      <c r="F957" s="1" t="s">
        <v>132</v>
      </c>
      <c r="G957" s="1" t="s">
        <v>132</v>
      </c>
      <c r="H957" s="1" t="s">
        <v>132</v>
      </c>
      <c r="I957" s="1" t="s">
        <v>132</v>
      </c>
      <c r="J957" s="1" t="s">
        <v>132</v>
      </c>
      <c r="K957" s="1" t="s">
        <v>132</v>
      </c>
      <c r="L957" s="1" t="s">
        <v>132</v>
      </c>
      <c r="M957" s="1" t="s">
        <v>132</v>
      </c>
      <c r="N957" s="1" t="s">
        <v>132</v>
      </c>
      <c r="O957" s="1" t="s">
        <v>132</v>
      </c>
      <c r="P957" s="1" t="s">
        <v>132</v>
      </c>
      <c r="Q957" s="1" t="s">
        <v>132</v>
      </c>
      <c r="R957" s="1" t="s">
        <v>132</v>
      </c>
      <c r="S957" s="1" t="s">
        <v>132</v>
      </c>
      <c r="T957" s="1" t="s">
        <v>132</v>
      </c>
      <c r="U957" s="1" t="s">
        <v>132</v>
      </c>
      <c r="V957" s="1" t="s">
        <v>132</v>
      </c>
      <c r="W957" s="1" t="s">
        <v>132</v>
      </c>
      <c r="X957" s="1" t="s">
        <v>132</v>
      </c>
      <c r="Y957" s="1" t="s">
        <v>132</v>
      </c>
      <c r="Z957" s="1" t="s">
        <v>132</v>
      </c>
      <c r="AA957" s="1" t="s">
        <v>132</v>
      </c>
      <c r="AB957" s="1" t="s">
        <v>132</v>
      </c>
      <c r="AC957" s="1" t="s">
        <v>132</v>
      </c>
      <c r="AD957" s="1" t="s">
        <v>132</v>
      </c>
      <c r="AE957" s="1" t="s">
        <v>132</v>
      </c>
      <c r="AF957" s="1" t="s">
        <v>132</v>
      </c>
      <c r="AG957" s="1" t="s">
        <v>132</v>
      </c>
      <c r="AH957" s="1" t="s">
        <v>132</v>
      </c>
      <c r="AI957" s="1" t="s">
        <v>132</v>
      </c>
      <c r="AJ957" s="1" t="s">
        <v>132</v>
      </c>
      <c r="AK957" s="1" t="s">
        <v>132</v>
      </c>
      <c r="AL957" s="1" t="s">
        <v>132</v>
      </c>
      <c r="AM957" s="1" t="s">
        <v>132</v>
      </c>
      <c r="AN957" s="1" t="s">
        <v>132</v>
      </c>
    </row>
    <row r="958" ht="15.75" customHeight="1">
      <c r="A958" s="1" t="s">
        <v>43182</v>
      </c>
      <c r="B958" s="1" t="s">
        <v>43248</v>
      </c>
      <c r="C958" s="1" t="s">
        <v>43198</v>
      </c>
      <c r="D958" s="1" t="s">
        <v>132</v>
      </c>
      <c r="E958" s="1" t="s">
        <v>132</v>
      </c>
      <c r="F958" s="1" t="s">
        <v>132</v>
      </c>
      <c r="G958" s="1" t="s">
        <v>132</v>
      </c>
      <c r="H958" s="1" t="s">
        <v>132</v>
      </c>
      <c r="I958" s="1" t="s">
        <v>132</v>
      </c>
      <c r="J958" s="1" t="s">
        <v>132</v>
      </c>
      <c r="K958" s="1" t="s">
        <v>132</v>
      </c>
      <c r="L958" s="1" t="s">
        <v>132</v>
      </c>
      <c r="M958" s="1" t="s">
        <v>132</v>
      </c>
      <c r="N958" s="1" t="s">
        <v>132</v>
      </c>
      <c r="O958" s="1" t="s">
        <v>132</v>
      </c>
      <c r="P958" s="1" t="s">
        <v>132</v>
      </c>
      <c r="Q958" s="1" t="s">
        <v>132</v>
      </c>
      <c r="R958" s="1" t="s">
        <v>132</v>
      </c>
      <c r="S958" s="1" t="s">
        <v>132</v>
      </c>
      <c r="T958" s="1" t="s">
        <v>132</v>
      </c>
      <c r="U958" s="1" t="s">
        <v>132</v>
      </c>
      <c r="V958" s="1" t="s">
        <v>132</v>
      </c>
      <c r="W958" s="1" t="s">
        <v>132</v>
      </c>
      <c r="X958" s="1" t="s">
        <v>132</v>
      </c>
      <c r="Y958" s="1" t="s">
        <v>132</v>
      </c>
      <c r="Z958" s="1" t="s">
        <v>132</v>
      </c>
      <c r="AA958" s="1" t="s">
        <v>132</v>
      </c>
      <c r="AB958" s="1" t="s">
        <v>132</v>
      </c>
      <c r="AC958" s="1" t="s">
        <v>132</v>
      </c>
      <c r="AD958" s="1" t="s">
        <v>132</v>
      </c>
      <c r="AE958" s="1" t="s">
        <v>132</v>
      </c>
      <c r="AF958" s="1" t="s">
        <v>132</v>
      </c>
      <c r="AG958" s="1" t="s">
        <v>132</v>
      </c>
      <c r="AH958" s="1" t="s">
        <v>132</v>
      </c>
      <c r="AI958" s="1" t="s">
        <v>132</v>
      </c>
      <c r="AJ958" s="1" t="s">
        <v>132</v>
      </c>
      <c r="AK958" s="1" t="s">
        <v>132</v>
      </c>
      <c r="AL958" s="1" t="s">
        <v>132</v>
      </c>
      <c r="AM958" s="1" t="s">
        <v>132</v>
      </c>
      <c r="AN958" s="1" t="s">
        <v>132</v>
      </c>
    </row>
    <row r="959" ht="15.75" customHeight="1">
      <c r="A959" s="1" t="s">
        <v>43182</v>
      </c>
      <c r="B959" s="1" t="s">
        <v>43249</v>
      </c>
      <c r="C959" s="1" t="s">
        <v>538</v>
      </c>
      <c r="D959" s="1" t="s">
        <v>132</v>
      </c>
      <c r="E959" s="1" t="s">
        <v>132</v>
      </c>
      <c r="F959" s="1" t="s">
        <v>132</v>
      </c>
      <c r="G959" s="1" t="s">
        <v>132</v>
      </c>
      <c r="H959" s="1" t="s">
        <v>132</v>
      </c>
      <c r="I959" s="1" t="s">
        <v>132</v>
      </c>
      <c r="J959" s="1" t="s">
        <v>132</v>
      </c>
      <c r="K959" s="1" t="s">
        <v>132</v>
      </c>
      <c r="L959" s="1" t="s">
        <v>132</v>
      </c>
      <c r="M959" s="1" t="s">
        <v>132</v>
      </c>
      <c r="N959" s="1" t="s">
        <v>132</v>
      </c>
      <c r="O959" s="1" t="s">
        <v>132</v>
      </c>
      <c r="P959" s="1" t="s">
        <v>132</v>
      </c>
      <c r="Q959" s="1" t="s">
        <v>132</v>
      </c>
      <c r="R959" s="1" t="s">
        <v>132</v>
      </c>
      <c r="S959" s="1" t="s">
        <v>132</v>
      </c>
      <c r="T959" s="1" t="s">
        <v>132</v>
      </c>
      <c r="U959" s="1" t="s">
        <v>132</v>
      </c>
      <c r="V959" s="1" t="s">
        <v>132</v>
      </c>
      <c r="W959" s="1" t="s">
        <v>132</v>
      </c>
      <c r="X959" s="1" t="s">
        <v>132</v>
      </c>
      <c r="Y959" s="1" t="s">
        <v>132</v>
      </c>
      <c r="Z959" s="1" t="s">
        <v>132</v>
      </c>
      <c r="AA959" s="1" t="s">
        <v>132</v>
      </c>
      <c r="AB959" s="1" t="s">
        <v>132</v>
      </c>
      <c r="AC959" s="1" t="s">
        <v>132</v>
      </c>
      <c r="AD959" s="1" t="s">
        <v>132</v>
      </c>
      <c r="AE959" s="1" t="s">
        <v>132</v>
      </c>
      <c r="AF959" s="1" t="s">
        <v>132</v>
      </c>
      <c r="AG959" s="1" t="s">
        <v>132</v>
      </c>
      <c r="AH959" s="1" t="s">
        <v>132</v>
      </c>
      <c r="AI959" s="1" t="s">
        <v>132</v>
      </c>
      <c r="AJ959" s="1" t="s">
        <v>132</v>
      </c>
      <c r="AK959" s="1" t="s">
        <v>132</v>
      </c>
      <c r="AL959" s="1" t="s">
        <v>132</v>
      </c>
      <c r="AM959" s="1" t="s">
        <v>132</v>
      </c>
      <c r="AN959" s="1" t="s">
        <v>132</v>
      </c>
    </row>
    <row r="960" ht="15.75" customHeight="1">
      <c r="A960" s="1" t="s">
        <v>127</v>
      </c>
      <c r="B960" s="1" t="s">
        <v>19555</v>
      </c>
      <c r="C960" s="1" t="s">
        <v>14559</v>
      </c>
      <c r="D960" s="8" t="s">
        <v>19556</v>
      </c>
      <c r="E960" s="1" t="s">
        <v>14561</v>
      </c>
      <c r="F960" s="1" t="s">
        <v>132</v>
      </c>
      <c r="G960" s="1" t="s">
        <v>14562</v>
      </c>
      <c r="H960" s="1" t="s">
        <v>14563</v>
      </c>
      <c r="I960" s="1" t="s">
        <v>19557</v>
      </c>
      <c r="J960" s="1" t="s">
        <v>14565</v>
      </c>
      <c r="K960" s="1" t="s">
        <v>14566</v>
      </c>
      <c r="L960" s="1" t="s">
        <v>14567</v>
      </c>
      <c r="M960" s="1" t="s">
        <v>19558</v>
      </c>
      <c r="N960" s="1" t="s">
        <v>132</v>
      </c>
      <c r="O960" s="1" t="s">
        <v>14569</v>
      </c>
      <c r="P960" s="1" t="s">
        <v>19559</v>
      </c>
      <c r="Q960" s="1" t="s">
        <v>132</v>
      </c>
      <c r="R960" s="1" t="s">
        <v>19560</v>
      </c>
      <c r="S960" s="1" t="s">
        <v>19561</v>
      </c>
      <c r="T960" s="8" t="s">
        <v>14573</v>
      </c>
      <c r="U960" s="1" t="s">
        <v>19562</v>
      </c>
      <c r="V960" s="1" t="s">
        <v>19563</v>
      </c>
      <c r="W960" s="1" t="s">
        <v>19564</v>
      </c>
      <c r="X960" s="1" t="s">
        <v>19565</v>
      </c>
      <c r="Y960" s="1" t="s">
        <v>14577</v>
      </c>
      <c r="Z960" s="1" t="s">
        <v>19566</v>
      </c>
      <c r="AA960" s="1" t="s">
        <v>14566</v>
      </c>
      <c r="AB960" s="1" t="s">
        <v>14580</v>
      </c>
      <c r="AC960" s="1" t="s">
        <v>19567</v>
      </c>
      <c r="AD960" s="1" t="s">
        <v>14582</v>
      </c>
      <c r="AE960" s="1" t="s">
        <v>14583</v>
      </c>
      <c r="AF960" s="1" t="s">
        <v>14584</v>
      </c>
      <c r="AG960" s="1" t="s">
        <v>14585</v>
      </c>
      <c r="AH960" s="1" t="s">
        <v>14586</v>
      </c>
      <c r="AI960" s="1" t="s">
        <v>14587</v>
      </c>
      <c r="AJ960" s="1" t="s">
        <v>132</v>
      </c>
      <c r="AK960" s="1" t="s">
        <v>14588</v>
      </c>
      <c r="AL960" s="1" t="s">
        <v>19568</v>
      </c>
      <c r="AM960" s="1" t="s">
        <v>19569</v>
      </c>
      <c r="AN960" s="1" t="s">
        <v>19569</v>
      </c>
    </row>
    <row r="961" ht="15.75" customHeight="1">
      <c r="A961" s="1" t="s">
        <v>43182</v>
      </c>
      <c r="B961" s="1" t="s">
        <v>43250</v>
      </c>
      <c r="C961" s="1" t="s">
        <v>43251</v>
      </c>
      <c r="D961" s="1" t="s">
        <v>132</v>
      </c>
      <c r="E961" s="1" t="s">
        <v>132</v>
      </c>
      <c r="F961" s="1" t="s">
        <v>132</v>
      </c>
      <c r="G961" s="1" t="s">
        <v>132</v>
      </c>
      <c r="H961" s="1" t="s">
        <v>132</v>
      </c>
      <c r="I961" s="1" t="s">
        <v>132</v>
      </c>
      <c r="J961" s="1" t="s">
        <v>132</v>
      </c>
      <c r="K961" s="1" t="s">
        <v>132</v>
      </c>
      <c r="L961" s="1" t="s">
        <v>132</v>
      </c>
      <c r="M961" s="1" t="s">
        <v>132</v>
      </c>
      <c r="N961" s="1" t="s">
        <v>132</v>
      </c>
      <c r="O961" s="1" t="s">
        <v>132</v>
      </c>
      <c r="P961" s="1" t="s">
        <v>132</v>
      </c>
      <c r="Q961" s="1" t="s">
        <v>132</v>
      </c>
      <c r="R961" s="1" t="s">
        <v>132</v>
      </c>
      <c r="S961" s="1" t="s">
        <v>132</v>
      </c>
      <c r="T961" s="1" t="s">
        <v>132</v>
      </c>
      <c r="U961" s="1" t="s">
        <v>132</v>
      </c>
      <c r="V961" s="1" t="s">
        <v>132</v>
      </c>
      <c r="W961" s="1" t="s">
        <v>132</v>
      </c>
      <c r="X961" s="1" t="s">
        <v>132</v>
      </c>
      <c r="Y961" s="1" t="s">
        <v>132</v>
      </c>
      <c r="Z961" s="1" t="s">
        <v>132</v>
      </c>
      <c r="AA961" s="1" t="s">
        <v>132</v>
      </c>
      <c r="AB961" s="1" t="s">
        <v>132</v>
      </c>
      <c r="AC961" s="1" t="s">
        <v>132</v>
      </c>
      <c r="AD961" s="1" t="s">
        <v>132</v>
      </c>
      <c r="AE961" s="1" t="s">
        <v>132</v>
      </c>
      <c r="AF961" s="1" t="s">
        <v>132</v>
      </c>
      <c r="AG961" s="1" t="s">
        <v>132</v>
      </c>
      <c r="AH961" s="1" t="s">
        <v>132</v>
      </c>
      <c r="AI961" s="1" t="s">
        <v>132</v>
      </c>
      <c r="AJ961" s="1" t="s">
        <v>132</v>
      </c>
      <c r="AK961" s="1" t="s">
        <v>132</v>
      </c>
      <c r="AL961" s="1" t="s">
        <v>132</v>
      </c>
      <c r="AM961" s="1" t="s">
        <v>132</v>
      </c>
      <c r="AN961" s="1" t="s">
        <v>132</v>
      </c>
    </row>
    <row r="962" ht="15.75" customHeight="1">
      <c r="A962" s="1" t="s">
        <v>127</v>
      </c>
      <c r="B962" s="1" t="s">
        <v>19570</v>
      </c>
      <c r="C962" s="1" t="s">
        <v>19571</v>
      </c>
      <c r="D962" s="8" t="s">
        <v>19572</v>
      </c>
      <c r="E962" s="1" t="s">
        <v>43252</v>
      </c>
      <c r="F962" s="1" t="s">
        <v>132</v>
      </c>
      <c r="G962" s="1" t="s">
        <v>19574</v>
      </c>
      <c r="H962" s="1" t="s">
        <v>19575</v>
      </c>
      <c r="I962" s="1" t="s">
        <v>19571</v>
      </c>
      <c r="J962" s="1" t="s">
        <v>19576</v>
      </c>
      <c r="K962" s="1" t="s">
        <v>19571</v>
      </c>
      <c r="L962" s="1" t="s">
        <v>19571</v>
      </c>
      <c r="M962" s="1" t="s">
        <v>19577</v>
      </c>
      <c r="N962" s="1" t="s">
        <v>132</v>
      </c>
      <c r="O962" s="1" t="s">
        <v>19578</v>
      </c>
      <c r="P962" s="1" t="s">
        <v>19571</v>
      </c>
      <c r="Q962" s="1" t="s">
        <v>132</v>
      </c>
      <c r="R962" s="1" t="s">
        <v>19571</v>
      </c>
      <c r="S962" s="1" t="s">
        <v>19571</v>
      </c>
      <c r="T962" s="8" t="s">
        <v>19579</v>
      </c>
      <c r="U962" s="1" t="s">
        <v>19580</v>
      </c>
      <c r="V962" s="1" t="s">
        <v>19581</v>
      </c>
      <c r="W962" s="1" t="s">
        <v>19571</v>
      </c>
      <c r="X962" s="1" t="s">
        <v>19571</v>
      </c>
      <c r="Y962" s="1" t="s">
        <v>19582</v>
      </c>
      <c r="Z962" s="1" t="s">
        <v>19571</v>
      </c>
      <c r="AA962" s="1" t="s">
        <v>19571</v>
      </c>
      <c r="AB962" s="1" t="s">
        <v>19583</v>
      </c>
      <c r="AC962" s="1" t="s">
        <v>19584</v>
      </c>
      <c r="AD962" s="1" t="s">
        <v>19571</v>
      </c>
      <c r="AE962" s="1" t="s">
        <v>19571</v>
      </c>
      <c r="AF962" s="1" t="s">
        <v>19571</v>
      </c>
      <c r="AG962" s="1" t="s">
        <v>19571</v>
      </c>
      <c r="AH962" s="1" t="s">
        <v>19585</v>
      </c>
      <c r="AI962" s="1" t="s">
        <v>19577</v>
      </c>
      <c r="AJ962" s="1" t="s">
        <v>132</v>
      </c>
      <c r="AK962" s="1" t="s">
        <v>19577</v>
      </c>
      <c r="AL962" s="1" t="s">
        <v>19586</v>
      </c>
      <c r="AM962" s="1" t="s">
        <v>19587</v>
      </c>
      <c r="AN962" s="1" t="s">
        <v>19587</v>
      </c>
    </row>
    <row r="963" ht="15.75" customHeight="1">
      <c r="A963" s="1" t="s">
        <v>38</v>
      </c>
      <c r="B963" s="1" t="s">
        <v>19588</v>
      </c>
      <c r="C963" s="1" t="s">
        <v>19589</v>
      </c>
      <c r="D963" s="1" t="s">
        <v>132</v>
      </c>
      <c r="E963" s="1" t="s">
        <v>132</v>
      </c>
      <c r="F963" s="1" t="s">
        <v>132</v>
      </c>
      <c r="G963" s="1" t="s">
        <v>132</v>
      </c>
      <c r="H963" s="1" t="s">
        <v>132</v>
      </c>
      <c r="I963" s="1" t="s">
        <v>19590</v>
      </c>
      <c r="J963" s="1" t="s">
        <v>132</v>
      </c>
      <c r="K963" s="1" t="s">
        <v>19591</v>
      </c>
      <c r="L963" s="1" t="s">
        <v>132</v>
      </c>
      <c r="M963" s="1" t="s">
        <v>19592</v>
      </c>
      <c r="N963" s="1" t="s">
        <v>132</v>
      </c>
      <c r="O963" s="1" t="s">
        <v>132</v>
      </c>
      <c r="P963" s="1" t="s">
        <v>19589</v>
      </c>
      <c r="Q963" s="1" t="s">
        <v>132</v>
      </c>
      <c r="R963" s="1" t="s">
        <v>132</v>
      </c>
      <c r="S963" s="1" t="s">
        <v>132</v>
      </c>
      <c r="T963" s="1" t="s">
        <v>132</v>
      </c>
      <c r="U963" s="1" t="s">
        <v>132</v>
      </c>
      <c r="V963" s="1" t="s">
        <v>132</v>
      </c>
      <c r="W963" s="1" t="s">
        <v>132</v>
      </c>
      <c r="X963" s="1" t="s">
        <v>132</v>
      </c>
      <c r="Y963" s="1" t="s">
        <v>132</v>
      </c>
      <c r="Z963" s="1" t="s">
        <v>132</v>
      </c>
      <c r="AA963" s="1" t="s">
        <v>132</v>
      </c>
      <c r="AB963" s="1" t="s">
        <v>132</v>
      </c>
      <c r="AC963" s="1" t="s">
        <v>19593</v>
      </c>
      <c r="AD963" s="1" t="s">
        <v>132</v>
      </c>
      <c r="AE963" s="1" t="s">
        <v>132</v>
      </c>
      <c r="AF963" s="1" t="s">
        <v>19594</v>
      </c>
      <c r="AG963" s="1" t="s">
        <v>132</v>
      </c>
      <c r="AH963" s="1" t="s">
        <v>132</v>
      </c>
      <c r="AI963" s="1" t="s">
        <v>132</v>
      </c>
      <c r="AJ963" s="1" t="s">
        <v>132</v>
      </c>
      <c r="AK963" s="1" t="s">
        <v>132</v>
      </c>
      <c r="AL963" s="1" t="s">
        <v>132</v>
      </c>
      <c r="AM963" s="1" t="s">
        <v>132</v>
      </c>
      <c r="AN963" s="1" t="s">
        <v>132</v>
      </c>
    </row>
    <row r="964" ht="15.75" customHeight="1">
      <c r="A964" s="1" t="s">
        <v>38</v>
      </c>
      <c r="B964" s="1" t="s">
        <v>19595</v>
      </c>
      <c r="C964" s="1" t="s">
        <v>19596</v>
      </c>
      <c r="D964" s="1" t="s">
        <v>132</v>
      </c>
      <c r="E964" s="1" t="s">
        <v>132</v>
      </c>
      <c r="F964" s="1" t="s">
        <v>132</v>
      </c>
      <c r="G964" s="1" t="s">
        <v>132</v>
      </c>
      <c r="H964" s="1" t="s">
        <v>132</v>
      </c>
      <c r="I964" s="1" t="s">
        <v>19596</v>
      </c>
      <c r="J964" s="1" t="s">
        <v>132</v>
      </c>
      <c r="K964" s="1" t="s">
        <v>19597</v>
      </c>
      <c r="L964" s="1" t="s">
        <v>132</v>
      </c>
      <c r="M964" s="1" t="s">
        <v>19596</v>
      </c>
      <c r="N964" s="1" t="s">
        <v>132</v>
      </c>
      <c r="O964" s="1" t="s">
        <v>132</v>
      </c>
      <c r="P964" s="1" t="s">
        <v>19596</v>
      </c>
      <c r="Q964" s="1" t="s">
        <v>132</v>
      </c>
      <c r="R964" s="1" t="s">
        <v>132</v>
      </c>
      <c r="S964" s="1" t="s">
        <v>132</v>
      </c>
      <c r="T964" s="1" t="s">
        <v>132</v>
      </c>
      <c r="U964" s="1" t="s">
        <v>132</v>
      </c>
      <c r="V964" s="1" t="s">
        <v>132</v>
      </c>
      <c r="W964" s="1" t="s">
        <v>132</v>
      </c>
      <c r="X964" s="1" t="s">
        <v>132</v>
      </c>
      <c r="Y964" s="1" t="s">
        <v>132</v>
      </c>
      <c r="Z964" s="1" t="s">
        <v>132</v>
      </c>
      <c r="AA964" s="1" t="s">
        <v>132</v>
      </c>
      <c r="AB964" s="1" t="s">
        <v>132</v>
      </c>
      <c r="AC964" s="1" t="s">
        <v>19598</v>
      </c>
      <c r="AD964" s="1" t="s">
        <v>132</v>
      </c>
      <c r="AE964" s="1" t="s">
        <v>132</v>
      </c>
      <c r="AF964" s="1" t="s">
        <v>19599</v>
      </c>
      <c r="AG964" s="1" t="s">
        <v>132</v>
      </c>
      <c r="AH964" s="1" t="s">
        <v>132</v>
      </c>
      <c r="AI964" s="1" t="s">
        <v>132</v>
      </c>
      <c r="AJ964" s="1" t="s">
        <v>132</v>
      </c>
      <c r="AK964" s="1" t="s">
        <v>132</v>
      </c>
      <c r="AL964" s="1" t="s">
        <v>132</v>
      </c>
      <c r="AM964" s="1" t="s">
        <v>132</v>
      </c>
      <c r="AN964" s="1" t="s">
        <v>132</v>
      </c>
    </row>
    <row r="965" ht="15.75" customHeight="1">
      <c r="A965" s="1" t="s">
        <v>127</v>
      </c>
      <c r="B965" s="1" t="s">
        <v>19600</v>
      </c>
      <c r="C965" s="1" t="s">
        <v>19601</v>
      </c>
      <c r="D965" s="8" t="s">
        <v>19602</v>
      </c>
      <c r="E965" s="1" t="s">
        <v>19603</v>
      </c>
      <c r="F965" s="1" t="s">
        <v>132</v>
      </c>
      <c r="G965" s="1" t="s">
        <v>19604</v>
      </c>
      <c r="H965" s="1" t="s">
        <v>19605</v>
      </c>
      <c r="I965" s="1" t="s">
        <v>19606</v>
      </c>
      <c r="J965" s="1" t="s">
        <v>19607</v>
      </c>
      <c r="K965" s="1" t="s">
        <v>19608</v>
      </c>
      <c r="L965" s="1" t="s">
        <v>19609</v>
      </c>
      <c r="M965" s="1" t="s">
        <v>19601</v>
      </c>
      <c r="N965" s="1" t="s">
        <v>132</v>
      </c>
      <c r="O965" s="1" t="s">
        <v>19610</v>
      </c>
      <c r="P965" s="1" t="s">
        <v>19601</v>
      </c>
      <c r="Q965" s="1" t="s">
        <v>132</v>
      </c>
      <c r="R965" s="1" t="s">
        <v>19611</v>
      </c>
      <c r="S965" s="1" t="s">
        <v>19612</v>
      </c>
      <c r="T965" s="8" t="s">
        <v>19613</v>
      </c>
      <c r="U965" s="1" t="s">
        <v>19614</v>
      </c>
      <c r="V965" s="1" t="s">
        <v>19615</v>
      </c>
      <c r="W965" s="1" t="s">
        <v>19611</v>
      </c>
      <c r="X965" s="1" t="s">
        <v>19616</v>
      </c>
      <c r="Y965" s="1" t="s">
        <v>19617</v>
      </c>
      <c r="Z965" s="1" t="s">
        <v>19618</v>
      </c>
      <c r="AA965" s="1" t="s">
        <v>19619</v>
      </c>
      <c r="AB965" s="1" t="s">
        <v>19620</v>
      </c>
      <c r="AC965" s="1" t="s">
        <v>19621</v>
      </c>
      <c r="AD965" s="1" t="s">
        <v>19622</v>
      </c>
      <c r="AE965" s="1" t="s">
        <v>19623</v>
      </c>
      <c r="AF965" s="1" t="s">
        <v>19624</v>
      </c>
      <c r="AG965" s="1" t="s">
        <v>19625</v>
      </c>
      <c r="AH965" s="1" t="s">
        <v>19626</v>
      </c>
      <c r="AI965" s="1" t="s">
        <v>19627</v>
      </c>
      <c r="AJ965" s="1" t="s">
        <v>132</v>
      </c>
      <c r="AK965" s="1" t="s">
        <v>19628</v>
      </c>
      <c r="AL965" s="1" t="s">
        <v>19629</v>
      </c>
      <c r="AM965" s="1" t="s">
        <v>132</v>
      </c>
      <c r="AN965" s="1" t="s">
        <v>132</v>
      </c>
    </row>
    <row r="966" ht="15.75" customHeight="1">
      <c r="A966" s="1" t="s">
        <v>38</v>
      </c>
      <c r="B966" s="1" t="s">
        <v>19630</v>
      </c>
      <c r="C966" s="1" t="s">
        <v>19631</v>
      </c>
      <c r="D966" s="1" t="s">
        <v>132</v>
      </c>
      <c r="E966" s="1" t="s">
        <v>19632</v>
      </c>
      <c r="F966" s="1" t="s">
        <v>19633</v>
      </c>
      <c r="G966" s="1" t="s">
        <v>132</v>
      </c>
      <c r="H966" s="1" t="s">
        <v>132</v>
      </c>
      <c r="I966" s="1" t="s">
        <v>19634</v>
      </c>
      <c r="J966" s="1" t="s">
        <v>132</v>
      </c>
      <c r="K966" s="1" t="s">
        <v>19635</v>
      </c>
      <c r="L966" s="1" t="s">
        <v>132</v>
      </c>
      <c r="M966" s="1" t="s">
        <v>19636</v>
      </c>
      <c r="N966" s="1" t="s">
        <v>19637</v>
      </c>
      <c r="O966" s="1" t="s">
        <v>132</v>
      </c>
      <c r="P966" s="1" t="s">
        <v>19638</v>
      </c>
      <c r="Q966" s="1" t="s">
        <v>132</v>
      </c>
      <c r="R966" s="1" t="s">
        <v>132</v>
      </c>
      <c r="S966" s="1" t="s">
        <v>19639</v>
      </c>
      <c r="T966" s="1" t="s">
        <v>132</v>
      </c>
      <c r="U966" s="1" t="s">
        <v>132</v>
      </c>
      <c r="V966" s="1" t="s">
        <v>132</v>
      </c>
      <c r="W966" s="1" t="s">
        <v>132</v>
      </c>
      <c r="X966" s="1" t="s">
        <v>19640</v>
      </c>
      <c r="Y966" s="1" t="s">
        <v>132</v>
      </c>
      <c r="Z966" s="1" t="s">
        <v>19641</v>
      </c>
      <c r="AA966" s="1" t="s">
        <v>132</v>
      </c>
      <c r="AB966" s="1" t="s">
        <v>132</v>
      </c>
      <c r="AC966" s="1" t="s">
        <v>132</v>
      </c>
      <c r="AD966" s="1" t="s">
        <v>132</v>
      </c>
      <c r="AE966" s="1" t="s">
        <v>132</v>
      </c>
      <c r="AF966" s="1" t="s">
        <v>132</v>
      </c>
      <c r="AG966" s="1" t="s">
        <v>132</v>
      </c>
      <c r="AH966" s="1" t="s">
        <v>132</v>
      </c>
      <c r="AI966" s="1" t="s">
        <v>132</v>
      </c>
      <c r="AJ966" s="1" t="s">
        <v>132</v>
      </c>
      <c r="AK966" s="1" t="s">
        <v>132</v>
      </c>
      <c r="AL966" s="1" t="s">
        <v>132</v>
      </c>
      <c r="AM966" s="1" t="s">
        <v>132</v>
      </c>
      <c r="AN966" s="1" t="s">
        <v>132</v>
      </c>
    </row>
    <row r="967" ht="15.75" customHeight="1">
      <c r="A967" s="1" t="s">
        <v>127</v>
      </c>
      <c r="B967" s="1" t="s">
        <v>19642</v>
      </c>
      <c r="C967" s="1" t="s">
        <v>19643</v>
      </c>
      <c r="D967" s="8" t="s">
        <v>19644</v>
      </c>
      <c r="E967" s="1" t="s">
        <v>19645</v>
      </c>
      <c r="F967" s="1" t="s">
        <v>132</v>
      </c>
      <c r="G967" s="1" t="s">
        <v>19646</v>
      </c>
      <c r="H967" s="1" t="s">
        <v>19647</v>
      </c>
      <c r="I967" s="1" t="s">
        <v>19648</v>
      </c>
      <c r="J967" s="1" t="s">
        <v>19649</v>
      </c>
      <c r="K967" s="1" t="s">
        <v>19650</v>
      </c>
      <c r="L967" s="1" t="s">
        <v>19651</v>
      </c>
      <c r="M967" s="1" t="s">
        <v>19652</v>
      </c>
      <c r="N967" s="1" t="s">
        <v>132</v>
      </c>
      <c r="O967" s="1" t="s">
        <v>19653</v>
      </c>
      <c r="P967" s="1" t="s">
        <v>19654</v>
      </c>
      <c r="Q967" s="1" t="s">
        <v>132</v>
      </c>
      <c r="R967" s="1" t="s">
        <v>19655</v>
      </c>
      <c r="S967" s="1" t="s">
        <v>19656</v>
      </c>
      <c r="T967" s="8" t="s">
        <v>19657</v>
      </c>
      <c r="U967" s="1" t="s">
        <v>19658</v>
      </c>
      <c r="V967" s="1" t="s">
        <v>19659</v>
      </c>
      <c r="W967" s="1" t="s">
        <v>19660</v>
      </c>
      <c r="X967" s="1" t="s">
        <v>19661</v>
      </c>
      <c r="Y967" s="1" t="s">
        <v>19662</v>
      </c>
      <c r="Z967" s="1" t="s">
        <v>19663</v>
      </c>
      <c r="AA967" s="1" t="s">
        <v>19664</v>
      </c>
      <c r="AB967" s="1" t="s">
        <v>19665</v>
      </c>
      <c r="AC967" s="1" t="s">
        <v>19666</v>
      </c>
      <c r="AD967" s="1" t="s">
        <v>19667</v>
      </c>
      <c r="AE967" s="1" t="s">
        <v>19668</v>
      </c>
      <c r="AF967" s="1" t="s">
        <v>19669</v>
      </c>
      <c r="AG967" s="1" t="s">
        <v>19670</v>
      </c>
      <c r="AH967" s="1" t="s">
        <v>19671</v>
      </c>
      <c r="AI967" s="1" t="s">
        <v>19672</v>
      </c>
      <c r="AJ967" s="1" t="s">
        <v>132</v>
      </c>
      <c r="AK967" s="1" t="s">
        <v>19673</v>
      </c>
      <c r="AL967" s="1" t="s">
        <v>19674</v>
      </c>
      <c r="AM967" s="1" t="s">
        <v>19675</v>
      </c>
      <c r="AN967" s="1" t="s">
        <v>19675</v>
      </c>
    </row>
    <row r="968" ht="15.75" customHeight="1">
      <c r="A968" s="1" t="s">
        <v>127</v>
      </c>
      <c r="B968" s="1" t="s">
        <v>19676</v>
      </c>
      <c r="C968" s="1" t="s">
        <v>19677</v>
      </c>
      <c r="D968" s="8" t="s">
        <v>19678</v>
      </c>
      <c r="E968" s="1" t="s">
        <v>19679</v>
      </c>
      <c r="F968" s="1" t="s">
        <v>132</v>
      </c>
      <c r="G968" s="1" t="s">
        <v>19680</v>
      </c>
      <c r="H968" s="1" t="s">
        <v>19681</v>
      </c>
      <c r="I968" s="1" t="s">
        <v>19682</v>
      </c>
      <c r="J968" s="1" t="s">
        <v>19683</v>
      </c>
      <c r="K968" s="1" t="s">
        <v>19684</v>
      </c>
      <c r="L968" s="1" t="s">
        <v>19685</v>
      </c>
      <c r="M968" s="1" t="s">
        <v>19686</v>
      </c>
      <c r="N968" s="1" t="s">
        <v>132</v>
      </c>
      <c r="O968" s="1" t="s">
        <v>19687</v>
      </c>
      <c r="P968" s="1" t="s">
        <v>19688</v>
      </c>
      <c r="Q968" s="1" t="s">
        <v>132</v>
      </c>
      <c r="R968" s="1" t="s">
        <v>19689</v>
      </c>
      <c r="S968" s="1" t="s">
        <v>19690</v>
      </c>
      <c r="T968" s="8" t="s">
        <v>19691</v>
      </c>
      <c r="U968" s="1" t="s">
        <v>19692</v>
      </c>
      <c r="V968" s="1" t="s">
        <v>19693</v>
      </c>
      <c r="W968" s="1" t="s">
        <v>19694</v>
      </c>
      <c r="X968" s="1" t="s">
        <v>19695</v>
      </c>
      <c r="Y968" s="1" t="s">
        <v>19696</v>
      </c>
      <c r="Z968" s="1" t="s">
        <v>19697</v>
      </c>
      <c r="AA968" s="1" t="s">
        <v>19698</v>
      </c>
      <c r="AB968" s="1" t="s">
        <v>19699</v>
      </c>
      <c r="AC968" s="1" t="s">
        <v>19700</v>
      </c>
      <c r="AD968" s="1" t="s">
        <v>19701</v>
      </c>
      <c r="AE968" s="1" t="s">
        <v>19702</v>
      </c>
      <c r="AF968" s="1" t="s">
        <v>19703</v>
      </c>
      <c r="AG968" s="1" t="s">
        <v>19704</v>
      </c>
      <c r="AH968" s="1" t="s">
        <v>19705</v>
      </c>
      <c r="AI968" s="1" t="s">
        <v>19706</v>
      </c>
      <c r="AJ968" s="1" t="s">
        <v>132</v>
      </c>
      <c r="AK968" s="1" t="s">
        <v>19707</v>
      </c>
      <c r="AL968" s="1" t="s">
        <v>19708</v>
      </c>
      <c r="AM968" s="1" t="s">
        <v>19709</v>
      </c>
      <c r="AN968" s="1" t="s">
        <v>19709</v>
      </c>
    </row>
    <row r="969" ht="15.75" customHeight="1">
      <c r="A969" s="1" t="s">
        <v>38</v>
      </c>
      <c r="B969" s="1" t="s">
        <v>19710</v>
      </c>
      <c r="C969" s="1" t="s">
        <v>19711</v>
      </c>
      <c r="D969" s="8" t="s">
        <v>19712</v>
      </c>
      <c r="E969" s="1" t="s">
        <v>19713</v>
      </c>
      <c r="F969" s="1" t="s">
        <v>19714</v>
      </c>
      <c r="G969" s="1" t="s">
        <v>132</v>
      </c>
      <c r="H969" s="1" t="s">
        <v>132</v>
      </c>
      <c r="I969" s="1" t="s">
        <v>19715</v>
      </c>
      <c r="J969" s="1" t="s">
        <v>132</v>
      </c>
      <c r="K969" s="1" t="s">
        <v>19716</v>
      </c>
      <c r="L969" s="1" t="s">
        <v>132</v>
      </c>
      <c r="M969" s="1" t="s">
        <v>19717</v>
      </c>
      <c r="N969" s="1" t="s">
        <v>19718</v>
      </c>
      <c r="O969" s="1" t="s">
        <v>132</v>
      </c>
      <c r="P969" s="1" t="s">
        <v>19719</v>
      </c>
      <c r="Q969" s="1" t="s">
        <v>19720</v>
      </c>
      <c r="R969" s="1" t="s">
        <v>132</v>
      </c>
      <c r="S969" s="1" t="s">
        <v>19721</v>
      </c>
      <c r="T969" s="1" t="s">
        <v>132</v>
      </c>
      <c r="U969" s="1" t="s">
        <v>19722</v>
      </c>
      <c r="V969" s="1" t="s">
        <v>19723</v>
      </c>
      <c r="W969" s="1" t="s">
        <v>132</v>
      </c>
      <c r="X969" s="1" t="s">
        <v>19724</v>
      </c>
      <c r="Y969" s="1" t="s">
        <v>132</v>
      </c>
      <c r="Z969" s="1" t="s">
        <v>19725</v>
      </c>
      <c r="AA969" s="1" t="s">
        <v>19726</v>
      </c>
      <c r="AB969" s="1" t="s">
        <v>132</v>
      </c>
      <c r="AC969" s="1" t="s">
        <v>19727</v>
      </c>
      <c r="AD969" s="1" t="s">
        <v>19728</v>
      </c>
      <c r="AE969" s="1" t="s">
        <v>132</v>
      </c>
      <c r="AF969" s="1" t="s">
        <v>19729</v>
      </c>
      <c r="AG969" s="1" t="s">
        <v>19730</v>
      </c>
      <c r="AH969" s="1" t="s">
        <v>132</v>
      </c>
      <c r="AI969" s="1" t="s">
        <v>132</v>
      </c>
      <c r="AJ969" s="1" t="s">
        <v>19731</v>
      </c>
      <c r="AK969" s="1" t="s">
        <v>19732</v>
      </c>
      <c r="AL969" s="1" t="s">
        <v>132</v>
      </c>
      <c r="AM969" s="1" t="s">
        <v>19733</v>
      </c>
      <c r="AN969" s="1" t="s">
        <v>19733</v>
      </c>
    </row>
    <row r="970" ht="15.75" customHeight="1">
      <c r="A970" s="1" t="s">
        <v>38</v>
      </c>
      <c r="B970" s="1" t="s">
        <v>19734</v>
      </c>
      <c r="C970" s="1" t="s">
        <v>19735</v>
      </c>
      <c r="D970" s="8" t="s">
        <v>19736</v>
      </c>
      <c r="E970" s="1" t="s">
        <v>19737</v>
      </c>
      <c r="F970" s="1" t="s">
        <v>19738</v>
      </c>
      <c r="G970" s="1" t="s">
        <v>132</v>
      </c>
      <c r="H970" s="1" t="s">
        <v>132</v>
      </c>
      <c r="I970" s="1" t="s">
        <v>19739</v>
      </c>
      <c r="J970" s="1" t="s">
        <v>132</v>
      </c>
      <c r="K970" s="1" t="s">
        <v>19740</v>
      </c>
      <c r="L970" s="1" t="s">
        <v>132</v>
      </c>
      <c r="M970" s="1" t="s">
        <v>19741</v>
      </c>
      <c r="N970" s="1" t="s">
        <v>19742</v>
      </c>
      <c r="O970" s="1" t="s">
        <v>132</v>
      </c>
      <c r="P970" s="1" t="s">
        <v>19743</v>
      </c>
      <c r="Q970" s="1" t="s">
        <v>19744</v>
      </c>
      <c r="R970" s="1" t="s">
        <v>132</v>
      </c>
      <c r="S970" s="1" t="s">
        <v>19745</v>
      </c>
      <c r="T970" s="1" t="s">
        <v>132</v>
      </c>
      <c r="U970" s="1" t="s">
        <v>19746</v>
      </c>
      <c r="V970" s="1" t="s">
        <v>19747</v>
      </c>
      <c r="W970" s="1" t="s">
        <v>132</v>
      </c>
      <c r="X970" s="1" t="s">
        <v>19748</v>
      </c>
      <c r="Y970" s="1" t="s">
        <v>132</v>
      </c>
      <c r="Z970" s="1" t="s">
        <v>19749</v>
      </c>
      <c r="AA970" s="1" t="s">
        <v>19750</v>
      </c>
      <c r="AB970" s="1" t="s">
        <v>132</v>
      </c>
      <c r="AC970" s="1" t="s">
        <v>19751</v>
      </c>
      <c r="AD970" s="1" t="s">
        <v>19752</v>
      </c>
      <c r="AE970" s="1" t="s">
        <v>132</v>
      </c>
      <c r="AF970" s="1" t="s">
        <v>19753</v>
      </c>
      <c r="AG970" s="1" t="s">
        <v>19754</v>
      </c>
      <c r="AH970" s="1" t="s">
        <v>132</v>
      </c>
      <c r="AI970" s="1" t="s">
        <v>132</v>
      </c>
      <c r="AJ970" s="1" t="s">
        <v>19755</v>
      </c>
      <c r="AK970" s="1" t="s">
        <v>19756</v>
      </c>
      <c r="AL970" s="1" t="s">
        <v>132</v>
      </c>
      <c r="AM970" s="1" t="s">
        <v>19757</v>
      </c>
      <c r="AN970" s="1" t="s">
        <v>19757</v>
      </c>
    </row>
    <row r="971" ht="15.75" customHeight="1">
      <c r="A971" s="1" t="s">
        <v>127</v>
      </c>
      <c r="B971" s="1" t="s">
        <v>19758</v>
      </c>
      <c r="C971" s="1" t="s">
        <v>19759</v>
      </c>
      <c r="D971" s="8" t="s">
        <v>19760</v>
      </c>
      <c r="E971" s="1" t="s">
        <v>19761</v>
      </c>
      <c r="F971" s="1" t="s">
        <v>132</v>
      </c>
      <c r="G971" s="1" t="s">
        <v>19759</v>
      </c>
      <c r="H971" s="1" t="s">
        <v>19759</v>
      </c>
      <c r="I971" s="1" t="s">
        <v>19762</v>
      </c>
      <c r="J971" s="1" t="s">
        <v>19759</v>
      </c>
      <c r="K971" s="1" t="s">
        <v>19763</v>
      </c>
      <c r="L971" s="1" t="s">
        <v>19764</v>
      </c>
      <c r="M971" s="1" t="s">
        <v>19765</v>
      </c>
      <c r="N971" s="1" t="s">
        <v>132</v>
      </c>
      <c r="O971" s="1" t="s">
        <v>19766</v>
      </c>
      <c r="P971" s="1" t="s">
        <v>19767</v>
      </c>
      <c r="Q971" s="1" t="s">
        <v>132</v>
      </c>
      <c r="R971" s="1" t="s">
        <v>19759</v>
      </c>
      <c r="S971" s="1" t="s">
        <v>19759</v>
      </c>
      <c r="T971" s="1" t="s">
        <v>19759</v>
      </c>
      <c r="U971" s="1" t="s">
        <v>17512</v>
      </c>
      <c r="V971" s="1" t="s">
        <v>19759</v>
      </c>
      <c r="W971" s="1" t="s">
        <v>19759</v>
      </c>
      <c r="X971" s="1" t="s">
        <v>19768</v>
      </c>
      <c r="Y971" s="1" t="s">
        <v>19769</v>
      </c>
      <c r="Z971" s="1" t="s">
        <v>19770</v>
      </c>
      <c r="AA971" s="1" t="s">
        <v>19771</v>
      </c>
      <c r="AB971" s="1" t="s">
        <v>19772</v>
      </c>
      <c r="AC971" s="1" t="s">
        <v>19773</v>
      </c>
      <c r="AD971" s="1" t="s">
        <v>19774</v>
      </c>
      <c r="AE971" s="1" t="s">
        <v>19759</v>
      </c>
      <c r="AF971" s="1" t="s">
        <v>19768</v>
      </c>
      <c r="AG971" s="1" t="s">
        <v>19759</v>
      </c>
      <c r="AH971" s="1" t="s">
        <v>19775</v>
      </c>
      <c r="AI971" s="1" t="s">
        <v>19776</v>
      </c>
      <c r="AJ971" s="1" t="s">
        <v>132</v>
      </c>
      <c r="AK971" s="1" t="s">
        <v>19777</v>
      </c>
      <c r="AL971" s="1" t="s">
        <v>19778</v>
      </c>
      <c r="AM971" s="1" t="s">
        <v>19779</v>
      </c>
      <c r="AN971" s="1" t="s">
        <v>19779</v>
      </c>
    </row>
    <row r="972" ht="15.75" customHeight="1">
      <c r="A972" s="1" t="s">
        <v>38</v>
      </c>
      <c r="B972" s="1" t="s">
        <v>19780</v>
      </c>
      <c r="C972" s="1" t="s">
        <v>19781</v>
      </c>
      <c r="D972" s="1" t="s">
        <v>132</v>
      </c>
      <c r="E972" s="1" t="s">
        <v>19782</v>
      </c>
      <c r="F972" s="1" t="s">
        <v>19783</v>
      </c>
      <c r="G972" s="1" t="s">
        <v>132</v>
      </c>
      <c r="H972" s="1" t="s">
        <v>132</v>
      </c>
      <c r="I972" s="1" t="s">
        <v>19784</v>
      </c>
      <c r="J972" s="1" t="s">
        <v>132</v>
      </c>
      <c r="K972" s="1" t="s">
        <v>19785</v>
      </c>
      <c r="L972" s="1" t="s">
        <v>132</v>
      </c>
      <c r="M972" s="1" t="s">
        <v>19786</v>
      </c>
      <c r="N972" s="1" t="s">
        <v>19787</v>
      </c>
      <c r="O972" s="1" t="s">
        <v>132</v>
      </c>
      <c r="P972" s="1" t="s">
        <v>19788</v>
      </c>
      <c r="Q972" s="1" t="s">
        <v>132</v>
      </c>
      <c r="R972" s="1" t="s">
        <v>132</v>
      </c>
      <c r="S972" s="1" t="s">
        <v>19789</v>
      </c>
      <c r="T972" s="1" t="s">
        <v>132</v>
      </c>
      <c r="U972" s="1" t="s">
        <v>19790</v>
      </c>
      <c r="V972" s="1" t="s">
        <v>19791</v>
      </c>
      <c r="W972" s="1" t="s">
        <v>132</v>
      </c>
      <c r="X972" s="1" t="s">
        <v>19792</v>
      </c>
      <c r="Y972" s="1" t="s">
        <v>132</v>
      </c>
      <c r="Z972" s="1" t="s">
        <v>19793</v>
      </c>
      <c r="AA972" s="1" t="s">
        <v>19794</v>
      </c>
      <c r="AB972" s="1" t="s">
        <v>132</v>
      </c>
      <c r="AC972" s="1" t="s">
        <v>19795</v>
      </c>
      <c r="AD972" s="1" t="s">
        <v>19796</v>
      </c>
      <c r="AE972" s="1" t="s">
        <v>132</v>
      </c>
      <c r="AF972" s="1" t="s">
        <v>19797</v>
      </c>
      <c r="AG972" s="1" t="s">
        <v>19798</v>
      </c>
      <c r="AH972" s="1" t="s">
        <v>132</v>
      </c>
      <c r="AI972" s="1" t="s">
        <v>132</v>
      </c>
      <c r="AJ972" s="1" t="s">
        <v>19799</v>
      </c>
      <c r="AK972" s="1" t="s">
        <v>19800</v>
      </c>
      <c r="AL972" s="1" t="s">
        <v>132</v>
      </c>
      <c r="AM972" s="1" t="s">
        <v>19801</v>
      </c>
      <c r="AN972" s="1" t="s">
        <v>19801</v>
      </c>
    </row>
    <row r="973" ht="15.75" customHeight="1">
      <c r="A973" s="1" t="s">
        <v>127</v>
      </c>
      <c r="B973" s="1" t="s">
        <v>19802</v>
      </c>
      <c r="C973" s="1" t="s">
        <v>19803</v>
      </c>
      <c r="D973" s="8" t="s">
        <v>19804</v>
      </c>
      <c r="E973" s="1" t="s">
        <v>19805</v>
      </c>
      <c r="F973" s="1" t="s">
        <v>132</v>
      </c>
      <c r="G973" s="1" t="s">
        <v>19806</v>
      </c>
      <c r="H973" s="1" t="s">
        <v>19803</v>
      </c>
      <c r="I973" s="1" t="s">
        <v>19806</v>
      </c>
      <c r="J973" s="1" t="s">
        <v>19807</v>
      </c>
      <c r="K973" s="1" t="s">
        <v>19808</v>
      </c>
      <c r="L973" s="1" t="s">
        <v>19809</v>
      </c>
      <c r="M973" s="1" t="s">
        <v>19803</v>
      </c>
      <c r="N973" s="1" t="s">
        <v>132</v>
      </c>
      <c r="O973" s="1" t="s">
        <v>19810</v>
      </c>
      <c r="P973" s="1" t="s">
        <v>19811</v>
      </c>
      <c r="Q973" s="1" t="s">
        <v>132</v>
      </c>
      <c r="R973" s="1" t="s">
        <v>19812</v>
      </c>
      <c r="S973" s="1" t="s">
        <v>19808</v>
      </c>
      <c r="T973" s="8" t="s">
        <v>19813</v>
      </c>
      <c r="U973" s="1" t="s">
        <v>19814</v>
      </c>
      <c r="V973" s="1" t="s">
        <v>19815</v>
      </c>
      <c r="W973" s="1" t="s">
        <v>19812</v>
      </c>
      <c r="X973" s="1" t="s">
        <v>19803</v>
      </c>
      <c r="Y973" s="1" t="s">
        <v>19803</v>
      </c>
      <c r="Z973" s="1" t="s">
        <v>19806</v>
      </c>
      <c r="AA973" s="1" t="s">
        <v>19808</v>
      </c>
      <c r="AB973" s="1" t="s">
        <v>19816</v>
      </c>
      <c r="AC973" s="1" t="s">
        <v>19805</v>
      </c>
      <c r="AD973" s="1" t="s">
        <v>19806</v>
      </c>
      <c r="AE973" s="1" t="s">
        <v>19817</v>
      </c>
      <c r="AF973" s="1" t="s">
        <v>19816</v>
      </c>
      <c r="AG973" s="1" t="s">
        <v>19806</v>
      </c>
      <c r="AH973" s="1" t="s">
        <v>19818</v>
      </c>
      <c r="AI973" s="1" t="s">
        <v>19819</v>
      </c>
      <c r="AJ973" s="1" t="s">
        <v>132</v>
      </c>
      <c r="AK973" s="1" t="s">
        <v>19820</v>
      </c>
      <c r="AL973" s="1" t="s">
        <v>19821</v>
      </c>
      <c r="AM973" s="1" t="s">
        <v>132</v>
      </c>
      <c r="AN973" s="1" t="s">
        <v>132</v>
      </c>
    </row>
    <row r="974" ht="15.75" customHeight="1">
      <c r="A974" s="1" t="s">
        <v>38</v>
      </c>
      <c r="B974" s="1" t="s">
        <v>19822</v>
      </c>
      <c r="C974" s="1" t="s">
        <v>19823</v>
      </c>
      <c r="D974" s="1" t="s">
        <v>19824</v>
      </c>
      <c r="E974" s="1" t="s">
        <v>19824</v>
      </c>
      <c r="F974" s="1" t="s">
        <v>19824</v>
      </c>
      <c r="G974" s="1" t="s">
        <v>132</v>
      </c>
      <c r="H974" s="1" t="s">
        <v>132</v>
      </c>
      <c r="I974" s="1" t="s">
        <v>19825</v>
      </c>
      <c r="J974" s="1" t="s">
        <v>132</v>
      </c>
      <c r="K974" s="1" t="s">
        <v>19826</v>
      </c>
      <c r="L974" s="1" t="s">
        <v>132</v>
      </c>
      <c r="M974" s="1" t="s">
        <v>19827</v>
      </c>
      <c r="N974" s="1" t="s">
        <v>19828</v>
      </c>
      <c r="O974" s="1" t="s">
        <v>132</v>
      </c>
      <c r="P974" s="1" t="s">
        <v>19829</v>
      </c>
      <c r="Q974" s="1" t="s">
        <v>19824</v>
      </c>
      <c r="R974" s="1" t="s">
        <v>132</v>
      </c>
      <c r="S974" s="1" t="s">
        <v>19830</v>
      </c>
      <c r="T974" s="1" t="s">
        <v>132</v>
      </c>
      <c r="U974" s="1" t="s">
        <v>19824</v>
      </c>
      <c r="V974" s="1" t="s">
        <v>19824</v>
      </c>
      <c r="W974" s="1" t="s">
        <v>132</v>
      </c>
      <c r="X974" s="1" t="s">
        <v>19831</v>
      </c>
      <c r="Y974" s="1" t="s">
        <v>132</v>
      </c>
      <c r="Z974" s="1" t="s">
        <v>19824</v>
      </c>
      <c r="AA974" s="1" t="s">
        <v>19832</v>
      </c>
      <c r="AB974" s="1" t="s">
        <v>132</v>
      </c>
      <c r="AC974" s="1" t="s">
        <v>19824</v>
      </c>
      <c r="AD974" s="1" t="s">
        <v>19833</v>
      </c>
      <c r="AE974" s="1" t="s">
        <v>132</v>
      </c>
      <c r="AF974" s="1" t="s">
        <v>19834</v>
      </c>
      <c r="AG974" s="1" t="s">
        <v>19835</v>
      </c>
      <c r="AH974" s="1" t="s">
        <v>132</v>
      </c>
      <c r="AI974" s="1" t="s">
        <v>132</v>
      </c>
      <c r="AJ974" s="1" t="s">
        <v>19824</v>
      </c>
      <c r="AK974" s="1" t="s">
        <v>19824</v>
      </c>
      <c r="AL974" s="1" t="s">
        <v>132</v>
      </c>
      <c r="AM974" s="1" t="s">
        <v>19824</v>
      </c>
      <c r="AN974" s="1" t="s">
        <v>19824</v>
      </c>
    </row>
    <row r="975" ht="15.75" customHeight="1">
      <c r="A975" s="1" t="s">
        <v>127</v>
      </c>
      <c r="B975" s="1" t="s">
        <v>19836</v>
      </c>
      <c r="C975" s="1" t="s">
        <v>19837</v>
      </c>
      <c r="D975" s="8" t="s">
        <v>19838</v>
      </c>
      <c r="E975" s="1" t="s">
        <v>19839</v>
      </c>
      <c r="F975" s="1" t="s">
        <v>132</v>
      </c>
      <c r="G975" s="1" t="s">
        <v>19840</v>
      </c>
      <c r="H975" s="1" t="s">
        <v>19841</v>
      </c>
      <c r="I975" s="1" t="s">
        <v>19842</v>
      </c>
      <c r="J975" s="1" t="s">
        <v>19843</v>
      </c>
      <c r="K975" s="1" t="s">
        <v>19844</v>
      </c>
      <c r="L975" s="1" t="s">
        <v>19845</v>
      </c>
      <c r="M975" s="1" t="s">
        <v>19842</v>
      </c>
      <c r="N975" s="1" t="s">
        <v>132</v>
      </c>
      <c r="O975" s="1" t="s">
        <v>19846</v>
      </c>
      <c r="P975" s="1" t="s">
        <v>19847</v>
      </c>
      <c r="Q975" s="1" t="s">
        <v>132</v>
      </c>
      <c r="R975" s="1" t="s">
        <v>19841</v>
      </c>
      <c r="S975" s="1" t="s">
        <v>19848</v>
      </c>
      <c r="T975" s="8" t="s">
        <v>19849</v>
      </c>
      <c r="U975" s="1" t="s">
        <v>19850</v>
      </c>
      <c r="V975" s="1" t="s">
        <v>19851</v>
      </c>
      <c r="W975" s="1" t="s">
        <v>19841</v>
      </c>
      <c r="X975" s="1" t="s">
        <v>19842</v>
      </c>
      <c r="Y975" s="1" t="s">
        <v>19841</v>
      </c>
      <c r="Z975" s="1" t="s">
        <v>19852</v>
      </c>
      <c r="AA975" s="1" t="s">
        <v>19853</v>
      </c>
      <c r="AB975" s="1" t="s">
        <v>19842</v>
      </c>
      <c r="AC975" s="1" t="s">
        <v>19854</v>
      </c>
      <c r="AD975" s="1" t="s">
        <v>19855</v>
      </c>
      <c r="AE975" s="1" t="s">
        <v>19856</v>
      </c>
      <c r="AF975" s="1" t="s">
        <v>19856</v>
      </c>
      <c r="AG975" s="1" t="s">
        <v>19841</v>
      </c>
      <c r="AH975" s="1" t="s">
        <v>19857</v>
      </c>
      <c r="AI975" s="1" t="s">
        <v>19858</v>
      </c>
      <c r="AJ975" s="1" t="s">
        <v>132</v>
      </c>
      <c r="AK975" s="1" t="s">
        <v>19859</v>
      </c>
      <c r="AL975" s="1" t="s">
        <v>19860</v>
      </c>
      <c r="AM975" s="1" t="s">
        <v>19861</v>
      </c>
      <c r="AN975" s="1" t="s">
        <v>19861</v>
      </c>
    </row>
    <row r="976" ht="15.75" customHeight="1">
      <c r="A976" s="1" t="s">
        <v>38</v>
      </c>
      <c r="B976" s="1" t="s">
        <v>19862</v>
      </c>
      <c r="C976" s="1" t="s">
        <v>19863</v>
      </c>
      <c r="D976" s="1" t="s">
        <v>19864</v>
      </c>
      <c r="E976" s="1" t="s">
        <v>19864</v>
      </c>
      <c r="F976" s="1" t="s">
        <v>19864</v>
      </c>
      <c r="G976" s="1" t="s">
        <v>132</v>
      </c>
      <c r="H976" s="1" t="s">
        <v>132</v>
      </c>
      <c r="I976" s="1" t="s">
        <v>19865</v>
      </c>
      <c r="J976" s="1" t="s">
        <v>132</v>
      </c>
      <c r="K976" s="1" t="s">
        <v>19866</v>
      </c>
      <c r="L976" s="1" t="s">
        <v>132</v>
      </c>
      <c r="M976" s="1" t="s">
        <v>19864</v>
      </c>
      <c r="N976" s="1" t="s">
        <v>19867</v>
      </c>
      <c r="O976" s="1" t="s">
        <v>132</v>
      </c>
      <c r="P976" s="1" t="s">
        <v>19864</v>
      </c>
      <c r="Q976" s="1" t="s">
        <v>19864</v>
      </c>
      <c r="R976" s="1" t="s">
        <v>132</v>
      </c>
      <c r="S976" s="1" t="s">
        <v>19868</v>
      </c>
      <c r="T976" s="1" t="s">
        <v>132</v>
      </c>
      <c r="U976" s="1" t="s">
        <v>19864</v>
      </c>
      <c r="V976" s="1" t="s">
        <v>19864</v>
      </c>
      <c r="W976" s="1" t="s">
        <v>132</v>
      </c>
      <c r="X976" s="1" t="s">
        <v>19869</v>
      </c>
      <c r="Y976" s="1" t="s">
        <v>132</v>
      </c>
      <c r="Z976" s="1" t="s">
        <v>19864</v>
      </c>
      <c r="AA976" s="1" t="s">
        <v>19867</v>
      </c>
      <c r="AB976" s="1" t="s">
        <v>132</v>
      </c>
      <c r="AC976" s="1" t="s">
        <v>19864</v>
      </c>
      <c r="AD976" s="1" t="s">
        <v>132</v>
      </c>
      <c r="AE976" s="1" t="s">
        <v>132</v>
      </c>
      <c r="AF976" s="1" t="s">
        <v>19870</v>
      </c>
      <c r="AG976" s="1" t="s">
        <v>19864</v>
      </c>
      <c r="AH976" s="1" t="s">
        <v>132</v>
      </c>
      <c r="AI976" s="1" t="s">
        <v>132</v>
      </c>
      <c r="AJ976" s="1" t="s">
        <v>19864</v>
      </c>
      <c r="AK976" s="1" t="s">
        <v>132</v>
      </c>
      <c r="AL976" s="1" t="s">
        <v>132</v>
      </c>
      <c r="AM976" s="1" t="s">
        <v>19864</v>
      </c>
      <c r="AN976" s="1" t="s">
        <v>19864</v>
      </c>
    </row>
    <row r="977" ht="15.75" customHeight="1">
      <c r="A977" s="1" t="s">
        <v>127</v>
      </c>
      <c r="B977" s="1" t="s">
        <v>19871</v>
      </c>
      <c r="C977" s="1" t="s">
        <v>19872</v>
      </c>
      <c r="D977" s="8" t="s">
        <v>19873</v>
      </c>
      <c r="E977" s="1" t="s">
        <v>19874</v>
      </c>
      <c r="F977" s="1" t="s">
        <v>132</v>
      </c>
      <c r="G977" s="1" t="s">
        <v>19875</v>
      </c>
      <c r="H977" s="1" t="s">
        <v>19876</v>
      </c>
      <c r="I977" s="1" t="s">
        <v>19877</v>
      </c>
      <c r="J977" s="1" t="s">
        <v>19878</v>
      </c>
      <c r="K977" s="1" t="s">
        <v>19879</v>
      </c>
      <c r="L977" s="1" t="s">
        <v>19880</v>
      </c>
      <c r="M977" s="1" t="s">
        <v>19881</v>
      </c>
      <c r="N977" s="1" t="s">
        <v>132</v>
      </c>
      <c r="O977" s="1" t="s">
        <v>19882</v>
      </c>
      <c r="P977" s="1" t="s">
        <v>19883</v>
      </c>
      <c r="Q977" s="1" t="s">
        <v>132</v>
      </c>
      <c r="R977" s="1" t="s">
        <v>19884</v>
      </c>
      <c r="S977" s="1" t="s">
        <v>19885</v>
      </c>
      <c r="T977" s="8" t="s">
        <v>19886</v>
      </c>
      <c r="U977" s="1" t="s">
        <v>19887</v>
      </c>
      <c r="V977" s="1" t="s">
        <v>19888</v>
      </c>
      <c r="W977" s="1" t="s">
        <v>19889</v>
      </c>
      <c r="X977" s="1" t="s">
        <v>19890</v>
      </c>
      <c r="Y977" s="1" t="s">
        <v>19891</v>
      </c>
      <c r="Z977" s="1" t="s">
        <v>19892</v>
      </c>
      <c r="AA977" s="1" t="s">
        <v>19893</v>
      </c>
      <c r="AB977" s="1" t="s">
        <v>19894</v>
      </c>
      <c r="AC977" s="1" t="s">
        <v>19895</v>
      </c>
      <c r="AD977" s="1" t="s">
        <v>19896</v>
      </c>
      <c r="AE977" s="1" t="s">
        <v>19897</v>
      </c>
      <c r="AF977" s="1" t="s">
        <v>19898</v>
      </c>
      <c r="AG977" s="1" t="s">
        <v>19899</v>
      </c>
      <c r="AH977" s="1" t="s">
        <v>19900</v>
      </c>
      <c r="AI977" s="1" t="s">
        <v>19901</v>
      </c>
      <c r="AJ977" s="1" t="s">
        <v>132</v>
      </c>
      <c r="AK977" s="1" t="s">
        <v>19902</v>
      </c>
      <c r="AL977" s="1" t="s">
        <v>19903</v>
      </c>
      <c r="AM977" s="1" t="s">
        <v>19904</v>
      </c>
      <c r="AN977" s="1" t="s">
        <v>19904</v>
      </c>
    </row>
    <row r="978" ht="15.75" customHeight="1">
      <c r="A978" s="1" t="s">
        <v>127</v>
      </c>
      <c r="B978" s="1" t="s">
        <v>19905</v>
      </c>
      <c r="C978" s="1" t="s">
        <v>19906</v>
      </c>
      <c r="D978" s="8" t="s">
        <v>19907</v>
      </c>
      <c r="E978" s="1" t="s">
        <v>19908</v>
      </c>
      <c r="F978" s="1" t="s">
        <v>132</v>
      </c>
      <c r="G978" s="1" t="s">
        <v>19909</v>
      </c>
      <c r="H978" s="1" t="s">
        <v>19910</v>
      </c>
      <c r="I978" s="1" t="s">
        <v>19911</v>
      </c>
      <c r="J978" s="1" t="s">
        <v>19906</v>
      </c>
      <c r="K978" s="1" t="s">
        <v>19912</v>
      </c>
      <c r="L978" s="1" t="s">
        <v>19913</v>
      </c>
      <c r="M978" s="1" t="s">
        <v>19914</v>
      </c>
      <c r="N978" s="1" t="s">
        <v>132</v>
      </c>
      <c r="O978" s="1" t="s">
        <v>19915</v>
      </c>
      <c r="P978" s="1" t="s">
        <v>19906</v>
      </c>
      <c r="Q978" s="1" t="s">
        <v>132</v>
      </c>
      <c r="R978" s="1" t="s">
        <v>19916</v>
      </c>
      <c r="S978" s="1" t="s">
        <v>19917</v>
      </c>
      <c r="T978" s="8" t="s">
        <v>19918</v>
      </c>
      <c r="U978" s="1" t="s">
        <v>19919</v>
      </c>
      <c r="V978" s="1" t="s">
        <v>19920</v>
      </c>
      <c r="W978" s="1" t="s">
        <v>19916</v>
      </c>
      <c r="X978" s="1" t="s">
        <v>19906</v>
      </c>
      <c r="Y978" s="1" t="s">
        <v>19921</v>
      </c>
      <c r="Z978" s="1" t="s">
        <v>19922</v>
      </c>
      <c r="AA978" s="1" t="s">
        <v>19923</v>
      </c>
      <c r="AB978" s="1" t="s">
        <v>19924</v>
      </c>
      <c r="AC978" s="1" t="s">
        <v>19925</v>
      </c>
      <c r="AD978" s="1" t="s">
        <v>19909</v>
      </c>
      <c r="AE978" s="1" t="s">
        <v>19926</v>
      </c>
      <c r="AF978" s="1" t="s">
        <v>19927</v>
      </c>
      <c r="AG978" s="1" t="s">
        <v>19928</v>
      </c>
      <c r="AH978" s="1" t="s">
        <v>19929</v>
      </c>
      <c r="AI978" s="1" t="s">
        <v>19930</v>
      </c>
      <c r="AJ978" s="1" t="s">
        <v>132</v>
      </c>
      <c r="AK978" s="1" t="s">
        <v>19931</v>
      </c>
      <c r="AL978" s="1" t="s">
        <v>19932</v>
      </c>
      <c r="AM978" s="1" t="s">
        <v>132</v>
      </c>
      <c r="AN978" s="1" t="s">
        <v>132</v>
      </c>
    </row>
    <row r="979" ht="15.75" customHeight="1">
      <c r="A979" s="1" t="s">
        <v>38</v>
      </c>
      <c r="B979" s="1" t="s">
        <v>19933</v>
      </c>
      <c r="C979" s="1" t="s">
        <v>7190</v>
      </c>
      <c r="D979" s="8" t="s">
        <v>19934</v>
      </c>
      <c r="E979" s="1" t="s">
        <v>19935</v>
      </c>
      <c r="F979" s="1" t="s">
        <v>19936</v>
      </c>
      <c r="G979" s="1" t="s">
        <v>132</v>
      </c>
      <c r="H979" s="1" t="s">
        <v>132</v>
      </c>
      <c r="I979" s="1" t="s">
        <v>19937</v>
      </c>
      <c r="J979" s="1" t="s">
        <v>132</v>
      </c>
      <c r="K979" s="1" t="s">
        <v>19938</v>
      </c>
      <c r="L979" s="1" t="s">
        <v>132</v>
      </c>
      <c r="M979" s="1" t="s">
        <v>19939</v>
      </c>
      <c r="N979" s="1" t="s">
        <v>19940</v>
      </c>
      <c r="O979" s="1" t="s">
        <v>132</v>
      </c>
      <c r="P979" s="1" t="s">
        <v>19941</v>
      </c>
      <c r="Q979" s="1" t="s">
        <v>19942</v>
      </c>
      <c r="R979" s="1" t="s">
        <v>132</v>
      </c>
      <c r="S979" s="1" t="s">
        <v>19943</v>
      </c>
      <c r="T979" s="1" t="s">
        <v>132</v>
      </c>
      <c r="U979" s="1" t="s">
        <v>19944</v>
      </c>
      <c r="V979" s="1" t="s">
        <v>19945</v>
      </c>
      <c r="W979" s="1" t="s">
        <v>132</v>
      </c>
      <c r="X979" s="1" t="s">
        <v>19946</v>
      </c>
      <c r="Y979" s="1" t="s">
        <v>132</v>
      </c>
      <c r="Z979" s="1" t="s">
        <v>19947</v>
      </c>
      <c r="AA979" s="1" t="s">
        <v>19940</v>
      </c>
      <c r="AB979" s="1" t="s">
        <v>132</v>
      </c>
      <c r="AC979" s="1" t="s">
        <v>19948</v>
      </c>
      <c r="AD979" s="1" t="s">
        <v>19949</v>
      </c>
      <c r="AE979" s="1" t="s">
        <v>132</v>
      </c>
      <c r="AF979" s="1" t="s">
        <v>19950</v>
      </c>
      <c r="AG979" s="1" t="s">
        <v>19951</v>
      </c>
      <c r="AH979" s="1" t="s">
        <v>132</v>
      </c>
      <c r="AI979" s="1" t="s">
        <v>132</v>
      </c>
      <c r="AJ979" s="1" t="s">
        <v>19952</v>
      </c>
      <c r="AK979" s="1" t="s">
        <v>19953</v>
      </c>
      <c r="AL979" s="1" t="s">
        <v>132</v>
      </c>
      <c r="AM979" s="1" t="s">
        <v>19954</v>
      </c>
      <c r="AN979" s="1" t="s">
        <v>19954</v>
      </c>
    </row>
    <row r="980" ht="15.75" customHeight="1">
      <c r="A980" s="1" t="s">
        <v>127</v>
      </c>
      <c r="B980" s="1" t="s">
        <v>19955</v>
      </c>
      <c r="C980" s="1" t="s">
        <v>19956</v>
      </c>
      <c r="D980" s="8" t="s">
        <v>19957</v>
      </c>
      <c r="E980" s="1" t="s">
        <v>19956</v>
      </c>
      <c r="F980" s="1" t="s">
        <v>132</v>
      </c>
      <c r="G980" s="1" t="s">
        <v>19956</v>
      </c>
      <c r="H980" s="1" t="s">
        <v>19956</v>
      </c>
      <c r="I980" s="1" t="s">
        <v>19958</v>
      </c>
      <c r="J980" s="1" t="s">
        <v>19956</v>
      </c>
      <c r="K980" s="1" t="s">
        <v>19959</v>
      </c>
      <c r="L980" s="1" t="s">
        <v>19956</v>
      </c>
      <c r="M980" s="1" t="s">
        <v>19956</v>
      </c>
      <c r="N980" s="1" t="s">
        <v>132</v>
      </c>
      <c r="O980" s="1" t="s">
        <v>19960</v>
      </c>
      <c r="P980" s="1" t="s">
        <v>19956</v>
      </c>
      <c r="Q980" s="1" t="s">
        <v>132</v>
      </c>
      <c r="R980" s="1" t="s">
        <v>19956</v>
      </c>
      <c r="S980" s="1" t="s">
        <v>19956</v>
      </c>
      <c r="T980" s="8" t="s">
        <v>19961</v>
      </c>
      <c r="U980" s="1" t="s">
        <v>19956</v>
      </c>
      <c r="V980" s="1" t="s">
        <v>19962</v>
      </c>
      <c r="W980" s="1" t="s">
        <v>19956</v>
      </c>
      <c r="X980" s="1" t="s">
        <v>19956</v>
      </c>
      <c r="Y980" s="1" t="s">
        <v>19956</v>
      </c>
      <c r="Z980" s="1" t="s">
        <v>19963</v>
      </c>
      <c r="AA980" s="1" t="s">
        <v>19964</v>
      </c>
      <c r="AB980" s="1" t="s">
        <v>19956</v>
      </c>
      <c r="AC980" s="1" t="s">
        <v>19965</v>
      </c>
      <c r="AD980" s="1" t="s">
        <v>19956</v>
      </c>
      <c r="AE980" s="1" t="s">
        <v>19956</v>
      </c>
      <c r="AF980" s="1" t="s">
        <v>19966</v>
      </c>
      <c r="AG980" s="1" t="s">
        <v>19956</v>
      </c>
      <c r="AH980" s="1" t="s">
        <v>19967</v>
      </c>
      <c r="AI980" s="1" t="s">
        <v>19968</v>
      </c>
      <c r="AJ980" s="1" t="s">
        <v>132</v>
      </c>
      <c r="AK980" s="1" t="s">
        <v>19969</v>
      </c>
      <c r="AL980" s="1" t="s">
        <v>19970</v>
      </c>
      <c r="AM980" s="1" t="s">
        <v>132</v>
      </c>
      <c r="AN980" s="1" t="s">
        <v>132</v>
      </c>
    </row>
    <row r="981" ht="15.75" customHeight="1">
      <c r="A981" s="1" t="s">
        <v>38</v>
      </c>
      <c r="B981" s="1" t="s">
        <v>19971</v>
      </c>
      <c r="C981" s="1" t="s">
        <v>19972</v>
      </c>
      <c r="D981" s="8" t="s">
        <v>19973</v>
      </c>
      <c r="E981" s="1" t="s">
        <v>19974</v>
      </c>
      <c r="F981" s="1" t="s">
        <v>19975</v>
      </c>
      <c r="G981" s="1" t="s">
        <v>132</v>
      </c>
      <c r="H981" s="1" t="s">
        <v>132</v>
      </c>
      <c r="I981" s="1" t="s">
        <v>19976</v>
      </c>
      <c r="J981" s="1" t="s">
        <v>132</v>
      </c>
      <c r="K981" s="1" t="s">
        <v>19977</v>
      </c>
      <c r="L981" s="1" t="s">
        <v>132</v>
      </c>
      <c r="M981" s="1" t="s">
        <v>19978</v>
      </c>
      <c r="N981" s="1" t="s">
        <v>19979</v>
      </c>
      <c r="O981" s="1" t="s">
        <v>132</v>
      </c>
      <c r="P981" s="1" t="s">
        <v>19980</v>
      </c>
      <c r="Q981" s="1" t="s">
        <v>19981</v>
      </c>
      <c r="R981" s="1" t="s">
        <v>132</v>
      </c>
      <c r="S981" s="1" t="s">
        <v>19982</v>
      </c>
      <c r="T981" s="1" t="s">
        <v>132</v>
      </c>
      <c r="U981" s="1" t="s">
        <v>19983</v>
      </c>
      <c r="V981" s="1" t="s">
        <v>19984</v>
      </c>
      <c r="W981" s="1" t="s">
        <v>132</v>
      </c>
      <c r="X981" s="1" t="s">
        <v>19985</v>
      </c>
      <c r="Y981" s="1" t="s">
        <v>132</v>
      </c>
      <c r="Z981" s="1" t="s">
        <v>19986</v>
      </c>
      <c r="AA981" s="1" t="s">
        <v>19987</v>
      </c>
      <c r="AB981" s="1" t="s">
        <v>132</v>
      </c>
      <c r="AC981" s="1" t="s">
        <v>19988</v>
      </c>
      <c r="AD981" s="1" t="s">
        <v>19989</v>
      </c>
      <c r="AE981" s="1" t="s">
        <v>132</v>
      </c>
      <c r="AF981" s="1" t="s">
        <v>19990</v>
      </c>
      <c r="AG981" s="1" t="s">
        <v>19991</v>
      </c>
      <c r="AH981" s="1" t="s">
        <v>132</v>
      </c>
      <c r="AI981" s="1" t="s">
        <v>132</v>
      </c>
      <c r="AJ981" s="1" t="s">
        <v>19993</v>
      </c>
      <c r="AK981" s="1" t="s">
        <v>19994</v>
      </c>
      <c r="AL981" s="1" t="s">
        <v>132</v>
      </c>
      <c r="AM981" s="1" t="s">
        <v>19995</v>
      </c>
      <c r="AN981" s="1" t="s">
        <v>19995</v>
      </c>
    </row>
    <row r="982" ht="15.75" customHeight="1">
      <c r="A982" s="1" t="s">
        <v>127</v>
      </c>
      <c r="B982" s="1" t="s">
        <v>19996</v>
      </c>
      <c r="C982" s="1" t="s">
        <v>19997</v>
      </c>
      <c r="D982" s="8" t="s">
        <v>19998</v>
      </c>
      <c r="E982" s="1" t="s">
        <v>19999</v>
      </c>
      <c r="F982" s="1" t="s">
        <v>132</v>
      </c>
      <c r="G982" s="1" t="s">
        <v>20000</v>
      </c>
      <c r="H982" s="1" t="s">
        <v>20001</v>
      </c>
      <c r="I982" s="1" t="s">
        <v>20002</v>
      </c>
      <c r="J982" s="1" t="s">
        <v>20003</v>
      </c>
      <c r="K982" s="1" t="s">
        <v>20004</v>
      </c>
      <c r="L982" s="1" t="s">
        <v>20005</v>
      </c>
      <c r="M982" s="1" t="s">
        <v>19997</v>
      </c>
      <c r="N982" s="1" t="s">
        <v>132</v>
      </c>
      <c r="O982" s="1" t="s">
        <v>20006</v>
      </c>
      <c r="P982" s="1" t="s">
        <v>20007</v>
      </c>
      <c r="Q982" s="1" t="s">
        <v>132</v>
      </c>
      <c r="R982" s="1" t="s">
        <v>20008</v>
      </c>
      <c r="S982" s="1" t="s">
        <v>20009</v>
      </c>
      <c r="T982" s="8" t="s">
        <v>20010</v>
      </c>
      <c r="U982" s="1" t="s">
        <v>20011</v>
      </c>
      <c r="V982" s="1" t="s">
        <v>20012</v>
      </c>
      <c r="W982" s="1" t="s">
        <v>20013</v>
      </c>
      <c r="X982" s="1" t="s">
        <v>20014</v>
      </c>
      <c r="Y982" s="1" t="s">
        <v>20015</v>
      </c>
      <c r="Z982" s="1" t="s">
        <v>20016</v>
      </c>
      <c r="AA982" s="1" t="s">
        <v>20017</v>
      </c>
      <c r="AB982" s="1" t="s">
        <v>20018</v>
      </c>
      <c r="AC982" s="1" t="s">
        <v>20019</v>
      </c>
      <c r="AD982" s="1" t="s">
        <v>20020</v>
      </c>
      <c r="AE982" s="1" t="s">
        <v>20021</v>
      </c>
      <c r="AF982" s="1" t="s">
        <v>19997</v>
      </c>
      <c r="AG982" s="1" t="s">
        <v>20022</v>
      </c>
      <c r="AH982" s="1" t="s">
        <v>20023</v>
      </c>
      <c r="AI982" s="1" t="s">
        <v>20024</v>
      </c>
      <c r="AJ982" s="1" t="s">
        <v>132</v>
      </c>
      <c r="AK982" s="1" t="s">
        <v>20025</v>
      </c>
      <c r="AL982" s="1" t="s">
        <v>20026</v>
      </c>
      <c r="AM982" s="1" t="s">
        <v>132</v>
      </c>
      <c r="AN982" s="1" t="s">
        <v>132</v>
      </c>
    </row>
    <row r="983" ht="15.75" customHeight="1">
      <c r="A983" s="1" t="s">
        <v>38</v>
      </c>
      <c r="B983" s="1" t="s">
        <v>20027</v>
      </c>
      <c r="C983" s="1" t="s">
        <v>20028</v>
      </c>
      <c r="D983" s="8" t="s">
        <v>20029</v>
      </c>
      <c r="E983" s="1" t="s">
        <v>20030</v>
      </c>
      <c r="F983" s="1" t="s">
        <v>20031</v>
      </c>
      <c r="G983" s="1" t="s">
        <v>132</v>
      </c>
      <c r="H983" s="1" t="s">
        <v>132</v>
      </c>
      <c r="I983" s="1" t="s">
        <v>20032</v>
      </c>
      <c r="J983" s="1" t="s">
        <v>132</v>
      </c>
      <c r="K983" s="1" t="s">
        <v>20033</v>
      </c>
      <c r="L983" s="1" t="s">
        <v>132</v>
      </c>
      <c r="M983" s="1" t="s">
        <v>20034</v>
      </c>
      <c r="N983" s="1" t="s">
        <v>20035</v>
      </c>
      <c r="O983" s="1" t="s">
        <v>132</v>
      </c>
      <c r="P983" s="1" t="s">
        <v>20036</v>
      </c>
      <c r="Q983" s="1" t="s">
        <v>132</v>
      </c>
      <c r="R983" s="1" t="s">
        <v>132</v>
      </c>
      <c r="S983" s="1" t="s">
        <v>20037</v>
      </c>
      <c r="T983" s="1" t="s">
        <v>132</v>
      </c>
      <c r="U983" s="1" t="s">
        <v>20038</v>
      </c>
      <c r="V983" s="1" t="s">
        <v>20039</v>
      </c>
      <c r="W983" s="1" t="s">
        <v>132</v>
      </c>
      <c r="X983" s="1" t="s">
        <v>20040</v>
      </c>
      <c r="Y983" s="1" t="s">
        <v>132</v>
      </c>
      <c r="Z983" s="1" t="s">
        <v>20041</v>
      </c>
      <c r="AA983" s="1" t="s">
        <v>20042</v>
      </c>
      <c r="AB983" s="1" t="s">
        <v>132</v>
      </c>
      <c r="AC983" s="1" t="s">
        <v>20043</v>
      </c>
      <c r="AD983" s="1" t="s">
        <v>132</v>
      </c>
      <c r="AE983" s="1" t="s">
        <v>132</v>
      </c>
      <c r="AF983" s="1" t="s">
        <v>20044</v>
      </c>
      <c r="AG983" s="1" t="s">
        <v>20045</v>
      </c>
      <c r="AH983" s="1" t="s">
        <v>132</v>
      </c>
      <c r="AI983" s="1" t="s">
        <v>132</v>
      </c>
      <c r="AJ983" s="1" t="s">
        <v>20046</v>
      </c>
      <c r="AK983" s="1" t="s">
        <v>132</v>
      </c>
      <c r="AL983" s="1" t="s">
        <v>132</v>
      </c>
      <c r="AM983" s="1" t="s">
        <v>20047</v>
      </c>
      <c r="AN983" s="1" t="s">
        <v>20047</v>
      </c>
    </row>
    <row r="984" ht="15.75" customHeight="1">
      <c r="A984" s="1" t="s">
        <v>38</v>
      </c>
      <c r="B984" s="1" t="s">
        <v>20048</v>
      </c>
      <c r="C984" s="1" t="s">
        <v>20049</v>
      </c>
      <c r="D984" s="1" t="s">
        <v>132</v>
      </c>
      <c r="E984" s="1" t="s">
        <v>132</v>
      </c>
      <c r="F984" s="1" t="s">
        <v>132</v>
      </c>
      <c r="G984" s="1" t="s">
        <v>132</v>
      </c>
      <c r="H984" s="1" t="s">
        <v>132</v>
      </c>
      <c r="I984" s="1" t="s">
        <v>20049</v>
      </c>
      <c r="J984" s="1" t="s">
        <v>132</v>
      </c>
      <c r="K984" s="1" t="s">
        <v>20049</v>
      </c>
      <c r="L984" s="1" t="s">
        <v>132</v>
      </c>
      <c r="M984" s="1" t="s">
        <v>20050</v>
      </c>
      <c r="N984" s="1" t="s">
        <v>132</v>
      </c>
      <c r="O984" s="1" t="s">
        <v>132</v>
      </c>
      <c r="P984" s="1" t="s">
        <v>20049</v>
      </c>
      <c r="Q984" s="1" t="s">
        <v>132</v>
      </c>
      <c r="R984" s="1" t="s">
        <v>132</v>
      </c>
      <c r="S984" s="1" t="s">
        <v>132</v>
      </c>
      <c r="T984" s="1" t="s">
        <v>132</v>
      </c>
      <c r="U984" s="1" t="s">
        <v>132</v>
      </c>
      <c r="V984" s="1" t="s">
        <v>132</v>
      </c>
      <c r="W984" s="1" t="s">
        <v>132</v>
      </c>
      <c r="X984" s="1" t="s">
        <v>132</v>
      </c>
      <c r="Y984" s="1" t="s">
        <v>132</v>
      </c>
      <c r="Z984" s="1" t="s">
        <v>132</v>
      </c>
      <c r="AA984" s="1" t="s">
        <v>132</v>
      </c>
      <c r="AB984" s="1" t="s">
        <v>132</v>
      </c>
      <c r="AC984" s="1" t="s">
        <v>20051</v>
      </c>
      <c r="AD984" s="1" t="s">
        <v>132</v>
      </c>
      <c r="AE984" s="1" t="s">
        <v>132</v>
      </c>
      <c r="AF984" s="1" t="s">
        <v>20049</v>
      </c>
      <c r="AG984" s="1" t="s">
        <v>132</v>
      </c>
      <c r="AH984" s="1" t="s">
        <v>132</v>
      </c>
      <c r="AI984" s="1" t="s">
        <v>132</v>
      </c>
      <c r="AJ984" s="1" t="s">
        <v>132</v>
      </c>
      <c r="AK984" s="1" t="s">
        <v>132</v>
      </c>
      <c r="AL984" s="1" t="s">
        <v>132</v>
      </c>
      <c r="AM984" s="1" t="s">
        <v>132</v>
      </c>
      <c r="AN984" s="1" t="s">
        <v>132</v>
      </c>
    </row>
    <row r="985" ht="15.75" customHeight="1">
      <c r="A985" s="1" t="s">
        <v>127</v>
      </c>
      <c r="B985" s="1" t="s">
        <v>20052</v>
      </c>
      <c r="C985" s="1" t="s">
        <v>20053</v>
      </c>
      <c r="D985" s="8" t="s">
        <v>20054</v>
      </c>
      <c r="E985" s="1" t="s">
        <v>20055</v>
      </c>
      <c r="F985" s="1" t="s">
        <v>132</v>
      </c>
      <c r="G985" s="1" t="s">
        <v>20056</v>
      </c>
      <c r="H985" s="1" t="s">
        <v>20057</v>
      </c>
      <c r="I985" s="1" t="s">
        <v>20053</v>
      </c>
      <c r="J985" s="1" t="s">
        <v>20053</v>
      </c>
      <c r="K985" s="1" t="s">
        <v>20053</v>
      </c>
      <c r="L985" s="1" t="s">
        <v>20058</v>
      </c>
      <c r="M985" s="1" t="s">
        <v>20053</v>
      </c>
      <c r="N985" s="1" t="s">
        <v>132</v>
      </c>
      <c r="O985" s="1" t="s">
        <v>20059</v>
      </c>
      <c r="P985" s="1" t="s">
        <v>20060</v>
      </c>
      <c r="Q985" s="1" t="s">
        <v>132</v>
      </c>
      <c r="R985" s="1" t="s">
        <v>20061</v>
      </c>
      <c r="S985" s="1" t="s">
        <v>20062</v>
      </c>
      <c r="T985" s="8" t="s">
        <v>20063</v>
      </c>
      <c r="U985" s="1" t="s">
        <v>20064</v>
      </c>
      <c r="V985" s="1" t="s">
        <v>20065</v>
      </c>
      <c r="W985" s="1" t="s">
        <v>20061</v>
      </c>
      <c r="X985" s="1" t="s">
        <v>20066</v>
      </c>
      <c r="Y985" s="1" t="s">
        <v>20067</v>
      </c>
      <c r="Z985" s="1" t="s">
        <v>20068</v>
      </c>
      <c r="AA985" s="1" t="s">
        <v>20069</v>
      </c>
      <c r="AB985" s="1" t="s">
        <v>20070</v>
      </c>
      <c r="AC985" s="1" t="s">
        <v>20071</v>
      </c>
      <c r="AD985" s="1" t="s">
        <v>20072</v>
      </c>
      <c r="AE985" s="1" t="s">
        <v>20073</v>
      </c>
      <c r="AF985" s="1" t="s">
        <v>20053</v>
      </c>
      <c r="AG985" s="1" t="s">
        <v>20074</v>
      </c>
      <c r="AH985" s="1" t="s">
        <v>20075</v>
      </c>
      <c r="AI985" s="1" t="s">
        <v>20076</v>
      </c>
      <c r="AJ985" s="1" t="s">
        <v>132</v>
      </c>
      <c r="AK985" s="1" t="s">
        <v>20077</v>
      </c>
      <c r="AL985" s="1" t="s">
        <v>20078</v>
      </c>
      <c r="AM985" s="1" t="s">
        <v>20079</v>
      </c>
      <c r="AN985" s="1" t="s">
        <v>20079</v>
      </c>
    </row>
    <row r="986" ht="15.75" customHeight="1">
      <c r="A986" s="1" t="s">
        <v>38</v>
      </c>
      <c r="B986" s="1" t="s">
        <v>20080</v>
      </c>
      <c r="C986" s="1" t="s">
        <v>20081</v>
      </c>
      <c r="D986" s="1" t="s">
        <v>132</v>
      </c>
      <c r="E986" s="1" t="s">
        <v>132</v>
      </c>
      <c r="F986" s="1" t="s">
        <v>132</v>
      </c>
      <c r="G986" s="1" t="s">
        <v>132</v>
      </c>
      <c r="H986" s="1" t="s">
        <v>132</v>
      </c>
      <c r="I986" s="1" t="s">
        <v>20081</v>
      </c>
      <c r="J986" s="1" t="s">
        <v>132</v>
      </c>
      <c r="K986" s="1" t="s">
        <v>20081</v>
      </c>
      <c r="L986" s="1" t="s">
        <v>132</v>
      </c>
      <c r="M986" s="1" t="s">
        <v>20082</v>
      </c>
      <c r="N986" s="1" t="s">
        <v>132</v>
      </c>
      <c r="O986" s="1" t="s">
        <v>132</v>
      </c>
      <c r="P986" s="1" t="s">
        <v>20081</v>
      </c>
      <c r="Q986" s="1" t="s">
        <v>132</v>
      </c>
      <c r="R986" s="1" t="s">
        <v>132</v>
      </c>
      <c r="S986" s="1" t="s">
        <v>132</v>
      </c>
      <c r="T986" s="1" t="s">
        <v>132</v>
      </c>
      <c r="U986" s="1" t="s">
        <v>132</v>
      </c>
      <c r="V986" s="1" t="s">
        <v>132</v>
      </c>
      <c r="W986" s="1" t="s">
        <v>132</v>
      </c>
      <c r="X986" s="1" t="s">
        <v>132</v>
      </c>
      <c r="Y986" s="1" t="s">
        <v>132</v>
      </c>
      <c r="Z986" s="1" t="s">
        <v>132</v>
      </c>
      <c r="AA986" s="1" t="s">
        <v>132</v>
      </c>
      <c r="AB986" s="1" t="s">
        <v>132</v>
      </c>
      <c r="AC986" s="1" t="s">
        <v>20083</v>
      </c>
      <c r="AD986" s="1" t="s">
        <v>132</v>
      </c>
      <c r="AE986" s="1" t="s">
        <v>132</v>
      </c>
      <c r="AF986" s="1" t="s">
        <v>20084</v>
      </c>
      <c r="AG986" s="1" t="s">
        <v>132</v>
      </c>
      <c r="AH986" s="1" t="s">
        <v>132</v>
      </c>
      <c r="AI986" s="1" t="s">
        <v>132</v>
      </c>
      <c r="AJ986" s="1" t="s">
        <v>132</v>
      </c>
      <c r="AK986" s="1" t="s">
        <v>132</v>
      </c>
      <c r="AL986" s="1" t="s">
        <v>132</v>
      </c>
      <c r="AM986" s="1" t="s">
        <v>132</v>
      </c>
      <c r="AN986" s="1" t="s">
        <v>132</v>
      </c>
    </row>
    <row r="987" ht="15.75" customHeight="1">
      <c r="A987" s="1" t="s">
        <v>127</v>
      </c>
      <c r="B987" s="1" t="s">
        <v>20085</v>
      </c>
      <c r="C987" s="1" t="s">
        <v>20086</v>
      </c>
      <c r="D987" s="1" t="s">
        <v>132</v>
      </c>
      <c r="E987" s="1" t="s">
        <v>132</v>
      </c>
      <c r="F987" s="1" t="s">
        <v>132</v>
      </c>
      <c r="G987" s="1" t="s">
        <v>132</v>
      </c>
      <c r="H987" s="1" t="s">
        <v>20087</v>
      </c>
      <c r="I987" s="1" t="s">
        <v>132</v>
      </c>
      <c r="J987" s="1" t="s">
        <v>132</v>
      </c>
      <c r="K987" s="1" t="s">
        <v>20088</v>
      </c>
      <c r="L987" s="1" t="s">
        <v>20089</v>
      </c>
      <c r="M987" s="1" t="s">
        <v>20090</v>
      </c>
      <c r="N987" s="1" t="s">
        <v>132</v>
      </c>
      <c r="O987" s="1" t="s">
        <v>132</v>
      </c>
      <c r="P987" s="1" t="s">
        <v>20091</v>
      </c>
      <c r="Q987" s="1" t="s">
        <v>132</v>
      </c>
      <c r="R987" s="1" t="s">
        <v>20092</v>
      </c>
      <c r="S987" s="1" t="s">
        <v>20093</v>
      </c>
      <c r="T987" s="1" t="s">
        <v>132</v>
      </c>
      <c r="U987" s="1" t="s">
        <v>20094</v>
      </c>
      <c r="V987" s="1" t="s">
        <v>132</v>
      </c>
      <c r="W987" s="1" t="s">
        <v>20095</v>
      </c>
      <c r="X987" s="1" t="s">
        <v>20096</v>
      </c>
      <c r="Y987" s="1" t="s">
        <v>20097</v>
      </c>
      <c r="Z987" s="11" t="s">
        <v>20098</v>
      </c>
      <c r="AA987" s="1" t="s">
        <v>20099</v>
      </c>
      <c r="AB987" s="1" t="s">
        <v>132</v>
      </c>
      <c r="AC987" s="1" t="s">
        <v>132</v>
      </c>
      <c r="AD987" s="1" t="s">
        <v>132</v>
      </c>
      <c r="AE987" s="1" t="s">
        <v>132</v>
      </c>
      <c r="AF987" s="1" t="s">
        <v>132</v>
      </c>
      <c r="AG987" s="11" t="s">
        <v>20100</v>
      </c>
      <c r="AH987" s="1" t="s">
        <v>132</v>
      </c>
      <c r="AI987" s="1" t="s">
        <v>20101</v>
      </c>
      <c r="AJ987" s="1" t="s">
        <v>132</v>
      </c>
      <c r="AK987" s="1" t="s">
        <v>132</v>
      </c>
      <c r="AL987" s="14" t="s">
        <v>20102</v>
      </c>
      <c r="AM987" s="1" t="s">
        <v>132</v>
      </c>
      <c r="AN987" s="1" t="s">
        <v>132</v>
      </c>
    </row>
    <row r="988" ht="15.75" customHeight="1">
      <c r="A988" s="1" t="s">
        <v>127</v>
      </c>
      <c r="B988" s="1" t="s">
        <v>20103</v>
      </c>
      <c r="C988" s="1" t="s">
        <v>20104</v>
      </c>
      <c r="D988" s="8" t="s">
        <v>20105</v>
      </c>
      <c r="E988" s="1" t="s">
        <v>20106</v>
      </c>
      <c r="F988" s="1" t="s">
        <v>132</v>
      </c>
      <c r="G988" s="1" t="s">
        <v>20107</v>
      </c>
      <c r="H988" s="1" t="s">
        <v>20108</v>
      </c>
      <c r="I988" s="1" t="s">
        <v>20109</v>
      </c>
      <c r="J988" s="1" t="s">
        <v>20110</v>
      </c>
      <c r="K988" s="1" t="s">
        <v>20111</v>
      </c>
      <c r="L988" s="1" t="s">
        <v>20112</v>
      </c>
      <c r="M988" s="1" t="s">
        <v>20113</v>
      </c>
      <c r="N988" s="1" t="s">
        <v>132</v>
      </c>
      <c r="O988" s="1" t="s">
        <v>20114</v>
      </c>
      <c r="P988" s="1" t="s">
        <v>20115</v>
      </c>
      <c r="Q988" s="1" t="s">
        <v>132</v>
      </c>
      <c r="R988" s="1" t="s">
        <v>20116</v>
      </c>
      <c r="S988" s="1" t="s">
        <v>20117</v>
      </c>
      <c r="T988" s="8" t="s">
        <v>20118</v>
      </c>
      <c r="U988" s="1" t="s">
        <v>20119</v>
      </c>
      <c r="V988" s="1" t="s">
        <v>20120</v>
      </c>
      <c r="W988" s="1" t="s">
        <v>20116</v>
      </c>
      <c r="X988" s="1" t="s">
        <v>20121</v>
      </c>
      <c r="Y988" s="1" t="s">
        <v>20122</v>
      </c>
      <c r="Z988" s="1" t="s">
        <v>20123</v>
      </c>
      <c r="AA988" s="1" t="s">
        <v>20124</v>
      </c>
      <c r="AB988" s="1" t="s">
        <v>20125</v>
      </c>
      <c r="AC988" s="1" t="s">
        <v>20126</v>
      </c>
      <c r="AD988" s="1" t="s">
        <v>20127</v>
      </c>
      <c r="AE988" s="1" t="s">
        <v>20128</v>
      </c>
      <c r="AF988" s="1" t="s">
        <v>20129</v>
      </c>
      <c r="AG988" s="1" t="s">
        <v>20130</v>
      </c>
      <c r="AH988" s="1" t="s">
        <v>20131</v>
      </c>
      <c r="AI988" s="1" t="s">
        <v>20132</v>
      </c>
      <c r="AJ988" s="1" t="s">
        <v>132</v>
      </c>
      <c r="AK988" s="1" t="s">
        <v>20133</v>
      </c>
      <c r="AL988" s="1" t="s">
        <v>20134</v>
      </c>
      <c r="AM988" s="1" t="s">
        <v>132</v>
      </c>
      <c r="AN988" s="1" t="s">
        <v>132</v>
      </c>
    </row>
    <row r="989" ht="15.75" customHeight="1">
      <c r="A989" s="1" t="s">
        <v>38</v>
      </c>
      <c r="B989" s="1" t="s">
        <v>20135</v>
      </c>
      <c r="C989" s="1" t="s">
        <v>20136</v>
      </c>
      <c r="D989" s="8" t="s">
        <v>20137</v>
      </c>
      <c r="E989" s="1" t="s">
        <v>20138</v>
      </c>
      <c r="F989" s="1" t="s">
        <v>20139</v>
      </c>
      <c r="G989" s="1" t="s">
        <v>132</v>
      </c>
      <c r="H989" s="1" t="s">
        <v>132</v>
      </c>
      <c r="I989" s="1" t="s">
        <v>20140</v>
      </c>
      <c r="J989" s="1" t="s">
        <v>132</v>
      </c>
      <c r="K989" s="1" t="s">
        <v>20141</v>
      </c>
      <c r="L989" s="1" t="s">
        <v>132</v>
      </c>
      <c r="M989" s="1" t="s">
        <v>20142</v>
      </c>
      <c r="N989" s="1" t="s">
        <v>20143</v>
      </c>
      <c r="O989" s="1" t="s">
        <v>132</v>
      </c>
      <c r="P989" s="1" t="s">
        <v>20144</v>
      </c>
      <c r="Q989" s="1" t="s">
        <v>20145</v>
      </c>
      <c r="R989" s="1" t="s">
        <v>132</v>
      </c>
      <c r="S989" s="1" t="s">
        <v>20146</v>
      </c>
      <c r="T989" s="1" t="s">
        <v>132</v>
      </c>
      <c r="U989" s="1" t="s">
        <v>20147</v>
      </c>
      <c r="V989" s="1" t="s">
        <v>20148</v>
      </c>
      <c r="W989" s="1" t="s">
        <v>132</v>
      </c>
      <c r="X989" s="1" t="s">
        <v>20149</v>
      </c>
      <c r="Y989" s="1" t="s">
        <v>132</v>
      </c>
      <c r="Z989" s="1" t="s">
        <v>20150</v>
      </c>
      <c r="AA989" s="1" t="s">
        <v>20151</v>
      </c>
      <c r="AB989" s="1" t="s">
        <v>132</v>
      </c>
      <c r="AC989" s="1" t="s">
        <v>20152</v>
      </c>
      <c r="AD989" s="1" t="s">
        <v>20153</v>
      </c>
      <c r="AE989" s="1" t="s">
        <v>132</v>
      </c>
      <c r="AF989" s="1" t="s">
        <v>20154</v>
      </c>
      <c r="AG989" s="1" t="s">
        <v>20155</v>
      </c>
      <c r="AH989" s="1" t="s">
        <v>132</v>
      </c>
      <c r="AI989" s="1" t="s">
        <v>132</v>
      </c>
      <c r="AJ989" s="1" t="s">
        <v>20156</v>
      </c>
      <c r="AK989" s="1" t="s">
        <v>20157</v>
      </c>
      <c r="AL989" s="1" t="s">
        <v>132</v>
      </c>
      <c r="AM989" s="1" t="s">
        <v>20158</v>
      </c>
      <c r="AN989" s="1" t="s">
        <v>20158</v>
      </c>
    </row>
    <row r="990" ht="15.75" customHeight="1">
      <c r="A990" s="1" t="s">
        <v>127</v>
      </c>
      <c r="B990" s="1" t="s">
        <v>20159</v>
      </c>
      <c r="C990" s="1" t="s">
        <v>20160</v>
      </c>
      <c r="D990" s="8" t="s">
        <v>3429</v>
      </c>
      <c r="E990" s="1" t="s">
        <v>3430</v>
      </c>
      <c r="F990" s="1" t="s">
        <v>132</v>
      </c>
      <c r="G990" s="1" t="s">
        <v>20161</v>
      </c>
      <c r="H990" s="1" t="s">
        <v>20160</v>
      </c>
      <c r="I990" s="1" t="s">
        <v>20162</v>
      </c>
      <c r="J990" s="1" t="s">
        <v>20163</v>
      </c>
      <c r="K990" s="1" t="s">
        <v>20164</v>
      </c>
      <c r="L990" s="1" t="s">
        <v>20165</v>
      </c>
      <c r="M990" s="1" t="s">
        <v>20164</v>
      </c>
      <c r="N990" s="1" t="s">
        <v>132</v>
      </c>
      <c r="O990" s="1" t="s">
        <v>20166</v>
      </c>
      <c r="P990" s="1" t="s">
        <v>20167</v>
      </c>
      <c r="Q990" s="1" t="s">
        <v>132</v>
      </c>
      <c r="R990" s="1" t="s">
        <v>20168</v>
      </c>
      <c r="S990" s="1" t="s">
        <v>20160</v>
      </c>
      <c r="T990" s="8" t="s">
        <v>3442</v>
      </c>
      <c r="U990" s="1" t="s">
        <v>20160</v>
      </c>
      <c r="V990" s="1" t="s">
        <v>3444</v>
      </c>
      <c r="W990" s="1" t="s">
        <v>20168</v>
      </c>
      <c r="X990" s="1" t="s">
        <v>20160</v>
      </c>
      <c r="Y990" s="1" t="s">
        <v>20169</v>
      </c>
      <c r="Z990" s="1" t="s">
        <v>20170</v>
      </c>
      <c r="AA990" s="1" t="s">
        <v>3448</v>
      </c>
      <c r="AB990" s="1" t="s">
        <v>20164</v>
      </c>
      <c r="AC990" s="1" t="s">
        <v>20171</v>
      </c>
      <c r="AD990" s="1" t="s">
        <v>20160</v>
      </c>
      <c r="AE990" s="1" t="s">
        <v>20160</v>
      </c>
      <c r="AF990" s="1" t="s">
        <v>20172</v>
      </c>
      <c r="AG990" s="1" t="s">
        <v>20169</v>
      </c>
      <c r="AH990" s="1" t="s">
        <v>3453</v>
      </c>
      <c r="AI990" s="1" t="s">
        <v>14805</v>
      </c>
      <c r="AJ990" s="1" t="s">
        <v>132</v>
      </c>
      <c r="AK990" s="1" t="s">
        <v>20173</v>
      </c>
      <c r="AL990" s="1" t="s">
        <v>3456</v>
      </c>
      <c r="AM990" s="1" t="s">
        <v>3457</v>
      </c>
      <c r="AN990" s="1" t="s">
        <v>3457</v>
      </c>
    </row>
    <row r="991" ht="15.75" customHeight="1">
      <c r="A991" s="1" t="s">
        <v>38</v>
      </c>
      <c r="B991" s="1" t="s">
        <v>20174</v>
      </c>
      <c r="C991" s="1" t="s">
        <v>20175</v>
      </c>
      <c r="D991" s="1" t="s">
        <v>132</v>
      </c>
      <c r="E991" s="1" t="s">
        <v>132</v>
      </c>
      <c r="F991" s="1" t="s">
        <v>132</v>
      </c>
      <c r="G991" s="1" t="s">
        <v>132</v>
      </c>
      <c r="H991" s="1" t="s">
        <v>132</v>
      </c>
      <c r="I991" s="1" t="s">
        <v>20176</v>
      </c>
      <c r="J991" s="1" t="s">
        <v>132</v>
      </c>
      <c r="K991" s="1" t="s">
        <v>20177</v>
      </c>
      <c r="L991" s="1" t="s">
        <v>132</v>
      </c>
      <c r="M991" s="1" t="s">
        <v>20178</v>
      </c>
      <c r="N991" s="1" t="s">
        <v>132</v>
      </c>
      <c r="O991" s="1" t="s">
        <v>132</v>
      </c>
      <c r="P991" s="1" t="s">
        <v>20179</v>
      </c>
      <c r="Q991" s="1" t="s">
        <v>132</v>
      </c>
      <c r="R991" s="1" t="s">
        <v>132</v>
      </c>
      <c r="S991" s="1" t="s">
        <v>132</v>
      </c>
      <c r="T991" s="1" t="s">
        <v>132</v>
      </c>
      <c r="U991" s="1" t="s">
        <v>132</v>
      </c>
      <c r="V991" s="1" t="s">
        <v>132</v>
      </c>
      <c r="W991" s="1" t="s">
        <v>132</v>
      </c>
      <c r="X991" s="1" t="s">
        <v>132</v>
      </c>
      <c r="Y991" s="1" t="s">
        <v>132</v>
      </c>
      <c r="Z991" s="1" t="s">
        <v>132</v>
      </c>
      <c r="AA991" s="1" t="s">
        <v>132</v>
      </c>
      <c r="AB991" s="1" t="s">
        <v>132</v>
      </c>
      <c r="AC991" s="1" t="s">
        <v>20180</v>
      </c>
      <c r="AD991" s="1" t="s">
        <v>132</v>
      </c>
      <c r="AE991" s="1" t="s">
        <v>132</v>
      </c>
      <c r="AF991" s="1" t="s">
        <v>20181</v>
      </c>
      <c r="AG991" s="1" t="s">
        <v>132</v>
      </c>
      <c r="AH991" s="1" t="s">
        <v>132</v>
      </c>
      <c r="AI991" s="1" t="s">
        <v>132</v>
      </c>
      <c r="AJ991" s="1" t="s">
        <v>132</v>
      </c>
      <c r="AK991" s="1" t="s">
        <v>132</v>
      </c>
      <c r="AL991" s="1" t="s">
        <v>132</v>
      </c>
      <c r="AM991" s="1" t="s">
        <v>132</v>
      </c>
      <c r="AN991" s="1" t="s">
        <v>132</v>
      </c>
    </row>
    <row r="992" ht="15.75" customHeight="1">
      <c r="A992" s="1" t="s">
        <v>38</v>
      </c>
      <c r="B992" s="1" t="s">
        <v>20182</v>
      </c>
      <c r="C992" s="1" t="s">
        <v>20183</v>
      </c>
      <c r="D992" s="8" t="s">
        <v>20184</v>
      </c>
      <c r="E992" s="1" t="s">
        <v>20185</v>
      </c>
      <c r="F992" s="1" t="s">
        <v>20186</v>
      </c>
      <c r="G992" s="1" t="s">
        <v>132</v>
      </c>
      <c r="H992" s="1" t="s">
        <v>132</v>
      </c>
      <c r="I992" s="1" t="s">
        <v>20187</v>
      </c>
      <c r="J992" s="1" t="s">
        <v>132</v>
      </c>
      <c r="K992" s="1" t="s">
        <v>20188</v>
      </c>
      <c r="L992" s="1" t="s">
        <v>132</v>
      </c>
      <c r="M992" s="1" t="s">
        <v>20189</v>
      </c>
      <c r="N992" s="1" t="s">
        <v>20190</v>
      </c>
      <c r="O992" s="1" t="s">
        <v>132</v>
      </c>
      <c r="P992" s="1" t="s">
        <v>20191</v>
      </c>
      <c r="Q992" s="1" t="s">
        <v>20192</v>
      </c>
      <c r="R992" s="1" t="s">
        <v>132</v>
      </c>
      <c r="S992" s="1" t="s">
        <v>20193</v>
      </c>
      <c r="T992" s="1" t="s">
        <v>132</v>
      </c>
      <c r="U992" s="1" t="s">
        <v>20194</v>
      </c>
      <c r="V992" s="1" t="s">
        <v>20195</v>
      </c>
      <c r="W992" s="1" t="s">
        <v>132</v>
      </c>
      <c r="X992" s="1" t="s">
        <v>20196</v>
      </c>
      <c r="Y992" s="1" t="s">
        <v>132</v>
      </c>
      <c r="Z992" s="1" t="s">
        <v>20197</v>
      </c>
      <c r="AA992" s="1" t="s">
        <v>20190</v>
      </c>
      <c r="AB992" s="1" t="s">
        <v>132</v>
      </c>
      <c r="AC992" s="1" t="s">
        <v>20198</v>
      </c>
      <c r="AD992" s="1" t="s">
        <v>20199</v>
      </c>
      <c r="AE992" s="1" t="s">
        <v>132</v>
      </c>
      <c r="AF992" s="1" t="s">
        <v>20200</v>
      </c>
      <c r="AG992" s="1" t="s">
        <v>20201</v>
      </c>
      <c r="AH992" s="1" t="s">
        <v>132</v>
      </c>
      <c r="AI992" s="1" t="s">
        <v>132</v>
      </c>
      <c r="AJ992" s="1" t="s">
        <v>20202</v>
      </c>
      <c r="AK992" s="1" t="s">
        <v>20203</v>
      </c>
      <c r="AL992" s="1" t="s">
        <v>132</v>
      </c>
      <c r="AM992" s="1" t="s">
        <v>20204</v>
      </c>
      <c r="AN992" s="1" t="s">
        <v>20204</v>
      </c>
    </row>
    <row r="993" ht="15.75" customHeight="1">
      <c r="A993" s="1" t="s">
        <v>127</v>
      </c>
      <c r="B993" s="1" t="s">
        <v>20205</v>
      </c>
      <c r="C993" s="1" t="s">
        <v>20206</v>
      </c>
      <c r="D993" s="8" t="s">
        <v>20207</v>
      </c>
      <c r="E993" s="1" t="s">
        <v>20208</v>
      </c>
      <c r="F993" s="1" t="s">
        <v>132</v>
      </c>
      <c r="G993" s="1" t="s">
        <v>20209</v>
      </c>
      <c r="H993" s="1" t="s">
        <v>20210</v>
      </c>
      <c r="I993" s="1" t="s">
        <v>972</v>
      </c>
      <c r="J993" s="1" t="s">
        <v>20211</v>
      </c>
      <c r="K993" s="1" t="s">
        <v>20212</v>
      </c>
      <c r="L993" s="1" t="s">
        <v>20213</v>
      </c>
      <c r="M993" s="1" t="s">
        <v>20214</v>
      </c>
      <c r="N993" s="1" t="s">
        <v>132</v>
      </c>
      <c r="O993" s="1" t="s">
        <v>20215</v>
      </c>
      <c r="P993" s="1" t="s">
        <v>20216</v>
      </c>
      <c r="Q993" s="1" t="s">
        <v>132</v>
      </c>
      <c r="R993" s="1" t="s">
        <v>20217</v>
      </c>
      <c r="S993" s="1" t="s">
        <v>20218</v>
      </c>
      <c r="T993" s="8" t="s">
        <v>20219</v>
      </c>
      <c r="U993" s="1" t="s">
        <v>20220</v>
      </c>
      <c r="V993" s="1" t="s">
        <v>20221</v>
      </c>
      <c r="W993" s="1" t="s">
        <v>20222</v>
      </c>
      <c r="X993" s="1" t="s">
        <v>20223</v>
      </c>
      <c r="Y993" s="1" t="s">
        <v>20224</v>
      </c>
      <c r="Z993" s="1" t="s">
        <v>20225</v>
      </c>
      <c r="AA993" s="1" t="s">
        <v>20226</v>
      </c>
      <c r="AB993" s="1" t="s">
        <v>20227</v>
      </c>
      <c r="AC993" s="1" t="s">
        <v>20228</v>
      </c>
      <c r="AD993" s="1" t="s">
        <v>20229</v>
      </c>
      <c r="AE993" s="1" t="s">
        <v>20230</v>
      </c>
      <c r="AF993" s="1" t="s">
        <v>20231</v>
      </c>
      <c r="AG993" s="1" t="s">
        <v>20232</v>
      </c>
      <c r="AH993" s="1" t="s">
        <v>20233</v>
      </c>
      <c r="AI993" s="1" t="s">
        <v>20234</v>
      </c>
      <c r="AJ993" s="1" t="s">
        <v>132</v>
      </c>
      <c r="AK993" s="1" t="s">
        <v>20235</v>
      </c>
      <c r="AL993" s="1" t="s">
        <v>20236</v>
      </c>
      <c r="AM993" s="1" t="s">
        <v>132</v>
      </c>
      <c r="AN993" s="1" t="s">
        <v>132</v>
      </c>
    </row>
    <row r="994" ht="15.75" customHeight="1">
      <c r="A994" s="1" t="s">
        <v>127</v>
      </c>
      <c r="B994" s="1" t="s">
        <v>20237</v>
      </c>
      <c r="C994" s="1" t="s">
        <v>20238</v>
      </c>
      <c r="D994" s="8" t="s">
        <v>20239</v>
      </c>
      <c r="E994" s="1" t="s">
        <v>20240</v>
      </c>
      <c r="F994" s="1" t="s">
        <v>132</v>
      </c>
      <c r="G994" s="1" t="s">
        <v>20241</v>
      </c>
      <c r="H994" s="1" t="s">
        <v>20238</v>
      </c>
      <c r="I994" s="1" t="s">
        <v>20242</v>
      </c>
      <c r="J994" s="1" t="s">
        <v>20243</v>
      </c>
      <c r="K994" s="1" t="s">
        <v>20244</v>
      </c>
      <c r="L994" s="1" t="s">
        <v>20245</v>
      </c>
      <c r="M994" s="1" t="s">
        <v>20238</v>
      </c>
      <c r="N994" s="1" t="s">
        <v>132</v>
      </c>
      <c r="O994" s="1" t="s">
        <v>20246</v>
      </c>
      <c r="P994" s="1" t="s">
        <v>20247</v>
      </c>
      <c r="Q994" s="1" t="s">
        <v>132</v>
      </c>
      <c r="R994" s="1" t="s">
        <v>20248</v>
      </c>
      <c r="S994" s="1" t="s">
        <v>20249</v>
      </c>
      <c r="T994" s="1" t="s">
        <v>20238</v>
      </c>
      <c r="U994" s="1" t="s">
        <v>20250</v>
      </c>
      <c r="V994" s="1" t="s">
        <v>20251</v>
      </c>
      <c r="W994" s="1" t="s">
        <v>20248</v>
      </c>
      <c r="X994" s="1" t="s">
        <v>4102</v>
      </c>
      <c r="Y994" s="1" t="s">
        <v>20252</v>
      </c>
      <c r="Z994" s="1" t="s">
        <v>20253</v>
      </c>
      <c r="AA994" s="1" t="s">
        <v>20254</v>
      </c>
      <c r="AB994" s="1" t="s">
        <v>20255</v>
      </c>
      <c r="AC994" s="1" t="s">
        <v>20256</v>
      </c>
      <c r="AD994" s="1" t="s">
        <v>20257</v>
      </c>
      <c r="AE994" s="1" t="s">
        <v>20238</v>
      </c>
      <c r="AF994" s="1" t="s">
        <v>20258</v>
      </c>
      <c r="AG994" s="1" t="s">
        <v>20238</v>
      </c>
      <c r="AH994" s="1" t="s">
        <v>20259</v>
      </c>
      <c r="AI994" s="1" t="s">
        <v>20260</v>
      </c>
      <c r="AJ994" s="1" t="s">
        <v>132</v>
      </c>
      <c r="AK994" s="1" t="s">
        <v>20261</v>
      </c>
      <c r="AL994" s="1" t="s">
        <v>20262</v>
      </c>
      <c r="AM994" s="1" t="s">
        <v>20263</v>
      </c>
      <c r="AN994" s="1" t="s">
        <v>20263</v>
      </c>
    </row>
    <row r="995" ht="15.75" customHeight="1">
      <c r="A995" s="1" t="s">
        <v>127</v>
      </c>
      <c r="B995" s="1" t="s">
        <v>20264</v>
      </c>
      <c r="C995" s="1" t="s">
        <v>20265</v>
      </c>
      <c r="D995" s="8" t="s">
        <v>13640</v>
      </c>
      <c r="E995" s="1" t="s">
        <v>20266</v>
      </c>
      <c r="F995" s="1" t="s">
        <v>132</v>
      </c>
      <c r="G995" s="1" t="s">
        <v>20267</v>
      </c>
      <c r="H995" s="1" t="s">
        <v>20265</v>
      </c>
      <c r="I995" s="1" t="s">
        <v>20265</v>
      </c>
      <c r="J995" s="1" t="s">
        <v>20265</v>
      </c>
      <c r="K995" s="1" t="s">
        <v>20265</v>
      </c>
      <c r="L995" s="1" t="s">
        <v>20265</v>
      </c>
      <c r="M995" s="1" t="s">
        <v>20268</v>
      </c>
      <c r="N995" s="1" t="s">
        <v>132</v>
      </c>
      <c r="O995" s="1" t="s">
        <v>13649</v>
      </c>
      <c r="P995" s="1" t="s">
        <v>20265</v>
      </c>
      <c r="Q995" s="1" t="s">
        <v>132</v>
      </c>
      <c r="R995" s="1" t="s">
        <v>20269</v>
      </c>
      <c r="S995" s="1" t="s">
        <v>20265</v>
      </c>
      <c r="T995" s="8" t="s">
        <v>20270</v>
      </c>
      <c r="U995" s="1" t="s">
        <v>20271</v>
      </c>
      <c r="V995" s="1" t="s">
        <v>20272</v>
      </c>
      <c r="W995" s="1" t="s">
        <v>20273</v>
      </c>
      <c r="X995" s="1" t="s">
        <v>20265</v>
      </c>
      <c r="Y995" s="1" t="s">
        <v>20274</v>
      </c>
      <c r="Z995" s="1" t="s">
        <v>20275</v>
      </c>
      <c r="AA995" s="1" t="s">
        <v>20265</v>
      </c>
      <c r="AB995" s="1" t="s">
        <v>20276</v>
      </c>
      <c r="AC995" s="1" t="s">
        <v>20277</v>
      </c>
      <c r="AD995" s="1" t="s">
        <v>20278</v>
      </c>
      <c r="AE995" s="1" t="s">
        <v>20279</v>
      </c>
      <c r="AF995" s="1" t="s">
        <v>20265</v>
      </c>
      <c r="AG995" s="1" t="s">
        <v>20265</v>
      </c>
      <c r="AH995" s="1" t="s">
        <v>20265</v>
      </c>
      <c r="AI995" s="1" t="s">
        <v>20280</v>
      </c>
      <c r="AJ995" s="1" t="s">
        <v>132</v>
      </c>
      <c r="AK995" s="1" t="s">
        <v>3091</v>
      </c>
      <c r="AL995" s="1" t="s">
        <v>20281</v>
      </c>
      <c r="AM995" s="1" t="s">
        <v>20282</v>
      </c>
      <c r="AN995" s="1" t="s">
        <v>20282</v>
      </c>
    </row>
    <row r="996" ht="15.75" customHeight="1">
      <c r="A996" s="1" t="s">
        <v>127</v>
      </c>
      <c r="B996" s="1" t="s">
        <v>20283</v>
      </c>
      <c r="C996" s="1" t="s">
        <v>20284</v>
      </c>
      <c r="D996" s="8" t="s">
        <v>20285</v>
      </c>
      <c r="E996" s="1" t="s">
        <v>20286</v>
      </c>
      <c r="F996" s="1" t="s">
        <v>132</v>
      </c>
      <c r="G996" s="1" t="s">
        <v>20287</v>
      </c>
      <c r="H996" s="1" t="s">
        <v>20288</v>
      </c>
      <c r="I996" s="1" t="s">
        <v>20289</v>
      </c>
      <c r="J996" s="1" t="s">
        <v>20290</v>
      </c>
      <c r="K996" s="1" t="s">
        <v>20291</v>
      </c>
      <c r="L996" s="1" t="s">
        <v>20292</v>
      </c>
      <c r="M996" s="1" t="s">
        <v>20293</v>
      </c>
      <c r="N996" s="1" t="s">
        <v>132</v>
      </c>
      <c r="O996" s="1" t="s">
        <v>20294</v>
      </c>
      <c r="P996" s="1" t="s">
        <v>20295</v>
      </c>
      <c r="Q996" s="1" t="s">
        <v>132</v>
      </c>
      <c r="R996" s="1" t="s">
        <v>20296</v>
      </c>
      <c r="S996" s="1" t="s">
        <v>20297</v>
      </c>
      <c r="T996" s="8" t="s">
        <v>20298</v>
      </c>
      <c r="U996" s="1" t="s">
        <v>7335</v>
      </c>
      <c r="V996" s="1" t="s">
        <v>20299</v>
      </c>
      <c r="W996" s="1" t="s">
        <v>20300</v>
      </c>
      <c r="X996" s="1" t="s">
        <v>20301</v>
      </c>
      <c r="Y996" s="1" t="s">
        <v>20288</v>
      </c>
      <c r="Z996" s="1" t="s">
        <v>20302</v>
      </c>
      <c r="AA996" s="1" t="s">
        <v>20303</v>
      </c>
      <c r="AB996" s="1" t="s">
        <v>20304</v>
      </c>
      <c r="AC996" s="1" t="s">
        <v>20305</v>
      </c>
      <c r="AD996" s="1" t="s">
        <v>20306</v>
      </c>
      <c r="AE996" s="1" t="s">
        <v>20307</v>
      </c>
      <c r="AF996" s="1" t="s">
        <v>20308</v>
      </c>
      <c r="AG996" s="1" t="s">
        <v>20309</v>
      </c>
      <c r="AH996" s="1" t="s">
        <v>20310</v>
      </c>
      <c r="AI996" s="1" t="s">
        <v>20311</v>
      </c>
      <c r="AJ996" s="1" t="s">
        <v>132</v>
      </c>
      <c r="AK996" s="1" t="s">
        <v>20312</v>
      </c>
      <c r="AL996" s="1" t="s">
        <v>20313</v>
      </c>
      <c r="AM996" s="1" t="s">
        <v>132</v>
      </c>
      <c r="AN996" s="1" t="s">
        <v>132</v>
      </c>
    </row>
    <row r="997" ht="15.75" customHeight="1">
      <c r="A997" s="1" t="s">
        <v>43182</v>
      </c>
      <c r="B997" s="1" t="s">
        <v>43253</v>
      </c>
      <c r="C997" s="1" t="s">
        <v>43254</v>
      </c>
      <c r="D997" s="1" t="s">
        <v>132</v>
      </c>
      <c r="E997" s="1" t="s">
        <v>132</v>
      </c>
      <c r="F997" s="1" t="s">
        <v>132</v>
      </c>
      <c r="G997" s="1" t="s">
        <v>132</v>
      </c>
      <c r="H997" s="1" t="s">
        <v>132</v>
      </c>
      <c r="I997" s="1" t="s">
        <v>132</v>
      </c>
      <c r="J997" s="1" t="s">
        <v>132</v>
      </c>
      <c r="K997" s="1" t="s">
        <v>132</v>
      </c>
      <c r="L997" s="1" t="s">
        <v>132</v>
      </c>
      <c r="M997" s="1" t="s">
        <v>132</v>
      </c>
      <c r="N997" s="1" t="s">
        <v>132</v>
      </c>
      <c r="O997" s="1" t="s">
        <v>132</v>
      </c>
      <c r="P997" s="1" t="s">
        <v>132</v>
      </c>
      <c r="Q997" s="1" t="s">
        <v>132</v>
      </c>
      <c r="R997" s="1" t="s">
        <v>132</v>
      </c>
      <c r="S997" s="1" t="s">
        <v>132</v>
      </c>
      <c r="T997" s="1" t="s">
        <v>132</v>
      </c>
      <c r="U997" s="1" t="s">
        <v>132</v>
      </c>
      <c r="V997" s="1" t="s">
        <v>132</v>
      </c>
      <c r="W997" s="1" t="s">
        <v>132</v>
      </c>
      <c r="X997" s="1" t="s">
        <v>132</v>
      </c>
      <c r="Y997" s="1" t="s">
        <v>132</v>
      </c>
      <c r="Z997" s="1" t="s">
        <v>132</v>
      </c>
      <c r="AA997" s="1" t="s">
        <v>132</v>
      </c>
      <c r="AB997" s="1" t="s">
        <v>132</v>
      </c>
      <c r="AC997" s="1" t="s">
        <v>132</v>
      </c>
      <c r="AD997" s="1" t="s">
        <v>132</v>
      </c>
      <c r="AE997" s="1" t="s">
        <v>132</v>
      </c>
      <c r="AF997" s="1" t="s">
        <v>132</v>
      </c>
      <c r="AG997" s="1" t="s">
        <v>132</v>
      </c>
      <c r="AH997" s="1" t="s">
        <v>132</v>
      </c>
      <c r="AI997" s="1" t="s">
        <v>132</v>
      </c>
      <c r="AJ997" s="1" t="s">
        <v>132</v>
      </c>
      <c r="AK997" s="1" t="s">
        <v>132</v>
      </c>
      <c r="AL997" s="1" t="s">
        <v>132</v>
      </c>
      <c r="AM997" s="1" t="s">
        <v>132</v>
      </c>
      <c r="AN997" s="1" t="s">
        <v>132</v>
      </c>
    </row>
    <row r="998" ht="15.75" customHeight="1">
      <c r="A998" s="1" t="s">
        <v>38</v>
      </c>
      <c r="B998" s="1" t="s">
        <v>20314</v>
      </c>
      <c r="C998" s="1" t="s">
        <v>20315</v>
      </c>
      <c r="D998" s="1" t="s">
        <v>132</v>
      </c>
      <c r="E998" s="1" t="s">
        <v>20316</v>
      </c>
      <c r="F998" s="1" t="s">
        <v>20317</v>
      </c>
      <c r="G998" s="1" t="s">
        <v>132</v>
      </c>
      <c r="H998" s="1" t="s">
        <v>132</v>
      </c>
      <c r="I998" s="1" t="s">
        <v>20318</v>
      </c>
      <c r="J998" s="1" t="s">
        <v>132</v>
      </c>
      <c r="K998" s="1" t="s">
        <v>20319</v>
      </c>
      <c r="L998" s="1" t="s">
        <v>132</v>
      </c>
      <c r="M998" s="1" t="s">
        <v>20315</v>
      </c>
      <c r="N998" s="1" t="s">
        <v>20319</v>
      </c>
      <c r="O998" s="1" t="s">
        <v>132</v>
      </c>
      <c r="P998" s="1" t="s">
        <v>114</v>
      </c>
      <c r="Q998" s="1" t="s">
        <v>132</v>
      </c>
      <c r="R998" s="1" t="s">
        <v>132</v>
      </c>
      <c r="S998" s="1" t="s">
        <v>20320</v>
      </c>
      <c r="T998" s="1" t="s">
        <v>132</v>
      </c>
      <c r="U998" s="1" t="s">
        <v>7199</v>
      </c>
      <c r="V998" s="1" t="s">
        <v>132</v>
      </c>
      <c r="W998" s="1" t="s">
        <v>132</v>
      </c>
      <c r="X998" s="1" t="s">
        <v>20315</v>
      </c>
      <c r="Y998" s="1" t="s">
        <v>132</v>
      </c>
      <c r="Z998" s="1" t="s">
        <v>20318</v>
      </c>
      <c r="AA998" s="1" t="s">
        <v>20319</v>
      </c>
      <c r="AB998" s="1" t="s">
        <v>132</v>
      </c>
      <c r="AC998" s="1" t="s">
        <v>20316</v>
      </c>
      <c r="AD998" s="1" t="s">
        <v>132</v>
      </c>
      <c r="AE998" s="1" t="s">
        <v>132</v>
      </c>
      <c r="AF998" s="1" t="s">
        <v>20316</v>
      </c>
      <c r="AG998" s="1" t="s">
        <v>132</v>
      </c>
      <c r="AH998" s="1" t="s">
        <v>132</v>
      </c>
      <c r="AI998" s="1" t="s">
        <v>132</v>
      </c>
      <c r="AJ998" s="1" t="s">
        <v>132</v>
      </c>
      <c r="AK998" s="1" t="s">
        <v>132</v>
      </c>
      <c r="AL998" s="1" t="s">
        <v>132</v>
      </c>
      <c r="AM998" s="1" t="s">
        <v>132</v>
      </c>
      <c r="AN998" s="1" t="s">
        <v>132</v>
      </c>
    </row>
    <row r="999" ht="15.75" customHeight="1">
      <c r="A999" s="1" t="s">
        <v>38</v>
      </c>
      <c r="B999" s="1" t="s">
        <v>20321</v>
      </c>
      <c r="C999" s="1" t="s">
        <v>20322</v>
      </c>
      <c r="D999" s="8" t="s">
        <v>20323</v>
      </c>
      <c r="E999" s="1" t="s">
        <v>20324</v>
      </c>
      <c r="F999" s="1" t="s">
        <v>20325</v>
      </c>
      <c r="G999" s="1" t="s">
        <v>132</v>
      </c>
      <c r="H999" s="1" t="s">
        <v>132</v>
      </c>
      <c r="I999" s="1" t="s">
        <v>20326</v>
      </c>
      <c r="J999" s="1" t="s">
        <v>132</v>
      </c>
      <c r="K999" s="1" t="s">
        <v>20327</v>
      </c>
      <c r="L999" s="1" t="s">
        <v>132</v>
      </c>
      <c r="M999" s="1" t="s">
        <v>20328</v>
      </c>
      <c r="N999" s="1" t="s">
        <v>20329</v>
      </c>
      <c r="O999" s="1" t="s">
        <v>132</v>
      </c>
      <c r="P999" s="1" t="s">
        <v>20330</v>
      </c>
      <c r="Q999" s="1" t="s">
        <v>132</v>
      </c>
      <c r="R999" s="1" t="s">
        <v>132</v>
      </c>
      <c r="S999" s="1" t="s">
        <v>20331</v>
      </c>
      <c r="T999" s="1" t="s">
        <v>132</v>
      </c>
      <c r="U999" s="1" t="s">
        <v>20332</v>
      </c>
      <c r="V999" s="1" t="s">
        <v>132</v>
      </c>
      <c r="W999" s="1" t="s">
        <v>132</v>
      </c>
      <c r="X999" s="1" t="s">
        <v>20333</v>
      </c>
      <c r="Y999" s="1" t="s">
        <v>132</v>
      </c>
      <c r="Z999" s="1" t="s">
        <v>20334</v>
      </c>
      <c r="AA999" s="1" t="s">
        <v>20335</v>
      </c>
      <c r="AB999" s="1" t="s">
        <v>132</v>
      </c>
      <c r="AC999" s="1" t="s">
        <v>20336</v>
      </c>
      <c r="AD999" s="1" t="s">
        <v>132</v>
      </c>
      <c r="AE999" s="1" t="s">
        <v>132</v>
      </c>
      <c r="AF999" s="1" t="s">
        <v>20337</v>
      </c>
      <c r="AG999" s="1" t="s">
        <v>132</v>
      </c>
      <c r="AH999" s="1" t="s">
        <v>132</v>
      </c>
      <c r="AI999" s="1" t="s">
        <v>132</v>
      </c>
      <c r="AJ999" s="1" t="s">
        <v>132</v>
      </c>
      <c r="AK999" s="1" t="s">
        <v>132</v>
      </c>
      <c r="AL999" s="1" t="s">
        <v>132</v>
      </c>
      <c r="AM999" s="1" t="s">
        <v>132</v>
      </c>
      <c r="AN999" s="1" t="s">
        <v>132</v>
      </c>
    </row>
    <row r="1000" ht="15.75" customHeight="1">
      <c r="A1000" s="1" t="s">
        <v>127</v>
      </c>
      <c r="B1000" s="1" t="s">
        <v>20338</v>
      </c>
      <c r="C1000" s="1" t="s">
        <v>20339</v>
      </c>
      <c r="D1000" s="8" t="s">
        <v>20340</v>
      </c>
      <c r="E1000" s="1" t="s">
        <v>20341</v>
      </c>
      <c r="F1000" s="1" t="s">
        <v>132</v>
      </c>
      <c r="G1000" s="1" t="s">
        <v>20342</v>
      </c>
      <c r="H1000" s="1" t="s">
        <v>20343</v>
      </c>
      <c r="I1000" s="1" t="s">
        <v>20344</v>
      </c>
      <c r="J1000" s="1" t="s">
        <v>20345</v>
      </c>
      <c r="K1000" s="1" t="s">
        <v>20346</v>
      </c>
      <c r="L1000" s="1" t="s">
        <v>20347</v>
      </c>
      <c r="M1000" s="1" t="s">
        <v>20348</v>
      </c>
      <c r="N1000" s="1" t="s">
        <v>132</v>
      </c>
      <c r="O1000" s="1" t="s">
        <v>20349</v>
      </c>
      <c r="P1000" s="1" t="s">
        <v>20350</v>
      </c>
      <c r="Q1000" s="1" t="s">
        <v>132</v>
      </c>
      <c r="R1000" s="1" t="s">
        <v>20351</v>
      </c>
      <c r="S1000" s="1" t="s">
        <v>20352</v>
      </c>
      <c r="T1000" s="8" t="s">
        <v>20353</v>
      </c>
      <c r="U1000" s="1" t="s">
        <v>17631</v>
      </c>
      <c r="V1000" s="1" t="s">
        <v>20354</v>
      </c>
      <c r="W1000" s="1" t="s">
        <v>20351</v>
      </c>
      <c r="X1000" s="1" t="s">
        <v>20355</v>
      </c>
      <c r="Y1000" s="1" t="s">
        <v>20356</v>
      </c>
      <c r="Z1000" s="1" t="s">
        <v>20357</v>
      </c>
      <c r="AA1000" s="1" t="s">
        <v>20358</v>
      </c>
      <c r="AB1000" s="1" t="s">
        <v>20359</v>
      </c>
      <c r="AC1000" s="1" t="s">
        <v>20360</v>
      </c>
      <c r="AD1000" s="1" t="s">
        <v>20361</v>
      </c>
      <c r="AE1000" s="1" t="s">
        <v>20362</v>
      </c>
      <c r="AF1000" s="1" t="s">
        <v>20363</v>
      </c>
      <c r="AG1000" s="1" t="s">
        <v>20356</v>
      </c>
      <c r="AH1000" s="1" t="s">
        <v>20364</v>
      </c>
      <c r="AI1000" s="1" t="s">
        <v>20365</v>
      </c>
      <c r="AJ1000" s="1" t="s">
        <v>132</v>
      </c>
      <c r="AK1000" s="1" t="s">
        <v>20366</v>
      </c>
      <c r="AL1000" s="1" t="s">
        <v>20367</v>
      </c>
      <c r="AM1000" s="1" t="s">
        <v>20368</v>
      </c>
      <c r="AN1000" s="1" t="s">
        <v>20368</v>
      </c>
    </row>
    <row r="1001" ht="15.75" customHeight="1">
      <c r="A1001" s="1" t="s">
        <v>38</v>
      </c>
      <c r="B1001" s="1" t="s">
        <v>20369</v>
      </c>
      <c r="C1001" s="1" t="s">
        <v>20370</v>
      </c>
      <c r="D1001" s="8" t="s">
        <v>20371</v>
      </c>
      <c r="E1001" s="1" t="s">
        <v>20372</v>
      </c>
      <c r="F1001" s="1" t="s">
        <v>20373</v>
      </c>
      <c r="G1001" s="1" t="s">
        <v>132</v>
      </c>
      <c r="H1001" s="1" t="s">
        <v>132</v>
      </c>
      <c r="I1001" s="1" t="s">
        <v>20374</v>
      </c>
      <c r="J1001" s="1" t="s">
        <v>132</v>
      </c>
      <c r="K1001" s="1" t="s">
        <v>20375</v>
      </c>
      <c r="L1001" s="1" t="s">
        <v>132</v>
      </c>
      <c r="M1001" s="1" t="s">
        <v>20376</v>
      </c>
      <c r="N1001" s="1" t="s">
        <v>20377</v>
      </c>
      <c r="O1001" s="1" t="s">
        <v>132</v>
      </c>
      <c r="P1001" s="1" t="s">
        <v>20378</v>
      </c>
      <c r="Q1001" s="1" t="s">
        <v>1467</v>
      </c>
      <c r="R1001" s="1" t="s">
        <v>132</v>
      </c>
      <c r="S1001" s="1" t="s">
        <v>20379</v>
      </c>
      <c r="T1001" s="1" t="s">
        <v>132</v>
      </c>
      <c r="U1001" s="1" t="s">
        <v>20380</v>
      </c>
      <c r="V1001" s="1" t="s">
        <v>1470</v>
      </c>
      <c r="W1001" s="1" t="s">
        <v>132</v>
      </c>
      <c r="X1001" s="1" t="s">
        <v>20381</v>
      </c>
      <c r="Y1001" s="1" t="s">
        <v>132</v>
      </c>
      <c r="Z1001" s="1" t="s">
        <v>20382</v>
      </c>
      <c r="AA1001" s="1" t="s">
        <v>20383</v>
      </c>
      <c r="AB1001" s="1" t="s">
        <v>132</v>
      </c>
      <c r="AC1001" s="1" t="s">
        <v>20384</v>
      </c>
      <c r="AD1001" s="1" t="s">
        <v>20385</v>
      </c>
      <c r="AE1001" s="1" t="s">
        <v>132</v>
      </c>
      <c r="AF1001" s="1" t="s">
        <v>20386</v>
      </c>
      <c r="AG1001" s="1" t="s">
        <v>20387</v>
      </c>
      <c r="AH1001" s="1" t="s">
        <v>132</v>
      </c>
      <c r="AI1001" s="1" t="s">
        <v>132</v>
      </c>
      <c r="AJ1001" s="1" t="s">
        <v>20388</v>
      </c>
      <c r="AK1001" s="1" t="s">
        <v>1479</v>
      </c>
      <c r="AL1001" s="1" t="s">
        <v>132</v>
      </c>
      <c r="AM1001" s="1" t="s">
        <v>1480</v>
      </c>
      <c r="AN1001" s="1" t="s">
        <v>1480</v>
      </c>
    </row>
    <row r="1002" ht="15.75" customHeight="1">
      <c r="A1002" s="1" t="s">
        <v>38</v>
      </c>
      <c r="B1002" s="1" t="s">
        <v>20389</v>
      </c>
      <c r="C1002" s="1" t="s">
        <v>20390</v>
      </c>
      <c r="D1002" s="8" t="s">
        <v>20391</v>
      </c>
      <c r="E1002" s="1" t="s">
        <v>20392</v>
      </c>
      <c r="F1002" s="1" t="s">
        <v>20393</v>
      </c>
      <c r="G1002" s="1" t="s">
        <v>132</v>
      </c>
      <c r="H1002" s="1" t="s">
        <v>132</v>
      </c>
      <c r="I1002" s="1" t="s">
        <v>20394</v>
      </c>
      <c r="J1002" s="1" t="s">
        <v>132</v>
      </c>
      <c r="K1002" s="1" t="s">
        <v>20395</v>
      </c>
      <c r="L1002" s="1" t="s">
        <v>132</v>
      </c>
      <c r="M1002" s="1" t="s">
        <v>20396</v>
      </c>
      <c r="N1002" s="1" t="s">
        <v>20397</v>
      </c>
      <c r="O1002" s="1" t="s">
        <v>132</v>
      </c>
      <c r="P1002" s="1" t="s">
        <v>20398</v>
      </c>
      <c r="Q1002" s="1" t="s">
        <v>20399</v>
      </c>
      <c r="R1002" s="1" t="s">
        <v>132</v>
      </c>
      <c r="S1002" s="1" t="s">
        <v>20400</v>
      </c>
      <c r="T1002" s="1" t="s">
        <v>132</v>
      </c>
      <c r="U1002" s="1" t="s">
        <v>20401</v>
      </c>
      <c r="V1002" s="1" t="s">
        <v>20402</v>
      </c>
      <c r="W1002" s="1" t="s">
        <v>132</v>
      </c>
      <c r="X1002" s="1" t="s">
        <v>20403</v>
      </c>
      <c r="Y1002" s="1" t="s">
        <v>132</v>
      </c>
      <c r="Z1002" s="1" t="s">
        <v>20404</v>
      </c>
      <c r="AA1002" s="1" t="s">
        <v>20405</v>
      </c>
      <c r="AB1002" s="1" t="s">
        <v>132</v>
      </c>
      <c r="AC1002" s="1" t="s">
        <v>11426</v>
      </c>
      <c r="AD1002" s="1" t="s">
        <v>132</v>
      </c>
      <c r="AE1002" s="1" t="s">
        <v>132</v>
      </c>
      <c r="AF1002" s="1" t="s">
        <v>20406</v>
      </c>
      <c r="AG1002" s="1" t="s">
        <v>20407</v>
      </c>
      <c r="AH1002" s="1" t="s">
        <v>132</v>
      </c>
      <c r="AI1002" s="1" t="s">
        <v>132</v>
      </c>
      <c r="AJ1002" s="1" t="s">
        <v>20408</v>
      </c>
      <c r="AK1002" s="1" t="s">
        <v>20409</v>
      </c>
      <c r="AL1002" s="1" t="s">
        <v>132</v>
      </c>
      <c r="AM1002" s="1" t="s">
        <v>20410</v>
      </c>
      <c r="AN1002" s="1" t="s">
        <v>20410</v>
      </c>
    </row>
    <row r="1003" ht="15.75" customHeight="1">
      <c r="A1003" s="1" t="s">
        <v>38</v>
      </c>
      <c r="B1003" s="1" t="s">
        <v>20411</v>
      </c>
      <c r="C1003" s="1" t="s">
        <v>20412</v>
      </c>
      <c r="D1003" s="8" t="s">
        <v>20413</v>
      </c>
      <c r="E1003" s="1" t="s">
        <v>20414</v>
      </c>
      <c r="F1003" s="1" t="s">
        <v>20415</v>
      </c>
      <c r="G1003" s="1" t="s">
        <v>132</v>
      </c>
      <c r="H1003" s="1" t="s">
        <v>132</v>
      </c>
      <c r="I1003" s="1" t="s">
        <v>20416</v>
      </c>
      <c r="J1003" s="1" t="s">
        <v>132</v>
      </c>
      <c r="K1003" s="1" t="s">
        <v>20417</v>
      </c>
      <c r="L1003" s="1" t="s">
        <v>132</v>
      </c>
      <c r="M1003" s="1" t="s">
        <v>20418</v>
      </c>
      <c r="N1003" s="1" t="s">
        <v>20419</v>
      </c>
      <c r="O1003" s="1" t="s">
        <v>132</v>
      </c>
      <c r="P1003" s="1" t="s">
        <v>20420</v>
      </c>
      <c r="Q1003" s="1" t="s">
        <v>132</v>
      </c>
      <c r="R1003" s="1" t="s">
        <v>132</v>
      </c>
      <c r="S1003" s="1" t="s">
        <v>20421</v>
      </c>
      <c r="T1003" s="1" t="s">
        <v>132</v>
      </c>
      <c r="U1003" s="1" t="s">
        <v>20422</v>
      </c>
      <c r="V1003" s="1" t="s">
        <v>132</v>
      </c>
      <c r="W1003" s="1" t="s">
        <v>132</v>
      </c>
      <c r="X1003" s="1" t="s">
        <v>20423</v>
      </c>
      <c r="Y1003" s="1" t="s">
        <v>132</v>
      </c>
      <c r="Z1003" s="1" t="s">
        <v>20424</v>
      </c>
      <c r="AA1003" s="1" t="s">
        <v>20425</v>
      </c>
      <c r="AB1003" s="1" t="s">
        <v>132</v>
      </c>
      <c r="AC1003" s="1" t="s">
        <v>20426</v>
      </c>
      <c r="AD1003" s="1" t="s">
        <v>132</v>
      </c>
      <c r="AE1003" s="1" t="s">
        <v>132</v>
      </c>
      <c r="AF1003" s="1" t="s">
        <v>20427</v>
      </c>
      <c r="AG1003" s="1" t="s">
        <v>132</v>
      </c>
      <c r="AH1003" s="1" t="s">
        <v>132</v>
      </c>
      <c r="AI1003" s="1" t="s">
        <v>132</v>
      </c>
      <c r="AJ1003" s="1" t="s">
        <v>132</v>
      </c>
      <c r="AK1003" s="1" t="s">
        <v>132</v>
      </c>
      <c r="AL1003" s="1" t="s">
        <v>132</v>
      </c>
      <c r="AM1003" s="1" t="s">
        <v>132</v>
      </c>
      <c r="AN1003" s="1" t="s">
        <v>132</v>
      </c>
    </row>
    <row r="1004" ht="15.75" customHeight="1">
      <c r="A1004" s="1" t="s">
        <v>127</v>
      </c>
      <c r="B1004" s="1" t="s">
        <v>20428</v>
      </c>
      <c r="C1004" s="1" t="s">
        <v>20429</v>
      </c>
      <c r="D1004" s="8" t="s">
        <v>20430</v>
      </c>
      <c r="E1004" s="1" t="s">
        <v>20431</v>
      </c>
      <c r="F1004" s="1" t="s">
        <v>132</v>
      </c>
      <c r="G1004" s="1" t="s">
        <v>20432</v>
      </c>
      <c r="H1004" s="1" t="s">
        <v>20433</v>
      </c>
      <c r="I1004" s="1" t="s">
        <v>20434</v>
      </c>
      <c r="J1004" s="1" t="s">
        <v>20435</v>
      </c>
      <c r="K1004" s="1" t="s">
        <v>20436</v>
      </c>
      <c r="L1004" s="1" t="s">
        <v>20437</v>
      </c>
      <c r="M1004" s="1" t="s">
        <v>20438</v>
      </c>
      <c r="N1004" s="1" t="s">
        <v>132</v>
      </c>
      <c r="O1004" s="1" t="s">
        <v>20439</v>
      </c>
      <c r="P1004" s="1" t="s">
        <v>20440</v>
      </c>
      <c r="Q1004" s="1" t="s">
        <v>132</v>
      </c>
      <c r="R1004" s="1" t="s">
        <v>20441</v>
      </c>
      <c r="S1004" s="1" t="s">
        <v>20442</v>
      </c>
      <c r="T1004" s="8" t="s">
        <v>20443</v>
      </c>
      <c r="U1004" s="1" t="s">
        <v>20444</v>
      </c>
      <c r="V1004" s="1" t="s">
        <v>20445</v>
      </c>
      <c r="W1004" s="1" t="s">
        <v>20441</v>
      </c>
      <c r="X1004" s="1" t="s">
        <v>20446</v>
      </c>
      <c r="Y1004" s="1" t="s">
        <v>20447</v>
      </c>
      <c r="Z1004" s="1" t="s">
        <v>20448</v>
      </c>
      <c r="AA1004" s="1" t="s">
        <v>20449</v>
      </c>
      <c r="AB1004" s="1" t="s">
        <v>20450</v>
      </c>
      <c r="AC1004" s="1" t="s">
        <v>20451</v>
      </c>
      <c r="AD1004" s="1" t="s">
        <v>20452</v>
      </c>
      <c r="AE1004" s="1" t="s">
        <v>20453</v>
      </c>
      <c r="AF1004" s="1" t="s">
        <v>20454</v>
      </c>
      <c r="AG1004" s="1" t="s">
        <v>20455</v>
      </c>
      <c r="AH1004" s="1" t="s">
        <v>20456</v>
      </c>
      <c r="AI1004" s="1" t="s">
        <v>20457</v>
      </c>
      <c r="AJ1004" s="1" t="s">
        <v>132</v>
      </c>
      <c r="AK1004" s="1" t="s">
        <v>20458</v>
      </c>
      <c r="AL1004" s="1" t="s">
        <v>20459</v>
      </c>
      <c r="AM1004" s="1" t="s">
        <v>20460</v>
      </c>
      <c r="AN1004" s="1" t="s">
        <v>20460</v>
      </c>
    </row>
    <row r="1005" ht="15.75" customHeight="1">
      <c r="A1005" s="1" t="s">
        <v>127</v>
      </c>
      <c r="B1005" s="1" t="s">
        <v>20461</v>
      </c>
      <c r="C1005" s="1" t="s">
        <v>20462</v>
      </c>
      <c r="D1005" s="8" t="s">
        <v>20463</v>
      </c>
      <c r="E1005" s="1" t="s">
        <v>20464</v>
      </c>
      <c r="F1005" s="1" t="s">
        <v>132</v>
      </c>
      <c r="G1005" s="1" t="s">
        <v>20465</v>
      </c>
      <c r="H1005" s="1" t="s">
        <v>20466</v>
      </c>
      <c r="I1005" s="1" t="s">
        <v>20467</v>
      </c>
      <c r="J1005" s="1" t="s">
        <v>20468</v>
      </c>
      <c r="K1005" s="1" t="s">
        <v>20469</v>
      </c>
      <c r="L1005" s="1" t="s">
        <v>20470</v>
      </c>
      <c r="M1005" s="1" t="s">
        <v>20471</v>
      </c>
      <c r="N1005" s="1" t="s">
        <v>132</v>
      </c>
      <c r="O1005" s="1" t="s">
        <v>20472</v>
      </c>
      <c r="P1005" s="1" t="s">
        <v>20473</v>
      </c>
      <c r="Q1005" s="1" t="s">
        <v>132</v>
      </c>
      <c r="R1005" s="1" t="s">
        <v>20474</v>
      </c>
      <c r="S1005" s="1" t="s">
        <v>20475</v>
      </c>
      <c r="T1005" s="8" t="s">
        <v>20476</v>
      </c>
      <c r="U1005" s="1" t="s">
        <v>20477</v>
      </c>
      <c r="V1005" s="1" t="s">
        <v>20478</v>
      </c>
      <c r="W1005" s="1" t="s">
        <v>20479</v>
      </c>
      <c r="X1005" s="1" t="s">
        <v>20480</v>
      </c>
      <c r="Y1005" s="1" t="s">
        <v>20481</v>
      </c>
      <c r="Z1005" s="1" t="s">
        <v>20482</v>
      </c>
      <c r="AA1005" s="1" t="s">
        <v>20483</v>
      </c>
      <c r="AB1005" s="1" t="s">
        <v>20484</v>
      </c>
      <c r="AC1005" s="1" t="s">
        <v>20485</v>
      </c>
      <c r="AD1005" s="1" t="s">
        <v>20486</v>
      </c>
      <c r="AE1005" s="1" t="s">
        <v>20465</v>
      </c>
      <c r="AF1005" s="1" t="s">
        <v>20487</v>
      </c>
      <c r="AG1005" s="1" t="s">
        <v>20488</v>
      </c>
      <c r="AH1005" s="1" t="s">
        <v>20489</v>
      </c>
      <c r="AI1005" s="1" t="s">
        <v>20490</v>
      </c>
      <c r="AJ1005" s="1" t="s">
        <v>132</v>
      </c>
      <c r="AK1005" s="1" t="s">
        <v>20491</v>
      </c>
      <c r="AL1005" s="1" t="s">
        <v>20492</v>
      </c>
      <c r="AM1005" s="1" t="s">
        <v>20493</v>
      </c>
      <c r="AN1005" s="1" t="s">
        <v>20493</v>
      </c>
    </row>
    <row r="1006" ht="15.75" customHeight="1">
      <c r="A1006" s="1" t="s">
        <v>127</v>
      </c>
      <c r="B1006" s="1" t="s">
        <v>20494</v>
      </c>
      <c r="C1006" s="1" t="s">
        <v>20495</v>
      </c>
      <c r="D1006" s="8" t="s">
        <v>20496</v>
      </c>
      <c r="E1006" s="1" t="s">
        <v>20497</v>
      </c>
      <c r="F1006" s="1" t="s">
        <v>132</v>
      </c>
      <c r="G1006" s="1" t="s">
        <v>20498</v>
      </c>
      <c r="H1006" s="1" t="s">
        <v>20499</v>
      </c>
      <c r="I1006" s="1" t="s">
        <v>20500</v>
      </c>
      <c r="J1006" s="1" t="s">
        <v>20501</v>
      </c>
      <c r="K1006" s="1" t="s">
        <v>20502</v>
      </c>
      <c r="L1006" s="1" t="s">
        <v>20503</v>
      </c>
      <c r="M1006" s="1" t="s">
        <v>20504</v>
      </c>
      <c r="N1006" s="1" t="s">
        <v>132</v>
      </c>
      <c r="O1006" s="1" t="s">
        <v>20505</v>
      </c>
      <c r="P1006" s="1" t="s">
        <v>20506</v>
      </c>
      <c r="Q1006" s="1" t="s">
        <v>132</v>
      </c>
      <c r="R1006" s="1" t="s">
        <v>20507</v>
      </c>
      <c r="S1006" s="1" t="s">
        <v>20508</v>
      </c>
      <c r="T1006" s="8" t="s">
        <v>20509</v>
      </c>
      <c r="U1006" s="1" t="s">
        <v>20510</v>
      </c>
      <c r="V1006" s="1" t="s">
        <v>20511</v>
      </c>
      <c r="W1006" s="1" t="s">
        <v>20512</v>
      </c>
      <c r="X1006" s="1" t="s">
        <v>20513</v>
      </c>
      <c r="Y1006" s="1" t="s">
        <v>20499</v>
      </c>
      <c r="Z1006" s="1" t="s">
        <v>20514</v>
      </c>
      <c r="AA1006" s="1" t="s">
        <v>20515</v>
      </c>
      <c r="AB1006" s="1" t="s">
        <v>20516</v>
      </c>
      <c r="AC1006" s="1" t="s">
        <v>20517</v>
      </c>
      <c r="AD1006" s="1" t="s">
        <v>20518</v>
      </c>
      <c r="AE1006" s="1" t="s">
        <v>20519</v>
      </c>
      <c r="AF1006" s="1" t="s">
        <v>20520</v>
      </c>
      <c r="AG1006" s="1" t="s">
        <v>20499</v>
      </c>
      <c r="AH1006" s="1" t="s">
        <v>20521</v>
      </c>
      <c r="AI1006" s="1" t="s">
        <v>20522</v>
      </c>
      <c r="AJ1006" s="1" t="s">
        <v>132</v>
      </c>
      <c r="AK1006" s="1" t="s">
        <v>20523</v>
      </c>
      <c r="AL1006" s="1" t="s">
        <v>20524</v>
      </c>
      <c r="AM1006" s="1" t="s">
        <v>20525</v>
      </c>
      <c r="AN1006" s="1" t="s">
        <v>20525</v>
      </c>
    </row>
    <row r="1007" ht="15.75" customHeight="1">
      <c r="A1007" s="1" t="s">
        <v>127</v>
      </c>
      <c r="B1007" s="1" t="s">
        <v>20526</v>
      </c>
      <c r="C1007" s="1" t="s">
        <v>20527</v>
      </c>
      <c r="D1007" s="8" t="s">
        <v>20528</v>
      </c>
      <c r="E1007" s="1" t="s">
        <v>20529</v>
      </c>
      <c r="F1007" s="1" t="s">
        <v>132</v>
      </c>
      <c r="G1007" s="1" t="s">
        <v>20530</v>
      </c>
      <c r="H1007" s="1" t="s">
        <v>20531</v>
      </c>
      <c r="I1007" s="1" t="s">
        <v>20532</v>
      </c>
      <c r="J1007" s="1" t="s">
        <v>20533</v>
      </c>
      <c r="K1007" s="1" t="s">
        <v>20534</v>
      </c>
      <c r="L1007" s="1" t="s">
        <v>20535</v>
      </c>
      <c r="M1007" s="1" t="s">
        <v>20536</v>
      </c>
      <c r="N1007" s="1" t="s">
        <v>132</v>
      </c>
      <c r="O1007" s="1" t="s">
        <v>20537</v>
      </c>
      <c r="P1007" s="1" t="s">
        <v>20538</v>
      </c>
      <c r="Q1007" s="1" t="s">
        <v>132</v>
      </c>
      <c r="R1007" s="1" t="s">
        <v>20539</v>
      </c>
      <c r="S1007" s="1" t="s">
        <v>20540</v>
      </c>
      <c r="T1007" s="8" t="s">
        <v>20541</v>
      </c>
      <c r="U1007" s="1" t="s">
        <v>20542</v>
      </c>
      <c r="V1007" s="1" t="s">
        <v>20543</v>
      </c>
      <c r="W1007" s="1" t="s">
        <v>20544</v>
      </c>
      <c r="X1007" s="1" t="s">
        <v>20545</v>
      </c>
      <c r="Y1007" s="1" t="s">
        <v>20531</v>
      </c>
      <c r="Z1007" s="1" t="s">
        <v>20546</v>
      </c>
      <c r="AA1007" s="1" t="s">
        <v>20547</v>
      </c>
      <c r="AB1007" s="1" t="s">
        <v>20548</v>
      </c>
      <c r="AC1007" s="1" t="s">
        <v>20549</v>
      </c>
      <c r="AD1007" s="1" t="s">
        <v>20550</v>
      </c>
      <c r="AE1007" s="1" t="s">
        <v>10081</v>
      </c>
      <c r="AF1007" s="1" t="s">
        <v>4396</v>
      </c>
      <c r="AG1007" s="1" t="s">
        <v>20551</v>
      </c>
      <c r="AH1007" s="1" t="s">
        <v>20552</v>
      </c>
      <c r="AI1007" s="1" t="s">
        <v>20553</v>
      </c>
      <c r="AJ1007" s="1" t="s">
        <v>132</v>
      </c>
      <c r="AK1007" s="1" t="s">
        <v>20554</v>
      </c>
      <c r="AL1007" s="1" t="s">
        <v>20555</v>
      </c>
      <c r="AM1007" s="1" t="s">
        <v>20556</v>
      </c>
      <c r="AN1007" s="1" t="s">
        <v>20556</v>
      </c>
    </row>
    <row r="1008" ht="15.75" customHeight="1">
      <c r="A1008" s="1" t="s">
        <v>38</v>
      </c>
      <c r="B1008" s="1" t="s">
        <v>20557</v>
      </c>
      <c r="C1008" s="1" t="s">
        <v>20558</v>
      </c>
      <c r="D1008" s="1" t="s">
        <v>132</v>
      </c>
      <c r="E1008" s="1" t="s">
        <v>20559</v>
      </c>
      <c r="F1008" s="1" t="s">
        <v>132</v>
      </c>
      <c r="G1008" s="1" t="s">
        <v>132</v>
      </c>
      <c r="H1008" s="1" t="s">
        <v>132</v>
      </c>
      <c r="I1008" s="1" t="s">
        <v>20560</v>
      </c>
      <c r="J1008" s="1" t="s">
        <v>132</v>
      </c>
      <c r="K1008" s="1" t="s">
        <v>20561</v>
      </c>
      <c r="L1008" s="1" t="s">
        <v>132</v>
      </c>
      <c r="M1008" s="1" t="s">
        <v>20562</v>
      </c>
      <c r="N1008" s="1" t="s">
        <v>20563</v>
      </c>
      <c r="O1008" s="1" t="s">
        <v>132</v>
      </c>
      <c r="P1008" s="1" t="s">
        <v>20564</v>
      </c>
      <c r="Q1008" s="1" t="s">
        <v>132</v>
      </c>
      <c r="R1008" s="1" t="s">
        <v>132</v>
      </c>
      <c r="S1008" s="1" t="s">
        <v>20565</v>
      </c>
      <c r="T1008" s="1" t="s">
        <v>132</v>
      </c>
      <c r="U1008" s="1" t="s">
        <v>132</v>
      </c>
      <c r="V1008" s="1" t="s">
        <v>132</v>
      </c>
      <c r="W1008" s="1" t="s">
        <v>132</v>
      </c>
      <c r="X1008" s="1" t="s">
        <v>20566</v>
      </c>
      <c r="Y1008" s="1" t="s">
        <v>132</v>
      </c>
      <c r="Z1008" s="1" t="s">
        <v>20567</v>
      </c>
      <c r="AA1008" s="1" t="s">
        <v>132</v>
      </c>
      <c r="AB1008" s="1" t="s">
        <v>132</v>
      </c>
      <c r="AC1008" s="1" t="s">
        <v>132</v>
      </c>
      <c r="AD1008" s="1" t="s">
        <v>132</v>
      </c>
      <c r="AE1008" s="1" t="s">
        <v>132</v>
      </c>
      <c r="AF1008" s="1" t="s">
        <v>132</v>
      </c>
      <c r="AG1008" s="1" t="s">
        <v>132</v>
      </c>
      <c r="AH1008" s="1" t="s">
        <v>132</v>
      </c>
      <c r="AI1008" s="1" t="s">
        <v>132</v>
      </c>
      <c r="AJ1008" s="1" t="s">
        <v>132</v>
      </c>
      <c r="AK1008" s="1" t="s">
        <v>132</v>
      </c>
      <c r="AL1008" s="1" t="s">
        <v>132</v>
      </c>
      <c r="AM1008" s="1" t="s">
        <v>132</v>
      </c>
      <c r="AN1008" s="1" t="s">
        <v>132</v>
      </c>
    </row>
    <row r="1009" ht="15.75" customHeight="1">
      <c r="A1009" s="1" t="s">
        <v>38</v>
      </c>
      <c r="B1009" s="1" t="s">
        <v>20568</v>
      </c>
      <c r="C1009" s="1" t="s">
        <v>20569</v>
      </c>
      <c r="D1009" s="1" t="s">
        <v>132</v>
      </c>
      <c r="E1009" s="1" t="s">
        <v>20570</v>
      </c>
      <c r="F1009" s="1" t="s">
        <v>20571</v>
      </c>
      <c r="G1009" s="1" t="s">
        <v>132</v>
      </c>
      <c r="H1009" s="1" t="s">
        <v>132</v>
      </c>
      <c r="I1009" s="1" t="s">
        <v>20572</v>
      </c>
      <c r="J1009" s="1" t="s">
        <v>132</v>
      </c>
      <c r="K1009" s="1" t="s">
        <v>20573</v>
      </c>
      <c r="L1009" s="1" t="s">
        <v>132</v>
      </c>
      <c r="M1009" s="1" t="s">
        <v>20574</v>
      </c>
      <c r="N1009" s="1" t="s">
        <v>20575</v>
      </c>
      <c r="O1009" s="1" t="s">
        <v>132</v>
      </c>
      <c r="P1009" s="1" t="s">
        <v>20576</v>
      </c>
      <c r="Q1009" s="1" t="s">
        <v>132</v>
      </c>
      <c r="R1009" s="1" t="s">
        <v>132</v>
      </c>
      <c r="S1009" s="1" t="s">
        <v>20577</v>
      </c>
      <c r="T1009" s="1" t="s">
        <v>132</v>
      </c>
      <c r="U1009" s="1" t="s">
        <v>132</v>
      </c>
      <c r="V1009" s="1" t="s">
        <v>132</v>
      </c>
      <c r="W1009" s="1" t="s">
        <v>132</v>
      </c>
      <c r="X1009" s="1" t="s">
        <v>20578</v>
      </c>
      <c r="Y1009" s="1" t="s">
        <v>132</v>
      </c>
      <c r="Z1009" s="1" t="s">
        <v>20579</v>
      </c>
      <c r="AA1009" s="1" t="s">
        <v>132</v>
      </c>
      <c r="AB1009" s="1" t="s">
        <v>132</v>
      </c>
      <c r="AC1009" s="1" t="s">
        <v>132</v>
      </c>
      <c r="AD1009" s="1" t="s">
        <v>132</v>
      </c>
      <c r="AE1009" s="1" t="s">
        <v>132</v>
      </c>
      <c r="AF1009" s="1" t="s">
        <v>20580</v>
      </c>
      <c r="AG1009" s="1" t="s">
        <v>132</v>
      </c>
      <c r="AH1009" s="1" t="s">
        <v>132</v>
      </c>
      <c r="AI1009" s="1" t="s">
        <v>132</v>
      </c>
      <c r="AJ1009" s="1" t="s">
        <v>132</v>
      </c>
      <c r="AK1009" s="1" t="s">
        <v>132</v>
      </c>
      <c r="AL1009" s="1" t="s">
        <v>132</v>
      </c>
      <c r="AM1009" s="1" t="s">
        <v>132</v>
      </c>
      <c r="AN1009" s="1" t="s">
        <v>132</v>
      </c>
    </row>
    <row r="1010" ht="15.75" customHeight="1">
      <c r="A1010" s="1" t="s">
        <v>38</v>
      </c>
      <c r="B1010" s="1" t="s">
        <v>20581</v>
      </c>
      <c r="C1010" s="1" t="s">
        <v>20582</v>
      </c>
      <c r="D1010" s="1" t="s">
        <v>132</v>
      </c>
      <c r="E1010" s="1" t="s">
        <v>20583</v>
      </c>
      <c r="F1010" s="1" t="s">
        <v>20584</v>
      </c>
      <c r="G1010" s="1" t="s">
        <v>132</v>
      </c>
      <c r="H1010" s="1" t="s">
        <v>132</v>
      </c>
      <c r="I1010" s="1" t="s">
        <v>20585</v>
      </c>
      <c r="J1010" s="1" t="s">
        <v>132</v>
      </c>
      <c r="K1010" s="1" t="s">
        <v>20586</v>
      </c>
      <c r="L1010" s="1" t="s">
        <v>132</v>
      </c>
      <c r="M1010" s="1" t="s">
        <v>20587</v>
      </c>
      <c r="N1010" s="1" t="s">
        <v>20588</v>
      </c>
      <c r="O1010" s="1" t="s">
        <v>132</v>
      </c>
      <c r="P1010" s="1" t="s">
        <v>20589</v>
      </c>
      <c r="Q1010" s="1" t="s">
        <v>20590</v>
      </c>
      <c r="R1010" s="1" t="s">
        <v>132</v>
      </c>
      <c r="S1010" s="1" t="s">
        <v>20591</v>
      </c>
      <c r="T1010" s="1" t="s">
        <v>132</v>
      </c>
      <c r="U1010" s="1" t="s">
        <v>20592</v>
      </c>
      <c r="V1010" s="1" t="s">
        <v>20593</v>
      </c>
      <c r="W1010" s="1" t="s">
        <v>132</v>
      </c>
      <c r="X1010" s="1" t="s">
        <v>20594</v>
      </c>
      <c r="Y1010" s="1" t="s">
        <v>132</v>
      </c>
      <c r="Z1010" s="1" t="s">
        <v>20595</v>
      </c>
      <c r="AA1010" s="1" t="s">
        <v>20596</v>
      </c>
      <c r="AB1010" s="1" t="s">
        <v>132</v>
      </c>
      <c r="AC1010" s="1" t="s">
        <v>20597</v>
      </c>
      <c r="AD1010" s="1" t="s">
        <v>20598</v>
      </c>
      <c r="AE1010" s="1" t="s">
        <v>132</v>
      </c>
      <c r="AF1010" s="1" t="s">
        <v>20599</v>
      </c>
      <c r="AG1010" s="1" t="s">
        <v>20600</v>
      </c>
      <c r="AH1010" s="1" t="s">
        <v>132</v>
      </c>
      <c r="AI1010" s="1" t="s">
        <v>132</v>
      </c>
      <c r="AJ1010" s="1" t="s">
        <v>20601</v>
      </c>
      <c r="AK1010" s="1" t="s">
        <v>20602</v>
      </c>
      <c r="AL1010" s="1" t="s">
        <v>132</v>
      </c>
      <c r="AM1010" s="1" t="s">
        <v>20603</v>
      </c>
      <c r="AN1010" s="1" t="s">
        <v>20603</v>
      </c>
    </row>
    <row r="1011" ht="15.75" customHeight="1">
      <c r="A1011" s="1" t="s">
        <v>127</v>
      </c>
      <c r="B1011" s="1" t="s">
        <v>20604</v>
      </c>
      <c r="C1011" s="1" t="s">
        <v>20605</v>
      </c>
      <c r="D1011" s="8" t="s">
        <v>20606</v>
      </c>
      <c r="E1011" s="1" t="s">
        <v>20607</v>
      </c>
      <c r="F1011" s="1" t="s">
        <v>132</v>
      </c>
      <c r="G1011" s="1" t="s">
        <v>20608</v>
      </c>
      <c r="H1011" s="1" t="s">
        <v>20609</v>
      </c>
      <c r="I1011" s="1" t="s">
        <v>20610</v>
      </c>
      <c r="J1011" s="1" t="s">
        <v>20611</v>
      </c>
      <c r="K1011" s="1" t="s">
        <v>20612</v>
      </c>
      <c r="L1011" s="1" t="s">
        <v>20613</v>
      </c>
      <c r="M1011" s="1" t="s">
        <v>20614</v>
      </c>
      <c r="N1011" s="1" t="s">
        <v>132</v>
      </c>
      <c r="O1011" s="1" t="s">
        <v>20615</v>
      </c>
      <c r="P1011" s="1" t="s">
        <v>20616</v>
      </c>
      <c r="Q1011" s="1" t="s">
        <v>132</v>
      </c>
      <c r="R1011" s="1" t="s">
        <v>20617</v>
      </c>
      <c r="S1011" s="1" t="s">
        <v>20618</v>
      </c>
      <c r="T1011" s="8" t="s">
        <v>20619</v>
      </c>
      <c r="U1011" s="1" t="s">
        <v>20620</v>
      </c>
      <c r="V1011" s="1" t="s">
        <v>20621</v>
      </c>
      <c r="W1011" s="1" t="s">
        <v>20622</v>
      </c>
      <c r="X1011" s="1" t="s">
        <v>20605</v>
      </c>
      <c r="Y1011" s="1" t="s">
        <v>20623</v>
      </c>
      <c r="Z1011" s="1" t="s">
        <v>20605</v>
      </c>
      <c r="AA1011" s="1" t="s">
        <v>20624</v>
      </c>
      <c r="AB1011" s="1" t="s">
        <v>20625</v>
      </c>
      <c r="AC1011" s="1" t="s">
        <v>20626</v>
      </c>
      <c r="AD1011" s="1" t="s">
        <v>20627</v>
      </c>
      <c r="AE1011" s="1" t="s">
        <v>20628</v>
      </c>
      <c r="AF1011" s="1" t="s">
        <v>20629</v>
      </c>
      <c r="AG1011" s="1" t="s">
        <v>20630</v>
      </c>
      <c r="AH1011" s="1" t="s">
        <v>20631</v>
      </c>
      <c r="AI1011" s="1" t="s">
        <v>20632</v>
      </c>
      <c r="AJ1011" s="1" t="s">
        <v>132</v>
      </c>
      <c r="AK1011" s="1" t="s">
        <v>20633</v>
      </c>
      <c r="AL1011" s="1" t="s">
        <v>20634</v>
      </c>
      <c r="AM1011" s="1" t="s">
        <v>20635</v>
      </c>
      <c r="AN1011" s="1" t="s">
        <v>20635</v>
      </c>
    </row>
    <row r="1012" ht="15.75" customHeight="1">
      <c r="A1012" s="1" t="s">
        <v>38</v>
      </c>
      <c r="B1012" s="1" t="s">
        <v>20636</v>
      </c>
      <c r="C1012" s="1" t="s">
        <v>20636</v>
      </c>
      <c r="D1012" s="1" t="s">
        <v>132</v>
      </c>
      <c r="E1012" s="1" t="s">
        <v>132</v>
      </c>
      <c r="F1012" s="1" t="s">
        <v>132</v>
      </c>
      <c r="G1012" s="1" t="s">
        <v>132</v>
      </c>
      <c r="H1012" s="1" t="s">
        <v>132</v>
      </c>
      <c r="I1012" s="1" t="s">
        <v>20636</v>
      </c>
      <c r="J1012" s="1" t="s">
        <v>132</v>
      </c>
      <c r="K1012" s="1" t="s">
        <v>20636</v>
      </c>
      <c r="L1012" s="1" t="s">
        <v>132</v>
      </c>
      <c r="M1012" s="1" t="s">
        <v>20637</v>
      </c>
      <c r="N1012" s="1" t="s">
        <v>132</v>
      </c>
      <c r="O1012" s="1" t="s">
        <v>132</v>
      </c>
      <c r="P1012" s="1" t="s">
        <v>20636</v>
      </c>
      <c r="Q1012" s="1" t="s">
        <v>132</v>
      </c>
      <c r="R1012" s="1" t="s">
        <v>132</v>
      </c>
      <c r="S1012" s="1" t="s">
        <v>132</v>
      </c>
      <c r="T1012" s="1" t="s">
        <v>132</v>
      </c>
      <c r="U1012" s="1" t="s">
        <v>132</v>
      </c>
      <c r="V1012" s="1" t="s">
        <v>132</v>
      </c>
      <c r="W1012" s="1" t="s">
        <v>132</v>
      </c>
      <c r="X1012" s="1" t="s">
        <v>132</v>
      </c>
      <c r="Y1012" s="1" t="s">
        <v>132</v>
      </c>
      <c r="Z1012" s="1" t="s">
        <v>132</v>
      </c>
      <c r="AA1012" s="1" t="s">
        <v>132</v>
      </c>
      <c r="AB1012" s="1" t="s">
        <v>132</v>
      </c>
      <c r="AC1012" s="1" t="s">
        <v>20638</v>
      </c>
      <c r="AD1012" s="1" t="s">
        <v>132</v>
      </c>
      <c r="AE1012" s="1" t="s">
        <v>132</v>
      </c>
      <c r="AF1012" s="1" t="s">
        <v>20639</v>
      </c>
      <c r="AG1012" s="1" t="s">
        <v>132</v>
      </c>
      <c r="AH1012" s="1" t="s">
        <v>132</v>
      </c>
      <c r="AI1012" s="1" t="s">
        <v>132</v>
      </c>
      <c r="AJ1012" s="1" t="s">
        <v>132</v>
      </c>
      <c r="AK1012" s="1" t="s">
        <v>132</v>
      </c>
      <c r="AL1012" s="1" t="s">
        <v>132</v>
      </c>
      <c r="AM1012" s="1" t="s">
        <v>132</v>
      </c>
      <c r="AN1012" s="1" t="s">
        <v>132</v>
      </c>
    </row>
    <row r="1013" ht="15.75" customHeight="1">
      <c r="A1013" s="1" t="s">
        <v>127</v>
      </c>
      <c r="B1013" s="1" t="s">
        <v>20640</v>
      </c>
      <c r="C1013" s="1" t="s">
        <v>20641</v>
      </c>
      <c r="D1013" s="8" t="s">
        <v>20642</v>
      </c>
      <c r="E1013" s="1" t="s">
        <v>20643</v>
      </c>
      <c r="F1013" s="1" t="s">
        <v>132</v>
      </c>
      <c r="G1013" s="1" t="s">
        <v>20644</v>
      </c>
      <c r="H1013" s="1" t="s">
        <v>20645</v>
      </c>
      <c r="I1013" s="1" t="s">
        <v>20646</v>
      </c>
      <c r="J1013" s="1" t="s">
        <v>20647</v>
      </c>
      <c r="K1013" s="1" t="s">
        <v>20648</v>
      </c>
      <c r="L1013" s="1" t="s">
        <v>20649</v>
      </c>
      <c r="M1013" s="1" t="s">
        <v>20650</v>
      </c>
      <c r="N1013" s="1" t="s">
        <v>132</v>
      </c>
      <c r="O1013" s="1" t="s">
        <v>20651</v>
      </c>
      <c r="P1013" s="1" t="s">
        <v>20652</v>
      </c>
      <c r="Q1013" s="1" t="s">
        <v>132</v>
      </c>
      <c r="R1013" s="1" t="s">
        <v>20653</v>
      </c>
      <c r="S1013" s="1" t="s">
        <v>20654</v>
      </c>
      <c r="T1013" s="8" t="s">
        <v>20655</v>
      </c>
      <c r="U1013" s="1" t="s">
        <v>16280</v>
      </c>
      <c r="V1013" s="1" t="s">
        <v>20656</v>
      </c>
      <c r="W1013" s="1" t="s">
        <v>20657</v>
      </c>
      <c r="X1013" s="1" t="s">
        <v>20658</v>
      </c>
      <c r="Y1013" s="1" t="s">
        <v>20659</v>
      </c>
      <c r="Z1013" s="1" t="s">
        <v>20660</v>
      </c>
      <c r="AA1013" s="1" t="s">
        <v>20661</v>
      </c>
      <c r="AB1013" s="1" t="s">
        <v>20662</v>
      </c>
      <c r="AC1013" s="1" t="s">
        <v>20663</v>
      </c>
      <c r="AD1013" s="1" t="s">
        <v>20664</v>
      </c>
      <c r="AE1013" s="1" t="s">
        <v>20665</v>
      </c>
      <c r="AF1013" s="1" t="s">
        <v>20666</v>
      </c>
      <c r="AG1013" s="1" t="s">
        <v>20667</v>
      </c>
      <c r="AH1013" s="1" t="s">
        <v>20668</v>
      </c>
      <c r="AI1013" s="1" t="s">
        <v>20669</v>
      </c>
      <c r="AJ1013" s="1" t="s">
        <v>132</v>
      </c>
      <c r="AK1013" s="1" t="s">
        <v>20670</v>
      </c>
      <c r="AL1013" s="1" t="s">
        <v>20671</v>
      </c>
      <c r="AM1013" s="1" t="s">
        <v>20672</v>
      </c>
      <c r="AN1013" s="1" t="s">
        <v>20672</v>
      </c>
    </row>
    <row r="1014" ht="15.75" customHeight="1">
      <c r="A1014" s="1" t="s">
        <v>38</v>
      </c>
      <c r="B1014" s="1" t="s">
        <v>20673</v>
      </c>
      <c r="C1014" s="1" t="s">
        <v>20674</v>
      </c>
      <c r="D1014" s="1" t="s">
        <v>132</v>
      </c>
      <c r="E1014" s="1" t="s">
        <v>132</v>
      </c>
      <c r="F1014" s="1" t="s">
        <v>132</v>
      </c>
      <c r="G1014" s="1" t="s">
        <v>132</v>
      </c>
      <c r="H1014" s="1" t="s">
        <v>132</v>
      </c>
      <c r="I1014" s="1" t="s">
        <v>20675</v>
      </c>
      <c r="J1014" s="1" t="s">
        <v>132</v>
      </c>
      <c r="K1014" s="1" t="s">
        <v>20676</v>
      </c>
      <c r="L1014" s="1" t="s">
        <v>132</v>
      </c>
      <c r="M1014" s="1" t="s">
        <v>20677</v>
      </c>
      <c r="N1014" s="1" t="s">
        <v>132</v>
      </c>
      <c r="O1014" s="1" t="s">
        <v>132</v>
      </c>
      <c r="P1014" s="1" t="s">
        <v>20674</v>
      </c>
      <c r="Q1014" s="1" t="s">
        <v>132</v>
      </c>
      <c r="R1014" s="1" t="s">
        <v>132</v>
      </c>
      <c r="S1014" s="1" t="s">
        <v>132</v>
      </c>
      <c r="T1014" s="1" t="s">
        <v>132</v>
      </c>
      <c r="U1014" s="1" t="s">
        <v>132</v>
      </c>
      <c r="V1014" s="1" t="s">
        <v>132</v>
      </c>
      <c r="W1014" s="1" t="s">
        <v>132</v>
      </c>
      <c r="X1014" s="1" t="s">
        <v>132</v>
      </c>
      <c r="Y1014" s="1" t="s">
        <v>132</v>
      </c>
      <c r="Z1014" s="1" t="s">
        <v>132</v>
      </c>
      <c r="AA1014" s="1" t="s">
        <v>132</v>
      </c>
      <c r="AB1014" s="1" t="s">
        <v>132</v>
      </c>
      <c r="AC1014" s="1" t="s">
        <v>20678</v>
      </c>
      <c r="AD1014" s="1" t="s">
        <v>132</v>
      </c>
      <c r="AE1014" s="1" t="s">
        <v>132</v>
      </c>
      <c r="AF1014" s="1" t="s">
        <v>20674</v>
      </c>
      <c r="AG1014" s="1" t="s">
        <v>132</v>
      </c>
      <c r="AH1014" s="1" t="s">
        <v>132</v>
      </c>
      <c r="AI1014" s="1" t="s">
        <v>132</v>
      </c>
      <c r="AJ1014" s="1" t="s">
        <v>132</v>
      </c>
      <c r="AK1014" s="1" t="s">
        <v>132</v>
      </c>
      <c r="AL1014" s="1" t="s">
        <v>132</v>
      </c>
      <c r="AM1014" s="1" t="s">
        <v>132</v>
      </c>
      <c r="AN1014" s="1" t="s">
        <v>132</v>
      </c>
    </row>
    <row r="1015" ht="15.75" customHeight="1">
      <c r="A1015" s="1" t="s">
        <v>38</v>
      </c>
      <c r="B1015" s="1" t="s">
        <v>20679</v>
      </c>
      <c r="C1015" s="1" t="s">
        <v>20680</v>
      </c>
      <c r="D1015" s="8" t="s">
        <v>20681</v>
      </c>
      <c r="E1015" s="1" t="s">
        <v>20682</v>
      </c>
      <c r="F1015" s="1" t="s">
        <v>20683</v>
      </c>
      <c r="G1015" s="1" t="s">
        <v>132</v>
      </c>
      <c r="H1015" s="1" t="s">
        <v>132</v>
      </c>
      <c r="I1015" s="1" t="s">
        <v>20684</v>
      </c>
      <c r="J1015" s="1" t="s">
        <v>132</v>
      </c>
      <c r="K1015" s="1" t="s">
        <v>20685</v>
      </c>
      <c r="L1015" s="1" t="s">
        <v>132</v>
      </c>
      <c r="M1015" s="1" t="s">
        <v>20686</v>
      </c>
      <c r="N1015" s="1" t="s">
        <v>20687</v>
      </c>
      <c r="O1015" s="1" t="s">
        <v>132</v>
      </c>
      <c r="P1015" s="1" t="s">
        <v>20688</v>
      </c>
      <c r="Q1015" s="1" t="s">
        <v>20689</v>
      </c>
      <c r="R1015" s="1" t="s">
        <v>132</v>
      </c>
      <c r="S1015" s="1" t="s">
        <v>20690</v>
      </c>
      <c r="T1015" s="1" t="s">
        <v>132</v>
      </c>
      <c r="U1015" s="1" t="s">
        <v>20691</v>
      </c>
      <c r="V1015" s="1" t="s">
        <v>20692</v>
      </c>
      <c r="W1015" s="1" t="s">
        <v>132</v>
      </c>
      <c r="X1015" s="1" t="s">
        <v>20693</v>
      </c>
      <c r="Y1015" s="1" t="s">
        <v>132</v>
      </c>
      <c r="Z1015" s="1" t="s">
        <v>20694</v>
      </c>
      <c r="AA1015" s="1" t="s">
        <v>20695</v>
      </c>
      <c r="AB1015" s="1" t="s">
        <v>132</v>
      </c>
      <c r="AC1015" s="1" t="s">
        <v>20696</v>
      </c>
      <c r="AD1015" s="1" t="s">
        <v>132</v>
      </c>
      <c r="AE1015" s="1" t="s">
        <v>132</v>
      </c>
      <c r="AF1015" s="1" t="s">
        <v>20697</v>
      </c>
      <c r="AG1015" s="1" t="s">
        <v>20698</v>
      </c>
      <c r="AH1015" s="1" t="s">
        <v>132</v>
      </c>
      <c r="AI1015" s="1" t="s">
        <v>132</v>
      </c>
      <c r="AJ1015" s="1" t="s">
        <v>20699</v>
      </c>
      <c r="AK1015" s="1" t="s">
        <v>132</v>
      </c>
      <c r="AL1015" s="1" t="s">
        <v>132</v>
      </c>
      <c r="AM1015" s="1" t="s">
        <v>20700</v>
      </c>
      <c r="AN1015" s="1" t="s">
        <v>20700</v>
      </c>
    </row>
    <row r="1016" ht="15.75" customHeight="1">
      <c r="A1016" s="1" t="s">
        <v>38</v>
      </c>
      <c r="B1016" s="1" t="s">
        <v>20701</v>
      </c>
      <c r="C1016" s="1" t="s">
        <v>20701</v>
      </c>
      <c r="D1016" s="8" t="s">
        <v>20702</v>
      </c>
      <c r="E1016" s="1" t="s">
        <v>20703</v>
      </c>
      <c r="F1016" s="1" t="s">
        <v>20701</v>
      </c>
      <c r="G1016" s="1" t="s">
        <v>132</v>
      </c>
      <c r="H1016" s="1" t="s">
        <v>132</v>
      </c>
      <c r="I1016" s="1" t="s">
        <v>20704</v>
      </c>
      <c r="J1016" s="1" t="s">
        <v>132</v>
      </c>
      <c r="K1016" s="1" t="s">
        <v>20701</v>
      </c>
      <c r="L1016" s="1" t="s">
        <v>132</v>
      </c>
      <c r="M1016" s="1" t="s">
        <v>20701</v>
      </c>
      <c r="N1016" s="1" t="s">
        <v>20705</v>
      </c>
      <c r="O1016" s="1" t="s">
        <v>132</v>
      </c>
      <c r="P1016" s="1" t="s">
        <v>20706</v>
      </c>
      <c r="Q1016" s="1" t="s">
        <v>20701</v>
      </c>
      <c r="R1016" s="1" t="s">
        <v>132</v>
      </c>
      <c r="S1016" s="1" t="s">
        <v>20701</v>
      </c>
      <c r="T1016" s="1" t="s">
        <v>132</v>
      </c>
      <c r="U1016" s="1" t="s">
        <v>20707</v>
      </c>
      <c r="V1016" s="1" t="s">
        <v>20708</v>
      </c>
      <c r="W1016" s="1" t="s">
        <v>132</v>
      </c>
      <c r="X1016" s="1" t="s">
        <v>20701</v>
      </c>
      <c r="Y1016" s="1" t="s">
        <v>132</v>
      </c>
      <c r="Z1016" s="1" t="s">
        <v>20709</v>
      </c>
      <c r="AA1016" s="1" t="s">
        <v>20710</v>
      </c>
      <c r="AB1016" s="1" t="s">
        <v>132</v>
      </c>
      <c r="AC1016" s="1" t="s">
        <v>20703</v>
      </c>
      <c r="AD1016" s="1" t="s">
        <v>20701</v>
      </c>
      <c r="AE1016" s="1" t="s">
        <v>132</v>
      </c>
      <c r="AF1016" s="1" t="s">
        <v>20711</v>
      </c>
      <c r="AG1016" s="1" t="s">
        <v>20712</v>
      </c>
      <c r="AH1016" s="1" t="s">
        <v>132</v>
      </c>
      <c r="AI1016" s="1" t="s">
        <v>132</v>
      </c>
      <c r="AJ1016" s="1" t="s">
        <v>20713</v>
      </c>
      <c r="AK1016" s="1" t="s">
        <v>20714</v>
      </c>
      <c r="AL1016" s="1" t="s">
        <v>132</v>
      </c>
      <c r="AM1016" s="1" t="s">
        <v>20715</v>
      </c>
      <c r="AN1016" s="1" t="s">
        <v>20715</v>
      </c>
    </row>
    <row r="1017" ht="15.75" customHeight="1">
      <c r="A1017" s="1" t="s">
        <v>43182</v>
      </c>
      <c r="B1017" s="1" t="s">
        <v>43255</v>
      </c>
      <c r="C1017" s="1" t="s">
        <v>43256</v>
      </c>
      <c r="D1017" s="1" t="s">
        <v>132</v>
      </c>
      <c r="E1017" s="1" t="s">
        <v>132</v>
      </c>
      <c r="F1017" s="1" t="s">
        <v>132</v>
      </c>
      <c r="G1017" s="1" t="s">
        <v>132</v>
      </c>
      <c r="H1017" s="1" t="s">
        <v>132</v>
      </c>
      <c r="I1017" s="1" t="s">
        <v>132</v>
      </c>
      <c r="J1017" s="1" t="s">
        <v>132</v>
      </c>
      <c r="K1017" s="1" t="s">
        <v>132</v>
      </c>
      <c r="L1017" s="1" t="s">
        <v>132</v>
      </c>
      <c r="M1017" s="1" t="s">
        <v>132</v>
      </c>
      <c r="N1017" s="1" t="s">
        <v>132</v>
      </c>
      <c r="O1017" s="1" t="s">
        <v>132</v>
      </c>
      <c r="P1017" s="1" t="s">
        <v>132</v>
      </c>
      <c r="Q1017" s="1" t="s">
        <v>132</v>
      </c>
      <c r="R1017" s="1" t="s">
        <v>132</v>
      </c>
      <c r="S1017" s="1" t="s">
        <v>132</v>
      </c>
      <c r="T1017" s="1" t="s">
        <v>132</v>
      </c>
      <c r="U1017" s="1" t="s">
        <v>132</v>
      </c>
      <c r="V1017" s="1" t="s">
        <v>132</v>
      </c>
      <c r="W1017" s="1" t="s">
        <v>132</v>
      </c>
      <c r="X1017" s="1" t="s">
        <v>132</v>
      </c>
      <c r="Y1017" s="1" t="s">
        <v>132</v>
      </c>
      <c r="Z1017" s="1" t="s">
        <v>132</v>
      </c>
      <c r="AA1017" s="1" t="s">
        <v>132</v>
      </c>
      <c r="AB1017" s="1" t="s">
        <v>132</v>
      </c>
      <c r="AC1017" s="1" t="s">
        <v>132</v>
      </c>
      <c r="AD1017" s="1" t="s">
        <v>132</v>
      </c>
      <c r="AE1017" s="1" t="s">
        <v>132</v>
      </c>
      <c r="AF1017" s="1" t="s">
        <v>132</v>
      </c>
      <c r="AG1017" s="1" t="s">
        <v>132</v>
      </c>
      <c r="AH1017" s="1" t="s">
        <v>132</v>
      </c>
      <c r="AI1017" s="1" t="s">
        <v>132</v>
      </c>
      <c r="AJ1017" s="1" t="s">
        <v>132</v>
      </c>
      <c r="AK1017" s="1" t="s">
        <v>132</v>
      </c>
      <c r="AL1017" s="1" t="s">
        <v>132</v>
      </c>
      <c r="AM1017" s="1" t="s">
        <v>132</v>
      </c>
      <c r="AN1017" s="1" t="s">
        <v>132</v>
      </c>
    </row>
    <row r="1018" ht="15.75" customHeight="1">
      <c r="A1018" s="1" t="s">
        <v>38</v>
      </c>
      <c r="B1018" s="1" t="s">
        <v>20716</v>
      </c>
      <c r="C1018" s="1" t="s">
        <v>20717</v>
      </c>
      <c r="D1018" s="8" t="s">
        <v>20718</v>
      </c>
      <c r="E1018" s="1" t="s">
        <v>20719</v>
      </c>
      <c r="F1018" s="1" t="s">
        <v>20720</v>
      </c>
      <c r="G1018" s="1" t="s">
        <v>132</v>
      </c>
      <c r="H1018" s="1" t="s">
        <v>132</v>
      </c>
      <c r="I1018" s="1" t="s">
        <v>20721</v>
      </c>
      <c r="J1018" s="1" t="s">
        <v>132</v>
      </c>
      <c r="K1018" s="1" t="s">
        <v>20722</v>
      </c>
      <c r="L1018" s="1" t="s">
        <v>132</v>
      </c>
      <c r="M1018" s="1" t="s">
        <v>20723</v>
      </c>
      <c r="N1018" s="1" t="s">
        <v>20724</v>
      </c>
      <c r="O1018" s="1" t="s">
        <v>132</v>
      </c>
      <c r="P1018" s="1" t="s">
        <v>20725</v>
      </c>
      <c r="Q1018" s="1" t="s">
        <v>20726</v>
      </c>
      <c r="R1018" s="1" t="s">
        <v>132</v>
      </c>
      <c r="S1018" s="1" t="s">
        <v>20727</v>
      </c>
      <c r="T1018" s="1" t="s">
        <v>132</v>
      </c>
      <c r="U1018" s="1" t="s">
        <v>20728</v>
      </c>
      <c r="V1018" s="1" t="s">
        <v>20729</v>
      </c>
      <c r="W1018" s="1" t="s">
        <v>132</v>
      </c>
      <c r="X1018" s="1" t="s">
        <v>20730</v>
      </c>
      <c r="Y1018" s="1" t="s">
        <v>132</v>
      </c>
      <c r="Z1018" s="1" t="s">
        <v>20731</v>
      </c>
      <c r="AA1018" s="1" t="s">
        <v>20732</v>
      </c>
      <c r="AB1018" s="1" t="s">
        <v>132</v>
      </c>
      <c r="AC1018" s="1" t="s">
        <v>20733</v>
      </c>
      <c r="AD1018" s="1" t="s">
        <v>20734</v>
      </c>
      <c r="AE1018" s="1" t="s">
        <v>132</v>
      </c>
      <c r="AF1018" s="1" t="s">
        <v>20735</v>
      </c>
      <c r="AG1018" s="1" t="s">
        <v>20736</v>
      </c>
      <c r="AH1018" s="1" t="s">
        <v>132</v>
      </c>
      <c r="AI1018" s="1" t="s">
        <v>132</v>
      </c>
      <c r="AJ1018" s="1" t="s">
        <v>20737</v>
      </c>
      <c r="AK1018" s="1" t="s">
        <v>20738</v>
      </c>
      <c r="AL1018" s="1" t="s">
        <v>132</v>
      </c>
      <c r="AM1018" s="1" t="s">
        <v>20739</v>
      </c>
      <c r="AN1018" s="1" t="s">
        <v>20739</v>
      </c>
    </row>
    <row r="1019" ht="15.75" customHeight="1">
      <c r="A1019" s="1" t="s">
        <v>127</v>
      </c>
      <c r="B1019" s="1" t="s">
        <v>20740</v>
      </c>
      <c r="C1019" s="1" t="s">
        <v>20741</v>
      </c>
      <c r="D1019" s="8" t="s">
        <v>20742</v>
      </c>
      <c r="E1019" s="1" t="s">
        <v>20743</v>
      </c>
      <c r="F1019" s="1" t="s">
        <v>132</v>
      </c>
      <c r="G1019" s="1" t="s">
        <v>20744</v>
      </c>
      <c r="H1019" s="1" t="s">
        <v>20745</v>
      </c>
      <c r="I1019" s="1" t="s">
        <v>20746</v>
      </c>
      <c r="J1019" s="1" t="s">
        <v>20747</v>
      </c>
      <c r="K1019" s="1" t="s">
        <v>20748</v>
      </c>
      <c r="L1019" s="1" t="s">
        <v>20749</v>
      </c>
      <c r="M1019" s="1" t="s">
        <v>20750</v>
      </c>
      <c r="N1019" s="1" t="s">
        <v>132</v>
      </c>
      <c r="O1019" s="1" t="s">
        <v>20751</v>
      </c>
      <c r="P1019" s="1" t="s">
        <v>20752</v>
      </c>
      <c r="Q1019" s="1" t="s">
        <v>132</v>
      </c>
      <c r="R1019" s="1" t="s">
        <v>20753</v>
      </c>
      <c r="S1019" s="1" t="s">
        <v>20754</v>
      </c>
      <c r="T1019" s="8" t="s">
        <v>20755</v>
      </c>
      <c r="U1019" s="1" t="s">
        <v>20756</v>
      </c>
      <c r="V1019" s="1" t="s">
        <v>20757</v>
      </c>
      <c r="W1019" s="1" t="s">
        <v>20758</v>
      </c>
      <c r="X1019" s="1" t="s">
        <v>20759</v>
      </c>
      <c r="Y1019" s="1" t="s">
        <v>20760</v>
      </c>
      <c r="Z1019" s="1" t="s">
        <v>20761</v>
      </c>
      <c r="AA1019" s="1" t="s">
        <v>20762</v>
      </c>
      <c r="AB1019" s="1" t="s">
        <v>20763</v>
      </c>
      <c r="AC1019" s="1" t="s">
        <v>20764</v>
      </c>
      <c r="AD1019" s="1" t="s">
        <v>20765</v>
      </c>
      <c r="AE1019" s="1" t="s">
        <v>20766</v>
      </c>
      <c r="AF1019" s="1" t="s">
        <v>20767</v>
      </c>
      <c r="AG1019" s="1" t="s">
        <v>20768</v>
      </c>
      <c r="AH1019" s="1" t="s">
        <v>20769</v>
      </c>
      <c r="AI1019" s="1" t="s">
        <v>20770</v>
      </c>
      <c r="AJ1019" s="1" t="s">
        <v>132</v>
      </c>
      <c r="AK1019" s="1" t="s">
        <v>20771</v>
      </c>
      <c r="AL1019" s="1" t="s">
        <v>20772</v>
      </c>
      <c r="AM1019" s="1" t="s">
        <v>20773</v>
      </c>
      <c r="AN1019" s="1" t="s">
        <v>20773</v>
      </c>
    </row>
    <row r="1020" ht="15.75" customHeight="1">
      <c r="A1020" s="1" t="s">
        <v>127</v>
      </c>
      <c r="B1020" s="1" t="s">
        <v>20774</v>
      </c>
      <c r="C1020" s="1" t="s">
        <v>20775</v>
      </c>
      <c r="D1020" s="8" t="s">
        <v>20776</v>
      </c>
      <c r="E1020" s="1" t="s">
        <v>20777</v>
      </c>
      <c r="F1020" s="1" t="s">
        <v>132</v>
      </c>
      <c r="G1020" s="1" t="s">
        <v>20778</v>
      </c>
      <c r="H1020" s="1" t="s">
        <v>20779</v>
      </c>
      <c r="I1020" s="1" t="s">
        <v>20780</v>
      </c>
      <c r="J1020" s="1" t="s">
        <v>20781</v>
      </c>
      <c r="K1020" s="1" t="s">
        <v>20782</v>
      </c>
      <c r="L1020" s="1" t="s">
        <v>20783</v>
      </c>
      <c r="M1020" s="1" t="s">
        <v>20784</v>
      </c>
      <c r="N1020" s="1" t="s">
        <v>132</v>
      </c>
      <c r="O1020" s="1" t="s">
        <v>20785</v>
      </c>
      <c r="P1020" s="1" t="s">
        <v>20786</v>
      </c>
      <c r="Q1020" s="1" t="s">
        <v>132</v>
      </c>
      <c r="R1020" s="1" t="s">
        <v>20787</v>
      </c>
      <c r="S1020" s="1" t="s">
        <v>20788</v>
      </c>
      <c r="T1020" s="8" t="s">
        <v>20789</v>
      </c>
      <c r="U1020" s="1" t="s">
        <v>20790</v>
      </c>
      <c r="V1020" s="1" t="s">
        <v>20791</v>
      </c>
      <c r="W1020" s="1" t="s">
        <v>20792</v>
      </c>
      <c r="X1020" s="1" t="s">
        <v>20793</v>
      </c>
      <c r="Y1020" s="1" t="s">
        <v>20779</v>
      </c>
      <c r="Z1020" s="1" t="s">
        <v>20794</v>
      </c>
      <c r="AA1020" s="1" t="s">
        <v>20795</v>
      </c>
      <c r="AB1020" s="1" t="s">
        <v>20796</v>
      </c>
      <c r="AC1020" s="1" t="s">
        <v>20797</v>
      </c>
      <c r="AD1020" s="1" t="s">
        <v>20798</v>
      </c>
      <c r="AE1020" s="1" t="s">
        <v>20799</v>
      </c>
      <c r="AF1020" s="1" t="s">
        <v>20800</v>
      </c>
      <c r="AG1020" s="1" t="s">
        <v>20779</v>
      </c>
      <c r="AH1020" s="1" t="s">
        <v>586</v>
      </c>
      <c r="AI1020" s="1" t="s">
        <v>20801</v>
      </c>
      <c r="AJ1020" s="1" t="s">
        <v>132</v>
      </c>
      <c r="AK1020" s="1" t="s">
        <v>20802</v>
      </c>
      <c r="AL1020" s="1" t="s">
        <v>589</v>
      </c>
      <c r="AM1020" s="1" t="s">
        <v>132</v>
      </c>
      <c r="AN1020" s="1" t="s">
        <v>132</v>
      </c>
    </row>
    <row r="1021" ht="15.75" customHeight="1">
      <c r="A1021" s="1" t="s">
        <v>38</v>
      </c>
      <c r="B1021" s="1" t="s">
        <v>20803</v>
      </c>
      <c r="C1021" s="1" t="s">
        <v>20804</v>
      </c>
      <c r="D1021" s="8" t="s">
        <v>20805</v>
      </c>
      <c r="E1021" s="1" t="s">
        <v>20806</v>
      </c>
      <c r="F1021" s="1" t="s">
        <v>20807</v>
      </c>
      <c r="G1021" s="1" t="s">
        <v>132</v>
      </c>
      <c r="H1021" s="1" t="s">
        <v>132</v>
      </c>
      <c r="I1021" s="1" t="s">
        <v>20808</v>
      </c>
      <c r="J1021" s="1" t="s">
        <v>132</v>
      </c>
      <c r="K1021" s="1" t="s">
        <v>20809</v>
      </c>
      <c r="L1021" s="1" t="s">
        <v>132</v>
      </c>
      <c r="M1021" s="1" t="s">
        <v>20810</v>
      </c>
      <c r="N1021" s="1" t="s">
        <v>20811</v>
      </c>
      <c r="O1021" s="1" t="s">
        <v>132</v>
      </c>
      <c r="P1021" s="1" t="s">
        <v>20812</v>
      </c>
      <c r="Q1021" s="1" t="s">
        <v>20813</v>
      </c>
      <c r="R1021" s="1" t="s">
        <v>132</v>
      </c>
      <c r="S1021" s="1" t="s">
        <v>20814</v>
      </c>
      <c r="T1021" s="1" t="s">
        <v>132</v>
      </c>
      <c r="U1021" s="1" t="s">
        <v>20815</v>
      </c>
      <c r="V1021" s="1" t="s">
        <v>20816</v>
      </c>
      <c r="W1021" s="1" t="s">
        <v>132</v>
      </c>
      <c r="X1021" s="1" t="s">
        <v>20817</v>
      </c>
      <c r="Y1021" s="1" t="s">
        <v>132</v>
      </c>
      <c r="Z1021" s="1" t="s">
        <v>20818</v>
      </c>
      <c r="AA1021" s="1" t="s">
        <v>20819</v>
      </c>
      <c r="AB1021" s="1" t="s">
        <v>132</v>
      </c>
      <c r="AC1021" s="1" t="s">
        <v>20820</v>
      </c>
      <c r="AD1021" s="1" t="s">
        <v>132</v>
      </c>
      <c r="AE1021" s="1" t="s">
        <v>132</v>
      </c>
      <c r="AF1021" s="1" t="s">
        <v>20821</v>
      </c>
      <c r="AG1021" s="1" t="s">
        <v>20822</v>
      </c>
      <c r="AH1021" s="1" t="s">
        <v>132</v>
      </c>
      <c r="AI1021" s="1" t="s">
        <v>132</v>
      </c>
      <c r="AJ1021" s="1" t="s">
        <v>20823</v>
      </c>
      <c r="AK1021" s="1" t="s">
        <v>20824</v>
      </c>
      <c r="AL1021" s="1" t="s">
        <v>132</v>
      </c>
      <c r="AM1021" s="1" t="s">
        <v>20825</v>
      </c>
      <c r="AN1021" s="1" t="s">
        <v>20825</v>
      </c>
    </row>
    <row r="1022" ht="15.75" customHeight="1">
      <c r="A1022" s="1" t="s">
        <v>38</v>
      </c>
      <c r="B1022" s="1" t="s">
        <v>20826</v>
      </c>
      <c r="C1022" s="1" t="s">
        <v>3777</v>
      </c>
      <c r="D1022" s="8" t="s">
        <v>20827</v>
      </c>
      <c r="E1022" s="1" t="s">
        <v>3779</v>
      </c>
      <c r="F1022" s="1" t="s">
        <v>3790</v>
      </c>
      <c r="G1022" s="1" t="s">
        <v>132</v>
      </c>
      <c r="H1022" s="1" t="s">
        <v>132</v>
      </c>
      <c r="I1022" s="1" t="s">
        <v>3782</v>
      </c>
      <c r="J1022" s="1" t="s">
        <v>132</v>
      </c>
      <c r="K1022" s="1" t="s">
        <v>3784</v>
      </c>
      <c r="L1022" s="1" t="s">
        <v>132</v>
      </c>
      <c r="M1022" s="1" t="s">
        <v>3786</v>
      </c>
      <c r="N1022" s="1" t="s">
        <v>3790</v>
      </c>
      <c r="O1022" s="1" t="s">
        <v>132</v>
      </c>
      <c r="P1022" s="1" t="s">
        <v>3788</v>
      </c>
      <c r="Q1022" s="1" t="s">
        <v>20828</v>
      </c>
      <c r="R1022" s="1" t="s">
        <v>132</v>
      </c>
      <c r="S1022" s="1" t="s">
        <v>3790</v>
      </c>
      <c r="T1022" s="1" t="s">
        <v>132</v>
      </c>
      <c r="U1022" s="1" t="s">
        <v>20829</v>
      </c>
      <c r="V1022" s="1" t="s">
        <v>3793</v>
      </c>
      <c r="W1022" s="1" t="s">
        <v>132</v>
      </c>
      <c r="X1022" s="1" t="s">
        <v>3795</v>
      </c>
      <c r="Y1022" s="1" t="s">
        <v>132</v>
      </c>
      <c r="Z1022" s="1" t="s">
        <v>3797</v>
      </c>
      <c r="AA1022" s="1" t="s">
        <v>3790</v>
      </c>
      <c r="AB1022" s="1" t="s">
        <v>132</v>
      </c>
      <c r="AC1022" s="1" t="s">
        <v>3799</v>
      </c>
      <c r="AD1022" s="1" t="s">
        <v>132</v>
      </c>
      <c r="AE1022" s="1" t="s">
        <v>132</v>
      </c>
      <c r="AF1022" s="1" t="s">
        <v>20830</v>
      </c>
      <c r="AG1022" s="1" t="s">
        <v>3796</v>
      </c>
      <c r="AH1022" s="1" t="s">
        <v>132</v>
      </c>
      <c r="AI1022" s="1" t="s">
        <v>132</v>
      </c>
      <c r="AJ1022" s="1" t="s">
        <v>20831</v>
      </c>
      <c r="AK1022" s="1" t="s">
        <v>3804</v>
      </c>
      <c r="AL1022" s="1" t="s">
        <v>132</v>
      </c>
      <c r="AM1022" s="1" t="s">
        <v>20832</v>
      </c>
      <c r="AN1022" s="1" t="s">
        <v>20832</v>
      </c>
    </row>
    <row r="1023" ht="15.75" customHeight="1">
      <c r="A1023" s="1" t="s">
        <v>38</v>
      </c>
      <c r="B1023" s="1" t="s">
        <v>20833</v>
      </c>
      <c r="C1023" s="1" t="s">
        <v>20834</v>
      </c>
      <c r="D1023" s="1" t="s">
        <v>132</v>
      </c>
      <c r="E1023" s="1" t="s">
        <v>20835</v>
      </c>
      <c r="F1023" s="1" t="s">
        <v>132</v>
      </c>
      <c r="G1023" s="1" t="s">
        <v>132</v>
      </c>
      <c r="H1023" s="1" t="s">
        <v>132</v>
      </c>
      <c r="I1023" s="1" t="s">
        <v>20836</v>
      </c>
      <c r="J1023" s="1" t="s">
        <v>132</v>
      </c>
      <c r="K1023" s="1" t="s">
        <v>20837</v>
      </c>
      <c r="L1023" s="1" t="s">
        <v>132</v>
      </c>
      <c r="M1023" s="1" t="s">
        <v>20838</v>
      </c>
      <c r="N1023" s="1" t="s">
        <v>20839</v>
      </c>
      <c r="O1023" s="1" t="s">
        <v>132</v>
      </c>
      <c r="P1023" s="1" t="s">
        <v>20840</v>
      </c>
      <c r="Q1023" s="1" t="s">
        <v>132</v>
      </c>
      <c r="R1023" s="1" t="s">
        <v>132</v>
      </c>
      <c r="S1023" s="1" t="s">
        <v>20841</v>
      </c>
      <c r="T1023" s="1" t="s">
        <v>132</v>
      </c>
      <c r="U1023" s="1" t="s">
        <v>132</v>
      </c>
      <c r="V1023" s="1" t="s">
        <v>132</v>
      </c>
      <c r="W1023" s="1" t="s">
        <v>132</v>
      </c>
      <c r="X1023" s="1" t="s">
        <v>20842</v>
      </c>
      <c r="Y1023" s="1" t="s">
        <v>132</v>
      </c>
      <c r="Z1023" s="1" t="s">
        <v>20843</v>
      </c>
      <c r="AA1023" s="1" t="s">
        <v>132</v>
      </c>
      <c r="AB1023" s="1" t="s">
        <v>132</v>
      </c>
      <c r="AC1023" s="1" t="s">
        <v>132</v>
      </c>
      <c r="AD1023" s="1" t="s">
        <v>132</v>
      </c>
      <c r="AE1023" s="1" t="s">
        <v>132</v>
      </c>
      <c r="AF1023" s="1" t="s">
        <v>132</v>
      </c>
      <c r="AG1023" s="1" t="s">
        <v>132</v>
      </c>
      <c r="AH1023" s="1" t="s">
        <v>132</v>
      </c>
      <c r="AI1023" s="1" t="s">
        <v>132</v>
      </c>
      <c r="AJ1023" s="1" t="s">
        <v>132</v>
      </c>
      <c r="AK1023" s="1" t="s">
        <v>132</v>
      </c>
      <c r="AL1023" s="1" t="s">
        <v>132</v>
      </c>
      <c r="AM1023" s="1" t="s">
        <v>132</v>
      </c>
      <c r="AN1023" s="1" t="s">
        <v>132</v>
      </c>
    </row>
    <row r="1024" ht="15.75" customHeight="1">
      <c r="A1024" s="1" t="s">
        <v>127</v>
      </c>
      <c r="B1024" s="1" t="s">
        <v>20844</v>
      </c>
      <c r="C1024" s="1" t="s">
        <v>20845</v>
      </c>
      <c r="D1024" s="8" t="s">
        <v>20846</v>
      </c>
      <c r="E1024" s="1" t="s">
        <v>20847</v>
      </c>
      <c r="F1024" s="1" t="s">
        <v>132</v>
      </c>
      <c r="G1024" s="1" t="s">
        <v>20848</v>
      </c>
      <c r="H1024" s="1" t="s">
        <v>20849</v>
      </c>
      <c r="I1024" s="1" t="s">
        <v>20845</v>
      </c>
      <c r="J1024" s="1" t="s">
        <v>20850</v>
      </c>
      <c r="K1024" s="1" t="s">
        <v>20845</v>
      </c>
      <c r="L1024" s="1" t="s">
        <v>20851</v>
      </c>
      <c r="M1024" s="1" t="s">
        <v>20852</v>
      </c>
      <c r="N1024" s="1" t="s">
        <v>132</v>
      </c>
      <c r="O1024" s="1" t="s">
        <v>20853</v>
      </c>
      <c r="P1024" s="1" t="s">
        <v>20845</v>
      </c>
      <c r="Q1024" s="1" t="s">
        <v>132</v>
      </c>
      <c r="R1024" s="1" t="s">
        <v>20854</v>
      </c>
      <c r="S1024" s="1" t="s">
        <v>20845</v>
      </c>
      <c r="T1024" s="8" t="s">
        <v>20855</v>
      </c>
      <c r="U1024" s="1" t="s">
        <v>20856</v>
      </c>
      <c r="V1024" s="1" t="s">
        <v>20857</v>
      </c>
      <c r="W1024" s="1" t="s">
        <v>20858</v>
      </c>
      <c r="X1024" s="1" t="s">
        <v>20845</v>
      </c>
      <c r="Y1024" s="1" t="s">
        <v>20859</v>
      </c>
      <c r="Z1024" s="1" t="s">
        <v>20860</v>
      </c>
      <c r="AA1024" s="1" t="s">
        <v>20861</v>
      </c>
      <c r="AB1024" s="1" t="s">
        <v>20862</v>
      </c>
      <c r="AC1024" s="1" t="s">
        <v>20863</v>
      </c>
      <c r="AD1024" s="1" t="s">
        <v>20864</v>
      </c>
      <c r="AE1024" s="1" t="s">
        <v>20865</v>
      </c>
      <c r="AF1024" s="1" t="s">
        <v>20845</v>
      </c>
      <c r="AG1024" s="1" t="s">
        <v>20866</v>
      </c>
      <c r="AH1024" s="1" t="s">
        <v>20867</v>
      </c>
      <c r="AI1024" s="1" t="s">
        <v>20868</v>
      </c>
      <c r="AJ1024" s="1" t="s">
        <v>132</v>
      </c>
      <c r="AK1024" s="1" t="s">
        <v>20869</v>
      </c>
      <c r="AL1024" s="1" t="s">
        <v>20870</v>
      </c>
      <c r="AM1024" s="1" t="s">
        <v>20871</v>
      </c>
      <c r="AN1024" s="1" t="s">
        <v>20871</v>
      </c>
    </row>
    <row r="1025" ht="15.75" customHeight="1">
      <c r="A1025" s="1" t="s">
        <v>38</v>
      </c>
      <c r="B1025" s="1" t="s">
        <v>20872</v>
      </c>
      <c r="C1025" s="1" t="s">
        <v>3812</v>
      </c>
      <c r="D1025" s="8" t="s">
        <v>20873</v>
      </c>
      <c r="E1025" s="1" t="s">
        <v>3814</v>
      </c>
      <c r="F1025" s="1" t="s">
        <v>20874</v>
      </c>
      <c r="G1025" s="1" t="s">
        <v>132</v>
      </c>
      <c r="H1025" s="1" t="s">
        <v>132</v>
      </c>
      <c r="I1025" s="1" t="s">
        <v>3817</v>
      </c>
      <c r="J1025" s="1" t="s">
        <v>132</v>
      </c>
      <c r="K1025" s="1" t="s">
        <v>3819</v>
      </c>
      <c r="L1025" s="1" t="s">
        <v>132</v>
      </c>
      <c r="M1025" s="1" t="s">
        <v>3821</v>
      </c>
      <c r="N1025" s="1" t="s">
        <v>3819</v>
      </c>
      <c r="O1025" s="1" t="s">
        <v>132</v>
      </c>
      <c r="P1025" s="1" t="s">
        <v>3823</v>
      </c>
      <c r="Q1025" s="1" t="s">
        <v>20875</v>
      </c>
      <c r="R1025" s="1" t="s">
        <v>132</v>
      </c>
      <c r="S1025" s="1" t="s">
        <v>3825</v>
      </c>
      <c r="T1025" s="1" t="s">
        <v>132</v>
      </c>
      <c r="U1025" s="1" t="s">
        <v>3827</v>
      </c>
      <c r="V1025" s="1" t="s">
        <v>3828</v>
      </c>
      <c r="W1025" s="1" t="s">
        <v>132</v>
      </c>
      <c r="X1025" s="1" t="s">
        <v>20876</v>
      </c>
      <c r="Y1025" s="1" t="s">
        <v>132</v>
      </c>
      <c r="Z1025" s="1" t="s">
        <v>3831</v>
      </c>
      <c r="AA1025" s="1" t="s">
        <v>3819</v>
      </c>
      <c r="AB1025" s="1" t="s">
        <v>132</v>
      </c>
      <c r="AC1025" s="1" t="s">
        <v>20877</v>
      </c>
      <c r="AD1025" s="1" t="s">
        <v>3834</v>
      </c>
      <c r="AE1025" s="1" t="s">
        <v>132</v>
      </c>
      <c r="AF1025" s="1" t="s">
        <v>20878</v>
      </c>
      <c r="AG1025" s="1" t="s">
        <v>3830</v>
      </c>
      <c r="AH1025" s="1" t="s">
        <v>132</v>
      </c>
      <c r="AI1025" s="1" t="s">
        <v>132</v>
      </c>
      <c r="AJ1025" s="1" t="s">
        <v>20879</v>
      </c>
      <c r="AK1025" s="1" t="s">
        <v>20880</v>
      </c>
      <c r="AL1025" s="1" t="s">
        <v>132</v>
      </c>
      <c r="AM1025" s="1" t="s">
        <v>3840</v>
      </c>
      <c r="AN1025" s="1" t="s">
        <v>3840</v>
      </c>
    </row>
    <row r="1026" ht="15.75" customHeight="1">
      <c r="A1026" s="1" t="s">
        <v>127</v>
      </c>
      <c r="B1026" s="1" t="s">
        <v>20881</v>
      </c>
      <c r="C1026" s="1" t="s">
        <v>20882</v>
      </c>
      <c r="D1026" s="8" t="s">
        <v>20883</v>
      </c>
      <c r="E1026" s="1" t="s">
        <v>20882</v>
      </c>
      <c r="F1026" s="1" t="s">
        <v>132</v>
      </c>
      <c r="G1026" s="1" t="s">
        <v>20882</v>
      </c>
      <c r="H1026" s="1" t="s">
        <v>20882</v>
      </c>
      <c r="I1026" s="1" t="s">
        <v>20882</v>
      </c>
      <c r="J1026" s="1" t="s">
        <v>20882</v>
      </c>
      <c r="K1026" s="1" t="s">
        <v>20882</v>
      </c>
      <c r="L1026" s="1" t="s">
        <v>20882</v>
      </c>
      <c r="M1026" s="1" t="s">
        <v>20884</v>
      </c>
      <c r="N1026" s="1" t="s">
        <v>132</v>
      </c>
      <c r="O1026" s="1" t="s">
        <v>20885</v>
      </c>
      <c r="P1026" s="1" t="s">
        <v>20882</v>
      </c>
      <c r="Q1026" s="1" t="s">
        <v>132</v>
      </c>
      <c r="R1026" s="1" t="s">
        <v>20886</v>
      </c>
      <c r="S1026" s="1" t="s">
        <v>20887</v>
      </c>
      <c r="T1026" s="8" t="s">
        <v>20888</v>
      </c>
      <c r="U1026" s="1" t="s">
        <v>20889</v>
      </c>
      <c r="V1026" s="1" t="s">
        <v>20890</v>
      </c>
      <c r="W1026" s="1" t="s">
        <v>20886</v>
      </c>
      <c r="X1026" s="1" t="s">
        <v>43257</v>
      </c>
      <c r="Y1026" s="1" t="s">
        <v>20882</v>
      </c>
      <c r="Z1026" s="1" t="s">
        <v>17000</v>
      </c>
      <c r="AA1026" s="1" t="s">
        <v>20891</v>
      </c>
      <c r="AB1026" s="1" t="s">
        <v>20882</v>
      </c>
      <c r="AC1026" s="1" t="s">
        <v>20892</v>
      </c>
      <c r="AD1026" s="1" t="s">
        <v>20882</v>
      </c>
      <c r="AE1026" s="1" t="s">
        <v>20893</v>
      </c>
      <c r="AF1026" s="1" t="s">
        <v>20882</v>
      </c>
      <c r="AG1026" s="1" t="s">
        <v>20882</v>
      </c>
      <c r="AH1026" s="1" t="s">
        <v>8946</v>
      </c>
      <c r="AI1026" s="1" t="s">
        <v>8561</v>
      </c>
      <c r="AJ1026" s="1" t="s">
        <v>132</v>
      </c>
      <c r="AK1026" s="1" t="s">
        <v>20894</v>
      </c>
      <c r="AL1026" s="1" t="s">
        <v>20895</v>
      </c>
      <c r="AM1026" s="1" t="s">
        <v>20896</v>
      </c>
      <c r="AN1026" s="1" t="s">
        <v>20896</v>
      </c>
    </row>
    <row r="1027" ht="15.75" customHeight="1">
      <c r="A1027" s="1" t="s">
        <v>38</v>
      </c>
      <c r="B1027" s="1" t="s">
        <v>20897</v>
      </c>
      <c r="C1027" s="1" t="s">
        <v>20898</v>
      </c>
      <c r="D1027" s="8" t="s">
        <v>20899</v>
      </c>
      <c r="E1027" s="1" t="s">
        <v>20900</v>
      </c>
      <c r="F1027" s="1" t="s">
        <v>20901</v>
      </c>
      <c r="G1027" s="1" t="s">
        <v>132</v>
      </c>
      <c r="H1027" s="1" t="s">
        <v>132</v>
      </c>
      <c r="I1027" s="1" t="s">
        <v>20902</v>
      </c>
      <c r="J1027" s="1" t="s">
        <v>132</v>
      </c>
      <c r="K1027" s="1" t="s">
        <v>20903</v>
      </c>
      <c r="L1027" s="1" t="s">
        <v>132</v>
      </c>
      <c r="M1027" s="1" t="s">
        <v>20904</v>
      </c>
      <c r="N1027" s="1" t="s">
        <v>20905</v>
      </c>
      <c r="O1027" s="1" t="s">
        <v>132</v>
      </c>
      <c r="P1027" s="1" t="s">
        <v>20906</v>
      </c>
      <c r="Q1027" s="1" t="s">
        <v>132</v>
      </c>
      <c r="R1027" s="1" t="s">
        <v>132</v>
      </c>
      <c r="S1027" s="1" t="s">
        <v>20907</v>
      </c>
      <c r="T1027" s="1" t="s">
        <v>132</v>
      </c>
      <c r="U1027" s="1" t="s">
        <v>20908</v>
      </c>
      <c r="V1027" s="1" t="s">
        <v>20909</v>
      </c>
      <c r="W1027" s="1" t="s">
        <v>132</v>
      </c>
      <c r="X1027" s="1" t="s">
        <v>20910</v>
      </c>
      <c r="Y1027" s="1" t="s">
        <v>132</v>
      </c>
      <c r="Z1027" s="1" t="s">
        <v>20911</v>
      </c>
      <c r="AA1027" s="1" t="s">
        <v>20912</v>
      </c>
      <c r="AB1027" s="1" t="s">
        <v>132</v>
      </c>
      <c r="AC1027" s="1" t="s">
        <v>6343</v>
      </c>
      <c r="AD1027" s="1" t="s">
        <v>132</v>
      </c>
      <c r="AE1027" s="1" t="s">
        <v>132</v>
      </c>
      <c r="AF1027" s="1" t="s">
        <v>20913</v>
      </c>
      <c r="AG1027" s="1" t="s">
        <v>20914</v>
      </c>
      <c r="AH1027" s="1" t="s">
        <v>132</v>
      </c>
      <c r="AI1027" s="1" t="s">
        <v>132</v>
      </c>
      <c r="AJ1027" s="1" t="s">
        <v>20915</v>
      </c>
      <c r="AK1027" s="1" t="s">
        <v>132</v>
      </c>
      <c r="AL1027" s="1" t="s">
        <v>132</v>
      </c>
      <c r="AM1027" s="1" t="s">
        <v>20916</v>
      </c>
      <c r="AN1027" s="1" t="s">
        <v>20916</v>
      </c>
    </row>
    <row r="1028" ht="15.75" customHeight="1">
      <c r="A1028" s="1" t="s">
        <v>5830</v>
      </c>
      <c r="B1028" s="1" t="s">
        <v>20917</v>
      </c>
      <c r="C1028" s="1" t="s">
        <v>20918</v>
      </c>
      <c r="D1028" s="1" t="s">
        <v>132</v>
      </c>
      <c r="E1028" s="1" t="s">
        <v>132</v>
      </c>
      <c r="F1028" s="1" t="s">
        <v>132</v>
      </c>
      <c r="G1028" s="1" t="s">
        <v>132</v>
      </c>
      <c r="H1028" s="1" t="s">
        <v>20919</v>
      </c>
      <c r="I1028" s="1" t="s">
        <v>20920</v>
      </c>
      <c r="J1028" s="1" t="s">
        <v>132</v>
      </c>
      <c r="K1028" s="1" t="s">
        <v>20921</v>
      </c>
      <c r="L1028" s="1" t="s">
        <v>20922</v>
      </c>
      <c r="M1028" s="1" t="s">
        <v>20923</v>
      </c>
      <c r="N1028" s="1" t="s">
        <v>132</v>
      </c>
      <c r="O1028" s="1" t="s">
        <v>132</v>
      </c>
      <c r="P1028" s="1" t="s">
        <v>20924</v>
      </c>
      <c r="Q1028" s="1" t="s">
        <v>132</v>
      </c>
      <c r="R1028" s="1" t="s">
        <v>20925</v>
      </c>
      <c r="S1028" s="1" t="s">
        <v>20926</v>
      </c>
      <c r="T1028" s="1" t="s">
        <v>132</v>
      </c>
      <c r="U1028" s="1" t="s">
        <v>20927</v>
      </c>
      <c r="V1028" s="1" t="s">
        <v>20928</v>
      </c>
      <c r="W1028" s="1" t="s">
        <v>20929</v>
      </c>
      <c r="X1028" s="1" t="s">
        <v>20930</v>
      </c>
      <c r="Y1028" s="1" t="s">
        <v>20919</v>
      </c>
      <c r="Z1028" s="1" t="s">
        <v>20931</v>
      </c>
      <c r="AA1028" s="1" t="s">
        <v>20932</v>
      </c>
      <c r="AB1028" s="1" t="s">
        <v>132</v>
      </c>
      <c r="AC1028" s="1" t="s">
        <v>20933</v>
      </c>
      <c r="AD1028" s="1" t="s">
        <v>132</v>
      </c>
      <c r="AE1028" s="1" t="s">
        <v>132</v>
      </c>
      <c r="AF1028" s="1" t="s">
        <v>20934</v>
      </c>
      <c r="AG1028" s="1" t="s">
        <v>20935</v>
      </c>
      <c r="AH1028" s="1" t="s">
        <v>132</v>
      </c>
      <c r="AI1028" s="1" t="s">
        <v>20936</v>
      </c>
      <c r="AJ1028" s="1" t="s">
        <v>132</v>
      </c>
      <c r="AK1028" s="1" t="s">
        <v>132</v>
      </c>
      <c r="AL1028" s="1" t="s">
        <v>20937</v>
      </c>
      <c r="AM1028" s="1" t="s">
        <v>132</v>
      </c>
      <c r="AN1028" s="1" t="s">
        <v>132</v>
      </c>
    </row>
    <row r="1029" ht="15.75" customHeight="1">
      <c r="A1029" s="1" t="s">
        <v>127</v>
      </c>
      <c r="B1029" s="1" t="s">
        <v>20938</v>
      </c>
      <c r="C1029" s="1" t="s">
        <v>20939</v>
      </c>
      <c r="D1029" s="8" t="s">
        <v>7321</v>
      </c>
      <c r="E1029" s="1" t="s">
        <v>20940</v>
      </c>
      <c r="F1029" s="1" t="s">
        <v>132</v>
      </c>
      <c r="G1029" s="1" t="s">
        <v>20941</v>
      </c>
      <c r="H1029" s="1" t="s">
        <v>20942</v>
      </c>
      <c r="I1029" s="1" t="s">
        <v>20943</v>
      </c>
      <c r="J1029" s="1" t="s">
        <v>7326</v>
      </c>
      <c r="K1029" s="1" t="s">
        <v>20944</v>
      </c>
      <c r="L1029" s="1" t="s">
        <v>20945</v>
      </c>
      <c r="M1029" s="1" t="s">
        <v>20946</v>
      </c>
      <c r="N1029" s="1" t="s">
        <v>132</v>
      </c>
      <c r="O1029" s="1" t="s">
        <v>20947</v>
      </c>
      <c r="P1029" s="1" t="s">
        <v>20948</v>
      </c>
      <c r="Q1029" s="1" t="s">
        <v>132</v>
      </c>
      <c r="R1029" s="1" t="s">
        <v>20949</v>
      </c>
      <c r="S1029" s="1" t="s">
        <v>20950</v>
      </c>
      <c r="T1029" s="8" t="s">
        <v>20951</v>
      </c>
      <c r="U1029" s="1" t="s">
        <v>20952</v>
      </c>
      <c r="V1029" s="1" t="s">
        <v>20953</v>
      </c>
      <c r="W1029" s="1" t="s">
        <v>20949</v>
      </c>
      <c r="X1029" s="1" t="s">
        <v>20954</v>
      </c>
      <c r="Y1029" s="1" t="s">
        <v>20942</v>
      </c>
      <c r="Z1029" s="1" t="s">
        <v>20955</v>
      </c>
      <c r="AA1029" s="1" t="s">
        <v>20944</v>
      </c>
      <c r="AB1029" s="1" t="s">
        <v>20956</v>
      </c>
      <c r="AC1029" s="1" t="s">
        <v>20957</v>
      </c>
      <c r="AD1029" s="1" t="s">
        <v>7342</v>
      </c>
      <c r="AE1029" s="1" t="s">
        <v>20958</v>
      </c>
      <c r="AF1029" s="1" t="s">
        <v>20959</v>
      </c>
      <c r="AG1029" s="1" t="s">
        <v>20960</v>
      </c>
      <c r="AH1029" s="1" t="s">
        <v>20961</v>
      </c>
      <c r="AI1029" s="1" t="s">
        <v>20962</v>
      </c>
      <c r="AJ1029" s="1" t="s">
        <v>132</v>
      </c>
      <c r="AK1029" s="1" t="s">
        <v>20963</v>
      </c>
      <c r="AL1029" s="1" t="s">
        <v>20964</v>
      </c>
      <c r="AM1029" s="1" t="s">
        <v>132</v>
      </c>
      <c r="AN1029" s="1" t="s">
        <v>132</v>
      </c>
    </row>
    <row r="1030" ht="15.75" customHeight="1">
      <c r="A1030" s="1" t="s">
        <v>38</v>
      </c>
      <c r="B1030" s="1" t="s">
        <v>20965</v>
      </c>
      <c r="C1030" s="1" t="s">
        <v>20966</v>
      </c>
      <c r="D1030" s="1" t="s">
        <v>132</v>
      </c>
      <c r="E1030" s="1" t="s">
        <v>132</v>
      </c>
      <c r="F1030" s="1" t="s">
        <v>132</v>
      </c>
      <c r="G1030" s="1" t="s">
        <v>132</v>
      </c>
      <c r="H1030" s="1" t="s">
        <v>132</v>
      </c>
      <c r="I1030" s="1" t="s">
        <v>20967</v>
      </c>
      <c r="J1030" s="1" t="s">
        <v>132</v>
      </c>
      <c r="K1030" s="1" t="s">
        <v>20966</v>
      </c>
      <c r="L1030" s="1" t="s">
        <v>132</v>
      </c>
      <c r="M1030" s="1" t="s">
        <v>20968</v>
      </c>
      <c r="N1030" s="1" t="s">
        <v>132</v>
      </c>
      <c r="O1030" s="1" t="s">
        <v>132</v>
      </c>
      <c r="P1030" s="1" t="s">
        <v>20966</v>
      </c>
      <c r="Q1030" s="1" t="s">
        <v>132</v>
      </c>
      <c r="R1030" s="1" t="s">
        <v>132</v>
      </c>
      <c r="S1030" s="1" t="s">
        <v>132</v>
      </c>
      <c r="T1030" s="1" t="s">
        <v>132</v>
      </c>
      <c r="U1030" s="1" t="s">
        <v>132</v>
      </c>
      <c r="V1030" s="1" t="s">
        <v>132</v>
      </c>
      <c r="W1030" s="1" t="s">
        <v>132</v>
      </c>
      <c r="X1030" s="1" t="s">
        <v>132</v>
      </c>
      <c r="Y1030" s="1" t="s">
        <v>132</v>
      </c>
      <c r="Z1030" s="1" t="s">
        <v>132</v>
      </c>
      <c r="AA1030" s="1" t="s">
        <v>132</v>
      </c>
      <c r="AB1030" s="1" t="s">
        <v>132</v>
      </c>
      <c r="AC1030" s="1" t="s">
        <v>20969</v>
      </c>
      <c r="AD1030" s="1" t="s">
        <v>132</v>
      </c>
      <c r="AE1030" s="1" t="s">
        <v>132</v>
      </c>
      <c r="AF1030" s="1" t="s">
        <v>20970</v>
      </c>
      <c r="AG1030" s="1" t="s">
        <v>132</v>
      </c>
      <c r="AH1030" s="1" t="s">
        <v>132</v>
      </c>
      <c r="AI1030" s="1" t="s">
        <v>132</v>
      </c>
      <c r="AJ1030" s="1" t="s">
        <v>132</v>
      </c>
      <c r="AK1030" s="1" t="s">
        <v>132</v>
      </c>
      <c r="AL1030" s="1" t="s">
        <v>132</v>
      </c>
      <c r="AM1030" s="1" t="s">
        <v>132</v>
      </c>
      <c r="AN1030" s="1" t="s">
        <v>132</v>
      </c>
    </row>
    <row r="1031" ht="15.75" customHeight="1">
      <c r="A1031" s="1" t="s">
        <v>127</v>
      </c>
      <c r="B1031" s="1" t="s">
        <v>20971</v>
      </c>
      <c r="C1031" s="1" t="s">
        <v>20972</v>
      </c>
      <c r="D1031" s="8" t="s">
        <v>20973</v>
      </c>
      <c r="E1031" s="1" t="s">
        <v>20974</v>
      </c>
      <c r="F1031" s="1" t="s">
        <v>132</v>
      </c>
      <c r="G1031" s="1" t="s">
        <v>20975</v>
      </c>
      <c r="H1031" s="1" t="s">
        <v>20976</v>
      </c>
      <c r="I1031" s="1" t="s">
        <v>20977</v>
      </c>
      <c r="J1031" s="1" t="s">
        <v>20978</v>
      </c>
      <c r="K1031" s="1" t="s">
        <v>20979</v>
      </c>
      <c r="L1031" s="1" t="s">
        <v>20980</v>
      </c>
      <c r="M1031" s="1" t="s">
        <v>20981</v>
      </c>
      <c r="N1031" s="1" t="s">
        <v>132</v>
      </c>
      <c r="O1031" s="1" t="s">
        <v>20982</v>
      </c>
      <c r="P1031" s="1" t="s">
        <v>20983</v>
      </c>
      <c r="Q1031" s="1" t="s">
        <v>132</v>
      </c>
      <c r="R1031" s="1" t="s">
        <v>20984</v>
      </c>
      <c r="S1031" s="1" t="s">
        <v>20985</v>
      </c>
      <c r="T1031" s="8" t="s">
        <v>20986</v>
      </c>
      <c r="U1031" s="1" t="s">
        <v>20987</v>
      </c>
      <c r="V1031" s="1" t="s">
        <v>20988</v>
      </c>
      <c r="W1031" s="1" t="s">
        <v>20989</v>
      </c>
      <c r="X1031" s="1" t="s">
        <v>20990</v>
      </c>
      <c r="Y1031" s="1" t="s">
        <v>20991</v>
      </c>
      <c r="Z1031" s="1" t="s">
        <v>20992</v>
      </c>
      <c r="AA1031" s="1" t="s">
        <v>20993</v>
      </c>
      <c r="AB1031" s="1" t="s">
        <v>20994</v>
      </c>
      <c r="AC1031" s="1" t="s">
        <v>20995</v>
      </c>
      <c r="AD1031" s="1" t="s">
        <v>20996</v>
      </c>
      <c r="AE1031" s="1" t="s">
        <v>20997</v>
      </c>
      <c r="AF1031" s="1" t="s">
        <v>20998</v>
      </c>
      <c r="AG1031" s="1" t="s">
        <v>20999</v>
      </c>
      <c r="AH1031" s="1" t="s">
        <v>21000</v>
      </c>
      <c r="AI1031" s="1" t="s">
        <v>21001</v>
      </c>
      <c r="AJ1031" s="1" t="s">
        <v>132</v>
      </c>
      <c r="AK1031" s="1" t="s">
        <v>21002</v>
      </c>
      <c r="AL1031" s="1" t="s">
        <v>21003</v>
      </c>
      <c r="AM1031" s="1" t="s">
        <v>132</v>
      </c>
      <c r="AN1031" s="1" t="s">
        <v>132</v>
      </c>
    </row>
    <row r="1032" ht="15.75" customHeight="1">
      <c r="A1032" s="1" t="s">
        <v>38</v>
      </c>
      <c r="B1032" s="1" t="s">
        <v>21004</v>
      </c>
      <c r="C1032" s="1" t="s">
        <v>21005</v>
      </c>
      <c r="D1032" s="8" t="s">
        <v>21006</v>
      </c>
      <c r="E1032" s="1" t="s">
        <v>21007</v>
      </c>
      <c r="F1032" s="1" t="s">
        <v>21008</v>
      </c>
      <c r="G1032" s="1" t="s">
        <v>132</v>
      </c>
      <c r="H1032" s="1" t="s">
        <v>132</v>
      </c>
      <c r="I1032" s="1" t="s">
        <v>21009</v>
      </c>
      <c r="J1032" s="1" t="s">
        <v>132</v>
      </c>
      <c r="K1032" s="1" t="s">
        <v>21010</v>
      </c>
      <c r="L1032" s="1" t="s">
        <v>132</v>
      </c>
      <c r="M1032" s="1" t="s">
        <v>21011</v>
      </c>
      <c r="N1032" s="1" t="s">
        <v>21012</v>
      </c>
      <c r="O1032" s="1" t="s">
        <v>132</v>
      </c>
      <c r="P1032" s="1" t="s">
        <v>21013</v>
      </c>
      <c r="Q1032" s="1" t="s">
        <v>132</v>
      </c>
      <c r="R1032" s="1" t="s">
        <v>132</v>
      </c>
      <c r="S1032" s="1" t="s">
        <v>21014</v>
      </c>
      <c r="T1032" s="1" t="s">
        <v>132</v>
      </c>
      <c r="U1032" s="1" t="s">
        <v>21015</v>
      </c>
      <c r="V1032" s="1" t="s">
        <v>21016</v>
      </c>
      <c r="W1032" s="1" t="s">
        <v>132</v>
      </c>
      <c r="X1032" s="1" t="s">
        <v>21017</v>
      </c>
      <c r="Y1032" s="1" t="s">
        <v>132</v>
      </c>
      <c r="Z1032" s="1" t="s">
        <v>21018</v>
      </c>
      <c r="AA1032" s="1" t="s">
        <v>21019</v>
      </c>
      <c r="AB1032" s="1" t="s">
        <v>132</v>
      </c>
      <c r="AC1032" s="1" t="s">
        <v>21020</v>
      </c>
      <c r="AD1032" s="1" t="s">
        <v>21021</v>
      </c>
      <c r="AE1032" s="1" t="s">
        <v>132</v>
      </c>
      <c r="AF1032" s="1" t="s">
        <v>21022</v>
      </c>
      <c r="AG1032" s="1" t="s">
        <v>21023</v>
      </c>
      <c r="AH1032" s="1" t="s">
        <v>132</v>
      </c>
      <c r="AI1032" s="1" t="s">
        <v>132</v>
      </c>
      <c r="AJ1032" s="1" t="s">
        <v>21024</v>
      </c>
      <c r="AK1032" s="1" t="s">
        <v>21025</v>
      </c>
      <c r="AL1032" s="1" t="s">
        <v>132</v>
      </c>
      <c r="AM1032" s="1" t="s">
        <v>21026</v>
      </c>
      <c r="AN1032" s="1" t="s">
        <v>21026</v>
      </c>
    </row>
    <row r="1033" ht="15.75" customHeight="1">
      <c r="A1033" s="1" t="s">
        <v>38</v>
      </c>
      <c r="B1033" s="1" t="s">
        <v>21027</v>
      </c>
      <c r="C1033" s="1" t="s">
        <v>21028</v>
      </c>
      <c r="D1033" s="1" t="s">
        <v>132</v>
      </c>
      <c r="E1033" s="1" t="s">
        <v>132</v>
      </c>
      <c r="F1033" s="1" t="s">
        <v>132</v>
      </c>
      <c r="G1033" s="1" t="s">
        <v>132</v>
      </c>
      <c r="H1033" s="1" t="s">
        <v>132</v>
      </c>
      <c r="I1033" s="1" t="s">
        <v>21029</v>
      </c>
      <c r="J1033" s="1" t="s">
        <v>132</v>
      </c>
      <c r="K1033" s="1" t="s">
        <v>21029</v>
      </c>
      <c r="L1033" s="1" t="s">
        <v>132</v>
      </c>
      <c r="M1033" s="1" t="s">
        <v>21030</v>
      </c>
      <c r="N1033" s="1" t="s">
        <v>132</v>
      </c>
      <c r="O1033" s="1" t="s">
        <v>132</v>
      </c>
      <c r="P1033" s="1" t="s">
        <v>21028</v>
      </c>
      <c r="Q1033" s="1" t="s">
        <v>132</v>
      </c>
      <c r="R1033" s="1" t="s">
        <v>132</v>
      </c>
      <c r="S1033" s="1" t="s">
        <v>132</v>
      </c>
      <c r="T1033" s="1" t="s">
        <v>132</v>
      </c>
      <c r="U1033" s="1" t="s">
        <v>132</v>
      </c>
      <c r="V1033" s="1" t="s">
        <v>132</v>
      </c>
      <c r="W1033" s="1" t="s">
        <v>132</v>
      </c>
      <c r="X1033" s="1" t="s">
        <v>132</v>
      </c>
      <c r="Y1033" s="1" t="s">
        <v>132</v>
      </c>
      <c r="Z1033" s="1" t="s">
        <v>132</v>
      </c>
      <c r="AA1033" s="1" t="s">
        <v>132</v>
      </c>
      <c r="AB1033" s="1" t="s">
        <v>132</v>
      </c>
      <c r="AC1033" s="1" t="s">
        <v>21031</v>
      </c>
      <c r="AD1033" s="1" t="s">
        <v>132</v>
      </c>
      <c r="AE1033" s="1" t="s">
        <v>132</v>
      </c>
      <c r="AF1033" s="1" t="s">
        <v>21032</v>
      </c>
      <c r="AG1033" s="1" t="s">
        <v>132</v>
      </c>
      <c r="AH1033" s="1" t="s">
        <v>132</v>
      </c>
      <c r="AI1033" s="1" t="s">
        <v>132</v>
      </c>
      <c r="AJ1033" s="1" t="s">
        <v>132</v>
      </c>
      <c r="AK1033" s="1" t="s">
        <v>132</v>
      </c>
      <c r="AL1033" s="1" t="s">
        <v>132</v>
      </c>
      <c r="AM1033" s="1" t="s">
        <v>132</v>
      </c>
      <c r="AN1033" s="1" t="s">
        <v>132</v>
      </c>
    </row>
    <row r="1034" ht="15.75" customHeight="1">
      <c r="A1034" s="1" t="s">
        <v>38</v>
      </c>
      <c r="B1034" s="1" t="s">
        <v>21033</v>
      </c>
      <c r="C1034" s="1" t="s">
        <v>21034</v>
      </c>
      <c r="D1034" s="1" t="s">
        <v>21035</v>
      </c>
      <c r="E1034" s="1" t="s">
        <v>21036</v>
      </c>
      <c r="F1034" s="1" t="s">
        <v>21035</v>
      </c>
      <c r="G1034" s="1" t="s">
        <v>132</v>
      </c>
      <c r="H1034" s="1" t="s">
        <v>132</v>
      </c>
      <c r="I1034" s="1" t="s">
        <v>21037</v>
      </c>
      <c r="J1034" s="1" t="s">
        <v>132</v>
      </c>
      <c r="K1034" s="1" t="s">
        <v>21038</v>
      </c>
      <c r="L1034" s="1" t="s">
        <v>132</v>
      </c>
      <c r="M1034" s="1" t="s">
        <v>21039</v>
      </c>
      <c r="N1034" s="1" t="s">
        <v>21040</v>
      </c>
      <c r="O1034" s="1" t="s">
        <v>132</v>
      </c>
      <c r="P1034" s="1" t="s">
        <v>21035</v>
      </c>
      <c r="Q1034" s="1" t="s">
        <v>132</v>
      </c>
      <c r="R1034" s="1" t="s">
        <v>132</v>
      </c>
      <c r="S1034" s="1" t="s">
        <v>21041</v>
      </c>
      <c r="T1034" s="1" t="s">
        <v>132</v>
      </c>
      <c r="U1034" s="1" t="s">
        <v>21035</v>
      </c>
      <c r="V1034" s="1" t="s">
        <v>21035</v>
      </c>
      <c r="W1034" s="1" t="s">
        <v>132</v>
      </c>
      <c r="X1034" s="1" t="s">
        <v>21042</v>
      </c>
      <c r="Y1034" s="1" t="s">
        <v>132</v>
      </c>
      <c r="Z1034" s="1" t="s">
        <v>21043</v>
      </c>
      <c r="AA1034" s="1" t="s">
        <v>132</v>
      </c>
      <c r="AB1034" s="1" t="s">
        <v>132</v>
      </c>
      <c r="AC1034" s="1" t="s">
        <v>21035</v>
      </c>
      <c r="AD1034" s="1" t="s">
        <v>132</v>
      </c>
      <c r="AE1034" s="1" t="s">
        <v>132</v>
      </c>
      <c r="AF1034" s="1" t="s">
        <v>21044</v>
      </c>
      <c r="AG1034" s="1" t="s">
        <v>21035</v>
      </c>
      <c r="AH1034" s="1" t="s">
        <v>132</v>
      </c>
      <c r="AI1034" s="1" t="s">
        <v>132</v>
      </c>
      <c r="AJ1034" s="1" t="s">
        <v>21035</v>
      </c>
      <c r="AK1034" s="1" t="s">
        <v>21035</v>
      </c>
      <c r="AL1034" s="1" t="s">
        <v>132</v>
      </c>
      <c r="AM1034" s="1" t="s">
        <v>21035</v>
      </c>
      <c r="AN1034" s="1" t="s">
        <v>21035</v>
      </c>
    </row>
    <row r="1035" ht="15.75" customHeight="1">
      <c r="A1035" s="1" t="s">
        <v>127</v>
      </c>
      <c r="B1035" s="1" t="s">
        <v>21045</v>
      </c>
      <c r="C1035" s="1" t="s">
        <v>21046</v>
      </c>
      <c r="D1035" s="8" t="s">
        <v>21047</v>
      </c>
      <c r="E1035" s="1" t="s">
        <v>21048</v>
      </c>
      <c r="F1035" s="1" t="s">
        <v>132</v>
      </c>
      <c r="G1035" s="1" t="s">
        <v>21049</v>
      </c>
      <c r="H1035" s="1" t="s">
        <v>21050</v>
      </c>
      <c r="I1035" s="1" t="s">
        <v>21051</v>
      </c>
      <c r="J1035" s="1" t="s">
        <v>21052</v>
      </c>
      <c r="K1035" s="1" t="s">
        <v>21053</v>
      </c>
      <c r="L1035" s="1" t="s">
        <v>21054</v>
      </c>
      <c r="M1035" s="1" t="s">
        <v>21055</v>
      </c>
      <c r="N1035" s="1" t="s">
        <v>132</v>
      </c>
      <c r="O1035" s="1" t="s">
        <v>21056</v>
      </c>
      <c r="P1035" s="1" t="s">
        <v>21057</v>
      </c>
      <c r="Q1035" s="1" t="s">
        <v>132</v>
      </c>
      <c r="R1035" s="1" t="s">
        <v>21058</v>
      </c>
      <c r="S1035" s="1" t="s">
        <v>21059</v>
      </c>
      <c r="T1035" s="8" t="s">
        <v>21060</v>
      </c>
      <c r="U1035" s="1" t="s">
        <v>21061</v>
      </c>
      <c r="V1035" s="1" t="s">
        <v>21062</v>
      </c>
      <c r="W1035" s="1" t="s">
        <v>21063</v>
      </c>
      <c r="X1035" s="1" t="s">
        <v>21064</v>
      </c>
      <c r="Y1035" s="1" t="s">
        <v>21050</v>
      </c>
      <c r="Z1035" s="1" t="s">
        <v>21065</v>
      </c>
      <c r="AA1035" s="1" t="s">
        <v>21066</v>
      </c>
      <c r="AB1035" s="1" t="s">
        <v>21067</v>
      </c>
      <c r="AC1035" s="1" t="s">
        <v>21068</v>
      </c>
      <c r="AD1035" s="1" t="s">
        <v>21069</v>
      </c>
      <c r="AE1035" s="1" t="s">
        <v>21070</v>
      </c>
      <c r="AF1035" s="1" t="s">
        <v>21071</v>
      </c>
      <c r="AG1035" s="1" t="s">
        <v>21050</v>
      </c>
      <c r="AH1035" s="1" t="s">
        <v>21072</v>
      </c>
      <c r="AI1035" s="1" t="s">
        <v>21073</v>
      </c>
      <c r="AJ1035" s="1" t="s">
        <v>132</v>
      </c>
      <c r="AK1035" s="1" t="s">
        <v>21074</v>
      </c>
      <c r="AL1035" s="1" t="s">
        <v>21075</v>
      </c>
      <c r="AM1035" s="1" t="s">
        <v>21076</v>
      </c>
      <c r="AN1035" s="1" t="s">
        <v>21076</v>
      </c>
    </row>
    <row r="1036" ht="15.75" customHeight="1">
      <c r="A1036" s="1" t="s">
        <v>38</v>
      </c>
      <c r="B1036" s="1" t="s">
        <v>21077</v>
      </c>
      <c r="C1036" s="1" t="s">
        <v>21078</v>
      </c>
      <c r="D1036" s="1" t="s">
        <v>132</v>
      </c>
      <c r="E1036" s="1" t="s">
        <v>132</v>
      </c>
      <c r="F1036" s="1" t="s">
        <v>132</v>
      </c>
      <c r="G1036" s="1" t="s">
        <v>132</v>
      </c>
      <c r="H1036" s="1" t="s">
        <v>132</v>
      </c>
      <c r="I1036" s="1" t="s">
        <v>21079</v>
      </c>
      <c r="J1036" s="1" t="s">
        <v>132</v>
      </c>
      <c r="K1036" s="1" t="s">
        <v>21080</v>
      </c>
      <c r="L1036" s="1" t="s">
        <v>132</v>
      </c>
      <c r="M1036" s="1" t="s">
        <v>21081</v>
      </c>
      <c r="N1036" s="1" t="s">
        <v>132</v>
      </c>
      <c r="O1036" s="1" t="s">
        <v>132</v>
      </c>
      <c r="P1036" s="1" t="s">
        <v>17409</v>
      </c>
      <c r="Q1036" s="1" t="s">
        <v>132</v>
      </c>
      <c r="R1036" s="1" t="s">
        <v>132</v>
      </c>
      <c r="S1036" s="1" t="s">
        <v>132</v>
      </c>
      <c r="T1036" s="1" t="s">
        <v>132</v>
      </c>
      <c r="U1036" s="1" t="s">
        <v>132</v>
      </c>
      <c r="V1036" s="1" t="s">
        <v>132</v>
      </c>
      <c r="W1036" s="1" t="s">
        <v>132</v>
      </c>
      <c r="X1036" s="1" t="s">
        <v>132</v>
      </c>
      <c r="Y1036" s="1" t="s">
        <v>132</v>
      </c>
      <c r="Z1036" s="1" t="s">
        <v>132</v>
      </c>
      <c r="AA1036" s="1" t="s">
        <v>132</v>
      </c>
      <c r="AB1036" s="1" t="s">
        <v>132</v>
      </c>
      <c r="AC1036" s="1" t="s">
        <v>21082</v>
      </c>
      <c r="AD1036" s="1" t="s">
        <v>132</v>
      </c>
      <c r="AE1036" s="1" t="s">
        <v>132</v>
      </c>
      <c r="AF1036" s="1" t="s">
        <v>21083</v>
      </c>
      <c r="AG1036" s="1" t="s">
        <v>132</v>
      </c>
      <c r="AH1036" s="1" t="s">
        <v>132</v>
      </c>
      <c r="AI1036" s="1" t="s">
        <v>132</v>
      </c>
      <c r="AJ1036" s="1" t="s">
        <v>132</v>
      </c>
      <c r="AK1036" s="1" t="s">
        <v>132</v>
      </c>
      <c r="AL1036" s="1" t="s">
        <v>132</v>
      </c>
      <c r="AM1036" s="1" t="s">
        <v>132</v>
      </c>
      <c r="AN1036" s="1" t="s">
        <v>132</v>
      </c>
    </row>
    <row r="1037" ht="15.75" customHeight="1">
      <c r="A1037" s="1" t="s">
        <v>38</v>
      </c>
      <c r="B1037" s="1" t="s">
        <v>21084</v>
      </c>
      <c r="C1037" s="1" t="s">
        <v>21085</v>
      </c>
      <c r="D1037" s="1" t="s">
        <v>132</v>
      </c>
      <c r="E1037" s="1" t="s">
        <v>21086</v>
      </c>
      <c r="F1037" s="1" t="s">
        <v>21087</v>
      </c>
      <c r="G1037" s="1" t="s">
        <v>132</v>
      </c>
      <c r="H1037" s="1" t="s">
        <v>132</v>
      </c>
      <c r="I1037" s="1" t="s">
        <v>21088</v>
      </c>
      <c r="J1037" s="1" t="s">
        <v>132</v>
      </c>
      <c r="K1037" s="1" t="s">
        <v>21089</v>
      </c>
      <c r="L1037" s="1" t="s">
        <v>132</v>
      </c>
      <c r="M1037" s="1" t="s">
        <v>21090</v>
      </c>
      <c r="N1037" s="1" t="s">
        <v>21091</v>
      </c>
      <c r="O1037" s="1" t="s">
        <v>132</v>
      </c>
      <c r="P1037" s="1" t="s">
        <v>21092</v>
      </c>
      <c r="Q1037" s="1" t="s">
        <v>132</v>
      </c>
      <c r="R1037" s="1" t="s">
        <v>132</v>
      </c>
      <c r="S1037" s="1" t="s">
        <v>21093</v>
      </c>
      <c r="T1037" s="1" t="s">
        <v>132</v>
      </c>
      <c r="U1037" s="1" t="s">
        <v>21094</v>
      </c>
      <c r="V1037" s="1" t="s">
        <v>132</v>
      </c>
      <c r="W1037" s="1" t="s">
        <v>132</v>
      </c>
      <c r="X1037" s="1" t="s">
        <v>21095</v>
      </c>
      <c r="Y1037" s="1" t="s">
        <v>132</v>
      </c>
      <c r="Z1037" s="1" t="s">
        <v>21096</v>
      </c>
      <c r="AA1037" s="1" t="s">
        <v>21097</v>
      </c>
      <c r="AB1037" s="1" t="s">
        <v>132</v>
      </c>
      <c r="AC1037" s="1" t="s">
        <v>21098</v>
      </c>
      <c r="AD1037" s="1" t="s">
        <v>132</v>
      </c>
      <c r="AE1037" s="1" t="s">
        <v>132</v>
      </c>
      <c r="AF1037" s="1" t="s">
        <v>21099</v>
      </c>
      <c r="AG1037" s="1" t="s">
        <v>132</v>
      </c>
      <c r="AH1037" s="1" t="s">
        <v>132</v>
      </c>
      <c r="AI1037" s="1" t="s">
        <v>132</v>
      </c>
      <c r="AJ1037" s="1" t="s">
        <v>132</v>
      </c>
      <c r="AK1037" s="1" t="s">
        <v>132</v>
      </c>
      <c r="AL1037" s="1" t="s">
        <v>132</v>
      </c>
      <c r="AM1037" s="1" t="s">
        <v>132</v>
      </c>
      <c r="AN1037" s="1" t="s">
        <v>132</v>
      </c>
    </row>
    <row r="1038" ht="15.75" customHeight="1">
      <c r="A1038" s="1" t="s">
        <v>38</v>
      </c>
      <c r="B1038" s="1" t="s">
        <v>21100</v>
      </c>
      <c r="C1038" s="1" t="s">
        <v>21101</v>
      </c>
      <c r="D1038" s="8" t="s">
        <v>21102</v>
      </c>
      <c r="E1038" s="1" t="s">
        <v>21103</v>
      </c>
      <c r="F1038" s="1" t="s">
        <v>21104</v>
      </c>
      <c r="G1038" s="1" t="s">
        <v>132</v>
      </c>
      <c r="H1038" s="1" t="s">
        <v>132</v>
      </c>
      <c r="I1038" s="1" t="s">
        <v>21105</v>
      </c>
      <c r="J1038" s="1" t="s">
        <v>132</v>
      </c>
      <c r="K1038" s="1" t="s">
        <v>21106</v>
      </c>
      <c r="L1038" s="1" t="s">
        <v>132</v>
      </c>
      <c r="M1038" s="1" t="s">
        <v>21107</v>
      </c>
      <c r="N1038" s="1" t="s">
        <v>21108</v>
      </c>
      <c r="O1038" s="1" t="s">
        <v>132</v>
      </c>
      <c r="P1038" s="1" t="s">
        <v>21109</v>
      </c>
      <c r="Q1038" s="1" t="s">
        <v>21110</v>
      </c>
      <c r="R1038" s="1" t="s">
        <v>132</v>
      </c>
      <c r="S1038" s="1" t="s">
        <v>21111</v>
      </c>
      <c r="T1038" s="1" t="s">
        <v>132</v>
      </c>
      <c r="U1038" s="1" t="s">
        <v>21112</v>
      </c>
      <c r="V1038" s="1" t="s">
        <v>21113</v>
      </c>
      <c r="W1038" s="1" t="s">
        <v>132</v>
      </c>
      <c r="X1038" s="1" t="s">
        <v>21114</v>
      </c>
      <c r="Y1038" s="1" t="s">
        <v>132</v>
      </c>
      <c r="Z1038" s="1" t="s">
        <v>21115</v>
      </c>
      <c r="AA1038" s="1" t="s">
        <v>21116</v>
      </c>
      <c r="AB1038" s="1" t="s">
        <v>132</v>
      </c>
      <c r="AC1038" s="1" t="s">
        <v>21117</v>
      </c>
      <c r="AD1038" s="1" t="s">
        <v>21118</v>
      </c>
      <c r="AE1038" s="1" t="s">
        <v>132</v>
      </c>
      <c r="AF1038" s="1" t="s">
        <v>21119</v>
      </c>
      <c r="AG1038" s="1" t="s">
        <v>21120</v>
      </c>
      <c r="AH1038" s="1" t="s">
        <v>132</v>
      </c>
      <c r="AI1038" s="1" t="s">
        <v>132</v>
      </c>
      <c r="AJ1038" s="1" t="s">
        <v>21121</v>
      </c>
      <c r="AK1038" s="1" t="s">
        <v>21122</v>
      </c>
      <c r="AL1038" s="1" t="s">
        <v>132</v>
      </c>
      <c r="AM1038" s="1" t="s">
        <v>21123</v>
      </c>
      <c r="AN1038" s="1" t="s">
        <v>21123</v>
      </c>
    </row>
    <row r="1039" ht="15.75" customHeight="1">
      <c r="A1039" s="1" t="s">
        <v>38</v>
      </c>
      <c r="B1039" s="1" t="s">
        <v>21124</v>
      </c>
      <c r="C1039" s="1" t="s">
        <v>21125</v>
      </c>
      <c r="D1039" s="1" t="s">
        <v>132</v>
      </c>
      <c r="E1039" s="1" t="s">
        <v>132</v>
      </c>
      <c r="F1039" s="1" t="s">
        <v>132</v>
      </c>
      <c r="G1039" s="1" t="s">
        <v>132</v>
      </c>
      <c r="H1039" s="1" t="s">
        <v>132</v>
      </c>
      <c r="I1039" s="1" t="s">
        <v>21126</v>
      </c>
      <c r="J1039" s="1" t="s">
        <v>132</v>
      </c>
      <c r="K1039" s="1" t="s">
        <v>21127</v>
      </c>
      <c r="L1039" s="1" t="s">
        <v>132</v>
      </c>
      <c r="M1039" s="1" t="s">
        <v>21128</v>
      </c>
      <c r="N1039" s="1" t="s">
        <v>132</v>
      </c>
      <c r="O1039" s="1" t="s">
        <v>132</v>
      </c>
      <c r="P1039" s="1" t="s">
        <v>21129</v>
      </c>
      <c r="Q1039" s="1" t="s">
        <v>132</v>
      </c>
      <c r="R1039" s="1" t="s">
        <v>132</v>
      </c>
      <c r="S1039" s="1" t="s">
        <v>132</v>
      </c>
      <c r="T1039" s="1" t="s">
        <v>132</v>
      </c>
      <c r="U1039" s="1" t="s">
        <v>132</v>
      </c>
      <c r="V1039" s="1" t="s">
        <v>132</v>
      </c>
      <c r="W1039" s="1" t="s">
        <v>132</v>
      </c>
      <c r="X1039" s="1" t="s">
        <v>132</v>
      </c>
      <c r="Y1039" s="1" t="s">
        <v>132</v>
      </c>
      <c r="Z1039" s="1" t="s">
        <v>132</v>
      </c>
      <c r="AA1039" s="1" t="s">
        <v>132</v>
      </c>
      <c r="AB1039" s="1" t="s">
        <v>132</v>
      </c>
      <c r="AC1039" s="1" t="s">
        <v>21130</v>
      </c>
      <c r="AD1039" s="1" t="s">
        <v>132</v>
      </c>
      <c r="AE1039" s="1" t="s">
        <v>132</v>
      </c>
      <c r="AF1039" s="1" t="s">
        <v>21131</v>
      </c>
      <c r="AG1039" s="1" t="s">
        <v>132</v>
      </c>
      <c r="AH1039" s="1" t="s">
        <v>132</v>
      </c>
      <c r="AI1039" s="1" t="s">
        <v>132</v>
      </c>
      <c r="AJ1039" s="1" t="s">
        <v>132</v>
      </c>
      <c r="AK1039" s="1" t="s">
        <v>132</v>
      </c>
      <c r="AL1039" s="1" t="s">
        <v>132</v>
      </c>
      <c r="AM1039" s="1" t="s">
        <v>132</v>
      </c>
      <c r="AN1039" s="1" t="s">
        <v>132</v>
      </c>
    </row>
    <row r="1040" ht="15.75" customHeight="1">
      <c r="A1040" s="1" t="s">
        <v>127</v>
      </c>
      <c r="B1040" s="1" t="s">
        <v>21132</v>
      </c>
      <c r="C1040" s="1" t="s">
        <v>21133</v>
      </c>
      <c r="D1040" s="8" t="s">
        <v>21134</v>
      </c>
      <c r="E1040" s="1" t="s">
        <v>21135</v>
      </c>
      <c r="F1040" s="1" t="s">
        <v>132</v>
      </c>
      <c r="G1040" s="1" t="s">
        <v>21136</v>
      </c>
      <c r="H1040" s="1" t="s">
        <v>21137</v>
      </c>
      <c r="I1040" s="1" t="s">
        <v>21138</v>
      </c>
      <c r="J1040" s="1" t="s">
        <v>21139</v>
      </c>
      <c r="K1040" s="1" t="s">
        <v>21140</v>
      </c>
      <c r="L1040" s="1" t="s">
        <v>21141</v>
      </c>
      <c r="M1040" s="1" t="s">
        <v>21142</v>
      </c>
      <c r="N1040" s="1" t="s">
        <v>132</v>
      </c>
      <c r="O1040" s="1" t="s">
        <v>21143</v>
      </c>
      <c r="P1040" s="1" t="s">
        <v>21144</v>
      </c>
      <c r="Q1040" s="1" t="s">
        <v>132</v>
      </c>
      <c r="R1040" s="1" t="s">
        <v>21145</v>
      </c>
      <c r="S1040" s="1" t="s">
        <v>21146</v>
      </c>
      <c r="T1040" s="8" t="s">
        <v>21147</v>
      </c>
      <c r="U1040" s="1" t="s">
        <v>21148</v>
      </c>
      <c r="V1040" s="1" t="s">
        <v>21149</v>
      </c>
      <c r="W1040" s="1" t="s">
        <v>21150</v>
      </c>
      <c r="X1040" s="1" t="s">
        <v>21151</v>
      </c>
      <c r="Y1040" s="1" t="s">
        <v>21152</v>
      </c>
      <c r="Z1040" s="1" t="s">
        <v>21153</v>
      </c>
      <c r="AA1040" s="1" t="s">
        <v>21154</v>
      </c>
      <c r="AB1040" s="1" t="s">
        <v>21155</v>
      </c>
      <c r="AC1040" s="1" t="s">
        <v>21156</v>
      </c>
      <c r="AD1040" s="1" t="s">
        <v>21157</v>
      </c>
      <c r="AE1040" s="1" t="s">
        <v>21158</v>
      </c>
      <c r="AF1040" s="1" t="s">
        <v>21159</v>
      </c>
      <c r="AG1040" s="1" t="s">
        <v>21160</v>
      </c>
      <c r="AH1040" s="1" t="s">
        <v>21161</v>
      </c>
      <c r="AI1040" s="1" t="s">
        <v>21162</v>
      </c>
      <c r="AJ1040" s="1" t="s">
        <v>132</v>
      </c>
      <c r="AK1040" s="1" t="s">
        <v>21163</v>
      </c>
      <c r="AL1040" s="1" t="s">
        <v>17040</v>
      </c>
      <c r="AM1040" s="1" t="s">
        <v>132</v>
      </c>
      <c r="AN1040" s="1" t="s">
        <v>132</v>
      </c>
    </row>
    <row r="1041" ht="15.75" customHeight="1">
      <c r="A1041" s="1" t="s">
        <v>38</v>
      </c>
      <c r="B1041" s="1" t="s">
        <v>21164</v>
      </c>
      <c r="C1041" s="1" t="s">
        <v>21165</v>
      </c>
      <c r="D1041" s="8" t="s">
        <v>21166</v>
      </c>
      <c r="E1041" s="1" t="s">
        <v>21167</v>
      </c>
      <c r="F1041" s="1" t="s">
        <v>21168</v>
      </c>
      <c r="G1041" s="1" t="s">
        <v>132</v>
      </c>
      <c r="H1041" s="1" t="s">
        <v>132</v>
      </c>
      <c r="I1041" s="1" t="s">
        <v>21165</v>
      </c>
      <c r="J1041" s="1" t="s">
        <v>132</v>
      </c>
      <c r="K1041" s="1" t="s">
        <v>21165</v>
      </c>
      <c r="L1041" s="1" t="s">
        <v>132</v>
      </c>
      <c r="M1041" s="1" t="s">
        <v>21169</v>
      </c>
      <c r="N1041" s="1" t="s">
        <v>21170</v>
      </c>
      <c r="O1041" s="1" t="s">
        <v>132</v>
      </c>
      <c r="P1041" s="1" t="s">
        <v>21171</v>
      </c>
      <c r="Q1041" s="1" t="s">
        <v>21172</v>
      </c>
      <c r="R1041" s="1" t="s">
        <v>132</v>
      </c>
      <c r="S1041" s="1" t="s">
        <v>21173</v>
      </c>
      <c r="T1041" s="1" t="s">
        <v>132</v>
      </c>
      <c r="U1041" s="1" t="s">
        <v>21174</v>
      </c>
      <c r="V1041" s="1" t="s">
        <v>21175</v>
      </c>
      <c r="W1041" s="1" t="s">
        <v>132</v>
      </c>
      <c r="X1041" s="1" t="s">
        <v>21176</v>
      </c>
      <c r="Y1041" s="1" t="s">
        <v>132</v>
      </c>
      <c r="Z1041" s="1" t="s">
        <v>21177</v>
      </c>
      <c r="AA1041" s="1" t="s">
        <v>21178</v>
      </c>
      <c r="AB1041" s="1" t="s">
        <v>132</v>
      </c>
      <c r="AC1041" s="1" t="s">
        <v>21179</v>
      </c>
      <c r="AD1041" s="1" t="s">
        <v>21165</v>
      </c>
      <c r="AE1041" s="1" t="s">
        <v>132</v>
      </c>
      <c r="AF1041" s="1" t="s">
        <v>21180</v>
      </c>
      <c r="AG1041" s="1" t="s">
        <v>21181</v>
      </c>
      <c r="AH1041" s="1" t="s">
        <v>132</v>
      </c>
      <c r="AI1041" s="1" t="s">
        <v>132</v>
      </c>
      <c r="AJ1041" s="1" t="s">
        <v>21182</v>
      </c>
      <c r="AK1041" s="1" t="s">
        <v>21183</v>
      </c>
      <c r="AL1041" s="1" t="s">
        <v>132</v>
      </c>
      <c r="AM1041" s="1" t="s">
        <v>21165</v>
      </c>
      <c r="AN1041" s="1" t="s">
        <v>21165</v>
      </c>
    </row>
    <row r="1042" ht="15.75" customHeight="1">
      <c r="A1042" s="1" t="s">
        <v>38</v>
      </c>
      <c r="B1042" s="1" t="s">
        <v>21184</v>
      </c>
      <c r="C1042" s="1" t="s">
        <v>21185</v>
      </c>
      <c r="D1042" s="8" t="s">
        <v>21186</v>
      </c>
      <c r="E1042" s="1" t="s">
        <v>21187</v>
      </c>
      <c r="F1042" s="1" t="s">
        <v>21188</v>
      </c>
      <c r="G1042" s="1" t="s">
        <v>132</v>
      </c>
      <c r="H1042" s="1" t="s">
        <v>132</v>
      </c>
      <c r="I1042" s="1" t="s">
        <v>21189</v>
      </c>
      <c r="J1042" s="1" t="s">
        <v>132</v>
      </c>
      <c r="K1042" s="1" t="s">
        <v>21190</v>
      </c>
      <c r="L1042" s="1" t="s">
        <v>132</v>
      </c>
      <c r="M1042" s="1" t="s">
        <v>21191</v>
      </c>
      <c r="N1042" s="1" t="s">
        <v>21192</v>
      </c>
      <c r="O1042" s="1" t="s">
        <v>132</v>
      </c>
      <c r="P1042" s="1" t="s">
        <v>21193</v>
      </c>
      <c r="Q1042" s="1" t="s">
        <v>21194</v>
      </c>
      <c r="R1042" s="1" t="s">
        <v>132</v>
      </c>
      <c r="S1042" s="1" t="s">
        <v>21195</v>
      </c>
      <c r="T1042" s="1" t="s">
        <v>132</v>
      </c>
      <c r="U1042" s="1" t="s">
        <v>21196</v>
      </c>
      <c r="V1042" s="1" t="s">
        <v>21197</v>
      </c>
      <c r="W1042" s="1" t="s">
        <v>132</v>
      </c>
      <c r="X1042" s="1" t="s">
        <v>21198</v>
      </c>
      <c r="Y1042" s="1" t="s">
        <v>132</v>
      </c>
      <c r="Z1042" s="1" t="s">
        <v>21199</v>
      </c>
      <c r="AA1042" s="1" t="s">
        <v>21200</v>
      </c>
      <c r="AB1042" s="1" t="s">
        <v>132</v>
      </c>
      <c r="AC1042" s="1" t="s">
        <v>21201</v>
      </c>
      <c r="AD1042" s="1" t="s">
        <v>21202</v>
      </c>
      <c r="AE1042" s="1" t="s">
        <v>132</v>
      </c>
      <c r="AF1042" s="1" t="s">
        <v>21203</v>
      </c>
      <c r="AG1042" s="1" t="s">
        <v>21204</v>
      </c>
      <c r="AH1042" s="1" t="s">
        <v>132</v>
      </c>
      <c r="AI1042" s="1" t="s">
        <v>132</v>
      </c>
      <c r="AJ1042" s="1" t="s">
        <v>21205</v>
      </c>
      <c r="AK1042" s="1" t="s">
        <v>21206</v>
      </c>
      <c r="AL1042" s="1" t="s">
        <v>132</v>
      </c>
      <c r="AM1042" s="1" t="s">
        <v>21207</v>
      </c>
      <c r="AN1042" s="1" t="s">
        <v>21207</v>
      </c>
    </row>
    <row r="1043" ht="15.75" customHeight="1">
      <c r="A1043" s="1" t="s">
        <v>38</v>
      </c>
      <c r="B1043" s="1" t="s">
        <v>21208</v>
      </c>
      <c r="C1043" s="1" t="s">
        <v>21209</v>
      </c>
      <c r="D1043" s="8" t="s">
        <v>21210</v>
      </c>
      <c r="E1043" s="1" t="s">
        <v>21211</v>
      </c>
      <c r="F1043" s="1" t="s">
        <v>21212</v>
      </c>
      <c r="G1043" s="1" t="s">
        <v>132</v>
      </c>
      <c r="H1043" s="1" t="s">
        <v>132</v>
      </c>
      <c r="I1043" s="1" t="s">
        <v>21213</v>
      </c>
      <c r="J1043" s="1" t="s">
        <v>132</v>
      </c>
      <c r="K1043" s="1" t="s">
        <v>21214</v>
      </c>
      <c r="L1043" s="1" t="s">
        <v>132</v>
      </c>
      <c r="M1043" s="1" t="s">
        <v>21215</v>
      </c>
      <c r="N1043" s="1" t="s">
        <v>21214</v>
      </c>
      <c r="O1043" s="1" t="s">
        <v>132</v>
      </c>
      <c r="P1043" s="1" t="s">
        <v>21216</v>
      </c>
      <c r="Q1043" s="1" t="s">
        <v>21217</v>
      </c>
      <c r="R1043" s="1" t="s">
        <v>132</v>
      </c>
      <c r="S1043" s="1" t="s">
        <v>21218</v>
      </c>
      <c r="T1043" s="1" t="s">
        <v>132</v>
      </c>
      <c r="U1043" s="1" t="s">
        <v>21219</v>
      </c>
      <c r="V1043" s="1" t="s">
        <v>21220</v>
      </c>
      <c r="W1043" s="1" t="s">
        <v>132</v>
      </c>
      <c r="X1043" s="1" t="s">
        <v>21221</v>
      </c>
      <c r="Y1043" s="1" t="s">
        <v>132</v>
      </c>
      <c r="Z1043" s="1" t="s">
        <v>21222</v>
      </c>
      <c r="AA1043" s="1" t="s">
        <v>21223</v>
      </c>
      <c r="AB1043" s="1" t="s">
        <v>132</v>
      </c>
      <c r="AC1043" s="1" t="s">
        <v>21224</v>
      </c>
      <c r="AD1043" s="1" t="s">
        <v>132</v>
      </c>
      <c r="AE1043" s="1" t="s">
        <v>132</v>
      </c>
      <c r="AF1043" s="1" t="s">
        <v>21225</v>
      </c>
      <c r="AG1043" s="1" t="s">
        <v>21221</v>
      </c>
      <c r="AH1043" s="1" t="s">
        <v>132</v>
      </c>
      <c r="AI1043" s="1" t="s">
        <v>132</v>
      </c>
      <c r="AJ1043" s="1" t="s">
        <v>21224</v>
      </c>
      <c r="AK1043" s="1" t="s">
        <v>132</v>
      </c>
      <c r="AL1043" s="1" t="s">
        <v>132</v>
      </c>
      <c r="AM1043" s="1" t="s">
        <v>21219</v>
      </c>
      <c r="AN1043" s="1" t="s">
        <v>21219</v>
      </c>
    </row>
    <row r="1044" ht="15.75" customHeight="1">
      <c r="A1044" s="1" t="s">
        <v>38</v>
      </c>
      <c r="B1044" s="1" t="s">
        <v>21226</v>
      </c>
      <c r="C1044" s="1" t="s">
        <v>21227</v>
      </c>
      <c r="D1044" s="1" t="s">
        <v>132</v>
      </c>
      <c r="E1044" s="1" t="s">
        <v>21228</v>
      </c>
      <c r="F1044" s="1" t="s">
        <v>21229</v>
      </c>
      <c r="G1044" s="1" t="s">
        <v>132</v>
      </c>
      <c r="H1044" s="1" t="s">
        <v>132</v>
      </c>
      <c r="I1044" s="1" t="s">
        <v>21230</v>
      </c>
      <c r="J1044" s="1" t="s">
        <v>132</v>
      </c>
      <c r="K1044" s="1" t="s">
        <v>21231</v>
      </c>
      <c r="L1044" s="1" t="s">
        <v>132</v>
      </c>
      <c r="M1044" s="1" t="s">
        <v>21232</v>
      </c>
      <c r="N1044" s="1" t="s">
        <v>21231</v>
      </c>
      <c r="O1044" s="1" t="s">
        <v>132</v>
      </c>
      <c r="P1044" s="1" t="s">
        <v>21233</v>
      </c>
      <c r="Q1044" s="1" t="s">
        <v>132</v>
      </c>
      <c r="R1044" s="1" t="s">
        <v>132</v>
      </c>
      <c r="S1044" s="1" t="s">
        <v>21234</v>
      </c>
      <c r="T1044" s="1" t="s">
        <v>132</v>
      </c>
      <c r="U1044" s="1" t="s">
        <v>21235</v>
      </c>
      <c r="V1044" s="1" t="s">
        <v>132</v>
      </c>
      <c r="W1044" s="1" t="s">
        <v>132</v>
      </c>
      <c r="X1044" s="1" t="s">
        <v>21236</v>
      </c>
      <c r="Y1044" s="1" t="s">
        <v>132</v>
      </c>
      <c r="Z1044" s="1" t="s">
        <v>21237</v>
      </c>
      <c r="AA1044" s="1" t="s">
        <v>21231</v>
      </c>
      <c r="AB1044" s="1" t="s">
        <v>132</v>
      </c>
      <c r="AC1044" s="1" t="s">
        <v>132</v>
      </c>
      <c r="AD1044" s="1" t="s">
        <v>132</v>
      </c>
      <c r="AE1044" s="1" t="s">
        <v>132</v>
      </c>
      <c r="AF1044" s="1" t="s">
        <v>21228</v>
      </c>
      <c r="AG1044" s="1" t="s">
        <v>132</v>
      </c>
      <c r="AH1044" s="1" t="s">
        <v>132</v>
      </c>
      <c r="AI1044" s="1" t="s">
        <v>132</v>
      </c>
      <c r="AJ1044" s="1" t="s">
        <v>132</v>
      </c>
      <c r="AK1044" s="1" t="s">
        <v>132</v>
      </c>
      <c r="AL1044" s="1" t="s">
        <v>132</v>
      </c>
      <c r="AM1044" s="1" t="s">
        <v>132</v>
      </c>
      <c r="AN1044" s="1" t="s">
        <v>132</v>
      </c>
    </row>
    <row r="1045" ht="15.75" customHeight="1">
      <c r="A1045" s="1" t="s">
        <v>127</v>
      </c>
      <c r="B1045" s="1" t="s">
        <v>21238</v>
      </c>
      <c r="C1045" s="1" t="s">
        <v>13551</v>
      </c>
      <c r="D1045" s="8" t="s">
        <v>13552</v>
      </c>
      <c r="E1045" s="1" t="s">
        <v>13567</v>
      </c>
      <c r="F1045" s="1" t="s">
        <v>132</v>
      </c>
      <c r="G1045" s="1" t="s">
        <v>21239</v>
      </c>
      <c r="H1045" s="1" t="s">
        <v>21240</v>
      </c>
      <c r="I1045" s="1" t="s">
        <v>13555</v>
      </c>
      <c r="J1045" s="1" t="s">
        <v>21241</v>
      </c>
      <c r="K1045" s="1" t="s">
        <v>13556</v>
      </c>
      <c r="L1045" s="1" t="s">
        <v>21242</v>
      </c>
      <c r="M1045" s="1" t="s">
        <v>13557</v>
      </c>
      <c r="N1045" s="1" t="s">
        <v>132</v>
      </c>
      <c r="O1045" s="1" t="s">
        <v>21243</v>
      </c>
      <c r="P1045" s="1" t="s">
        <v>21244</v>
      </c>
      <c r="Q1045" s="1" t="s">
        <v>132</v>
      </c>
      <c r="R1045" s="1" t="s">
        <v>21245</v>
      </c>
      <c r="S1045" s="1" t="s">
        <v>13561</v>
      </c>
      <c r="T1045" s="8" t="s">
        <v>21246</v>
      </c>
      <c r="U1045" s="1" t="s">
        <v>13562</v>
      </c>
      <c r="V1045" s="1" t="s">
        <v>13563</v>
      </c>
      <c r="W1045" s="1" t="s">
        <v>21245</v>
      </c>
      <c r="X1045" s="1" t="s">
        <v>13564</v>
      </c>
      <c r="Y1045" s="1" t="s">
        <v>21247</v>
      </c>
      <c r="Z1045" s="1" t="s">
        <v>13565</v>
      </c>
      <c r="AA1045" s="1" t="s">
        <v>13566</v>
      </c>
      <c r="AB1045" s="1" t="s">
        <v>21248</v>
      </c>
      <c r="AC1045" s="1" t="s">
        <v>21249</v>
      </c>
      <c r="AD1045" s="1" t="s">
        <v>13568</v>
      </c>
      <c r="AE1045" s="1" t="s">
        <v>21250</v>
      </c>
      <c r="AF1045" s="1" t="s">
        <v>21251</v>
      </c>
      <c r="AG1045" s="1" t="s">
        <v>13570</v>
      </c>
      <c r="AH1045" s="1" t="s">
        <v>21252</v>
      </c>
      <c r="AI1045" s="1" t="s">
        <v>21253</v>
      </c>
      <c r="AJ1045" s="1" t="s">
        <v>132</v>
      </c>
      <c r="AK1045" s="1" t="s">
        <v>21254</v>
      </c>
      <c r="AL1045" s="1" t="s">
        <v>13573</v>
      </c>
      <c r="AM1045" s="1" t="s">
        <v>21255</v>
      </c>
      <c r="AN1045" s="1" t="s">
        <v>21255</v>
      </c>
    </row>
    <row r="1046" ht="15.75" customHeight="1">
      <c r="A1046" s="1" t="s">
        <v>38</v>
      </c>
      <c r="B1046" s="1" t="s">
        <v>21256</v>
      </c>
      <c r="C1046" s="1" t="s">
        <v>21257</v>
      </c>
      <c r="D1046" s="1" t="s">
        <v>132</v>
      </c>
      <c r="E1046" s="1" t="s">
        <v>132</v>
      </c>
      <c r="F1046" s="1" t="s">
        <v>132</v>
      </c>
      <c r="G1046" s="1" t="s">
        <v>132</v>
      </c>
      <c r="H1046" s="1" t="s">
        <v>132</v>
      </c>
      <c r="I1046" s="1" t="s">
        <v>21258</v>
      </c>
      <c r="J1046" s="1" t="s">
        <v>132</v>
      </c>
      <c r="K1046" s="1" t="s">
        <v>21259</v>
      </c>
      <c r="L1046" s="1" t="s">
        <v>132</v>
      </c>
      <c r="M1046" s="1" t="s">
        <v>21260</v>
      </c>
      <c r="N1046" s="1" t="s">
        <v>132</v>
      </c>
      <c r="O1046" s="1" t="s">
        <v>132</v>
      </c>
      <c r="P1046" s="1" t="s">
        <v>21257</v>
      </c>
      <c r="Q1046" s="1" t="s">
        <v>132</v>
      </c>
      <c r="R1046" s="1" t="s">
        <v>132</v>
      </c>
      <c r="S1046" s="1" t="s">
        <v>132</v>
      </c>
      <c r="T1046" s="1" t="s">
        <v>132</v>
      </c>
      <c r="U1046" s="1" t="s">
        <v>132</v>
      </c>
      <c r="V1046" s="1" t="s">
        <v>132</v>
      </c>
      <c r="W1046" s="1" t="s">
        <v>132</v>
      </c>
      <c r="X1046" s="1" t="s">
        <v>132</v>
      </c>
      <c r="Y1046" s="1" t="s">
        <v>132</v>
      </c>
      <c r="Z1046" s="1" t="s">
        <v>132</v>
      </c>
      <c r="AA1046" s="1" t="s">
        <v>132</v>
      </c>
      <c r="AB1046" s="1" t="s">
        <v>132</v>
      </c>
      <c r="AC1046" s="1" t="s">
        <v>21261</v>
      </c>
      <c r="AD1046" s="1" t="s">
        <v>132</v>
      </c>
      <c r="AE1046" s="1" t="s">
        <v>132</v>
      </c>
      <c r="AF1046" s="1" t="s">
        <v>21262</v>
      </c>
      <c r="AG1046" s="1" t="s">
        <v>132</v>
      </c>
      <c r="AH1046" s="1" t="s">
        <v>132</v>
      </c>
      <c r="AI1046" s="1" t="s">
        <v>132</v>
      </c>
      <c r="AJ1046" s="1" t="s">
        <v>132</v>
      </c>
      <c r="AK1046" s="1" t="s">
        <v>132</v>
      </c>
      <c r="AL1046" s="1" t="s">
        <v>132</v>
      </c>
      <c r="AM1046" s="1" t="s">
        <v>132</v>
      </c>
      <c r="AN1046" s="1" t="s">
        <v>132</v>
      </c>
    </row>
    <row r="1047" ht="15.75" customHeight="1">
      <c r="A1047" s="1" t="s">
        <v>38</v>
      </c>
      <c r="B1047" s="1" t="s">
        <v>21263</v>
      </c>
      <c r="C1047" s="1" t="s">
        <v>21264</v>
      </c>
      <c r="D1047" s="1" t="s">
        <v>132</v>
      </c>
      <c r="E1047" s="1" t="s">
        <v>132</v>
      </c>
      <c r="F1047" s="1" t="s">
        <v>132</v>
      </c>
      <c r="G1047" s="1" t="s">
        <v>132</v>
      </c>
      <c r="H1047" s="1" t="s">
        <v>132</v>
      </c>
      <c r="I1047" s="1" t="s">
        <v>21265</v>
      </c>
      <c r="J1047" s="1" t="s">
        <v>132</v>
      </c>
      <c r="K1047" s="1" t="s">
        <v>21266</v>
      </c>
      <c r="L1047" s="1" t="s">
        <v>132</v>
      </c>
      <c r="M1047" s="1" t="s">
        <v>21267</v>
      </c>
      <c r="N1047" s="1" t="s">
        <v>132</v>
      </c>
      <c r="O1047" s="1" t="s">
        <v>132</v>
      </c>
      <c r="P1047" s="1" t="s">
        <v>21268</v>
      </c>
      <c r="Q1047" s="1" t="s">
        <v>132</v>
      </c>
      <c r="R1047" s="1" t="s">
        <v>132</v>
      </c>
      <c r="S1047" s="1" t="s">
        <v>132</v>
      </c>
      <c r="T1047" s="1" t="s">
        <v>132</v>
      </c>
      <c r="U1047" s="1" t="s">
        <v>132</v>
      </c>
      <c r="V1047" s="1" t="s">
        <v>132</v>
      </c>
      <c r="W1047" s="1" t="s">
        <v>132</v>
      </c>
      <c r="X1047" s="1" t="s">
        <v>132</v>
      </c>
      <c r="Y1047" s="1" t="s">
        <v>132</v>
      </c>
      <c r="Z1047" s="1" t="s">
        <v>132</v>
      </c>
      <c r="AA1047" s="1" t="s">
        <v>132</v>
      </c>
      <c r="AB1047" s="1" t="s">
        <v>132</v>
      </c>
      <c r="AC1047" s="1" t="s">
        <v>21269</v>
      </c>
      <c r="AD1047" s="1" t="s">
        <v>132</v>
      </c>
      <c r="AE1047" s="1" t="s">
        <v>132</v>
      </c>
      <c r="AF1047" s="1" t="s">
        <v>21270</v>
      </c>
      <c r="AG1047" s="1" t="s">
        <v>132</v>
      </c>
      <c r="AH1047" s="1" t="s">
        <v>132</v>
      </c>
      <c r="AI1047" s="1" t="s">
        <v>132</v>
      </c>
      <c r="AJ1047" s="1" t="s">
        <v>132</v>
      </c>
      <c r="AK1047" s="1" t="s">
        <v>132</v>
      </c>
      <c r="AL1047" s="1" t="s">
        <v>132</v>
      </c>
      <c r="AM1047" s="1" t="s">
        <v>132</v>
      </c>
      <c r="AN1047" s="1" t="s">
        <v>132</v>
      </c>
    </row>
    <row r="1048" ht="15.75" customHeight="1">
      <c r="A1048" s="1" t="s">
        <v>127</v>
      </c>
      <c r="B1048" s="1" t="s">
        <v>21271</v>
      </c>
      <c r="C1048" s="1" t="s">
        <v>21272</v>
      </c>
      <c r="D1048" s="8" t="s">
        <v>21273</v>
      </c>
      <c r="E1048" s="1" t="s">
        <v>21274</v>
      </c>
      <c r="F1048" s="1" t="s">
        <v>132</v>
      </c>
      <c r="G1048" s="1" t="s">
        <v>21275</v>
      </c>
      <c r="H1048" s="1" t="s">
        <v>21276</v>
      </c>
      <c r="I1048" s="1" t="s">
        <v>21277</v>
      </c>
      <c r="J1048" s="1" t="s">
        <v>21278</v>
      </c>
      <c r="K1048" s="1" t="s">
        <v>21279</v>
      </c>
      <c r="L1048" s="1" t="s">
        <v>21280</v>
      </c>
      <c r="M1048" s="1" t="s">
        <v>21281</v>
      </c>
      <c r="N1048" s="1" t="s">
        <v>132</v>
      </c>
      <c r="O1048" s="1" t="s">
        <v>21282</v>
      </c>
      <c r="P1048" s="1" t="s">
        <v>21283</v>
      </c>
      <c r="Q1048" s="1" t="s">
        <v>132</v>
      </c>
      <c r="R1048" s="1" t="s">
        <v>21284</v>
      </c>
      <c r="S1048" s="1" t="s">
        <v>21285</v>
      </c>
      <c r="T1048" s="8" t="s">
        <v>21286</v>
      </c>
      <c r="U1048" s="1" t="s">
        <v>21287</v>
      </c>
      <c r="V1048" s="1" t="s">
        <v>21288</v>
      </c>
      <c r="W1048" s="1" t="s">
        <v>21284</v>
      </c>
      <c r="X1048" s="1" t="s">
        <v>21289</v>
      </c>
      <c r="Y1048" s="1" t="s">
        <v>21290</v>
      </c>
      <c r="Z1048" s="1" t="s">
        <v>21291</v>
      </c>
      <c r="AA1048" s="1" t="s">
        <v>21292</v>
      </c>
      <c r="AB1048" s="1" t="s">
        <v>21293</v>
      </c>
      <c r="AC1048" s="1" t="s">
        <v>21294</v>
      </c>
      <c r="AD1048" s="1" t="s">
        <v>21295</v>
      </c>
      <c r="AE1048" s="1" t="s">
        <v>21296</v>
      </c>
      <c r="AF1048" s="1" t="s">
        <v>21297</v>
      </c>
      <c r="AG1048" s="1" t="s">
        <v>21298</v>
      </c>
      <c r="AH1048" s="1" t="s">
        <v>21299</v>
      </c>
      <c r="AI1048" s="1" t="s">
        <v>21300</v>
      </c>
      <c r="AJ1048" s="1" t="s">
        <v>132</v>
      </c>
      <c r="AK1048" s="1" t="s">
        <v>21301</v>
      </c>
      <c r="AL1048" s="1" t="s">
        <v>21302</v>
      </c>
      <c r="AM1048" s="1" t="s">
        <v>21303</v>
      </c>
      <c r="AN1048" s="1" t="s">
        <v>21303</v>
      </c>
    </row>
    <row r="1049" ht="15.75" customHeight="1">
      <c r="A1049" s="1" t="s">
        <v>43182</v>
      </c>
      <c r="B1049" s="1" t="s">
        <v>43258</v>
      </c>
      <c r="C1049" s="1" t="s">
        <v>43259</v>
      </c>
      <c r="D1049" s="1" t="s">
        <v>132</v>
      </c>
      <c r="E1049" s="1" t="s">
        <v>132</v>
      </c>
      <c r="F1049" s="1" t="s">
        <v>132</v>
      </c>
      <c r="G1049" s="1" t="s">
        <v>132</v>
      </c>
      <c r="H1049" s="1" t="s">
        <v>132</v>
      </c>
      <c r="I1049" s="1" t="s">
        <v>132</v>
      </c>
      <c r="J1049" s="1" t="s">
        <v>132</v>
      </c>
      <c r="K1049" s="1" t="s">
        <v>132</v>
      </c>
      <c r="L1049" s="1" t="s">
        <v>132</v>
      </c>
      <c r="M1049" s="1" t="s">
        <v>132</v>
      </c>
      <c r="N1049" s="1" t="s">
        <v>132</v>
      </c>
      <c r="O1049" s="1" t="s">
        <v>132</v>
      </c>
      <c r="P1049" s="1" t="s">
        <v>132</v>
      </c>
      <c r="Q1049" s="1" t="s">
        <v>132</v>
      </c>
      <c r="R1049" s="1" t="s">
        <v>132</v>
      </c>
      <c r="S1049" s="1" t="s">
        <v>132</v>
      </c>
      <c r="T1049" s="1" t="s">
        <v>132</v>
      </c>
      <c r="U1049" s="1" t="s">
        <v>132</v>
      </c>
      <c r="V1049" s="1" t="s">
        <v>132</v>
      </c>
      <c r="W1049" s="1" t="s">
        <v>132</v>
      </c>
      <c r="X1049" s="1" t="s">
        <v>132</v>
      </c>
      <c r="Y1049" s="1" t="s">
        <v>132</v>
      </c>
      <c r="Z1049" s="1" t="s">
        <v>132</v>
      </c>
      <c r="AA1049" s="1" t="s">
        <v>132</v>
      </c>
      <c r="AB1049" s="1" t="s">
        <v>132</v>
      </c>
      <c r="AC1049" s="1" t="s">
        <v>132</v>
      </c>
      <c r="AD1049" s="1" t="s">
        <v>132</v>
      </c>
      <c r="AE1049" s="1" t="s">
        <v>132</v>
      </c>
      <c r="AF1049" s="1" t="s">
        <v>132</v>
      </c>
      <c r="AG1049" s="1" t="s">
        <v>132</v>
      </c>
      <c r="AH1049" s="1" t="s">
        <v>132</v>
      </c>
      <c r="AI1049" s="1" t="s">
        <v>132</v>
      </c>
      <c r="AJ1049" s="1" t="s">
        <v>132</v>
      </c>
      <c r="AK1049" s="1" t="s">
        <v>132</v>
      </c>
      <c r="AL1049" s="1" t="s">
        <v>132</v>
      </c>
      <c r="AM1049" s="1" t="s">
        <v>132</v>
      </c>
      <c r="AN1049" s="1" t="s">
        <v>132</v>
      </c>
    </row>
    <row r="1050" ht="15.75" customHeight="1">
      <c r="A1050" s="1" t="s">
        <v>127</v>
      </c>
      <c r="B1050" s="1" t="s">
        <v>21304</v>
      </c>
      <c r="C1050" s="1" t="s">
        <v>21305</v>
      </c>
      <c r="D1050" s="8" t="s">
        <v>21306</v>
      </c>
      <c r="E1050" s="1" t="s">
        <v>21307</v>
      </c>
      <c r="F1050" s="1" t="s">
        <v>132</v>
      </c>
      <c r="G1050" s="1" t="s">
        <v>21308</v>
      </c>
      <c r="H1050" s="1" t="s">
        <v>21309</v>
      </c>
      <c r="I1050" s="1" t="s">
        <v>21310</v>
      </c>
      <c r="J1050" s="1" t="s">
        <v>21311</v>
      </c>
      <c r="K1050" s="1" t="s">
        <v>21312</v>
      </c>
      <c r="L1050" s="1" t="s">
        <v>21313</v>
      </c>
      <c r="M1050" s="1" t="s">
        <v>21314</v>
      </c>
      <c r="N1050" s="1" t="s">
        <v>132</v>
      </c>
      <c r="O1050" s="1" t="s">
        <v>21315</v>
      </c>
      <c r="P1050" s="1" t="s">
        <v>21316</v>
      </c>
      <c r="Q1050" s="1" t="s">
        <v>132</v>
      </c>
      <c r="R1050" s="1" t="s">
        <v>21317</v>
      </c>
      <c r="S1050" s="1" t="s">
        <v>21318</v>
      </c>
      <c r="T1050" s="8" t="s">
        <v>21319</v>
      </c>
      <c r="U1050" s="1" t="s">
        <v>21320</v>
      </c>
      <c r="V1050" s="1" t="s">
        <v>21321</v>
      </c>
      <c r="W1050" s="1" t="s">
        <v>21322</v>
      </c>
      <c r="X1050" s="1" t="s">
        <v>21323</v>
      </c>
      <c r="Y1050" s="1" t="s">
        <v>21324</v>
      </c>
      <c r="Z1050" s="1" t="s">
        <v>21325</v>
      </c>
      <c r="AA1050" s="1" t="s">
        <v>21326</v>
      </c>
      <c r="AB1050" s="1" t="s">
        <v>21327</v>
      </c>
      <c r="AC1050" s="1" t="s">
        <v>21328</v>
      </c>
      <c r="AD1050" s="1" t="s">
        <v>21329</v>
      </c>
      <c r="AE1050" s="1" t="s">
        <v>21330</v>
      </c>
      <c r="AF1050" s="1" t="s">
        <v>21331</v>
      </c>
      <c r="AG1050" s="1" t="s">
        <v>21332</v>
      </c>
      <c r="AH1050" s="1" t="s">
        <v>21333</v>
      </c>
      <c r="AI1050" s="1" t="s">
        <v>21334</v>
      </c>
      <c r="AJ1050" s="1" t="s">
        <v>132</v>
      </c>
      <c r="AK1050" s="1" t="s">
        <v>21335</v>
      </c>
      <c r="AL1050" s="1" t="s">
        <v>21336</v>
      </c>
      <c r="AM1050" s="1" t="s">
        <v>21337</v>
      </c>
      <c r="AN1050" s="1" t="s">
        <v>21337</v>
      </c>
    </row>
    <row r="1051" ht="15.75" customHeight="1">
      <c r="A1051" s="1" t="s">
        <v>5830</v>
      </c>
      <c r="B1051" s="1" t="s">
        <v>21338</v>
      </c>
      <c r="C1051" s="1" t="s">
        <v>21339</v>
      </c>
      <c r="D1051" s="1" t="s">
        <v>21352</v>
      </c>
      <c r="E1051" s="1" t="s">
        <v>21340</v>
      </c>
      <c r="F1051" s="1" t="s">
        <v>21341</v>
      </c>
      <c r="G1051" s="1" t="s">
        <v>132</v>
      </c>
      <c r="H1051" s="1" t="s">
        <v>21342</v>
      </c>
      <c r="I1051" s="1" t="s">
        <v>21340</v>
      </c>
      <c r="J1051" s="1" t="s">
        <v>132</v>
      </c>
      <c r="K1051" s="1" t="s">
        <v>21341</v>
      </c>
      <c r="L1051" s="1" t="s">
        <v>21343</v>
      </c>
      <c r="M1051" s="1" t="s">
        <v>21344</v>
      </c>
      <c r="N1051" s="1" t="s">
        <v>132</v>
      </c>
      <c r="O1051" s="1" t="s">
        <v>132</v>
      </c>
      <c r="P1051" s="1" t="s">
        <v>21345</v>
      </c>
      <c r="Q1051" s="1" t="s">
        <v>132</v>
      </c>
      <c r="R1051" s="1" t="s">
        <v>21346</v>
      </c>
      <c r="S1051" s="1" t="s">
        <v>21347</v>
      </c>
      <c r="T1051" s="1" t="s">
        <v>21348</v>
      </c>
      <c r="U1051" s="1" t="s">
        <v>21349</v>
      </c>
      <c r="V1051" s="1" t="s">
        <v>21350</v>
      </c>
      <c r="W1051" s="1" t="s">
        <v>21351</v>
      </c>
      <c r="X1051" s="1" t="s">
        <v>21352</v>
      </c>
      <c r="Y1051" s="1" t="s">
        <v>21353</v>
      </c>
      <c r="Z1051" s="1" t="s">
        <v>21354</v>
      </c>
      <c r="AA1051" s="1" t="s">
        <v>21355</v>
      </c>
      <c r="AB1051" s="1" t="s">
        <v>132</v>
      </c>
      <c r="AC1051" s="1" t="s">
        <v>21356</v>
      </c>
      <c r="AD1051" s="1" t="s">
        <v>21357</v>
      </c>
      <c r="AE1051" s="1" t="s">
        <v>132</v>
      </c>
      <c r="AF1051" s="1" t="s">
        <v>21358</v>
      </c>
      <c r="AG1051" s="1" t="s">
        <v>21359</v>
      </c>
      <c r="AH1051" s="1" t="s">
        <v>132</v>
      </c>
      <c r="AI1051" s="1" t="s">
        <v>21348</v>
      </c>
      <c r="AJ1051" s="1" t="s">
        <v>132</v>
      </c>
      <c r="AK1051" s="1" t="s">
        <v>132</v>
      </c>
      <c r="AL1051" s="1" t="s">
        <v>21357</v>
      </c>
      <c r="AM1051" s="1" t="s">
        <v>132</v>
      </c>
      <c r="AN1051" s="1" t="s">
        <v>132</v>
      </c>
    </row>
    <row r="1052" ht="15.75" customHeight="1">
      <c r="A1052" s="1" t="s">
        <v>11050</v>
      </c>
      <c r="B1052" s="1" t="s">
        <v>21360</v>
      </c>
      <c r="C1052" s="1" t="s">
        <v>132</v>
      </c>
      <c r="D1052" s="8" t="s">
        <v>21361</v>
      </c>
      <c r="E1052" s="1" t="s">
        <v>21362</v>
      </c>
      <c r="F1052" s="1" t="s">
        <v>132</v>
      </c>
      <c r="G1052" s="1" t="s">
        <v>21363</v>
      </c>
      <c r="H1052" s="1" t="s">
        <v>21364</v>
      </c>
      <c r="I1052" s="1" t="s">
        <v>132</v>
      </c>
      <c r="J1052" s="1" t="s">
        <v>21365</v>
      </c>
      <c r="K1052" s="1" t="s">
        <v>132</v>
      </c>
      <c r="L1052" s="1" t="s">
        <v>21366</v>
      </c>
      <c r="M1052" s="1" t="s">
        <v>132</v>
      </c>
      <c r="N1052" s="1" t="s">
        <v>132</v>
      </c>
      <c r="O1052" s="1" t="s">
        <v>21367</v>
      </c>
      <c r="P1052" s="1" t="s">
        <v>132</v>
      </c>
      <c r="Q1052" s="1" t="s">
        <v>132</v>
      </c>
      <c r="R1052" s="1" t="s">
        <v>132</v>
      </c>
      <c r="S1052" s="1" t="s">
        <v>132</v>
      </c>
      <c r="T1052" s="8" t="s">
        <v>21368</v>
      </c>
      <c r="U1052" s="1" t="s">
        <v>132</v>
      </c>
      <c r="V1052" s="1" t="s">
        <v>21369</v>
      </c>
      <c r="W1052" s="1" t="s">
        <v>132</v>
      </c>
      <c r="X1052" s="1" t="s">
        <v>132</v>
      </c>
      <c r="Y1052" s="1" t="s">
        <v>21370</v>
      </c>
      <c r="Z1052" s="1" t="s">
        <v>132</v>
      </c>
      <c r="AA1052" s="1" t="s">
        <v>132</v>
      </c>
      <c r="AB1052" s="1" t="s">
        <v>21371</v>
      </c>
      <c r="AC1052" s="1" t="s">
        <v>132</v>
      </c>
      <c r="AD1052" s="1" t="s">
        <v>21372</v>
      </c>
      <c r="AE1052" s="1" t="s">
        <v>21373</v>
      </c>
      <c r="AF1052" s="1" t="s">
        <v>132</v>
      </c>
      <c r="AG1052" s="1" t="s">
        <v>21374</v>
      </c>
      <c r="AH1052" s="1" t="s">
        <v>21375</v>
      </c>
      <c r="AI1052" s="1" t="s">
        <v>132</v>
      </c>
      <c r="AJ1052" s="1" t="s">
        <v>132</v>
      </c>
      <c r="AK1052" s="1" t="s">
        <v>21376</v>
      </c>
      <c r="AL1052" s="1" t="s">
        <v>132</v>
      </c>
      <c r="AM1052" s="1" t="s">
        <v>132</v>
      </c>
      <c r="AN1052" s="1" t="s">
        <v>132</v>
      </c>
    </row>
    <row r="1053" ht="15.75" customHeight="1">
      <c r="A1053" s="1" t="s">
        <v>127</v>
      </c>
      <c r="B1053" s="1" t="s">
        <v>21377</v>
      </c>
      <c r="C1053" s="1" t="s">
        <v>21378</v>
      </c>
      <c r="D1053" s="8" t="s">
        <v>21379</v>
      </c>
      <c r="E1053" s="1" t="s">
        <v>21380</v>
      </c>
      <c r="F1053" s="1" t="s">
        <v>132</v>
      </c>
      <c r="G1053" s="1" t="s">
        <v>21381</v>
      </c>
      <c r="H1053" s="1" t="s">
        <v>21382</v>
      </c>
      <c r="I1053" s="1" t="s">
        <v>2798</v>
      </c>
      <c r="J1053" s="1" t="s">
        <v>21383</v>
      </c>
      <c r="K1053" s="1" t="s">
        <v>3726</v>
      </c>
      <c r="L1053" s="1" t="s">
        <v>21384</v>
      </c>
      <c r="M1053" s="1" t="s">
        <v>3727</v>
      </c>
      <c r="N1053" s="1" t="s">
        <v>132</v>
      </c>
      <c r="O1053" s="1" t="s">
        <v>21385</v>
      </c>
      <c r="P1053" s="1" t="s">
        <v>21386</v>
      </c>
      <c r="Q1053" s="1" t="s">
        <v>132</v>
      </c>
      <c r="R1053" s="1" t="s">
        <v>21387</v>
      </c>
      <c r="S1053" s="1" t="s">
        <v>21388</v>
      </c>
      <c r="T1053" s="8" t="s">
        <v>21389</v>
      </c>
      <c r="U1053" s="1" t="s">
        <v>21390</v>
      </c>
      <c r="V1053" s="1" t="s">
        <v>21391</v>
      </c>
      <c r="W1053" s="1" t="s">
        <v>21392</v>
      </c>
      <c r="X1053" s="1" t="s">
        <v>21393</v>
      </c>
      <c r="Y1053" s="1" t="s">
        <v>21382</v>
      </c>
      <c r="Z1053" s="1" t="s">
        <v>3735</v>
      </c>
      <c r="AA1053" s="1" t="s">
        <v>21394</v>
      </c>
      <c r="AB1053" s="1" t="s">
        <v>21395</v>
      </c>
      <c r="AC1053" s="1" t="s">
        <v>21396</v>
      </c>
      <c r="AD1053" s="1" t="s">
        <v>21397</v>
      </c>
      <c r="AE1053" s="1" t="s">
        <v>21398</v>
      </c>
      <c r="AF1053" s="1" t="s">
        <v>21399</v>
      </c>
      <c r="AG1053" s="1" t="s">
        <v>21400</v>
      </c>
      <c r="AH1053" s="1" t="s">
        <v>21401</v>
      </c>
      <c r="AI1053" s="1" t="s">
        <v>21402</v>
      </c>
      <c r="AJ1053" s="1" t="s">
        <v>132</v>
      </c>
      <c r="AK1053" s="1" t="s">
        <v>21403</v>
      </c>
      <c r="AL1053" s="1" t="s">
        <v>21404</v>
      </c>
      <c r="AM1053" s="1" t="s">
        <v>21405</v>
      </c>
      <c r="AN1053" s="1" t="s">
        <v>21405</v>
      </c>
    </row>
    <row r="1054" ht="15.75" customHeight="1">
      <c r="A1054" s="1" t="s">
        <v>127</v>
      </c>
      <c r="B1054" s="1" t="s">
        <v>21406</v>
      </c>
      <c r="C1054" s="1" t="s">
        <v>21407</v>
      </c>
      <c r="D1054" s="8" t="s">
        <v>21408</v>
      </c>
      <c r="E1054" s="1" t="s">
        <v>21409</v>
      </c>
      <c r="F1054" s="1" t="s">
        <v>132</v>
      </c>
      <c r="G1054" s="1" t="s">
        <v>21410</v>
      </c>
      <c r="H1054" s="1" t="s">
        <v>21411</v>
      </c>
      <c r="I1054" s="1" t="s">
        <v>21412</v>
      </c>
      <c r="J1054" s="1" t="s">
        <v>21413</v>
      </c>
      <c r="K1054" s="1" t="s">
        <v>2950</v>
      </c>
      <c r="L1054" s="1" t="s">
        <v>21414</v>
      </c>
      <c r="M1054" s="1" t="s">
        <v>21415</v>
      </c>
      <c r="N1054" s="1" t="s">
        <v>132</v>
      </c>
      <c r="O1054" s="1" t="s">
        <v>21416</v>
      </c>
      <c r="P1054" s="1" t="s">
        <v>21417</v>
      </c>
      <c r="Q1054" s="1" t="s">
        <v>132</v>
      </c>
      <c r="R1054" s="1" t="s">
        <v>21418</v>
      </c>
      <c r="S1054" s="1" t="s">
        <v>21419</v>
      </c>
      <c r="T1054" s="8" t="s">
        <v>21420</v>
      </c>
      <c r="U1054" s="1" t="s">
        <v>21421</v>
      </c>
      <c r="V1054" s="1" t="s">
        <v>21422</v>
      </c>
      <c r="W1054" s="1" t="s">
        <v>21423</v>
      </c>
      <c r="X1054" s="1" t="s">
        <v>21424</v>
      </c>
      <c r="Y1054" s="1" t="s">
        <v>21411</v>
      </c>
      <c r="Z1054" s="1" t="s">
        <v>21425</v>
      </c>
      <c r="AA1054" s="1" t="s">
        <v>2950</v>
      </c>
      <c r="AB1054" s="1" t="s">
        <v>21426</v>
      </c>
      <c r="AC1054" s="1" t="s">
        <v>21427</v>
      </c>
      <c r="AD1054" s="1" t="s">
        <v>21410</v>
      </c>
      <c r="AE1054" s="1" t="s">
        <v>21410</v>
      </c>
      <c r="AF1054" s="1" t="s">
        <v>15341</v>
      </c>
      <c r="AG1054" s="1" t="s">
        <v>21411</v>
      </c>
      <c r="AH1054" s="1" t="s">
        <v>21428</v>
      </c>
      <c r="AI1054" s="1" t="s">
        <v>21429</v>
      </c>
      <c r="AJ1054" s="1" t="s">
        <v>132</v>
      </c>
      <c r="AK1054" s="1" t="s">
        <v>21430</v>
      </c>
      <c r="AL1054" s="1" t="s">
        <v>21431</v>
      </c>
      <c r="AM1054" s="1" t="s">
        <v>21432</v>
      </c>
      <c r="AN1054" s="1" t="s">
        <v>21432</v>
      </c>
    </row>
    <row r="1055" ht="15.75" customHeight="1">
      <c r="A1055" s="1" t="s">
        <v>38</v>
      </c>
      <c r="B1055" s="1" t="s">
        <v>21433</v>
      </c>
      <c r="C1055" s="1" t="s">
        <v>21434</v>
      </c>
      <c r="D1055" s="8" t="s">
        <v>21435</v>
      </c>
      <c r="E1055" s="1" t="s">
        <v>21436</v>
      </c>
      <c r="F1055" s="1" t="s">
        <v>21437</v>
      </c>
      <c r="G1055" s="1" t="s">
        <v>132</v>
      </c>
      <c r="H1055" s="1" t="s">
        <v>132</v>
      </c>
      <c r="I1055" s="1" t="s">
        <v>21438</v>
      </c>
      <c r="J1055" s="1" t="s">
        <v>132</v>
      </c>
      <c r="K1055" s="1" t="s">
        <v>21439</v>
      </c>
      <c r="L1055" s="1" t="s">
        <v>132</v>
      </c>
      <c r="M1055" s="1" t="s">
        <v>21440</v>
      </c>
      <c r="N1055" s="1" t="s">
        <v>21441</v>
      </c>
      <c r="O1055" s="1" t="s">
        <v>132</v>
      </c>
      <c r="P1055" s="1" t="s">
        <v>21442</v>
      </c>
      <c r="Q1055" s="1" t="s">
        <v>21443</v>
      </c>
      <c r="R1055" s="1" t="s">
        <v>132</v>
      </c>
      <c r="S1055" s="1" t="s">
        <v>21444</v>
      </c>
      <c r="T1055" s="1" t="s">
        <v>132</v>
      </c>
      <c r="U1055" s="1" t="s">
        <v>21445</v>
      </c>
      <c r="V1055" s="1" t="s">
        <v>21446</v>
      </c>
      <c r="W1055" s="1" t="s">
        <v>132</v>
      </c>
      <c r="X1055" s="1" t="s">
        <v>21447</v>
      </c>
      <c r="Y1055" s="1" t="s">
        <v>132</v>
      </c>
      <c r="Z1055" s="1" t="s">
        <v>21448</v>
      </c>
      <c r="AA1055" s="1" t="s">
        <v>21441</v>
      </c>
      <c r="AB1055" s="1" t="s">
        <v>132</v>
      </c>
      <c r="AC1055" s="1" t="s">
        <v>21449</v>
      </c>
      <c r="AD1055" s="1" t="s">
        <v>21450</v>
      </c>
      <c r="AE1055" s="1" t="s">
        <v>132</v>
      </c>
      <c r="AF1055" s="1" t="s">
        <v>21451</v>
      </c>
      <c r="AG1055" s="1" t="s">
        <v>21452</v>
      </c>
      <c r="AH1055" s="1" t="s">
        <v>132</v>
      </c>
      <c r="AI1055" s="1" t="s">
        <v>132</v>
      </c>
      <c r="AJ1055" s="1" t="s">
        <v>21453</v>
      </c>
      <c r="AK1055" s="1" t="s">
        <v>21454</v>
      </c>
      <c r="AL1055" s="1" t="s">
        <v>132</v>
      </c>
      <c r="AM1055" s="1" t="s">
        <v>21455</v>
      </c>
      <c r="AN1055" s="1" t="s">
        <v>21455</v>
      </c>
    </row>
    <row r="1056" ht="15.75" customHeight="1">
      <c r="A1056" s="1" t="s">
        <v>127</v>
      </c>
      <c r="B1056" s="1" t="s">
        <v>21456</v>
      </c>
      <c r="C1056" s="1" t="s">
        <v>21457</v>
      </c>
      <c r="D1056" s="8" t="s">
        <v>21458</v>
      </c>
      <c r="E1056" s="1" t="s">
        <v>21459</v>
      </c>
      <c r="F1056" s="1" t="s">
        <v>132</v>
      </c>
      <c r="G1056" s="1" t="s">
        <v>21460</v>
      </c>
      <c r="H1056" s="1" t="s">
        <v>21461</v>
      </c>
      <c r="I1056" s="1" t="s">
        <v>21457</v>
      </c>
      <c r="J1056" s="1" t="s">
        <v>21462</v>
      </c>
      <c r="K1056" s="1" t="s">
        <v>21463</v>
      </c>
      <c r="L1056" s="1" t="s">
        <v>21464</v>
      </c>
      <c r="M1056" s="1" t="s">
        <v>21465</v>
      </c>
      <c r="N1056" s="1" t="s">
        <v>132</v>
      </c>
      <c r="O1056" s="1" t="s">
        <v>21466</v>
      </c>
      <c r="P1056" s="1" t="s">
        <v>21467</v>
      </c>
      <c r="Q1056" s="1" t="s">
        <v>132</v>
      </c>
      <c r="R1056" s="1" t="s">
        <v>21468</v>
      </c>
      <c r="S1056" s="1" t="s">
        <v>21469</v>
      </c>
      <c r="T1056" s="8" t="s">
        <v>21470</v>
      </c>
      <c r="U1056" s="1" t="s">
        <v>21471</v>
      </c>
      <c r="V1056" s="1" t="s">
        <v>21472</v>
      </c>
      <c r="W1056" s="1" t="s">
        <v>21473</v>
      </c>
      <c r="X1056" s="1" t="s">
        <v>21474</v>
      </c>
      <c r="Y1056" s="1" t="s">
        <v>21475</v>
      </c>
      <c r="Z1056" s="1" t="s">
        <v>21476</v>
      </c>
      <c r="AA1056" s="1" t="s">
        <v>21477</v>
      </c>
      <c r="AB1056" s="1" t="s">
        <v>21478</v>
      </c>
      <c r="AC1056" s="1" t="s">
        <v>21479</v>
      </c>
      <c r="AD1056" s="1" t="s">
        <v>21480</v>
      </c>
      <c r="AE1056" s="1" t="s">
        <v>21481</v>
      </c>
      <c r="AF1056" s="1" t="s">
        <v>21482</v>
      </c>
      <c r="AG1056" s="1" t="s">
        <v>21483</v>
      </c>
      <c r="AH1056" s="1" t="s">
        <v>21484</v>
      </c>
      <c r="AI1056" s="1" t="s">
        <v>21485</v>
      </c>
      <c r="AJ1056" s="1" t="s">
        <v>132</v>
      </c>
      <c r="AK1056" s="1" t="s">
        <v>21486</v>
      </c>
      <c r="AL1056" s="1" t="s">
        <v>21487</v>
      </c>
      <c r="AM1056" s="1" t="s">
        <v>21488</v>
      </c>
      <c r="AN1056" s="1" t="s">
        <v>21488</v>
      </c>
    </row>
    <row r="1057" ht="15.75" customHeight="1">
      <c r="A1057" s="1" t="s">
        <v>38</v>
      </c>
      <c r="B1057" s="1" t="s">
        <v>21489</v>
      </c>
      <c r="C1057" s="1" t="s">
        <v>21490</v>
      </c>
      <c r="D1057" s="1" t="s">
        <v>132</v>
      </c>
      <c r="E1057" s="1" t="s">
        <v>132</v>
      </c>
      <c r="F1057" s="1" t="s">
        <v>132</v>
      </c>
      <c r="G1057" s="1" t="s">
        <v>132</v>
      </c>
      <c r="H1057" s="1" t="s">
        <v>132</v>
      </c>
      <c r="I1057" s="1" t="s">
        <v>9182</v>
      </c>
      <c r="J1057" s="1" t="s">
        <v>132</v>
      </c>
      <c r="K1057" s="1" t="s">
        <v>21491</v>
      </c>
      <c r="L1057" s="1" t="s">
        <v>132</v>
      </c>
      <c r="M1057" s="1" t="s">
        <v>21492</v>
      </c>
      <c r="N1057" s="1" t="s">
        <v>132</v>
      </c>
      <c r="O1057" s="1" t="s">
        <v>132</v>
      </c>
      <c r="P1057" s="1" t="s">
        <v>9188</v>
      </c>
      <c r="Q1057" s="1" t="s">
        <v>132</v>
      </c>
      <c r="R1057" s="1" t="s">
        <v>132</v>
      </c>
      <c r="S1057" s="1" t="s">
        <v>132</v>
      </c>
      <c r="T1057" s="1" t="s">
        <v>132</v>
      </c>
      <c r="U1057" s="1" t="s">
        <v>132</v>
      </c>
      <c r="V1057" s="1" t="s">
        <v>132</v>
      </c>
      <c r="W1057" s="1" t="s">
        <v>132</v>
      </c>
      <c r="X1057" s="1" t="s">
        <v>132</v>
      </c>
      <c r="Y1057" s="1" t="s">
        <v>132</v>
      </c>
      <c r="Z1057" s="1" t="s">
        <v>132</v>
      </c>
      <c r="AA1057" s="1" t="s">
        <v>132</v>
      </c>
      <c r="AB1057" s="1" t="s">
        <v>132</v>
      </c>
      <c r="AC1057" s="1" t="s">
        <v>21493</v>
      </c>
      <c r="AD1057" s="1" t="s">
        <v>132</v>
      </c>
      <c r="AE1057" s="1" t="s">
        <v>132</v>
      </c>
      <c r="AF1057" s="1" t="s">
        <v>9201</v>
      </c>
      <c r="AG1057" s="1" t="s">
        <v>132</v>
      </c>
      <c r="AH1057" s="1" t="s">
        <v>132</v>
      </c>
      <c r="AI1057" s="1" t="s">
        <v>132</v>
      </c>
      <c r="AJ1057" s="1" t="s">
        <v>132</v>
      </c>
      <c r="AK1057" s="1" t="s">
        <v>132</v>
      </c>
      <c r="AL1057" s="1" t="s">
        <v>132</v>
      </c>
      <c r="AM1057" s="1" t="s">
        <v>132</v>
      </c>
      <c r="AN1057" s="1" t="s">
        <v>132</v>
      </c>
    </row>
    <row r="1058" ht="15.75" customHeight="1">
      <c r="A1058" s="1" t="s">
        <v>38</v>
      </c>
      <c r="B1058" s="1" t="s">
        <v>21494</v>
      </c>
      <c r="C1058" s="1" t="s">
        <v>21495</v>
      </c>
      <c r="D1058" s="8" t="s">
        <v>21496</v>
      </c>
      <c r="E1058" s="1" t="s">
        <v>21497</v>
      </c>
      <c r="F1058" s="1" t="s">
        <v>21498</v>
      </c>
      <c r="G1058" s="1" t="s">
        <v>132</v>
      </c>
      <c r="H1058" s="1" t="s">
        <v>132</v>
      </c>
      <c r="I1058" s="1" t="s">
        <v>21499</v>
      </c>
      <c r="J1058" s="1" t="s">
        <v>132</v>
      </c>
      <c r="K1058" s="1" t="s">
        <v>21500</v>
      </c>
      <c r="L1058" s="1" t="s">
        <v>132</v>
      </c>
      <c r="M1058" s="1" t="s">
        <v>21501</v>
      </c>
      <c r="N1058" s="1" t="s">
        <v>21502</v>
      </c>
      <c r="O1058" s="1" t="s">
        <v>132</v>
      </c>
      <c r="P1058" s="1" t="s">
        <v>21503</v>
      </c>
      <c r="Q1058" s="1" t="s">
        <v>132</v>
      </c>
      <c r="R1058" s="1" t="s">
        <v>132</v>
      </c>
      <c r="S1058" s="1" t="s">
        <v>21504</v>
      </c>
      <c r="T1058" s="1" t="s">
        <v>132</v>
      </c>
      <c r="U1058" s="1" t="s">
        <v>21505</v>
      </c>
      <c r="V1058" s="1" t="s">
        <v>21506</v>
      </c>
      <c r="W1058" s="1" t="s">
        <v>132</v>
      </c>
      <c r="X1058" s="1" t="s">
        <v>21507</v>
      </c>
      <c r="Y1058" s="1" t="s">
        <v>132</v>
      </c>
      <c r="Z1058" s="1" t="s">
        <v>21508</v>
      </c>
      <c r="AA1058" s="1" t="s">
        <v>21509</v>
      </c>
      <c r="AB1058" s="1" t="s">
        <v>132</v>
      </c>
      <c r="AC1058" s="1" t="s">
        <v>21510</v>
      </c>
      <c r="AD1058" s="1" t="s">
        <v>132</v>
      </c>
      <c r="AE1058" s="1" t="s">
        <v>132</v>
      </c>
      <c r="AF1058" s="1" t="s">
        <v>21511</v>
      </c>
      <c r="AG1058" s="1" t="s">
        <v>21512</v>
      </c>
      <c r="AH1058" s="1" t="s">
        <v>132</v>
      </c>
      <c r="AI1058" s="1" t="s">
        <v>132</v>
      </c>
      <c r="AJ1058" s="1" t="s">
        <v>21513</v>
      </c>
      <c r="AK1058" s="1" t="s">
        <v>21514</v>
      </c>
      <c r="AL1058" s="1" t="s">
        <v>132</v>
      </c>
      <c r="AM1058" s="1" t="s">
        <v>21515</v>
      </c>
      <c r="AN1058" s="1" t="s">
        <v>21515</v>
      </c>
    </row>
    <row r="1059" ht="15.75" customHeight="1">
      <c r="A1059" s="1" t="s">
        <v>38</v>
      </c>
      <c r="B1059" s="1" t="s">
        <v>21516</v>
      </c>
      <c r="C1059" s="1" t="s">
        <v>21517</v>
      </c>
      <c r="D1059" s="8" t="s">
        <v>21518</v>
      </c>
      <c r="E1059" s="1" t="s">
        <v>21519</v>
      </c>
      <c r="F1059" s="1" t="s">
        <v>21520</v>
      </c>
      <c r="G1059" s="1" t="s">
        <v>132</v>
      </c>
      <c r="H1059" s="1" t="s">
        <v>132</v>
      </c>
      <c r="I1059" s="1" t="s">
        <v>21521</v>
      </c>
      <c r="J1059" s="1" t="s">
        <v>132</v>
      </c>
      <c r="K1059" s="1" t="s">
        <v>21522</v>
      </c>
      <c r="L1059" s="1" t="s">
        <v>132</v>
      </c>
      <c r="M1059" s="1" t="s">
        <v>21523</v>
      </c>
      <c r="N1059" s="1" t="s">
        <v>21524</v>
      </c>
      <c r="O1059" s="1" t="s">
        <v>132</v>
      </c>
      <c r="P1059" s="1" t="s">
        <v>21525</v>
      </c>
      <c r="Q1059" s="1" t="s">
        <v>21526</v>
      </c>
      <c r="R1059" s="1" t="s">
        <v>132</v>
      </c>
      <c r="S1059" s="1" t="s">
        <v>21527</v>
      </c>
      <c r="T1059" s="1" t="s">
        <v>132</v>
      </c>
      <c r="U1059" s="1" t="s">
        <v>21528</v>
      </c>
      <c r="V1059" s="1" t="s">
        <v>21529</v>
      </c>
      <c r="W1059" s="1" t="s">
        <v>132</v>
      </c>
      <c r="X1059" s="1" t="s">
        <v>21530</v>
      </c>
      <c r="Y1059" s="1" t="s">
        <v>132</v>
      </c>
      <c r="Z1059" s="1" t="s">
        <v>21531</v>
      </c>
      <c r="AA1059" s="1" t="s">
        <v>21532</v>
      </c>
      <c r="AB1059" s="1" t="s">
        <v>132</v>
      </c>
      <c r="AC1059" s="1" t="s">
        <v>21533</v>
      </c>
      <c r="AD1059" s="1" t="s">
        <v>21534</v>
      </c>
      <c r="AE1059" s="1" t="s">
        <v>132</v>
      </c>
      <c r="AF1059" s="1" t="s">
        <v>21535</v>
      </c>
      <c r="AG1059" s="1" t="s">
        <v>21536</v>
      </c>
      <c r="AH1059" s="1" t="s">
        <v>132</v>
      </c>
      <c r="AI1059" s="1" t="s">
        <v>132</v>
      </c>
      <c r="AJ1059" s="1" t="s">
        <v>21537</v>
      </c>
      <c r="AK1059" s="1" t="s">
        <v>21538</v>
      </c>
      <c r="AL1059" s="1" t="s">
        <v>132</v>
      </c>
      <c r="AM1059" s="1" t="s">
        <v>21539</v>
      </c>
      <c r="AN1059" s="1" t="s">
        <v>21539</v>
      </c>
    </row>
    <row r="1060" ht="15.75" customHeight="1">
      <c r="A1060" s="1" t="s">
        <v>38</v>
      </c>
      <c r="B1060" s="1" t="s">
        <v>21540</v>
      </c>
      <c r="C1060" s="1" t="s">
        <v>21541</v>
      </c>
      <c r="D1060" s="1" t="s">
        <v>132</v>
      </c>
      <c r="E1060" s="1" t="s">
        <v>132</v>
      </c>
      <c r="F1060" s="1" t="s">
        <v>132</v>
      </c>
      <c r="G1060" s="1" t="s">
        <v>132</v>
      </c>
      <c r="H1060" s="1" t="s">
        <v>132</v>
      </c>
      <c r="I1060" s="1" t="s">
        <v>21542</v>
      </c>
      <c r="J1060" s="1" t="s">
        <v>132</v>
      </c>
      <c r="K1060" s="1" t="s">
        <v>21543</v>
      </c>
      <c r="L1060" s="1" t="s">
        <v>132</v>
      </c>
      <c r="M1060" s="1" t="s">
        <v>21541</v>
      </c>
      <c r="N1060" s="1" t="s">
        <v>132</v>
      </c>
      <c r="O1060" s="1" t="s">
        <v>132</v>
      </c>
      <c r="P1060" s="1" t="s">
        <v>21541</v>
      </c>
      <c r="Q1060" s="1" t="s">
        <v>132</v>
      </c>
      <c r="R1060" s="1" t="s">
        <v>132</v>
      </c>
      <c r="S1060" s="1" t="s">
        <v>132</v>
      </c>
      <c r="T1060" s="1" t="s">
        <v>132</v>
      </c>
      <c r="U1060" s="1" t="s">
        <v>132</v>
      </c>
      <c r="V1060" s="1" t="s">
        <v>132</v>
      </c>
      <c r="W1060" s="1" t="s">
        <v>132</v>
      </c>
      <c r="X1060" s="1" t="s">
        <v>132</v>
      </c>
      <c r="Y1060" s="1" t="s">
        <v>132</v>
      </c>
      <c r="Z1060" s="1" t="s">
        <v>132</v>
      </c>
      <c r="AA1060" s="1" t="s">
        <v>132</v>
      </c>
      <c r="AB1060" s="1" t="s">
        <v>132</v>
      </c>
      <c r="AC1060" s="1" t="s">
        <v>21544</v>
      </c>
      <c r="AD1060" s="1" t="s">
        <v>132</v>
      </c>
      <c r="AE1060" s="1" t="s">
        <v>132</v>
      </c>
      <c r="AF1060" s="1" t="s">
        <v>21543</v>
      </c>
      <c r="AG1060" s="1" t="s">
        <v>132</v>
      </c>
      <c r="AH1060" s="1" t="s">
        <v>132</v>
      </c>
      <c r="AI1060" s="1" t="s">
        <v>132</v>
      </c>
      <c r="AJ1060" s="1" t="s">
        <v>132</v>
      </c>
      <c r="AK1060" s="1" t="s">
        <v>132</v>
      </c>
      <c r="AL1060" s="1" t="s">
        <v>132</v>
      </c>
      <c r="AM1060" s="1" t="s">
        <v>132</v>
      </c>
      <c r="AN1060" s="1" t="s">
        <v>132</v>
      </c>
    </row>
    <row r="1061" ht="15.75" customHeight="1">
      <c r="A1061" s="1" t="s">
        <v>127</v>
      </c>
      <c r="B1061" s="1" t="s">
        <v>21545</v>
      </c>
      <c r="C1061" s="1" t="s">
        <v>21546</v>
      </c>
      <c r="D1061" s="8" t="s">
        <v>21547</v>
      </c>
      <c r="E1061" s="1" t="s">
        <v>21548</v>
      </c>
      <c r="F1061" s="1" t="s">
        <v>132</v>
      </c>
      <c r="G1061" s="1" t="s">
        <v>21549</v>
      </c>
      <c r="H1061" s="1" t="s">
        <v>21550</v>
      </c>
      <c r="I1061" s="1" t="s">
        <v>21551</v>
      </c>
      <c r="J1061" s="1" t="s">
        <v>21552</v>
      </c>
      <c r="K1061" s="1" t="s">
        <v>21553</v>
      </c>
      <c r="L1061" s="1" t="s">
        <v>21554</v>
      </c>
      <c r="M1061" s="1" t="s">
        <v>21555</v>
      </c>
      <c r="N1061" s="1" t="s">
        <v>132</v>
      </c>
      <c r="O1061" s="1" t="s">
        <v>21556</v>
      </c>
      <c r="P1061" s="1" t="s">
        <v>21557</v>
      </c>
      <c r="Q1061" s="1" t="s">
        <v>132</v>
      </c>
      <c r="R1061" s="1" t="s">
        <v>21558</v>
      </c>
      <c r="S1061" s="1" t="s">
        <v>21559</v>
      </c>
      <c r="T1061" s="8" t="s">
        <v>21560</v>
      </c>
      <c r="U1061" s="1" t="s">
        <v>21561</v>
      </c>
      <c r="V1061" s="1" t="s">
        <v>21562</v>
      </c>
      <c r="W1061" s="1" t="s">
        <v>21563</v>
      </c>
      <c r="X1061" s="1" t="s">
        <v>21546</v>
      </c>
      <c r="Y1061" s="1" t="s">
        <v>21564</v>
      </c>
      <c r="Z1061" s="1" t="s">
        <v>21565</v>
      </c>
      <c r="AA1061" s="1" t="s">
        <v>21566</v>
      </c>
      <c r="AB1061" s="1" t="s">
        <v>21567</v>
      </c>
      <c r="AC1061" s="1" t="s">
        <v>21568</v>
      </c>
      <c r="AD1061" s="1" t="s">
        <v>21549</v>
      </c>
      <c r="AE1061" s="1" t="s">
        <v>21569</v>
      </c>
      <c r="AF1061" s="1" t="s">
        <v>21570</v>
      </c>
      <c r="AG1061" s="1" t="s">
        <v>21571</v>
      </c>
      <c r="AH1061" s="1" t="s">
        <v>21572</v>
      </c>
      <c r="AI1061" s="1" t="s">
        <v>21573</v>
      </c>
      <c r="AJ1061" s="1" t="s">
        <v>132</v>
      </c>
      <c r="AK1061" s="1" t="s">
        <v>21574</v>
      </c>
      <c r="AL1061" s="1" t="s">
        <v>21575</v>
      </c>
      <c r="AM1061" s="1" t="s">
        <v>132</v>
      </c>
      <c r="AN1061" s="1" t="s">
        <v>132</v>
      </c>
    </row>
    <row r="1062" ht="15.75" customHeight="1">
      <c r="A1062" s="1" t="s">
        <v>38</v>
      </c>
      <c r="B1062" s="1" t="s">
        <v>21576</v>
      </c>
      <c r="C1062" s="1" t="s">
        <v>21577</v>
      </c>
      <c r="D1062" s="8" t="s">
        <v>21578</v>
      </c>
      <c r="E1062" s="1" t="s">
        <v>21579</v>
      </c>
      <c r="F1062" s="1" t="s">
        <v>21580</v>
      </c>
      <c r="G1062" s="1" t="s">
        <v>132</v>
      </c>
      <c r="H1062" s="1" t="s">
        <v>132</v>
      </c>
      <c r="I1062" s="1" t="s">
        <v>21581</v>
      </c>
      <c r="J1062" s="1" t="s">
        <v>132</v>
      </c>
      <c r="K1062" s="1" t="s">
        <v>21582</v>
      </c>
      <c r="L1062" s="1" t="s">
        <v>132</v>
      </c>
      <c r="M1062" s="1" t="s">
        <v>21583</v>
      </c>
      <c r="N1062" s="1" t="s">
        <v>21584</v>
      </c>
      <c r="O1062" s="1" t="s">
        <v>132</v>
      </c>
      <c r="P1062" s="1" t="s">
        <v>21585</v>
      </c>
      <c r="Q1062" s="1" t="s">
        <v>21586</v>
      </c>
      <c r="R1062" s="1" t="s">
        <v>132</v>
      </c>
      <c r="S1062" s="1" t="s">
        <v>21587</v>
      </c>
      <c r="T1062" s="1" t="s">
        <v>132</v>
      </c>
      <c r="U1062" s="1" t="s">
        <v>21588</v>
      </c>
      <c r="V1062" s="1" t="s">
        <v>21589</v>
      </c>
      <c r="W1062" s="1" t="s">
        <v>132</v>
      </c>
      <c r="X1062" s="1" t="s">
        <v>21590</v>
      </c>
      <c r="Y1062" s="1" t="s">
        <v>132</v>
      </c>
      <c r="Z1062" s="1" t="s">
        <v>21591</v>
      </c>
      <c r="AA1062" s="1" t="s">
        <v>21592</v>
      </c>
      <c r="AB1062" s="1" t="s">
        <v>132</v>
      </c>
      <c r="AC1062" s="1" t="s">
        <v>21593</v>
      </c>
      <c r="AD1062" s="1" t="s">
        <v>21594</v>
      </c>
      <c r="AE1062" s="1" t="s">
        <v>132</v>
      </c>
      <c r="AF1062" s="1" t="s">
        <v>21595</v>
      </c>
      <c r="AG1062" s="1" t="s">
        <v>21596</v>
      </c>
      <c r="AH1062" s="1" t="s">
        <v>132</v>
      </c>
      <c r="AI1062" s="1" t="s">
        <v>132</v>
      </c>
      <c r="AJ1062" s="1" t="s">
        <v>21597</v>
      </c>
      <c r="AK1062" s="1" t="s">
        <v>21598</v>
      </c>
      <c r="AL1062" s="1" t="s">
        <v>132</v>
      </c>
      <c r="AM1062" s="1" t="s">
        <v>21599</v>
      </c>
      <c r="AN1062" s="1" t="s">
        <v>21599</v>
      </c>
    </row>
    <row r="1063" ht="15.75" customHeight="1">
      <c r="A1063" s="1" t="s">
        <v>38</v>
      </c>
      <c r="B1063" s="1" t="s">
        <v>21600</v>
      </c>
      <c r="C1063" s="1" t="s">
        <v>21601</v>
      </c>
      <c r="D1063" s="1" t="s">
        <v>132</v>
      </c>
      <c r="E1063" s="1" t="s">
        <v>132</v>
      </c>
      <c r="F1063" s="1" t="s">
        <v>132</v>
      </c>
      <c r="G1063" s="1" t="s">
        <v>132</v>
      </c>
      <c r="H1063" s="1" t="s">
        <v>132</v>
      </c>
      <c r="I1063" s="1" t="s">
        <v>132</v>
      </c>
      <c r="J1063" s="1" t="s">
        <v>132</v>
      </c>
      <c r="K1063" s="1" t="s">
        <v>132</v>
      </c>
      <c r="L1063" s="1" t="s">
        <v>132</v>
      </c>
      <c r="M1063" s="1" t="s">
        <v>132</v>
      </c>
      <c r="N1063" s="1" t="s">
        <v>132</v>
      </c>
      <c r="O1063" s="1" t="s">
        <v>132</v>
      </c>
      <c r="P1063" s="1" t="s">
        <v>132</v>
      </c>
      <c r="Q1063" s="1" t="s">
        <v>132</v>
      </c>
      <c r="R1063" s="1" t="s">
        <v>132</v>
      </c>
      <c r="S1063" s="1" t="s">
        <v>132</v>
      </c>
      <c r="T1063" s="1" t="s">
        <v>132</v>
      </c>
      <c r="U1063" s="1" t="s">
        <v>132</v>
      </c>
      <c r="V1063" s="1" t="s">
        <v>132</v>
      </c>
      <c r="W1063" s="1" t="s">
        <v>132</v>
      </c>
      <c r="X1063" s="1" t="s">
        <v>132</v>
      </c>
      <c r="Y1063" s="1" t="s">
        <v>132</v>
      </c>
      <c r="Z1063" s="1" t="s">
        <v>132</v>
      </c>
      <c r="AA1063" s="1" t="s">
        <v>132</v>
      </c>
      <c r="AB1063" s="1" t="s">
        <v>132</v>
      </c>
      <c r="AC1063" s="1" t="s">
        <v>132</v>
      </c>
      <c r="AD1063" s="1" t="s">
        <v>132</v>
      </c>
      <c r="AE1063" s="1" t="s">
        <v>132</v>
      </c>
      <c r="AF1063" s="1" t="s">
        <v>132</v>
      </c>
      <c r="AG1063" s="1" t="s">
        <v>132</v>
      </c>
      <c r="AH1063" s="1" t="s">
        <v>132</v>
      </c>
      <c r="AI1063" s="1" t="s">
        <v>132</v>
      </c>
      <c r="AJ1063" s="1" t="s">
        <v>132</v>
      </c>
      <c r="AK1063" s="1" t="s">
        <v>132</v>
      </c>
      <c r="AL1063" s="1" t="s">
        <v>132</v>
      </c>
      <c r="AM1063" s="1" t="s">
        <v>132</v>
      </c>
      <c r="AN1063" s="1" t="s">
        <v>132</v>
      </c>
    </row>
    <row r="1064" ht="15.75" customHeight="1">
      <c r="A1064" s="1" t="s">
        <v>127</v>
      </c>
      <c r="B1064" s="1" t="s">
        <v>21602</v>
      </c>
      <c r="C1064" s="1" t="s">
        <v>21603</v>
      </c>
      <c r="D1064" s="8" t="s">
        <v>21604</v>
      </c>
      <c r="E1064" s="1" t="s">
        <v>21605</v>
      </c>
      <c r="F1064" s="1" t="s">
        <v>132</v>
      </c>
      <c r="G1064" s="1" t="s">
        <v>21606</v>
      </c>
      <c r="H1064" s="1" t="s">
        <v>21607</v>
      </c>
      <c r="I1064" s="1" t="s">
        <v>21608</v>
      </c>
      <c r="J1064" s="1" t="s">
        <v>21609</v>
      </c>
      <c r="K1064" s="1" t="s">
        <v>21610</v>
      </c>
      <c r="L1064" s="1" t="s">
        <v>21611</v>
      </c>
      <c r="M1064" s="1" t="s">
        <v>21612</v>
      </c>
      <c r="N1064" s="1" t="s">
        <v>132</v>
      </c>
      <c r="O1064" s="1" t="s">
        <v>21613</v>
      </c>
      <c r="P1064" s="1" t="s">
        <v>21614</v>
      </c>
      <c r="Q1064" s="1" t="s">
        <v>132</v>
      </c>
      <c r="R1064" s="1" t="s">
        <v>21615</v>
      </c>
      <c r="S1064" s="1" t="s">
        <v>21616</v>
      </c>
      <c r="T1064" s="8" t="s">
        <v>21617</v>
      </c>
      <c r="U1064" s="1" t="s">
        <v>21618</v>
      </c>
      <c r="V1064" s="1" t="s">
        <v>21619</v>
      </c>
      <c r="W1064" s="1" t="s">
        <v>21620</v>
      </c>
      <c r="X1064" s="1" t="s">
        <v>21621</v>
      </c>
      <c r="Y1064" s="1" t="s">
        <v>21622</v>
      </c>
      <c r="Z1064" s="1" t="s">
        <v>21623</v>
      </c>
      <c r="AA1064" s="1" t="s">
        <v>21624</v>
      </c>
      <c r="AB1064" s="1" t="s">
        <v>21625</v>
      </c>
      <c r="AC1064" s="1" t="s">
        <v>21626</v>
      </c>
      <c r="AD1064" s="1" t="s">
        <v>21627</v>
      </c>
      <c r="AE1064" s="1" t="s">
        <v>21628</v>
      </c>
      <c r="AF1064" s="1" t="s">
        <v>21629</v>
      </c>
      <c r="AG1064" s="1" t="s">
        <v>21630</v>
      </c>
      <c r="AH1064" s="1" t="s">
        <v>21631</v>
      </c>
      <c r="AI1064" s="1" t="s">
        <v>21632</v>
      </c>
      <c r="AJ1064" s="1" t="s">
        <v>132</v>
      </c>
      <c r="AK1064" s="1" t="s">
        <v>21633</v>
      </c>
      <c r="AL1064" s="1" t="s">
        <v>21634</v>
      </c>
      <c r="AM1064" s="1" t="s">
        <v>21635</v>
      </c>
      <c r="AN1064" s="1" t="s">
        <v>21635</v>
      </c>
    </row>
    <row r="1065" ht="15.75" customHeight="1">
      <c r="A1065" s="1" t="s">
        <v>127</v>
      </c>
      <c r="B1065" s="1" t="s">
        <v>21636</v>
      </c>
      <c r="C1065" s="1" t="s">
        <v>21637</v>
      </c>
      <c r="D1065" s="8" t="s">
        <v>21638</v>
      </c>
      <c r="E1065" s="1" t="s">
        <v>21639</v>
      </c>
      <c r="F1065" s="1" t="s">
        <v>132</v>
      </c>
      <c r="G1065" s="1" t="s">
        <v>21637</v>
      </c>
      <c r="H1065" s="1" t="s">
        <v>21637</v>
      </c>
      <c r="I1065" s="1" t="s">
        <v>21637</v>
      </c>
      <c r="J1065" s="1" t="s">
        <v>21640</v>
      </c>
      <c r="K1065" s="1" t="s">
        <v>21637</v>
      </c>
      <c r="L1065" s="1" t="s">
        <v>21641</v>
      </c>
      <c r="M1065" s="1" t="s">
        <v>21637</v>
      </c>
      <c r="N1065" s="1" t="s">
        <v>132</v>
      </c>
      <c r="O1065" s="1" t="s">
        <v>21642</v>
      </c>
      <c r="P1065" s="1" t="s">
        <v>21637</v>
      </c>
      <c r="Q1065" s="1" t="s">
        <v>132</v>
      </c>
      <c r="R1065" s="1" t="s">
        <v>21643</v>
      </c>
      <c r="S1065" s="1" t="s">
        <v>21637</v>
      </c>
      <c r="T1065" s="8" t="s">
        <v>21644</v>
      </c>
      <c r="U1065" s="1" t="s">
        <v>21645</v>
      </c>
      <c r="V1065" s="1" t="s">
        <v>21646</v>
      </c>
      <c r="W1065" s="1" t="s">
        <v>21647</v>
      </c>
      <c r="X1065" s="1" t="s">
        <v>21637</v>
      </c>
      <c r="Y1065" s="1" t="s">
        <v>21648</v>
      </c>
      <c r="Z1065" s="1" t="s">
        <v>21637</v>
      </c>
      <c r="AA1065" s="1" t="s">
        <v>21637</v>
      </c>
      <c r="AB1065" s="1" t="s">
        <v>21637</v>
      </c>
      <c r="AC1065" s="1" t="s">
        <v>21649</v>
      </c>
      <c r="AD1065" s="1" t="s">
        <v>21650</v>
      </c>
      <c r="AE1065" s="1" t="s">
        <v>21651</v>
      </c>
      <c r="AF1065" s="1" t="s">
        <v>21637</v>
      </c>
      <c r="AG1065" s="1" t="s">
        <v>21637</v>
      </c>
      <c r="AH1065" s="1" t="s">
        <v>21652</v>
      </c>
      <c r="AI1065" s="1" t="s">
        <v>21653</v>
      </c>
      <c r="AJ1065" s="1" t="s">
        <v>132</v>
      </c>
      <c r="AK1065" s="1" t="s">
        <v>21654</v>
      </c>
      <c r="AL1065" s="1" t="s">
        <v>21655</v>
      </c>
      <c r="AM1065" s="1" t="s">
        <v>21656</v>
      </c>
      <c r="AN1065" s="1" t="s">
        <v>21656</v>
      </c>
    </row>
    <row r="1066" ht="15.75" customHeight="1">
      <c r="A1066" s="1" t="s">
        <v>38</v>
      </c>
      <c r="B1066" s="1" t="s">
        <v>21657</v>
      </c>
      <c r="C1066" s="1" t="s">
        <v>21658</v>
      </c>
      <c r="D1066" s="8" t="s">
        <v>21659</v>
      </c>
      <c r="E1066" s="1" t="s">
        <v>21660</v>
      </c>
      <c r="F1066" s="1" t="s">
        <v>21661</v>
      </c>
      <c r="G1066" s="1" t="s">
        <v>132</v>
      </c>
      <c r="H1066" s="1" t="s">
        <v>132</v>
      </c>
      <c r="I1066" s="1" t="s">
        <v>21662</v>
      </c>
      <c r="J1066" s="1" t="s">
        <v>132</v>
      </c>
      <c r="K1066" s="1" t="s">
        <v>21663</v>
      </c>
      <c r="L1066" s="1" t="s">
        <v>132</v>
      </c>
      <c r="M1066" s="1" t="s">
        <v>21664</v>
      </c>
      <c r="N1066" s="1" t="s">
        <v>21665</v>
      </c>
      <c r="O1066" s="1" t="s">
        <v>132</v>
      </c>
      <c r="P1066" s="1" t="s">
        <v>21666</v>
      </c>
      <c r="Q1066" s="1" t="s">
        <v>21667</v>
      </c>
      <c r="R1066" s="1" t="s">
        <v>132</v>
      </c>
      <c r="S1066" s="1" t="s">
        <v>21668</v>
      </c>
      <c r="T1066" s="1" t="s">
        <v>132</v>
      </c>
      <c r="U1066" s="1" t="s">
        <v>21669</v>
      </c>
      <c r="V1066" s="1" t="s">
        <v>21670</v>
      </c>
      <c r="W1066" s="1" t="s">
        <v>132</v>
      </c>
      <c r="X1066" s="1" t="s">
        <v>21671</v>
      </c>
      <c r="Y1066" s="1" t="s">
        <v>132</v>
      </c>
      <c r="Z1066" s="1" t="s">
        <v>21672</v>
      </c>
      <c r="AA1066" s="1" t="s">
        <v>21673</v>
      </c>
      <c r="AB1066" s="1" t="s">
        <v>132</v>
      </c>
      <c r="AC1066" s="1" t="s">
        <v>21674</v>
      </c>
      <c r="AD1066" s="1" t="s">
        <v>21675</v>
      </c>
      <c r="AE1066" s="1" t="s">
        <v>132</v>
      </c>
      <c r="AF1066" s="1" t="s">
        <v>21676</v>
      </c>
      <c r="AG1066" s="1" t="s">
        <v>21677</v>
      </c>
      <c r="AH1066" s="1" t="s">
        <v>132</v>
      </c>
      <c r="AI1066" s="1" t="s">
        <v>132</v>
      </c>
      <c r="AJ1066" s="1" t="s">
        <v>21678</v>
      </c>
      <c r="AK1066" s="1" t="s">
        <v>21679</v>
      </c>
      <c r="AL1066" s="1" t="s">
        <v>132</v>
      </c>
      <c r="AM1066" s="1" t="s">
        <v>21680</v>
      </c>
      <c r="AN1066" s="1" t="s">
        <v>21680</v>
      </c>
    </row>
    <row r="1067" ht="15.75" customHeight="1">
      <c r="A1067" s="1" t="s">
        <v>127</v>
      </c>
      <c r="B1067" s="1" t="s">
        <v>21681</v>
      </c>
      <c r="C1067" s="1" t="s">
        <v>21682</v>
      </c>
      <c r="D1067" s="8" t="s">
        <v>21683</v>
      </c>
      <c r="E1067" s="1" t="s">
        <v>21684</v>
      </c>
      <c r="F1067" s="1" t="s">
        <v>132</v>
      </c>
      <c r="G1067" s="1" t="s">
        <v>21685</v>
      </c>
      <c r="H1067" s="1" t="s">
        <v>21686</v>
      </c>
      <c r="I1067" s="1" t="s">
        <v>21687</v>
      </c>
      <c r="J1067" s="1" t="s">
        <v>21688</v>
      </c>
      <c r="K1067" s="1" t="s">
        <v>21689</v>
      </c>
      <c r="L1067" s="1" t="s">
        <v>21690</v>
      </c>
      <c r="M1067" s="1" t="s">
        <v>21682</v>
      </c>
      <c r="N1067" s="1" t="s">
        <v>132</v>
      </c>
      <c r="O1067" s="1" t="s">
        <v>21691</v>
      </c>
      <c r="P1067" s="1" t="s">
        <v>21682</v>
      </c>
      <c r="Q1067" s="1" t="s">
        <v>132</v>
      </c>
      <c r="R1067" s="1" t="s">
        <v>15581</v>
      </c>
      <c r="S1067" s="1" t="s">
        <v>21692</v>
      </c>
      <c r="T1067" s="8" t="s">
        <v>21693</v>
      </c>
      <c r="U1067" s="1" t="s">
        <v>21694</v>
      </c>
      <c r="V1067" s="1" t="s">
        <v>15584</v>
      </c>
      <c r="W1067" s="1" t="s">
        <v>15585</v>
      </c>
      <c r="X1067" s="1" t="s">
        <v>21695</v>
      </c>
      <c r="Y1067" s="1" t="s">
        <v>21696</v>
      </c>
      <c r="Z1067" s="1" t="s">
        <v>21697</v>
      </c>
      <c r="AA1067" s="1" t="s">
        <v>21698</v>
      </c>
      <c r="AB1067" s="1" t="s">
        <v>21699</v>
      </c>
      <c r="AC1067" s="1" t="s">
        <v>15591</v>
      </c>
      <c r="AD1067" s="1" t="s">
        <v>21700</v>
      </c>
      <c r="AE1067" s="1" t="s">
        <v>21701</v>
      </c>
      <c r="AF1067" s="1" t="s">
        <v>21702</v>
      </c>
      <c r="AG1067" s="1" t="s">
        <v>15595</v>
      </c>
      <c r="AH1067" s="1" t="s">
        <v>21703</v>
      </c>
      <c r="AI1067" s="1" t="s">
        <v>21704</v>
      </c>
      <c r="AJ1067" s="1" t="s">
        <v>132</v>
      </c>
      <c r="AK1067" s="1" t="s">
        <v>21705</v>
      </c>
      <c r="AL1067" s="1" t="s">
        <v>21706</v>
      </c>
      <c r="AM1067" s="1" t="s">
        <v>132</v>
      </c>
      <c r="AN1067" s="1" t="s">
        <v>132</v>
      </c>
    </row>
    <row r="1068" ht="15.75" customHeight="1">
      <c r="A1068" s="1" t="s">
        <v>43182</v>
      </c>
      <c r="B1068" s="1" t="s">
        <v>43260</v>
      </c>
      <c r="C1068" s="1" t="s">
        <v>43261</v>
      </c>
      <c r="D1068" s="1" t="s">
        <v>132</v>
      </c>
      <c r="E1068" s="1" t="s">
        <v>132</v>
      </c>
      <c r="F1068" s="1" t="s">
        <v>132</v>
      </c>
      <c r="G1068" s="1" t="s">
        <v>132</v>
      </c>
      <c r="H1068" s="1" t="s">
        <v>132</v>
      </c>
      <c r="I1068" s="1" t="s">
        <v>132</v>
      </c>
      <c r="J1068" s="1" t="s">
        <v>132</v>
      </c>
      <c r="K1068" s="1" t="s">
        <v>132</v>
      </c>
      <c r="L1068" s="1" t="s">
        <v>132</v>
      </c>
      <c r="M1068" s="1" t="s">
        <v>132</v>
      </c>
      <c r="N1068" s="1" t="s">
        <v>132</v>
      </c>
      <c r="O1068" s="1" t="s">
        <v>132</v>
      </c>
      <c r="P1068" s="1" t="s">
        <v>132</v>
      </c>
      <c r="Q1068" s="1" t="s">
        <v>132</v>
      </c>
      <c r="R1068" s="1" t="s">
        <v>132</v>
      </c>
      <c r="S1068" s="1" t="s">
        <v>132</v>
      </c>
      <c r="T1068" s="1" t="s">
        <v>132</v>
      </c>
      <c r="U1068" s="1" t="s">
        <v>132</v>
      </c>
      <c r="V1068" s="1" t="s">
        <v>132</v>
      </c>
      <c r="W1068" s="1" t="s">
        <v>132</v>
      </c>
      <c r="X1068" s="1" t="s">
        <v>132</v>
      </c>
      <c r="Y1068" s="1" t="s">
        <v>132</v>
      </c>
      <c r="Z1068" s="1" t="s">
        <v>132</v>
      </c>
      <c r="AA1068" s="1" t="s">
        <v>132</v>
      </c>
      <c r="AB1068" s="1" t="s">
        <v>132</v>
      </c>
      <c r="AC1068" s="1" t="s">
        <v>132</v>
      </c>
      <c r="AD1068" s="1" t="s">
        <v>132</v>
      </c>
      <c r="AE1068" s="1" t="s">
        <v>132</v>
      </c>
      <c r="AF1068" s="1" t="s">
        <v>132</v>
      </c>
      <c r="AG1068" s="1" t="s">
        <v>132</v>
      </c>
      <c r="AH1068" s="1" t="s">
        <v>132</v>
      </c>
      <c r="AI1068" s="1" t="s">
        <v>132</v>
      </c>
      <c r="AJ1068" s="1" t="s">
        <v>132</v>
      </c>
      <c r="AK1068" s="1" t="s">
        <v>132</v>
      </c>
      <c r="AL1068" s="1" t="s">
        <v>132</v>
      </c>
      <c r="AM1068" s="1" t="s">
        <v>132</v>
      </c>
      <c r="AN1068" s="1" t="s">
        <v>132</v>
      </c>
    </row>
    <row r="1069" ht="15.75" customHeight="1">
      <c r="A1069" s="1" t="s">
        <v>38</v>
      </c>
      <c r="B1069" s="1" t="s">
        <v>21707</v>
      </c>
      <c r="C1069" s="1" t="s">
        <v>21708</v>
      </c>
      <c r="D1069" s="1" t="s">
        <v>132</v>
      </c>
      <c r="E1069" s="1" t="s">
        <v>132</v>
      </c>
      <c r="F1069" s="1" t="s">
        <v>132</v>
      </c>
      <c r="G1069" s="1" t="s">
        <v>132</v>
      </c>
      <c r="H1069" s="1" t="s">
        <v>132</v>
      </c>
      <c r="I1069" s="1" t="s">
        <v>21709</v>
      </c>
      <c r="J1069" s="1" t="s">
        <v>132</v>
      </c>
      <c r="K1069" s="1" t="s">
        <v>21710</v>
      </c>
      <c r="L1069" s="1" t="s">
        <v>132</v>
      </c>
      <c r="M1069" s="1" t="s">
        <v>21711</v>
      </c>
      <c r="N1069" s="1" t="s">
        <v>132</v>
      </c>
      <c r="O1069" s="1" t="s">
        <v>132</v>
      </c>
      <c r="P1069" s="1" t="s">
        <v>21708</v>
      </c>
      <c r="Q1069" s="1" t="s">
        <v>132</v>
      </c>
      <c r="R1069" s="1" t="s">
        <v>132</v>
      </c>
      <c r="S1069" s="1" t="s">
        <v>132</v>
      </c>
      <c r="T1069" s="1" t="s">
        <v>132</v>
      </c>
      <c r="U1069" s="1" t="s">
        <v>132</v>
      </c>
      <c r="V1069" s="1" t="s">
        <v>132</v>
      </c>
      <c r="W1069" s="1" t="s">
        <v>132</v>
      </c>
      <c r="X1069" s="1" t="s">
        <v>132</v>
      </c>
      <c r="Y1069" s="1" t="s">
        <v>132</v>
      </c>
      <c r="Z1069" s="1" t="s">
        <v>132</v>
      </c>
      <c r="AA1069" s="1" t="s">
        <v>132</v>
      </c>
      <c r="AB1069" s="1" t="s">
        <v>132</v>
      </c>
      <c r="AC1069" s="1" t="s">
        <v>21713</v>
      </c>
      <c r="AD1069" s="1" t="s">
        <v>132</v>
      </c>
      <c r="AE1069" s="1" t="s">
        <v>132</v>
      </c>
      <c r="AF1069" s="1" t="s">
        <v>21714</v>
      </c>
      <c r="AG1069" s="1" t="s">
        <v>132</v>
      </c>
      <c r="AH1069" s="1" t="s">
        <v>132</v>
      </c>
      <c r="AI1069" s="1" t="s">
        <v>132</v>
      </c>
      <c r="AJ1069" s="1" t="s">
        <v>132</v>
      </c>
      <c r="AK1069" s="1" t="s">
        <v>132</v>
      </c>
      <c r="AL1069" s="1" t="s">
        <v>132</v>
      </c>
      <c r="AM1069" s="1" t="s">
        <v>132</v>
      </c>
      <c r="AN1069" s="1" t="s">
        <v>132</v>
      </c>
    </row>
    <row r="1070" ht="15.75" customHeight="1">
      <c r="A1070" s="1" t="s">
        <v>38</v>
      </c>
      <c r="B1070" s="1" t="s">
        <v>21715</v>
      </c>
      <c r="C1070" s="1" t="s">
        <v>21716</v>
      </c>
      <c r="D1070" s="1" t="s">
        <v>132</v>
      </c>
      <c r="E1070" s="1" t="s">
        <v>132</v>
      </c>
      <c r="F1070" s="1" t="s">
        <v>132</v>
      </c>
      <c r="G1070" s="1" t="s">
        <v>132</v>
      </c>
      <c r="H1070" s="1" t="s">
        <v>132</v>
      </c>
      <c r="I1070" s="1" t="s">
        <v>21717</v>
      </c>
      <c r="J1070" s="1" t="s">
        <v>132</v>
      </c>
      <c r="K1070" s="1" t="s">
        <v>21718</v>
      </c>
      <c r="L1070" s="1" t="s">
        <v>132</v>
      </c>
      <c r="M1070" s="1" t="s">
        <v>21719</v>
      </c>
      <c r="N1070" s="1" t="s">
        <v>132</v>
      </c>
      <c r="O1070" s="1" t="s">
        <v>132</v>
      </c>
      <c r="P1070" s="1" t="s">
        <v>21716</v>
      </c>
      <c r="Q1070" s="1" t="s">
        <v>132</v>
      </c>
      <c r="R1070" s="1" t="s">
        <v>132</v>
      </c>
      <c r="S1070" s="1" t="s">
        <v>132</v>
      </c>
      <c r="T1070" s="1" t="s">
        <v>132</v>
      </c>
      <c r="U1070" s="1" t="s">
        <v>132</v>
      </c>
      <c r="V1070" s="1" t="s">
        <v>132</v>
      </c>
      <c r="W1070" s="1" t="s">
        <v>132</v>
      </c>
      <c r="X1070" s="1" t="s">
        <v>132</v>
      </c>
      <c r="Y1070" s="1" t="s">
        <v>132</v>
      </c>
      <c r="Z1070" s="1" t="s">
        <v>132</v>
      </c>
      <c r="AA1070" s="1" t="s">
        <v>132</v>
      </c>
      <c r="AB1070" s="1" t="s">
        <v>132</v>
      </c>
      <c r="AC1070" s="1" t="s">
        <v>21720</v>
      </c>
      <c r="AD1070" s="1" t="s">
        <v>132</v>
      </c>
      <c r="AE1070" s="1" t="s">
        <v>132</v>
      </c>
      <c r="AF1070" s="1" t="s">
        <v>21721</v>
      </c>
      <c r="AG1070" s="1" t="s">
        <v>132</v>
      </c>
      <c r="AH1070" s="1" t="s">
        <v>132</v>
      </c>
      <c r="AI1070" s="1" t="s">
        <v>132</v>
      </c>
      <c r="AJ1070" s="1" t="s">
        <v>132</v>
      </c>
      <c r="AK1070" s="1" t="s">
        <v>132</v>
      </c>
      <c r="AL1070" s="1" t="s">
        <v>132</v>
      </c>
      <c r="AM1070" s="1" t="s">
        <v>132</v>
      </c>
      <c r="AN1070" s="1" t="s">
        <v>132</v>
      </c>
    </row>
    <row r="1071" ht="15.75" customHeight="1">
      <c r="A1071" s="1" t="s">
        <v>4051</v>
      </c>
      <c r="B1071" s="1" t="s">
        <v>21722</v>
      </c>
      <c r="C1071" s="1" t="s">
        <v>21723</v>
      </c>
      <c r="D1071" s="1" t="s">
        <v>132</v>
      </c>
      <c r="E1071" s="1" t="s">
        <v>21724</v>
      </c>
      <c r="F1071" s="1" t="s">
        <v>132</v>
      </c>
      <c r="G1071" s="1" t="s">
        <v>21725</v>
      </c>
      <c r="H1071" s="1" t="s">
        <v>21726</v>
      </c>
      <c r="I1071" s="1" t="s">
        <v>132</v>
      </c>
      <c r="J1071" s="1" t="s">
        <v>21727</v>
      </c>
      <c r="K1071" s="1" t="s">
        <v>21728</v>
      </c>
      <c r="L1071" s="1" t="s">
        <v>21729</v>
      </c>
      <c r="M1071" s="1" t="s">
        <v>43262</v>
      </c>
      <c r="N1071" s="1" t="s">
        <v>21731</v>
      </c>
      <c r="O1071" s="1" t="s">
        <v>132</v>
      </c>
      <c r="P1071" s="1" t="s">
        <v>21732</v>
      </c>
      <c r="Q1071" s="1" t="s">
        <v>132</v>
      </c>
      <c r="R1071" s="1" t="s">
        <v>21733</v>
      </c>
      <c r="S1071" s="8" t="s">
        <v>21734</v>
      </c>
      <c r="T1071" s="1" t="s">
        <v>132</v>
      </c>
      <c r="U1071" s="1" t="s">
        <v>21735</v>
      </c>
      <c r="V1071" s="1" t="s">
        <v>132</v>
      </c>
      <c r="W1071" s="1" t="s">
        <v>21736</v>
      </c>
      <c r="X1071" s="1" t="s">
        <v>21737</v>
      </c>
      <c r="Y1071" s="1" t="s">
        <v>21738</v>
      </c>
      <c r="Z1071" s="11" t="s">
        <v>21739</v>
      </c>
      <c r="AA1071" s="1" t="s">
        <v>21740</v>
      </c>
      <c r="AB1071" s="1" t="s">
        <v>132</v>
      </c>
      <c r="AC1071" s="1" t="s">
        <v>21741</v>
      </c>
      <c r="AD1071" s="1" t="s">
        <v>21742</v>
      </c>
      <c r="AE1071" s="1" t="s">
        <v>21743</v>
      </c>
      <c r="AF1071" s="1" t="s">
        <v>132</v>
      </c>
      <c r="AG1071" s="11" t="s">
        <v>21744</v>
      </c>
      <c r="AH1071" s="1" t="s">
        <v>132</v>
      </c>
      <c r="AI1071" s="1" t="s">
        <v>21745</v>
      </c>
      <c r="AJ1071" s="1" t="s">
        <v>21746</v>
      </c>
      <c r="AK1071" s="1" t="s">
        <v>132</v>
      </c>
      <c r="AL1071" s="14" t="s">
        <v>21747</v>
      </c>
      <c r="AM1071" s="1" t="s">
        <v>21748</v>
      </c>
      <c r="AN1071" s="1" t="s">
        <v>21748</v>
      </c>
    </row>
    <row r="1072" ht="15.75" customHeight="1">
      <c r="A1072" s="1" t="s">
        <v>127</v>
      </c>
      <c r="B1072" s="1" t="s">
        <v>21749</v>
      </c>
      <c r="C1072" s="1" t="s">
        <v>21750</v>
      </c>
      <c r="D1072" s="1" t="s">
        <v>132</v>
      </c>
      <c r="E1072" s="1" t="s">
        <v>132</v>
      </c>
      <c r="F1072" s="1" t="s">
        <v>132</v>
      </c>
      <c r="G1072" s="1" t="s">
        <v>132</v>
      </c>
      <c r="H1072" s="1" t="s">
        <v>21751</v>
      </c>
      <c r="I1072" s="1" t="s">
        <v>21752</v>
      </c>
      <c r="J1072" s="1" t="s">
        <v>132</v>
      </c>
      <c r="K1072" s="1" t="s">
        <v>21753</v>
      </c>
      <c r="L1072" s="1" t="s">
        <v>21754</v>
      </c>
      <c r="M1072" s="1" t="s">
        <v>43263</v>
      </c>
      <c r="N1072" s="1" t="s">
        <v>132</v>
      </c>
      <c r="O1072" s="1" t="s">
        <v>132</v>
      </c>
      <c r="P1072" s="1" t="s">
        <v>21756</v>
      </c>
      <c r="Q1072" s="1" t="s">
        <v>132</v>
      </c>
      <c r="R1072" s="1" t="s">
        <v>21757</v>
      </c>
      <c r="S1072" s="1" t="s">
        <v>21758</v>
      </c>
      <c r="T1072" s="1" t="s">
        <v>132</v>
      </c>
      <c r="U1072" s="1" t="s">
        <v>21759</v>
      </c>
      <c r="V1072" s="1" t="s">
        <v>132</v>
      </c>
      <c r="W1072" s="1" t="s">
        <v>21757</v>
      </c>
      <c r="X1072" s="1" t="s">
        <v>21760</v>
      </c>
      <c r="Y1072" s="1" t="s">
        <v>21761</v>
      </c>
      <c r="Z1072" s="1" t="s">
        <v>21762</v>
      </c>
      <c r="AA1072" s="1" t="s">
        <v>21763</v>
      </c>
      <c r="AB1072" s="1" t="s">
        <v>132</v>
      </c>
      <c r="AC1072" s="1" t="s">
        <v>21764</v>
      </c>
      <c r="AD1072" s="1" t="s">
        <v>132</v>
      </c>
      <c r="AE1072" s="1" t="s">
        <v>132</v>
      </c>
      <c r="AF1072" s="1" t="s">
        <v>21765</v>
      </c>
      <c r="AG1072" s="1" t="s">
        <v>21766</v>
      </c>
      <c r="AH1072" s="1" t="s">
        <v>132</v>
      </c>
      <c r="AI1072" s="1" t="s">
        <v>21767</v>
      </c>
      <c r="AJ1072" s="1" t="s">
        <v>132</v>
      </c>
      <c r="AK1072" s="1" t="s">
        <v>132</v>
      </c>
      <c r="AL1072" s="1" t="s">
        <v>21768</v>
      </c>
      <c r="AM1072" s="1" t="s">
        <v>132</v>
      </c>
      <c r="AN1072" s="1" t="s">
        <v>132</v>
      </c>
    </row>
    <row r="1073" ht="15.75" customHeight="1">
      <c r="A1073" s="1" t="s">
        <v>127</v>
      </c>
      <c r="B1073" s="1" t="s">
        <v>21769</v>
      </c>
      <c r="C1073" s="1" t="s">
        <v>21770</v>
      </c>
      <c r="D1073" s="8" t="s">
        <v>21771</v>
      </c>
      <c r="E1073" s="1" t="s">
        <v>21772</v>
      </c>
      <c r="F1073" s="1" t="s">
        <v>132</v>
      </c>
      <c r="G1073" s="1" t="s">
        <v>21773</v>
      </c>
      <c r="H1073" s="1" t="s">
        <v>21774</v>
      </c>
      <c r="I1073" s="1" t="s">
        <v>21775</v>
      </c>
      <c r="J1073" s="1" t="s">
        <v>21776</v>
      </c>
      <c r="K1073" s="1" t="s">
        <v>21777</v>
      </c>
      <c r="L1073" s="1" t="s">
        <v>21778</v>
      </c>
      <c r="M1073" s="1" t="s">
        <v>21779</v>
      </c>
      <c r="N1073" s="1" t="s">
        <v>132</v>
      </c>
      <c r="O1073" s="1" t="s">
        <v>21780</v>
      </c>
      <c r="P1073" s="1" t="s">
        <v>21781</v>
      </c>
      <c r="Q1073" s="1" t="s">
        <v>132</v>
      </c>
      <c r="R1073" s="1" t="s">
        <v>21782</v>
      </c>
      <c r="S1073" s="1" t="s">
        <v>21783</v>
      </c>
      <c r="T1073" s="8" t="s">
        <v>21784</v>
      </c>
      <c r="U1073" s="1" t="s">
        <v>21785</v>
      </c>
      <c r="V1073" s="1" t="s">
        <v>21786</v>
      </c>
      <c r="W1073" s="1" t="s">
        <v>21787</v>
      </c>
      <c r="X1073" s="1" t="s">
        <v>21788</v>
      </c>
      <c r="Y1073" s="1" t="s">
        <v>21789</v>
      </c>
      <c r="Z1073" s="1" t="s">
        <v>21790</v>
      </c>
      <c r="AA1073" s="1" t="s">
        <v>21791</v>
      </c>
      <c r="AB1073" s="1" t="s">
        <v>21792</v>
      </c>
      <c r="AC1073" s="1" t="s">
        <v>21793</v>
      </c>
      <c r="AD1073" s="1" t="s">
        <v>21794</v>
      </c>
      <c r="AE1073" s="1" t="s">
        <v>21795</v>
      </c>
      <c r="AF1073" s="1" t="s">
        <v>21796</v>
      </c>
      <c r="AG1073" s="1" t="s">
        <v>21797</v>
      </c>
      <c r="AH1073" s="1" t="s">
        <v>21798</v>
      </c>
      <c r="AI1073" s="1" t="s">
        <v>21799</v>
      </c>
      <c r="AJ1073" s="1" t="s">
        <v>132</v>
      </c>
      <c r="AK1073" s="1" t="s">
        <v>21800</v>
      </c>
      <c r="AL1073" s="1" t="s">
        <v>21801</v>
      </c>
      <c r="AM1073" s="1" t="s">
        <v>132</v>
      </c>
      <c r="AN1073" s="1" t="s">
        <v>132</v>
      </c>
    </row>
    <row r="1074" ht="15.75" customHeight="1">
      <c r="A1074" s="1" t="s">
        <v>11050</v>
      </c>
      <c r="B1074" s="1" t="s">
        <v>21802</v>
      </c>
      <c r="C1074" s="1" t="s">
        <v>132</v>
      </c>
      <c r="D1074" s="8" t="s">
        <v>21804</v>
      </c>
      <c r="E1074" s="1" t="s">
        <v>43264</v>
      </c>
      <c r="F1074" s="1" t="s">
        <v>132</v>
      </c>
      <c r="G1074" s="1" t="s">
        <v>132</v>
      </c>
      <c r="H1074" s="1" t="s">
        <v>132</v>
      </c>
      <c r="I1074" s="1" t="s">
        <v>132</v>
      </c>
      <c r="J1074" s="1" t="s">
        <v>132</v>
      </c>
      <c r="K1074" s="1" t="s">
        <v>132</v>
      </c>
      <c r="L1074" s="1" t="s">
        <v>132</v>
      </c>
      <c r="M1074" s="1" t="s">
        <v>132</v>
      </c>
      <c r="N1074" s="1" t="s">
        <v>132</v>
      </c>
      <c r="O1074" s="1" t="s">
        <v>132</v>
      </c>
      <c r="P1074" s="1" t="s">
        <v>132</v>
      </c>
      <c r="Q1074" s="1" t="s">
        <v>132</v>
      </c>
      <c r="R1074" s="1" t="s">
        <v>132</v>
      </c>
      <c r="S1074" s="1" t="s">
        <v>132</v>
      </c>
      <c r="T1074" s="1" t="s">
        <v>132</v>
      </c>
      <c r="U1074" s="1" t="s">
        <v>132</v>
      </c>
      <c r="V1074" s="1" t="s">
        <v>21814</v>
      </c>
      <c r="W1074" s="1" t="s">
        <v>132</v>
      </c>
      <c r="X1074" s="1" t="s">
        <v>132</v>
      </c>
      <c r="Y1074" s="1" t="s">
        <v>132</v>
      </c>
      <c r="Z1074" s="1" t="s">
        <v>132</v>
      </c>
      <c r="AA1074" s="1" t="s">
        <v>132</v>
      </c>
      <c r="AB1074" s="1" t="s">
        <v>132</v>
      </c>
      <c r="AC1074" s="1" t="s">
        <v>132</v>
      </c>
      <c r="AD1074" s="1" t="s">
        <v>132</v>
      </c>
      <c r="AE1074" s="1" t="s">
        <v>132</v>
      </c>
      <c r="AF1074" s="1" t="s">
        <v>132</v>
      </c>
      <c r="AG1074" s="1" t="s">
        <v>132</v>
      </c>
      <c r="AH1074" s="1" t="s">
        <v>132</v>
      </c>
      <c r="AI1074" s="1" t="s">
        <v>132</v>
      </c>
      <c r="AJ1074" s="1" t="s">
        <v>132</v>
      </c>
      <c r="AK1074" s="1" t="s">
        <v>132</v>
      </c>
      <c r="AL1074" s="1" t="s">
        <v>132</v>
      </c>
      <c r="AM1074" s="1" t="s">
        <v>132</v>
      </c>
      <c r="AN1074" s="1" t="s">
        <v>132</v>
      </c>
    </row>
    <row r="1075" ht="15.75" customHeight="1">
      <c r="A1075" s="1" t="s">
        <v>38</v>
      </c>
      <c r="B1075" s="1" t="s">
        <v>21820</v>
      </c>
      <c r="C1075" s="1" t="s">
        <v>21821</v>
      </c>
      <c r="D1075" s="8" t="s">
        <v>21822</v>
      </c>
      <c r="E1075" s="1" t="s">
        <v>21823</v>
      </c>
      <c r="F1075" s="1" t="s">
        <v>21824</v>
      </c>
      <c r="G1075" s="1" t="s">
        <v>132</v>
      </c>
      <c r="H1075" s="1" t="s">
        <v>132</v>
      </c>
      <c r="I1075" s="1" t="s">
        <v>21825</v>
      </c>
      <c r="J1075" s="1" t="s">
        <v>132</v>
      </c>
      <c r="K1075" s="1" t="s">
        <v>21826</v>
      </c>
      <c r="L1075" s="1" t="s">
        <v>132</v>
      </c>
      <c r="M1075" s="1" t="s">
        <v>21827</v>
      </c>
      <c r="N1075" s="1" t="s">
        <v>21826</v>
      </c>
      <c r="O1075" s="1" t="s">
        <v>132</v>
      </c>
      <c r="P1075" s="1" t="s">
        <v>21828</v>
      </c>
      <c r="Q1075" s="1" t="s">
        <v>21829</v>
      </c>
      <c r="R1075" s="1" t="s">
        <v>132</v>
      </c>
      <c r="S1075" s="1" t="s">
        <v>21830</v>
      </c>
      <c r="T1075" s="1" t="s">
        <v>132</v>
      </c>
      <c r="U1075" s="1" t="s">
        <v>21831</v>
      </c>
      <c r="V1075" s="1" t="s">
        <v>21832</v>
      </c>
      <c r="W1075" s="1" t="s">
        <v>132</v>
      </c>
      <c r="X1075" s="1" t="s">
        <v>21833</v>
      </c>
      <c r="Y1075" s="1" t="s">
        <v>132</v>
      </c>
      <c r="Z1075" s="1" t="s">
        <v>21834</v>
      </c>
      <c r="AA1075" s="1" t="s">
        <v>21826</v>
      </c>
      <c r="AB1075" s="1" t="s">
        <v>132</v>
      </c>
      <c r="AC1075" s="1" t="s">
        <v>21835</v>
      </c>
      <c r="AD1075" s="1" t="s">
        <v>21836</v>
      </c>
      <c r="AE1075" s="1" t="s">
        <v>132</v>
      </c>
      <c r="AF1075" s="1" t="s">
        <v>21837</v>
      </c>
      <c r="AG1075" s="1" t="s">
        <v>21838</v>
      </c>
      <c r="AH1075" s="1" t="s">
        <v>132</v>
      </c>
      <c r="AI1075" s="1" t="s">
        <v>132</v>
      </c>
      <c r="AJ1075" s="1" t="s">
        <v>21839</v>
      </c>
      <c r="AK1075" s="1" t="s">
        <v>21840</v>
      </c>
      <c r="AL1075" s="1" t="s">
        <v>132</v>
      </c>
      <c r="AM1075" s="1" t="s">
        <v>21841</v>
      </c>
      <c r="AN1075" s="1" t="s">
        <v>21841</v>
      </c>
    </row>
    <row r="1076" ht="15.75" customHeight="1">
      <c r="A1076" s="1" t="s">
        <v>38</v>
      </c>
      <c r="B1076" s="1" t="s">
        <v>21842</v>
      </c>
      <c r="C1076" s="1" t="s">
        <v>21843</v>
      </c>
      <c r="D1076" s="1" t="s">
        <v>132</v>
      </c>
      <c r="E1076" s="1" t="s">
        <v>132</v>
      </c>
      <c r="F1076" s="1" t="s">
        <v>132</v>
      </c>
      <c r="G1076" s="1" t="s">
        <v>132</v>
      </c>
      <c r="H1076" s="1" t="s">
        <v>132</v>
      </c>
      <c r="I1076" s="1" t="s">
        <v>21844</v>
      </c>
      <c r="J1076" s="1" t="s">
        <v>132</v>
      </c>
      <c r="K1076" s="1" t="s">
        <v>21845</v>
      </c>
      <c r="L1076" s="1" t="s">
        <v>132</v>
      </c>
      <c r="M1076" s="1" t="s">
        <v>21846</v>
      </c>
      <c r="N1076" s="1" t="s">
        <v>132</v>
      </c>
      <c r="O1076" s="1" t="s">
        <v>132</v>
      </c>
      <c r="P1076" s="1" t="s">
        <v>21847</v>
      </c>
      <c r="Q1076" s="1" t="s">
        <v>132</v>
      </c>
      <c r="R1076" s="1" t="s">
        <v>132</v>
      </c>
      <c r="S1076" s="1" t="s">
        <v>132</v>
      </c>
      <c r="T1076" s="1" t="s">
        <v>132</v>
      </c>
      <c r="U1076" s="1" t="s">
        <v>132</v>
      </c>
      <c r="V1076" s="1" t="s">
        <v>132</v>
      </c>
      <c r="W1076" s="1" t="s">
        <v>132</v>
      </c>
      <c r="X1076" s="1" t="s">
        <v>132</v>
      </c>
      <c r="Y1076" s="1" t="s">
        <v>132</v>
      </c>
      <c r="Z1076" s="1" t="s">
        <v>132</v>
      </c>
      <c r="AA1076" s="1" t="s">
        <v>132</v>
      </c>
      <c r="AB1076" s="1" t="s">
        <v>132</v>
      </c>
      <c r="AC1076" s="1" t="s">
        <v>21848</v>
      </c>
      <c r="AD1076" s="1" t="s">
        <v>132</v>
      </c>
      <c r="AE1076" s="1" t="s">
        <v>132</v>
      </c>
      <c r="AF1076" s="1" t="s">
        <v>21849</v>
      </c>
      <c r="AG1076" s="1" t="s">
        <v>132</v>
      </c>
      <c r="AH1076" s="1" t="s">
        <v>132</v>
      </c>
      <c r="AI1076" s="1" t="s">
        <v>132</v>
      </c>
      <c r="AJ1076" s="1" t="s">
        <v>132</v>
      </c>
      <c r="AK1076" s="1" t="s">
        <v>132</v>
      </c>
      <c r="AL1076" s="1" t="s">
        <v>132</v>
      </c>
      <c r="AM1076" s="1" t="s">
        <v>132</v>
      </c>
      <c r="AN1076" s="1" t="s">
        <v>132</v>
      </c>
    </row>
    <row r="1077" ht="15.75" customHeight="1">
      <c r="A1077" s="1" t="s">
        <v>38</v>
      </c>
      <c r="B1077" s="1" t="s">
        <v>21850</v>
      </c>
      <c r="C1077" s="1" t="s">
        <v>21851</v>
      </c>
      <c r="D1077" s="1" t="s">
        <v>132</v>
      </c>
      <c r="E1077" s="1" t="s">
        <v>132</v>
      </c>
      <c r="F1077" s="1" t="s">
        <v>132</v>
      </c>
      <c r="G1077" s="1" t="s">
        <v>132</v>
      </c>
      <c r="H1077" s="1" t="s">
        <v>132</v>
      </c>
      <c r="I1077" s="1" t="s">
        <v>21852</v>
      </c>
      <c r="J1077" s="1" t="s">
        <v>132</v>
      </c>
      <c r="K1077" s="1" t="s">
        <v>21853</v>
      </c>
      <c r="L1077" s="1" t="s">
        <v>132</v>
      </c>
      <c r="M1077" s="1" t="s">
        <v>21854</v>
      </c>
      <c r="N1077" s="1" t="s">
        <v>132</v>
      </c>
      <c r="O1077" s="1" t="s">
        <v>132</v>
      </c>
      <c r="P1077" s="1" t="s">
        <v>21851</v>
      </c>
      <c r="Q1077" s="1" t="s">
        <v>132</v>
      </c>
      <c r="R1077" s="1" t="s">
        <v>132</v>
      </c>
      <c r="S1077" s="1" t="s">
        <v>132</v>
      </c>
      <c r="T1077" s="1" t="s">
        <v>132</v>
      </c>
      <c r="U1077" s="1" t="s">
        <v>132</v>
      </c>
      <c r="V1077" s="1" t="s">
        <v>132</v>
      </c>
      <c r="W1077" s="1" t="s">
        <v>132</v>
      </c>
      <c r="X1077" s="1" t="s">
        <v>132</v>
      </c>
      <c r="Y1077" s="1" t="s">
        <v>132</v>
      </c>
      <c r="Z1077" s="1" t="s">
        <v>132</v>
      </c>
      <c r="AA1077" s="1" t="s">
        <v>132</v>
      </c>
      <c r="AB1077" s="1" t="s">
        <v>132</v>
      </c>
      <c r="AC1077" s="1" t="s">
        <v>21855</v>
      </c>
      <c r="AD1077" s="1" t="s">
        <v>132</v>
      </c>
      <c r="AE1077" s="1" t="s">
        <v>132</v>
      </c>
      <c r="AF1077" s="1" t="s">
        <v>21856</v>
      </c>
      <c r="AG1077" s="1" t="s">
        <v>132</v>
      </c>
      <c r="AH1077" s="1" t="s">
        <v>132</v>
      </c>
      <c r="AI1077" s="1" t="s">
        <v>132</v>
      </c>
      <c r="AJ1077" s="1" t="s">
        <v>132</v>
      </c>
      <c r="AK1077" s="1" t="s">
        <v>132</v>
      </c>
      <c r="AL1077" s="1" t="s">
        <v>132</v>
      </c>
      <c r="AM1077" s="1" t="s">
        <v>132</v>
      </c>
      <c r="AN1077" s="1" t="s">
        <v>132</v>
      </c>
    </row>
    <row r="1078" ht="15.75" customHeight="1">
      <c r="A1078" s="1" t="s">
        <v>38</v>
      </c>
      <c r="B1078" s="1" t="s">
        <v>21857</v>
      </c>
      <c r="C1078" s="1" t="s">
        <v>21858</v>
      </c>
      <c r="D1078" s="1" t="s">
        <v>132</v>
      </c>
      <c r="E1078" s="1" t="s">
        <v>132</v>
      </c>
      <c r="F1078" s="1" t="s">
        <v>132</v>
      </c>
      <c r="G1078" s="1" t="s">
        <v>132</v>
      </c>
      <c r="H1078" s="1" t="s">
        <v>132</v>
      </c>
      <c r="I1078" s="1" t="s">
        <v>21858</v>
      </c>
      <c r="J1078" s="1" t="s">
        <v>132</v>
      </c>
      <c r="K1078" s="1" t="s">
        <v>21858</v>
      </c>
      <c r="L1078" s="1" t="s">
        <v>132</v>
      </c>
      <c r="M1078" s="1" t="s">
        <v>21859</v>
      </c>
      <c r="N1078" s="1" t="s">
        <v>132</v>
      </c>
      <c r="O1078" s="1" t="s">
        <v>132</v>
      </c>
      <c r="P1078" s="1" t="s">
        <v>21858</v>
      </c>
      <c r="Q1078" s="1" t="s">
        <v>132</v>
      </c>
      <c r="R1078" s="1" t="s">
        <v>132</v>
      </c>
      <c r="S1078" s="1" t="s">
        <v>132</v>
      </c>
      <c r="T1078" s="1" t="s">
        <v>132</v>
      </c>
      <c r="U1078" s="1" t="s">
        <v>132</v>
      </c>
      <c r="V1078" s="1" t="s">
        <v>132</v>
      </c>
      <c r="W1078" s="1" t="s">
        <v>132</v>
      </c>
      <c r="X1078" s="1" t="s">
        <v>132</v>
      </c>
      <c r="Y1078" s="1" t="s">
        <v>132</v>
      </c>
      <c r="Z1078" s="1" t="s">
        <v>132</v>
      </c>
      <c r="AA1078" s="1" t="s">
        <v>132</v>
      </c>
      <c r="AB1078" s="1" t="s">
        <v>132</v>
      </c>
      <c r="AC1078" s="1" t="s">
        <v>21860</v>
      </c>
      <c r="AD1078" s="1" t="s">
        <v>132</v>
      </c>
      <c r="AE1078" s="1" t="s">
        <v>132</v>
      </c>
      <c r="AF1078" s="1" t="s">
        <v>21861</v>
      </c>
      <c r="AG1078" s="1" t="s">
        <v>132</v>
      </c>
      <c r="AH1078" s="1" t="s">
        <v>132</v>
      </c>
      <c r="AI1078" s="1" t="s">
        <v>132</v>
      </c>
      <c r="AJ1078" s="1" t="s">
        <v>132</v>
      </c>
      <c r="AK1078" s="1" t="s">
        <v>132</v>
      </c>
      <c r="AL1078" s="1" t="s">
        <v>132</v>
      </c>
      <c r="AM1078" s="1" t="s">
        <v>132</v>
      </c>
      <c r="AN1078" s="1" t="s">
        <v>132</v>
      </c>
    </row>
    <row r="1079" ht="15.75" customHeight="1">
      <c r="A1079" s="1" t="s">
        <v>38</v>
      </c>
      <c r="B1079" s="1" t="s">
        <v>21862</v>
      </c>
      <c r="C1079" s="1" t="s">
        <v>21863</v>
      </c>
      <c r="D1079" s="8" t="s">
        <v>21864</v>
      </c>
      <c r="E1079" s="1" t="s">
        <v>21865</v>
      </c>
      <c r="F1079" s="1" t="s">
        <v>1491</v>
      </c>
      <c r="G1079" s="1" t="s">
        <v>132</v>
      </c>
      <c r="H1079" s="1" t="s">
        <v>132</v>
      </c>
      <c r="I1079" s="1" t="s">
        <v>21866</v>
      </c>
      <c r="J1079" s="1" t="s">
        <v>132</v>
      </c>
      <c r="K1079" s="1" t="s">
        <v>21867</v>
      </c>
      <c r="L1079" s="1" t="s">
        <v>132</v>
      </c>
      <c r="M1079" s="1" t="s">
        <v>21868</v>
      </c>
      <c r="N1079" s="1" t="s">
        <v>21869</v>
      </c>
      <c r="O1079" s="1" t="s">
        <v>132</v>
      </c>
      <c r="P1079" s="1" t="s">
        <v>21870</v>
      </c>
      <c r="Q1079" s="1" t="s">
        <v>21871</v>
      </c>
      <c r="R1079" s="1" t="s">
        <v>132</v>
      </c>
      <c r="S1079" s="1" t="s">
        <v>21872</v>
      </c>
      <c r="T1079" s="1" t="s">
        <v>132</v>
      </c>
      <c r="U1079" s="1" t="s">
        <v>21873</v>
      </c>
      <c r="V1079" s="1" t="s">
        <v>21874</v>
      </c>
      <c r="W1079" s="1" t="s">
        <v>132</v>
      </c>
      <c r="X1079" s="1" t="s">
        <v>21875</v>
      </c>
      <c r="Y1079" s="1" t="s">
        <v>132</v>
      </c>
      <c r="Z1079" s="1" t="s">
        <v>21876</v>
      </c>
      <c r="AA1079" s="1" t="s">
        <v>21877</v>
      </c>
      <c r="AB1079" s="1" t="s">
        <v>132</v>
      </c>
      <c r="AC1079" s="1" t="s">
        <v>21878</v>
      </c>
      <c r="AD1079" s="1" t="s">
        <v>21879</v>
      </c>
      <c r="AE1079" s="1" t="s">
        <v>132</v>
      </c>
      <c r="AF1079" s="1" t="s">
        <v>21880</v>
      </c>
      <c r="AG1079" s="1" t="s">
        <v>21881</v>
      </c>
      <c r="AH1079" s="1" t="s">
        <v>132</v>
      </c>
      <c r="AI1079" s="1" t="s">
        <v>132</v>
      </c>
      <c r="AJ1079" s="1" t="s">
        <v>21882</v>
      </c>
      <c r="AK1079" s="1" t="s">
        <v>21883</v>
      </c>
      <c r="AL1079" s="1" t="s">
        <v>132</v>
      </c>
      <c r="AM1079" s="1" t="s">
        <v>21884</v>
      </c>
      <c r="AN1079" s="1" t="s">
        <v>21884</v>
      </c>
    </row>
    <row r="1080" ht="15.75" customHeight="1">
      <c r="A1080" s="1" t="s">
        <v>127</v>
      </c>
      <c r="B1080" s="1" t="s">
        <v>21885</v>
      </c>
      <c r="C1080" s="1" t="s">
        <v>21886</v>
      </c>
      <c r="D1080" s="8" t="s">
        <v>21887</v>
      </c>
      <c r="E1080" s="1" t="s">
        <v>21888</v>
      </c>
      <c r="F1080" s="1" t="s">
        <v>132</v>
      </c>
      <c r="G1080" s="1" t="s">
        <v>21889</v>
      </c>
      <c r="H1080" s="1" t="s">
        <v>21890</v>
      </c>
      <c r="I1080" s="1" t="s">
        <v>21891</v>
      </c>
      <c r="J1080" s="1" t="s">
        <v>21892</v>
      </c>
      <c r="K1080" s="1" t="s">
        <v>21893</v>
      </c>
      <c r="L1080" s="1" t="s">
        <v>21894</v>
      </c>
      <c r="M1080" s="1" t="s">
        <v>21895</v>
      </c>
      <c r="N1080" s="1" t="s">
        <v>132</v>
      </c>
      <c r="O1080" s="1" t="s">
        <v>21896</v>
      </c>
      <c r="P1080" s="1" t="s">
        <v>21886</v>
      </c>
      <c r="Q1080" s="1" t="s">
        <v>132</v>
      </c>
      <c r="R1080" s="1" t="s">
        <v>21897</v>
      </c>
      <c r="S1080" s="1" t="s">
        <v>21898</v>
      </c>
      <c r="T1080" s="8" t="s">
        <v>21899</v>
      </c>
      <c r="U1080" s="1" t="s">
        <v>21900</v>
      </c>
      <c r="V1080" s="1" t="s">
        <v>21901</v>
      </c>
      <c r="W1080" s="1" t="s">
        <v>21902</v>
      </c>
      <c r="X1080" s="1" t="s">
        <v>21903</v>
      </c>
      <c r="Y1080" s="1" t="s">
        <v>21904</v>
      </c>
      <c r="Z1080" s="1" t="s">
        <v>21905</v>
      </c>
      <c r="AA1080" s="1" t="s">
        <v>21906</v>
      </c>
      <c r="AB1080" s="1" t="s">
        <v>21907</v>
      </c>
      <c r="AC1080" s="1" t="s">
        <v>21908</v>
      </c>
      <c r="AD1080" s="1" t="s">
        <v>21909</v>
      </c>
      <c r="AE1080" s="1" t="s">
        <v>21910</v>
      </c>
      <c r="AF1080" s="1" t="s">
        <v>21911</v>
      </c>
      <c r="AG1080" s="1" t="s">
        <v>21912</v>
      </c>
      <c r="AH1080" s="1" t="s">
        <v>21913</v>
      </c>
      <c r="AI1080" s="1" t="s">
        <v>21914</v>
      </c>
      <c r="AJ1080" s="1" t="s">
        <v>132</v>
      </c>
      <c r="AK1080" s="1" t="s">
        <v>21915</v>
      </c>
      <c r="AL1080" s="1" t="s">
        <v>21916</v>
      </c>
      <c r="AM1080" s="1" t="s">
        <v>21917</v>
      </c>
      <c r="AN1080" s="1" t="s">
        <v>21917</v>
      </c>
    </row>
    <row r="1081" ht="15.75" customHeight="1">
      <c r="A1081" s="1" t="s">
        <v>38</v>
      </c>
      <c r="B1081" s="1" t="s">
        <v>21918</v>
      </c>
      <c r="C1081" s="1" t="s">
        <v>21919</v>
      </c>
      <c r="D1081" s="1" t="s">
        <v>132</v>
      </c>
      <c r="E1081" s="1" t="s">
        <v>21920</v>
      </c>
      <c r="F1081" s="1" t="s">
        <v>132</v>
      </c>
      <c r="G1081" s="1" t="s">
        <v>132</v>
      </c>
      <c r="H1081" s="1" t="s">
        <v>132</v>
      </c>
      <c r="I1081" s="1" t="s">
        <v>21921</v>
      </c>
      <c r="J1081" s="1" t="s">
        <v>132</v>
      </c>
      <c r="K1081" s="1" t="s">
        <v>21922</v>
      </c>
      <c r="L1081" s="1" t="s">
        <v>132</v>
      </c>
      <c r="M1081" s="1" t="s">
        <v>21923</v>
      </c>
      <c r="N1081" s="1" t="s">
        <v>21924</v>
      </c>
      <c r="O1081" s="1" t="s">
        <v>132</v>
      </c>
      <c r="P1081" s="1" t="s">
        <v>21925</v>
      </c>
      <c r="Q1081" s="1" t="s">
        <v>132</v>
      </c>
      <c r="R1081" s="1" t="s">
        <v>132</v>
      </c>
      <c r="S1081" s="1" t="s">
        <v>21926</v>
      </c>
      <c r="T1081" s="1" t="s">
        <v>132</v>
      </c>
      <c r="U1081" s="1" t="s">
        <v>132</v>
      </c>
      <c r="V1081" s="1" t="s">
        <v>132</v>
      </c>
      <c r="W1081" s="1" t="s">
        <v>132</v>
      </c>
      <c r="X1081" s="1" t="s">
        <v>21927</v>
      </c>
      <c r="Y1081" s="1" t="s">
        <v>132</v>
      </c>
      <c r="Z1081" s="1" t="s">
        <v>21928</v>
      </c>
      <c r="AA1081" s="1" t="s">
        <v>132</v>
      </c>
      <c r="AB1081" s="1" t="s">
        <v>132</v>
      </c>
      <c r="AC1081" s="1" t="s">
        <v>132</v>
      </c>
      <c r="AD1081" s="1" t="s">
        <v>132</v>
      </c>
      <c r="AE1081" s="1" t="s">
        <v>132</v>
      </c>
      <c r="AF1081" s="1" t="s">
        <v>132</v>
      </c>
      <c r="AG1081" s="1" t="s">
        <v>132</v>
      </c>
      <c r="AH1081" s="1" t="s">
        <v>132</v>
      </c>
      <c r="AI1081" s="1" t="s">
        <v>132</v>
      </c>
      <c r="AJ1081" s="1" t="s">
        <v>132</v>
      </c>
      <c r="AK1081" s="1" t="s">
        <v>132</v>
      </c>
      <c r="AL1081" s="1" t="s">
        <v>132</v>
      </c>
      <c r="AM1081" s="1" t="s">
        <v>132</v>
      </c>
      <c r="AN1081" s="1" t="s">
        <v>132</v>
      </c>
    </row>
    <row r="1082" ht="15.75" customHeight="1">
      <c r="A1082" s="1" t="s">
        <v>127</v>
      </c>
      <c r="B1082" s="1" t="s">
        <v>21929</v>
      </c>
      <c r="C1082" s="1" t="s">
        <v>21930</v>
      </c>
      <c r="D1082" s="8" t="s">
        <v>11138</v>
      </c>
      <c r="E1082" s="1" t="s">
        <v>21930</v>
      </c>
      <c r="F1082" s="1" t="s">
        <v>132</v>
      </c>
      <c r="G1082" s="1" t="s">
        <v>21930</v>
      </c>
      <c r="H1082" s="1" t="s">
        <v>21930</v>
      </c>
      <c r="I1082" s="1" t="s">
        <v>21931</v>
      </c>
      <c r="J1082" s="1" t="s">
        <v>21930</v>
      </c>
      <c r="K1082" s="1" t="s">
        <v>21932</v>
      </c>
      <c r="L1082" s="1" t="s">
        <v>21930</v>
      </c>
      <c r="M1082" s="1" t="s">
        <v>21930</v>
      </c>
      <c r="N1082" s="1" t="s">
        <v>132</v>
      </c>
      <c r="O1082" s="1" t="s">
        <v>21933</v>
      </c>
      <c r="P1082" s="1" t="s">
        <v>21934</v>
      </c>
      <c r="Q1082" s="1" t="s">
        <v>132</v>
      </c>
      <c r="R1082" s="1" t="s">
        <v>21930</v>
      </c>
      <c r="S1082" s="1" t="s">
        <v>21930</v>
      </c>
      <c r="T1082" s="8" t="s">
        <v>14024</v>
      </c>
      <c r="U1082" s="1" t="s">
        <v>14025</v>
      </c>
      <c r="V1082" s="1" t="s">
        <v>14026</v>
      </c>
      <c r="W1082" s="1" t="s">
        <v>21930</v>
      </c>
      <c r="X1082" s="1" t="s">
        <v>21931</v>
      </c>
      <c r="Y1082" s="1" t="s">
        <v>21930</v>
      </c>
      <c r="Z1082" s="1" t="s">
        <v>21935</v>
      </c>
      <c r="AA1082" s="1" t="s">
        <v>21930</v>
      </c>
      <c r="AB1082" s="1" t="s">
        <v>21930</v>
      </c>
      <c r="AC1082" s="1" t="s">
        <v>21936</v>
      </c>
      <c r="AD1082" s="1" t="s">
        <v>21930</v>
      </c>
      <c r="AE1082" s="1" t="s">
        <v>21930</v>
      </c>
      <c r="AF1082" s="1" t="s">
        <v>21930</v>
      </c>
      <c r="AG1082" s="1" t="s">
        <v>21930</v>
      </c>
      <c r="AH1082" s="1" t="s">
        <v>21937</v>
      </c>
      <c r="AI1082" s="1" t="s">
        <v>21938</v>
      </c>
      <c r="AJ1082" s="1" t="s">
        <v>132</v>
      </c>
      <c r="AK1082" s="1" t="s">
        <v>21934</v>
      </c>
      <c r="AL1082" s="1" t="s">
        <v>14034</v>
      </c>
      <c r="AM1082" s="1" t="s">
        <v>132</v>
      </c>
      <c r="AN1082" s="1" t="s">
        <v>132</v>
      </c>
    </row>
    <row r="1083" ht="15.75" customHeight="1">
      <c r="A1083" s="1" t="s">
        <v>38</v>
      </c>
      <c r="B1083" s="1" t="s">
        <v>21939</v>
      </c>
      <c r="C1083" s="1" t="s">
        <v>21940</v>
      </c>
      <c r="D1083" s="1" t="s">
        <v>132</v>
      </c>
      <c r="E1083" s="1" t="s">
        <v>21941</v>
      </c>
      <c r="F1083" s="1" t="s">
        <v>132</v>
      </c>
      <c r="G1083" s="1" t="s">
        <v>132</v>
      </c>
      <c r="H1083" s="1" t="s">
        <v>132</v>
      </c>
      <c r="I1083" s="1" t="s">
        <v>21942</v>
      </c>
      <c r="J1083" s="1" t="s">
        <v>132</v>
      </c>
      <c r="K1083" s="1" t="s">
        <v>21943</v>
      </c>
      <c r="L1083" s="1" t="s">
        <v>132</v>
      </c>
      <c r="M1083" s="1" t="s">
        <v>132</v>
      </c>
      <c r="N1083" s="1" t="s">
        <v>21945</v>
      </c>
      <c r="O1083" s="1" t="s">
        <v>132</v>
      </c>
      <c r="P1083" s="1" t="s">
        <v>21946</v>
      </c>
      <c r="Q1083" s="1" t="s">
        <v>132</v>
      </c>
      <c r="R1083" s="1" t="s">
        <v>132</v>
      </c>
      <c r="S1083" s="1" t="s">
        <v>21947</v>
      </c>
      <c r="T1083" s="1" t="s">
        <v>132</v>
      </c>
      <c r="U1083" s="1" t="s">
        <v>132</v>
      </c>
      <c r="V1083" s="1" t="s">
        <v>132</v>
      </c>
      <c r="W1083" s="1" t="s">
        <v>132</v>
      </c>
      <c r="X1083" s="1" t="s">
        <v>21948</v>
      </c>
      <c r="Y1083" s="1" t="s">
        <v>132</v>
      </c>
      <c r="Z1083" s="1" t="s">
        <v>21949</v>
      </c>
      <c r="AA1083" s="1" t="s">
        <v>132</v>
      </c>
      <c r="AB1083" s="1" t="s">
        <v>132</v>
      </c>
      <c r="AC1083" s="1" t="s">
        <v>132</v>
      </c>
      <c r="AD1083" s="1" t="s">
        <v>132</v>
      </c>
      <c r="AE1083" s="1" t="s">
        <v>132</v>
      </c>
      <c r="AF1083" s="1" t="s">
        <v>132</v>
      </c>
      <c r="AG1083" s="1" t="s">
        <v>132</v>
      </c>
      <c r="AH1083" s="1" t="s">
        <v>132</v>
      </c>
      <c r="AI1083" s="1" t="s">
        <v>132</v>
      </c>
      <c r="AJ1083" s="1" t="s">
        <v>132</v>
      </c>
      <c r="AK1083" s="1" t="s">
        <v>132</v>
      </c>
      <c r="AL1083" s="1" t="s">
        <v>132</v>
      </c>
      <c r="AM1083" s="1" t="s">
        <v>132</v>
      </c>
      <c r="AN1083" s="1" t="s">
        <v>132</v>
      </c>
    </row>
    <row r="1084" ht="15.75" customHeight="1">
      <c r="A1084" s="1" t="s">
        <v>43182</v>
      </c>
      <c r="B1084" s="1" t="s">
        <v>43265</v>
      </c>
      <c r="C1084" s="1" t="s">
        <v>43266</v>
      </c>
      <c r="D1084" s="1" t="s">
        <v>132</v>
      </c>
      <c r="E1084" s="1" t="s">
        <v>132</v>
      </c>
      <c r="F1084" s="1" t="s">
        <v>132</v>
      </c>
      <c r="G1084" s="1" t="s">
        <v>132</v>
      </c>
      <c r="H1084" s="1" t="s">
        <v>132</v>
      </c>
      <c r="I1084" s="1" t="s">
        <v>132</v>
      </c>
      <c r="J1084" s="1" t="s">
        <v>132</v>
      </c>
      <c r="K1084" s="1" t="s">
        <v>132</v>
      </c>
      <c r="L1084" s="1" t="s">
        <v>132</v>
      </c>
      <c r="M1084" s="1" t="s">
        <v>132</v>
      </c>
      <c r="N1084" s="1" t="s">
        <v>132</v>
      </c>
      <c r="O1084" s="1" t="s">
        <v>132</v>
      </c>
      <c r="P1084" s="1" t="s">
        <v>132</v>
      </c>
      <c r="Q1084" s="1" t="s">
        <v>132</v>
      </c>
      <c r="R1084" s="1" t="s">
        <v>132</v>
      </c>
      <c r="S1084" s="1" t="s">
        <v>132</v>
      </c>
      <c r="T1084" s="1" t="s">
        <v>132</v>
      </c>
      <c r="U1084" s="1" t="s">
        <v>132</v>
      </c>
      <c r="V1084" s="1" t="s">
        <v>132</v>
      </c>
      <c r="W1084" s="1" t="s">
        <v>132</v>
      </c>
      <c r="X1084" s="1" t="s">
        <v>132</v>
      </c>
      <c r="Y1084" s="1" t="s">
        <v>132</v>
      </c>
      <c r="Z1084" s="1" t="s">
        <v>132</v>
      </c>
      <c r="AA1084" s="1" t="s">
        <v>132</v>
      </c>
      <c r="AB1084" s="1" t="s">
        <v>132</v>
      </c>
      <c r="AC1084" s="1" t="s">
        <v>132</v>
      </c>
      <c r="AD1084" s="1" t="s">
        <v>132</v>
      </c>
      <c r="AE1084" s="1" t="s">
        <v>132</v>
      </c>
      <c r="AF1084" s="1" t="s">
        <v>132</v>
      </c>
      <c r="AG1084" s="1" t="s">
        <v>132</v>
      </c>
      <c r="AH1084" s="1" t="s">
        <v>132</v>
      </c>
      <c r="AI1084" s="1" t="s">
        <v>132</v>
      </c>
      <c r="AJ1084" s="1" t="s">
        <v>132</v>
      </c>
      <c r="AK1084" s="1" t="s">
        <v>132</v>
      </c>
      <c r="AL1084" s="1" t="s">
        <v>132</v>
      </c>
      <c r="AM1084" s="1" t="s">
        <v>132</v>
      </c>
      <c r="AN1084" s="1" t="s">
        <v>132</v>
      </c>
    </row>
    <row r="1085" ht="15.75" customHeight="1">
      <c r="A1085" s="1" t="s">
        <v>38</v>
      </c>
      <c r="B1085" s="1" t="s">
        <v>21950</v>
      </c>
      <c r="C1085" s="1" t="s">
        <v>21951</v>
      </c>
      <c r="D1085" s="1" t="s">
        <v>132</v>
      </c>
      <c r="E1085" s="1" t="s">
        <v>132</v>
      </c>
      <c r="F1085" s="1" t="s">
        <v>132</v>
      </c>
      <c r="G1085" s="1" t="s">
        <v>132</v>
      </c>
      <c r="H1085" s="1" t="s">
        <v>132</v>
      </c>
      <c r="I1085" s="1" t="s">
        <v>21952</v>
      </c>
      <c r="J1085" s="1" t="s">
        <v>132</v>
      </c>
      <c r="K1085" s="1" t="s">
        <v>21953</v>
      </c>
      <c r="L1085" s="1" t="s">
        <v>132</v>
      </c>
      <c r="M1085" s="1" t="s">
        <v>21954</v>
      </c>
      <c r="N1085" s="1" t="s">
        <v>132</v>
      </c>
      <c r="O1085" s="1" t="s">
        <v>132</v>
      </c>
      <c r="P1085" s="1" t="s">
        <v>21955</v>
      </c>
      <c r="Q1085" s="1" t="s">
        <v>132</v>
      </c>
      <c r="R1085" s="1" t="s">
        <v>132</v>
      </c>
      <c r="S1085" s="1" t="s">
        <v>132</v>
      </c>
      <c r="T1085" s="1" t="s">
        <v>132</v>
      </c>
      <c r="U1085" s="1" t="s">
        <v>132</v>
      </c>
      <c r="V1085" s="1" t="s">
        <v>132</v>
      </c>
      <c r="W1085" s="1" t="s">
        <v>132</v>
      </c>
      <c r="X1085" s="1" t="s">
        <v>132</v>
      </c>
      <c r="Y1085" s="1" t="s">
        <v>132</v>
      </c>
      <c r="Z1085" s="1" t="s">
        <v>132</v>
      </c>
      <c r="AA1085" s="1" t="s">
        <v>132</v>
      </c>
      <c r="AB1085" s="1" t="s">
        <v>132</v>
      </c>
      <c r="AC1085" s="1" t="s">
        <v>21956</v>
      </c>
      <c r="AD1085" s="1" t="s">
        <v>132</v>
      </c>
      <c r="AE1085" s="1" t="s">
        <v>132</v>
      </c>
      <c r="AF1085" s="1" t="s">
        <v>21957</v>
      </c>
      <c r="AG1085" s="1" t="s">
        <v>132</v>
      </c>
      <c r="AH1085" s="1" t="s">
        <v>132</v>
      </c>
      <c r="AI1085" s="1" t="s">
        <v>132</v>
      </c>
      <c r="AJ1085" s="1" t="s">
        <v>132</v>
      </c>
      <c r="AK1085" s="1" t="s">
        <v>132</v>
      </c>
      <c r="AL1085" s="1" t="s">
        <v>132</v>
      </c>
      <c r="AM1085" s="1" t="s">
        <v>132</v>
      </c>
      <c r="AN1085" s="1" t="s">
        <v>132</v>
      </c>
    </row>
    <row r="1086" ht="15.75" customHeight="1">
      <c r="A1086" s="1" t="s">
        <v>127</v>
      </c>
      <c r="B1086" s="1" t="s">
        <v>21958</v>
      </c>
      <c r="C1086" s="1" t="s">
        <v>21959</v>
      </c>
      <c r="D1086" s="8" t="s">
        <v>21960</v>
      </c>
      <c r="E1086" s="1" t="s">
        <v>21961</v>
      </c>
      <c r="F1086" s="1" t="s">
        <v>132</v>
      </c>
      <c r="G1086" s="1" t="s">
        <v>21959</v>
      </c>
      <c r="H1086" s="1" t="s">
        <v>21959</v>
      </c>
      <c r="I1086" s="1" t="s">
        <v>21962</v>
      </c>
      <c r="J1086" s="1" t="s">
        <v>21959</v>
      </c>
      <c r="K1086" s="1" t="s">
        <v>21963</v>
      </c>
      <c r="L1086" s="1" t="s">
        <v>21959</v>
      </c>
      <c r="M1086" s="1" t="s">
        <v>21964</v>
      </c>
      <c r="N1086" s="1" t="s">
        <v>132</v>
      </c>
      <c r="O1086" s="1" t="s">
        <v>21965</v>
      </c>
      <c r="P1086" s="1" t="s">
        <v>21966</v>
      </c>
      <c r="Q1086" s="1" t="s">
        <v>132</v>
      </c>
      <c r="R1086" s="1" t="s">
        <v>21967</v>
      </c>
      <c r="S1086" s="1" t="s">
        <v>21959</v>
      </c>
      <c r="T1086" s="8" t="s">
        <v>21968</v>
      </c>
      <c r="U1086" s="1" t="s">
        <v>21969</v>
      </c>
      <c r="V1086" s="1" t="s">
        <v>21959</v>
      </c>
      <c r="W1086" s="1" t="s">
        <v>21967</v>
      </c>
      <c r="X1086" s="1" t="s">
        <v>21970</v>
      </c>
      <c r="Y1086" s="1" t="s">
        <v>21959</v>
      </c>
      <c r="Z1086" s="1" t="s">
        <v>21971</v>
      </c>
      <c r="AA1086" s="1" t="s">
        <v>21972</v>
      </c>
      <c r="AB1086" s="1" t="s">
        <v>21959</v>
      </c>
      <c r="AC1086" s="1" t="s">
        <v>21973</v>
      </c>
      <c r="AD1086" s="1" t="s">
        <v>21974</v>
      </c>
      <c r="AE1086" s="1" t="s">
        <v>21959</v>
      </c>
      <c r="AF1086" s="1" t="s">
        <v>21974</v>
      </c>
      <c r="AG1086" s="1" t="s">
        <v>21959</v>
      </c>
      <c r="AH1086" s="1" t="s">
        <v>21975</v>
      </c>
      <c r="AI1086" s="1" t="s">
        <v>21959</v>
      </c>
      <c r="AJ1086" s="1" t="s">
        <v>132</v>
      </c>
      <c r="AK1086" s="1" t="s">
        <v>21976</v>
      </c>
      <c r="AL1086" s="1" t="s">
        <v>21969</v>
      </c>
      <c r="AM1086" s="1" t="s">
        <v>21977</v>
      </c>
      <c r="AN1086" s="1" t="s">
        <v>21977</v>
      </c>
    </row>
    <row r="1087" ht="15.75" customHeight="1">
      <c r="A1087" s="1" t="s">
        <v>127</v>
      </c>
      <c r="B1087" s="1" t="s">
        <v>21978</v>
      </c>
      <c r="C1087" s="1" t="s">
        <v>13551</v>
      </c>
      <c r="D1087" s="8" t="s">
        <v>13552</v>
      </c>
      <c r="E1087" s="1" t="s">
        <v>13567</v>
      </c>
      <c r="F1087" s="1" t="s">
        <v>132</v>
      </c>
      <c r="G1087" s="1" t="s">
        <v>21239</v>
      </c>
      <c r="H1087" s="1" t="s">
        <v>21240</v>
      </c>
      <c r="I1087" s="1" t="s">
        <v>13555</v>
      </c>
      <c r="J1087" s="1" t="s">
        <v>21979</v>
      </c>
      <c r="K1087" s="1" t="s">
        <v>13556</v>
      </c>
      <c r="L1087" s="1" t="s">
        <v>21242</v>
      </c>
      <c r="M1087" s="1" t="s">
        <v>13557</v>
      </c>
      <c r="N1087" s="1" t="s">
        <v>132</v>
      </c>
      <c r="O1087" s="1" t="s">
        <v>21243</v>
      </c>
      <c r="P1087" s="1" t="s">
        <v>21244</v>
      </c>
      <c r="Q1087" s="1" t="s">
        <v>132</v>
      </c>
      <c r="R1087" s="1" t="s">
        <v>21245</v>
      </c>
      <c r="S1087" s="1" t="s">
        <v>13561</v>
      </c>
      <c r="T1087" s="8" t="s">
        <v>21246</v>
      </c>
      <c r="U1087" s="1" t="s">
        <v>13562</v>
      </c>
      <c r="V1087" s="1" t="s">
        <v>13563</v>
      </c>
      <c r="W1087" s="1" t="s">
        <v>21245</v>
      </c>
      <c r="X1087" s="1" t="s">
        <v>13564</v>
      </c>
      <c r="Y1087" s="1" t="s">
        <v>21247</v>
      </c>
      <c r="Z1087" s="1" t="s">
        <v>13565</v>
      </c>
      <c r="AA1087" s="1" t="s">
        <v>13566</v>
      </c>
      <c r="AB1087" s="1" t="s">
        <v>21248</v>
      </c>
      <c r="AC1087" s="1" t="s">
        <v>21249</v>
      </c>
      <c r="AD1087" s="1" t="s">
        <v>13568</v>
      </c>
      <c r="AE1087" s="1" t="s">
        <v>21250</v>
      </c>
      <c r="AF1087" s="1" t="s">
        <v>21251</v>
      </c>
      <c r="AG1087" s="1" t="s">
        <v>13570</v>
      </c>
      <c r="AH1087" s="1" t="s">
        <v>21252</v>
      </c>
      <c r="AI1087" s="1" t="s">
        <v>21253</v>
      </c>
      <c r="AJ1087" s="1" t="s">
        <v>132</v>
      </c>
      <c r="AK1087" s="1" t="s">
        <v>21254</v>
      </c>
      <c r="AL1087" s="1" t="s">
        <v>13573</v>
      </c>
      <c r="AM1087" s="1" t="s">
        <v>21255</v>
      </c>
      <c r="AN1087" s="1" t="s">
        <v>21255</v>
      </c>
    </row>
    <row r="1088" ht="15.75" customHeight="1">
      <c r="A1088" s="1" t="s">
        <v>127</v>
      </c>
      <c r="B1088" s="1" t="s">
        <v>21980</v>
      </c>
      <c r="C1088" s="1" t="s">
        <v>21981</v>
      </c>
      <c r="D1088" s="8" t="s">
        <v>21982</v>
      </c>
      <c r="E1088" s="1" t="s">
        <v>21983</v>
      </c>
      <c r="F1088" s="1" t="s">
        <v>132</v>
      </c>
      <c r="G1088" s="1" t="s">
        <v>21984</v>
      </c>
      <c r="H1088" s="1" t="s">
        <v>21985</v>
      </c>
      <c r="I1088" s="1" t="s">
        <v>21986</v>
      </c>
      <c r="J1088" s="1" t="s">
        <v>21987</v>
      </c>
      <c r="K1088" s="1" t="s">
        <v>21988</v>
      </c>
      <c r="L1088" s="1" t="s">
        <v>21989</v>
      </c>
      <c r="M1088" s="1" t="s">
        <v>21990</v>
      </c>
      <c r="N1088" s="1" t="s">
        <v>132</v>
      </c>
      <c r="O1088" s="1" t="s">
        <v>21991</v>
      </c>
      <c r="P1088" s="1" t="s">
        <v>21981</v>
      </c>
      <c r="Q1088" s="1" t="s">
        <v>132</v>
      </c>
      <c r="R1088" s="1" t="s">
        <v>21992</v>
      </c>
      <c r="S1088" s="1" t="s">
        <v>21993</v>
      </c>
      <c r="T1088" s="8" t="s">
        <v>21994</v>
      </c>
      <c r="U1088" s="1" t="s">
        <v>21995</v>
      </c>
      <c r="V1088" s="1" t="s">
        <v>21996</v>
      </c>
      <c r="W1088" s="1" t="s">
        <v>21997</v>
      </c>
      <c r="X1088" s="1" t="s">
        <v>21998</v>
      </c>
      <c r="Y1088" s="1" t="s">
        <v>21999</v>
      </c>
      <c r="Z1088" s="1" t="s">
        <v>22000</v>
      </c>
      <c r="AA1088" s="1" t="s">
        <v>22001</v>
      </c>
      <c r="AB1088" s="1" t="s">
        <v>22002</v>
      </c>
      <c r="AC1088" s="1" t="s">
        <v>22003</v>
      </c>
      <c r="AD1088" s="1" t="s">
        <v>22004</v>
      </c>
      <c r="AE1088" s="1" t="s">
        <v>22005</v>
      </c>
      <c r="AF1088" s="1" t="s">
        <v>22006</v>
      </c>
      <c r="AG1088" s="1" t="s">
        <v>22007</v>
      </c>
      <c r="AH1088" s="1" t="s">
        <v>22008</v>
      </c>
      <c r="AI1088" s="1" t="s">
        <v>22009</v>
      </c>
      <c r="AJ1088" s="1" t="s">
        <v>132</v>
      </c>
      <c r="AK1088" s="1" t="s">
        <v>22010</v>
      </c>
      <c r="AL1088" s="1" t="s">
        <v>22011</v>
      </c>
      <c r="AM1088" s="1" t="s">
        <v>22012</v>
      </c>
      <c r="AN1088" s="1" t="s">
        <v>22012</v>
      </c>
    </row>
    <row r="1089" ht="15.75" customHeight="1">
      <c r="A1089" s="1" t="s">
        <v>127</v>
      </c>
      <c r="B1089" s="1" t="s">
        <v>22013</v>
      </c>
      <c r="C1089" s="1" t="s">
        <v>655</v>
      </c>
      <c r="D1089" s="8" t="s">
        <v>656</v>
      </c>
      <c r="E1089" s="1" t="s">
        <v>657</v>
      </c>
      <c r="F1089" s="1" t="s">
        <v>132</v>
      </c>
      <c r="G1089" s="1" t="s">
        <v>658</v>
      </c>
      <c r="H1089" s="1" t="s">
        <v>659</v>
      </c>
      <c r="I1089" s="1" t="s">
        <v>14875</v>
      </c>
      <c r="J1089" s="1" t="s">
        <v>661</v>
      </c>
      <c r="K1089" s="1" t="s">
        <v>11440</v>
      </c>
      <c r="L1089" s="1" t="s">
        <v>663</v>
      </c>
      <c r="M1089" s="1" t="s">
        <v>22014</v>
      </c>
      <c r="N1089" s="1" t="s">
        <v>132</v>
      </c>
      <c r="O1089" s="1" t="s">
        <v>665</v>
      </c>
      <c r="P1089" s="1" t="s">
        <v>11444</v>
      </c>
      <c r="Q1089" s="1" t="s">
        <v>132</v>
      </c>
      <c r="R1089" s="1" t="s">
        <v>667</v>
      </c>
      <c r="S1089" s="1" t="s">
        <v>11434</v>
      </c>
      <c r="T1089" s="8" t="s">
        <v>669</v>
      </c>
      <c r="U1089" s="1" t="s">
        <v>11446</v>
      </c>
      <c r="V1089" s="1" t="s">
        <v>671</v>
      </c>
      <c r="W1089" s="1" t="s">
        <v>672</v>
      </c>
      <c r="X1089" s="1" t="s">
        <v>43267</v>
      </c>
      <c r="Y1089" s="1" t="s">
        <v>674</v>
      </c>
      <c r="Z1089" s="1" t="s">
        <v>675</v>
      </c>
      <c r="AA1089" s="1" t="s">
        <v>22015</v>
      </c>
      <c r="AB1089" s="1" t="s">
        <v>677</v>
      </c>
      <c r="AC1089" s="1" t="s">
        <v>678</v>
      </c>
      <c r="AD1089" s="1" t="s">
        <v>679</v>
      </c>
      <c r="AE1089" s="1" t="s">
        <v>22016</v>
      </c>
      <c r="AF1089" s="1" t="s">
        <v>681</v>
      </c>
      <c r="AG1089" s="1" t="s">
        <v>682</v>
      </c>
      <c r="AH1089" s="1" t="s">
        <v>683</v>
      </c>
      <c r="AI1089" s="1" t="s">
        <v>684</v>
      </c>
      <c r="AJ1089" s="1" t="s">
        <v>132</v>
      </c>
      <c r="AK1089" s="1" t="s">
        <v>685</v>
      </c>
      <c r="AL1089" s="1" t="s">
        <v>686</v>
      </c>
      <c r="AM1089" s="1" t="s">
        <v>11456</v>
      </c>
      <c r="AN1089" s="1" t="s">
        <v>11456</v>
      </c>
    </row>
    <row r="1090" ht="15.75" customHeight="1">
      <c r="A1090" s="1" t="s">
        <v>127</v>
      </c>
      <c r="B1090" s="1" t="s">
        <v>22017</v>
      </c>
      <c r="C1090" s="1" t="s">
        <v>22018</v>
      </c>
      <c r="D1090" s="8" t="s">
        <v>22019</v>
      </c>
      <c r="E1090" s="1" t="s">
        <v>22020</v>
      </c>
      <c r="F1090" s="1" t="s">
        <v>132</v>
      </c>
      <c r="G1090" s="1" t="s">
        <v>22021</v>
      </c>
      <c r="H1090" s="1" t="s">
        <v>22022</v>
      </c>
      <c r="I1090" s="1" t="s">
        <v>22023</v>
      </c>
      <c r="J1090" s="1" t="s">
        <v>22024</v>
      </c>
      <c r="K1090" s="1" t="s">
        <v>22025</v>
      </c>
      <c r="L1090" s="1" t="s">
        <v>22026</v>
      </c>
      <c r="M1090" s="1" t="s">
        <v>22018</v>
      </c>
      <c r="N1090" s="1" t="s">
        <v>132</v>
      </c>
      <c r="O1090" s="1" t="s">
        <v>22027</v>
      </c>
      <c r="P1090" s="1" t="s">
        <v>22018</v>
      </c>
      <c r="Q1090" s="1" t="s">
        <v>132</v>
      </c>
      <c r="R1090" s="1" t="s">
        <v>22028</v>
      </c>
      <c r="S1090" s="1" t="s">
        <v>22029</v>
      </c>
      <c r="T1090" s="8" t="s">
        <v>22030</v>
      </c>
      <c r="U1090" s="1" t="s">
        <v>22031</v>
      </c>
      <c r="V1090" s="1" t="s">
        <v>22032</v>
      </c>
      <c r="W1090" s="1" t="s">
        <v>22033</v>
      </c>
      <c r="X1090" s="1" t="s">
        <v>22034</v>
      </c>
      <c r="Y1090" s="1" t="s">
        <v>22035</v>
      </c>
      <c r="Z1090" s="1" t="s">
        <v>22036</v>
      </c>
      <c r="AA1090" s="1" t="s">
        <v>22037</v>
      </c>
      <c r="AB1090" s="1" t="s">
        <v>22038</v>
      </c>
      <c r="AC1090" s="1" t="s">
        <v>22039</v>
      </c>
      <c r="AD1090" s="1" t="s">
        <v>22040</v>
      </c>
      <c r="AE1090" s="1" t="s">
        <v>22041</v>
      </c>
      <c r="AF1090" s="1" t="s">
        <v>22018</v>
      </c>
      <c r="AG1090" s="1" t="s">
        <v>22035</v>
      </c>
      <c r="AH1090" s="1" t="s">
        <v>22042</v>
      </c>
      <c r="AI1090" s="1" t="s">
        <v>22043</v>
      </c>
      <c r="AJ1090" s="1" t="s">
        <v>132</v>
      </c>
      <c r="AK1090" s="1" t="s">
        <v>22044</v>
      </c>
      <c r="AL1090" s="1" t="s">
        <v>22045</v>
      </c>
      <c r="AM1090" s="1" t="s">
        <v>22046</v>
      </c>
      <c r="AN1090" s="1" t="s">
        <v>22046</v>
      </c>
    </row>
    <row r="1091" ht="15.75" customHeight="1">
      <c r="A1091" s="1" t="s">
        <v>38</v>
      </c>
      <c r="B1091" s="1" t="s">
        <v>22047</v>
      </c>
      <c r="C1091" s="1" t="s">
        <v>22048</v>
      </c>
      <c r="D1091" s="1" t="s">
        <v>132</v>
      </c>
      <c r="E1091" s="1" t="s">
        <v>22049</v>
      </c>
      <c r="F1091" s="1" t="s">
        <v>22050</v>
      </c>
      <c r="G1091" s="1" t="s">
        <v>132</v>
      </c>
      <c r="H1091" s="1" t="s">
        <v>132</v>
      </c>
      <c r="I1091" s="1" t="s">
        <v>22051</v>
      </c>
      <c r="J1091" s="1" t="s">
        <v>132</v>
      </c>
      <c r="K1091" s="1" t="s">
        <v>22052</v>
      </c>
      <c r="L1091" s="1" t="s">
        <v>132</v>
      </c>
      <c r="M1091" s="1" t="s">
        <v>22053</v>
      </c>
      <c r="N1091" s="1" t="s">
        <v>22054</v>
      </c>
      <c r="O1091" s="1" t="s">
        <v>132</v>
      </c>
      <c r="P1091" s="1" t="s">
        <v>22055</v>
      </c>
      <c r="Q1091" s="1" t="s">
        <v>132</v>
      </c>
      <c r="R1091" s="1" t="s">
        <v>132</v>
      </c>
      <c r="S1091" s="1" t="s">
        <v>22056</v>
      </c>
      <c r="T1091" s="1" t="s">
        <v>132</v>
      </c>
      <c r="U1091" s="1" t="s">
        <v>132</v>
      </c>
      <c r="V1091" s="1" t="s">
        <v>132</v>
      </c>
      <c r="W1091" s="1" t="s">
        <v>132</v>
      </c>
      <c r="X1091" s="1" t="s">
        <v>22057</v>
      </c>
      <c r="Y1091" s="1" t="s">
        <v>132</v>
      </c>
      <c r="Z1091" s="1" t="s">
        <v>22058</v>
      </c>
      <c r="AA1091" s="1" t="s">
        <v>132</v>
      </c>
      <c r="AB1091" s="1" t="s">
        <v>132</v>
      </c>
      <c r="AC1091" s="1" t="s">
        <v>132</v>
      </c>
      <c r="AD1091" s="1" t="s">
        <v>132</v>
      </c>
      <c r="AE1091" s="1" t="s">
        <v>132</v>
      </c>
      <c r="AF1091" s="1" t="s">
        <v>22059</v>
      </c>
      <c r="AG1091" s="1" t="s">
        <v>132</v>
      </c>
      <c r="AH1091" s="1" t="s">
        <v>132</v>
      </c>
      <c r="AI1091" s="1" t="s">
        <v>132</v>
      </c>
      <c r="AJ1091" s="1" t="s">
        <v>132</v>
      </c>
      <c r="AK1091" s="1" t="s">
        <v>132</v>
      </c>
      <c r="AL1091" s="1" t="s">
        <v>132</v>
      </c>
      <c r="AM1091" s="1" t="s">
        <v>132</v>
      </c>
      <c r="AN1091" s="1" t="s">
        <v>132</v>
      </c>
    </row>
    <row r="1092" ht="15.75" customHeight="1">
      <c r="A1092" s="1" t="s">
        <v>38</v>
      </c>
      <c r="B1092" s="1" t="s">
        <v>22060</v>
      </c>
      <c r="C1092" s="1" t="s">
        <v>22061</v>
      </c>
      <c r="D1092" s="1" t="s">
        <v>132</v>
      </c>
      <c r="E1092" s="1" t="s">
        <v>22062</v>
      </c>
      <c r="F1092" s="1" t="s">
        <v>22063</v>
      </c>
      <c r="G1092" s="1" t="s">
        <v>132</v>
      </c>
      <c r="H1092" s="1" t="s">
        <v>132</v>
      </c>
      <c r="I1092" s="1" t="s">
        <v>22064</v>
      </c>
      <c r="J1092" s="1" t="s">
        <v>132</v>
      </c>
      <c r="K1092" s="1" t="s">
        <v>22065</v>
      </c>
      <c r="L1092" s="1" t="s">
        <v>132</v>
      </c>
      <c r="M1092" s="1" t="s">
        <v>132</v>
      </c>
      <c r="N1092" s="1" t="s">
        <v>22066</v>
      </c>
      <c r="O1092" s="1" t="s">
        <v>132</v>
      </c>
      <c r="P1092" s="1" t="s">
        <v>132</v>
      </c>
      <c r="Q1092" s="1" t="s">
        <v>132</v>
      </c>
      <c r="R1092" s="1" t="s">
        <v>132</v>
      </c>
      <c r="S1092" s="1" t="s">
        <v>22067</v>
      </c>
      <c r="T1092" s="1" t="s">
        <v>132</v>
      </c>
      <c r="U1092" s="1" t="s">
        <v>132</v>
      </c>
      <c r="V1092" s="1" t="s">
        <v>132</v>
      </c>
      <c r="W1092" s="1" t="s">
        <v>132</v>
      </c>
      <c r="X1092" s="1" t="s">
        <v>22068</v>
      </c>
      <c r="Y1092" s="1" t="s">
        <v>132</v>
      </c>
      <c r="Z1092" s="1" t="s">
        <v>22069</v>
      </c>
      <c r="AA1092" s="1" t="s">
        <v>132</v>
      </c>
      <c r="AB1092" s="1" t="s">
        <v>132</v>
      </c>
      <c r="AC1092" s="1" t="s">
        <v>132</v>
      </c>
      <c r="AD1092" s="1" t="s">
        <v>132</v>
      </c>
      <c r="AE1092" s="1" t="s">
        <v>132</v>
      </c>
      <c r="AF1092" s="1" t="s">
        <v>132</v>
      </c>
      <c r="AG1092" s="1" t="s">
        <v>132</v>
      </c>
      <c r="AH1092" s="1" t="s">
        <v>132</v>
      </c>
      <c r="AI1092" s="1" t="s">
        <v>132</v>
      </c>
      <c r="AJ1092" s="1" t="s">
        <v>132</v>
      </c>
      <c r="AK1092" s="1" t="s">
        <v>132</v>
      </c>
      <c r="AL1092" s="1" t="s">
        <v>132</v>
      </c>
      <c r="AM1092" s="1" t="s">
        <v>132</v>
      </c>
      <c r="AN1092" s="1" t="s">
        <v>132</v>
      </c>
    </row>
    <row r="1093" ht="15.75" customHeight="1">
      <c r="A1093" s="1" t="s">
        <v>127</v>
      </c>
      <c r="B1093" s="1" t="s">
        <v>22070</v>
      </c>
      <c r="C1093" s="1" t="s">
        <v>5686</v>
      </c>
      <c r="D1093" s="8" t="s">
        <v>5687</v>
      </c>
      <c r="E1093" s="1" t="s">
        <v>5688</v>
      </c>
      <c r="F1093" s="1" t="s">
        <v>132</v>
      </c>
      <c r="G1093" s="1" t="s">
        <v>5689</v>
      </c>
      <c r="H1093" s="1" t="s">
        <v>5690</v>
      </c>
      <c r="I1093" s="1" t="s">
        <v>5691</v>
      </c>
      <c r="J1093" s="1" t="s">
        <v>5692</v>
      </c>
      <c r="K1093" s="1" t="s">
        <v>5693</v>
      </c>
      <c r="L1093" s="1" t="s">
        <v>5694</v>
      </c>
      <c r="M1093" s="1" t="s">
        <v>5695</v>
      </c>
      <c r="N1093" s="1" t="s">
        <v>132</v>
      </c>
      <c r="O1093" s="1" t="s">
        <v>5696</v>
      </c>
      <c r="P1093" s="1" t="s">
        <v>5697</v>
      </c>
      <c r="Q1093" s="1" t="s">
        <v>132</v>
      </c>
      <c r="R1093" s="1" t="s">
        <v>5698</v>
      </c>
      <c r="S1093" s="1" t="s">
        <v>5699</v>
      </c>
      <c r="T1093" s="8" t="s">
        <v>5700</v>
      </c>
      <c r="U1093" s="1" t="s">
        <v>5701</v>
      </c>
      <c r="V1093" s="1" t="s">
        <v>5702</v>
      </c>
      <c r="W1093" s="1" t="s">
        <v>5703</v>
      </c>
      <c r="X1093" s="1" t="s">
        <v>5704</v>
      </c>
      <c r="Y1093" s="1" t="s">
        <v>5705</v>
      </c>
      <c r="Z1093" s="1" t="s">
        <v>5706</v>
      </c>
      <c r="AA1093" s="1" t="s">
        <v>5707</v>
      </c>
      <c r="AB1093" s="1" t="s">
        <v>5708</v>
      </c>
      <c r="AC1093" s="1" t="s">
        <v>5709</v>
      </c>
      <c r="AD1093" s="1" t="s">
        <v>5689</v>
      </c>
      <c r="AE1093" s="1" t="s">
        <v>5710</v>
      </c>
      <c r="AF1093" s="1" t="s">
        <v>5711</v>
      </c>
      <c r="AG1093" s="1" t="s">
        <v>5712</v>
      </c>
      <c r="AH1093" s="1" t="s">
        <v>5713</v>
      </c>
      <c r="AI1093" s="1" t="s">
        <v>5714</v>
      </c>
      <c r="AJ1093" s="1" t="s">
        <v>132</v>
      </c>
      <c r="AK1093" s="1" t="s">
        <v>5715</v>
      </c>
      <c r="AL1093" s="1" t="s">
        <v>5716</v>
      </c>
      <c r="AM1093" s="1" t="s">
        <v>5717</v>
      </c>
      <c r="AN1093" s="1" t="s">
        <v>5717</v>
      </c>
    </row>
    <row r="1094" ht="15.75" customHeight="1">
      <c r="A1094" s="1" t="s">
        <v>127</v>
      </c>
      <c r="B1094" s="1" t="s">
        <v>22071</v>
      </c>
      <c r="C1094" s="1" t="s">
        <v>22072</v>
      </c>
      <c r="D1094" s="8" t="s">
        <v>22073</v>
      </c>
      <c r="E1094" s="1" t="s">
        <v>22074</v>
      </c>
      <c r="F1094" s="1" t="s">
        <v>132</v>
      </c>
      <c r="G1094" s="1" t="s">
        <v>22075</v>
      </c>
      <c r="H1094" s="1" t="s">
        <v>22076</v>
      </c>
      <c r="I1094" s="1" t="s">
        <v>19030</v>
      </c>
      <c r="J1094" s="1" t="s">
        <v>22077</v>
      </c>
      <c r="K1094" s="1" t="s">
        <v>22078</v>
      </c>
      <c r="L1094" s="1" t="s">
        <v>22079</v>
      </c>
      <c r="M1094" s="1" t="s">
        <v>22080</v>
      </c>
      <c r="N1094" s="1" t="s">
        <v>132</v>
      </c>
      <c r="O1094" s="1" t="s">
        <v>22081</v>
      </c>
      <c r="P1094" s="1" t="s">
        <v>22082</v>
      </c>
      <c r="Q1094" s="1" t="s">
        <v>132</v>
      </c>
      <c r="R1094" s="1" t="s">
        <v>22083</v>
      </c>
      <c r="S1094" s="1" t="s">
        <v>22084</v>
      </c>
      <c r="T1094" s="8" t="s">
        <v>22085</v>
      </c>
      <c r="U1094" s="1" t="s">
        <v>1220</v>
      </c>
      <c r="V1094" s="1" t="s">
        <v>1221</v>
      </c>
      <c r="W1094" s="1" t="s">
        <v>22086</v>
      </c>
      <c r="X1094" s="1" t="s">
        <v>19039</v>
      </c>
      <c r="Y1094" s="1" t="s">
        <v>22087</v>
      </c>
      <c r="Z1094" s="1" t="s">
        <v>19041</v>
      </c>
      <c r="AA1094" s="1" t="s">
        <v>22088</v>
      </c>
      <c r="AB1094" s="1" t="s">
        <v>22089</v>
      </c>
      <c r="AC1094" s="1" t="s">
        <v>22090</v>
      </c>
      <c r="AD1094" s="1" t="s">
        <v>22091</v>
      </c>
      <c r="AE1094" s="1" t="s">
        <v>22092</v>
      </c>
      <c r="AF1094" s="1" t="s">
        <v>22093</v>
      </c>
      <c r="AG1094" s="1" t="s">
        <v>22094</v>
      </c>
      <c r="AH1094" s="1" t="s">
        <v>1230</v>
      </c>
      <c r="AI1094" s="1" t="s">
        <v>22095</v>
      </c>
      <c r="AJ1094" s="1" t="s">
        <v>132</v>
      </c>
      <c r="AK1094" s="1" t="s">
        <v>22096</v>
      </c>
      <c r="AL1094" s="1" t="s">
        <v>22097</v>
      </c>
      <c r="AM1094" s="1" t="s">
        <v>132</v>
      </c>
      <c r="AN1094" s="1" t="s">
        <v>132</v>
      </c>
    </row>
    <row r="1095" ht="15.75" customHeight="1">
      <c r="A1095" s="1" t="s">
        <v>38</v>
      </c>
      <c r="B1095" s="1" t="s">
        <v>22098</v>
      </c>
      <c r="C1095" s="1" t="s">
        <v>22099</v>
      </c>
      <c r="D1095" s="1" t="s">
        <v>132</v>
      </c>
      <c r="E1095" s="1" t="s">
        <v>132</v>
      </c>
      <c r="F1095" s="1" t="s">
        <v>132</v>
      </c>
      <c r="G1095" s="1" t="s">
        <v>132</v>
      </c>
      <c r="H1095" s="1" t="s">
        <v>132</v>
      </c>
      <c r="I1095" s="1" t="s">
        <v>22100</v>
      </c>
      <c r="J1095" s="1" t="s">
        <v>132</v>
      </c>
      <c r="K1095" s="1" t="s">
        <v>22099</v>
      </c>
      <c r="L1095" s="1" t="s">
        <v>132</v>
      </c>
      <c r="M1095" s="1" t="s">
        <v>22101</v>
      </c>
      <c r="N1095" s="1" t="s">
        <v>132</v>
      </c>
      <c r="O1095" s="1" t="s">
        <v>132</v>
      </c>
      <c r="P1095" s="1" t="s">
        <v>22099</v>
      </c>
      <c r="Q1095" s="1" t="s">
        <v>132</v>
      </c>
      <c r="R1095" s="1" t="s">
        <v>132</v>
      </c>
      <c r="S1095" s="1" t="s">
        <v>132</v>
      </c>
      <c r="T1095" s="1" t="s">
        <v>132</v>
      </c>
      <c r="U1095" s="1" t="s">
        <v>132</v>
      </c>
      <c r="V1095" s="1" t="s">
        <v>132</v>
      </c>
      <c r="W1095" s="1" t="s">
        <v>132</v>
      </c>
      <c r="X1095" s="1" t="s">
        <v>132</v>
      </c>
      <c r="Y1095" s="1" t="s">
        <v>132</v>
      </c>
      <c r="Z1095" s="1" t="s">
        <v>132</v>
      </c>
      <c r="AA1095" s="1" t="s">
        <v>132</v>
      </c>
      <c r="AB1095" s="1" t="s">
        <v>132</v>
      </c>
      <c r="AC1095" s="1" t="s">
        <v>22102</v>
      </c>
      <c r="AD1095" s="1" t="s">
        <v>132</v>
      </c>
      <c r="AE1095" s="1" t="s">
        <v>132</v>
      </c>
      <c r="AF1095" s="1" t="s">
        <v>22099</v>
      </c>
      <c r="AG1095" s="1" t="s">
        <v>132</v>
      </c>
      <c r="AH1095" s="1" t="s">
        <v>132</v>
      </c>
      <c r="AI1095" s="1" t="s">
        <v>132</v>
      </c>
      <c r="AJ1095" s="1" t="s">
        <v>132</v>
      </c>
      <c r="AK1095" s="1" t="s">
        <v>132</v>
      </c>
      <c r="AL1095" s="1" t="s">
        <v>132</v>
      </c>
      <c r="AM1095" s="1" t="s">
        <v>132</v>
      </c>
      <c r="AN1095" s="1" t="s">
        <v>132</v>
      </c>
    </row>
    <row r="1096" ht="15.75" customHeight="1">
      <c r="A1096" s="1" t="s">
        <v>38</v>
      </c>
      <c r="B1096" s="1" t="s">
        <v>22103</v>
      </c>
      <c r="C1096" s="1" t="s">
        <v>22104</v>
      </c>
      <c r="D1096" s="1" t="s">
        <v>132</v>
      </c>
      <c r="E1096" s="1" t="s">
        <v>132</v>
      </c>
      <c r="F1096" s="1" t="s">
        <v>132</v>
      </c>
      <c r="G1096" s="1" t="s">
        <v>132</v>
      </c>
      <c r="H1096" s="1" t="s">
        <v>132</v>
      </c>
      <c r="I1096" s="1" t="s">
        <v>22105</v>
      </c>
      <c r="J1096" s="1" t="s">
        <v>132</v>
      </c>
      <c r="K1096" s="1" t="s">
        <v>22106</v>
      </c>
      <c r="L1096" s="1" t="s">
        <v>132</v>
      </c>
      <c r="M1096" s="1" t="s">
        <v>22107</v>
      </c>
      <c r="N1096" s="1" t="s">
        <v>132</v>
      </c>
      <c r="O1096" s="1" t="s">
        <v>132</v>
      </c>
      <c r="P1096" s="1" t="s">
        <v>22108</v>
      </c>
      <c r="Q1096" s="1" t="s">
        <v>132</v>
      </c>
      <c r="R1096" s="1" t="s">
        <v>132</v>
      </c>
      <c r="S1096" s="1" t="s">
        <v>132</v>
      </c>
      <c r="T1096" s="1" t="s">
        <v>132</v>
      </c>
      <c r="U1096" s="1" t="s">
        <v>132</v>
      </c>
      <c r="V1096" s="1" t="s">
        <v>132</v>
      </c>
      <c r="W1096" s="1" t="s">
        <v>132</v>
      </c>
      <c r="X1096" s="1" t="s">
        <v>132</v>
      </c>
      <c r="Y1096" s="1" t="s">
        <v>132</v>
      </c>
      <c r="Z1096" s="1" t="s">
        <v>132</v>
      </c>
      <c r="AA1096" s="1" t="s">
        <v>132</v>
      </c>
      <c r="AB1096" s="1" t="s">
        <v>132</v>
      </c>
      <c r="AC1096" s="1" t="s">
        <v>22109</v>
      </c>
      <c r="AD1096" s="1" t="s">
        <v>132</v>
      </c>
      <c r="AE1096" s="1" t="s">
        <v>132</v>
      </c>
      <c r="AF1096" s="1" t="s">
        <v>22110</v>
      </c>
      <c r="AG1096" s="1" t="s">
        <v>132</v>
      </c>
      <c r="AH1096" s="1" t="s">
        <v>132</v>
      </c>
      <c r="AI1096" s="1" t="s">
        <v>132</v>
      </c>
      <c r="AJ1096" s="1" t="s">
        <v>132</v>
      </c>
      <c r="AK1096" s="1" t="s">
        <v>132</v>
      </c>
      <c r="AL1096" s="1" t="s">
        <v>132</v>
      </c>
      <c r="AM1096" s="1" t="s">
        <v>132</v>
      </c>
      <c r="AN1096" s="1" t="s">
        <v>132</v>
      </c>
    </row>
    <row r="1097" ht="15.75" customHeight="1">
      <c r="A1097" s="1" t="s">
        <v>8528</v>
      </c>
      <c r="B1097" s="1" t="s">
        <v>22111</v>
      </c>
      <c r="C1097" s="1" t="s">
        <v>22112</v>
      </c>
      <c r="D1097" s="8" t="s">
        <v>22113</v>
      </c>
      <c r="E1097" s="1" t="s">
        <v>22114</v>
      </c>
      <c r="F1097" s="1" t="s">
        <v>132</v>
      </c>
      <c r="G1097" s="1" t="s">
        <v>22115</v>
      </c>
      <c r="H1097" s="1" t="s">
        <v>22116</v>
      </c>
      <c r="I1097" s="1" t="s">
        <v>22117</v>
      </c>
      <c r="J1097" s="1" t="s">
        <v>22118</v>
      </c>
      <c r="K1097" s="1" t="s">
        <v>22119</v>
      </c>
      <c r="L1097" s="1" t="s">
        <v>22120</v>
      </c>
      <c r="M1097" s="1" t="s">
        <v>22121</v>
      </c>
      <c r="N1097" s="1" t="s">
        <v>132</v>
      </c>
      <c r="O1097" s="1" t="s">
        <v>22122</v>
      </c>
      <c r="P1097" s="1" t="s">
        <v>22123</v>
      </c>
      <c r="Q1097" s="1" t="s">
        <v>132</v>
      </c>
      <c r="R1097" s="1" t="s">
        <v>22124</v>
      </c>
      <c r="S1097" s="1" t="s">
        <v>43268</v>
      </c>
      <c r="T1097" s="8" t="s">
        <v>22126</v>
      </c>
      <c r="U1097" s="1" t="s">
        <v>22127</v>
      </c>
      <c r="V1097" s="1" t="s">
        <v>22128</v>
      </c>
      <c r="W1097" s="1" t="s">
        <v>22129</v>
      </c>
      <c r="X1097" s="1" t="s">
        <v>22130</v>
      </c>
      <c r="Y1097" s="1" t="s">
        <v>22131</v>
      </c>
      <c r="Z1097" s="11" t="s">
        <v>22132</v>
      </c>
      <c r="AA1097" s="1" t="s">
        <v>22133</v>
      </c>
      <c r="AB1097" s="1" t="s">
        <v>22134</v>
      </c>
      <c r="AC1097" s="1" t="s">
        <v>22135</v>
      </c>
      <c r="AD1097" s="1" t="s">
        <v>22136</v>
      </c>
      <c r="AE1097" s="1" t="s">
        <v>22137</v>
      </c>
      <c r="AF1097" s="1" t="s">
        <v>22137</v>
      </c>
      <c r="AG1097" s="1" t="s">
        <v>22138</v>
      </c>
      <c r="AH1097" s="1" t="s">
        <v>22139</v>
      </c>
      <c r="AI1097" s="1" t="s">
        <v>43269</v>
      </c>
      <c r="AJ1097" s="1" t="s">
        <v>132</v>
      </c>
      <c r="AK1097" s="1" t="s">
        <v>22141</v>
      </c>
      <c r="AL1097" s="14" t="s">
        <v>22142</v>
      </c>
      <c r="AM1097" s="1" t="s">
        <v>132</v>
      </c>
      <c r="AN1097" s="1" t="s">
        <v>132</v>
      </c>
    </row>
    <row r="1098" ht="15.75" customHeight="1">
      <c r="A1098" s="1" t="s">
        <v>38</v>
      </c>
      <c r="B1098" s="1" t="s">
        <v>22143</v>
      </c>
      <c r="C1098" s="1" t="s">
        <v>22144</v>
      </c>
      <c r="D1098" s="8" t="s">
        <v>22145</v>
      </c>
      <c r="E1098" s="1" t="s">
        <v>22146</v>
      </c>
      <c r="F1098" s="1" t="s">
        <v>22147</v>
      </c>
      <c r="G1098" s="1" t="s">
        <v>132</v>
      </c>
      <c r="H1098" s="1" t="s">
        <v>132</v>
      </c>
      <c r="I1098" s="1" t="s">
        <v>22148</v>
      </c>
      <c r="J1098" s="1" t="s">
        <v>132</v>
      </c>
      <c r="K1098" s="1" t="s">
        <v>22149</v>
      </c>
      <c r="L1098" s="1" t="s">
        <v>132</v>
      </c>
      <c r="M1098" s="1" t="s">
        <v>22150</v>
      </c>
      <c r="N1098" s="1" t="s">
        <v>22149</v>
      </c>
      <c r="O1098" s="1" t="s">
        <v>132</v>
      </c>
      <c r="P1098" s="1" t="s">
        <v>22151</v>
      </c>
      <c r="Q1098" s="1" t="s">
        <v>132</v>
      </c>
      <c r="R1098" s="1" t="s">
        <v>132</v>
      </c>
      <c r="S1098" s="1" t="s">
        <v>22152</v>
      </c>
      <c r="T1098" s="1" t="s">
        <v>132</v>
      </c>
      <c r="U1098" s="1" t="s">
        <v>22153</v>
      </c>
      <c r="V1098" s="1" t="s">
        <v>22154</v>
      </c>
      <c r="W1098" s="1" t="s">
        <v>132</v>
      </c>
      <c r="X1098" s="1" t="s">
        <v>22155</v>
      </c>
      <c r="Y1098" s="1" t="s">
        <v>132</v>
      </c>
      <c r="Z1098" s="1" t="s">
        <v>22156</v>
      </c>
      <c r="AA1098" s="1" t="s">
        <v>22157</v>
      </c>
      <c r="AB1098" s="1" t="s">
        <v>132</v>
      </c>
      <c r="AC1098" s="1" t="s">
        <v>2346</v>
      </c>
      <c r="AD1098" s="1" t="s">
        <v>132</v>
      </c>
      <c r="AE1098" s="1" t="s">
        <v>132</v>
      </c>
      <c r="AF1098" s="1" t="s">
        <v>22158</v>
      </c>
      <c r="AG1098" s="1" t="s">
        <v>22159</v>
      </c>
      <c r="AH1098" s="1" t="s">
        <v>132</v>
      </c>
      <c r="AI1098" s="1" t="s">
        <v>132</v>
      </c>
      <c r="AJ1098" s="1" t="s">
        <v>22160</v>
      </c>
      <c r="AK1098" s="1" t="s">
        <v>22161</v>
      </c>
      <c r="AL1098" s="1" t="s">
        <v>132</v>
      </c>
      <c r="AM1098" s="1" t="s">
        <v>22162</v>
      </c>
      <c r="AN1098" s="1" t="s">
        <v>22162</v>
      </c>
    </row>
    <row r="1099" ht="15.75" customHeight="1">
      <c r="A1099" s="1" t="s">
        <v>38</v>
      </c>
      <c r="B1099" s="1" t="s">
        <v>22163</v>
      </c>
      <c r="C1099" s="1" t="s">
        <v>11620</v>
      </c>
      <c r="D1099" s="1" t="s">
        <v>132</v>
      </c>
      <c r="E1099" s="1" t="s">
        <v>22164</v>
      </c>
      <c r="F1099" s="1" t="s">
        <v>11620</v>
      </c>
      <c r="G1099" s="1" t="s">
        <v>132</v>
      </c>
      <c r="H1099" s="1" t="s">
        <v>132</v>
      </c>
      <c r="I1099" s="1" t="s">
        <v>22165</v>
      </c>
      <c r="J1099" s="1" t="s">
        <v>132</v>
      </c>
      <c r="K1099" s="1" t="s">
        <v>11620</v>
      </c>
      <c r="L1099" s="1" t="s">
        <v>132</v>
      </c>
      <c r="M1099" s="1" t="s">
        <v>22166</v>
      </c>
      <c r="N1099" s="1" t="s">
        <v>22167</v>
      </c>
      <c r="O1099" s="1" t="s">
        <v>132</v>
      </c>
      <c r="P1099" s="1" t="s">
        <v>22168</v>
      </c>
      <c r="Q1099" s="1" t="s">
        <v>132</v>
      </c>
      <c r="R1099" s="1" t="s">
        <v>132</v>
      </c>
      <c r="S1099" s="1" t="s">
        <v>22169</v>
      </c>
      <c r="T1099" s="1" t="s">
        <v>132</v>
      </c>
      <c r="U1099" s="1" t="s">
        <v>132</v>
      </c>
      <c r="V1099" s="1" t="s">
        <v>132</v>
      </c>
      <c r="W1099" s="1" t="s">
        <v>132</v>
      </c>
      <c r="X1099" s="1" t="s">
        <v>22170</v>
      </c>
      <c r="Y1099" s="1" t="s">
        <v>132</v>
      </c>
      <c r="Z1099" s="1" t="s">
        <v>22171</v>
      </c>
      <c r="AA1099" s="1" t="s">
        <v>22172</v>
      </c>
      <c r="AB1099" s="1" t="s">
        <v>132</v>
      </c>
      <c r="AC1099" s="1" t="s">
        <v>22173</v>
      </c>
      <c r="AD1099" s="1" t="s">
        <v>132</v>
      </c>
      <c r="AE1099" s="1" t="s">
        <v>132</v>
      </c>
      <c r="AF1099" s="1" t="s">
        <v>22164</v>
      </c>
      <c r="AG1099" s="1" t="s">
        <v>132</v>
      </c>
      <c r="AH1099" s="1" t="s">
        <v>132</v>
      </c>
      <c r="AI1099" s="1" t="s">
        <v>132</v>
      </c>
      <c r="AJ1099" s="1" t="s">
        <v>132</v>
      </c>
      <c r="AK1099" s="1" t="s">
        <v>132</v>
      </c>
      <c r="AL1099" s="1" t="s">
        <v>132</v>
      </c>
      <c r="AM1099" s="1" t="s">
        <v>132</v>
      </c>
      <c r="AN1099" s="1" t="s">
        <v>132</v>
      </c>
    </row>
    <row r="1100" ht="15.75" customHeight="1">
      <c r="A1100" s="1" t="s">
        <v>127</v>
      </c>
      <c r="B1100" s="1" t="s">
        <v>22174</v>
      </c>
      <c r="C1100" s="1" t="s">
        <v>1869</v>
      </c>
      <c r="D1100" s="8" t="s">
        <v>1870</v>
      </c>
      <c r="E1100" s="1" t="s">
        <v>1871</v>
      </c>
      <c r="F1100" s="1" t="s">
        <v>132</v>
      </c>
      <c r="G1100" s="1" t="s">
        <v>1872</v>
      </c>
      <c r="H1100" s="1" t="s">
        <v>1873</v>
      </c>
      <c r="I1100" s="1" t="s">
        <v>22175</v>
      </c>
      <c r="J1100" s="1" t="s">
        <v>1875</v>
      </c>
      <c r="K1100" s="1" t="s">
        <v>22176</v>
      </c>
      <c r="L1100" s="1" t="s">
        <v>1877</v>
      </c>
      <c r="M1100" s="1" t="s">
        <v>22177</v>
      </c>
      <c r="N1100" s="1" t="s">
        <v>132</v>
      </c>
      <c r="O1100" s="1" t="s">
        <v>1879</v>
      </c>
      <c r="P1100" s="1" t="s">
        <v>1880</v>
      </c>
      <c r="Q1100" s="1" t="s">
        <v>132</v>
      </c>
      <c r="R1100" s="1" t="s">
        <v>1881</v>
      </c>
      <c r="S1100" s="1" t="s">
        <v>1882</v>
      </c>
      <c r="T1100" s="8" t="s">
        <v>1883</v>
      </c>
      <c r="U1100" s="1" t="s">
        <v>22178</v>
      </c>
      <c r="V1100" s="1" t="s">
        <v>1885</v>
      </c>
      <c r="W1100" s="1" t="s">
        <v>1881</v>
      </c>
      <c r="X1100" s="1" t="s">
        <v>1886</v>
      </c>
      <c r="Y1100" s="1" t="s">
        <v>1887</v>
      </c>
      <c r="Z1100" s="1" t="s">
        <v>22179</v>
      </c>
      <c r="AA1100" s="1" t="s">
        <v>22180</v>
      </c>
      <c r="AB1100" s="1" t="s">
        <v>1890</v>
      </c>
      <c r="AC1100" s="1" t="s">
        <v>1891</v>
      </c>
      <c r="AD1100" s="1" t="s">
        <v>1872</v>
      </c>
      <c r="AE1100" s="1" t="s">
        <v>22181</v>
      </c>
      <c r="AF1100" s="1" t="s">
        <v>22182</v>
      </c>
      <c r="AG1100" s="1" t="s">
        <v>1894</v>
      </c>
      <c r="AH1100" s="1" t="s">
        <v>1895</v>
      </c>
      <c r="AI1100" s="1" t="s">
        <v>1896</v>
      </c>
      <c r="AJ1100" s="1" t="s">
        <v>132</v>
      </c>
      <c r="AK1100" s="1" t="s">
        <v>1897</v>
      </c>
      <c r="AL1100" s="1" t="s">
        <v>13162</v>
      </c>
      <c r="AM1100" s="1" t="s">
        <v>1899</v>
      </c>
      <c r="AN1100" s="1" t="s">
        <v>1899</v>
      </c>
    </row>
    <row r="1101" ht="15.75" customHeight="1">
      <c r="A1101" s="1" t="s">
        <v>38</v>
      </c>
      <c r="B1101" s="1" t="s">
        <v>22183</v>
      </c>
      <c r="C1101" s="1" t="s">
        <v>22184</v>
      </c>
      <c r="D1101" s="8" t="s">
        <v>22185</v>
      </c>
      <c r="E1101" s="1" t="s">
        <v>22186</v>
      </c>
      <c r="F1101" s="1" t="s">
        <v>22187</v>
      </c>
      <c r="G1101" s="1" t="s">
        <v>132</v>
      </c>
      <c r="H1101" s="1" t="s">
        <v>132</v>
      </c>
      <c r="I1101" s="1" t="s">
        <v>22188</v>
      </c>
      <c r="J1101" s="1" t="s">
        <v>132</v>
      </c>
      <c r="K1101" s="1" t="s">
        <v>22189</v>
      </c>
      <c r="L1101" s="1" t="s">
        <v>132</v>
      </c>
      <c r="M1101" s="1" t="s">
        <v>22190</v>
      </c>
      <c r="N1101" s="1" t="s">
        <v>22189</v>
      </c>
      <c r="O1101" s="1" t="s">
        <v>132</v>
      </c>
      <c r="P1101" s="1" t="s">
        <v>22191</v>
      </c>
      <c r="Q1101" s="1" t="s">
        <v>132</v>
      </c>
      <c r="R1101" s="1" t="s">
        <v>132</v>
      </c>
      <c r="S1101" s="1" t="s">
        <v>22192</v>
      </c>
      <c r="T1101" s="1" t="s">
        <v>132</v>
      </c>
      <c r="U1101" s="1" t="s">
        <v>22193</v>
      </c>
      <c r="V1101" s="1" t="s">
        <v>132</v>
      </c>
      <c r="W1101" s="1" t="s">
        <v>132</v>
      </c>
      <c r="X1101" s="1" t="s">
        <v>22194</v>
      </c>
      <c r="Y1101" s="1" t="s">
        <v>132</v>
      </c>
      <c r="Z1101" s="1" t="s">
        <v>22195</v>
      </c>
      <c r="AA1101" s="1" t="s">
        <v>22196</v>
      </c>
      <c r="AB1101" s="1" t="s">
        <v>132</v>
      </c>
      <c r="AC1101" s="1" t="s">
        <v>22197</v>
      </c>
      <c r="AD1101" s="1" t="s">
        <v>132</v>
      </c>
      <c r="AE1101" s="1" t="s">
        <v>132</v>
      </c>
      <c r="AF1101" s="1" t="s">
        <v>22198</v>
      </c>
      <c r="AG1101" s="1" t="s">
        <v>132</v>
      </c>
      <c r="AH1101" s="1" t="s">
        <v>132</v>
      </c>
      <c r="AI1101" s="1" t="s">
        <v>132</v>
      </c>
      <c r="AJ1101" s="1" t="s">
        <v>132</v>
      </c>
      <c r="AK1101" s="1" t="s">
        <v>132</v>
      </c>
      <c r="AL1101" s="1" t="s">
        <v>132</v>
      </c>
      <c r="AM1101" s="1" t="s">
        <v>132</v>
      </c>
      <c r="AN1101" s="1" t="s">
        <v>132</v>
      </c>
    </row>
    <row r="1102" ht="15.75" customHeight="1">
      <c r="A1102" s="1" t="s">
        <v>38</v>
      </c>
      <c r="B1102" s="1" t="s">
        <v>22199</v>
      </c>
      <c r="C1102" s="1" t="s">
        <v>22200</v>
      </c>
      <c r="D1102" s="1" t="s">
        <v>132</v>
      </c>
      <c r="E1102" s="1" t="s">
        <v>22201</v>
      </c>
      <c r="F1102" s="1" t="s">
        <v>132</v>
      </c>
      <c r="G1102" s="1" t="s">
        <v>132</v>
      </c>
      <c r="H1102" s="1" t="s">
        <v>132</v>
      </c>
      <c r="I1102" s="1" t="s">
        <v>22202</v>
      </c>
      <c r="J1102" s="1" t="s">
        <v>132</v>
      </c>
      <c r="K1102" s="1" t="s">
        <v>22203</v>
      </c>
      <c r="L1102" s="1" t="s">
        <v>132</v>
      </c>
      <c r="M1102" s="1" t="s">
        <v>132</v>
      </c>
      <c r="N1102" s="1" t="s">
        <v>22203</v>
      </c>
      <c r="O1102" s="1" t="s">
        <v>132</v>
      </c>
      <c r="P1102" s="1" t="s">
        <v>132</v>
      </c>
      <c r="Q1102" s="1" t="s">
        <v>132</v>
      </c>
      <c r="R1102" s="1" t="s">
        <v>132</v>
      </c>
      <c r="S1102" s="1" t="s">
        <v>22204</v>
      </c>
      <c r="T1102" s="1" t="s">
        <v>132</v>
      </c>
      <c r="U1102" s="1" t="s">
        <v>132</v>
      </c>
      <c r="V1102" s="1" t="s">
        <v>132</v>
      </c>
      <c r="W1102" s="1" t="s">
        <v>132</v>
      </c>
      <c r="X1102" s="1" t="s">
        <v>22205</v>
      </c>
      <c r="Y1102" s="1" t="s">
        <v>132</v>
      </c>
      <c r="Z1102" s="1" t="s">
        <v>22206</v>
      </c>
      <c r="AA1102" s="1" t="s">
        <v>132</v>
      </c>
      <c r="AB1102" s="1" t="s">
        <v>132</v>
      </c>
      <c r="AC1102" s="1" t="s">
        <v>132</v>
      </c>
      <c r="AD1102" s="1" t="s">
        <v>132</v>
      </c>
      <c r="AE1102" s="1" t="s">
        <v>132</v>
      </c>
      <c r="AF1102" s="1" t="s">
        <v>132</v>
      </c>
      <c r="AG1102" s="1" t="s">
        <v>132</v>
      </c>
      <c r="AH1102" s="1" t="s">
        <v>132</v>
      </c>
      <c r="AI1102" s="1" t="s">
        <v>132</v>
      </c>
      <c r="AJ1102" s="1" t="s">
        <v>132</v>
      </c>
      <c r="AK1102" s="1" t="s">
        <v>132</v>
      </c>
      <c r="AL1102" s="1" t="s">
        <v>132</v>
      </c>
      <c r="AM1102" s="1" t="s">
        <v>132</v>
      </c>
      <c r="AN1102" s="1" t="s">
        <v>132</v>
      </c>
    </row>
    <row r="1103" ht="15.75" customHeight="1">
      <c r="A1103" s="1" t="s">
        <v>38</v>
      </c>
      <c r="B1103" s="1" t="s">
        <v>22207</v>
      </c>
      <c r="C1103" s="1" t="s">
        <v>22208</v>
      </c>
      <c r="D1103" s="1" t="s">
        <v>132</v>
      </c>
      <c r="E1103" s="1" t="s">
        <v>132</v>
      </c>
      <c r="F1103" s="1" t="s">
        <v>132</v>
      </c>
      <c r="G1103" s="1" t="s">
        <v>132</v>
      </c>
      <c r="H1103" s="1" t="s">
        <v>132</v>
      </c>
      <c r="I1103" s="1" t="s">
        <v>22209</v>
      </c>
      <c r="J1103" s="1" t="s">
        <v>132</v>
      </c>
      <c r="K1103" s="1" t="s">
        <v>22210</v>
      </c>
      <c r="L1103" s="1" t="s">
        <v>132</v>
      </c>
      <c r="M1103" s="1" t="s">
        <v>22211</v>
      </c>
      <c r="N1103" s="1" t="s">
        <v>132</v>
      </c>
      <c r="O1103" s="1" t="s">
        <v>132</v>
      </c>
      <c r="P1103" s="1" t="s">
        <v>22208</v>
      </c>
      <c r="Q1103" s="1" t="s">
        <v>132</v>
      </c>
      <c r="R1103" s="1" t="s">
        <v>132</v>
      </c>
      <c r="S1103" s="1" t="s">
        <v>132</v>
      </c>
      <c r="T1103" s="1" t="s">
        <v>132</v>
      </c>
      <c r="U1103" s="1" t="s">
        <v>132</v>
      </c>
      <c r="V1103" s="1" t="s">
        <v>132</v>
      </c>
      <c r="W1103" s="1" t="s">
        <v>132</v>
      </c>
      <c r="X1103" s="1" t="s">
        <v>132</v>
      </c>
      <c r="Y1103" s="1" t="s">
        <v>132</v>
      </c>
      <c r="Z1103" s="1" t="s">
        <v>132</v>
      </c>
      <c r="AA1103" s="1" t="s">
        <v>132</v>
      </c>
      <c r="AB1103" s="1" t="s">
        <v>132</v>
      </c>
      <c r="AC1103" s="1" t="s">
        <v>22212</v>
      </c>
      <c r="AD1103" s="1" t="s">
        <v>132</v>
      </c>
      <c r="AE1103" s="1" t="s">
        <v>132</v>
      </c>
      <c r="AF1103" s="1" t="s">
        <v>22213</v>
      </c>
      <c r="AG1103" s="1" t="s">
        <v>132</v>
      </c>
      <c r="AH1103" s="1" t="s">
        <v>132</v>
      </c>
      <c r="AI1103" s="1" t="s">
        <v>132</v>
      </c>
      <c r="AJ1103" s="1" t="s">
        <v>132</v>
      </c>
      <c r="AK1103" s="1" t="s">
        <v>132</v>
      </c>
      <c r="AL1103" s="1" t="s">
        <v>132</v>
      </c>
      <c r="AM1103" s="1" t="s">
        <v>132</v>
      </c>
      <c r="AN1103" s="1" t="s">
        <v>132</v>
      </c>
    </row>
    <row r="1104" ht="15.75" customHeight="1">
      <c r="A1104" s="1" t="s">
        <v>127</v>
      </c>
      <c r="B1104" s="1" t="s">
        <v>22214</v>
      </c>
      <c r="C1104" s="1" t="s">
        <v>22215</v>
      </c>
      <c r="D1104" s="8" t="s">
        <v>22216</v>
      </c>
      <c r="E1104" s="1" t="s">
        <v>16637</v>
      </c>
      <c r="F1104" s="1" t="s">
        <v>132</v>
      </c>
      <c r="G1104" s="1" t="s">
        <v>22217</v>
      </c>
      <c r="H1104" s="1" t="s">
        <v>22218</v>
      </c>
      <c r="I1104" s="1" t="s">
        <v>22219</v>
      </c>
      <c r="J1104" s="1" t="s">
        <v>22220</v>
      </c>
      <c r="K1104" s="1" t="s">
        <v>22221</v>
      </c>
      <c r="L1104" s="1" t="s">
        <v>22222</v>
      </c>
      <c r="M1104" s="1" t="s">
        <v>22223</v>
      </c>
      <c r="N1104" s="1" t="s">
        <v>132</v>
      </c>
      <c r="O1104" s="1" t="s">
        <v>22224</v>
      </c>
      <c r="P1104" s="1" t="s">
        <v>16646</v>
      </c>
      <c r="Q1104" s="1" t="s">
        <v>132</v>
      </c>
      <c r="R1104" s="1" t="s">
        <v>22225</v>
      </c>
      <c r="S1104" s="1" t="s">
        <v>22226</v>
      </c>
      <c r="T1104" s="8" t="s">
        <v>22227</v>
      </c>
      <c r="U1104" s="1" t="s">
        <v>22228</v>
      </c>
      <c r="V1104" s="1" t="s">
        <v>22229</v>
      </c>
      <c r="W1104" s="1" t="s">
        <v>22225</v>
      </c>
      <c r="X1104" s="1" t="s">
        <v>22230</v>
      </c>
      <c r="Y1104" s="1" t="s">
        <v>22231</v>
      </c>
      <c r="Z1104" s="1" t="s">
        <v>22232</v>
      </c>
      <c r="AA1104" s="1" t="s">
        <v>22221</v>
      </c>
      <c r="AB1104" s="1" t="s">
        <v>22233</v>
      </c>
      <c r="AC1104" s="1" t="s">
        <v>22234</v>
      </c>
      <c r="AD1104" s="1" t="s">
        <v>22235</v>
      </c>
      <c r="AE1104" s="1" t="s">
        <v>22236</v>
      </c>
      <c r="AF1104" s="1" t="s">
        <v>22237</v>
      </c>
      <c r="AG1104" s="1" t="s">
        <v>22238</v>
      </c>
      <c r="AH1104" s="1" t="s">
        <v>22239</v>
      </c>
      <c r="AI1104" s="1" t="s">
        <v>22240</v>
      </c>
      <c r="AJ1104" s="1" t="s">
        <v>132</v>
      </c>
      <c r="AK1104" s="1" t="s">
        <v>16660</v>
      </c>
      <c r="AL1104" s="1" t="s">
        <v>22241</v>
      </c>
      <c r="AM1104" s="1" t="s">
        <v>22242</v>
      </c>
      <c r="AN1104" s="1" t="s">
        <v>22242</v>
      </c>
    </row>
    <row r="1105" ht="15.75" customHeight="1">
      <c r="A1105" s="1" t="s">
        <v>127</v>
      </c>
      <c r="B1105" s="1" t="s">
        <v>22243</v>
      </c>
      <c r="C1105" s="1" t="s">
        <v>22244</v>
      </c>
      <c r="D1105" s="8" t="s">
        <v>22245</v>
      </c>
      <c r="E1105" s="1" t="s">
        <v>22246</v>
      </c>
      <c r="F1105" s="1" t="s">
        <v>132</v>
      </c>
      <c r="G1105" s="1" t="s">
        <v>22247</v>
      </c>
      <c r="H1105" s="1" t="s">
        <v>22248</v>
      </c>
      <c r="I1105" s="1" t="s">
        <v>22249</v>
      </c>
      <c r="J1105" s="1" t="s">
        <v>22250</v>
      </c>
      <c r="K1105" s="1" t="s">
        <v>22251</v>
      </c>
      <c r="L1105" s="1" t="s">
        <v>22252</v>
      </c>
      <c r="M1105" s="1" t="s">
        <v>22253</v>
      </c>
      <c r="N1105" s="1" t="s">
        <v>132</v>
      </c>
      <c r="O1105" s="1" t="s">
        <v>22254</v>
      </c>
      <c r="P1105" s="1" t="s">
        <v>22255</v>
      </c>
      <c r="Q1105" s="1" t="s">
        <v>132</v>
      </c>
      <c r="R1105" s="1" t="s">
        <v>22256</v>
      </c>
      <c r="S1105" s="1" t="s">
        <v>22257</v>
      </c>
      <c r="T1105" s="8" t="s">
        <v>22258</v>
      </c>
      <c r="U1105" s="1" t="s">
        <v>22259</v>
      </c>
      <c r="V1105" s="1" t="s">
        <v>22260</v>
      </c>
      <c r="W1105" s="1" t="s">
        <v>22261</v>
      </c>
      <c r="X1105" s="1" t="s">
        <v>22262</v>
      </c>
      <c r="Y1105" s="1" t="s">
        <v>22263</v>
      </c>
      <c r="Z1105" s="1" t="s">
        <v>22264</v>
      </c>
      <c r="AA1105" s="1" t="s">
        <v>22265</v>
      </c>
      <c r="AB1105" s="1" t="s">
        <v>22266</v>
      </c>
      <c r="AC1105" s="1" t="s">
        <v>22267</v>
      </c>
      <c r="AD1105" s="1" t="s">
        <v>22268</v>
      </c>
      <c r="AE1105" s="1" t="s">
        <v>22269</v>
      </c>
      <c r="AF1105" s="1" t="s">
        <v>22270</v>
      </c>
      <c r="AG1105" s="1" t="s">
        <v>22271</v>
      </c>
      <c r="AH1105" s="1" t="s">
        <v>22272</v>
      </c>
      <c r="AI1105" s="1" t="s">
        <v>22273</v>
      </c>
      <c r="AJ1105" s="1" t="s">
        <v>132</v>
      </c>
      <c r="AK1105" s="1" t="s">
        <v>22274</v>
      </c>
      <c r="AL1105" s="1" t="s">
        <v>22275</v>
      </c>
      <c r="AM1105" s="1" t="s">
        <v>132</v>
      </c>
      <c r="AN1105" s="1" t="s">
        <v>132</v>
      </c>
    </row>
    <row r="1106" ht="15.75" customHeight="1">
      <c r="A1106" s="1" t="s">
        <v>38</v>
      </c>
      <c r="B1106" s="1" t="s">
        <v>22276</v>
      </c>
      <c r="C1106" s="1" t="s">
        <v>22277</v>
      </c>
      <c r="D1106" s="8" t="s">
        <v>22278</v>
      </c>
      <c r="E1106" s="1" t="s">
        <v>22279</v>
      </c>
      <c r="F1106" s="1" t="s">
        <v>22280</v>
      </c>
      <c r="G1106" s="1" t="s">
        <v>132</v>
      </c>
      <c r="H1106" s="1" t="s">
        <v>132</v>
      </c>
      <c r="I1106" s="1" t="s">
        <v>22281</v>
      </c>
      <c r="J1106" s="1" t="s">
        <v>132</v>
      </c>
      <c r="K1106" s="1" t="s">
        <v>22282</v>
      </c>
      <c r="L1106" s="1" t="s">
        <v>132</v>
      </c>
      <c r="M1106" s="1" t="s">
        <v>22283</v>
      </c>
      <c r="N1106" s="1" t="s">
        <v>22284</v>
      </c>
      <c r="O1106" s="1" t="s">
        <v>132</v>
      </c>
      <c r="P1106" s="1" t="s">
        <v>22285</v>
      </c>
      <c r="Q1106" s="1" t="s">
        <v>132</v>
      </c>
      <c r="R1106" s="1" t="s">
        <v>132</v>
      </c>
      <c r="S1106" s="1" t="s">
        <v>22286</v>
      </c>
      <c r="T1106" s="1" t="s">
        <v>132</v>
      </c>
      <c r="U1106" s="1" t="s">
        <v>22287</v>
      </c>
      <c r="V1106" s="1" t="s">
        <v>15992</v>
      </c>
      <c r="W1106" s="1" t="s">
        <v>132</v>
      </c>
      <c r="X1106" s="1" t="s">
        <v>22288</v>
      </c>
      <c r="Y1106" s="1" t="s">
        <v>132</v>
      </c>
      <c r="Z1106" s="1" t="s">
        <v>22289</v>
      </c>
      <c r="AA1106" s="1" t="s">
        <v>22290</v>
      </c>
      <c r="AB1106" s="1" t="s">
        <v>132</v>
      </c>
      <c r="AC1106" s="1" t="s">
        <v>22291</v>
      </c>
      <c r="AD1106" s="1" t="s">
        <v>132</v>
      </c>
      <c r="AE1106" s="1" t="s">
        <v>132</v>
      </c>
      <c r="AF1106" s="1" t="s">
        <v>22292</v>
      </c>
      <c r="AG1106" s="1" t="s">
        <v>15998</v>
      </c>
      <c r="AH1106" s="1" t="s">
        <v>132</v>
      </c>
      <c r="AI1106" s="1" t="s">
        <v>132</v>
      </c>
      <c r="AJ1106" s="1" t="s">
        <v>22293</v>
      </c>
      <c r="AK1106" s="1" t="s">
        <v>132</v>
      </c>
      <c r="AL1106" s="1" t="s">
        <v>132</v>
      </c>
      <c r="AM1106" s="1" t="s">
        <v>16001</v>
      </c>
      <c r="AN1106" s="1" t="s">
        <v>16001</v>
      </c>
    </row>
    <row r="1107" ht="15.75" customHeight="1">
      <c r="A1107" s="1" t="s">
        <v>38</v>
      </c>
      <c r="B1107" s="1" t="s">
        <v>22294</v>
      </c>
      <c r="C1107" s="1" t="s">
        <v>22295</v>
      </c>
      <c r="D1107" s="1" t="s">
        <v>132</v>
      </c>
      <c r="E1107" s="1" t="s">
        <v>22296</v>
      </c>
      <c r="F1107" s="1" t="s">
        <v>22297</v>
      </c>
      <c r="G1107" s="1" t="s">
        <v>132</v>
      </c>
      <c r="H1107" s="1" t="s">
        <v>132</v>
      </c>
      <c r="I1107" s="1" t="s">
        <v>22298</v>
      </c>
      <c r="J1107" s="1" t="s">
        <v>132</v>
      </c>
      <c r="K1107" s="1" t="s">
        <v>22299</v>
      </c>
      <c r="L1107" s="1" t="s">
        <v>132</v>
      </c>
      <c r="M1107" s="1" t="s">
        <v>22300</v>
      </c>
      <c r="N1107" s="1" t="s">
        <v>22301</v>
      </c>
      <c r="O1107" s="1" t="s">
        <v>132</v>
      </c>
      <c r="P1107" s="1" t="s">
        <v>22302</v>
      </c>
      <c r="Q1107" s="1" t="s">
        <v>132</v>
      </c>
      <c r="R1107" s="1" t="s">
        <v>132</v>
      </c>
      <c r="S1107" s="1" t="s">
        <v>22303</v>
      </c>
      <c r="T1107" s="1" t="s">
        <v>132</v>
      </c>
      <c r="U1107" s="1" t="s">
        <v>22304</v>
      </c>
      <c r="V1107" s="1" t="s">
        <v>22305</v>
      </c>
      <c r="W1107" s="1" t="s">
        <v>132</v>
      </c>
      <c r="X1107" s="1" t="s">
        <v>22306</v>
      </c>
      <c r="Y1107" s="1" t="s">
        <v>132</v>
      </c>
      <c r="Z1107" s="1" t="s">
        <v>22307</v>
      </c>
      <c r="AA1107" s="1" t="s">
        <v>22308</v>
      </c>
      <c r="AB1107" s="1" t="s">
        <v>132</v>
      </c>
      <c r="AC1107" s="1" t="s">
        <v>22309</v>
      </c>
      <c r="AD1107" s="1" t="s">
        <v>132</v>
      </c>
      <c r="AE1107" s="1" t="s">
        <v>132</v>
      </c>
      <c r="AF1107" s="1" t="s">
        <v>22310</v>
      </c>
      <c r="AG1107" s="1" t="s">
        <v>22311</v>
      </c>
      <c r="AH1107" s="1" t="s">
        <v>132</v>
      </c>
      <c r="AI1107" s="1" t="s">
        <v>132</v>
      </c>
      <c r="AJ1107" s="1" t="s">
        <v>22312</v>
      </c>
      <c r="AK1107" s="1" t="s">
        <v>132</v>
      </c>
      <c r="AL1107" s="1" t="s">
        <v>132</v>
      </c>
      <c r="AM1107" s="1" t="s">
        <v>22313</v>
      </c>
      <c r="AN1107" s="1" t="s">
        <v>22313</v>
      </c>
    </row>
    <row r="1108" ht="15.75" customHeight="1">
      <c r="A1108" s="1" t="s">
        <v>127</v>
      </c>
      <c r="B1108" s="1" t="s">
        <v>22314</v>
      </c>
      <c r="C1108" s="1" t="s">
        <v>22315</v>
      </c>
      <c r="D1108" s="8" t="s">
        <v>22316</v>
      </c>
      <c r="E1108" s="1" t="s">
        <v>22317</v>
      </c>
      <c r="F1108" s="1" t="s">
        <v>132</v>
      </c>
      <c r="G1108" s="1" t="s">
        <v>22318</v>
      </c>
      <c r="H1108" s="1" t="s">
        <v>22319</v>
      </c>
      <c r="I1108" s="1" t="s">
        <v>22320</v>
      </c>
      <c r="J1108" s="1" t="s">
        <v>22321</v>
      </c>
      <c r="K1108" s="1" t="s">
        <v>22322</v>
      </c>
      <c r="L1108" s="1" t="s">
        <v>22323</v>
      </c>
      <c r="M1108" s="1" t="s">
        <v>22324</v>
      </c>
      <c r="N1108" s="1" t="s">
        <v>132</v>
      </c>
      <c r="O1108" s="1" t="s">
        <v>22325</v>
      </c>
      <c r="P1108" s="1" t="s">
        <v>22326</v>
      </c>
      <c r="Q1108" s="1" t="s">
        <v>132</v>
      </c>
      <c r="R1108" s="1" t="s">
        <v>22327</v>
      </c>
      <c r="S1108" s="1" t="s">
        <v>22328</v>
      </c>
      <c r="T1108" s="8" t="s">
        <v>22329</v>
      </c>
      <c r="U1108" s="1" t="s">
        <v>22330</v>
      </c>
      <c r="V1108" s="1" t="s">
        <v>22331</v>
      </c>
      <c r="W1108" s="1" t="s">
        <v>22332</v>
      </c>
      <c r="X1108" s="1" t="s">
        <v>22333</v>
      </c>
      <c r="Y1108" s="1" t="s">
        <v>22334</v>
      </c>
      <c r="Z1108" s="1" t="s">
        <v>22335</v>
      </c>
      <c r="AA1108" s="1" t="s">
        <v>22336</v>
      </c>
      <c r="AB1108" s="1" t="s">
        <v>22337</v>
      </c>
      <c r="AC1108" s="1" t="s">
        <v>22338</v>
      </c>
      <c r="AD1108" s="1" t="s">
        <v>22339</v>
      </c>
      <c r="AE1108" s="1" t="s">
        <v>22340</v>
      </c>
      <c r="AF1108" s="1" t="s">
        <v>22341</v>
      </c>
      <c r="AG1108" s="1" t="s">
        <v>22342</v>
      </c>
      <c r="AH1108" s="1" t="s">
        <v>22343</v>
      </c>
      <c r="AI1108" s="1" t="s">
        <v>22344</v>
      </c>
      <c r="AJ1108" s="1" t="s">
        <v>132</v>
      </c>
      <c r="AK1108" s="1" t="s">
        <v>22345</v>
      </c>
      <c r="AL1108" s="1" t="s">
        <v>22346</v>
      </c>
      <c r="AM1108" s="1" t="s">
        <v>132</v>
      </c>
      <c r="AN1108" s="1" t="s">
        <v>132</v>
      </c>
    </row>
    <row r="1109" ht="15.75" customHeight="1">
      <c r="A1109" s="1" t="s">
        <v>127</v>
      </c>
      <c r="B1109" s="1" t="s">
        <v>22347</v>
      </c>
      <c r="C1109" s="1" t="s">
        <v>22348</v>
      </c>
      <c r="D1109" s="8" t="s">
        <v>4717</v>
      </c>
      <c r="E1109" s="1" t="s">
        <v>4718</v>
      </c>
      <c r="F1109" s="1" t="s">
        <v>132</v>
      </c>
      <c r="G1109" s="1" t="s">
        <v>22348</v>
      </c>
      <c r="H1109" s="1" t="s">
        <v>22348</v>
      </c>
      <c r="I1109" s="1" t="s">
        <v>22348</v>
      </c>
      <c r="J1109" s="1" t="s">
        <v>22349</v>
      </c>
      <c r="K1109" s="1" t="s">
        <v>22348</v>
      </c>
      <c r="L1109" s="1" t="s">
        <v>22350</v>
      </c>
      <c r="M1109" s="1" t="s">
        <v>22348</v>
      </c>
      <c r="N1109" s="1" t="s">
        <v>132</v>
      </c>
      <c r="O1109" s="1" t="s">
        <v>22351</v>
      </c>
      <c r="P1109" s="1" t="s">
        <v>22352</v>
      </c>
      <c r="Q1109" s="1" t="s">
        <v>132</v>
      </c>
      <c r="R1109" s="1" t="s">
        <v>22353</v>
      </c>
      <c r="S1109" s="1" t="s">
        <v>22348</v>
      </c>
      <c r="T1109" s="8" t="s">
        <v>4730</v>
      </c>
      <c r="U1109" s="1" t="s">
        <v>22348</v>
      </c>
      <c r="V1109" s="1" t="s">
        <v>4732</v>
      </c>
      <c r="W1109" s="1" t="s">
        <v>22353</v>
      </c>
      <c r="X1109" s="1" t="s">
        <v>22348</v>
      </c>
      <c r="Y1109" s="1" t="s">
        <v>22348</v>
      </c>
      <c r="Z1109" s="1" t="s">
        <v>22348</v>
      </c>
      <c r="AA1109" s="1" t="s">
        <v>4723</v>
      </c>
      <c r="AB1109" s="1" t="s">
        <v>22348</v>
      </c>
      <c r="AC1109" s="1" t="s">
        <v>22354</v>
      </c>
      <c r="AD1109" s="1" t="s">
        <v>22348</v>
      </c>
      <c r="AE1109" s="1" t="s">
        <v>22348</v>
      </c>
      <c r="AF1109" s="1" t="s">
        <v>22348</v>
      </c>
      <c r="AG1109" s="1" t="s">
        <v>22348</v>
      </c>
      <c r="AH1109" s="1" t="s">
        <v>4742</v>
      </c>
      <c r="AI1109" s="1" t="s">
        <v>16087</v>
      </c>
      <c r="AJ1109" s="1" t="s">
        <v>132</v>
      </c>
      <c r="AK1109" s="1" t="s">
        <v>22355</v>
      </c>
      <c r="AL1109" s="1" t="s">
        <v>4745</v>
      </c>
      <c r="AM1109" s="1" t="s">
        <v>4746</v>
      </c>
      <c r="AN1109" s="1" t="s">
        <v>4746</v>
      </c>
    </row>
    <row r="1110" ht="15.75" customHeight="1">
      <c r="A1110" s="1" t="s">
        <v>127</v>
      </c>
      <c r="B1110" s="1" t="s">
        <v>22356</v>
      </c>
      <c r="C1110" s="1" t="s">
        <v>22357</v>
      </c>
      <c r="D1110" s="8" t="s">
        <v>22358</v>
      </c>
      <c r="E1110" s="1" t="s">
        <v>5937</v>
      </c>
      <c r="F1110" s="1" t="s">
        <v>132</v>
      </c>
      <c r="G1110" s="1" t="s">
        <v>22359</v>
      </c>
      <c r="H1110" s="1" t="s">
        <v>22360</v>
      </c>
      <c r="I1110" s="1" t="s">
        <v>5939</v>
      </c>
      <c r="J1110" s="1" t="s">
        <v>22361</v>
      </c>
      <c r="K1110" s="1" t="s">
        <v>22362</v>
      </c>
      <c r="L1110" s="1" t="s">
        <v>22363</v>
      </c>
      <c r="M1110" s="1" t="s">
        <v>5941</v>
      </c>
      <c r="N1110" s="1" t="s">
        <v>132</v>
      </c>
      <c r="O1110" s="1" t="s">
        <v>22364</v>
      </c>
      <c r="P1110" s="1" t="s">
        <v>22365</v>
      </c>
      <c r="Q1110" s="1" t="s">
        <v>132</v>
      </c>
      <c r="R1110" s="1" t="s">
        <v>22366</v>
      </c>
      <c r="S1110" s="1" t="s">
        <v>22357</v>
      </c>
      <c r="T1110" s="8" t="s">
        <v>22367</v>
      </c>
      <c r="U1110" s="1" t="s">
        <v>5945</v>
      </c>
      <c r="V1110" s="1" t="s">
        <v>5946</v>
      </c>
      <c r="W1110" s="1" t="s">
        <v>22368</v>
      </c>
      <c r="X1110" s="1" t="s">
        <v>5947</v>
      </c>
      <c r="Y1110" s="1" t="s">
        <v>22369</v>
      </c>
      <c r="Z1110" s="1" t="s">
        <v>5948</v>
      </c>
      <c r="AA1110" s="1" t="s">
        <v>22370</v>
      </c>
      <c r="AB1110" s="1" t="s">
        <v>22371</v>
      </c>
      <c r="AC1110" s="1" t="s">
        <v>5950</v>
      </c>
      <c r="AD1110" s="1" t="s">
        <v>22372</v>
      </c>
      <c r="AE1110" s="1" t="s">
        <v>22373</v>
      </c>
      <c r="AF1110" s="1" t="s">
        <v>22374</v>
      </c>
      <c r="AG1110" s="1" t="s">
        <v>5953</v>
      </c>
      <c r="AH1110" s="1" t="s">
        <v>22375</v>
      </c>
      <c r="AI1110" s="1" t="s">
        <v>22376</v>
      </c>
      <c r="AJ1110" s="1" t="s">
        <v>132</v>
      </c>
      <c r="AK1110" s="1" t="s">
        <v>22377</v>
      </c>
      <c r="AL1110" s="1" t="s">
        <v>22378</v>
      </c>
      <c r="AM1110" s="1" t="s">
        <v>22379</v>
      </c>
      <c r="AN1110" s="1" t="s">
        <v>22379</v>
      </c>
    </row>
    <row r="1111" ht="15.75" customHeight="1">
      <c r="A1111" s="1" t="s">
        <v>38</v>
      </c>
      <c r="B1111" s="1" t="s">
        <v>22380</v>
      </c>
      <c r="C1111" s="1" t="s">
        <v>22381</v>
      </c>
      <c r="D1111" s="8" t="s">
        <v>22382</v>
      </c>
      <c r="E1111" s="1" t="s">
        <v>22383</v>
      </c>
      <c r="F1111" s="1" t="s">
        <v>22384</v>
      </c>
      <c r="G1111" s="1" t="s">
        <v>132</v>
      </c>
      <c r="H1111" s="1" t="s">
        <v>132</v>
      </c>
      <c r="I1111" s="1" t="s">
        <v>22385</v>
      </c>
      <c r="J1111" s="1" t="s">
        <v>132</v>
      </c>
      <c r="K1111" s="1" t="s">
        <v>22386</v>
      </c>
      <c r="L1111" s="1" t="s">
        <v>132</v>
      </c>
      <c r="M1111" s="1" t="s">
        <v>22387</v>
      </c>
      <c r="N1111" s="1" t="s">
        <v>22388</v>
      </c>
      <c r="O1111" s="1" t="s">
        <v>132</v>
      </c>
      <c r="P1111" s="1" t="s">
        <v>22389</v>
      </c>
      <c r="Q1111" s="1" t="s">
        <v>22390</v>
      </c>
      <c r="R1111" s="1" t="s">
        <v>132</v>
      </c>
      <c r="S1111" s="1" t="s">
        <v>22391</v>
      </c>
      <c r="T1111" s="1" t="s">
        <v>132</v>
      </c>
      <c r="U1111" s="1" t="s">
        <v>22392</v>
      </c>
      <c r="V1111" s="1" t="s">
        <v>22393</v>
      </c>
      <c r="W1111" s="1" t="s">
        <v>132</v>
      </c>
      <c r="X1111" s="1" t="s">
        <v>22394</v>
      </c>
      <c r="Y1111" s="1" t="s">
        <v>132</v>
      </c>
      <c r="Z1111" s="1" t="s">
        <v>22395</v>
      </c>
      <c r="AA1111" s="1" t="s">
        <v>22396</v>
      </c>
      <c r="AB1111" s="1" t="s">
        <v>132</v>
      </c>
      <c r="AC1111" s="1" t="s">
        <v>22397</v>
      </c>
      <c r="AD1111" s="1" t="s">
        <v>22398</v>
      </c>
      <c r="AE1111" s="1" t="s">
        <v>132</v>
      </c>
      <c r="AF1111" s="1" t="s">
        <v>22399</v>
      </c>
      <c r="AG1111" s="1" t="s">
        <v>22400</v>
      </c>
      <c r="AH1111" s="1" t="s">
        <v>132</v>
      </c>
      <c r="AI1111" s="1" t="s">
        <v>132</v>
      </c>
      <c r="AJ1111" s="1" t="s">
        <v>22401</v>
      </c>
      <c r="AK1111" s="1" t="s">
        <v>22402</v>
      </c>
      <c r="AL1111" s="1" t="s">
        <v>132</v>
      </c>
      <c r="AM1111" s="1" t="s">
        <v>22403</v>
      </c>
      <c r="AN1111" s="1" t="s">
        <v>22403</v>
      </c>
    </row>
    <row r="1112" ht="15.75" customHeight="1">
      <c r="A1112" s="1" t="s">
        <v>38</v>
      </c>
      <c r="B1112" s="1" t="s">
        <v>22404</v>
      </c>
      <c r="C1112" s="1" t="s">
        <v>22405</v>
      </c>
      <c r="D1112" s="8" t="s">
        <v>22406</v>
      </c>
      <c r="E1112" s="1" t="s">
        <v>22407</v>
      </c>
      <c r="F1112" s="1" t="s">
        <v>22408</v>
      </c>
      <c r="G1112" s="1" t="s">
        <v>132</v>
      </c>
      <c r="H1112" s="1" t="s">
        <v>132</v>
      </c>
      <c r="I1112" s="1" t="s">
        <v>22409</v>
      </c>
      <c r="J1112" s="1" t="s">
        <v>132</v>
      </c>
      <c r="K1112" s="1" t="s">
        <v>22410</v>
      </c>
      <c r="L1112" s="1" t="s">
        <v>132</v>
      </c>
      <c r="M1112" s="1" t="s">
        <v>22411</v>
      </c>
      <c r="N1112" s="1" t="s">
        <v>22412</v>
      </c>
      <c r="O1112" s="1" t="s">
        <v>132</v>
      </c>
      <c r="P1112" s="1" t="s">
        <v>22413</v>
      </c>
      <c r="Q1112" s="1" t="s">
        <v>22414</v>
      </c>
      <c r="R1112" s="1" t="s">
        <v>132</v>
      </c>
      <c r="S1112" s="1" t="s">
        <v>22415</v>
      </c>
      <c r="T1112" s="1" t="s">
        <v>132</v>
      </c>
      <c r="U1112" s="1" t="s">
        <v>22416</v>
      </c>
      <c r="V1112" s="1" t="s">
        <v>22417</v>
      </c>
      <c r="W1112" s="1" t="s">
        <v>132</v>
      </c>
      <c r="X1112" s="1" t="s">
        <v>22418</v>
      </c>
      <c r="Y1112" s="1" t="s">
        <v>132</v>
      </c>
      <c r="Z1112" s="1" t="s">
        <v>22419</v>
      </c>
      <c r="AA1112" s="1" t="s">
        <v>22420</v>
      </c>
      <c r="AB1112" s="1" t="s">
        <v>132</v>
      </c>
      <c r="AC1112" s="1" t="s">
        <v>22421</v>
      </c>
      <c r="AD1112" s="1" t="s">
        <v>22422</v>
      </c>
      <c r="AE1112" s="1" t="s">
        <v>132</v>
      </c>
      <c r="AF1112" s="1" t="s">
        <v>22423</v>
      </c>
      <c r="AG1112" s="1" t="s">
        <v>22424</v>
      </c>
      <c r="AH1112" s="1" t="s">
        <v>132</v>
      </c>
      <c r="AI1112" s="1" t="s">
        <v>132</v>
      </c>
      <c r="AJ1112" s="1" t="s">
        <v>22425</v>
      </c>
      <c r="AK1112" s="1" t="s">
        <v>22426</v>
      </c>
      <c r="AL1112" s="1" t="s">
        <v>132</v>
      </c>
      <c r="AM1112" s="1" t="s">
        <v>22427</v>
      </c>
      <c r="AN1112" s="1" t="s">
        <v>22427</v>
      </c>
    </row>
    <row r="1113" ht="15.75" customHeight="1">
      <c r="A1113" s="1" t="s">
        <v>38</v>
      </c>
      <c r="B1113" s="1" t="s">
        <v>22428</v>
      </c>
      <c r="C1113" s="1" t="s">
        <v>22429</v>
      </c>
      <c r="D1113" s="8" t="s">
        <v>22430</v>
      </c>
      <c r="E1113" s="1" t="s">
        <v>22431</v>
      </c>
      <c r="F1113" s="1" t="s">
        <v>22432</v>
      </c>
      <c r="G1113" s="1" t="s">
        <v>132</v>
      </c>
      <c r="H1113" s="1" t="s">
        <v>132</v>
      </c>
      <c r="I1113" s="1" t="s">
        <v>22433</v>
      </c>
      <c r="J1113" s="1" t="s">
        <v>132</v>
      </c>
      <c r="K1113" s="1" t="s">
        <v>22434</v>
      </c>
      <c r="L1113" s="1" t="s">
        <v>132</v>
      </c>
      <c r="M1113" s="1" t="s">
        <v>21492</v>
      </c>
      <c r="N1113" s="1" t="s">
        <v>22434</v>
      </c>
      <c r="O1113" s="1" t="s">
        <v>132</v>
      </c>
      <c r="P1113" s="1" t="s">
        <v>22435</v>
      </c>
      <c r="Q1113" s="1" t="s">
        <v>22436</v>
      </c>
      <c r="R1113" s="1" t="s">
        <v>132</v>
      </c>
      <c r="S1113" s="1" t="s">
        <v>22437</v>
      </c>
      <c r="T1113" s="1" t="s">
        <v>132</v>
      </c>
      <c r="U1113" s="1" t="s">
        <v>22438</v>
      </c>
      <c r="V1113" s="1" t="s">
        <v>22439</v>
      </c>
      <c r="W1113" s="1" t="s">
        <v>132</v>
      </c>
      <c r="X1113" s="1" t="s">
        <v>22440</v>
      </c>
      <c r="Y1113" s="1" t="s">
        <v>132</v>
      </c>
      <c r="Z1113" s="1" t="s">
        <v>22441</v>
      </c>
      <c r="AA1113" s="1" t="s">
        <v>22442</v>
      </c>
      <c r="AB1113" s="1" t="s">
        <v>132</v>
      </c>
      <c r="AC1113" s="1" t="s">
        <v>22443</v>
      </c>
      <c r="AD1113" s="1" t="s">
        <v>22444</v>
      </c>
      <c r="AE1113" s="1" t="s">
        <v>132</v>
      </c>
      <c r="AF1113" s="1" t="s">
        <v>22445</v>
      </c>
      <c r="AG1113" s="1" t="s">
        <v>22446</v>
      </c>
      <c r="AH1113" s="1" t="s">
        <v>132</v>
      </c>
      <c r="AI1113" s="1" t="s">
        <v>132</v>
      </c>
      <c r="AJ1113" s="1" t="s">
        <v>22447</v>
      </c>
      <c r="AK1113" s="1" t="s">
        <v>22448</v>
      </c>
      <c r="AL1113" s="1" t="s">
        <v>132</v>
      </c>
      <c r="AM1113" s="1" t="s">
        <v>22449</v>
      </c>
      <c r="AN1113" s="1" t="s">
        <v>22449</v>
      </c>
    </row>
    <row r="1114" ht="15.75" customHeight="1">
      <c r="A1114" s="1" t="s">
        <v>38</v>
      </c>
      <c r="B1114" s="1" t="s">
        <v>22450</v>
      </c>
      <c r="C1114" s="1" t="s">
        <v>22451</v>
      </c>
      <c r="D1114" s="1" t="s">
        <v>132</v>
      </c>
      <c r="E1114" s="1" t="s">
        <v>22452</v>
      </c>
      <c r="F1114" s="1" t="s">
        <v>132</v>
      </c>
      <c r="G1114" s="1" t="s">
        <v>132</v>
      </c>
      <c r="H1114" s="1" t="s">
        <v>132</v>
      </c>
      <c r="I1114" s="1" t="s">
        <v>22453</v>
      </c>
      <c r="J1114" s="1" t="s">
        <v>132</v>
      </c>
      <c r="K1114" s="1" t="s">
        <v>22454</v>
      </c>
      <c r="L1114" s="1" t="s">
        <v>132</v>
      </c>
      <c r="M1114" s="1" t="s">
        <v>132</v>
      </c>
      <c r="N1114" s="1" t="s">
        <v>22454</v>
      </c>
      <c r="O1114" s="1" t="s">
        <v>132</v>
      </c>
      <c r="P1114" s="1" t="s">
        <v>22455</v>
      </c>
      <c r="Q1114" s="1" t="s">
        <v>132</v>
      </c>
      <c r="R1114" s="1" t="s">
        <v>132</v>
      </c>
      <c r="S1114" s="1" t="s">
        <v>22456</v>
      </c>
      <c r="T1114" s="1" t="s">
        <v>132</v>
      </c>
      <c r="U1114" s="1" t="s">
        <v>132</v>
      </c>
      <c r="V1114" s="1" t="s">
        <v>132</v>
      </c>
      <c r="W1114" s="1" t="s">
        <v>132</v>
      </c>
      <c r="X1114" s="1" t="s">
        <v>22457</v>
      </c>
      <c r="Y1114" s="1" t="s">
        <v>132</v>
      </c>
      <c r="Z1114" s="1" t="s">
        <v>22458</v>
      </c>
      <c r="AA1114" s="1" t="s">
        <v>132</v>
      </c>
      <c r="AB1114" s="1" t="s">
        <v>132</v>
      </c>
      <c r="AC1114" s="1" t="s">
        <v>132</v>
      </c>
      <c r="AD1114" s="1" t="s">
        <v>132</v>
      </c>
      <c r="AE1114" s="1" t="s">
        <v>132</v>
      </c>
      <c r="AF1114" s="1" t="s">
        <v>132</v>
      </c>
      <c r="AG1114" s="1" t="s">
        <v>132</v>
      </c>
      <c r="AH1114" s="1" t="s">
        <v>132</v>
      </c>
      <c r="AI1114" s="1" t="s">
        <v>132</v>
      </c>
      <c r="AJ1114" s="1" t="s">
        <v>132</v>
      </c>
      <c r="AK1114" s="1" t="s">
        <v>132</v>
      </c>
      <c r="AL1114" s="1" t="s">
        <v>132</v>
      </c>
      <c r="AM1114" s="1" t="s">
        <v>132</v>
      </c>
      <c r="AN1114" s="1" t="s">
        <v>132</v>
      </c>
    </row>
    <row r="1115" ht="15.75" customHeight="1">
      <c r="A1115" s="1" t="s">
        <v>38</v>
      </c>
      <c r="B1115" s="1" t="s">
        <v>22459</v>
      </c>
      <c r="C1115" s="1" t="s">
        <v>22460</v>
      </c>
      <c r="D1115" s="1" t="s">
        <v>132</v>
      </c>
      <c r="E1115" s="1" t="s">
        <v>22461</v>
      </c>
      <c r="F1115" s="1" t="s">
        <v>22462</v>
      </c>
      <c r="G1115" s="1" t="s">
        <v>132</v>
      </c>
      <c r="H1115" s="1" t="s">
        <v>132</v>
      </c>
      <c r="I1115" s="1" t="s">
        <v>22463</v>
      </c>
      <c r="J1115" s="1" t="s">
        <v>132</v>
      </c>
      <c r="K1115" s="1" t="s">
        <v>22464</v>
      </c>
      <c r="L1115" s="1" t="s">
        <v>132</v>
      </c>
      <c r="M1115" s="1" t="s">
        <v>22465</v>
      </c>
      <c r="N1115" s="1" t="s">
        <v>22466</v>
      </c>
      <c r="O1115" s="1" t="s">
        <v>132</v>
      </c>
      <c r="P1115" s="1" t="s">
        <v>22467</v>
      </c>
      <c r="Q1115" s="1" t="s">
        <v>132</v>
      </c>
      <c r="R1115" s="1" t="s">
        <v>132</v>
      </c>
      <c r="S1115" s="1" t="s">
        <v>22468</v>
      </c>
      <c r="T1115" s="1" t="s">
        <v>132</v>
      </c>
      <c r="U1115" s="1" t="s">
        <v>132</v>
      </c>
      <c r="V1115" s="1" t="s">
        <v>132</v>
      </c>
      <c r="W1115" s="1" t="s">
        <v>132</v>
      </c>
      <c r="X1115" s="1" t="s">
        <v>22469</v>
      </c>
      <c r="Y1115" s="1" t="s">
        <v>132</v>
      </c>
      <c r="Z1115" s="1" t="s">
        <v>22470</v>
      </c>
      <c r="AA1115" s="1" t="s">
        <v>132</v>
      </c>
      <c r="AB1115" s="1" t="s">
        <v>132</v>
      </c>
      <c r="AC1115" s="1" t="s">
        <v>22471</v>
      </c>
      <c r="AD1115" s="1" t="s">
        <v>132</v>
      </c>
      <c r="AE1115" s="1" t="s">
        <v>132</v>
      </c>
      <c r="AF1115" s="1" t="s">
        <v>132</v>
      </c>
      <c r="AG1115" s="1" t="s">
        <v>132</v>
      </c>
      <c r="AH1115" s="1" t="s">
        <v>132</v>
      </c>
      <c r="AI1115" s="1" t="s">
        <v>132</v>
      </c>
      <c r="AJ1115" s="1" t="s">
        <v>132</v>
      </c>
      <c r="AK1115" s="1" t="s">
        <v>132</v>
      </c>
      <c r="AL1115" s="1" t="s">
        <v>132</v>
      </c>
      <c r="AM1115" s="1" t="s">
        <v>132</v>
      </c>
      <c r="AN1115" s="1" t="s">
        <v>132</v>
      </c>
    </row>
    <row r="1116" ht="15.75" customHeight="1">
      <c r="A1116" s="1" t="s">
        <v>38</v>
      </c>
      <c r="B1116" s="1" t="s">
        <v>22472</v>
      </c>
      <c r="C1116" s="1" t="s">
        <v>22473</v>
      </c>
      <c r="D1116" s="1" t="s">
        <v>132</v>
      </c>
      <c r="E1116" s="1" t="s">
        <v>132</v>
      </c>
      <c r="F1116" s="1" t="s">
        <v>132</v>
      </c>
      <c r="G1116" s="1" t="s">
        <v>132</v>
      </c>
      <c r="H1116" s="1" t="s">
        <v>132</v>
      </c>
      <c r="I1116" s="1" t="s">
        <v>22474</v>
      </c>
      <c r="J1116" s="1" t="s">
        <v>132</v>
      </c>
      <c r="K1116" s="1" t="s">
        <v>22475</v>
      </c>
      <c r="L1116" s="1" t="s">
        <v>132</v>
      </c>
      <c r="M1116" s="1" t="s">
        <v>22476</v>
      </c>
      <c r="N1116" s="1" t="s">
        <v>132</v>
      </c>
      <c r="O1116" s="1" t="s">
        <v>132</v>
      </c>
      <c r="P1116" s="1" t="s">
        <v>22473</v>
      </c>
      <c r="Q1116" s="1" t="s">
        <v>132</v>
      </c>
      <c r="R1116" s="1" t="s">
        <v>132</v>
      </c>
      <c r="S1116" s="1" t="s">
        <v>132</v>
      </c>
      <c r="T1116" s="1" t="s">
        <v>132</v>
      </c>
      <c r="U1116" s="1" t="s">
        <v>132</v>
      </c>
      <c r="V1116" s="1" t="s">
        <v>132</v>
      </c>
      <c r="W1116" s="1" t="s">
        <v>132</v>
      </c>
      <c r="X1116" s="1" t="s">
        <v>132</v>
      </c>
      <c r="Y1116" s="1" t="s">
        <v>132</v>
      </c>
      <c r="Z1116" s="1" t="s">
        <v>132</v>
      </c>
      <c r="AA1116" s="1" t="s">
        <v>132</v>
      </c>
      <c r="AB1116" s="1" t="s">
        <v>132</v>
      </c>
      <c r="AC1116" s="1" t="s">
        <v>22477</v>
      </c>
      <c r="AD1116" s="1" t="s">
        <v>132</v>
      </c>
      <c r="AE1116" s="1" t="s">
        <v>132</v>
      </c>
      <c r="AF1116" s="1" t="s">
        <v>22478</v>
      </c>
      <c r="AG1116" s="1" t="s">
        <v>132</v>
      </c>
      <c r="AH1116" s="1" t="s">
        <v>132</v>
      </c>
      <c r="AI1116" s="1" t="s">
        <v>132</v>
      </c>
      <c r="AJ1116" s="1" t="s">
        <v>132</v>
      </c>
      <c r="AK1116" s="1" t="s">
        <v>132</v>
      </c>
      <c r="AL1116" s="1" t="s">
        <v>132</v>
      </c>
      <c r="AM1116" s="1" t="s">
        <v>132</v>
      </c>
      <c r="AN1116" s="1" t="s">
        <v>132</v>
      </c>
    </row>
    <row r="1117" ht="15.75" customHeight="1">
      <c r="A1117" s="1" t="s">
        <v>127</v>
      </c>
      <c r="B1117" s="1" t="s">
        <v>22479</v>
      </c>
      <c r="C1117" s="1" t="s">
        <v>22480</v>
      </c>
      <c r="D1117" s="8" t="s">
        <v>22481</v>
      </c>
      <c r="E1117" s="1" t="s">
        <v>22480</v>
      </c>
      <c r="F1117" s="1" t="s">
        <v>132</v>
      </c>
      <c r="G1117" s="1" t="s">
        <v>22480</v>
      </c>
      <c r="H1117" s="1" t="s">
        <v>22480</v>
      </c>
      <c r="I1117" s="1" t="s">
        <v>22480</v>
      </c>
      <c r="J1117" s="1" t="s">
        <v>22480</v>
      </c>
      <c r="K1117" s="1" t="s">
        <v>22480</v>
      </c>
      <c r="L1117" s="1" t="s">
        <v>22480</v>
      </c>
      <c r="M1117" s="1" t="s">
        <v>22480</v>
      </c>
      <c r="N1117" s="1" t="s">
        <v>132</v>
      </c>
      <c r="O1117" s="1" t="s">
        <v>22482</v>
      </c>
      <c r="P1117" s="1" t="s">
        <v>22480</v>
      </c>
      <c r="Q1117" s="1" t="s">
        <v>132</v>
      </c>
      <c r="R1117" s="1" t="s">
        <v>22480</v>
      </c>
      <c r="S1117" s="1" t="s">
        <v>22480</v>
      </c>
      <c r="T1117" s="1" t="s">
        <v>22480</v>
      </c>
      <c r="U1117" s="1" t="s">
        <v>22480</v>
      </c>
      <c r="V1117" s="1" t="s">
        <v>22480</v>
      </c>
      <c r="W1117" s="1" t="s">
        <v>22480</v>
      </c>
      <c r="X1117" s="1" t="s">
        <v>22480</v>
      </c>
      <c r="Y1117" s="1" t="s">
        <v>22480</v>
      </c>
      <c r="Z1117" s="1" t="s">
        <v>22480</v>
      </c>
      <c r="AA1117" s="1" t="s">
        <v>22480</v>
      </c>
      <c r="AB1117" s="1" t="s">
        <v>22480</v>
      </c>
      <c r="AC1117" s="1" t="s">
        <v>22480</v>
      </c>
      <c r="AD1117" s="1" t="s">
        <v>22480</v>
      </c>
      <c r="AE1117" s="1" t="s">
        <v>22480</v>
      </c>
      <c r="AF1117" s="1" t="s">
        <v>22480</v>
      </c>
      <c r="AG1117" s="1" t="s">
        <v>22480</v>
      </c>
      <c r="AH1117" s="1" t="s">
        <v>22480</v>
      </c>
      <c r="AI1117" s="1" t="s">
        <v>22480</v>
      </c>
      <c r="AJ1117" s="1" t="s">
        <v>132</v>
      </c>
      <c r="AK1117" s="1" t="s">
        <v>22480</v>
      </c>
      <c r="AL1117" s="1" t="s">
        <v>22480</v>
      </c>
      <c r="AM1117" s="1" t="s">
        <v>22483</v>
      </c>
      <c r="AN1117" s="1" t="s">
        <v>22483</v>
      </c>
    </row>
    <row r="1118" ht="15.75" customHeight="1">
      <c r="A1118" s="1" t="s">
        <v>38</v>
      </c>
      <c r="B1118" s="1" t="s">
        <v>22484</v>
      </c>
      <c r="C1118" s="1" t="s">
        <v>22485</v>
      </c>
      <c r="D1118" s="1" t="s">
        <v>132</v>
      </c>
      <c r="E1118" s="1" t="s">
        <v>132</v>
      </c>
      <c r="F1118" s="1" t="s">
        <v>132</v>
      </c>
      <c r="G1118" s="1" t="s">
        <v>132</v>
      </c>
      <c r="H1118" s="1" t="s">
        <v>132</v>
      </c>
      <c r="I1118" s="1" t="s">
        <v>22486</v>
      </c>
      <c r="J1118" s="1" t="s">
        <v>132</v>
      </c>
      <c r="K1118" s="1" t="s">
        <v>22485</v>
      </c>
      <c r="L1118" s="1" t="s">
        <v>132</v>
      </c>
      <c r="M1118" s="1" t="s">
        <v>22487</v>
      </c>
      <c r="N1118" s="1" t="s">
        <v>132</v>
      </c>
      <c r="O1118" s="1" t="s">
        <v>132</v>
      </c>
      <c r="P1118" s="1" t="s">
        <v>22485</v>
      </c>
      <c r="Q1118" s="1" t="s">
        <v>132</v>
      </c>
      <c r="R1118" s="1" t="s">
        <v>132</v>
      </c>
      <c r="S1118" s="1" t="s">
        <v>132</v>
      </c>
      <c r="T1118" s="1" t="s">
        <v>132</v>
      </c>
      <c r="U1118" s="1" t="s">
        <v>132</v>
      </c>
      <c r="V1118" s="1" t="s">
        <v>132</v>
      </c>
      <c r="W1118" s="1" t="s">
        <v>132</v>
      </c>
      <c r="X1118" s="1" t="s">
        <v>132</v>
      </c>
      <c r="Y1118" s="1" t="s">
        <v>132</v>
      </c>
      <c r="Z1118" s="1" t="s">
        <v>132</v>
      </c>
      <c r="AA1118" s="1" t="s">
        <v>132</v>
      </c>
      <c r="AB1118" s="1" t="s">
        <v>132</v>
      </c>
      <c r="AC1118" s="1" t="s">
        <v>22488</v>
      </c>
      <c r="AD1118" s="1" t="s">
        <v>132</v>
      </c>
      <c r="AE1118" s="1" t="s">
        <v>132</v>
      </c>
      <c r="AF1118" s="1" t="s">
        <v>22489</v>
      </c>
      <c r="AG1118" s="1" t="s">
        <v>132</v>
      </c>
      <c r="AH1118" s="1" t="s">
        <v>132</v>
      </c>
      <c r="AI1118" s="1" t="s">
        <v>132</v>
      </c>
      <c r="AJ1118" s="1" t="s">
        <v>132</v>
      </c>
      <c r="AK1118" s="1" t="s">
        <v>132</v>
      </c>
      <c r="AL1118" s="1" t="s">
        <v>132</v>
      </c>
      <c r="AM1118" s="1" t="s">
        <v>132</v>
      </c>
      <c r="AN1118" s="1" t="s">
        <v>132</v>
      </c>
    </row>
    <row r="1119" ht="15.75" customHeight="1">
      <c r="A1119" s="1" t="s">
        <v>127</v>
      </c>
      <c r="B1119" s="1" t="s">
        <v>22490</v>
      </c>
      <c r="C1119" s="1" t="s">
        <v>22491</v>
      </c>
      <c r="D1119" s="8" t="s">
        <v>22492</v>
      </c>
      <c r="E1119" s="1" t="s">
        <v>22493</v>
      </c>
      <c r="F1119" s="1" t="s">
        <v>132</v>
      </c>
      <c r="G1119" s="1" t="s">
        <v>22494</v>
      </c>
      <c r="H1119" s="1" t="s">
        <v>22491</v>
      </c>
      <c r="I1119" s="1" t="s">
        <v>22495</v>
      </c>
      <c r="J1119" s="1" t="s">
        <v>22496</v>
      </c>
      <c r="K1119" s="1" t="s">
        <v>22491</v>
      </c>
      <c r="L1119" s="1" t="s">
        <v>22497</v>
      </c>
      <c r="M1119" s="1" t="s">
        <v>22491</v>
      </c>
      <c r="N1119" s="1" t="s">
        <v>132</v>
      </c>
      <c r="O1119" s="1" t="s">
        <v>22498</v>
      </c>
      <c r="P1119" s="1" t="s">
        <v>22499</v>
      </c>
      <c r="Q1119" s="1" t="s">
        <v>132</v>
      </c>
      <c r="R1119" s="1" t="s">
        <v>22500</v>
      </c>
      <c r="S1119" s="1" t="s">
        <v>22491</v>
      </c>
      <c r="T1119" s="8" t="s">
        <v>22501</v>
      </c>
      <c r="U1119" s="1" t="s">
        <v>22502</v>
      </c>
      <c r="V1119" s="1" t="s">
        <v>2402</v>
      </c>
      <c r="W1119" s="1" t="s">
        <v>22503</v>
      </c>
      <c r="X1119" s="1" t="s">
        <v>22490</v>
      </c>
      <c r="Y1119" s="1" t="s">
        <v>22504</v>
      </c>
      <c r="Z1119" s="1" t="s">
        <v>22505</v>
      </c>
      <c r="AA1119" s="1" t="s">
        <v>22506</v>
      </c>
      <c r="AB1119" s="1" t="s">
        <v>22507</v>
      </c>
      <c r="AC1119" s="1" t="s">
        <v>22508</v>
      </c>
      <c r="AD1119" s="1" t="s">
        <v>22494</v>
      </c>
      <c r="AE1119" s="1" t="s">
        <v>22509</v>
      </c>
      <c r="AF1119" s="1" t="s">
        <v>22495</v>
      </c>
      <c r="AG1119" s="1" t="s">
        <v>22491</v>
      </c>
      <c r="AH1119" s="1" t="s">
        <v>22510</v>
      </c>
      <c r="AI1119" s="1" t="s">
        <v>22511</v>
      </c>
      <c r="AJ1119" s="1" t="s">
        <v>132</v>
      </c>
      <c r="AK1119" s="1" t="s">
        <v>22512</v>
      </c>
      <c r="AL1119" s="1" t="s">
        <v>22513</v>
      </c>
      <c r="AM1119" s="1" t="s">
        <v>132</v>
      </c>
      <c r="AN1119" s="1" t="s">
        <v>132</v>
      </c>
    </row>
    <row r="1120" ht="15.75" customHeight="1">
      <c r="A1120" s="1" t="s">
        <v>127</v>
      </c>
      <c r="B1120" s="1" t="s">
        <v>22514</v>
      </c>
      <c r="C1120" s="1" t="s">
        <v>1568</v>
      </c>
      <c r="D1120" s="8" t="s">
        <v>1569</v>
      </c>
      <c r="E1120" s="1" t="s">
        <v>1570</v>
      </c>
      <c r="F1120" s="1" t="s">
        <v>132</v>
      </c>
      <c r="G1120" s="1" t="s">
        <v>1571</v>
      </c>
      <c r="H1120" s="1" t="s">
        <v>1572</v>
      </c>
      <c r="I1120" s="1" t="s">
        <v>1573</v>
      </c>
      <c r="J1120" s="1" t="s">
        <v>1574</v>
      </c>
      <c r="K1120" s="1" t="s">
        <v>1575</v>
      </c>
      <c r="L1120" s="1" t="s">
        <v>1576</v>
      </c>
      <c r="M1120" s="1" t="s">
        <v>1577</v>
      </c>
      <c r="N1120" s="1" t="s">
        <v>132</v>
      </c>
      <c r="O1120" s="1" t="s">
        <v>1578</v>
      </c>
      <c r="P1120" s="1" t="s">
        <v>1579</v>
      </c>
      <c r="Q1120" s="1" t="s">
        <v>132</v>
      </c>
      <c r="R1120" s="1" t="s">
        <v>22515</v>
      </c>
      <c r="S1120" s="1" t="s">
        <v>22516</v>
      </c>
      <c r="T1120" s="8" t="s">
        <v>1582</v>
      </c>
      <c r="U1120" s="1" t="s">
        <v>1583</v>
      </c>
      <c r="V1120" s="1" t="s">
        <v>1584</v>
      </c>
      <c r="W1120" s="1" t="s">
        <v>1585</v>
      </c>
      <c r="X1120" s="1" t="s">
        <v>1586</v>
      </c>
      <c r="Y1120" s="1" t="s">
        <v>1587</v>
      </c>
      <c r="Z1120" s="1" t="s">
        <v>1588</v>
      </c>
      <c r="AA1120" s="1" t="s">
        <v>1589</v>
      </c>
      <c r="AB1120" s="1" t="s">
        <v>1590</v>
      </c>
      <c r="AC1120" s="1" t="s">
        <v>1591</v>
      </c>
      <c r="AD1120" s="1" t="s">
        <v>1592</v>
      </c>
      <c r="AE1120" s="1" t="s">
        <v>1593</v>
      </c>
      <c r="AF1120" s="1" t="s">
        <v>1594</v>
      </c>
      <c r="AG1120" s="1" t="s">
        <v>1595</v>
      </c>
      <c r="AH1120" s="1" t="s">
        <v>1596</v>
      </c>
      <c r="AI1120" s="1" t="s">
        <v>1597</v>
      </c>
      <c r="AJ1120" s="1" t="s">
        <v>132</v>
      </c>
      <c r="AK1120" s="1" t="s">
        <v>1598</v>
      </c>
      <c r="AL1120" s="1" t="s">
        <v>1583</v>
      </c>
      <c r="AM1120" s="1" t="s">
        <v>1599</v>
      </c>
      <c r="AN1120" s="1" t="s">
        <v>1599</v>
      </c>
    </row>
    <row r="1121" ht="15.75" customHeight="1">
      <c r="A1121" s="1" t="s">
        <v>127</v>
      </c>
      <c r="B1121" s="1" t="s">
        <v>22517</v>
      </c>
      <c r="C1121" s="1" t="s">
        <v>22518</v>
      </c>
      <c r="D1121" s="8" t="s">
        <v>22519</v>
      </c>
      <c r="E1121" s="1" t="s">
        <v>22520</v>
      </c>
      <c r="F1121" s="1" t="s">
        <v>132</v>
      </c>
      <c r="G1121" s="1" t="s">
        <v>22521</v>
      </c>
      <c r="H1121" s="1" t="s">
        <v>22522</v>
      </c>
      <c r="I1121" s="1" t="s">
        <v>22523</v>
      </c>
      <c r="J1121" s="1" t="s">
        <v>22524</v>
      </c>
      <c r="K1121" s="1" t="s">
        <v>22525</v>
      </c>
      <c r="L1121" s="1" t="s">
        <v>22526</v>
      </c>
      <c r="M1121" s="1" t="s">
        <v>22527</v>
      </c>
      <c r="N1121" s="1" t="s">
        <v>132</v>
      </c>
      <c r="O1121" s="1" t="s">
        <v>22528</v>
      </c>
      <c r="P1121" s="1" t="s">
        <v>22529</v>
      </c>
      <c r="Q1121" s="1" t="s">
        <v>132</v>
      </c>
      <c r="R1121" s="1" t="s">
        <v>22530</v>
      </c>
      <c r="S1121" s="1" t="s">
        <v>22531</v>
      </c>
      <c r="T1121" s="8" t="s">
        <v>22532</v>
      </c>
      <c r="U1121" s="1" t="s">
        <v>22533</v>
      </c>
      <c r="V1121" s="1" t="s">
        <v>22534</v>
      </c>
      <c r="W1121" s="1" t="s">
        <v>22535</v>
      </c>
      <c r="X1121" s="1" t="s">
        <v>22536</v>
      </c>
      <c r="Y1121" s="1" t="s">
        <v>22537</v>
      </c>
      <c r="Z1121" s="1" t="s">
        <v>22538</v>
      </c>
      <c r="AA1121" s="1" t="s">
        <v>22539</v>
      </c>
      <c r="AB1121" s="1" t="s">
        <v>22540</v>
      </c>
      <c r="AC1121" s="1" t="s">
        <v>22541</v>
      </c>
      <c r="AD1121" s="1" t="s">
        <v>22542</v>
      </c>
      <c r="AE1121" s="1" t="s">
        <v>22543</v>
      </c>
      <c r="AF1121" s="1" t="s">
        <v>22518</v>
      </c>
      <c r="AG1121" s="1" t="s">
        <v>22544</v>
      </c>
      <c r="AH1121" s="1" t="s">
        <v>22545</v>
      </c>
      <c r="AI1121" s="1" t="s">
        <v>22546</v>
      </c>
      <c r="AJ1121" s="1" t="s">
        <v>132</v>
      </c>
      <c r="AK1121" s="1" t="s">
        <v>22547</v>
      </c>
      <c r="AL1121" s="1" t="s">
        <v>22548</v>
      </c>
      <c r="AM1121" s="1" t="s">
        <v>22549</v>
      </c>
      <c r="AN1121" s="1" t="s">
        <v>22549</v>
      </c>
    </row>
    <row r="1122" ht="15.75" customHeight="1">
      <c r="A1122" s="1" t="s">
        <v>127</v>
      </c>
      <c r="B1122" s="1" t="s">
        <v>22550</v>
      </c>
      <c r="C1122" s="1" t="s">
        <v>10978</v>
      </c>
      <c r="D1122" s="8" t="s">
        <v>22551</v>
      </c>
      <c r="E1122" s="1" t="s">
        <v>10980</v>
      </c>
      <c r="F1122" s="1" t="s">
        <v>132</v>
      </c>
      <c r="G1122" s="1" t="s">
        <v>10981</v>
      </c>
      <c r="H1122" s="1" t="s">
        <v>10982</v>
      </c>
      <c r="I1122" s="1" t="s">
        <v>22552</v>
      </c>
      <c r="J1122" s="1" t="s">
        <v>10984</v>
      </c>
      <c r="K1122" s="1" t="s">
        <v>22553</v>
      </c>
      <c r="L1122" s="1" t="s">
        <v>10986</v>
      </c>
      <c r="M1122" s="1" t="s">
        <v>22554</v>
      </c>
      <c r="N1122" s="1" t="s">
        <v>132</v>
      </c>
      <c r="O1122" s="1" t="s">
        <v>10988</v>
      </c>
      <c r="P1122" s="1" t="s">
        <v>22555</v>
      </c>
      <c r="Q1122" s="1" t="s">
        <v>132</v>
      </c>
      <c r="R1122" s="1" t="s">
        <v>10990</v>
      </c>
      <c r="S1122" s="1" t="s">
        <v>22556</v>
      </c>
      <c r="T1122" s="8" t="s">
        <v>10992</v>
      </c>
      <c r="U1122" s="1" t="s">
        <v>10993</v>
      </c>
      <c r="V1122" s="1" t="s">
        <v>10994</v>
      </c>
      <c r="W1122" s="1" t="s">
        <v>10990</v>
      </c>
      <c r="X1122" s="1" t="s">
        <v>22557</v>
      </c>
      <c r="Y1122" s="1" t="s">
        <v>10996</v>
      </c>
      <c r="Z1122" s="11" t="s">
        <v>10997</v>
      </c>
      <c r="AA1122" s="1" t="s">
        <v>10998</v>
      </c>
      <c r="AB1122" s="1" t="s">
        <v>10999</v>
      </c>
      <c r="AC1122" s="1" t="s">
        <v>22558</v>
      </c>
      <c r="AD1122" s="1" t="s">
        <v>11000</v>
      </c>
      <c r="AE1122" s="1" t="s">
        <v>22559</v>
      </c>
      <c r="AF1122" s="1" t="s">
        <v>132</v>
      </c>
      <c r="AG1122" s="1" t="s">
        <v>11003</v>
      </c>
      <c r="AH1122" s="1" t="s">
        <v>11004</v>
      </c>
      <c r="AI1122" s="1" t="s">
        <v>11005</v>
      </c>
      <c r="AJ1122" s="1" t="s">
        <v>132</v>
      </c>
      <c r="AK1122" s="1" t="s">
        <v>11006</v>
      </c>
      <c r="AL1122" s="14" t="s">
        <v>22560</v>
      </c>
      <c r="AM1122" s="1" t="s">
        <v>132</v>
      </c>
      <c r="AN1122" s="1" t="s">
        <v>132</v>
      </c>
    </row>
    <row r="1123" ht="15.75" customHeight="1">
      <c r="A1123" s="1" t="s">
        <v>38</v>
      </c>
      <c r="B1123" s="1" t="s">
        <v>22561</v>
      </c>
      <c r="C1123" s="1" t="s">
        <v>22562</v>
      </c>
      <c r="D1123" s="8" t="s">
        <v>22563</v>
      </c>
      <c r="E1123" s="1" t="s">
        <v>22564</v>
      </c>
      <c r="F1123" s="1" t="s">
        <v>22565</v>
      </c>
      <c r="G1123" s="1" t="s">
        <v>132</v>
      </c>
      <c r="H1123" s="1" t="s">
        <v>132</v>
      </c>
      <c r="I1123" s="1" t="s">
        <v>22566</v>
      </c>
      <c r="J1123" s="1" t="s">
        <v>132</v>
      </c>
      <c r="K1123" s="1" t="s">
        <v>22567</v>
      </c>
      <c r="L1123" s="1" t="s">
        <v>132</v>
      </c>
      <c r="M1123" s="1" t="s">
        <v>22568</v>
      </c>
      <c r="N1123" s="1" t="s">
        <v>22569</v>
      </c>
      <c r="O1123" s="1" t="s">
        <v>132</v>
      </c>
      <c r="P1123" s="1" t="s">
        <v>22570</v>
      </c>
      <c r="Q1123" s="1" t="s">
        <v>132</v>
      </c>
      <c r="R1123" s="1" t="s">
        <v>132</v>
      </c>
      <c r="S1123" s="1" t="s">
        <v>22571</v>
      </c>
      <c r="T1123" s="1" t="s">
        <v>132</v>
      </c>
      <c r="U1123" s="1" t="s">
        <v>22572</v>
      </c>
      <c r="V1123" s="1" t="s">
        <v>132</v>
      </c>
      <c r="W1123" s="1" t="s">
        <v>132</v>
      </c>
      <c r="X1123" s="1" t="s">
        <v>22573</v>
      </c>
      <c r="Y1123" s="1" t="s">
        <v>132</v>
      </c>
      <c r="Z1123" s="1" t="s">
        <v>22574</v>
      </c>
      <c r="AA1123" s="1" t="s">
        <v>22575</v>
      </c>
      <c r="AB1123" s="1" t="s">
        <v>132</v>
      </c>
      <c r="AC1123" s="1" t="s">
        <v>22576</v>
      </c>
      <c r="AD1123" s="1" t="s">
        <v>132</v>
      </c>
      <c r="AE1123" s="1" t="s">
        <v>132</v>
      </c>
      <c r="AF1123" s="1" t="s">
        <v>22577</v>
      </c>
      <c r="AG1123" s="1" t="s">
        <v>132</v>
      </c>
      <c r="AH1123" s="1" t="s">
        <v>132</v>
      </c>
      <c r="AI1123" s="1" t="s">
        <v>132</v>
      </c>
      <c r="AJ1123" s="1" t="s">
        <v>132</v>
      </c>
      <c r="AK1123" s="1" t="s">
        <v>132</v>
      </c>
      <c r="AL1123" s="1" t="s">
        <v>132</v>
      </c>
      <c r="AM1123" s="1" t="s">
        <v>132</v>
      </c>
      <c r="AN1123" s="1" t="s">
        <v>132</v>
      </c>
    </row>
    <row r="1124" ht="15.75" customHeight="1">
      <c r="A1124" s="1" t="s">
        <v>127</v>
      </c>
      <c r="B1124" s="1" t="s">
        <v>22578</v>
      </c>
      <c r="C1124" s="1" t="s">
        <v>22579</v>
      </c>
      <c r="D1124" s="8" t="s">
        <v>22580</v>
      </c>
      <c r="E1124" s="1" t="s">
        <v>22581</v>
      </c>
      <c r="F1124" s="1" t="s">
        <v>132</v>
      </c>
      <c r="G1124" s="1" t="s">
        <v>22582</v>
      </c>
      <c r="H1124" s="1" t="s">
        <v>22583</v>
      </c>
      <c r="I1124" s="1" t="s">
        <v>22583</v>
      </c>
      <c r="J1124" s="1" t="s">
        <v>22584</v>
      </c>
      <c r="K1124" s="1" t="s">
        <v>22585</v>
      </c>
      <c r="L1124" s="1" t="s">
        <v>22586</v>
      </c>
      <c r="M1124" s="1" t="s">
        <v>22587</v>
      </c>
      <c r="N1124" s="1" t="s">
        <v>132</v>
      </c>
      <c r="O1124" s="1" t="s">
        <v>22588</v>
      </c>
      <c r="P1124" s="1" t="s">
        <v>22589</v>
      </c>
      <c r="Q1124" s="1" t="s">
        <v>132</v>
      </c>
      <c r="R1124" s="1" t="s">
        <v>22590</v>
      </c>
      <c r="S1124" s="1" t="s">
        <v>22591</v>
      </c>
      <c r="T1124" s="8" t="s">
        <v>22592</v>
      </c>
      <c r="U1124" s="1" t="s">
        <v>22579</v>
      </c>
      <c r="V1124" s="1" t="s">
        <v>22593</v>
      </c>
      <c r="W1124" s="1" t="s">
        <v>22590</v>
      </c>
      <c r="X1124" s="1" t="s">
        <v>22594</v>
      </c>
      <c r="Y1124" s="1" t="s">
        <v>22583</v>
      </c>
      <c r="Z1124" s="1" t="s">
        <v>22595</v>
      </c>
      <c r="AA1124" s="1" t="s">
        <v>22596</v>
      </c>
      <c r="AB1124" s="1" t="s">
        <v>22597</v>
      </c>
      <c r="AC1124" s="1" t="s">
        <v>22598</v>
      </c>
      <c r="AD1124" s="1" t="s">
        <v>22599</v>
      </c>
      <c r="AE1124" s="1" t="s">
        <v>22600</v>
      </c>
      <c r="AF1124" s="1" t="s">
        <v>22601</v>
      </c>
      <c r="AG1124" s="1" t="s">
        <v>22602</v>
      </c>
      <c r="AH1124" s="1" t="s">
        <v>22603</v>
      </c>
      <c r="AI1124" s="1" t="s">
        <v>22604</v>
      </c>
      <c r="AJ1124" s="1" t="s">
        <v>132</v>
      </c>
      <c r="AK1124" s="1" t="s">
        <v>22605</v>
      </c>
      <c r="AL1124" s="1" t="s">
        <v>22606</v>
      </c>
      <c r="AM1124" s="1" t="s">
        <v>132</v>
      </c>
      <c r="AN1124" s="1" t="s">
        <v>132</v>
      </c>
    </row>
    <row r="1125" ht="15.75" customHeight="1">
      <c r="A1125" s="1" t="s">
        <v>38</v>
      </c>
      <c r="B1125" s="1" t="s">
        <v>22607</v>
      </c>
      <c r="C1125" s="1" t="s">
        <v>22608</v>
      </c>
      <c r="D1125" s="8" t="s">
        <v>22609</v>
      </c>
      <c r="E1125" s="1" t="s">
        <v>22610</v>
      </c>
      <c r="F1125" s="1" t="s">
        <v>22611</v>
      </c>
      <c r="G1125" s="1" t="s">
        <v>132</v>
      </c>
      <c r="H1125" s="1" t="s">
        <v>132</v>
      </c>
      <c r="I1125" s="1" t="s">
        <v>22612</v>
      </c>
      <c r="J1125" s="1" t="s">
        <v>132</v>
      </c>
      <c r="K1125" s="1" t="s">
        <v>22613</v>
      </c>
      <c r="L1125" s="1" t="s">
        <v>132</v>
      </c>
      <c r="M1125" s="1" t="s">
        <v>22614</v>
      </c>
      <c r="N1125" s="1" t="s">
        <v>22615</v>
      </c>
      <c r="O1125" s="1" t="s">
        <v>132</v>
      </c>
      <c r="P1125" s="1" t="s">
        <v>22616</v>
      </c>
      <c r="Q1125" s="1" t="s">
        <v>22617</v>
      </c>
      <c r="R1125" s="1" t="s">
        <v>132</v>
      </c>
      <c r="S1125" s="1" t="s">
        <v>22618</v>
      </c>
      <c r="T1125" s="1" t="s">
        <v>132</v>
      </c>
      <c r="U1125" s="1" t="s">
        <v>22619</v>
      </c>
      <c r="V1125" s="1" t="s">
        <v>22620</v>
      </c>
      <c r="W1125" s="1" t="s">
        <v>132</v>
      </c>
      <c r="X1125" s="1" t="s">
        <v>22621</v>
      </c>
      <c r="Y1125" s="1" t="s">
        <v>132</v>
      </c>
      <c r="Z1125" s="1" t="s">
        <v>22622</v>
      </c>
      <c r="AA1125" s="1" t="s">
        <v>22623</v>
      </c>
      <c r="AB1125" s="1" t="s">
        <v>132</v>
      </c>
      <c r="AC1125" s="1" t="s">
        <v>22624</v>
      </c>
      <c r="AD1125" s="1" t="s">
        <v>22625</v>
      </c>
      <c r="AE1125" s="1" t="s">
        <v>132</v>
      </c>
      <c r="AF1125" s="1" t="s">
        <v>22626</v>
      </c>
      <c r="AG1125" s="1" t="s">
        <v>22627</v>
      </c>
      <c r="AH1125" s="1" t="s">
        <v>132</v>
      </c>
      <c r="AI1125" s="1" t="s">
        <v>132</v>
      </c>
      <c r="AJ1125" s="1" t="s">
        <v>22628</v>
      </c>
      <c r="AK1125" s="1" t="s">
        <v>22629</v>
      </c>
      <c r="AL1125" s="1" t="s">
        <v>132</v>
      </c>
      <c r="AM1125" s="1" t="s">
        <v>22630</v>
      </c>
      <c r="AN1125" s="1" t="s">
        <v>22630</v>
      </c>
    </row>
    <row r="1126" ht="15.75" customHeight="1">
      <c r="A1126" s="1" t="s">
        <v>38</v>
      </c>
      <c r="B1126" s="1" t="s">
        <v>22631</v>
      </c>
      <c r="C1126" s="1" t="s">
        <v>22632</v>
      </c>
      <c r="D1126" s="1" t="s">
        <v>132</v>
      </c>
      <c r="E1126" s="1" t="s">
        <v>22633</v>
      </c>
      <c r="F1126" s="1" t="s">
        <v>22634</v>
      </c>
      <c r="G1126" s="1" t="s">
        <v>132</v>
      </c>
      <c r="H1126" s="1" t="s">
        <v>132</v>
      </c>
      <c r="I1126" s="1" t="s">
        <v>22635</v>
      </c>
      <c r="J1126" s="1" t="s">
        <v>132</v>
      </c>
      <c r="K1126" s="1" t="s">
        <v>22636</v>
      </c>
      <c r="L1126" s="1" t="s">
        <v>132</v>
      </c>
      <c r="M1126" s="1" t="s">
        <v>22637</v>
      </c>
      <c r="N1126" s="1" t="s">
        <v>22638</v>
      </c>
      <c r="O1126" s="1" t="s">
        <v>132</v>
      </c>
      <c r="P1126" s="1" t="s">
        <v>22639</v>
      </c>
      <c r="Q1126" s="1" t="s">
        <v>132</v>
      </c>
      <c r="R1126" s="1" t="s">
        <v>132</v>
      </c>
      <c r="S1126" s="1" t="s">
        <v>22640</v>
      </c>
      <c r="T1126" s="1" t="s">
        <v>132</v>
      </c>
      <c r="U1126" s="1" t="s">
        <v>22641</v>
      </c>
      <c r="V1126" s="1" t="s">
        <v>22642</v>
      </c>
      <c r="W1126" s="1" t="s">
        <v>132</v>
      </c>
      <c r="X1126" s="1" t="s">
        <v>22643</v>
      </c>
      <c r="Y1126" s="1" t="s">
        <v>132</v>
      </c>
      <c r="Z1126" s="1" t="s">
        <v>22644</v>
      </c>
      <c r="AA1126" s="1" t="s">
        <v>132</v>
      </c>
      <c r="AB1126" s="1" t="s">
        <v>132</v>
      </c>
      <c r="AC1126" s="1" t="s">
        <v>22645</v>
      </c>
      <c r="AD1126" s="1" t="s">
        <v>132</v>
      </c>
      <c r="AE1126" s="1" t="s">
        <v>132</v>
      </c>
      <c r="AF1126" s="1" t="s">
        <v>132</v>
      </c>
      <c r="AG1126" s="1" t="s">
        <v>22646</v>
      </c>
      <c r="AH1126" s="1" t="s">
        <v>132</v>
      </c>
      <c r="AI1126" s="1" t="s">
        <v>132</v>
      </c>
      <c r="AJ1126" s="1" t="s">
        <v>22647</v>
      </c>
      <c r="AK1126" s="1" t="s">
        <v>132</v>
      </c>
      <c r="AL1126" s="1" t="s">
        <v>132</v>
      </c>
      <c r="AM1126" s="1" t="s">
        <v>22648</v>
      </c>
      <c r="AN1126" s="1" t="s">
        <v>22648</v>
      </c>
    </row>
    <row r="1127" ht="15.75" customHeight="1">
      <c r="A1127" s="1" t="s">
        <v>127</v>
      </c>
      <c r="B1127" s="1" t="s">
        <v>22649</v>
      </c>
      <c r="C1127" s="1" t="s">
        <v>22650</v>
      </c>
      <c r="D1127" s="8" t="s">
        <v>22651</v>
      </c>
      <c r="E1127" s="1" t="s">
        <v>22652</v>
      </c>
      <c r="F1127" s="1" t="s">
        <v>132</v>
      </c>
      <c r="G1127" s="1" t="s">
        <v>22653</v>
      </c>
      <c r="H1127" s="1" t="s">
        <v>22654</v>
      </c>
      <c r="I1127" s="1" t="s">
        <v>22655</v>
      </c>
      <c r="J1127" s="1" t="s">
        <v>22656</v>
      </c>
      <c r="K1127" s="1" t="s">
        <v>22657</v>
      </c>
      <c r="L1127" s="1" t="s">
        <v>22658</v>
      </c>
      <c r="M1127" s="1" t="s">
        <v>22659</v>
      </c>
      <c r="N1127" s="1" t="s">
        <v>132</v>
      </c>
      <c r="O1127" s="1" t="s">
        <v>22660</v>
      </c>
      <c r="P1127" s="1" t="s">
        <v>22661</v>
      </c>
      <c r="Q1127" s="1" t="s">
        <v>132</v>
      </c>
      <c r="R1127" s="1" t="s">
        <v>22662</v>
      </c>
      <c r="S1127" s="1" t="s">
        <v>22663</v>
      </c>
      <c r="T1127" s="8" t="s">
        <v>22664</v>
      </c>
      <c r="U1127" s="1" t="s">
        <v>22665</v>
      </c>
      <c r="V1127" s="1" t="s">
        <v>22666</v>
      </c>
      <c r="W1127" s="1" t="s">
        <v>22662</v>
      </c>
      <c r="X1127" s="1" t="s">
        <v>22667</v>
      </c>
      <c r="Y1127" s="1" t="s">
        <v>22668</v>
      </c>
      <c r="Z1127" s="1" t="s">
        <v>22669</v>
      </c>
      <c r="AA1127" s="1" t="s">
        <v>22670</v>
      </c>
      <c r="AB1127" s="1" t="s">
        <v>22671</v>
      </c>
      <c r="AC1127" s="1" t="s">
        <v>22672</v>
      </c>
      <c r="AD1127" s="1" t="s">
        <v>22673</v>
      </c>
      <c r="AE1127" s="1" t="s">
        <v>22674</v>
      </c>
      <c r="AF1127" s="1" t="s">
        <v>22675</v>
      </c>
      <c r="AG1127" s="1" t="s">
        <v>22654</v>
      </c>
      <c r="AH1127" s="1" t="s">
        <v>22676</v>
      </c>
      <c r="AI1127" s="1" t="s">
        <v>22677</v>
      </c>
      <c r="AJ1127" s="1" t="s">
        <v>132</v>
      </c>
      <c r="AK1127" s="1" t="s">
        <v>22678</v>
      </c>
      <c r="AL1127" s="1" t="s">
        <v>22679</v>
      </c>
      <c r="AM1127" s="1" t="s">
        <v>22680</v>
      </c>
      <c r="AN1127" s="1" t="s">
        <v>22680</v>
      </c>
    </row>
    <row r="1128" ht="15.75" customHeight="1">
      <c r="A1128" s="1" t="s">
        <v>127</v>
      </c>
      <c r="B1128" s="1" t="s">
        <v>22681</v>
      </c>
      <c r="C1128" s="1" t="s">
        <v>22682</v>
      </c>
      <c r="D1128" s="8" t="s">
        <v>22683</v>
      </c>
      <c r="E1128" s="1" t="s">
        <v>22684</v>
      </c>
      <c r="F1128" s="1" t="s">
        <v>132</v>
      </c>
      <c r="G1128" s="1" t="s">
        <v>22685</v>
      </c>
      <c r="H1128" s="1" t="s">
        <v>22686</v>
      </c>
      <c r="I1128" s="1" t="s">
        <v>22682</v>
      </c>
      <c r="J1128" s="1" t="s">
        <v>22687</v>
      </c>
      <c r="K1128" s="1" t="s">
        <v>22684</v>
      </c>
      <c r="L1128" s="1" t="s">
        <v>22688</v>
      </c>
      <c r="M1128" s="1" t="s">
        <v>22684</v>
      </c>
      <c r="N1128" s="1" t="s">
        <v>132</v>
      </c>
      <c r="O1128" s="1" t="s">
        <v>22689</v>
      </c>
      <c r="P1128" s="1" t="s">
        <v>22684</v>
      </c>
      <c r="Q1128" s="1" t="s">
        <v>132</v>
      </c>
      <c r="R1128" s="1" t="s">
        <v>22690</v>
      </c>
      <c r="S1128" s="1" t="s">
        <v>22684</v>
      </c>
      <c r="T1128" s="8" t="s">
        <v>22691</v>
      </c>
      <c r="U1128" s="1" t="s">
        <v>22692</v>
      </c>
      <c r="V1128" s="1" t="s">
        <v>22693</v>
      </c>
      <c r="W1128" s="1" t="s">
        <v>22690</v>
      </c>
      <c r="X1128" s="1" t="s">
        <v>22684</v>
      </c>
      <c r="Y1128" s="1" t="s">
        <v>22686</v>
      </c>
      <c r="Z1128" s="1" t="s">
        <v>22684</v>
      </c>
      <c r="AA1128" s="1" t="s">
        <v>22684</v>
      </c>
      <c r="AB1128" s="1" t="s">
        <v>22694</v>
      </c>
      <c r="AC1128" s="1" t="s">
        <v>22695</v>
      </c>
      <c r="AD1128" s="1" t="s">
        <v>22696</v>
      </c>
      <c r="AE1128" s="1" t="s">
        <v>22684</v>
      </c>
      <c r="AF1128" s="1" t="s">
        <v>22684</v>
      </c>
      <c r="AG1128" s="1" t="s">
        <v>22686</v>
      </c>
      <c r="AH1128" s="1" t="s">
        <v>22697</v>
      </c>
      <c r="AI1128" s="1" t="s">
        <v>22698</v>
      </c>
      <c r="AJ1128" s="1" t="s">
        <v>132</v>
      </c>
      <c r="AK1128" s="1" t="s">
        <v>22699</v>
      </c>
      <c r="AL1128" s="1" t="s">
        <v>22700</v>
      </c>
      <c r="AM1128" s="1" t="s">
        <v>22701</v>
      </c>
      <c r="AN1128" s="1" t="s">
        <v>22701</v>
      </c>
    </row>
    <row r="1129" ht="15.75" customHeight="1">
      <c r="A1129" s="1" t="s">
        <v>38</v>
      </c>
      <c r="B1129" s="1" t="s">
        <v>22702</v>
      </c>
      <c r="C1129" s="1" t="s">
        <v>22703</v>
      </c>
      <c r="D1129" s="1" t="s">
        <v>132</v>
      </c>
      <c r="E1129" s="1" t="s">
        <v>22704</v>
      </c>
      <c r="F1129" s="1" t="s">
        <v>22705</v>
      </c>
      <c r="G1129" s="1" t="s">
        <v>132</v>
      </c>
      <c r="H1129" s="1" t="s">
        <v>132</v>
      </c>
      <c r="I1129" s="1" t="s">
        <v>22706</v>
      </c>
      <c r="J1129" s="1" t="s">
        <v>132</v>
      </c>
      <c r="K1129" s="1" t="s">
        <v>22707</v>
      </c>
      <c r="L1129" s="1" t="s">
        <v>132</v>
      </c>
      <c r="M1129" s="1" t="s">
        <v>22708</v>
      </c>
      <c r="N1129" s="1" t="s">
        <v>22709</v>
      </c>
      <c r="O1129" s="1" t="s">
        <v>132</v>
      </c>
      <c r="P1129" s="1" t="s">
        <v>22710</v>
      </c>
      <c r="Q1129" s="1" t="s">
        <v>132</v>
      </c>
      <c r="R1129" s="1" t="s">
        <v>132</v>
      </c>
      <c r="S1129" s="1" t="s">
        <v>22711</v>
      </c>
      <c r="T1129" s="1" t="s">
        <v>132</v>
      </c>
      <c r="U1129" s="1" t="s">
        <v>22712</v>
      </c>
      <c r="V1129" s="1" t="s">
        <v>132</v>
      </c>
      <c r="W1129" s="1" t="s">
        <v>132</v>
      </c>
      <c r="X1129" s="1" t="s">
        <v>22713</v>
      </c>
      <c r="Y1129" s="1" t="s">
        <v>132</v>
      </c>
      <c r="Z1129" s="1" t="s">
        <v>22714</v>
      </c>
      <c r="AA1129" s="1" t="s">
        <v>132</v>
      </c>
      <c r="AB1129" s="1" t="s">
        <v>132</v>
      </c>
      <c r="AC1129" s="1" t="s">
        <v>132</v>
      </c>
      <c r="AD1129" s="1" t="s">
        <v>132</v>
      </c>
      <c r="AE1129" s="1" t="s">
        <v>132</v>
      </c>
      <c r="AF1129" s="1" t="s">
        <v>132</v>
      </c>
      <c r="AG1129" s="1" t="s">
        <v>132</v>
      </c>
      <c r="AH1129" s="1" t="s">
        <v>132</v>
      </c>
      <c r="AI1129" s="1" t="s">
        <v>132</v>
      </c>
      <c r="AJ1129" s="1" t="s">
        <v>132</v>
      </c>
      <c r="AK1129" s="1" t="s">
        <v>132</v>
      </c>
      <c r="AL1129" s="1" t="s">
        <v>132</v>
      </c>
      <c r="AM1129" s="1" t="s">
        <v>132</v>
      </c>
      <c r="AN1129" s="1" t="s">
        <v>132</v>
      </c>
    </row>
    <row r="1130" ht="15.75" customHeight="1">
      <c r="A1130" s="1" t="s">
        <v>127</v>
      </c>
      <c r="B1130" s="1" t="s">
        <v>22715</v>
      </c>
      <c r="C1130" s="1" t="s">
        <v>22716</v>
      </c>
      <c r="D1130" s="8" t="s">
        <v>22717</v>
      </c>
      <c r="E1130" s="1" t="s">
        <v>22718</v>
      </c>
      <c r="F1130" s="1" t="s">
        <v>132</v>
      </c>
      <c r="G1130" s="1" t="s">
        <v>22719</v>
      </c>
      <c r="H1130" s="1" t="s">
        <v>22720</v>
      </c>
      <c r="I1130" s="1" t="s">
        <v>22721</v>
      </c>
      <c r="J1130" s="1" t="s">
        <v>22722</v>
      </c>
      <c r="K1130" s="1" t="s">
        <v>22723</v>
      </c>
      <c r="L1130" s="1" t="s">
        <v>22724</v>
      </c>
      <c r="M1130" s="1" t="s">
        <v>22725</v>
      </c>
      <c r="N1130" s="1" t="s">
        <v>132</v>
      </c>
      <c r="O1130" s="1" t="s">
        <v>22726</v>
      </c>
      <c r="P1130" s="1" t="s">
        <v>22727</v>
      </c>
      <c r="Q1130" s="1" t="s">
        <v>132</v>
      </c>
      <c r="R1130" s="1" t="s">
        <v>22728</v>
      </c>
      <c r="S1130" s="1" t="s">
        <v>22729</v>
      </c>
      <c r="T1130" s="8" t="s">
        <v>22730</v>
      </c>
      <c r="U1130" s="1" t="s">
        <v>22731</v>
      </c>
      <c r="V1130" s="1" t="s">
        <v>22732</v>
      </c>
      <c r="W1130" s="1" t="s">
        <v>22728</v>
      </c>
      <c r="X1130" s="1" t="s">
        <v>22733</v>
      </c>
      <c r="Y1130" s="1" t="s">
        <v>22734</v>
      </c>
      <c r="Z1130" s="1" t="s">
        <v>22735</v>
      </c>
      <c r="AA1130" s="1" t="s">
        <v>22723</v>
      </c>
      <c r="AB1130" s="1" t="s">
        <v>22736</v>
      </c>
      <c r="AC1130" s="1" t="s">
        <v>22737</v>
      </c>
      <c r="AD1130" s="1" t="s">
        <v>22738</v>
      </c>
      <c r="AE1130" s="1" t="s">
        <v>22739</v>
      </c>
      <c r="AF1130" s="1" t="s">
        <v>22740</v>
      </c>
      <c r="AG1130" s="1" t="s">
        <v>22741</v>
      </c>
      <c r="AH1130" s="1" t="s">
        <v>22742</v>
      </c>
      <c r="AI1130" s="1" t="s">
        <v>22743</v>
      </c>
      <c r="AJ1130" s="1" t="s">
        <v>132</v>
      </c>
      <c r="AK1130" s="1" t="s">
        <v>22744</v>
      </c>
      <c r="AL1130" s="1" t="s">
        <v>22745</v>
      </c>
      <c r="AM1130" s="1" t="s">
        <v>22746</v>
      </c>
      <c r="AN1130" s="1" t="s">
        <v>22746</v>
      </c>
    </row>
    <row r="1131" ht="15.75" customHeight="1">
      <c r="A1131" s="1" t="s">
        <v>38</v>
      </c>
      <c r="B1131" s="1" t="s">
        <v>22747</v>
      </c>
      <c r="C1131" s="1" t="s">
        <v>22748</v>
      </c>
      <c r="D1131" s="8" t="s">
        <v>22749</v>
      </c>
      <c r="E1131" s="1" t="s">
        <v>22750</v>
      </c>
      <c r="F1131" s="1" t="s">
        <v>22751</v>
      </c>
      <c r="G1131" s="1" t="s">
        <v>132</v>
      </c>
      <c r="H1131" s="1" t="s">
        <v>132</v>
      </c>
      <c r="I1131" s="1" t="s">
        <v>22752</v>
      </c>
      <c r="J1131" s="1" t="s">
        <v>132</v>
      </c>
      <c r="K1131" s="1" t="s">
        <v>22753</v>
      </c>
      <c r="L1131" s="1" t="s">
        <v>132</v>
      </c>
      <c r="M1131" s="1" t="s">
        <v>22754</v>
      </c>
      <c r="N1131" s="1" t="s">
        <v>22755</v>
      </c>
      <c r="O1131" s="1" t="s">
        <v>132</v>
      </c>
      <c r="P1131" s="1" t="s">
        <v>22756</v>
      </c>
      <c r="Q1131" s="1" t="s">
        <v>22757</v>
      </c>
      <c r="R1131" s="1" t="s">
        <v>132</v>
      </c>
      <c r="S1131" s="1" t="s">
        <v>22758</v>
      </c>
      <c r="T1131" s="1" t="s">
        <v>132</v>
      </c>
      <c r="U1131" s="1" t="s">
        <v>22759</v>
      </c>
      <c r="V1131" s="1" t="s">
        <v>22760</v>
      </c>
      <c r="W1131" s="1" t="s">
        <v>132</v>
      </c>
      <c r="X1131" s="1" t="s">
        <v>22761</v>
      </c>
      <c r="Y1131" s="1" t="s">
        <v>132</v>
      </c>
      <c r="Z1131" s="1" t="s">
        <v>22762</v>
      </c>
      <c r="AA1131" s="1" t="s">
        <v>22763</v>
      </c>
      <c r="AB1131" s="1" t="s">
        <v>132</v>
      </c>
      <c r="AC1131" s="1" t="s">
        <v>22764</v>
      </c>
      <c r="AD1131" s="1" t="s">
        <v>22765</v>
      </c>
      <c r="AE1131" s="1" t="s">
        <v>132</v>
      </c>
      <c r="AF1131" s="1" t="s">
        <v>22766</v>
      </c>
      <c r="AG1131" s="1" t="s">
        <v>22767</v>
      </c>
      <c r="AH1131" s="1" t="s">
        <v>132</v>
      </c>
      <c r="AI1131" s="1" t="s">
        <v>132</v>
      </c>
      <c r="AJ1131" s="1" t="s">
        <v>22768</v>
      </c>
      <c r="AK1131" s="1" t="s">
        <v>22769</v>
      </c>
      <c r="AL1131" s="1" t="s">
        <v>132</v>
      </c>
      <c r="AM1131" s="1" t="s">
        <v>22770</v>
      </c>
      <c r="AN1131" s="1" t="s">
        <v>22770</v>
      </c>
    </row>
    <row r="1132" ht="15.75" customHeight="1">
      <c r="A1132" s="1" t="s">
        <v>38</v>
      </c>
      <c r="B1132" s="1" t="s">
        <v>22771</v>
      </c>
      <c r="C1132" s="1" t="s">
        <v>22772</v>
      </c>
      <c r="D1132" s="1" t="s">
        <v>132</v>
      </c>
      <c r="E1132" s="1" t="s">
        <v>132</v>
      </c>
      <c r="F1132" s="1" t="s">
        <v>132</v>
      </c>
      <c r="G1132" s="1" t="s">
        <v>132</v>
      </c>
      <c r="H1132" s="1" t="s">
        <v>132</v>
      </c>
      <c r="I1132" s="1" t="s">
        <v>22772</v>
      </c>
      <c r="J1132" s="1" t="s">
        <v>132</v>
      </c>
      <c r="K1132" s="1" t="s">
        <v>22772</v>
      </c>
      <c r="L1132" s="1" t="s">
        <v>132</v>
      </c>
      <c r="M1132" s="1" t="s">
        <v>22773</v>
      </c>
      <c r="N1132" s="1" t="s">
        <v>132</v>
      </c>
      <c r="O1132" s="1" t="s">
        <v>132</v>
      </c>
      <c r="P1132" s="1" t="s">
        <v>22772</v>
      </c>
      <c r="Q1132" s="1" t="s">
        <v>132</v>
      </c>
      <c r="R1132" s="1" t="s">
        <v>132</v>
      </c>
      <c r="S1132" s="1" t="s">
        <v>132</v>
      </c>
      <c r="T1132" s="1" t="s">
        <v>132</v>
      </c>
      <c r="U1132" s="1" t="s">
        <v>132</v>
      </c>
      <c r="V1132" s="1" t="s">
        <v>132</v>
      </c>
      <c r="W1132" s="1" t="s">
        <v>132</v>
      </c>
      <c r="X1132" s="1" t="s">
        <v>132</v>
      </c>
      <c r="Y1132" s="1" t="s">
        <v>132</v>
      </c>
      <c r="Z1132" s="1" t="s">
        <v>132</v>
      </c>
      <c r="AA1132" s="1" t="s">
        <v>132</v>
      </c>
      <c r="AB1132" s="1" t="s">
        <v>132</v>
      </c>
      <c r="AC1132" s="1" t="s">
        <v>22774</v>
      </c>
      <c r="AD1132" s="1" t="s">
        <v>132</v>
      </c>
      <c r="AE1132" s="1" t="s">
        <v>132</v>
      </c>
      <c r="AF1132" s="1" t="s">
        <v>22775</v>
      </c>
      <c r="AG1132" s="1" t="s">
        <v>132</v>
      </c>
      <c r="AH1132" s="1" t="s">
        <v>132</v>
      </c>
      <c r="AI1132" s="1" t="s">
        <v>132</v>
      </c>
      <c r="AJ1132" s="1" t="s">
        <v>132</v>
      </c>
      <c r="AK1132" s="1" t="s">
        <v>132</v>
      </c>
      <c r="AL1132" s="1" t="s">
        <v>132</v>
      </c>
      <c r="AM1132" s="1" t="s">
        <v>132</v>
      </c>
      <c r="AN1132" s="1" t="s">
        <v>132</v>
      </c>
    </row>
    <row r="1133" ht="15.75" customHeight="1">
      <c r="A1133" s="1" t="s">
        <v>38</v>
      </c>
      <c r="B1133" s="1" t="s">
        <v>22776</v>
      </c>
      <c r="C1133" s="1" t="s">
        <v>22777</v>
      </c>
      <c r="D1133" s="8" t="s">
        <v>22778</v>
      </c>
      <c r="E1133" s="1" t="s">
        <v>22779</v>
      </c>
      <c r="F1133" s="1" t="s">
        <v>22780</v>
      </c>
      <c r="G1133" s="1" t="s">
        <v>132</v>
      </c>
      <c r="H1133" s="1" t="s">
        <v>132</v>
      </c>
      <c r="I1133" s="1" t="s">
        <v>22781</v>
      </c>
      <c r="J1133" s="1" t="s">
        <v>132</v>
      </c>
      <c r="K1133" s="1" t="s">
        <v>22782</v>
      </c>
      <c r="L1133" s="1" t="s">
        <v>132</v>
      </c>
      <c r="M1133" s="1" t="s">
        <v>22783</v>
      </c>
      <c r="N1133" s="1" t="s">
        <v>22784</v>
      </c>
      <c r="O1133" s="1" t="s">
        <v>132</v>
      </c>
      <c r="P1133" s="1" t="s">
        <v>22785</v>
      </c>
      <c r="Q1133" s="1" t="s">
        <v>22786</v>
      </c>
      <c r="R1133" s="1" t="s">
        <v>132</v>
      </c>
      <c r="S1133" s="1" t="s">
        <v>22787</v>
      </c>
      <c r="T1133" s="1" t="s">
        <v>132</v>
      </c>
      <c r="U1133" s="1" t="s">
        <v>22788</v>
      </c>
      <c r="V1133" s="1" t="s">
        <v>22789</v>
      </c>
      <c r="W1133" s="1" t="s">
        <v>132</v>
      </c>
      <c r="X1133" s="1" t="s">
        <v>22790</v>
      </c>
      <c r="Y1133" s="1" t="s">
        <v>132</v>
      </c>
      <c r="Z1133" s="1" t="s">
        <v>22791</v>
      </c>
      <c r="AA1133" s="1" t="s">
        <v>22792</v>
      </c>
      <c r="AB1133" s="1" t="s">
        <v>132</v>
      </c>
      <c r="AC1133" s="1" t="s">
        <v>22793</v>
      </c>
      <c r="AD1133" s="1" t="s">
        <v>132</v>
      </c>
      <c r="AE1133" s="1" t="s">
        <v>132</v>
      </c>
      <c r="AF1133" s="1" t="s">
        <v>22794</v>
      </c>
      <c r="AG1133" s="1" t="s">
        <v>22795</v>
      </c>
      <c r="AH1133" s="1" t="s">
        <v>132</v>
      </c>
      <c r="AI1133" s="1" t="s">
        <v>132</v>
      </c>
      <c r="AJ1133" s="1" t="s">
        <v>22796</v>
      </c>
      <c r="AK1133" s="1" t="s">
        <v>22797</v>
      </c>
      <c r="AL1133" s="1" t="s">
        <v>132</v>
      </c>
      <c r="AM1133" s="1" t="s">
        <v>22798</v>
      </c>
      <c r="AN1133" s="1" t="s">
        <v>22798</v>
      </c>
    </row>
    <row r="1134" ht="15.75" customHeight="1">
      <c r="A1134" s="1" t="s">
        <v>127</v>
      </c>
      <c r="B1134" s="1" t="s">
        <v>22799</v>
      </c>
      <c r="C1134" s="1" t="s">
        <v>22800</v>
      </c>
      <c r="D1134" s="8" t="s">
        <v>22801</v>
      </c>
      <c r="E1134" s="1" t="s">
        <v>22802</v>
      </c>
      <c r="F1134" s="1" t="s">
        <v>132</v>
      </c>
      <c r="G1134" s="1" t="s">
        <v>22803</v>
      </c>
      <c r="H1134" s="1" t="s">
        <v>22804</v>
      </c>
      <c r="I1134" s="1" t="s">
        <v>22805</v>
      </c>
      <c r="J1134" s="1" t="s">
        <v>22806</v>
      </c>
      <c r="K1134" s="1" t="s">
        <v>22807</v>
      </c>
      <c r="L1134" s="1" t="s">
        <v>22808</v>
      </c>
      <c r="M1134" s="1" t="s">
        <v>22809</v>
      </c>
      <c r="N1134" s="1" t="s">
        <v>132</v>
      </c>
      <c r="O1134" s="1" t="s">
        <v>22810</v>
      </c>
      <c r="P1134" s="1" t="s">
        <v>22811</v>
      </c>
      <c r="Q1134" s="1" t="s">
        <v>132</v>
      </c>
      <c r="R1134" s="1" t="s">
        <v>22812</v>
      </c>
      <c r="S1134" s="1" t="s">
        <v>22813</v>
      </c>
      <c r="T1134" s="8" t="s">
        <v>22814</v>
      </c>
      <c r="U1134" s="1" t="s">
        <v>6690</v>
      </c>
      <c r="V1134" s="1" t="s">
        <v>22815</v>
      </c>
      <c r="W1134" s="1" t="s">
        <v>22816</v>
      </c>
      <c r="X1134" s="1" t="s">
        <v>22817</v>
      </c>
      <c r="Y1134" s="1" t="s">
        <v>22818</v>
      </c>
      <c r="Z1134" s="1" t="s">
        <v>22819</v>
      </c>
      <c r="AA1134" s="1" t="s">
        <v>22807</v>
      </c>
      <c r="AB1134" s="1" t="s">
        <v>22820</v>
      </c>
      <c r="AC1134" s="1" t="s">
        <v>22821</v>
      </c>
      <c r="AD1134" s="1" t="s">
        <v>22822</v>
      </c>
      <c r="AE1134" s="1" t="s">
        <v>22823</v>
      </c>
      <c r="AF1134" s="1" t="s">
        <v>22824</v>
      </c>
      <c r="AG1134" s="1" t="s">
        <v>22825</v>
      </c>
      <c r="AH1134" s="1" t="s">
        <v>22826</v>
      </c>
      <c r="AI1134" s="1" t="s">
        <v>22827</v>
      </c>
      <c r="AJ1134" s="1" t="s">
        <v>132</v>
      </c>
      <c r="AK1134" s="1" t="s">
        <v>22828</v>
      </c>
      <c r="AL1134" s="1" t="s">
        <v>6690</v>
      </c>
      <c r="AM1134" s="1" t="s">
        <v>132</v>
      </c>
      <c r="AN1134" s="1" t="s">
        <v>132</v>
      </c>
    </row>
    <row r="1135" ht="15.75" customHeight="1">
      <c r="A1135" s="1" t="s">
        <v>38</v>
      </c>
      <c r="B1135" s="1" t="s">
        <v>22829</v>
      </c>
      <c r="C1135" s="1" t="s">
        <v>22830</v>
      </c>
      <c r="D1135" s="8" t="s">
        <v>22831</v>
      </c>
      <c r="E1135" s="1" t="s">
        <v>22832</v>
      </c>
      <c r="F1135" s="1" t="s">
        <v>22833</v>
      </c>
      <c r="G1135" s="1" t="s">
        <v>132</v>
      </c>
      <c r="H1135" s="1" t="s">
        <v>132</v>
      </c>
      <c r="I1135" s="1" t="s">
        <v>22834</v>
      </c>
      <c r="J1135" s="1" t="s">
        <v>132</v>
      </c>
      <c r="K1135" s="1" t="s">
        <v>22835</v>
      </c>
      <c r="L1135" s="1" t="s">
        <v>132</v>
      </c>
      <c r="M1135" s="1" t="s">
        <v>22836</v>
      </c>
      <c r="N1135" s="1" t="s">
        <v>22837</v>
      </c>
      <c r="O1135" s="1" t="s">
        <v>132</v>
      </c>
      <c r="P1135" s="1" t="s">
        <v>22838</v>
      </c>
      <c r="Q1135" s="1" t="s">
        <v>22839</v>
      </c>
      <c r="R1135" s="1" t="s">
        <v>132</v>
      </c>
      <c r="S1135" s="1" t="s">
        <v>13206</v>
      </c>
      <c r="T1135" s="1" t="s">
        <v>132</v>
      </c>
      <c r="U1135" s="1" t="s">
        <v>22840</v>
      </c>
      <c r="V1135" s="1" t="s">
        <v>22841</v>
      </c>
      <c r="W1135" s="1" t="s">
        <v>132</v>
      </c>
      <c r="X1135" s="1" t="s">
        <v>22842</v>
      </c>
      <c r="Y1135" s="1" t="s">
        <v>132</v>
      </c>
      <c r="Z1135" s="1" t="s">
        <v>13210</v>
      </c>
      <c r="AA1135" s="1" t="s">
        <v>22843</v>
      </c>
      <c r="AB1135" s="1" t="s">
        <v>132</v>
      </c>
      <c r="AC1135" s="1" t="s">
        <v>22844</v>
      </c>
      <c r="AD1135" s="1" t="s">
        <v>22845</v>
      </c>
      <c r="AE1135" s="1" t="s">
        <v>132</v>
      </c>
      <c r="AF1135" s="1" t="s">
        <v>22846</v>
      </c>
      <c r="AG1135" s="1" t="s">
        <v>22847</v>
      </c>
      <c r="AH1135" s="1" t="s">
        <v>132</v>
      </c>
      <c r="AI1135" s="1" t="s">
        <v>132</v>
      </c>
      <c r="AJ1135" s="1" t="s">
        <v>22848</v>
      </c>
      <c r="AK1135" s="1" t="s">
        <v>22849</v>
      </c>
      <c r="AL1135" s="1" t="s">
        <v>132</v>
      </c>
      <c r="AM1135" s="1" t="s">
        <v>22850</v>
      </c>
      <c r="AN1135" s="1" t="s">
        <v>22850</v>
      </c>
    </row>
    <row r="1136" ht="15.75" customHeight="1">
      <c r="A1136" s="1" t="s">
        <v>38</v>
      </c>
      <c r="B1136" s="1" t="s">
        <v>22851</v>
      </c>
      <c r="C1136" s="1" t="s">
        <v>22852</v>
      </c>
      <c r="D1136" s="1" t="s">
        <v>132</v>
      </c>
      <c r="E1136" s="1" t="s">
        <v>132</v>
      </c>
      <c r="F1136" s="1" t="s">
        <v>132</v>
      </c>
      <c r="G1136" s="1" t="s">
        <v>132</v>
      </c>
      <c r="H1136" s="1" t="s">
        <v>132</v>
      </c>
      <c r="I1136" s="1" t="s">
        <v>22853</v>
      </c>
      <c r="J1136" s="1" t="s">
        <v>132</v>
      </c>
      <c r="K1136" s="1" t="s">
        <v>22854</v>
      </c>
      <c r="L1136" s="1" t="s">
        <v>132</v>
      </c>
      <c r="M1136" s="1" t="s">
        <v>22855</v>
      </c>
      <c r="N1136" s="1" t="s">
        <v>132</v>
      </c>
      <c r="O1136" s="1" t="s">
        <v>132</v>
      </c>
      <c r="P1136" s="1" t="s">
        <v>22856</v>
      </c>
      <c r="Q1136" s="1" t="s">
        <v>132</v>
      </c>
      <c r="R1136" s="1" t="s">
        <v>132</v>
      </c>
      <c r="S1136" s="1" t="s">
        <v>132</v>
      </c>
      <c r="T1136" s="1" t="s">
        <v>132</v>
      </c>
      <c r="U1136" s="1" t="s">
        <v>132</v>
      </c>
      <c r="V1136" s="1" t="s">
        <v>132</v>
      </c>
      <c r="W1136" s="1" t="s">
        <v>132</v>
      </c>
      <c r="X1136" s="1" t="s">
        <v>132</v>
      </c>
      <c r="Y1136" s="1" t="s">
        <v>132</v>
      </c>
      <c r="Z1136" s="1" t="s">
        <v>132</v>
      </c>
      <c r="AA1136" s="1" t="s">
        <v>132</v>
      </c>
      <c r="AB1136" s="1" t="s">
        <v>132</v>
      </c>
      <c r="AC1136" s="1" t="s">
        <v>22857</v>
      </c>
      <c r="AD1136" s="1" t="s">
        <v>132</v>
      </c>
      <c r="AE1136" s="1" t="s">
        <v>132</v>
      </c>
      <c r="AF1136" s="1" t="s">
        <v>22858</v>
      </c>
      <c r="AG1136" s="1" t="s">
        <v>132</v>
      </c>
      <c r="AH1136" s="1" t="s">
        <v>132</v>
      </c>
      <c r="AI1136" s="1" t="s">
        <v>132</v>
      </c>
      <c r="AJ1136" s="1" t="s">
        <v>132</v>
      </c>
      <c r="AK1136" s="1" t="s">
        <v>132</v>
      </c>
      <c r="AL1136" s="1" t="s">
        <v>132</v>
      </c>
      <c r="AM1136" s="1" t="s">
        <v>132</v>
      </c>
      <c r="AN1136" s="1" t="s">
        <v>132</v>
      </c>
    </row>
    <row r="1137" ht="15.75" customHeight="1">
      <c r="A1137" s="1" t="s">
        <v>127</v>
      </c>
      <c r="B1137" s="1" t="s">
        <v>22859</v>
      </c>
      <c r="C1137" s="1" t="s">
        <v>22860</v>
      </c>
      <c r="D1137" s="8" t="s">
        <v>22861</v>
      </c>
      <c r="E1137" s="1" t="s">
        <v>22862</v>
      </c>
      <c r="F1137" s="1" t="s">
        <v>132</v>
      </c>
      <c r="G1137" s="1" t="s">
        <v>22863</v>
      </c>
      <c r="H1137" s="1" t="s">
        <v>22864</v>
      </c>
      <c r="I1137" s="1" t="s">
        <v>22865</v>
      </c>
      <c r="J1137" s="1" t="s">
        <v>22866</v>
      </c>
      <c r="K1137" s="1" t="s">
        <v>22867</v>
      </c>
      <c r="L1137" s="1" t="s">
        <v>22868</v>
      </c>
      <c r="M1137" s="1" t="s">
        <v>22869</v>
      </c>
      <c r="N1137" s="1" t="s">
        <v>132</v>
      </c>
      <c r="O1137" s="1" t="s">
        <v>22870</v>
      </c>
      <c r="P1137" s="1" t="s">
        <v>22871</v>
      </c>
      <c r="Q1137" s="1" t="s">
        <v>132</v>
      </c>
      <c r="R1137" s="1" t="s">
        <v>22872</v>
      </c>
      <c r="S1137" s="1" t="s">
        <v>22873</v>
      </c>
      <c r="T1137" s="8" t="s">
        <v>22874</v>
      </c>
      <c r="U1137" s="1" t="s">
        <v>22875</v>
      </c>
      <c r="V1137" s="1" t="s">
        <v>22876</v>
      </c>
      <c r="W1137" s="1" t="s">
        <v>22872</v>
      </c>
      <c r="X1137" s="1" t="s">
        <v>22877</v>
      </c>
      <c r="Y1137" s="1" t="s">
        <v>22864</v>
      </c>
      <c r="Z1137" s="1" t="s">
        <v>22878</v>
      </c>
      <c r="AA1137" s="1" t="s">
        <v>22879</v>
      </c>
      <c r="AB1137" s="1" t="s">
        <v>22880</v>
      </c>
      <c r="AC1137" s="1" t="s">
        <v>22881</v>
      </c>
      <c r="AD1137" s="1" t="s">
        <v>22863</v>
      </c>
      <c r="AE1137" s="1" t="s">
        <v>22882</v>
      </c>
      <c r="AF1137" s="1" t="s">
        <v>22871</v>
      </c>
      <c r="AG1137" s="1" t="s">
        <v>22864</v>
      </c>
      <c r="AH1137" s="1" t="s">
        <v>22883</v>
      </c>
      <c r="AI1137" s="1" t="s">
        <v>22884</v>
      </c>
      <c r="AJ1137" s="1" t="s">
        <v>132</v>
      </c>
      <c r="AK1137" s="1" t="s">
        <v>22885</v>
      </c>
      <c r="AL1137" s="1" t="s">
        <v>22886</v>
      </c>
      <c r="AM1137" s="1" t="s">
        <v>132</v>
      </c>
      <c r="AN1137" s="1" t="s">
        <v>132</v>
      </c>
    </row>
    <row r="1138" ht="15.75" customHeight="1">
      <c r="A1138" s="1" t="s">
        <v>38</v>
      </c>
      <c r="B1138" s="1" t="s">
        <v>22887</v>
      </c>
      <c r="C1138" s="1" t="s">
        <v>22888</v>
      </c>
      <c r="D1138" s="1" t="s">
        <v>132</v>
      </c>
      <c r="E1138" s="1" t="s">
        <v>22889</v>
      </c>
      <c r="F1138" s="1" t="s">
        <v>22890</v>
      </c>
      <c r="G1138" s="1" t="s">
        <v>132</v>
      </c>
      <c r="H1138" s="1" t="s">
        <v>132</v>
      </c>
      <c r="I1138" s="1" t="s">
        <v>22891</v>
      </c>
      <c r="J1138" s="1" t="s">
        <v>132</v>
      </c>
      <c r="K1138" s="1" t="s">
        <v>22888</v>
      </c>
      <c r="L1138" s="1" t="s">
        <v>132</v>
      </c>
      <c r="M1138" s="1" t="s">
        <v>22892</v>
      </c>
      <c r="N1138" s="1" t="s">
        <v>22888</v>
      </c>
      <c r="O1138" s="1" t="s">
        <v>132</v>
      </c>
      <c r="P1138" s="1" t="s">
        <v>22893</v>
      </c>
      <c r="Q1138" s="1" t="s">
        <v>132</v>
      </c>
      <c r="R1138" s="1" t="s">
        <v>132</v>
      </c>
      <c r="S1138" s="1" t="s">
        <v>22894</v>
      </c>
      <c r="T1138" s="1" t="s">
        <v>132</v>
      </c>
      <c r="U1138" s="1" t="s">
        <v>22895</v>
      </c>
      <c r="V1138" s="1" t="s">
        <v>132</v>
      </c>
      <c r="W1138" s="1" t="s">
        <v>132</v>
      </c>
      <c r="X1138" s="1" t="s">
        <v>22896</v>
      </c>
      <c r="Y1138" s="1" t="s">
        <v>132</v>
      </c>
      <c r="Z1138" s="1" t="s">
        <v>22897</v>
      </c>
      <c r="AA1138" s="1" t="s">
        <v>132</v>
      </c>
      <c r="AB1138" s="1" t="s">
        <v>132</v>
      </c>
      <c r="AC1138" s="1" t="s">
        <v>132</v>
      </c>
      <c r="AD1138" s="1" t="s">
        <v>132</v>
      </c>
      <c r="AE1138" s="1" t="s">
        <v>132</v>
      </c>
      <c r="AF1138" s="1" t="s">
        <v>132</v>
      </c>
      <c r="AG1138" s="1" t="s">
        <v>132</v>
      </c>
      <c r="AH1138" s="1" t="s">
        <v>132</v>
      </c>
      <c r="AI1138" s="1" t="s">
        <v>132</v>
      </c>
      <c r="AJ1138" s="1" t="s">
        <v>22898</v>
      </c>
      <c r="AK1138" s="1" t="s">
        <v>132</v>
      </c>
      <c r="AL1138" s="1" t="s">
        <v>132</v>
      </c>
      <c r="AM1138" s="1" t="s">
        <v>132</v>
      </c>
      <c r="AN1138" s="1" t="s">
        <v>132</v>
      </c>
    </row>
    <row r="1139" ht="15.75" customHeight="1">
      <c r="A1139" s="1" t="s">
        <v>127</v>
      </c>
      <c r="B1139" s="1" t="s">
        <v>22899</v>
      </c>
      <c r="C1139" s="1" t="s">
        <v>22900</v>
      </c>
      <c r="D1139" s="8" t="s">
        <v>22901</v>
      </c>
      <c r="E1139" s="1" t="s">
        <v>22902</v>
      </c>
      <c r="F1139" s="1" t="s">
        <v>132</v>
      </c>
      <c r="G1139" s="1" t="s">
        <v>22903</v>
      </c>
      <c r="H1139" s="1" t="s">
        <v>22904</v>
      </c>
      <c r="I1139" s="1" t="s">
        <v>22905</v>
      </c>
      <c r="J1139" s="1" t="s">
        <v>22906</v>
      </c>
      <c r="K1139" s="1" t="s">
        <v>22907</v>
      </c>
      <c r="L1139" s="1" t="s">
        <v>22908</v>
      </c>
      <c r="M1139" s="1" t="s">
        <v>22909</v>
      </c>
      <c r="N1139" s="1" t="s">
        <v>132</v>
      </c>
      <c r="O1139" s="1" t="s">
        <v>22910</v>
      </c>
      <c r="P1139" s="1" t="s">
        <v>22911</v>
      </c>
      <c r="Q1139" s="1" t="s">
        <v>132</v>
      </c>
      <c r="R1139" s="1" t="s">
        <v>22912</v>
      </c>
      <c r="S1139" s="1" t="s">
        <v>22913</v>
      </c>
      <c r="T1139" s="8" t="s">
        <v>22914</v>
      </c>
      <c r="U1139" s="1" t="s">
        <v>22915</v>
      </c>
      <c r="V1139" s="1" t="s">
        <v>22916</v>
      </c>
      <c r="W1139" s="1" t="s">
        <v>22912</v>
      </c>
      <c r="X1139" s="1" t="s">
        <v>22917</v>
      </c>
      <c r="Y1139" s="1" t="s">
        <v>22918</v>
      </c>
      <c r="Z1139" s="1" t="s">
        <v>22919</v>
      </c>
      <c r="AA1139" s="1" t="s">
        <v>22907</v>
      </c>
      <c r="AB1139" s="1" t="s">
        <v>22920</v>
      </c>
      <c r="AC1139" s="1" t="s">
        <v>22921</v>
      </c>
      <c r="AD1139" s="1" t="s">
        <v>22922</v>
      </c>
      <c r="AE1139" s="1" t="s">
        <v>22923</v>
      </c>
      <c r="AF1139" s="1" t="s">
        <v>22919</v>
      </c>
      <c r="AG1139" s="1" t="s">
        <v>22924</v>
      </c>
      <c r="AH1139" s="1" t="s">
        <v>22925</v>
      </c>
      <c r="AI1139" s="1" t="s">
        <v>22926</v>
      </c>
      <c r="AJ1139" s="1" t="s">
        <v>132</v>
      </c>
      <c r="AK1139" s="1" t="s">
        <v>22927</v>
      </c>
      <c r="AL1139" s="1" t="s">
        <v>22928</v>
      </c>
      <c r="AM1139" s="1" t="s">
        <v>22929</v>
      </c>
      <c r="AN1139" s="1" t="s">
        <v>22929</v>
      </c>
    </row>
    <row r="1140" ht="15.75" customHeight="1">
      <c r="A1140" s="1" t="s">
        <v>127</v>
      </c>
      <c r="B1140" s="1" t="s">
        <v>22930</v>
      </c>
      <c r="C1140" s="1" t="s">
        <v>22931</v>
      </c>
      <c r="D1140" s="8" t="s">
        <v>22932</v>
      </c>
      <c r="E1140" s="1" t="s">
        <v>22933</v>
      </c>
      <c r="F1140" s="1" t="s">
        <v>132</v>
      </c>
      <c r="G1140" s="1" t="s">
        <v>22934</v>
      </c>
      <c r="H1140" s="1" t="s">
        <v>22935</v>
      </c>
      <c r="I1140" s="1" t="s">
        <v>22936</v>
      </c>
      <c r="J1140" s="1" t="s">
        <v>22937</v>
      </c>
      <c r="K1140" s="1" t="s">
        <v>22938</v>
      </c>
      <c r="L1140" s="1" t="s">
        <v>22939</v>
      </c>
      <c r="M1140" s="1" t="s">
        <v>22940</v>
      </c>
      <c r="N1140" s="1" t="s">
        <v>132</v>
      </c>
      <c r="O1140" s="1" t="s">
        <v>22941</v>
      </c>
      <c r="P1140" s="1" t="s">
        <v>22942</v>
      </c>
      <c r="Q1140" s="1" t="s">
        <v>132</v>
      </c>
      <c r="R1140" s="1" t="s">
        <v>22943</v>
      </c>
      <c r="S1140" s="1" t="s">
        <v>22944</v>
      </c>
      <c r="T1140" s="8" t="s">
        <v>22945</v>
      </c>
      <c r="U1140" s="1" t="s">
        <v>22946</v>
      </c>
      <c r="V1140" s="1" t="s">
        <v>22947</v>
      </c>
      <c r="W1140" s="1" t="s">
        <v>22943</v>
      </c>
      <c r="X1140" s="1" t="s">
        <v>22948</v>
      </c>
      <c r="Y1140" s="1" t="s">
        <v>22931</v>
      </c>
      <c r="Z1140" s="1" t="s">
        <v>22949</v>
      </c>
      <c r="AA1140" s="1" t="s">
        <v>22950</v>
      </c>
      <c r="AB1140" s="1" t="s">
        <v>22951</v>
      </c>
      <c r="AC1140" s="1" t="s">
        <v>22952</v>
      </c>
      <c r="AD1140" s="1" t="s">
        <v>22953</v>
      </c>
      <c r="AE1140" s="1" t="s">
        <v>22954</v>
      </c>
      <c r="AF1140" s="1" t="s">
        <v>22955</v>
      </c>
      <c r="AG1140" s="1" t="s">
        <v>22956</v>
      </c>
      <c r="AH1140" s="1" t="s">
        <v>22957</v>
      </c>
      <c r="AI1140" s="1" t="s">
        <v>22958</v>
      </c>
      <c r="AJ1140" s="1" t="s">
        <v>132</v>
      </c>
      <c r="AK1140" s="1" t="s">
        <v>22959</v>
      </c>
      <c r="AL1140" s="1" t="s">
        <v>22960</v>
      </c>
      <c r="AM1140" s="1" t="s">
        <v>22961</v>
      </c>
      <c r="AN1140" s="1" t="s">
        <v>22961</v>
      </c>
    </row>
    <row r="1141" ht="15.75" customHeight="1">
      <c r="A1141" s="1" t="s">
        <v>127</v>
      </c>
      <c r="B1141" s="1" t="s">
        <v>22962</v>
      </c>
      <c r="C1141" s="1" t="s">
        <v>5555</v>
      </c>
      <c r="D1141" s="8" t="s">
        <v>5556</v>
      </c>
      <c r="E1141" s="1" t="s">
        <v>5557</v>
      </c>
      <c r="F1141" s="1" t="s">
        <v>132</v>
      </c>
      <c r="G1141" s="1" t="s">
        <v>5558</v>
      </c>
      <c r="H1141" s="1" t="s">
        <v>5559</v>
      </c>
      <c r="I1141" s="1" t="s">
        <v>5560</v>
      </c>
      <c r="J1141" s="1" t="s">
        <v>5561</v>
      </c>
      <c r="K1141" s="1" t="s">
        <v>5562</v>
      </c>
      <c r="L1141" s="1" t="s">
        <v>5563</v>
      </c>
      <c r="M1141" s="1" t="s">
        <v>5564</v>
      </c>
      <c r="N1141" s="1" t="s">
        <v>132</v>
      </c>
      <c r="O1141" s="1" t="s">
        <v>5565</v>
      </c>
      <c r="P1141" s="1" t="s">
        <v>5566</v>
      </c>
      <c r="Q1141" s="1" t="s">
        <v>132</v>
      </c>
      <c r="R1141" s="1" t="s">
        <v>5567</v>
      </c>
      <c r="S1141" s="1" t="s">
        <v>5568</v>
      </c>
      <c r="T1141" s="8" t="s">
        <v>5569</v>
      </c>
      <c r="U1141" s="1" t="s">
        <v>5570</v>
      </c>
      <c r="V1141" s="1" t="s">
        <v>5571</v>
      </c>
      <c r="W1141" s="1" t="s">
        <v>5567</v>
      </c>
      <c r="X1141" s="1" t="s">
        <v>5572</v>
      </c>
      <c r="Y1141" s="1" t="s">
        <v>5559</v>
      </c>
      <c r="Z1141" s="1" t="s">
        <v>5573</v>
      </c>
      <c r="AA1141" s="1" t="s">
        <v>5562</v>
      </c>
      <c r="AB1141" s="1" t="s">
        <v>5575</v>
      </c>
      <c r="AC1141" s="1" t="s">
        <v>5576</v>
      </c>
      <c r="AD1141" s="1" t="s">
        <v>5577</v>
      </c>
      <c r="AE1141" s="1" t="s">
        <v>5578</v>
      </c>
      <c r="AF1141" s="1" t="s">
        <v>5578</v>
      </c>
      <c r="AG1141" s="1" t="s">
        <v>5579</v>
      </c>
      <c r="AH1141" s="1" t="s">
        <v>5580</v>
      </c>
      <c r="AI1141" s="1" t="s">
        <v>22963</v>
      </c>
      <c r="AJ1141" s="1" t="s">
        <v>132</v>
      </c>
      <c r="AK1141" s="1" t="s">
        <v>5582</v>
      </c>
      <c r="AL1141" s="1" t="s">
        <v>5583</v>
      </c>
      <c r="AM1141" s="1" t="s">
        <v>5584</v>
      </c>
      <c r="AN1141" s="1" t="s">
        <v>5584</v>
      </c>
    </row>
    <row r="1142" ht="15.75" customHeight="1">
      <c r="A1142" s="1" t="s">
        <v>38</v>
      </c>
      <c r="B1142" s="1" t="s">
        <v>22964</v>
      </c>
      <c r="C1142" s="1" t="s">
        <v>22965</v>
      </c>
      <c r="D1142" s="1" t="s">
        <v>132</v>
      </c>
      <c r="E1142" s="1" t="s">
        <v>22966</v>
      </c>
      <c r="F1142" s="1" t="s">
        <v>132</v>
      </c>
      <c r="G1142" s="1" t="s">
        <v>132</v>
      </c>
      <c r="H1142" s="1" t="s">
        <v>132</v>
      </c>
      <c r="I1142" s="1" t="s">
        <v>22967</v>
      </c>
      <c r="J1142" s="1" t="s">
        <v>132</v>
      </c>
      <c r="K1142" s="1" t="s">
        <v>22968</v>
      </c>
      <c r="L1142" s="1" t="s">
        <v>132</v>
      </c>
      <c r="M1142" s="1" t="s">
        <v>132</v>
      </c>
      <c r="N1142" s="1" t="s">
        <v>22969</v>
      </c>
      <c r="O1142" s="1" t="s">
        <v>132</v>
      </c>
      <c r="P1142" s="1" t="s">
        <v>22970</v>
      </c>
      <c r="Q1142" s="1" t="s">
        <v>132</v>
      </c>
      <c r="R1142" s="1" t="s">
        <v>132</v>
      </c>
      <c r="S1142" s="1" t="s">
        <v>22971</v>
      </c>
      <c r="T1142" s="1" t="s">
        <v>132</v>
      </c>
      <c r="U1142" s="1" t="s">
        <v>132</v>
      </c>
      <c r="V1142" s="1" t="s">
        <v>132</v>
      </c>
      <c r="W1142" s="1" t="s">
        <v>132</v>
      </c>
      <c r="X1142" s="1" t="s">
        <v>22972</v>
      </c>
      <c r="Y1142" s="1" t="s">
        <v>132</v>
      </c>
      <c r="Z1142" s="1" t="s">
        <v>22973</v>
      </c>
      <c r="AA1142" s="1" t="s">
        <v>132</v>
      </c>
      <c r="AB1142" s="1" t="s">
        <v>132</v>
      </c>
      <c r="AC1142" s="1" t="s">
        <v>132</v>
      </c>
      <c r="AD1142" s="1" t="s">
        <v>132</v>
      </c>
      <c r="AE1142" s="1" t="s">
        <v>132</v>
      </c>
      <c r="AF1142" s="1" t="s">
        <v>132</v>
      </c>
      <c r="AG1142" s="1" t="s">
        <v>132</v>
      </c>
      <c r="AH1142" s="1" t="s">
        <v>132</v>
      </c>
      <c r="AI1142" s="1" t="s">
        <v>132</v>
      </c>
      <c r="AJ1142" s="1" t="s">
        <v>132</v>
      </c>
      <c r="AK1142" s="1" t="s">
        <v>132</v>
      </c>
      <c r="AL1142" s="1" t="s">
        <v>132</v>
      </c>
      <c r="AM1142" s="1" t="s">
        <v>132</v>
      </c>
      <c r="AN1142" s="1" t="s">
        <v>132</v>
      </c>
    </row>
    <row r="1143" ht="15.75" customHeight="1">
      <c r="A1143" s="1" t="s">
        <v>127</v>
      </c>
      <c r="B1143" s="1" t="s">
        <v>22974</v>
      </c>
      <c r="C1143" s="1" t="s">
        <v>22975</v>
      </c>
      <c r="D1143" s="8" t="s">
        <v>22976</v>
      </c>
      <c r="E1143" s="1" t="s">
        <v>22977</v>
      </c>
      <c r="F1143" s="1" t="s">
        <v>132</v>
      </c>
      <c r="G1143" s="1" t="s">
        <v>22978</v>
      </c>
      <c r="H1143" s="1" t="s">
        <v>22979</v>
      </c>
      <c r="I1143" s="1" t="s">
        <v>22980</v>
      </c>
      <c r="J1143" s="1" t="s">
        <v>22981</v>
      </c>
      <c r="K1143" s="1" t="s">
        <v>22982</v>
      </c>
      <c r="L1143" s="1" t="s">
        <v>22983</v>
      </c>
      <c r="M1143" s="1" t="s">
        <v>22984</v>
      </c>
      <c r="N1143" s="1" t="s">
        <v>132</v>
      </c>
      <c r="O1143" s="1" t="s">
        <v>22985</v>
      </c>
      <c r="P1143" s="1" t="s">
        <v>22986</v>
      </c>
      <c r="Q1143" s="1" t="s">
        <v>132</v>
      </c>
      <c r="R1143" s="1" t="s">
        <v>22987</v>
      </c>
      <c r="S1143" s="1" t="s">
        <v>22988</v>
      </c>
      <c r="T1143" s="8" t="s">
        <v>22989</v>
      </c>
      <c r="U1143" s="1" t="s">
        <v>22990</v>
      </c>
      <c r="V1143" s="1" t="s">
        <v>22991</v>
      </c>
      <c r="W1143" s="1" t="s">
        <v>22992</v>
      </c>
      <c r="X1143" s="1" t="s">
        <v>22993</v>
      </c>
      <c r="Y1143" s="1" t="s">
        <v>22994</v>
      </c>
      <c r="Z1143" s="1" t="s">
        <v>22995</v>
      </c>
      <c r="AA1143" s="1" t="s">
        <v>22996</v>
      </c>
      <c r="AB1143" s="1" t="s">
        <v>22997</v>
      </c>
      <c r="AC1143" s="1" t="s">
        <v>22998</v>
      </c>
      <c r="AD1143" s="1" t="s">
        <v>22999</v>
      </c>
      <c r="AE1143" s="1" t="s">
        <v>23000</v>
      </c>
      <c r="AF1143" s="1" t="s">
        <v>23001</v>
      </c>
      <c r="AG1143" s="1" t="s">
        <v>23002</v>
      </c>
      <c r="AH1143" s="1" t="s">
        <v>23003</v>
      </c>
      <c r="AI1143" s="1" t="s">
        <v>23004</v>
      </c>
      <c r="AJ1143" s="1" t="s">
        <v>132</v>
      </c>
      <c r="AK1143" s="1" t="s">
        <v>23005</v>
      </c>
      <c r="AL1143" s="1" t="s">
        <v>23006</v>
      </c>
      <c r="AM1143" s="1" t="s">
        <v>23007</v>
      </c>
      <c r="AN1143" s="1" t="s">
        <v>23007</v>
      </c>
    </row>
    <row r="1144" ht="15.75" customHeight="1">
      <c r="A1144" s="1" t="s">
        <v>127</v>
      </c>
      <c r="B1144" s="1" t="s">
        <v>23008</v>
      </c>
      <c r="C1144" s="1" t="s">
        <v>16528</v>
      </c>
      <c r="D1144" s="8" t="s">
        <v>16529</v>
      </c>
      <c r="E1144" s="1" t="s">
        <v>7895</v>
      </c>
      <c r="F1144" s="1" t="s">
        <v>132</v>
      </c>
      <c r="G1144" s="1" t="s">
        <v>16530</v>
      </c>
      <c r="H1144" s="1" t="s">
        <v>16531</v>
      </c>
      <c r="I1144" s="1" t="s">
        <v>7897</v>
      </c>
      <c r="J1144" s="1" t="s">
        <v>16532</v>
      </c>
      <c r="K1144" s="1" t="s">
        <v>7898</v>
      </c>
      <c r="L1144" s="1" t="s">
        <v>16533</v>
      </c>
      <c r="M1144" s="1" t="s">
        <v>23009</v>
      </c>
      <c r="N1144" s="1" t="s">
        <v>132</v>
      </c>
      <c r="O1144" s="1" t="s">
        <v>16535</v>
      </c>
      <c r="P1144" s="1" t="s">
        <v>23010</v>
      </c>
      <c r="Q1144" s="1" t="s">
        <v>132</v>
      </c>
      <c r="R1144" s="1" t="s">
        <v>16537</v>
      </c>
      <c r="S1144" s="1" t="s">
        <v>7898</v>
      </c>
      <c r="T1144" s="8" t="s">
        <v>16538</v>
      </c>
      <c r="U1144" s="1" t="s">
        <v>7900</v>
      </c>
      <c r="V1144" s="1" t="s">
        <v>16539</v>
      </c>
      <c r="W1144" s="1" t="s">
        <v>16537</v>
      </c>
      <c r="X1144" s="1" t="s">
        <v>23011</v>
      </c>
      <c r="Y1144" s="1" t="s">
        <v>16531</v>
      </c>
      <c r="Z1144" s="1" t="s">
        <v>16540</v>
      </c>
      <c r="AA1144" s="1" t="s">
        <v>7898</v>
      </c>
      <c r="AB1144" s="1" t="s">
        <v>16541</v>
      </c>
      <c r="AC1144" s="1" t="s">
        <v>7903</v>
      </c>
      <c r="AD1144" s="1" t="s">
        <v>16542</v>
      </c>
      <c r="AE1144" s="1" t="s">
        <v>16543</v>
      </c>
      <c r="AF1144" s="1" t="s">
        <v>23012</v>
      </c>
      <c r="AG1144" s="1" t="s">
        <v>16531</v>
      </c>
      <c r="AH1144" s="1" t="s">
        <v>16545</v>
      </c>
      <c r="AI1144" s="1" t="s">
        <v>16546</v>
      </c>
      <c r="AJ1144" s="1" t="s">
        <v>132</v>
      </c>
      <c r="AK1144" s="1" t="s">
        <v>16547</v>
      </c>
      <c r="AL1144" s="1" t="s">
        <v>7900</v>
      </c>
      <c r="AM1144" s="1" t="s">
        <v>132</v>
      </c>
      <c r="AN1144" s="1" t="s">
        <v>132</v>
      </c>
    </row>
    <row r="1145" ht="15.75" customHeight="1">
      <c r="A1145" s="1" t="s">
        <v>127</v>
      </c>
      <c r="B1145" s="1" t="s">
        <v>23013</v>
      </c>
      <c r="C1145" s="1" t="s">
        <v>23014</v>
      </c>
      <c r="D1145" s="8" t="s">
        <v>23015</v>
      </c>
      <c r="E1145" s="1" t="s">
        <v>23016</v>
      </c>
      <c r="F1145" s="1" t="s">
        <v>132</v>
      </c>
      <c r="G1145" s="1" t="s">
        <v>23017</v>
      </c>
      <c r="H1145" s="1" t="s">
        <v>23018</v>
      </c>
      <c r="I1145" s="1" t="s">
        <v>23019</v>
      </c>
      <c r="J1145" s="1" t="s">
        <v>23020</v>
      </c>
      <c r="K1145" s="1" t="s">
        <v>23021</v>
      </c>
      <c r="L1145" s="1" t="s">
        <v>23022</v>
      </c>
      <c r="M1145" s="1" t="s">
        <v>23023</v>
      </c>
      <c r="N1145" s="1" t="s">
        <v>132</v>
      </c>
      <c r="O1145" s="1" t="s">
        <v>23024</v>
      </c>
      <c r="P1145" s="1" t="s">
        <v>23025</v>
      </c>
      <c r="Q1145" s="1" t="s">
        <v>132</v>
      </c>
      <c r="R1145" s="1" t="s">
        <v>23026</v>
      </c>
      <c r="S1145" s="1" t="s">
        <v>23027</v>
      </c>
      <c r="T1145" s="8" t="s">
        <v>23028</v>
      </c>
      <c r="U1145" s="1" t="s">
        <v>8482</v>
      </c>
      <c r="V1145" s="1" t="s">
        <v>8483</v>
      </c>
      <c r="W1145" s="1" t="s">
        <v>23029</v>
      </c>
      <c r="X1145" s="1" t="s">
        <v>23030</v>
      </c>
      <c r="Y1145" s="1" t="s">
        <v>23031</v>
      </c>
      <c r="Z1145" s="1" t="s">
        <v>23032</v>
      </c>
      <c r="AA1145" s="1" t="s">
        <v>23033</v>
      </c>
      <c r="AB1145" s="1" t="s">
        <v>23034</v>
      </c>
      <c r="AC1145" s="1" t="s">
        <v>23035</v>
      </c>
      <c r="AD1145" s="1" t="s">
        <v>23036</v>
      </c>
      <c r="AE1145" s="1" t="s">
        <v>23037</v>
      </c>
      <c r="AF1145" s="1" t="s">
        <v>23038</v>
      </c>
      <c r="AG1145" s="1" t="s">
        <v>23039</v>
      </c>
      <c r="AH1145" s="1" t="s">
        <v>8493</v>
      </c>
      <c r="AI1145" s="1" t="s">
        <v>23040</v>
      </c>
      <c r="AJ1145" s="1" t="s">
        <v>132</v>
      </c>
      <c r="AK1145" s="1" t="s">
        <v>8495</v>
      </c>
      <c r="AL1145" s="1" t="s">
        <v>8496</v>
      </c>
      <c r="AM1145" s="1" t="s">
        <v>23041</v>
      </c>
      <c r="AN1145" s="1" t="s">
        <v>23041</v>
      </c>
    </row>
    <row r="1146" ht="15.75" customHeight="1">
      <c r="A1146" s="1" t="s">
        <v>127</v>
      </c>
      <c r="B1146" s="1" t="s">
        <v>23042</v>
      </c>
      <c r="C1146" s="1" t="s">
        <v>23043</v>
      </c>
      <c r="D1146" s="8" t="s">
        <v>23044</v>
      </c>
      <c r="E1146" s="1" t="s">
        <v>23045</v>
      </c>
      <c r="F1146" s="1" t="s">
        <v>132</v>
      </c>
      <c r="G1146" s="1" t="s">
        <v>23046</v>
      </c>
      <c r="H1146" s="1" t="s">
        <v>23047</v>
      </c>
      <c r="I1146" s="1" t="s">
        <v>23048</v>
      </c>
      <c r="J1146" s="1" t="s">
        <v>23049</v>
      </c>
      <c r="K1146" s="1" t="s">
        <v>23050</v>
      </c>
      <c r="L1146" s="1" t="s">
        <v>23051</v>
      </c>
      <c r="M1146" s="1" t="s">
        <v>23052</v>
      </c>
      <c r="N1146" s="1" t="s">
        <v>132</v>
      </c>
      <c r="O1146" s="1" t="s">
        <v>23053</v>
      </c>
      <c r="P1146" s="1" t="s">
        <v>23054</v>
      </c>
      <c r="Q1146" s="1" t="s">
        <v>132</v>
      </c>
      <c r="R1146" s="1" t="s">
        <v>23055</v>
      </c>
      <c r="S1146" s="1" t="s">
        <v>23056</v>
      </c>
      <c r="T1146" s="8" t="s">
        <v>23057</v>
      </c>
      <c r="U1146" s="1" t="s">
        <v>23058</v>
      </c>
      <c r="V1146" s="1" t="s">
        <v>23059</v>
      </c>
      <c r="W1146" s="1" t="s">
        <v>23060</v>
      </c>
      <c r="X1146" s="1" t="s">
        <v>23061</v>
      </c>
      <c r="Y1146" s="1" t="s">
        <v>23062</v>
      </c>
      <c r="Z1146" s="1" t="s">
        <v>23063</v>
      </c>
      <c r="AA1146" s="1" t="s">
        <v>23050</v>
      </c>
      <c r="AB1146" s="1" t="s">
        <v>23064</v>
      </c>
      <c r="AC1146" s="1" t="s">
        <v>23045</v>
      </c>
      <c r="AD1146" s="1" t="s">
        <v>23065</v>
      </c>
      <c r="AE1146" s="1" t="s">
        <v>23066</v>
      </c>
      <c r="AF1146" s="1" t="s">
        <v>23067</v>
      </c>
      <c r="AG1146" s="1" t="s">
        <v>23062</v>
      </c>
      <c r="AH1146" s="1" t="s">
        <v>23068</v>
      </c>
      <c r="AI1146" s="1" t="s">
        <v>23069</v>
      </c>
      <c r="AJ1146" s="1" t="s">
        <v>132</v>
      </c>
      <c r="AK1146" s="1" t="s">
        <v>23070</v>
      </c>
      <c r="AL1146" s="1" t="s">
        <v>23071</v>
      </c>
      <c r="AM1146" s="1" t="s">
        <v>132</v>
      </c>
      <c r="AN1146" s="1" t="s">
        <v>132</v>
      </c>
    </row>
    <row r="1147" ht="15.75" customHeight="1">
      <c r="A1147" s="1" t="s">
        <v>127</v>
      </c>
      <c r="B1147" s="1" t="s">
        <v>23072</v>
      </c>
      <c r="C1147" s="1" t="s">
        <v>23073</v>
      </c>
      <c r="D1147" s="8" t="s">
        <v>19188</v>
      </c>
      <c r="E1147" s="1" t="s">
        <v>23074</v>
      </c>
      <c r="F1147" s="1" t="s">
        <v>132</v>
      </c>
      <c r="G1147" s="1" t="s">
        <v>23075</v>
      </c>
      <c r="H1147" s="1" t="s">
        <v>23076</v>
      </c>
      <c r="I1147" s="1" t="s">
        <v>23077</v>
      </c>
      <c r="J1147" s="1" t="s">
        <v>19192</v>
      </c>
      <c r="K1147" s="1" t="s">
        <v>23078</v>
      </c>
      <c r="L1147" s="1" t="s">
        <v>23079</v>
      </c>
      <c r="M1147" s="1" t="s">
        <v>23080</v>
      </c>
      <c r="N1147" s="1" t="s">
        <v>132</v>
      </c>
      <c r="O1147" s="1" t="s">
        <v>23081</v>
      </c>
      <c r="P1147" s="1" t="s">
        <v>23082</v>
      </c>
      <c r="Q1147" s="1" t="s">
        <v>132</v>
      </c>
      <c r="R1147" s="1" t="s">
        <v>23083</v>
      </c>
      <c r="S1147" s="1" t="s">
        <v>23084</v>
      </c>
      <c r="T1147" s="8" t="s">
        <v>23085</v>
      </c>
      <c r="U1147" s="1" t="s">
        <v>23086</v>
      </c>
      <c r="V1147" s="1" t="s">
        <v>4022</v>
      </c>
      <c r="W1147" s="1" t="s">
        <v>23083</v>
      </c>
      <c r="X1147" s="1" t="s">
        <v>23087</v>
      </c>
      <c r="Y1147" s="1" t="s">
        <v>23076</v>
      </c>
      <c r="Z1147" s="1" t="s">
        <v>23088</v>
      </c>
      <c r="AA1147" s="1" t="s">
        <v>23078</v>
      </c>
      <c r="AB1147" s="1" t="s">
        <v>23084</v>
      </c>
      <c r="AC1147" s="1" t="s">
        <v>23089</v>
      </c>
      <c r="AD1147" s="1" t="s">
        <v>23090</v>
      </c>
      <c r="AE1147" s="1" t="s">
        <v>23091</v>
      </c>
      <c r="AF1147" s="1" t="s">
        <v>23092</v>
      </c>
      <c r="AG1147" s="1" t="s">
        <v>23076</v>
      </c>
      <c r="AH1147" s="1" t="s">
        <v>23093</v>
      </c>
      <c r="AI1147" s="1" t="s">
        <v>23094</v>
      </c>
      <c r="AJ1147" s="1" t="s">
        <v>132</v>
      </c>
      <c r="AK1147" s="1" t="s">
        <v>4026</v>
      </c>
      <c r="AL1147" s="1" t="s">
        <v>23095</v>
      </c>
      <c r="AM1147" s="1" t="s">
        <v>23096</v>
      </c>
      <c r="AN1147" s="1" t="s">
        <v>23096</v>
      </c>
    </row>
    <row r="1148" ht="15.75" customHeight="1">
      <c r="A1148" s="1" t="s">
        <v>38</v>
      </c>
      <c r="B1148" s="1" t="s">
        <v>23097</v>
      </c>
      <c r="C1148" s="1" t="s">
        <v>23098</v>
      </c>
      <c r="D1148" s="1" t="s">
        <v>132</v>
      </c>
      <c r="E1148" s="1" t="s">
        <v>132</v>
      </c>
      <c r="F1148" s="1" t="s">
        <v>132</v>
      </c>
      <c r="G1148" s="1" t="s">
        <v>132</v>
      </c>
      <c r="H1148" s="1" t="s">
        <v>132</v>
      </c>
      <c r="I1148" s="1" t="s">
        <v>23098</v>
      </c>
      <c r="J1148" s="1" t="s">
        <v>132</v>
      </c>
      <c r="K1148" s="1" t="s">
        <v>23099</v>
      </c>
      <c r="L1148" s="1" t="s">
        <v>132</v>
      </c>
      <c r="M1148" s="1" t="s">
        <v>23100</v>
      </c>
      <c r="N1148" s="1" t="s">
        <v>132</v>
      </c>
      <c r="O1148" s="1" t="s">
        <v>132</v>
      </c>
      <c r="P1148" s="1" t="s">
        <v>23098</v>
      </c>
      <c r="Q1148" s="1" t="s">
        <v>132</v>
      </c>
      <c r="R1148" s="1" t="s">
        <v>132</v>
      </c>
      <c r="S1148" s="1" t="s">
        <v>132</v>
      </c>
      <c r="T1148" s="1" t="s">
        <v>132</v>
      </c>
      <c r="U1148" s="1" t="s">
        <v>132</v>
      </c>
      <c r="V1148" s="1" t="s">
        <v>132</v>
      </c>
      <c r="W1148" s="1" t="s">
        <v>132</v>
      </c>
      <c r="X1148" s="1" t="s">
        <v>132</v>
      </c>
      <c r="Y1148" s="1" t="s">
        <v>132</v>
      </c>
      <c r="Z1148" s="1" t="s">
        <v>132</v>
      </c>
      <c r="AA1148" s="1" t="s">
        <v>132</v>
      </c>
      <c r="AB1148" s="1" t="s">
        <v>132</v>
      </c>
      <c r="AC1148" s="1" t="s">
        <v>23101</v>
      </c>
      <c r="AD1148" s="1" t="s">
        <v>132</v>
      </c>
      <c r="AE1148" s="1" t="s">
        <v>132</v>
      </c>
      <c r="AF1148" s="1" t="s">
        <v>23098</v>
      </c>
      <c r="AG1148" s="1" t="s">
        <v>132</v>
      </c>
      <c r="AH1148" s="1" t="s">
        <v>132</v>
      </c>
      <c r="AI1148" s="1" t="s">
        <v>132</v>
      </c>
      <c r="AJ1148" s="1" t="s">
        <v>132</v>
      </c>
      <c r="AK1148" s="1" t="s">
        <v>132</v>
      </c>
      <c r="AL1148" s="1" t="s">
        <v>132</v>
      </c>
      <c r="AM1148" s="1" t="s">
        <v>132</v>
      </c>
      <c r="AN1148" s="1" t="s">
        <v>132</v>
      </c>
    </row>
    <row r="1149" ht="15.75" customHeight="1">
      <c r="A1149" s="1" t="s">
        <v>127</v>
      </c>
      <c r="B1149" s="1" t="s">
        <v>23102</v>
      </c>
      <c r="C1149" s="1" t="s">
        <v>23103</v>
      </c>
      <c r="D1149" s="8" t="s">
        <v>23104</v>
      </c>
      <c r="E1149" s="1" t="s">
        <v>23105</v>
      </c>
      <c r="F1149" s="1" t="s">
        <v>132</v>
      </c>
      <c r="G1149" s="1" t="s">
        <v>23106</v>
      </c>
      <c r="H1149" s="1" t="s">
        <v>23107</v>
      </c>
      <c r="I1149" s="1" t="s">
        <v>23108</v>
      </c>
      <c r="J1149" s="1" t="s">
        <v>23109</v>
      </c>
      <c r="K1149" s="1" t="s">
        <v>23110</v>
      </c>
      <c r="L1149" s="1" t="s">
        <v>23111</v>
      </c>
      <c r="M1149" s="1" t="s">
        <v>23112</v>
      </c>
      <c r="N1149" s="1" t="s">
        <v>132</v>
      </c>
      <c r="O1149" s="1" t="s">
        <v>23113</v>
      </c>
      <c r="P1149" s="1" t="s">
        <v>23114</v>
      </c>
      <c r="Q1149" s="1" t="s">
        <v>132</v>
      </c>
      <c r="R1149" s="1" t="s">
        <v>23115</v>
      </c>
      <c r="S1149" s="1" t="s">
        <v>23116</v>
      </c>
      <c r="T1149" s="8" t="s">
        <v>23117</v>
      </c>
      <c r="U1149" s="1" t="s">
        <v>23118</v>
      </c>
      <c r="V1149" s="1" t="s">
        <v>23119</v>
      </c>
      <c r="W1149" s="1" t="s">
        <v>23115</v>
      </c>
      <c r="X1149" s="1" t="s">
        <v>23120</v>
      </c>
      <c r="Y1149" s="1" t="s">
        <v>23107</v>
      </c>
      <c r="Z1149" s="1" t="s">
        <v>23121</v>
      </c>
      <c r="AA1149" s="1" t="s">
        <v>23110</v>
      </c>
      <c r="AB1149" s="1" t="s">
        <v>23122</v>
      </c>
      <c r="AC1149" s="1" t="s">
        <v>23123</v>
      </c>
      <c r="AD1149" s="1" t="s">
        <v>23124</v>
      </c>
      <c r="AE1149" s="1" t="s">
        <v>23125</v>
      </c>
      <c r="AF1149" s="1" t="s">
        <v>23126</v>
      </c>
      <c r="AG1149" s="1" t="s">
        <v>23107</v>
      </c>
      <c r="AH1149" s="1" t="s">
        <v>23127</v>
      </c>
      <c r="AI1149" s="1" t="s">
        <v>23128</v>
      </c>
      <c r="AJ1149" s="1" t="s">
        <v>132</v>
      </c>
      <c r="AK1149" s="1" t="s">
        <v>23129</v>
      </c>
      <c r="AL1149" s="1" t="s">
        <v>23130</v>
      </c>
      <c r="AM1149" s="1" t="s">
        <v>23131</v>
      </c>
      <c r="AN1149" s="1" t="s">
        <v>23131</v>
      </c>
    </row>
    <row r="1150" ht="15.75" customHeight="1">
      <c r="A1150" s="1" t="s">
        <v>8528</v>
      </c>
      <c r="B1150" s="1" t="s">
        <v>23132</v>
      </c>
      <c r="C1150" s="1" t="s">
        <v>23133</v>
      </c>
      <c r="D1150" s="8" t="s">
        <v>23134</v>
      </c>
      <c r="E1150" s="1" t="s">
        <v>23135</v>
      </c>
      <c r="F1150" s="1" t="s">
        <v>132</v>
      </c>
      <c r="G1150" s="1" t="s">
        <v>23136</v>
      </c>
      <c r="H1150" s="1" t="s">
        <v>23137</v>
      </c>
      <c r="I1150" s="1" t="s">
        <v>132</v>
      </c>
      <c r="J1150" s="1" t="s">
        <v>23138</v>
      </c>
      <c r="K1150" s="1" t="s">
        <v>132</v>
      </c>
      <c r="L1150" s="1" t="s">
        <v>23139</v>
      </c>
      <c r="M1150" s="1" t="s">
        <v>23140</v>
      </c>
      <c r="N1150" s="1" t="s">
        <v>132</v>
      </c>
      <c r="O1150" s="1" t="s">
        <v>23141</v>
      </c>
      <c r="P1150" s="1" t="s">
        <v>23142</v>
      </c>
      <c r="Q1150" s="1" t="s">
        <v>132</v>
      </c>
      <c r="R1150" s="1" t="s">
        <v>23143</v>
      </c>
      <c r="S1150" s="1" t="s">
        <v>23144</v>
      </c>
      <c r="T1150" s="8" t="s">
        <v>23145</v>
      </c>
      <c r="U1150" s="1" t="s">
        <v>23146</v>
      </c>
      <c r="V1150" s="1" t="s">
        <v>23147</v>
      </c>
      <c r="W1150" s="1" t="s">
        <v>23148</v>
      </c>
      <c r="X1150" s="1" t="s">
        <v>23149</v>
      </c>
      <c r="Y1150" s="1" t="s">
        <v>23150</v>
      </c>
      <c r="Z1150" s="11" t="s">
        <v>23151</v>
      </c>
      <c r="AA1150" s="1" t="s">
        <v>23152</v>
      </c>
      <c r="AB1150" s="1" t="s">
        <v>23153</v>
      </c>
      <c r="AC1150" s="1" t="s">
        <v>132</v>
      </c>
      <c r="AD1150" s="1" t="s">
        <v>23154</v>
      </c>
      <c r="AE1150" s="1" t="s">
        <v>23155</v>
      </c>
      <c r="AF1150" s="1" t="s">
        <v>132</v>
      </c>
      <c r="AG1150" s="1" t="s">
        <v>23156</v>
      </c>
      <c r="AH1150" s="1" t="s">
        <v>23157</v>
      </c>
      <c r="AI1150" s="1" t="s">
        <v>43270</v>
      </c>
      <c r="AJ1150" s="1" t="s">
        <v>132</v>
      </c>
      <c r="AK1150" s="1" t="s">
        <v>23159</v>
      </c>
      <c r="AL1150" s="14" t="s">
        <v>23160</v>
      </c>
      <c r="AM1150" s="1" t="s">
        <v>132</v>
      </c>
      <c r="AN1150" s="1" t="s">
        <v>132</v>
      </c>
    </row>
    <row r="1151" ht="15.75" customHeight="1">
      <c r="A1151" s="1" t="s">
        <v>127</v>
      </c>
      <c r="B1151" s="1" t="s">
        <v>23161</v>
      </c>
      <c r="C1151" s="1" t="s">
        <v>23162</v>
      </c>
      <c r="D1151" s="8" t="s">
        <v>23163</v>
      </c>
      <c r="E1151" s="1" t="s">
        <v>23164</v>
      </c>
      <c r="F1151" s="1" t="s">
        <v>132</v>
      </c>
      <c r="G1151" s="1" t="s">
        <v>23165</v>
      </c>
      <c r="H1151" s="1" t="s">
        <v>23166</v>
      </c>
      <c r="I1151" s="1" t="s">
        <v>23167</v>
      </c>
      <c r="J1151" s="1" t="s">
        <v>23168</v>
      </c>
      <c r="K1151" s="1" t="s">
        <v>23169</v>
      </c>
      <c r="L1151" s="1" t="s">
        <v>23170</v>
      </c>
      <c r="M1151" s="1" t="s">
        <v>23171</v>
      </c>
      <c r="N1151" s="1" t="s">
        <v>132</v>
      </c>
      <c r="O1151" s="1" t="s">
        <v>23172</v>
      </c>
      <c r="P1151" s="1" t="s">
        <v>23173</v>
      </c>
      <c r="Q1151" s="1" t="s">
        <v>132</v>
      </c>
      <c r="R1151" s="1" t="s">
        <v>23174</v>
      </c>
      <c r="S1151" s="1" t="s">
        <v>23175</v>
      </c>
      <c r="T1151" s="8" t="s">
        <v>23176</v>
      </c>
      <c r="U1151" s="1" t="s">
        <v>23177</v>
      </c>
      <c r="V1151" s="1" t="s">
        <v>23178</v>
      </c>
      <c r="W1151" s="1" t="s">
        <v>23179</v>
      </c>
      <c r="X1151" s="1" t="s">
        <v>23180</v>
      </c>
      <c r="Y1151" s="1" t="s">
        <v>23181</v>
      </c>
      <c r="Z1151" s="1" t="s">
        <v>23182</v>
      </c>
      <c r="AA1151" s="1" t="s">
        <v>23183</v>
      </c>
      <c r="AB1151" s="1" t="s">
        <v>23184</v>
      </c>
      <c r="AC1151" s="1" t="s">
        <v>23185</v>
      </c>
      <c r="AD1151" s="1" t="s">
        <v>23186</v>
      </c>
      <c r="AE1151" s="1" t="s">
        <v>23187</v>
      </c>
      <c r="AF1151" s="1" t="s">
        <v>23188</v>
      </c>
      <c r="AG1151" s="1" t="s">
        <v>23189</v>
      </c>
      <c r="AH1151" s="1" t="s">
        <v>23190</v>
      </c>
      <c r="AI1151" s="1" t="s">
        <v>23191</v>
      </c>
      <c r="AJ1151" s="1" t="s">
        <v>132</v>
      </c>
      <c r="AK1151" s="1" t="s">
        <v>23192</v>
      </c>
      <c r="AL1151" s="1" t="s">
        <v>23193</v>
      </c>
      <c r="AM1151" s="1" t="s">
        <v>23194</v>
      </c>
      <c r="AN1151" s="1" t="s">
        <v>23194</v>
      </c>
    </row>
    <row r="1152" ht="15.75" customHeight="1">
      <c r="A1152" s="1" t="s">
        <v>38</v>
      </c>
      <c r="B1152" s="1" t="s">
        <v>23195</v>
      </c>
      <c r="C1152" s="1" t="s">
        <v>23196</v>
      </c>
      <c r="D1152" s="8" t="s">
        <v>23197</v>
      </c>
      <c r="E1152" s="1" t="s">
        <v>23198</v>
      </c>
      <c r="F1152" s="1" t="s">
        <v>23199</v>
      </c>
      <c r="G1152" s="1" t="s">
        <v>132</v>
      </c>
      <c r="H1152" s="1" t="s">
        <v>132</v>
      </c>
      <c r="I1152" s="1" t="s">
        <v>23200</v>
      </c>
      <c r="J1152" s="1" t="s">
        <v>132</v>
      </c>
      <c r="K1152" s="1" t="s">
        <v>23201</v>
      </c>
      <c r="L1152" s="1" t="s">
        <v>132</v>
      </c>
      <c r="M1152" s="1" t="s">
        <v>23202</v>
      </c>
      <c r="N1152" s="1" t="s">
        <v>23201</v>
      </c>
      <c r="O1152" s="1" t="s">
        <v>132</v>
      </c>
      <c r="P1152" s="1" t="s">
        <v>23203</v>
      </c>
      <c r="Q1152" s="1" t="s">
        <v>23204</v>
      </c>
      <c r="R1152" s="1" t="s">
        <v>132</v>
      </c>
      <c r="S1152" s="1" t="s">
        <v>23205</v>
      </c>
      <c r="T1152" s="1" t="s">
        <v>132</v>
      </c>
      <c r="U1152" s="1" t="s">
        <v>23206</v>
      </c>
      <c r="V1152" s="1" t="s">
        <v>23207</v>
      </c>
      <c r="W1152" s="1" t="s">
        <v>132</v>
      </c>
      <c r="X1152" s="1" t="s">
        <v>23208</v>
      </c>
      <c r="Y1152" s="1" t="s">
        <v>132</v>
      </c>
      <c r="Z1152" s="1" t="s">
        <v>23209</v>
      </c>
      <c r="AA1152" s="1" t="s">
        <v>23210</v>
      </c>
      <c r="AB1152" s="1" t="s">
        <v>132</v>
      </c>
      <c r="AC1152" s="1" t="s">
        <v>23211</v>
      </c>
      <c r="AD1152" s="1" t="s">
        <v>23212</v>
      </c>
      <c r="AE1152" s="1" t="s">
        <v>132</v>
      </c>
      <c r="AF1152" s="1" t="s">
        <v>23213</v>
      </c>
      <c r="AG1152" s="1" t="s">
        <v>23214</v>
      </c>
      <c r="AH1152" s="1" t="s">
        <v>132</v>
      </c>
      <c r="AI1152" s="1" t="s">
        <v>132</v>
      </c>
      <c r="AJ1152" s="1" t="s">
        <v>23215</v>
      </c>
      <c r="AK1152" s="1" t="s">
        <v>23216</v>
      </c>
      <c r="AL1152" s="1" t="s">
        <v>132</v>
      </c>
      <c r="AM1152" s="1" t="s">
        <v>23217</v>
      </c>
      <c r="AN1152" s="1" t="s">
        <v>23217</v>
      </c>
    </row>
    <row r="1153" ht="15.75" customHeight="1">
      <c r="A1153" s="1" t="s">
        <v>127</v>
      </c>
      <c r="B1153" s="1" t="s">
        <v>23218</v>
      </c>
      <c r="C1153" s="1" t="s">
        <v>23219</v>
      </c>
      <c r="D1153" s="8" t="s">
        <v>23220</v>
      </c>
      <c r="E1153" s="1" t="s">
        <v>23221</v>
      </c>
      <c r="F1153" s="1" t="s">
        <v>132</v>
      </c>
      <c r="G1153" s="1" t="s">
        <v>23222</v>
      </c>
      <c r="H1153" s="1" t="s">
        <v>23223</v>
      </c>
      <c r="I1153" s="1" t="s">
        <v>23224</v>
      </c>
      <c r="J1153" s="1" t="s">
        <v>23225</v>
      </c>
      <c r="K1153" s="1" t="s">
        <v>23226</v>
      </c>
      <c r="L1153" s="1" t="s">
        <v>23227</v>
      </c>
      <c r="M1153" s="1" t="s">
        <v>23228</v>
      </c>
      <c r="N1153" s="1" t="s">
        <v>132</v>
      </c>
      <c r="O1153" s="1" t="s">
        <v>23229</v>
      </c>
      <c r="P1153" s="1" t="s">
        <v>23230</v>
      </c>
      <c r="Q1153" s="1" t="s">
        <v>132</v>
      </c>
      <c r="R1153" s="1" t="s">
        <v>23231</v>
      </c>
      <c r="S1153" s="1" t="s">
        <v>23232</v>
      </c>
      <c r="T1153" s="8" t="s">
        <v>23233</v>
      </c>
      <c r="U1153" s="1" t="s">
        <v>23234</v>
      </c>
      <c r="V1153" s="1" t="s">
        <v>23235</v>
      </c>
      <c r="W1153" s="1" t="s">
        <v>23236</v>
      </c>
      <c r="X1153" s="1" t="s">
        <v>23237</v>
      </c>
      <c r="Y1153" s="1" t="s">
        <v>23223</v>
      </c>
      <c r="Z1153" s="1" t="s">
        <v>23238</v>
      </c>
      <c r="AA1153" s="1" t="s">
        <v>23239</v>
      </c>
      <c r="AB1153" s="1" t="s">
        <v>23240</v>
      </c>
      <c r="AC1153" s="1" t="s">
        <v>23241</v>
      </c>
      <c r="AD1153" s="1" t="s">
        <v>23242</v>
      </c>
      <c r="AE1153" s="1" t="s">
        <v>23243</v>
      </c>
      <c r="AF1153" s="1" t="s">
        <v>23244</v>
      </c>
      <c r="AG1153" s="1" t="s">
        <v>23223</v>
      </c>
      <c r="AH1153" s="1" t="s">
        <v>23245</v>
      </c>
      <c r="AI1153" s="1" t="s">
        <v>23246</v>
      </c>
      <c r="AJ1153" s="1" t="s">
        <v>132</v>
      </c>
      <c r="AK1153" s="1" t="s">
        <v>23247</v>
      </c>
      <c r="AL1153" s="1" t="s">
        <v>23248</v>
      </c>
      <c r="AM1153" s="1" t="s">
        <v>23249</v>
      </c>
      <c r="AN1153" s="1" t="s">
        <v>23249</v>
      </c>
    </row>
    <row r="1154" ht="15.75" customHeight="1">
      <c r="A1154" s="1" t="s">
        <v>127</v>
      </c>
      <c r="B1154" s="1" t="s">
        <v>23250</v>
      </c>
      <c r="C1154" s="1" t="s">
        <v>23251</v>
      </c>
      <c r="D1154" s="8" t="s">
        <v>23252</v>
      </c>
      <c r="E1154" s="1" t="s">
        <v>23253</v>
      </c>
      <c r="F1154" s="1" t="s">
        <v>132</v>
      </c>
      <c r="G1154" s="1" t="s">
        <v>23254</v>
      </c>
      <c r="H1154" s="1" t="s">
        <v>23255</v>
      </c>
      <c r="I1154" s="1" t="s">
        <v>23255</v>
      </c>
      <c r="J1154" s="1" t="s">
        <v>23256</v>
      </c>
      <c r="K1154" s="1" t="s">
        <v>23257</v>
      </c>
      <c r="L1154" s="1" t="s">
        <v>23258</v>
      </c>
      <c r="M1154" s="1" t="s">
        <v>23259</v>
      </c>
      <c r="N1154" s="1" t="s">
        <v>132</v>
      </c>
      <c r="O1154" s="1" t="s">
        <v>23260</v>
      </c>
      <c r="P1154" s="1" t="s">
        <v>23261</v>
      </c>
      <c r="Q1154" s="1" t="s">
        <v>132</v>
      </c>
      <c r="R1154" s="1" t="s">
        <v>23262</v>
      </c>
      <c r="S1154" s="1" t="s">
        <v>23263</v>
      </c>
      <c r="T1154" s="8" t="s">
        <v>23264</v>
      </c>
      <c r="U1154" s="1" t="s">
        <v>23265</v>
      </c>
      <c r="V1154" s="1" t="s">
        <v>23266</v>
      </c>
      <c r="W1154" s="1" t="s">
        <v>23262</v>
      </c>
      <c r="X1154" s="1" t="s">
        <v>23267</v>
      </c>
      <c r="Y1154" s="1" t="s">
        <v>23255</v>
      </c>
      <c r="Z1154" s="1" t="s">
        <v>23268</v>
      </c>
      <c r="AA1154" s="1" t="s">
        <v>23257</v>
      </c>
      <c r="AB1154" s="1" t="s">
        <v>23269</v>
      </c>
      <c r="AC1154" s="1" t="s">
        <v>23270</v>
      </c>
      <c r="AD1154" s="1" t="s">
        <v>23271</v>
      </c>
      <c r="AE1154" s="1" t="s">
        <v>23272</v>
      </c>
      <c r="AF1154" s="1" t="s">
        <v>23272</v>
      </c>
      <c r="AG1154" s="1" t="s">
        <v>23255</v>
      </c>
      <c r="AH1154" s="1" t="s">
        <v>23273</v>
      </c>
      <c r="AI1154" s="1" t="s">
        <v>23274</v>
      </c>
      <c r="AJ1154" s="1" t="s">
        <v>132</v>
      </c>
      <c r="AK1154" s="1" t="s">
        <v>23275</v>
      </c>
      <c r="AL1154" s="1" t="s">
        <v>23276</v>
      </c>
      <c r="AM1154" s="1" t="s">
        <v>23277</v>
      </c>
      <c r="AN1154" s="1" t="s">
        <v>23277</v>
      </c>
    </row>
    <row r="1155" ht="15.75" customHeight="1">
      <c r="A1155" s="1" t="s">
        <v>127</v>
      </c>
      <c r="B1155" s="1" t="s">
        <v>23278</v>
      </c>
      <c r="C1155" s="1" t="s">
        <v>23279</v>
      </c>
      <c r="D1155" s="8" t="s">
        <v>23280</v>
      </c>
      <c r="E1155" s="1" t="s">
        <v>23281</v>
      </c>
      <c r="F1155" s="1" t="s">
        <v>132</v>
      </c>
      <c r="G1155" s="1" t="s">
        <v>23282</v>
      </c>
      <c r="H1155" s="1" t="s">
        <v>23283</v>
      </c>
      <c r="I1155" s="1" t="s">
        <v>23284</v>
      </c>
      <c r="J1155" s="1" t="s">
        <v>23285</v>
      </c>
      <c r="K1155" s="1" t="s">
        <v>23286</v>
      </c>
      <c r="L1155" s="1" t="s">
        <v>23287</v>
      </c>
      <c r="M1155" s="1" t="s">
        <v>23288</v>
      </c>
      <c r="N1155" s="1" t="s">
        <v>132</v>
      </c>
      <c r="O1155" s="1" t="s">
        <v>23289</v>
      </c>
      <c r="P1155" s="1" t="s">
        <v>23290</v>
      </c>
      <c r="Q1155" s="1" t="s">
        <v>132</v>
      </c>
      <c r="R1155" s="1" t="s">
        <v>23291</v>
      </c>
      <c r="S1155" s="1" t="s">
        <v>23292</v>
      </c>
      <c r="T1155" s="8" t="s">
        <v>23293</v>
      </c>
      <c r="U1155" s="1" t="s">
        <v>23294</v>
      </c>
      <c r="V1155" s="1" t="s">
        <v>23295</v>
      </c>
      <c r="W1155" s="1" t="s">
        <v>23296</v>
      </c>
      <c r="X1155" s="1" t="s">
        <v>20545</v>
      </c>
      <c r="Y1155" s="1" t="s">
        <v>23297</v>
      </c>
      <c r="Z1155" s="1" t="s">
        <v>23298</v>
      </c>
      <c r="AA1155" s="1" t="s">
        <v>23299</v>
      </c>
      <c r="AB1155" s="1" t="s">
        <v>23300</v>
      </c>
      <c r="AC1155" s="1" t="s">
        <v>23301</v>
      </c>
      <c r="AD1155" s="1" t="s">
        <v>23282</v>
      </c>
      <c r="AE1155" s="1" t="s">
        <v>23302</v>
      </c>
      <c r="AF1155" s="1" t="s">
        <v>23279</v>
      </c>
      <c r="AG1155" s="1" t="s">
        <v>23303</v>
      </c>
      <c r="AH1155" s="1" t="s">
        <v>23304</v>
      </c>
      <c r="AI1155" s="1" t="s">
        <v>23305</v>
      </c>
      <c r="AJ1155" s="1" t="s">
        <v>132</v>
      </c>
      <c r="AK1155" s="1" t="s">
        <v>23306</v>
      </c>
      <c r="AL1155" s="1" t="s">
        <v>23307</v>
      </c>
      <c r="AM1155" s="1" t="s">
        <v>23308</v>
      </c>
      <c r="AN1155" s="1" t="s">
        <v>23308</v>
      </c>
    </row>
    <row r="1156" ht="15.75" customHeight="1">
      <c r="A1156" s="1" t="s">
        <v>38</v>
      </c>
      <c r="B1156" s="1" t="s">
        <v>23309</v>
      </c>
      <c r="C1156" s="1" t="s">
        <v>23310</v>
      </c>
      <c r="D1156" s="8" t="s">
        <v>23311</v>
      </c>
      <c r="E1156" s="1" t="s">
        <v>23312</v>
      </c>
      <c r="F1156" s="1" t="s">
        <v>23313</v>
      </c>
      <c r="G1156" s="1" t="s">
        <v>132</v>
      </c>
      <c r="H1156" s="1" t="s">
        <v>132</v>
      </c>
      <c r="I1156" s="1" t="s">
        <v>23314</v>
      </c>
      <c r="J1156" s="1" t="s">
        <v>132</v>
      </c>
      <c r="K1156" s="1" t="s">
        <v>23315</v>
      </c>
      <c r="L1156" s="1" t="s">
        <v>132</v>
      </c>
      <c r="M1156" s="1" t="s">
        <v>23316</v>
      </c>
      <c r="N1156" s="1" t="s">
        <v>23317</v>
      </c>
      <c r="O1156" s="1" t="s">
        <v>132</v>
      </c>
      <c r="P1156" s="1" t="s">
        <v>23318</v>
      </c>
      <c r="Q1156" s="1" t="s">
        <v>23319</v>
      </c>
      <c r="R1156" s="1" t="s">
        <v>132</v>
      </c>
      <c r="S1156" s="1" t="s">
        <v>23320</v>
      </c>
      <c r="T1156" s="1" t="s">
        <v>132</v>
      </c>
      <c r="U1156" s="1" t="s">
        <v>23321</v>
      </c>
      <c r="V1156" s="1" t="s">
        <v>23322</v>
      </c>
      <c r="W1156" s="1" t="s">
        <v>132</v>
      </c>
      <c r="X1156" s="1" t="s">
        <v>23323</v>
      </c>
      <c r="Y1156" s="1" t="s">
        <v>132</v>
      </c>
      <c r="Z1156" s="1" t="s">
        <v>23324</v>
      </c>
      <c r="AA1156" s="1" t="s">
        <v>23325</v>
      </c>
      <c r="AB1156" s="1" t="s">
        <v>132</v>
      </c>
      <c r="AC1156" s="1" t="s">
        <v>23326</v>
      </c>
      <c r="AD1156" s="1" t="s">
        <v>23327</v>
      </c>
      <c r="AE1156" s="1" t="s">
        <v>132</v>
      </c>
      <c r="AF1156" s="1" t="s">
        <v>23328</v>
      </c>
      <c r="AG1156" s="1" t="s">
        <v>23329</v>
      </c>
      <c r="AH1156" s="1" t="s">
        <v>132</v>
      </c>
      <c r="AI1156" s="1" t="s">
        <v>132</v>
      </c>
      <c r="AJ1156" s="1" t="s">
        <v>23330</v>
      </c>
      <c r="AK1156" s="1" t="s">
        <v>23331</v>
      </c>
      <c r="AL1156" s="1" t="s">
        <v>132</v>
      </c>
      <c r="AM1156" s="1" t="s">
        <v>23332</v>
      </c>
      <c r="AN1156" s="1" t="s">
        <v>23332</v>
      </c>
    </row>
    <row r="1157" ht="15.75" customHeight="1">
      <c r="A1157" s="1" t="s">
        <v>38</v>
      </c>
      <c r="B1157" s="1" t="s">
        <v>23333</v>
      </c>
      <c r="C1157" s="1" t="s">
        <v>23334</v>
      </c>
      <c r="D1157" s="8" t="s">
        <v>23335</v>
      </c>
      <c r="E1157" s="1" t="s">
        <v>23336</v>
      </c>
      <c r="F1157" s="1" t="s">
        <v>23337</v>
      </c>
      <c r="G1157" s="1" t="s">
        <v>132</v>
      </c>
      <c r="H1157" s="1" t="s">
        <v>132</v>
      </c>
      <c r="I1157" s="1" t="s">
        <v>23338</v>
      </c>
      <c r="J1157" s="1" t="s">
        <v>132</v>
      </c>
      <c r="K1157" s="1" t="s">
        <v>23339</v>
      </c>
      <c r="L1157" s="1" t="s">
        <v>132</v>
      </c>
      <c r="M1157" s="1" t="s">
        <v>23340</v>
      </c>
      <c r="N1157" s="1" t="s">
        <v>23341</v>
      </c>
      <c r="O1157" s="1" t="s">
        <v>132</v>
      </c>
      <c r="P1157" s="1" t="s">
        <v>23342</v>
      </c>
      <c r="Q1157" s="1" t="s">
        <v>23343</v>
      </c>
      <c r="R1157" s="1" t="s">
        <v>132</v>
      </c>
      <c r="S1157" s="1" t="s">
        <v>23344</v>
      </c>
      <c r="T1157" s="1" t="s">
        <v>132</v>
      </c>
      <c r="U1157" s="1" t="s">
        <v>23345</v>
      </c>
      <c r="V1157" s="1" t="s">
        <v>23346</v>
      </c>
      <c r="W1157" s="1" t="s">
        <v>132</v>
      </c>
      <c r="X1157" s="1" t="s">
        <v>23347</v>
      </c>
      <c r="Y1157" s="1" t="s">
        <v>132</v>
      </c>
      <c r="Z1157" s="1" t="s">
        <v>23348</v>
      </c>
      <c r="AA1157" s="1" t="s">
        <v>23349</v>
      </c>
      <c r="AB1157" s="1" t="s">
        <v>132</v>
      </c>
      <c r="AC1157" s="1" t="s">
        <v>23350</v>
      </c>
      <c r="AD1157" s="1" t="s">
        <v>23351</v>
      </c>
      <c r="AE1157" s="1" t="s">
        <v>132</v>
      </c>
      <c r="AF1157" s="1" t="s">
        <v>23352</v>
      </c>
      <c r="AG1157" s="1" t="s">
        <v>23353</v>
      </c>
      <c r="AH1157" s="1" t="s">
        <v>132</v>
      </c>
      <c r="AI1157" s="1" t="s">
        <v>132</v>
      </c>
      <c r="AJ1157" s="1" t="s">
        <v>23354</v>
      </c>
      <c r="AK1157" s="1" t="s">
        <v>23355</v>
      </c>
      <c r="AL1157" s="1" t="s">
        <v>132</v>
      </c>
      <c r="AM1157" s="1" t="s">
        <v>23356</v>
      </c>
      <c r="AN1157" s="1" t="s">
        <v>23356</v>
      </c>
    </row>
    <row r="1158" ht="15.75" customHeight="1">
      <c r="A1158" s="1" t="s">
        <v>127</v>
      </c>
      <c r="B1158" s="1" t="s">
        <v>23357</v>
      </c>
      <c r="C1158" s="1" t="s">
        <v>16465</v>
      </c>
      <c r="D1158" s="8" t="s">
        <v>16466</v>
      </c>
      <c r="E1158" s="1" t="s">
        <v>16467</v>
      </c>
      <c r="F1158" s="1" t="s">
        <v>132</v>
      </c>
      <c r="G1158" s="1" t="s">
        <v>16468</v>
      </c>
      <c r="H1158" s="1" t="s">
        <v>16469</v>
      </c>
      <c r="I1158" s="1" t="s">
        <v>23358</v>
      </c>
      <c r="J1158" s="1" t="s">
        <v>16471</v>
      </c>
      <c r="K1158" s="1" t="s">
        <v>16472</v>
      </c>
      <c r="L1158" s="1" t="s">
        <v>16473</v>
      </c>
      <c r="M1158" s="1" t="s">
        <v>16474</v>
      </c>
      <c r="N1158" s="1" t="s">
        <v>132</v>
      </c>
      <c r="O1158" s="1" t="s">
        <v>16475</v>
      </c>
      <c r="P1158" s="1" t="s">
        <v>16476</v>
      </c>
      <c r="Q1158" s="1" t="s">
        <v>132</v>
      </c>
      <c r="R1158" s="1" t="s">
        <v>16477</v>
      </c>
      <c r="S1158" s="1" t="s">
        <v>16478</v>
      </c>
      <c r="T1158" s="8" t="s">
        <v>16479</v>
      </c>
      <c r="U1158" s="1" t="s">
        <v>16480</v>
      </c>
      <c r="V1158" s="1" t="s">
        <v>16481</v>
      </c>
      <c r="W1158" s="1" t="s">
        <v>16482</v>
      </c>
      <c r="X1158" s="1" t="s">
        <v>23359</v>
      </c>
      <c r="Y1158" s="1" t="s">
        <v>16484</v>
      </c>
      <c r="Z1158" s="1" t="s">
        <v>16485</v>
      </c>
      <c r="AA1158" s="1" t="s">
        <v>16486</v>
      </c>
      <c r="AB1158" s="1" t="s">
        <v>23360</v>
      </c>
      <c r="AC1158" s="1" t="s">
        <v>23361</v>
      </c>
      <c r="AD1158" s="1" t="s">
        <v>16489</v>
      </c>
      <c r="AE1158" s="1" t="s">
        <v>16490</v>
      </c>
      <c r="AF1158" s="1" t="s">
        <v>16491</v>
      </c>
      <c r="AG1158" s="1" t="s">
        <v>16492</v>
      </c>
      <c r="AH1158" s="1" t="s">
        <v>16493</v>
      </c>
      <c r="AI1158" s="1" t="s">
        <v>16494</v>
      </c>
      <c r="AJ1158" s="1" t="s">
        <v>132</v>
      </c>
      <c r="AK1158" s="1" t="s">
        <v>16495</v>
      </c>
      <c r="AL1158" s="1" t="s">
        <v>16480</v>
      </c>
      <c r="AM1158" s="1" t="s">
        <v>132</v>
      </c>
      <c r="AN1158" s="1" t="s">
        <v>132</v>
      </c>
    </row>
    <row r="1159" ht="15.75" customHeight="1">
      <c r="A1159" s="1" t="s">
        <v>38</v>
      </c>
      <c r="B1159" s="1" t="s">
        <v>23362</v>
      </c>
      <c r="C1159" s="1" t="s">
        <v>23363</v>
      </c>
      <c r="D1159" s="1" t="s">
        <v>132</v>
      </c>
      <c r="E1159" s="1" t="s">
        <v>132</v>
      </c>
      <c r="F1159" s="1" t="s">
        <v>132</v>
      </c>
      <c r="G1159" s="1" t="s">
        <v>132</v>
      </c>
      <c r="H1159" s="1" t="s">
        <v>132</v>
      </c>
      <c r="I1159" s="1" t="s">
        <v>23364</v>
      </c>
      <c r="J1159" s="1" t="s">
        <v>132</v>
      </c>
      <c r="K1159" s="1" t="s">
        <v>23365</v>
      </c>
      <c r="L1159" s="1" t="s">
        <v>132</v>
      </c>
      <c r="M1159" s="1" t="s">
        <v>23366</v>
      </c>
      <c r="N1159" s="1" t="s">
        <v>132</v>
      </c>
      <c r="O1159" s="1" t="s">
        <v>132</v>
      </c>
      <c r="P1159" s="1" t="s">
        <v>23367</v>
      </c>
      <c r="Q1159" s="1" t="s">
        <v>132</v>
      </c>
      <c r="R1159" s="1" t="s">
        <v>132</v>
      </c>
      <c r="S1159" s="1" t="s">
        <v>132</v>
      </c>
      <c r="T1159" s="1" t="s">
        <v>132</v>
      </c>
      <c r="U1159" s="1" t="s">
        <v>132</v>
      </c>
      <c r="V1159" s="1" t="s">
        <v>132</v>
      </c>
      <c r="W1159" s="1" t="s">
        <v>132</v>
      </c>
      <c r="X1159" s="1" t="s">
        <v>132</v>
      </c>
      <c r="Y1159" s="1" t="s">
        <v>132</v>
      </c>
      <c r="Z1159" s="1" t="s">
        <v>132</v>
      </c>
      <c r="AA1159" s="1" t="s">
        <v>132</v>
      </c>
      <c r="AB1159" s="1" t="s">
        <v>132</v>
      </c>
      <c r="AC1159" s="1" t="s">
        <v>23368</v>
      </c>
      <c r="AD1159" s="1" t="s">
        <v>132</v>
      </c>
      <c r="AE1159" s="1" t="s">
        <v>132</v>
      </c>
      <c r="AF1159" s="1" t="s">
        <v>23369</v>
      </c>
      <c r="AG1159" s="1" t="s">
        <v>132</v>
      </c>
      <c r="AH1159" s="1" t="s">
        <v>132</v>
      </c>
      <c r="AI1159" s="1" t="s">
        <v>132</v>
      </c>
      <c r="AJ1159" s="1" t="s">
        <v>132</v>
      </c>
      <c r="AK1159" s="1" t="s">
        <v>132</v>
      </c>
      <c r="AL1159" s="1" t="s">
        <v>132</v>
      </c>
      <c r="AM1159" s="1" t="s">
        <v>132</v>
      </c>
      <c r="AN1159" s="1" t="s">
        <v>132</v>
      </c>
    </row>
    <row r="1160" ht="15.75" customHeight="1">
      <c r="A1160" s="1" t="s">
        <v>38</v>
      </c>
      <c r="B1160" s="1" t="s">
        <v>23371</v>
      </c>
      <c r="C1160" s="1" t="s">
        <v>23372</v>
      </c>
      <c r="D1160" s="1" t="s">
        <v>132</v>
      </c>
      <c r="E1160" s="1" t="s">
        <v>132</v>
      </c>
      <c r="F1160" s="1" t="s">
        <v>132</v>
      </c>
      <c r="G1160" s="1" t="s">
        <v>132</v>
      </c>
      <c r="H1160" s="1" t="s">
        <v>132</v>
      </c>
      <c r="I1160" s="1" t="s">
        <v>23373</v>
      </c>
      <c r="J1160" s="1" t="s">
        <v>132</v>
      </c>
      <c r="K1160" s="1" t="s">
        <v>23374</v>
      </c>
      <c r="L1160" s="1" t="s">
        <v>132</v>
      </c>
      <c r="M1160" s="1" t="s">
        <v>23375</v>
      </c>
      <c r="N1160" s="1" t="s">
        <v>132</v>
      </c>
      <c r="O1160" s="1" t="s">
        <v>132</v>
      </c>
      <c r="P1160" s="1" t="s">
        <v>23372</v>
      </c>
      <c r="Q1160" s="1" t="s">
        <v>132</v>
      </c>
      <c r="R1160" s="1" t="s">
        <v>132</v>
      </c>
      <c r="S1160" s="1" t="s">
        <v>132</v>
      </c>
      <c r="T1160" s="1" t="s">
        <v>132</v>
      </c>
      <c r="U1160" s="1" t="s">
        <v>132</v>
      </c>
      <c r="V1160" s="1" t="s">
        <v>132</v>
      </c>
      <c r="W1160" s="1" t="s">
        <v>132</v>
      </c>
      <c r="X1160" s="1" t="s">
        <v>132</v>
      </c>
      <c r="Y1160" s="1" t="s">
        <v>132</v>
      </c>
      <c r="Z1160" s="1" t="s">
        <v>132</v>
      </c>
      <c r="AA1160" s="1" t="s">
        <v>132</v>
      </c>
      <c r="AB1160" s="1" t="s">
        <v>132</v>
      </c>
      <c r="AC1160" s="1" t="s">
        <v>23376</v>
      </c>
      <c r="AD1160" s="1" t="s">
        <v>132</v>
      </c>
      <c r="AE1160" s="1" t="s">
        <v>132</v>
      </c>
      <c r="AF1160" s="1" t="s">
        <v>23372</v>
      </c>
      <c r="AG1160" s="1" t="s">
        <v>132</v>
      </c>
      <c r="AH1160" s="1" t="s">
        <v>132</v>
      </c>
      <c r="AI1160" s="1" t="s">
        <v>132</v>
      </c>
      <c r="AJ1160" s="1" t="s">
        <v>132</v>
      </c>
      <c r="AK1160" s="1" t="s">
        <v>132</v>
      </c>
      <c r="AL1160" s="1" t="s">
        <v>132</v>
      </c>
      <c r="AM1160" s="1" t="s">
        <v>132</v>
      </c>
      <c r="AN1160" s="1" t="s">
        <v>132</v>
      </c>
    </row>
    <row r="1161" ht="15.75" customHeight="1">
      <c r="A1161" s="1" t="s">
        <v>38</v>
      </c>
      <c r="B1161" s="1" t="s">
        <v>23377</v>
      </c>
      <c r="C1161" s="1" t="s">
        <v>23378</v>
      </c>
      <c r="D1161" s="1" t="s">
        <v>132</v>
      </c>
      <c r="E1161" s="1" t="s">
        <v>23379</v>
      </c>
      <c r="F1161" s="1" t="s">
        <v>23380</v>
      </c>
      <c r="G1161" s="1" t="s">
        <v>132</v>
      </c>
      <c r="H1161" s="1" t="s">
        <v>132</v>
      </c>
      <c r="I1161" s="1" t="s">
        <v>23381</v>
      </c>
      <c r="J1161" s="1" t="s">
        <v>132</v>
      </c>
      <c r="K1161" s="1" t="s">
        <v>23382</v>
      </c>
      <c r="L1161" s="1" t="s">
        <v>132</v>
      </c>
      <c r="M1161" s="1" t="s">
        <v>23383</v>
      </c>
      <c r="N1161" s="1" t="s">
        <v>23384</v>
      </c>
      <c r="O1161" s="1" t="s">
        <v>132</v>
      </c>
      <c r="P1161" s="1" t="s">
        <v>23385</v>
      </c>
      <c r="Q1161" s="1" t="s">
        <v>132</v>
      </c>
      <c r="R1161" s="1" t="s">
        <v>132</v>
      </c>
      <c r="S1161" s="1" t="s">
        <v>23386</v>
      </c>
      <c r="T1161" s="1" t="s">
        <v>132</v>
      </c>
      <c r="U1161" s="1" t="s">
        <v>23387</v>
      </c>
      <c r="V1161" s="1" t="s">
        <v>23388</v>
      </c>
      <c r="W1161" s="1" t="s">
        <v>132</v>
      </c>
      <c r="X1161" s="1" t="s">
        <v>23389</v>
      </c>
      <c r="Y1161" s="1" t="s">
        <v>132</v>
      </c>
      <c r="Z1161" s="1" t="s">
        <v>23390</v>
      </c>
      <c r="AA1161" s="1" t="s">
        <v>23391</v>
      </c>
      <c r="AB1161" s="1" t="s">
        <v>132</v>
      </c>
      <c r="AC1161" s="1" t="s">
        <v>23392</v>
      </c>
      <c r="AD1161" s="1" t="s">
        <v>132</v>
      </c>
      <c r="AE1161" s="1" t="s">
        <v>132</v>
      </c>
      <c r="AF1161" s="1" t="s">
        <v>23393</v>
      </c>
      <c r="AG1161" s="1" t="s">
        <v>23394</v>
      </c>
      <c r="AH1161" s="1" t="s">
        <v>132</v>
      </c>
      <c r="AI1161" s="1" t="s">
        <v>132</v>
      </c>
      <c r="AJ1161" s="1" t="s">
        <v>23395</v>
      </c>
      <c r="AK1161" s="1" t="s">
        <v>23396</v>
      </c>
      <c r="AL1161" s="1" t="s">
        <v>132</v>
      </c>
      <c r="AM1161" s="1" t="s">
        <v>8088</v>
      </c>
      <c r="AN1161" s="1" t="s">
        <v>8088</v>
      </c>
    </row>
    <row r="1162" ht="15.75" customHeight="1">
      <c r="A1162" s="1" t="s">
        <v>38</v>
      </c>
      <c r="B1162" s="1" t="s">
        <v>23397</v>
      </c>
      <c r="C1162" s="1" t="s">
        <v>23398</v>
      </c>
      <c r="D1162" s="1" t="s">
        <v>132</v>
      </c>
      <c r="E1162" s="1" t="s">
        <v>132</v>
      </c>
      <c r="F1162" s="1" t="s">
        <v>132</v>
      </c>
      <c r="G1162" s="1" t="s">
        <v>132</v>
      </c>
      <c r="H1162" s="1" t="s">
        <v>132</v>
      </c>
      <c r="I1162" s="1" t="s">
        <v>23399</v>
      </c>
      <c r="J1162" s="1" t="s">
        <v>132</v>
      </c>
      <c r="K1162" s="1" t="s">
        <v>23398</v>
      </c>
      <c r="L1162" s="1" t="s">
        <v>132</v>
      </c>
      <c r="M1162" s="1" t="s">
        <v>23398</v>
      </c>
      <c r="N1162" s="1" t="s">
        <v>132</v>
      </c>
      <c r="O1162" s="1" t="s">
        <v>132</v>
      </c>
      <c r="P1162" s="1" t="s">
        <v>23398</v>
      </c>
      <c r="Q1162" s="1" t="s">
        <v>132</v>
      </c>
      <c r="R1162" s="1" t="s">
        <v>132</v>
      </c>
      <c r="S1162" s="1" t="s">
        <v>132</v>
      </c>
      <c r="T1162" s="1" t="s">
        <v>132</v>
      </c>
      <c r="U1162" s="1" t="s">
        <v>132</v>
      </c>
      <c r="V1162" s="1" t="s">
        <v>132</v>
      </c>
      <c r="W1162" s="1" t="s">
        <v>132</v>
      </c>
      <c r="X1162" s="1" t="s">
        <v>132</v>
      </c>
      <c r="Y1162" s="1" t="s">
        <v>132</v>
      </c>
      <c r="Z1162" s="1" t="s">
        <v>132</v>
      </c>
      <c r="AA1162" s="1" t="s">
        <v>132</v>
      </c>
      <c r="AB1162" s="1" t="s">
        <v>132</v>
      </c>
      <c r="AC1162" s="1" t="s">
        <v>23400</v>
      </c>
      <c r="AD1162" s="1" t="s">
        <v>132</v>
      </c>
      <c r="AE1162" s="1" t="s">
        <v>132</v>
      </c>
      <c r="AF1162" s="1" t="s">
        <v>23401</v>
      </c>
      <c r="AG1162" s="1" t="s">
        <v>132</v>
      </c>
      <c r="AH1162" s="1" t="s">
        <v>132</v>
      </c>
      <c r="AI1162" s="1" t="s">
        <v>132</v>
      </c>
      <c r="AJ1162" s="1" t="s">
        <v>132</v>
      </c>
      <c r="AK1162" s="1" t="s">
        <v>132</v>
      </c>
      <c r="AL1162" s="1" t="s">
        <v>132</v>
      </c>
      <c r="AM1162" s="1" t="s">
        <v>132</v>
      </c>
      <c r="AN1162" s="1" t="s">
        <v>132</v>
      </c>
    </row>
    <row r="1163" ht="15.75" customHeight="1">
      <c r="A1163" s="1" t="s">
        <v>38</v>
      </c>
      <c r="B1163" s="1" t="s">
        <v>23402</v>
      </c>
      <c r="C1163" s="1" t="s">
        <v>23403</v>
      </c>
      <c r="D1163" s="1" t="s">
        <v>132</v>
      </c>
      <c r="E1163" s="1" t="s">
        <v>23404</v>
      </c>
      <c r="F1163" s="1" t="s">
        <v>132</v>
      </c>
      <c r="G1163" s="1" t="s">
        <v>132</v>
      </c>
      <c r="H1163" s="1" t="s">
        <v>132</v>
      </c>
      <c r="I1163" s="1" t="s">
        <v>23405</v>
      </c>
      <c r="J1163" s="1" t="s">
        <v>132</v>
      </c>
      <c r="K1163" s="1" t="s">
        <v>23406</v>
      </c>
      <c r="L1163" s="1" t="s">
        <v>132</v>
      </c>
      <c r="M1163" s="1" t="s">
        <v>132</v>
      </c>
      <c r="N1163" s="1" t="s">
        <v>23407</v>
      </c>
      <c r="O1163" s="1" t="s">
        <v>132</v>
      </c>
      <c r="P1163" s="1" t="s">
        <v>23408</v>
      </c>
      <c r="Q1163" s="1" t="s">
        <v>132</v>
      </c>
      <c r="R1163" s="1" t="s">
        <v>132</v>
      </c>
      <c r="S1163" s="1" t="s">
        <v>23409</v>
      </c>
      <c r="T1163" s="1" t="s">
        <v>132</v>
      </c>
      <c r="U1163" s="1" t="s">
        <v>132</v>
      </c>
      <c r="V1163" s="1" t="s">
        <v>132</v>
      </c>
      <c r="W1163" s="1" t="s">
        <v>132</v>
      </c>
      <c r="X1163" s="1" t="s">
        <v>23410</v>
      </c>
      <c r="Y1163" s="1" t="s">
        <v>132</v>
      </c>
      <c r="Z1163" s="1" t="s">
        <v>23411</v>
      </c>
      <c r="AA1163" s="1" t="s">
        <v>132</v>
      </c>
      <c r="AB1163" s="1" t="s">
        <v>132</v>
      </c>
      <c r="AC1163" s="1" t="s">
        <v>132</v>
      </c>
      <c r="AD1163" s="1" t="s">
        <v>132</v>
      </c>
      <c r="AE1163" s="1" t="s">
        <v>132</v>
      </c>
      <c r="AF1163" s="1" t="s">
        <v>132</v>
      </c>
      <c r="AG1163" s="1" t="s">
        <v>132</v>
      </c>
      <c r="AH1163" s="1" t="s">
        <v>132</v>
      </c>
      <c r="AI1163" s="1" t="s">
        <v>132</v>
      </c>
      <c r="AJ1163" s="1" t="s">
        <v>132</v>
      </c>
      <c r="AK1163" s="1" t="s">
        <v>132</v>
      </c>
      <c r="AL1163" s="1" t="s">
        <v>132</v>
      </c>
      <c r="AM1163" s="1" t="s">
        <v>132</v>
      </c>
      <c r="AN1163" s="1" t="s">
        <v>132</v>
      </c>
    </row>
    <row r="1164" ht="15.75" customHeight="1">
      <c r="A1164" s="1" t="s">
        <v>38</v>
      </c>
      <c r="B1164" s="1" t="s">
        <v>23412</v>
      </c>
      <c r="C1164" s="1" t="s">
        <v>23413</v>
      </c>
      <c r="D1164" s="8" t="s">
        <v>23414</v>
      </c>
      <c r="E1164" s="1" t="s">
        <v>23415</v>
      </c>
      <c r="F1164" s="1" t="s">
        <v>23416</v>
      </c>
      <c r="G1164" s="1" t="s">
        <v>132</v>
      </c>
      <c r="H1164" s="1" t="s">
        <v>132</v>
      </c>
      <c r="I1164" s="1" t="s">
        <v>23417</v>
      </c>
      <c r="J1164" s="1" t="s">
        <v>132</v>
      </c>
      <c r="K1164" s="1" t="s">
        <v>23418</v>
      </c>
      <c r="L1164" s="1" t="s">
        <v>132</v>
      </c>
      <c r="M1164" s="1" t="s">
        <v>23419</v>
      </c>
      <c r="N1164" s="1" t="s">
        <v>23420</v>
      </c>
      <c r="O1164" s="1" t="s">
        <v>132</v>
      </c>
      <c r="P1164" s="1" t="s">
        <v>23421</v>
      </c>
      <c r="Q1164" s="1" t="s">
        <v>132</v>
      </c>
      <c r="R1164" s="1" t="s">
        <v>132</v>
      </c>
      <c r="S1164" s="1" t="s">
        <v>23422</v>
      </c>
      <c r="T1164" s="1" t="s">
        <v>132</v>
      </c>
      <c r="U1164" s="1" t="s">
        <v>23423</v>
      </c>
      <c r="V1164" s="1" t="s">
        <v>23424</v>
      </c>
      <c r="W1164" s="1" t="s">
        <v>132</v>
      </c>
      <c r="X1164" s="1" t="s">
        <v>23425</v>
      </c>
      <c r="Y1164" s="1" t="s">
        <v>132</v>
      </c>
      <c r="Z1164" s="1" t="s">
        <v>23426</v>
      </c>
      <c r="AA1164" s="1" t="s">
        <v>23427</v>
      </c>
      <c r="AB1164" s="1" t="s">
        <v>132</v>
      </c>
      <c r="AC1164" s="1" t="s">
        <v>23428</v>
      </c>
      <c r="AD1164" s="1" t="s">
        <v>132</v>
      </c>
      <c r="AE1164" s="1" t="s">
        <v>132</v>
      </c>
      <c r="AF1164" s="1" t="s">
        <v>23429</v>
      </c>
      <c r="AG1164" s="1" t="s">
        <v>23430</v>
      </c>
      <c r="AH1164" s="1" t="s">
        <v>132</v>
      </c>
      <c r="AI1164" s="1" t="s">
        <v>132</v>
      </c>
      <c r="AJ1164" s="1" t="s">
        <v>23431</v>
      </c>
      <c r="AK1164" s="1" t="s">
        <v>23432</v>
      </c>
      <c r="AL1164" s="1" t="s">
        <v>132</v>
      </c>
      <c r="AM1164" s="1" t="s">
        <v>23433</v>
      </c>
      <c r="AN1164" s="1" t="s">
        <v>23433</v>
      </c>
    </row>
    <row r="1165" ht="15.75" customHeight="1">
      <c r="A1165" s="1" t="s">
        <v>38</v>
      </c>
      <c r="B1165" s="1" t="s">
        <v>23434</v>
      </c>
      <c r="C1165" s="1" t="s">
        <v>23434</v>
      </c>
      <c r="D1165" s="8" t="s">
        <v>23435</v>
      </c>
      <c r="E1165" s="1" t="s">
        <v>23436</v>
      </c>
      <c r="F1165" s="1" t="s">
        <v>23437</v>
      </c>
      <c r="G1165" s="1" t="s">
        <v>132</v>
      </c>
      <c r="H1165" s="1" t="s">
        <v>132</v>
      </c>
      <c r="I1165" s="1" t="s">
        <v>23438</v>
      </c>
      <c r="J1165" s="1" t="s">
        <v>132</v>
      </c>
      <c r="K1165" s="1" t="s">
        <v>23439</v>
      </c>
      <c r="L1165" s="1" t="s">
        <v>132</v>
      </c>
      <c r="M1165" s="1" t="s">
        <v>23440</v>
      </c>
      <c r="N1165" s="1" t="s">
        <v>23441</v>
      </c>
      <c r="O1165" s="1" t="s">
        <v>132</v>
      </c>
      <c r="P1165" s="1" t="s">
        <v>23442</v>
      </c>
      <c r="Q1165" s="1" t="s">
        <v>23443</v>
      </c>
      <c r="R1165" s="1" t="s">
        <v>132</v>
      </c>
      <c r="S1165" s="1" t="s">
        <v>23434</v>
      </c>
      <c r="T1165" s="1" t="s">
        <v>132</v>
      </c>
      <c r="U1165" s="1" t="s">
        <v>23444</v>
      </c>
      <c r="V1165" s="1" t="s">
        <v>23445</v>
      </c>
      <c r="W1165" s="1" t="s">
        <v>132</v>
      </c>
      <c r="X1165" s="1" t="s">
        <v>23446</v>
      </c>
      <c r="Y1165" s="1" t="s">
        <v>132</v>
      </c>
      <c r="Z1165" s="1" t="s">
        <v>23447</v>
      </c>
      <c r="AA1165" s="1" t="s">
        <v>23441</v>
      </c>
      <c r="AB1165" s="1" t="s">
        <v>132</v>
      </c>
      <c r="AC1165" s="1" t="s">
        <v>23436</v>
      </c>
      <c r="AD1165" s="1" t="s">
        <v>23448</v>
      </c>
      <c r="AE1165" s="1" t="s">
        <v>132</v>
      </c>
      <c r="AF1165" s="1" t="s">
        <v>23449</v>
      </c>
      <c r="AG1165" s="1" t="s">
        <v>23450</v>
      </c>
      <c r="AH1165" s="1" t="s">
        <v>132</v>
      </c>
      <c r="AI1165" s="1" t="s">
        <v>132</v>
      </c>
      <c r="AJ1165" s="1" t="s">
        <v>23436</v>
      </c>
      <c r="AK1165" s="1" t="s">
        <v>23451</v>
      </c>
      <c r="AL1165" s="1" t="s">
        <v>132</v>
      </c>
      <c r="AM1165" s="1" t="s">
        <v>23452</v>
      </c>
      <c r="AN1165" s="1" t="s">
        <v>23452</v>
      </c>
    </row>
    <row r="1166" ht="15.75" customHeight="1">
      <c r="A1166" s="1" t="s">
        <v>38</v>
      </c>
      <c r="B1166" s="1" t="s">
        <v>23453</v>
      </c>
      <c r="C1166" s="1" t="s">
        <v>23454</v>
      </c>
      <c r="D1166" s="1" t="s">
        <v>132</v>
      </c>
      <c r="E1166" s="1" t="s">
        <v>132</v>
      </c>
      <c r="F1166" s="1" t="s">
        <v>132</v>
      </c>
      <c r="G1166" s="1" t="s">
        <v>132</v>
      </c>
      <c r="H1166" s="1" t="s">
        <v>132</v>
      </c>
      <c r="I1166" s="1" t="s">
        <v>23454</v>
      </c>
      <c r="J1166" s="1" t="s">
        <v>132</v>
      </c>
      <c r="K1166" s="1" t="s">
        <v>23454</v>
      </c>
      <c r="L1166" s="1" t="s">
        <v>132</v>
      </c>
      <c r="M1166" s="1" t="s">
        <v>23455</v>
      </c>
      <c r="N1166" s="1" t="s">
        <v>132</v>
      </c>
      <c r="O1166" s="1" t="s">
        <v>132</v>
      </c>
      <c r="P1166" s="1" t="s">
        <v>23454</v>
      </c>
      <c r="Q1166" s="1" t="s">
        <v>132</v>
      </c>
      <c r="R1166" s="1" t="s">
        <v>132</v>
      </c>
      <c r="S1166" s="1" t="s">
        <v>132</v>
      </c>
      <c r="T1166" s="1" t="s">
        <v>132</v>
      </c>
      <c r="U1166" s="1" t="s">
        <v>132</v>
      </c>
      <c r="V1166" s="1" t="s">
        <v>132</v>
      </c>
      <c r="W1166" s="1" t="s">
        <v>132</v>
      </c>
      <c r="X1166" s="1" t="s">
        <v>132</v>
      </c>
      <c r="Y1166" s="1" t="s">
        <v>132</v>
      </c>
      <c r="Z1166" s="1" t="s">
        <v>132</v>
      </c>
      <c r="AA1166" s="1" t="s">
        <v>132</v>
      </c>
      <c r="AB1166" s="1" t="s">
        <v>132</v>
      </c>
      <c r="AC1166" s="1" t="s">
        <v>23456</v>
      </c>
      <c r="AD1166" s="1" t="s">
        <v>132</v>
      </c>
      <c r="AE1166" s="1" t="s">
        <v>132</v>
      </c>
      <c r="AF1166" s="1" t="s">
        <v>23457</v>
      </c>
      <c r="AG1166" s="1" t="s">
        <v>132</v>
      </c>
      <c r="AH1166" s="1" t="s">
        <v>132</v>
      </c>
      <c r="AI1166" s="1" t="s">
        <v>132</v>
      </c>
      <c r="AJ1166" s="1" t="s">
        <v>132</v>
      </c>
      <c r="AK1166" s="1" t="s">
        <v>132</v>
      </c>
      <c r="AL1166" s="1" t="s">
        <v>132</v>
      </c>
      <c r="AM1166" s="1" t="s">
        <v>132</v>
      </c>
      <c r="AN1166" s="1" t="s">
        <v>132</v>
      </c>
    </row>
    <row r="1167" ht="15.75" customHeight="1">
      <c r="A1167" s="1" t="s">
        <v>38</v>
      </c>
      <c r="B1167" s="1" t="s">
        <v>23458</v>
      </c>
      <c r="C1167" s="1" t="s">
        <v>23459</v>
      </c>
      <c r="D1167" s="1" t="s">
        <v>132</v>
      </c>
      <c r="E1167" s="1" t="s">
        <v>132</v>
      </c>
      <c r="F1167" s="1" t="s">
        <v>132</v>
      </c>
      <c r="G1167" s="1" t="s">
        <v>132</v>
      </c>
      <c r="H1167" s="1" t="s">
        <v>132</v>
      </c>
      <c r="I1167" s="1" t="s">
        <v>23460</v>
      </c>
      <c r="J1167" s="1" t="s">
        <v>132</v>
      </c>
      <c r="K1167" s="1" t="s">
        <v>23461</v>
      </c>
      <c r="L1167" s="1" t="s">
        <v>132</v>
      </c>
      <c r="M1167" s="1" t="s">
        <v>23462</v>
      </c>
      <c r="N1167" s="1" t="s">
        <v>132</v>
      </c>
      <c r="O1167" s="1" t="s">
        <v>132</v>
      </c>
      <c r="P1167" s="1" t="s">
        <v>23459</v>
      </c>
      <c r="Q1167" s="1" t="s">
        <v>132</v>
      </c>
      <c r="R1167" s="1" t="s">
        <v>132</v>
      </c>
      <c r="S1167" s="1" t="s">
        <v>132</v>
      </c>
      <c r="T1167" s="1" t="s">
        <v>132</v>
      </c>
      <c r="U1167" s="1" t="s">
        <v>132</v>
      </c>
      <c r="V1167" s="1" t="s">
        <v>132</v>
      </c>
      <c r="W1167" s="1" t="s">
        <v>132</v>
      </c>
      <c r="X1167" s="1" t="s">
        <v>132</v>
      </c>
      <c r="Y1167" s="1" t="s">
        <v>132</v>
      </c>
      <c r="Z1167" s="1" t="s">
        <v>132</v>
      </c>
      <c r="AA1167" s="1" t="s">
        <v>132</v>
      </c>
      <c r="AB1167" s="1" t="s">
        <v>132</v>
      </c>
      <c r="AC1167" s="1" t="s">
        <v>23463</v>
      </c>
      <c r="AD1167" s="1" t="s">
        <v>132</v>
      </c>
      <c r="AE1167" s="1" t="s">
        <v>132</v>
      </c>
      <c r="AF1167" s="1" t="s">
        <v>23464</v>
      </c>
      <c r="AG1167" s="1" t="s">
        <v>132</v>
      </c>
      <c r="AH1167" s="1" t="s">
        <v>132</v>
      </c>
      <c r="AI1167" s="1" t="s">
        <v>132</v>
      </c>
      <c r="AJ1167" s="1" t="s">
        <v>132</v>
      </c>
      <c r="AK1167" s="1" t="s">
        <v>132</v>
      </c>
      <c r="AL1167" s="1" t="s">
        <v>132</v>
      </c>
      <c r="AM1167" s="1" t="s">
        <v>132</v>
      </c>
      <c r="AN1167" s="1" t="s">
        <v>132</v>
      </c>
    </row>
    <row r="1168" ht="15.75" customHeight="1">
      <c r="A1168" s="1" t="s">
        <v>127</v>
      </c>
      <c r="B1168" s="1" t="s">
        <v>23465</v>
      </c>
      <c r="C1168" s="1" t="s">
        <v>23466</v>
      </c>
      <c r="D1168" s="8" t="s">
        <v>23467</v>
      </c>
      <c r="E1168" s="1" t="s">
        <v>23468</v>
      </c>
      <c r="F1168" s="1" t="s">
        <v>132</v>
      </c>
      <c r="G1168" s="1" t="s">
        <v>23469</v>
      </c>
      <c r="H1168" s="1" t="s">
        <v>23470</v>
      </c>
      <c r="I1168" s="1" t="s">
        <v>23471</v>
      </c>
      <c r="J1168" s="1" t="s">
        <v>23466</v>
      </c>
      <c r="K1168" s="1" t="s">
        <v>23472</v>
      </c>
      <c r="L1168" s="1" t="s">
        <v>23473</v>
      </c>
      <c r="M1168" s="1" t="s">
        <v>23474</v>
      </c>
      <c r="N1168" s="1" t="s">
        <v>132</v>
      </c>
      <c r="O1168" s="1" t="s">
        <v>23475</v>
      </c>
      <c r="P1168" s="1" t="s">
        <v>23476</v>
      </c>
      <c r="Q1168" s="1" t="s">
        <v>132</v>
      </c>
      <c r="R1168" s="1" t="s">
        <v>23477</v>
      </c>
      <c r="S1168" s="1" t="s">
        <v>23478</v>
      </c>
      <c r="T1168" s="8" t="s">
        <v>23479</v>
      </c>
      <c r="U1168" s="1" t="s">
        <v>23480</v>
      </c>
      <c r="V1168" s="1" t="s">
        <v>23481</v>
      </c>
      <c r="W1168" s="1" t="s">
        <v>23482</v>
      </c>
      <c r="X1168" s="1" t="s">
        <v>23483</v>
      </c>
      <c r="Y1168" s="1" t="s">
        <v>23484</v>
      </c>
      <c r="Z1168" s="1" t="s">
        <v>23485</v>
      </c>
      <c r="AA1168" s="1" t="s">
        <v>23486</v>
      </c>
      <c r="AB1168" s="1" t="s">
        <v>23487</v>
      </c>
      <c r="AC1168" s="1" t="s">
        <v>23488</v>
      </c>
      <c r="AD1168" s="1" t="s">
        <v>23489</v>
      </c>
      <c r="AE1168" s="1" t="s">
        <v>23490</v>
      </c>
      <c r="AF1168" s="1" t="s">
        <v>23466</v>
      </c>
      <c r="AG1168" s="1" t="s">
        <v>23466</v>
      </c>
      <c r="AH1168" s="1" t="s">
        <v>23491</v>
      </c>
      <c r="AI1168" s="1" t="s">
        <v>23492</v>
      </c>
      <c r="AJ1168" s="1" t="s">
        <v>132</v>
      </c>
      <c r="AK1168" s="1" t="s">
        <v>23493</v>
      </c>
      <c r="AL1168" s="1" t="s">
        <v>23494</v>
      </c>
      <c r="AM1168" s="1" t="s">
        <v>23495</v>
      </c>
      <c r="AN1168" s="1" t="s">
        <v>23495</v>
      </c>
    </row>
    <row r="1169" ht="15.75" customHeight="1">
      <c r="A1169" s="1" t="s">
        <v>127</v>
      </c>
      <c r="B1169" s="1" t="s">
        <v>23496</v>
      </c>
      <c r="C1169" s="1" t="s">
        <v>23497</v>
      </c>
      <c r="D1169" s="8" t="s">
        <v>23498</v>
      </c>
      <c r="E1169" s="1" t="s">
        <v>23499</v>
      </c>
      <c r="F1169" s="1" t="s">
        <v>132</v>
      </c>
      <c r="G1169" s="1" t="s">
        <v>23500</v>
      </c>
      <c r="H1169" s="1" t="s">
        <v>23497</v>
      </c>
      <c r="I1169" s="1" t="s">
        <v>23497</v>
      </c>
      <c r="J1169" s="1" t="s">
        <v>23501</v>
      </c>
      <c r="K1169" s="1" t="s">
        <v>23502</v>
      </c>
      <c r="L1169" s="1" t="s">
        <v>23497</v>
      </c>
      <c r="M1169" s="1" t="s">
        <v>23497</v>
      </c>
      <c r="N1169" s="1" t="s">
        <v>132</v>
      </c>
      <c r="O1169" s="1" t="s">
        <v>23503</v>
      </c>
      <c r="P1169" s="1" t="s">
        <v>23497</v>
      </c>
      <c r="Q1169" s="1" t="s">
        <v>132</v>
      </c>
      <c r="R1169" s="1" t="s">
        <v>23497</v>
      </c>
      <c r="S1169" s="1" t="s">
        <v>23497</v>
      </c>
      <c r="T1169" s="8" t="s">
        <v>23504</v>
      </c>
      <c r="U1169" s="1" t="s">
        <v>23505</v>
      </c>
      <c r="V1169" s="1" t="s">
        <v>23506</v>
      </c>
      <c r="W1169" s="1" t="s">
        <v>23497</v>
      </c>
      <c r="X1169" s="1" t="s">
        <v>23497</v>
      </c>
      <c r="Y1169" s="1" t="s">
        <v>23497</v>
      </c>
      <c r="Z1169" s="1" t="s">
        <v>23507</v>
      </c>
      <c r="AA1169" s="1" t="s">
        <v>23497</v>
      </c>
      <c r="AB1169" s="1" t="s">
        <v>23497</v>
      </c>
      <c r="AC1169" s="1" t="s">
        <v>23508</v>
      </c>
      <c r="AD1169" s="1" t="s">
        <v>23509</v>
      </c>
      <c r="AE1169" s="1" t="s">
        <v>23510</v>
      </c>
      <c r="AF1169" s="1" t="s">
        <v>23497</v>
      </c>
      <c r="AG1169" s="1" t="s">
        <v>23497</v>
      </c>
      <c r="AH1169" s="1" t="s">
        <v>23511</v>
      </c>
      <c r="AI1169" s="1" t="s">
        <v>23507</v>
      </c>
      <c r="AJ1169" s="1" t="s">
        <v>132</v>
      </c>
      <c r="AK1169" s="1" t="s">
        <v>23512</v>
      </c>
      <c r="AL1169" s="1" t="s">
        <v>23513</v>
      </c>
      <c r="AM1169" s="1" t="s">
        <v>23514</v>
      </c>
      <c r="AN1169" s="1" t="s">
        <v>23514</v>
      </c>
    </row>
    <row r="1170" ht="15.75" customHeight="1">
      <c r="A1170" s="1" t="s">
        <v>38</v>
      </c>
      <c r="B1170" s="1" t="s">
        <v>23515</v>
      </c>
      <c r="C1170" s="1" t="s">
        <v>23516</v>
      </c>
      <c r="D1170" s="8" t="s">
        <v>23517</v>
      </c>
      <c r="E1170" s="1" t="s">
        <v>23518</v>
      </c>
      <c r="F1170" s="1" t="s">
        <v>23519</v>
      </c>
      <c r="G1170" s="1" t="s">
        <v>132</v>
      </c>
      <c r="H1170" s="1" t="s">
        <v>132</v>
      </c>
      <c r="I1170" s="1" t="s">
        <v>23520</v>
      </c>
      <c r="J1170" s="1" t="s">
        <v>132</v>
      </c>
      <c r="K1170" s="1" t="s">
        <v>23521</v>
      </c>
      <c r="L1170" s="1" t="s">
        <v>132</v>
      </c>
      <c r="M1170" s="1" t="s">
        <v>23522</v>
      </c>
      <c r="N1170" s="1" t="s">
        <v>23523</v>
      </c>
      <c r="O1170" s="1" t="s">
        <v>132</v>
      </c>
      <c r="P1170" s="1" t="s">
        <v>23524</v>
      </c>
      <c r="Q1170" s="1" t="s">
        <v>132</v>
      </c>
      <c r="R1170" s="1" t="s">
        <v>132</v>
      </c>
      <c r="S1170" s="1" t="s">
        <v>23525</v>
      </c>
      <c r="T1170" s="1" t="s">
        <v>132</v>
      </c>
      <c r="U1170" s="1" t="s">
        <v>23526</v>
      </c>
      <c r="V1170" s="1" t="s">
        <v>23527</v>
      </c>
      <c r="W1170" s="1" t="s">
        <v>132</v>
      </c>
      <c r="X1170" s="1" t="s">
        <v>23528</v>
      </c>
      <c r="Y1170" s="1" t="s">
        <v>132</v>
      </c>
      <c r="Z1170" s="1" t="s">
        <v>23529</v>
      </c>
      <c r="AA1170" s="1" t="s">
        <v>132</v>
      </c>
      <c r="AB1170" s="1" t="s">
        <v>132</v>
      </c>
      <c r="AC1170" s="1" t="s">
        <v>23530</v>
      </c>
      <c r="AD1170" s="1" t="s">
        <v>132</v>
      </c>
      <c r="AE1170" s="1" t="s">
        <v>132</v>
      </c>
      <c r="AF1170" s="1" t="s">
        <v>23531</v>
      </c>
      <c r="AG1170" s="1" t="s">
        <v>23532</v>
      </c>
      <c r="AH1170" s="1" t="s">
        <v>132</v>
      </c>
      <c r="AI1170" s="1" t="s">
        <v>132</v>
      </c>
      <c r="AJ1170" s="1" t="s">
        <v>23533</v>
      </c>
      <c r="AK1170" s="1" t="s">
        <v>132</v>
      </c>
      <c r="AL1170" s="1" t="s">
        <v>132</v>
      </c>
      <c r="AM1170" s="1" t="s">
        <v>23534</v>
      </c>
      <c r="AN1170" s="1" t="s">
        <v>23534</v>
      </c>
    </row>
    <row r="1171" ht="15.75" customHeight="1">
      <c r="A1171" s="1" t="s">
        <v>127</v>
      </c>
      <c r="B1171" s="1" t="s">
        <v>23535</v>
      </c>
      <c r="C1171" s="1" t="s">
        <v>23536</v>
      </c>
      <c r="D1171" s="8" t="s">
        <v>506</v>
      </c>
      <c r="E1171" s="1" t="s">
        <v>507</v>
      </c>
      <c r="F1171" s="1" t="s">
        <v>132</v>
      </c>
      <c r="G1171" s="1" t="s">
        <v>508</v>
      </c>
      <c r="H1171" s="1" t="s">
        <v>509</v>
      </c>
      <c r="I1171" s="1" t="s">
        <v>23537</v>
      </c>
      <c r="J1171" s="1" t="s">
        <v>511</v>
      </c>
      <c r="K1171" s="1" t="s">
        <v>23538</v>
      </c>
      <c r="L1171" s="1" t="s">
        <v>513</v>
      </c>
      <c r="M1171" s="1" t="s">
        <v>23536</v>
      </c>
      <c r="N1171" s="1" t="s">
        <v>132</v>
      </c>
      <c r="O1171" s="1" t="s">
        <v>515</v>
      </c>
      <c r="P1171" s="1" t="s">
        <v>23539</v>
      </c>
      <c r="Q1171" s="1" t="s">
        <v>132</v>
      </c>
      <c r="R1171" s="1" t="s">
        <v>517</v>
      </c>
      <c r="S1171" s="1" t="s">
        <v>23540</v>
      </c>
      <c r="T1171" s="8" t="s">
        <v>519</v>
      </c>
      <c r="U1171" s="1" t="s">
        <v>23541</v>
      </c>
      <c r="V1171" s="1" t="s">
        <v>521</v>
      </c>
      <c r="W1171" s="1" t="s">
        <v>522</v>
      </c>
      <c r="X1171" s="1" t="s">
        <v>23542</v>
      </c>
      <c r="Y1171" s="1" t="s">
        <v>524</v>
      </c>
      <c r="Z1171" s="1" t="s">
        <v>23543</v>
      </c>
      <c r="AA1171" s="1" t="s">
        <v>23544</v>
      </c>
      <c r="AB1171" s="1" t="s">
        <v>23545</v>
      </c>
      <c r="AC1171" s="1" t="s">
        <v>23546</v>
      </c>
      <c r="AD1171" s="1" t="s">
        <v>529</v>
      </c>
      <c r="AE1171" s="1" t="s">
        <v>23547</v>
      </c>
      <c r="AF1171" s="1" t="s">
        <v>23548</v>
      </c>
      <c r="AG1171" s="1" t="s">
        <v>532</v>
      </c>
      <c r="AH1171" s="1" t="s">
        <v>533</v>
      </c>
      <c r="AI1171" s="1" t="s">
        <v>23549</v>
      </c>
      <c r="AJ1171" s="1" t="s">
        <v>132</v>
      </c>
      <c r="AK1171" s="1" t="s">
        <v>535</v>
      </c>
      <c r="AL1171" s="1" t="s">
        <v>536</v>
      </c>
      <c r="AM1171" s="1" t="s">
        <v>23550</v>
      </c>
      <c r="AN1171" s="1" t="s">
        <v>23550</v>
      </c>
    </row>
    <row r="1172" ht="15.75" customHeight="1">
      <c r="A1172" s="1" t="s">
        <v>127</v>
      </c>
      <c r="B1172" s="1" t="s">
        <v>23551</v>
      </c>
      <c r="C1172" s="1" t="s">
        <v>23552</v>
      </c>
      <c r="D1172" s="8" t="s">
        <v>23553</v>
      </c>
      <c r="E1172" s="1" t="s">
        <v>23554</v>
      </c>
      <c r="F1172" s="1" t="s">
        <v>132</v>
      </c>
      <c r="G1172" s="1" t="s">
        <v>23555</v>
      </c>
      <c r="H1172" s="1" t="s">
        <v>23556</v>
      </c>
      <c r="I1172" s="1" t="s">
        <v>23552</v>
      </c>
      <c r="J1172" s="1" t="s">
        <v>23557</v>
      </c>
      <c r="K1172" s="1" t="s">
        <v>23552</v>
      </c>
      <c r="L1172" s="1" t="s">
        <v>23558</v>
      </c>
      <c r="M1172" s="1" t="s">
        <v>10236</v>
      </c>
      <c r="N1172" s="1" t="s">
        <v>132</v>
      </c>
      <c r="O1172" s="1" t="s">
        <v>23559</v>
      </c>
      <c r="P1172" s="1" t="s">
        <v>23552</v>
      </c>
      <c r="Q1172" s="1" t="s">
        <v>132</v>
      </c>
      <c r="R1172" s="1" t="s">
        <v>23560</v>
      </c>
      <c r="S1172" s="1" t="s">
        <v>23552</v>
      </c>
      <c r="T1172" s="8" t="s">
        <v>23561</v>
      </c>
      <c r="U1172" s="1" t="s">
        <v>23562</v>
      </c>
      <c r="V1172" s="1" t="s">
        <v>23563</v>
      </c>
      <c r="W1172" s="1" t="s">
        <v>23564</v>
      </c>
      <c r="X1172" s="1" t="s">
        <v>23565</v>
      </c>
      <c r="Y1172" s="1" t="s">
        <v>23566</v>
      </c>
      <c r="Z1172" s="1" t="s">
        <v>23552</v>
      </c>
      <c r="AA1172" s="1" t="s">
        <v>23567</v>
      </c>
      <c r="AB1172" s="1" t="s">
        <v>10245</v>
      </c>
      <c r="AC1172" s="1" t="s">
        <v>23568</v>
      </c>
      <c r="AD1172" s="1" t="s">
        <v>23569</v>
      </c>
      <c r="AE1172" s="1" t="s">
        <v>23570</v>
      </c>
      <c r="AF1172" s="1" t="s">
        <v>23552</v>
      </c>
      <c r="AG1172" s="1" t="s">
        <v>23571</v>
      </c>
      <c r="AH1172" s="1" t="s">
        <v>23572</v>
      </c>
      <c r="AI1172" s="1" t="s">
        <v>23573</v>
      </c>
      <c r="AJ1172" s="1" t="s">
        <v>132</v>
      </c>
      <c r="AK1172" s="1" t="s">
        <v>23574</v>
      </c>
      <c r="AL1172" s="1" t="s">
        <v>6979</v>
      </c>
      <c r="AM1172" s="1" t="s">
        <v>23575</v>
      </c>
      <c r="AN1172" s="1" t="s">
        <v>23575</v>
      </c>
    </row>
    <row r="1173" ht="15.75" customHeight="1">
      <c r="A1173" s="1" t="s">
        <v>127</v>
      </c>
      <c r="B1173" s="1" t="s">
        <v>23576</v>
      </c>
      <c r="C1173" s="1" t="s">
        <v>23577</v>
      </c>
      <c r="D1173" s="8" t="s">
        <v>23578</v>
      </c>
      <c r="E1173" s="1" t="s">
        <v>23579</v>
      </c>
      <c r="F1173" s="1" t="s">
        <v>132</v>
      </c>
      <c r="G1173" s="1" t="s">
        <v>23580</v>
      </c>
      <c r="H1173" s="1" t="s">
        <v>23581</v>
      </c>
      <c r="I1173" s="1" t="s">
        <v>23577</v>
      </c>
      <c r="J1173" s="1" t="s">
        <v>23582</v>
      </c>
      <c r="K1173" s="1" t="s">
        <v>23577</v>
      </c>
      <c r="L1173" s="1" t="s">
        <v>23583</v>
      </c>
      <c r="M1173" s="1" t="s">
        <v>6964</v>
      </c>
      <c r="N1173" s="1" t="s">
        <v>132</v>
      </c>
      <c r="O1173" s="1" t="s">
        <v>23584</v>
      </c>
      <c r="P1173" s="1" t="s">
        <v>23577</v>
      </c>
      <c r="Q1173" s="1" t="s">
        <v>132</v>
      </c>
      <c r="R1173" s="1" t="s">
        <v>23585</v>
      </c>
      <c r="S1173" s="1" t="s">
        <v>23577</v>
      </c>
      <c r="T1173" s="8" t="s">
        <v>23586</v>
      </c>
      <c r="U1173" s="1" t="s">
        <v>23587</v>
      </c>
      <c r="V1173" s="1" t="s">
        <v>23588</v>
      </c>
      <c r="W1173" s="1" t="s">
        <v>23585</v>
      </c>
      <c r="X1173" s="1" t="s">
        <v>23589</v>
      </c>
      <c r="Y1173" s="1" t="s">
        <v>23590</v>
      </c>
      <c r="Z1173" s="1" t="s">
        <v>23577</v>
      </c>
      <c r="AA1173" s="1" t="s">
        <v>23591</v>
      </c>
      <c r="AB1173" s="1" t="s">
        <v>6972</v>
      </c>
      <c r="AC1173" s="1" t="s">
        <v>23592</v>
      </c>
      <c r="AD1173" s="1" t="s">
        <v>23593</v>
      </c>
      <c r="AE1173" s="1" t="s">
        <v>23594</v>
      </c>
      <c r="AF1173" s="1" t="s">
        <v>23577</v>
      </c>
      <c r="AG1173" s="1" t="s">
        <v>23595</v>
      </c>
      <c r="AH1173" s="1" t="s">
        <v>23596</v>
      </c>
      <c r="AI1173" s="1" t="s">
        <v>23597</v>
      </c>
      <c r="AJ1173" s="1" t="s">
        <v>132</v>
      </c>
      <c r="AK1173" s="1" t="s">
        <v>23598</v>
      </c>
      <c r="AL1173" s="1" t="s">
        <v>10253</v>
      </c>
      <c r="AM1173" s="1" t="s">
        <v>23599</v>
      </c>
      <c r="AN1173" s="1" t="s">
        <v>23599</v>
      </c>
    </row>
    <row r="1174" ht="15.75" customHeight="1">
      <c r="A1174" s="1" t="s">
        <v>127</v>
      </c>
      <c r="B1174" s="1" t="s">
        <v>23600</v>
      </c>
      <c r="C1174" s="1" t="s">
        <v>23601</v>
      </c>
      <c r="D1174" s="8" t="s">
        <v>23602</v>
      </c>
      <c r="E1174" s="1" t="s">
        <v>23603</v>
      </c>
      <c r="F1174" s="1" t="s">
        <v>132</v>
      </c>
      <c r="G1174" s="1" t="s">
        <v>23604</v>
      </c>
      <c r="H1174" s="1" t="s">
        <v>23605</v>
      </c>
      <c r="I1174" s="1" t="s">
        <v>23606</v>
      </c>
      <c r="J1174" s="1" t="s">
        <v>23607</v>
      </c>
      <c r="K1174" s="1" t="s">
        <v>23608</v>
      </c>
      <c r="L1174" s="1" t="s">
        <v>23609</v>
      </c>
      <c r="M1174" s="1" t="s">
        <v>23610</v>
      </c>
      <c r="N1174" s="1" t="s">
        <v>132</v>
      </c>
      <c r="O1174" s="1" t="s">
        <v>23611</v>
      </c>
      <c r="P1174" s="1" t="s">
        <v>23612</v>
      </c>
      <c r="Q1174" s="1" t="s">
        <v>132</v>
      </c>
      <c r="R1174" s="1" t="s">
        <v>23613</v>
      </c>
      <c r="S1174" s="1" t="s">
        <v>23614</v>
      </c>
      <c r="T1174" s="8" t="s">
        <v>3826</v>
      </c>
      <c r="U1174" s="1" t="s">
        <v>23615</v>
      </c>
      <c r="V1174" s="1" t="s">
        <v>23616</v>
      </c>
      <c r="W1174" s="1" t="s">
        <v>23613</v>
      </c>
      <c r="X1174" s="1" t="s">
        <v>23617</v>
      </c>
      <c r="Y1174" s="1" t="s">
        <v>23618</v>
      </c>
      <c r="Z1174" s="1" t="s">
        <v>23619</v>
      </c>
      <c r="AA1174" s="1" t="s">
        <v>23620</v>
      </c>
      <c r="AB1174" s="1" t="s">
        <v>23621</v>
      </c>
      <c r="AC1174" s="1" t="s">
        <v>23622</v>
      </c>
      <c r="AD1174" s="1" t="s">
        <v>23623</v>
      </c>
      <c r="AE1174" s="1" t="s">
        <v>23624</v>
      </c>
      <c r="AF1174" s="1" t="s">
        <v>23625</v>
      </c>
      <c r="AG1174" s="1" t="s">
        <v>23626</v>
      </c>
      <c r="AH1174" s="1" t="s">
        <v>23627</v>
      </c>
      <c r="AI1174" s="1" t="s">
        <v>23628</v>
      </c>
      <c r="AJ1174" s="1" t="s">
        <v>132</v>
      </c>
      <c r="AK1174" s="1" t="s">
        <v>23629</v>
      </c>
      <c r="AL1174" s="1" t="s">
        <v>23630</v>
      </c>
      <c r="AM1174" s="1" t="s">
        <v>132</v>
      </c>
      <c r="AN1174" s="1" t="s">
        <v>132</v>
      </c>
    </row>
    <row r="1175" ht="15.75" customHeight="1">
      <c r="A1175" s="1" t="s">
        <v>38</v>
      </c>
      <c r="B1175" s="1" t="s">
        <v>23631</v>
      </c>
      <c r="C1175" s="1" t="s">
        <v>132</v>
      </c>
      <c r="D1175" s="1" t="s">
        <v>132</v>
      </c>
      <c r="E1175" s="1" t="s">
        <v>132</v>
      </c>
      <c r="F1175" s="1" t="s">
        <v>132</v>
      </c>
      <c r="G1175" s="1" t="s">
        <v>132</v>
      </c>
      <c r="H1175" s="1" t="s">
        <v>132</v>
      </c>
      <c r="I1175" s="1" t="s">
        <v>132</v>
      </c>
      <c r="J1175" s="1" t="s">
        <v>132</v>
      </c>
      <c r="K1175" s="1" t="s">
        <v>132</v>
      </c>
      <c r="L1175" s="1" t="s">
        <v>132</v>
      </c>
      <c r="M1175" s="1" t="s">
        <v>132</v>
      </c>
      <c r="N1175" s="1" t="s">
        <v>132</v>
      </c>
      <c r="O1175" s="1" t="s">
        <v>132</v>
      </c>
      <c r="P1175" s="1" t="s">
        <v>132</v>
      </c>
      <c r="Q1175" s="1" t="s">
        <v>132</v>
      </c>
      <c r="R1175" s="1" t="s">
        <v>132</v>
      </c>
      <c r="S1175" s="1" t="s">
        <v>132</v>
      </c>
      <c r="T1175" s="1" t="s">
        <v>132</v>
      </c>
      <c r="U1175" s="1" t="s">
        <v>132</v>
      </c>
      <c r="V1175" s="1" t="s">
        <v>132</v>
      </c>
      <c r="W1175" s="1" t="s">
        <v>132</v>
      </c>
      <c r="X1175" s="1" t="s">
        <v>132</v>
      </c>
      <c r="Y1175" s="1" t="s">
        <v>132</v>
      </c>
      <c r="Z1175" s="1" t="s">
        <v>132</v>
      </c>
      <c r="AA1175" s="1" t="s">
        <v>132</v>
      </c>
      <c r="AB1175" s="1" t="s">
        <v>132</v>
      </c>
      <c r="AC1175" s="1" t="s">
        <v>132</v>
      </c>
      <c r="AD1175" s="1" t="s">
        <v>132</v>
      </c>
      <c r="AE1175" s="1" t="s">
        <v>132</v>
      </c>
      <c r="AF1175" s="1" t="s">
        <v>132</v>
      </c>
      <c r="AG1175" s="1" t="s">
        <v>132</v>
      </c>
      <c r="AH1175" s="1" t="s">
        <v>132</v>
      </c>
      <c r="AI1175" s="1" t="s">
        <v>132</v>
      </c>
      <c r="AJ1175" s="1" t="s">
        <v>132</v>
      </c>
      <c r="AK1175" s="1" t="s">
        <v>132</v>
      </c>
      <c r="AL1175" s="1" t="s">
        <v>132</v>
      </c>
      <c r="AM1175" s="1" t="s">
        <v>132</v>
      </c>
      <c r="AN1175" s="1" t="s">
        <v>132</v>
      </c>
    </row>
    <row r="1176" ht="15.75" customHeight="1">
      <c r="A1176" s="1" t="s">
        <v>127</v>
      </c>
      <c r="B1176" s="1" t="s">
        <v>23632</v>
      </c>
      <c r="C1176" s="1" t="s">
        <v>23633</v>
      </c>
      <c r="D1176" s="8" t="s">
        <v>23634</v>
      </c>
      <c r="E1176" s="1" t="s">
        <v>23633</v>
      </c>
      <c r="F1176" s="1" t="s">
        <v>132</v>
      </c>
      <c r="G1176" s="1" t="s">
        <v>23641</v>
      </c>
      <c r="H1176" s="1" t="s">
        <v>23633</v>
      </c>
      <c r="I1176" s="1" t="s">
        <v>23633</v>
      </c>
      <c r="J1176" s="1" t="s">
        <v>23633</v>
      </c>
      <c r="K1176" s="1" t="s">
        <v>23633</v>
      </c>
      <c r="L1176" s="1" t="s">
        <v>23633</v>
      </c>
      <c r="M1176" s="1" t="s">
        <v>19577</v>
      </c>
      <c r="N1176" s="1" t="s">
        <v>132</v>
      </c>
      <c r="O1176" s="1" t="s">
        <v>23635</v>
      </c>
      <c r="P1176" s="1" t="s">
        <v>23633</v>
      </c>
      <c r="Q1176" s="1" t="s">
        <v>132</v>
      </c>
      <c r="R1176" s="1" t="s">
        <v>23636</v>
      </c>
      <c r="S1176" s="1" t="s">
        <v>23633</v>
      </c>
      <c r="T1176" s="8" t="s">
        <v>23637</v>
      </c>
      <c r="U1176" s="1" t="s">
        <v>19580</v>
      </c>
      <c r="V1176" s="1" t="s">
        <v>23638</v>
      </c>
      <c r="W1176" s="1" t="s">
        <v>23636</v>
      </c>
      <c r="X1176" s="1" t="s">
        <v>23633</v>
      </c>
      <c r="Y1176" s="1" t="s">
        <v>23633</v>
      </c>
      <c r="Z1176" s="1" t="s">
        <v>23639</v>
      </c>
      <c r="AA1176" s="1" t="s">
        <v>23633</v>
      </c>
      <c r="AB1176" s="1" t="s">
        <v>43271</v>
      </c>
      <c r="AC1176" s="1" t="s">
        <v>19584</v>
      </c>
      <c r="AD1176" s="1" t="s">
        <v>23641</v>
      </c>
      <c r="AE1176" s="1" t="s">
        <v>23633</v>
      </c>
      <c r="AF1176" s="1" t="s">
        <v>23633</v>
      </c>
      <c r="AG1176" s="1" t="s">
        <v>23633</v>
      </c>
      <c r="AH1176" s="1" t="s">
        <v>23633</v>
      </c>
      <c r="AI1176" s="1" t="s">
        <v>23633</v>
      </c>
      <c r="AJ1176" s="1" t="s">
        <v>132</v>
      </c>
      <c r="AK1176" s="1" t="s">
        <v>23641</v>
      </c>
      <c r="AL1176" s="1" t="s">
        <v>19586</v>
      </c>
      <c r="AM1176" s="1" t="s">
        <v>19587</v>
      </c>
      <c r="AN1176" s="1" t="s">
        <v>19587</v>
      </c>
    </row>
    <row r="1177" ht="15.75" customHeight="1">
      <c r="A1177" s="1" t="s">
        <v>127</v>
      </c>
      <c r="B1177" s="1" t="s">
        <v>23642</v>
      </c>
      <c r="C1177" s="1" t="s">
        <v>23643</v>
      </c>
      <c r="D1177" s="8" t="s">
        <v>11307</v>
      </c>
      <c r="E1177" s="1" t="s">
        <v>23644</v>
      </c>
      <c r="F1177" s="1" t="s">
        <v>132</v>
      </c>
      <c r="G1177" s="1" t="s">
        <v>23645</v>
      </c>
      <c r="H1177" s="1" t="s">
        <v>23646</v>
      </c>
      <c r="I1177" s="1" t="s">
        <v>23643</v>
      </c>
      <c r="J1177" s="1" t="s">
        <v>23647</v>
      </c>
      <c r="K1177" s="1" t="s">
        <v>23643</v>
      </c>
      <c r="L1177" s="1" t="s">
        <v>23643</v>
      </c>
      <c r="M1177" s="1" t="s">
        <v>23648</v>
      </c>
      <c r="N1177" s="1" t="s">
        <v>132</v>
      </c>
      <c r="O1177" s="1" t="s">
        <v>23649</v>
      </c>
      <c r="P1177" s="1" t="s">
        <v>23643</v>
      </c>
      <c r="Q1177" s="1" t="s">
        <v>132</v>
      </c>
      <c r="R1177" s="1" t="s">
        <v>23650</v>
      </c>
      <c r="S1177" s="1" t="s">
        <v>23643</v>
      </c>
      <c r="T1177" s="8" t="s">
        <v>23651</v>
      </c>
      <c r="U1177" s="1" t="s">
        <v>23652</v>
      </c>
      <c r="V1177" s="1" t="s">
        <v>23653</v>
      </c>
      <c r="W1177" s="1" t="s">
        <v>23650</v>
      </c>
      <c r="X1177" s="1" t="s">
        <v>23643</v>
      </c>
      <c r="Y1177" s="1" t="s">
        <v>23646</v>
      </c>
      <c r="Z1177" s="1" t="s">
        <v>23643</v>
      </c>
      <c r="AA1177" s="1" t="s">
        <v>23654</v>
      </c>
      <c r="AB1177" s="1" t="s">
        <v>23655</v>
      </c>
      <c r="AC1177" s="1" t="s">
        <v>11310</v>
      </c>
      <c r="AD1177" s="1" t="s">
        <v>23656</v>
      </c>
      <c r="AE1177" s="1" t="s">
        <v>23657</v>
      </c>
      <c r="AF1177" s="1" t="s">
        <v>23643</v>
      </c>
      <c r="AG1177" s="1" t="s">
        <v>23658</v>
      </c>
      <c r="AH1177" s="1" t="s">
        <v>11306</v>
      </c>
      <c r="AI1177" s="1" t="s">
        <v>23659</v>
      </c>
      <c r="AJ1177" s="1" t="s">
        <v>132</v>
      </c>
      <c r="AK1177" s="1" t="s">
        <v>23660</v>
      </c>
      <c r="AL1177" s="1" t="s">
        <v>11312</v>
      </c>
      <c r="AM1177" s="1" t="s">
        <v>11313</v>
      </c>
      <c r="AN1177" s="1" t="s">
        <v>11313</v>
      </c>
    </row>
    <row r="1178" ht="15.75" customHeight="1">
      <c r="A1178" s="1" t="s">
        <v>127</v>
      </c>
      <c r="B1178" s="1" t="s">
        <v>23661</v>
      </c>
      <c r="C1178" s="1" t="s">
        <v>23662</v>
      </c>
      <c r="D1178" s="8" t="s">
        <v>23663</v>
      </c>
      <c r="E1178" s="1" t="s">
        <v>23664</v>
      </c>
      <c r="F1178" s="1" t="s">
        <v>132</v>
      </c>
      <c r="G1178" s="1" t="s">
        <v>23665</v>
      </c>
      <c r="H1178" s="1" t="s">
        <v>23666</v>
      </c>
      <c r="I1178" s="1" t="s">
        <v>23667</v>
      </c>
      <c r="J1178" s="1" t="s">
        <v>23668</v>
      </c>
      <c r="K1178" s="1" t="s">
        <v>23669</v>
      </c>
      <c r="L1178" s="1" t="s">
        <v>23670</v>
      </c>
      <c r="M1178" s="1" t="s">
        <v>23671</v>
      </c>
      <c r="N1178" s="1" t="s">
        <v>132</v>
      </c>
      <c r="O1178" s="1" t="s">
        <v>23672</v>
      </c>
      <c r="P1178" s="1" t="s">
        <v>23673</v>
      </c>
      <c r="Q1178" s="1" t="s">
        <v>132</v>
      </c>
      <c r="R1178" s="1" t="s">
        <v>23674</v>
      </c>
      <c r="S1178" s="1" t="s">
        <v>23675</v>
      </c>
      <c r="T1178" s="8" t="s">
        <v>23676</v>
      </c>
      <c r="U1178" s="1" t="s">
        <v>23677</v>
      </c>
      <c r="V1178" s="1" t="s">
        <v>23678</v>
      </c>
      <c r="W1178" s="1" t="s">
        <v>23679</v>
      </c>
      <c r="X1178" s="1" t="s">
        <v>23680</v>
      </c>
      <c r="Y1178" s="1" t="s">
        <v>23681</v>
      </c>
      <c r="Z1178" s="1" t="s">
        <v>23682</v>
      </c>
      <c r="AA1178" s="1" t="s">
        <v>23683</v>
      </c>
      <c r="AB1178" s="1" t="s">
        <v>23684</v>
      </c>
      <c r="AC1178" s="1" t="s">
        <v>23685</v>
      </c>
      <c r="AD1178" s="1" t="s">
        <v>23686</v>
      </c>
      <c r="AE1178" s="1" t="s">
        <v>23687</v>
      </c>
      <c r="AF1178" s="1" t="s">
        <v>23688</v>
      </c>
      <c r="AG1178" s="1" t="s">
        <v>23689</v>
      </c>
      <c r="AH1178" s="1" t="s">
        <v>23690</v>
      </c>
      <c r="AI1178" s="1" t="s">
        <v>23691</v>
      </c>
      <c r="AJ1178" s="1" t="s">
        <v>132</v>
      </c>
      <c r="AK1178" s="1" t="s">
        <v>23692</v>
      </c>
      <c r="AL1178" s="1" t="s">
        <v>23693</v>
      </c>
      <c r="AM1178" s="1" t="s">
        <v>132</v>
      </c>
      <c r="AN1178" s="1" t="s">
        <v>132</v>
      </c>
    </row>
    <row r="1179" ht="15.75" customHeight="1">
      <c r="A1179" s="1" t="s">
        <v>38</v>
      </c>
      <c r="B1179" s="1" t="s">
        <v>23694</v>
      </c>
      <c r="C1179" s="1" t="s">
        <v>23695</v>
      </c>
      <c r="D1179" s="1" t="s">
        <v>132</v>
      </c>
      <c r="E1179" s="1" t="s">
        <v>132</v>
      </c>
      <c r="F1179" s="1" t="s">
        <v>132</v>
      </c>
      <c r="G1179" s="1" t="s">
        <v>132</v>
      </c>
      <c r="H1179" s="1" t="s">
        <v>132</v>
      </c>
      <c r="I1179" s="1" t="s">
        <v>23696</v>
      </c>
      <c r="J1179" s="1" t="s">
        <v>132</v>
      </c>
      <c r="K1179" s="1" t="s">
        <v>23697</v>
      </c>
      <c r="L1179" s="1" t="s">
        <v>132</v>
      </c>
      <c r="M1179" s="1" t="s">
        <v>23698</v>
      </c>
      <c r="N1179" s="1" t="s">
        <v>132</v>
      </c>
      <c r="O1179" s="1" t="s">
        <v>132</v>
      </c>
      <c r="P1179" s="1" t="s">
        <v>23695</v>
      </c>
      <c r="Q1179" s="1" t="s">
        <v>132</v>
      </c>
      <c r="R1179" s="1" t="s">
        <v>132</v>
      </c>
      <c r="S1179" s="1" t="s">
        <v>132</v>
      </c>
      <c r="T1179" s="1" t="s">
        <v>132</v>
      </c>
      <c r="U1179" s="1" t="s">
        <v>132</v>
      </c>
      <c r="V1179" s="1" t="s">
        <v>132</v>
      </c>
      <c r="W1179" s="1" t="s">
        <v>132</v>
      </c>
      <c r="X1179" s="1" t="s">
        <v>132</v>
      </c>
      <c r="Y1179" s="1" t="s">
        <v>132</v>
      </c>
      <c r="Z1179" s="1" t="s">
        <v>132</v>
      </c>
      <c r="AA1179" s="1" t="s">
        <v>132</v>
      </c>
      <c r="AB1179" s="1" t="s">
        <v>132</v>
      </c>
      <c r="AC1179" s="1" t="s">
        <v>23699</v>
      </c>
      <c r="AD1179" s="1" t="s">
        <v>132</v>
      </c>
      <c r="AE1179" s="1" t="s">
        <v>132</v>
      </c>
      <c r="AF1179" s="1" t="s">
        <v>23696</v>
      </c>
      <c r="AG1179" s="1" t="s">
        <v>132</v>
      </c>
      <c r="AH1179" s="1" t="s">
        <v>132</v>
      </c>
      <c r="AI1179" s="1" t="s">
        <v>132</v>
      </c>
      <c r="AJ1179" s="1" t="s">
        <v>132</v>
      </c>
      <c r="AK1179" s="1" t="s">
        <v>132</v>
      </c>
      <c r="AL1179" s="1" t="s">
        <v>132</v>
      </c>
      <c r="AM1179" s="1" t="s">
        <v>132</v>
      </c>
      <c r="AN1179" s="1" t="s">
        <v>132</v>
      </c>
    </row>
    <row r="1180" ht="15.75" customHeight="1">
      <c r="A1180" s="1" t="s">
        <v>127</v>
      </c>
      <c r="B1180" s="1" t="s">
        <v>23700</v>
      </c>
      <c r="C1180" s="1" t="s">
        <v>23701</v>
      </c>
      <c r="D1180" s="8" t="s">
        <v>23702</v>
      </c>
      <c r="E1180" s="1" t="s">
        <v>23703</v>
      </c>
      <c r="F1180" s="1" t="s">
        <v>132</v>
      </c>
      <c r="G1180" s="1" t="s">
        <v>23704</v>
      </c>
      <c r="H1180" s="1" t="s">
        <v>23705</v>
      </c>
      <c r="I1180" s="1" t="s">
        <v>23701</v>
      </c>
      <c r="J1180" s="1" t="s">
        <v>23706</v>
      </c>
      <c r="K1180" s="1" t="s">
        <v>23701</v>
      </c>
      <c r="L1180" s="1" t="s">
        <v>23707</v>
      </c>
      <c r="M1180" s="1" t="s">
        <v>23708</v>
      </c>
      <c r="N1180" s="1" t="s">
        <v>132</v>
      </c>
      <c r="O1180" s="1" t="s">
        <v>23709</v>
      </c>
      <c r="P1180" s="1" t="s">
        <v>23701</v>
      </c>
      <c r="Q1180" s="1" t="s">
        <v>132</v>
      </c>
      <c r="R1180" s="1" t="s">
        <v>23710</v>
      </c>
      <c r="S1180" s="1" t="s">
        <v>23701</v>
      </c>
      <c r="T1180" s="8" t="s">
        <v>23711</v>
      </c>
      <c r="U1180" s="1" t="s">
        <v>23712</v>
      </c>
      <c r="V1180" s="1" t="s">
        <v>23713</v>
      </c>
      <c r="W1180" s="1" t="s">
        <v>23710</v>
      </c>
      <c r="X1180" s="1" t="s">
        <v>23714</v>
      </c>
      <c r="Y1180" s="1" t="s">
        <v>23715</v>
      </c>
      <c r="Z1180" s="1" t="s">
        <v>23701</v>
      </c>
      <c r="AA1180" s="1" t="s">
        <v>23701</v>
      </c>
      <c r="AB1180" s="1" t="s">
        <v>23716</v>
      </c>
      <c r="AC1180" s="1" t="s">
        <v>23717</v>
      </c>
      <c r="AD1180" s="1" t="s">
        <v>23718</v>
      </c>
      <c r="AE1180" s="1" t="s">
        <v>23719</v>
      </c>
      <c r="AF1180" s="1" t="s">
        <v>23701</v>
      </c>
      <c r="AG1180" s="1" t="s">
        <v>23720</v>
      </c>
      <c r="AH1180" s="1" t="s">
        <v>23721</v>
      </c>
      <c r="AI1180" s="1" t="s">
        <v>23722</v>
      </c>
      <c r="AJ1180" s="1" t="s">
        <v>132</v>
      </c>
      <c r="AK1180" s="1" t="s">
        <v>23723</v>
      </c>
      <c r="AL1180" s="1" t="s">
        <v>23724</v>
      </c>
      <c r="AM1180" s="1" t="s">
        <v>23725</v>
      </c>
      <c r="AN1180" s="1" t="s">
        <v>23725</v>
      </c>
    </row>
    <row r="1181" ht="15.75" customHeight="1">
      <c r="A1181" s="1" t="s">
        <v>127</v>
      </c>
      <c r="B1181" s="1" t="s">
        <v>23726</v>
      </c>
      <c r="C1181" s="1" t="s">
        <v>9555</v>
      </c>
      <c r="D1181" s="8" t="s">
        <v>23727</v>
      </c>
      <c r="E1181" s="1" t="s">
        <v>9555</v>
      </c>
      <c r="F1181" s="1" t="s">
        <v>132</v>
      </c>
      <c r="G1181" s="1" t="s">
        <v>9555</v>
      </c>
      <c r="H1181" s="1" t="s">
        <v>9555</v>
      </c>
      <c r="I1181" s="1" t="s">
        <v>9555</v>
      </c>
      <c r="J1181" s="1" t="s">
        <v>9555</v>
      </c>
      <c r="K1181" s="1" t="s">
        <v>9555</v>
      </c>
      <c r="L1181" s="1" t="s">
        <v>9555</v>
      </c>
      <c r="M1181" s="1" t="s">
        <v>9555</v>
      </c>
      <c r="N1181" s="1" t="s">
        <v>132</v>
      </c>
      <c r="O1181" s="1" t="s">
        <v>9599</v>
      </c>
      <c r="P1181" s="1" t="s">
        <v>9555</v>
      </c>
      <c r="Q1181" s="1" t="s">
        <v>132</v>
      </c>
      <c r="R1181" s="1" t="s">
        <v>9555</v>
      </c>
      <c r="S1181" s="1" t="s">
        <v>9555</v>
      </c>
      <c r="T1181" s="8" t="s">
        <v>9600</v>
      </c>
      <c r="U1181" s="1" t="s">
        <v>9555</v>
      </c>
      <c r="V1181" s="1" t="s">
        <v>9555</v>
      </c>
      <c r="W1181" s="1" t="s">
        <v>9555</v>
      </c>
      <c r="X1181" s="1" t="s">
        <v>9555</v>
      </c>
      <c r="Y1181" s="1" t="s">
        <v>9555</v>
      </c>
      <c r="Z1181" s="1" t="s">
        <v>9555</v>
      </c>
      <c r="AA1181" s="1" t="s">
        <v>9555</v>
      </c>
      <c r="AB1181" s="1" t="s">
        <v>9555</v>
      </c>
      <c r="AC1181" s="1" t="s">
        <v>9601</v>
      </c>
      <c r="AD1181" s="1" t="s">
        <v>9555</v>
      </c>
      <c r="AE1181" s="1" t="s">
        <v>9555</v>
      </c>
      <c r="AF1181" s="1" t="s">
        <v>9555</v>
      </c>
      <c r="AG1181" s="1" t="s">
        <v>9555</v>
      </c>
      <c r="AH1181" s="1" t="s">
        <v>9555</v>
      </c>
      <c r="AI1181" s="1" t="s">
        <v>9555</v>
      </c>
      <c r="AJ1181" s="1" t="s">
        <v>132</v>
      </c>
      <c r="AK1181" s="1" t="s">
        <v>9555</v>
      </c>
      <c r="AL1181" s="1" t="s">
        <v>9602</v>
      </c>
      <c r="AM1181" s="1" t="s">
        <v>9603</v>
      </c>
      <c r="AN1181" s="1" t="s">
        <v>9603</v>
      </c>
    </row>
    <row r="1182" ht="15.75" customHeight="1">
      <c r="A1182" s="1" t="s">
        <v>127</v>
      </c>
      <c r="B1182" s="1" t="s">
        <v>23728</v>
      </c>
      <c r="C1182" s="1" t="s">
        <v>18573</v>
      </c>
      <c r="D1182" s="8" t="s">
        <v>18574</v>
      </c>
      <c r="E1182" s="1" t="s">
        <v>18575</v>
      </c>
      <c r="F1182" s="1" t="s">
        <v>132</v>
      </c>
      <c r="G1182" s="1" t="s">
        <v>18576</v>
      </c>
      <c r="H1182" s="1" t="s">
        <v>18577</v>
      </c>
      <c r="I1182" s="1" t="s">
        <v>18573</v>
      </c>
      <c r="J1182" s="1" t="s">
        <v>23729</v>
      </c>
      <c r="K1182" s="1" t="s">
        <v>18573</v>
      </c>
      <c r="L1182" s="1" t="s">
        <v>18573</v>
      </c>
      <c r="M1182" s="1" t="s">
        <v>18579</v>
      </c>
      <c r="N1182" s="1" t="s">
        <v>132</v>
      </c>
      <c r="O1182" s="1" t="s">
        <v>18580</v>
      </c>
      <c r="P1182" s="1" t="s">
        <v>18573</v>
      </c>
      <c r="Q1182" s="1" t="s">
        <v>132</v>
      </c>
      <c r="R1182" s="1" t="s">
        <v>18581</v>
      </c>
      <c r="S1182" s="1" t="s">
        <v>18573</v>
      </c>
      <c r="T1182" s="8" t="s">
        <v>18582</v>
      </c>
      <c r="U1182" s="1" t="s">
        <v>18583</v>
      </c>
      <c r="V1182" s="1" t="s">
        <v>18584</v>
      </c>
      <c r="W1182" s="1" t="s">
        <v>18581</v>
      </c>
      <c r="X1182" s="1" t="s">
        <v>18573</v>
      </c>
      <c r="Y1182" s="1" t="s">
        <v>18573</v>
      </c>
      <c r="Z1182" s="1" t="s">
        <v>18573</v>
      </c>
      <c r="AA1182" s="1" t="s">
        <v>18573</v>
      </c>
      <c r="AB1182" s="1" t="s">
        <v>18585</v>
      </c>
      <c r="AC1182" s="1" t="s">
        <v>18586</v>
      </c>
      <c r="AD1182" s="1" t="s">
        <v>18587</v>
      </c>
      <c r="AE1182" s="1" t="s">
        <v>18588</v>
      </c>
      <c r="AF1182" s="1" t="s">
        <v>18573</v>
      </c>
      <c r="AG1182" s="1" t="s">
        <v>18589</v>
      </c>
      <c r="AH1182" s="1" t="s">
        <v>18590</v>
      </c>
      <c r="AI1182" s="1" t="s">
        <v>23730</v>
      </c>
      <c r="AJ1182" s="1" t="s">
        <v>132</v>
      </c>
      <c r="AK1182" s="1" t="s">
        <v>18592</v>
      </c>
      <c r="AL1182" s="1" t="s">
        <v>18593</v>
      </c>
      <c r="AM1182" s="1" t="s">
        <v>18594</v>
      </c>
      <c r="AN1182" s="1" t="s">
        <v>18594</v>
      </c>
    </row>
    <row r="1183" ht="15.75" customHeight="1">
      <c r="A1183" s="1" t="s">
        <v>127</v>
      </c>
      <c r="B1183" s="1" t="s">
        <v>23731</v>
      </c>
      <c r="C1183" s="1" t="s">
        <v>23732</v>
      </c>
      <c r="D1183" s="8" t="s">
        <v>23733</v>
      </c>
      <c r="E1183" s="1" t="s">
        <v>23734</v>
      </c>
      <c r="F1183" s="1" t="s">
        <v>132</v>
      </c>
      <c r="G1183" s="1" t="s">
        <v>23735</v>
      </c>
      <c r="H1183" s="1" t="s">
        <v>23736</v>
      </c>
      <c r="I1183" s="1" t="s">
        <v>23732</v>
      </c>
      <c r="J1183" s="1" t="s">
        <v>23737</v>
      </c>
      <c r="K1183" s="1" t="s">
        <v>23738</v>
      </c>
      <c r="L1183" s="1" t="s">
        <v>23739</v>
      </c>
      <c r="M1183" s="1" t="s">
        <v>23740</v>
      </c>
      <c r="N1183" s="1" t="s">
        <v>132</v>
      </c>
      <c r="O1183" s="1" t="s">
        <v>23741</v>
      </c>
      <c r="P1183" s="1" t="s">
        <v>23732</v>
      </c>
      <c r="Q1183" s="1" t="s">
        <v>132</v>
      </c>
      <c r="R1183" s="1" t="s">
        <v>23742</v>
      </c>
      <c r="S1183" s="1" t="s">
        <v>23732</v>
      </c>
      <c r="T1183" s="8" t="s">
        <v>23743</v>
      </c>
      <c r="U1183" s="1" t="s">
        <v>23744</v>
      </c>
      <c r="V1183" s="1" t="s">
        <v>23745</v>
      </c>
      <c r="W1183" s="1" t="s">
        <v>23746</v>
      </c>
      <c r="X1183" s="1" t="s">
        <v>23747</v>
      </c>
      <c r="Y1183" s="1" t="s">
        <v>23748</v>
      </c>
      <c r="Z1183" s="1" t="s">
        <v>23749</v>
      </c>
      <c r="AA1183" s="1" t="s">
        <v>23750</v>
      </c>
      <c r="AB1183" s="1" t="s">
        <v>23751</v>
      </c>
      <c r="AC1183" s="1" t="s">
        <v>23752</v>
      </c>
      <c r="AD1183" s="1" t="s">
        <v>23753</v>
      </c>
      <c r="AE1183" s="1" t="s">
        <v>23754</v>
      </c>
      <c r="AF1183" s="1" t="s">
        <v>23732</v>
      </c>
      <c r="AG1183" s="1" t="s">
        <v>23755</v>
      </c>
      <c r="AH1183" s="1" t="s">
        <v>23756</v>
      </c>
      <c r="AI1183" s="1" t="s">
        <v>23757</v>
      </c>
      <c r="AJ1183" s="1" t="s">
        <v>132</v>
      </c>
      <c r="AK1183" s="1" t="s">
        <v>23758</v>
      </c>
      <c r="AL1183" s="1" t="s">
        <v>23759</v>
      </c>
      <c r="AM1183" s="1" t="s">
        <v>23760</v>
      </c>
      <c r="AN1183" s="1" t="s">
        <v>23760</v>
      </c>
    </row>
    <row r="1184" ht="15.75" customHeight="1">
      <c r="A1184" s="1" t="s">
        <v>127</v>
      </c>
      <c r="B1184" s="1" t="s">
        <v>23761</v>
      </c>
      <c r="C1184" s="1" t="s">
        <v>23762</v>
      </c>
      <c r="D1184" s="8" t="s">
        <v>23763</v>
      </c>
      <c r="E1184" s="1" t="s">
        <v>23764</v>
      </c>
      <c r="F1184" s="1" t="s">
        <v>132</v>
      </c>
      <c r="G1184" s="1" t="s">
        <v>23765</v>
      </c>
      <c r="H1184" s="1" t="s">
        <v>23766</v>
      </c>
      <c r="I1184" s="1" t="s">
        <v>23767</v>
      </c>
      <c r="J1184" s="1" t="s">
        <v>23768</v>
      </c>
      <c r="K1184" s="1" t="s">
        <v>23769</v>
      </c>
      <c r="L1184" s="1" t="s">
        <v>23770</v>
      </c>
      <c r="M1184" s="1" t="s">
        <v>23771</v>
      </c>
      <c r="N1184" s="1" t="s">
        <v>132</v>
      </c>
      <c r="O1184" s="1" t="s">
        <v>23772</v>
      </c>
      <c r="P1184" s="1" t="s">
        <v>23773</v>
      </c>
      <c r="Q1184" s="1" t="s">
        <v>132</v>
      </c>
      <c r="R1184" s="1" t="s">
        <v>23774</v>
      </c>
      <c r="S1184" s="1" t="s">
        <v>23775</v>
      </c>
      <c r="T1184" s="8" t="s">
        <v>23776</v>
      </c>
      <c r="U1184" s="1" t="s">
        <v>23777</v>
      </c>
      <c r="V1184" s="1" t="s">
        <v>23778</v>
      </c>
      <c r="W1184" s="1" t="s">
        <v>23779</v>
      </c>
      <c r="X1184" s="1" t="s">
        <v>23780</v>
      </c>
      <c r="Y1184" s="1" t="s">
        <v>23781</v>
      </c>
      <c r="Z1184" s="1" t="s">
        <v>23782</v>
      </c>
      <c r="AA1184" s="1" t="s">
        <v>23783</v>
      </c>
      <c r="AB1184" s="1" t="s">
        <v>23784</v>
      </c>
      <c r="AC1184" s="1" t="s">
        <v>23785</v>
      </c>
      <c r="AD1184" s="1" t="s">
        <v>23786</v>
      </c>
      <c r="AE1184" s="1" t="s">
        <v>23787</v>
      </c>
      <c r="AF1184" s="1" t="s">
        <v>23788</v>
      </c>
      <c r="AG1184" s="1" t="s">
        <v>23789</v>
      </c>
      <c r="AH1184" s="1" t="s">
        <v>23790</v>
      </c>
      <c r="AI1184" s="1" t="s">
        <v>23791</v>
      </c>
      <c r="AJ1184" s="1" t="s">
        <v>132</v>
      </c>
      <c r="AK1184" s="1" t="s">
        <v>23792</v>
      </c>
      <c r="AL1184" s="1" t="s">
        <v>23793</v>
      </c>
      <c r="AM1184" s="1" t="s">
        <v>23794</v>
      </c>
      <c r="AN1184" s="1" t="s">
        <v>23794</v>
      </c>
    </row>
    <row r="1185" ht="15.75" customHeight="1">
      <c r="A1185" s="1" t="s">
        <v>127</v>
      </c>
      <c r="B1185" s="1" t="s">
        <v>23795</v>
      </c>
      <c r="C1185" s="1" t="s">
        <v>23796</v>
      </c>
      <c r="D1185" s="8" t="s">
        <v>23797</v>
      </c>
      <c r="E1185" s="1" t="s">
        <v>23798</v>
      </c>
      <c r="F1185" s="1" t="s">
        <v>132</v>
      </c>
      <c r="G1185" s="1" t="s">
        <v>23799</v>
      </c>
      <c r="H1185" s="1" t="s">
        <v>23800</v>
      </c>
      <c r="I1185" s="1" t="s">
        <v>23801</v>
      </c>
      <c r="J1185" s="1" t="s">
        <v>23802</v>
      </c>
      <c r="K1185" s="1" t="s">
        <v>23803</v>
      </c>
      <c r="L1185" s="1" t="s">
        <v>23804</v>
      </c>
      <c r="M1185" s="1" t="s">
        <v>23805</v>
      </c>
      <c r="N1185" s="1" t="s">
        <v>132</v>
      </c>
      <c r="O1185" s="1" t="s">
        <v>23806</v>
      </c>
      <c r="P1185" s="1" t="s">
        <v>23796</v>
      </c>
      <c r="Q1185" s="1" t="s">
        <v>132</v>
      </c>
      <c r="R1185" s="1" t="s">
        <v>23807</v>
      </c>
      <c r="S1185" s="1" t="s">
        <v>23796</v>
      </c>
      <c r="T1185" s="8" t="s">
        <v>23808</v>
      </c>
      <c r="U1185" s="1" t="s">
        <v>23809</v>
      </c>
      <c r="V1185" s="1" t="s">
        <v>23810</v>
      </c>
      <c r="W1185" s="1" t="s">
        <v>23811</v>
      </c>
      <c r="X1185" s="1" t="s">
        <v>23812</v>
      </c>
      <c r="Y1185" s="1" t="s">
        <v>23813</v>
      </c>
      <c r="Z1185" s="1" t="s">
        <v>23814</v>
      </c>
      <c r="AA1185" s="1" t="s">
        <v>23815</v>
      </c>
      <c r="AB1185" s="1" t="s">
        <v>23816</v>
      </c>
      <c r="AC1185" s="1" t="s">
        <v>23817</v>
      </c>
      <c r="AD1185" s="1" t="s">
        <v>23818</v>
      </c>
      <c r="AE1185" s="1" t="s">
        <v>23819</v>
      </c>
      <c r="AF1185" s="1" t="s">
        <v>23796</v>
      </c>
      <c r="AG1185" s="1" t="s">
        <v>23820</v>
      </c>
      <c r="AH1185" s="1" t="s">
        <v>23821</v>
      </c>
      <c r="AI1185" s="1" t="s">
        <v>23822</v>
      </c>
      <c r="AJ1185" s="1" t="s">
        <v>132</v>
      </c>
      <c r="AK1185" s="1" t="s">
        <v>23823</v>
      </c>
      <c r="AL1185" s="1" t="s">
        <v>23824</v>
      </c>
      <c r="AM1185" s="1" t="s">
        <v>23825</v>
      </c>
      <c r="AN1185" s="1" t="s">
        <v>23825</v>
      </c>
    </row>
    <row r="1186" ht="15.75" customHeight="1">
      <c r="A1186" s="1" t="s">
        <v>38</v>
      </c>
      <c r="B1186" s="1" t="s">
        <v>23826</v>
      </c>
      <c r="C1186" s="1" t="s">
        <v>23827</v>
      </c>
      <c r="D1186" s="1" t="s">
        <v>132</v>
      </c>
      <c r="E1186" s="1" t="s">
        <v>132</v>
      </c>
      <c r="F1186" s="1" t="s">
        <v>132</v>
      </c>
      <c r="G1186" s="1" t="s">
        <v>132</v>
      </c>
      <c r="H1186" s="1" t="s">
        <v>132</v>
      </c>
      <c r="I1186" s="1" t="s">
        <v>23828</v>
      </c>
      <c r="J1186" s="1" t="s">
        <v>132</v>
      </c>
      <c r="K1186" s="1" t="s">
        <v>23827</v>
      </c>
      <c r="L1186" s="1" t="s">
        <v>132</v>
      </c>
      <c r="M1186" s="1" t="s">
        <v>23829</v>
      </c>
      <c r="N1186" s="1" t="s">
        <v>132</v>
      </c>
      <c r="O1186" s="1" t="s">
        <v>132</v>
      </c>
      <c r="P1186" s="1" t="s">
        <v>23827</v>
      </c>
      <c r="Q1186" s="1" t="s">
        <v>132</v>
      </c>
      <c r="R1186" s="1" t="s">
        <v>132</v>
      </c>
      <c r="S1186" s="1" t="s">
        <v>132</v>
      </c>
      <c r="T1186" s="1" t="s">
        <v>132</v>
      </c>
      <c r="U1186" s="1" t="s">
        <v>132</v>
      </c>
      <c r="V1186" s="1" t="s">
        <v>132</v>
      </c>
      <c r="W1186" s="1" t="s">
        <v>132</v>
      </c>
      <c r="X1186" s="1" t="s">
        <v>132</v>
      </c>
      <c r="Y1186" s="1" t="s">
        <v>132</v>
      </c>
      <c r="Z1186" s="1" t="s">
        <v>132</v>
      </c>
      <c r="AA1186" s="1" t="s">
        <v>132</v>
      </c>
      <c r="AB1186" s="1" t="s">
        <v>132</v>
      </c>
      <c r="AC1186" s="1" t="s">
        <v>23830</v>
      </c>
      <c r="AD1186" s="1" t="s">
        <v>132</v>
      </c>
      <c r="AE1186" s="1" t="s">
        <v>132</v>
      </c>
      <c r="AF1186" s="1" t="s">
        <v>23827</v>
      </c>
      <c r="AG1186" s="1" t="s">
        <v>132</v>
      </c>
      <c r="AH1186" s="1" t="s">
        <v>132</v>
      </c>
      <c r="AI1186" s="1" t="s">
        <v>132</v>
      </c>
      <c r="AJ1186" s="1" t="s">
        <v>132</v>
      </c>
      <c r="AK1186" s="1" t="s">
        <v>132</v>
      </c>
      <c r="AL1186" s="1" t="s">
        <v>132</v>
      </c>
      <c r="AM1186" s="1" t="s">
        <v>132</v>
      </c>
      <c r="AN1186" s="1" t="s">
        <v>132</v>
      </c>
    </row>
    <row r="1187" ht="15.75" customHeight="1">
      <c r="A1187" s="1" t="s">
        <v>127</v>
      </c>
      <c r="B1187" s="1" t="s">
        <v>23831</v>
      </c>
      <c r="C1187" s="1" t="s">
        <v>23832</v>
      </c>
      <c r="D1187" s="8" t="s">
        <v>23833</v>
      </c>
      <c r="E1187" s="1" t="s">
        <v>23834</v>
      </c>
      <c r="F1187" s="1" t="s">
        <v>132</v>
      </c>
      <c r="G1187" s="1" t="s">
        <v>23835</v>
      </c>
      <c r="H1187" s="1" t="s">
        <v>23836</v>
      </c>
      <c r="I1187" s="1" t="s">
        <v>23837</v>
      </c>
      <c r="J1187" s="1" t="s">
        <v>23838</v>
      </c>
      <c r="K1187" s="1" t="s">
        <v>23839</v>
      </c>
      <c r="L1187" s="1" t="s">
        <v>23840</v>
      </c>
      <c r="M1187" s="1" t="s">
        <v>23841</v>
      </c>
      <c r="N1187" s="1" t="s">
        <v>132</v>
      </c>
      <c r="O1187" s="1" t="s">
        <v>23842</v>
      </c>
      <c r="P1187" s="1" t="s">
        <v>23843</v>
      </c>
      <c r="Q1187" s="1" t="s">
        <v>132</v>
      </c>
      <c r="R1187" s="1" t="s">
        <v>23844</v>
      </c>
      <c r="S1187" s="1" t="s">
        <v>23845</v>
      </c>
      <c r="T1187" s="8" t="s">
        <v>23846</v>
      </c>
      <c r="U1187" s="1" t="s">
        <v>23847</v>
      </c>
      <c r="V1187" s="1" t="s">
        <v>23848</v>
      </c>
      <c r="W1187" s="1" t="s">
        <v>23849</v>
      </c>
      <c r="X1187" s="1" t="s">
        <v>23850</v>
      </c>
      <c r="Y1187" s="1" t="s">
        <v>23851</v>
      </c>
      <c r="Z1187" s="1" t="s">
        <v>23852</v>
      </c>
      <c r="AA1187" s="1" t="s">
        <v>23853</v>
      </c>
      <c r="AB1187" s="1" t="s">
        <v>23854</v>
      </c>
      <c r="AC1187" s="1" t="s">
        <v>23855</v>
      </c>
      <c r="AD1187" s="1" t="s">
        <v>23856</v>
      </c>
      <c r="AE1187" s="1" t="s">
        <v>23857</v>
      </c>
      <c r="AF1187" s="1" t="s">
        <v>23858</v>
      </c>
      <c r="AG1187" s="1" t="s">
        <v>23859</v>
      </c>
      <c r="AH1187" s="1" t="s">
        <v>23860</v>
      </c>
      <c r="AI1187" s="1" t="s">
        <v>23861</v>
      </c>
      <c r="AJ1187" s="1" t="s">
        <v>132</v>
      </c>
      <c r="AK1187" s="1" t="s">
        <v>23862</v>
      </c>
      <c r="AL1187" s="1" t="s">
        <v>23863</v>
      </c>
      <c r="AM1187" s="1" t="s">
        <v>23864</v>
      </c>
      <c r="AN1187" s="1" t="s">
        <v>23864</v>
      </c>
    </row>
    <row r="1188" ht="15.75" customHeight="1">
      <c r="A1188" s="1" t="s">
        <v>38</v>
      </c>
      <c r="B1188" s="1" t="s">
        <v>23865</v>
      </c>
      <c r="C1188" s="1" t="s">
        <v>23866</v>
      </c>
      <c r="D1188" s="1" t="s">
        <v>132</v>
      </c>
      <c r="E1188" s="1" t="s">
        <v>132</v>
      </c>
      <c r="F1188" s="1" t="s">
        <v>132</v>
      </c>
      <c r="G1188" s="1" t="s">
        <v>132</v>
      </c>
      <c r="H1188" s="1" t="s">
        <v>132</v>
      </c>
      <c r="I1188" s="1" t="s">
        <v>132</v>
      </c>
      <c r="J1188" s="1" t="s">
        <v>132</v>
      </c>
      <c r="K1188" s="1" t="s">
        <v>132</v>
      </c>
      <c r="L1188" s="1" t="s">
        <v>132</v>
      </c>
      <c r="M1188" s="1" t="s">
        <v>132</v>
      </c>
      <c r="N1188" s="1" t="s">
        <v>132</v>
      </c>
      <c r="O1188" s="1" t="s">
        <v>132</v>
      </c>
      <c r="P1188" s="1" t="s">
        <v>132</v>
      </c>
      <c r="Q1188" s="1" t="s">
        <v>132</v>
      </c>
      <c r="R1188" s="1" t="s">
        <v>132</v>
      </c>
      <c r="S1188" s="1" t="s">
        <v>132</v>
      </c>
      <c r="T1188" s="1" t="s">
        <v>132</v>
      </c>
      <c r="U1188" s="1" t="s">
        <v>132</v>
      </c>
      <c r="V1188" s="1" t="s">
        <v>132</v>
      </c>
      <c r="W1188" s="1" t="s">
        <v>132</v>
      </c>
      <c r="X1188" s="1" t="s">
        <v>132</v>
      </c>
      <c r="Y1188" s="1" t="s">
        <v>132</v>
      </c>
      <c r="Z1188" s="1" t="s">
        <v>132</v>
      </c>
      <c r="AA1188" s="1" t="s">
        <v>132</v>
      </c>
      <c r="AB1188" s="1" t="s">
        <v>132</v>
      </c>
      <c r="AC1188" s="1" t="s">
        <v>132</v>
      </c>
      <c r="AD1188" s="1" t="s">
        <v>132</v>
      </c>
      <c r="AE1188" s="1" t="s">
        <v>132</v>
      </c>
      <c r="AF1188" s="1" t="s">
        <v>132</v>
      </c>
      <c r="AG1188" s="1" t="s">
        <v>132</v>
      </c>
      <c r="AH1188" s="1" t="s">
        <v>132</v>
      </c>
      <c r="AI1188" s="1" t="s">
        <v>132</v>
      </c>
      <c r="AJ1188" s="1" t="s">
        <v>132</v>
      </c>
      <c r="AK1188" s="1" t="s">
        <v>132</v>
      </c>
      <c r="AL1188" s="1" t="s">
        <v>132</v>
      </c>
      <c r="AM1188" s="1" t="s">
        <v>132</v>
      </c>
      <c r="AN1188" s="1" t="s">
        <v>132</v>
      </c>
    </row>
    <row r="1189" ht="15.75" customHeight="1">
      <c r="A1189" s="1" t="s">
        <v>127</v>
      </c>
      <c r="B1189" s="1" t="s">
        <v>23867</v>
      </c>
      <c r="C1189" s="1" t="s">
        <v>23868</v>
      </c>
      <c r="D1189" s="8" t="s">
        <v>23869</v>
      </c>
      <c r="E1189" s="1" t="s">
        <v>23870</v>
      </c>
      <c r="F1189" s="1" t="s">
        <v>132</v>
      </c>
      <c r="G1189" s="1" t="s">
        <v>23871</v>
      </c>
      <c r="H1189" s="1" t="s">
        <v>23872</v>
      </c>
      <c r="I1189" s="1" t="s">
        <v>23873</v>
      </c>
      <c r="J1189" s="1" t="s">
        <v>23874</v>
      </c>
      <c r="K1189" s="1" t="s">
        <v>23875</v>
      </c>
      <c r="L1189" s="1" t="s">
        <v>23876</v>
      </c>
      <c r="M1189" s="1" t="s">
        <v>23877</v>
      </c>
      <c r="N1189" s="1" t="s">
        <v>132</v>
      </c>
      <c r="O1189" s="1" t="s">
        <v>23878</v>
      </c>
      <c r="P1189" s="1" t="s">
        <v>23879</v>
      </c>
      <c r="Q1189" s="1" t="s">
        <v>132</v>
      </c>
      <c r="R1189" s="1" t="s">
        <v>23880</v>
      </c>
      <c r="S1189" s="1" t="s">
        <v>23881</v>
      </c>
      <c r="T1189" s="8" t="s">
        <v>23882</v>
      </c>
      <c r="U1189" s="1" t="s">
        <v>23883</v>
      </c>
      <c r="V1189" s="1" t="s">
        <v>23884</v>
      </c>
      <c r="W1189" s="1" t="s">
        <v>23885</v>
      </c>
      <c r="X1189" s="1" t="s">
        <v>23886</v>
      </c>
      <c r="Y1189" s="1" t="s">
        <v>23887</v>
      </c>
      <c r="Z1189" s="1" t="s">
        <v>23888</v>
      </c>
      <c r="AA1189" s="1" t="s">
        <v>23889</v>
      </c>
      <c r="AB1189" s="1" t="s">
        <v>23890</v>
      </c>
      <c r="AC1189" s="1" t="s">
        <v>23891</v>
      </c>
      <c r="AD1189" s="1" t="s">
        <v>23892</v>
      </c>
      <c r="AE1189" s="1" t="s">
        <v>23893</v>
      </c>
      <c r="AF1189" s="1" t="s">
        <v>23894</v>
      </c>
      <c r="AG1189" s="1" t="s">
        <v>23895</v>
      </c>
      <c r="AH1189" s="1" t="s">
        <v>23896</v>
      </c>
      <c r="AI1189" s="1" t="s">
        <v>23897</v>
      </c>
      <c r="AJ1189" s="1" t="s">
        <v>132</v>
      </c>
      <c r="AK1189" s="1" t="s">
        <v>23898</v>
      </c>
      <c r="AL1189" s="1" t="s">
        <v>23899</v>
      </c>
      <c r="AM1189" s="1" t="s">
        <v>132</v>
      </c>
      <c r="AN1189" s="1" t="s">
        <v>132</v>
      </c>
    </row>
    <row r="1190" ht="15.75" customHeight="1">
      <c r="A1190" s="1" t="s">
        <v>38</v>
      </c>
      <c r="B1190" s="1" t="s">
        <v>23900</v>
      </c>
      <c r="C1190" s="1" t="s">
        <v>23901</v>
      </c>
      <c r="D1190" s="8" t="s">
        <v>23902</v>
      </c>
      <c r="E1190" s="1" t="s">
        <v>23903</v>
      </c>
      <c r="F1190" s="1" t="s">
        <v>23904</v>
      </c>
      <c r="G1190" s="1" t="s">
        <v>132</v>
      </c>
      <c r="H1190" s="1" t="s">
        <v>132</v>
      </c>
      <c r="I1190" s="1" t="s">
        <v>23905</v>
      </c>
      <c r="J1190" s="1" t="s">
        <v>132</v>
      </c>
      <c r="K1190" s="1" t="s">
        <v>23906</v>
      </c>
      <c r="L1190" s="1" t="s">
        <v>132</v>
      </c>
      <c r="M1190" s="1" t="s">
        <v>23907</v>
      </c>
      <c r="N1190" s="1" t="s">
        <v>23908</v>
      </c>
      <c r="O1190" s="1" t="s">
        <v>132</v>
      </c>
      <c r="P1190" s="1" t="s">
        <v>23909</v>
      </c>
      <c r="Q1190" s="1" t="s">
        <v>23910</v>
      </c>
      <c r="R1190" s="1" t="s">
        <v>132</v>
      </c>
      <c r="S1190" s="1" t="s">
        <v>23911</v>
      </c>
      <c r="T1190" s="1" t="s">
        <v>132</v>
      </c>
      <c r="U1190" s="1" t="s">
        <v>23912</v>
      </c>
      <c r="V1190" s="1" t="s">
        <v>23913</v>
      </c>
      <c r="W1190" s="1" t="s">
        <v>132</v>
      </c>
      <c r="X1190" s="1" t="s">
        <v>23914</v>
      </c>
      <c r="Y1190" s="1" t="s">
        <v>132</v>
      </c>
      <c r="Z1190" s="1" t="s">
        <v>23915</v>
      </c>
      <c r="AA1190" s="1" t="s">
        <v>23908</v>
      </c>
      <c r="AB1190" s="1" t="s">
        <v>132</v>
      </c>
      <c r="AC1190" s="1" t="s">
        <v>23916</v>
      </c>
      <c r="AD1190" s="1" t="s">
        <v>23917</v>
      </c>
      <c r="AE1190" s="1" t="s">
        <v>132</v>
      </c>
      <c r="AF1190" s="1" t="s">
        <v>23918</v>
      </c>
      <c r="AG1190" s="1" t="s">
        <v>23919</v>
      </c>
      <c r="AH1190" s="1" t="s">
        <v>132</v>
      </c>
      <c r="AI1190" s="1" t="s">
        <v>132</v>
      </c>
      <c r="AJ1190" s="1" t="s">
        <v>23920</v>
      </c>
      <c r="AK1190" s="1" t="s">
        <v>23921</v>
      </c>
      <c r="AL1190" s="1" t="s">
        <v>132</v>
      </c>
      <c r="AM1190" s="1" t="s">
        <v>23922</v>
      </c>
      <c r="AN1190" s="1" t="s">
        <v>23922</v>
      </c>
    </row>
    <row r="1191" ht="15.75" customHeight="1">
      <c r="A1191" s="1" t="s">
        <v>38</v>
      </c>
      <c r="B1191" s="1" t="s">
        <v>23923</v>
      </c>
      <c r="C1191" s="1" t="s">
        <v>23924</v>
      </c>
      <c r="D1191" s="8" t="s">
        <v>23925</v>
      </c>
      <c r="E1191" s="1" t="s">
        <v>23926</v>
      </c>
      <c r="F1191" s="1" t="s">
        <v>23927</v>
      </c>
      <c r="G1191" s="1" t="s">
        <v>132</v>
      </c>
      <c r="H1191" s="1" t="s">
        <v>132</v>
      </c>
      <c r="I1191" s="1" t="s">
        <v>23928</v>
      </c>
      <c r="J1191" s="1" t="s">
        <v>132</v>
      </c>
      <c r="K1191" s="1" t="s">
        <v>23929</v>
      </c>
      <c r="L1191" s="1" t="s">
        <v>132</v>
      </c>
      <c r="M1191" s="1" t="s">
        <v>23930</v>
      </c>
      <c r="N1191" s="1" t="s">
        <v>23931</v>
      </c>
      <c r="O1191" s="1" t="s">
        <v>132</v>
      </c>
      <c r="P1191" s="1" t="s">
        <v>23932</v>
      </c>
      <c r="Q1191" s="1" t="s">
        <v>23933</v>
      </c>
      <c r="R1191" s="1" t="s">
        <v>132</v>
      </c>
      <c r="S1191" s="1" t="s">
        <v>23934</v>
      </c>
      <c r="T1191" s="1" t="s">
        <v>132</v>
      </c>
      <c r="U1191" s="1" t="s">
        <v>23935</v>
      </c>
      <c r="V1191" s="1" t="s">
        <v>23936</v>
      </c>
      <c r="W1191" s="1" t="s">
        <v>132</v>
      </c>
      <c r="X1191" s="1" t="s">
        <v>23937</v>
      </c>
      <c r="Y1191" s="1" t="s">
        <v>132</v>
      </c>
      <c r="Z1191" s="1" t="s">
        <v>23938</v>
      </c>
      <c r="AA1191" s="1" t="s">
        <v>23939</v>
      </c>
      <c r="AB1191" s="1" t="s">
        <v>132</v>
      </c>
      <c r="AC1191" s="1" t="s">
        <v>23940</v>
      </c>
      <c r="AD1191" s="1" t="s">
        <v>23941</v>
      </c>
      <c r="AE1191" s="1" t="s">
        <v>132</v>
      </c>
      <c r="AF1191" s="1" t="s">
        <v>23942</v>
      </c>
      <c r="AG1191" s="1" t="s">
        <v>23943</v>
      </c>
      <c r="AH1191" s="1" t="s">
        <v>132</v>
      </c>
      <c r="AI1191" s="1" t="s">
        <v>132</v>
      </c>
      <c r="AJ1191" s="1" t="s">
        <v>23944</v>
      </c>
      <c r="AK1191" s="1" t="s">
        <v>23945</v>
      </c>
      <c r="AL1191" s="1" t="s">
        <v>132</v>
      </c>
      <c r="AM1191" s="1" t="s">
        <v>23946</v>
      </c>
      <c r="AN1191" s="1" t="s">
        <v>23946</v>
      </c>
    </row>
    <row r="1192" ht="15.75" customHeight="1">
      <c r="A1192" s="1" t="s">
        <v>38</v>
      </c>
      <c r="B1192" s="1" t="s">
        <v>23947</v>
      </c>
      <c r="C1192" s="1" t="s">
        <v>23948</v>
      </c>
      <c r="D1192" s="1" t="s">
        <v>132</v>
      </c>
      <c r="E1192" s="1" t="s">
        <v>132</v>
      </c>
      <c r="F1192" s="1" t="s">
        <v>132</v>
      </c>
      <c r="G1192" s="1" t="s">
        <v>132</v>
      </c>
      <c r="H1192" s="1" t="s">
        <v>132</v>
      </c>
      <c r="I1192" s="1" t="s">
        <v>23949</v>
      </c>
      <c r="J1192" s="1" t="s">
        <v>132</v>
      </c>
      <c r="K1192" s="1" t="s">
        <v>23948</v>
      </c>
      <c r="L1192" s="1" t="s">
        <v>132</v>
      </c>
      <c r="M1192" s="1" t="s">
        <v>23950</v>
      </c>
      <c r="N1192" s="1" t="s">
        <v>132</v>
      </c>
      <c r="O1192" s="1" t="s">
        <v>132</v>
      </c>
      <c r="P1192" s="1" t="s">
        <v>23948</v>
      </c>
      <c r="Q1192" s="1" t="s">
        <v>132</v>
      </c>
      <c r="R1192" s="1" t="s">
        <v>132</v>
      </c>
      <c r="S1192" s="1" t="s">
        <v>132</v>
      </c>
      <c r="T1192" s="1" t="s">
        <v>132</v>
      </c>
      <c r="U1192" s="1" t="s">
        <v>132</v>
      </c>
      <c r="V1192" s="1" t="s">
        <v>132</v>
      </c>
      <c r="W1192" s="1" t="s">
        <v>132</v>
      </c>
      <c r="X1192" s="1" t="s">
        <v>132</v>
      </c>
      <c r="Y1192" s="1" t="s">
        <v>132</v>
      </c>
      <c r="Z1192" s="1" t="s">
        <v>132</v>
      </c>
      <c r="AA1192" s="1" t="s">
        <v>132</v>
      </c>
      <c r="AB1192" s="1" t="s">
        <v>132</v>
      </c>
      <c r="AC1192" s="1" t="s">
        <v>23951</v>
      </c>
      <c r="AD1192" s="1" t="s">
        <v>132</v>
      </c>
      <c r="AE1192" s="1" t="s">
        <v>132</v>
      </c>
      <c r="AF1192" s="1" t="s">
        <v>23949</v>
      </c>
      <c r="AG1192" s="1" t="s">
        <v>132</v>
      </c>
      <c r="AH1192" s="1" t="s">
        <v>132</v>
      </c>
      <c r="AI1192" s="1" t="s">
        <v>132</v>
      </c>
      <c r="AJ1192" s="1" t="s">
        <v>132</v>
      </c>
      <c r="AK1192" s="1" t="s">
        <v>132</v>
      </c>
      <c r="AL1192" s="1" t="s">
        <v>132</v>
      </c>
      <c r="AM1192" s="1" t="s">
        <v>132</v>
      </c>
      <c r="AN1192" s="1" t="s">
        <v>132</v>
      </c>
    </row>
    <row r="1193" ht="15.75" customHeight="1">
      <c r="A1193" s="1" t="s">
        <v>127</v>
      </c>
      <c r="B1193" s="1" t="s">
        <v>23952</v>
      </c>
      <c r="C1193" s="1" t="s">
        <v>3279</v>
      </c>
      <c r="D1193" s="8" t="s">
        <v>23953</v>
      </c>
      <c r="E1193" s="1" t="s">
        <v>23954</v>
      </c>
      <c r="F1193" s="1" t="s">
        <v>132</v>
      </c>
      <c r="G1193" s="1" t="s">
        <v>23955</v>
      </c>
      <c r="H1193" s="1" t="s">
        <v>23956</v>
      </c>
      <c r="I1193" s="1" t="s">
        <v>3279</v>
      </c>
      <c r="J1193" s="1" t="s">
        <v>3279</v>
      </c>
      <c r="K1193" s="1" t="s">
        <v>3279</v>
      </c>
      <c r="L1193" s="1" t="s">
        <v>23957</v>
      </c>
      <c r="M1193" s="1" t="s">
        <v>3279</v>
      </c>
      <c r="N1193" s="1" t="s">
        <v>132</v>
      </c>
      <c r="O1193" s="1" t="s">
        <v>23958</v>
      </c>
      <c r="P1193" s="1" t="s">
        <v>3279</v>
      </c>
      <c r="Q1193" s="1" t="s">
        <v>132</v>
      </c>
      <c r="R1193" s="1" t="s">
        <v>23959</v>
      </c>
      <c r="S1193" s="1" t="s">
        <v>3279</v>
      </c>
      <c r="T1193" s="8" t="s">
        <v>23960</v>
      </c>
      <c r="U1193" s="1" t="s">
        <v>3279</v>
      </c>
      <c r="V1193" s="1" t="s">
        <v>3279</v>
      </c>
      <c r="W1193" s="1" t="s">
        <v>23959</v>
      </c>
      <c r="X1193" s="1" t="s">
        <v>3279</v>
      </c>
      <c r="Y1193" s="1" t="s">
        <v>23956</v>
      </c>
      <c r="Z1193" s="1" t="s">
        <v>3279</v>
      </c>
      <c r="AA1193" s="1" t="s">
        <v>3279</v>
      </c>
      <c r="AB1193" s="1" t="s">
        <v>3279</v>
      </c>
      <c r="AC1193" s="1" t="s">
        <v>23961</v>
      </c>
      <c r="AD1193" s="1" t="s">
        <v>3279</v>
      </c>
      <c r="AE1193" s="1" t="s">
        <v>23962</v>
      </c>
      <c r="AF1193" s="1" t="s">
        <v>3279</v>
      </c>
      <c r="AG1193" s="1" t="s">
        <v>3279</v>
      </c>
      <c r="AH1193" s="1" t="s">
        <v>3279</v>
      </c>
      <c r="AI1193" s="1" t="s">
        <v>23963</v>
      </c>
      <c r="AJ1193" s="1" t="s">
        <v>132</v>
      </c>
      <c r="AK1193" s="1" t="s">
        <v>3279</v>
      </c>
      <c r="AL1193" s="1" t="s">
        <v>23964</v>
      </c>
      <c r="AM1193" s="1" t="s">
        <v>23965</v>
      </c>
      <c r="AN1193" s="1" t="s">
        <v>23965</v>
      </c>
    </row>
    <row r="1194" ht="15.75" customHeight="1">
      <c r="A1194" s="1" t="s">
        <v>38</v>
      </c>
      <c r="B1194" s="1" t="s">
        <v>23966</v>
      </c>
      <c r="C1194" s="1" t="s">
        <v>23967</v>
      </c>
      <c r="D1194" s="1" t="s">
        <v>132</v>
      </c>
      <c r="E1194" s="1" t="s">
        <v>132</v>
      </c>
      <c r="F1194" s="1" t="s">
        <v>132</v>
      </c>
      <c r="G1194" s="1" t="s">
        <v>132</v>
      </c>
      <c r="H1194" s="1" t="s">
        <v>132</v>
      </c>
      <c r="I1194" s="1" t="s">
        <v>23968</v>
      </c>
      <c r="J1194" s="1" t="s">
        <v>132</v>
      </c>
      <c r="K1194" s="1" t="s">
        <v>23969</v>
      </c>
      <c r="L1194" s="1" t="s">
        <v>132</v>
      </c>
      <c r="M1194" s="1" t="s">
        <v>23970</v>
      </c>
      <c r="N1194" s="1" t="s">
        <v>132</v>
      </c>
      <c r="O1194" s="1" t="s">
        <v>132</v>
      </c>
      <c r="P1194" s="1" t="s">
        <v>23967</v>
      </c>
      <c r="Q1194" s="1" t="s">
        <v>132</v>
      </c>
      <c r="R1194" s="1" t="s">
        <v>132</v>
      </c>
      <c r="S1194" s="1" t="s">
        <v>132</v>
      </c>
      <c r="T1194" s="1" t="s">
        <v>132</v>
      </c>
      <c r="U1194" s="1" t="s">
        <v>132</v>
      </c>
      <c r="V1194" s="1" t="s">
        <v>132</v>
      </c>
      <c r="W1194" s="1" t="s">
        <v>132</v>
      </c>
      <c r="X1194" s="1" t="s">
        <v>132</v>
      </c>
      <c r="Y1194" s="1" t="s">
        <v>132</v>
      </c>
      <c r="Z1194" s="1" t="s">
        <v>132</v>
      </c>
      <c r="AA1194" s="1" t="s">
        <v>132</v>
      </c>
      <c r="AB1194" s="1" t="s">
        <v>132</v>
      </c>
      <c r="AC1194" s="1" t="s">
        <v>23971</v>
      </c>
      <c r="AD1194" s="1" t="s">
        <v>132</v>
      </c>
      <c r="AE1194" s="1" t="s">
        <v>132</v>
      </c>
      <c r="AF1194" s="1" t="s">
        <v>23972</v>
      </c>
      <c r="AG1194" s="1" t="s">
        <v>132</v>
      </c>
      <c r="AH1194" s="1" t="s">
        <v>132</v>
      </c>
      <c r="AI1194" s="1" t="s">
        <v>132</v>
      </c>
      <c r="AJ1194" s="1" t="s">
        <v>132</v>
      </c>
      <c r="AK1194" s="1" t="s">
        <v>132</v>
      </c>
      <c r="AL1194" s="1" t="s">
        <v>132</v>
      </c>
      <c r="AM1194" s="1" t="s">
        <v>132</v>
      </c>
      <c r="AN1194" s="1" t="s">
        <v>132</v>
      </c>
    </row>
    <row r="1195" ht="15.75" customHeight="1">
      <c r="A1195" s="1" t="s">
        <v>38</v>
      </c>
      <c r="B1195" s="1" t="s">
        <v>23973</v>
      </c>
      <c r="C1195" s="1" t="s">
        <v>23974</v>
      </c>
      <c r="D1195" s="8" t="s">
        <v>23975</v>
      </c>
      <c r="E1195" s="1" t="s">
        <v>23976</v>
      </c>
      <c r="F1195" s="1" t="s">
        <v>23977</v>
      </c>
      <c r="G1195" s="1" t="s">
        <v>132</v>
      </c>
      <c r="H1195" s="1" t="s">
        <v>132</v>
      </c>
      <c r="I1195" s="1" t="s">
        <v>23978</v>
      </c>
      <c r="J1195" s="1" t="s">
        <v>132</v>
      </c>
      <c r="K1195" s="1" t="s">
        <v>23979</v>
      </c>
      <c r="L1195" s="1" t="s">
        <v>132</v>
      </c>
      <c r="M1195" s="1" t="s">
        <v>23980</v>
      </c>
      <c r="N1195" s="1" t="s">
        <v>23981</v>
      </c>
      <c r="O1195" s="1" t="s">
        <v>132</v>
      </c>
      <c r="P1195" s="1" t="s">
        <v>23982</v>
      </c>
      <c r="Q1195" s="1" t="s">
        <v>23983</v>
      </c>
      <c r="R1195" s="1" t="s">
        <v>132</v>
      </c>
      <c r="S1195" s="1" t="s">
        <v>23984</v>
      </c>
      <c r="T1195" s="1" t="s">
        <v>132</v>
      </c>
      <c r="U1195" s="1" t="s">
        <v>23985</v>
      </c>
      <c r="V1195" s="1" t="s">
        <v>23986</v>
      </c>
      <c r="W1195" s="1" t="s">
        <v>132</v>
      </c>
      <c r="X1195" s="1" t="s">
        <v>23987</v>
      </c>
      <c r="Y1195" s="1" t="s">
        <v>132</v>
      </c>
      <c r="Z1195" s="1" t="s">
        <v>23988</v>
      </c>
      <c r="AA1195" s="1" t="s">
        <v>23989</v>
      </c>
      <c r="AB1195" s="1" t="s">
        <v>132</v>
      </c>
      <c r="AC1195" s="1" t="s">
        <v>23990</v>
      </c>
      <c r="AD1195" s="1" t="s">
        <v>23991</v>
      </c>
      <c r="AE1195" s="1" t="s">
        <v>132</v>
      </c>
      <c r="AF1195" s="1" t="s">
        <v>23992</v>
      </c>
      <c r="AG1195" s="1" t="s">
        <v>23993</v>
      </c>
      <c r="AH1195" s="1" t="s">
        <v>132</v>
      </c>
      <c r="AI1195" s="1" t="s">
        <v>132</v>
      </c>
      <c r="AJ1195" s="1" t="s">
        <v>23994</v>
      </c>
      <c r="AK1195" s="1" t="s">
        <v>23995</v>
      </c>
      <c r="AL1195" s="1" t="s">
        <v>132</v>
      </c>
      <c r="AM1195" s="1" t="s">
        <v>23996</v>
      </c>
      <c r="AN1195" s="1" t="s">
        <v>23996</v>
      </c>
    </row>
    <row r="1196" ht="15.75" customHeight="1">
      <c r="A1196" s="1" t="s">
        <v>38</v>
      </c>
      <c r="B1196" s="1" t="s">
        <v>23997</v>
      </c>
      <c r="C1196" s="1" t="s">
        <v>23998</v>
      </c>
      <c r="D1196" s="8" t="s">
        <v>23999</v>
      </c>
      <c r="E1196" s="1" t="s">
        <v>24000</v>
      </c>
      <c r="F1196" s="1" t="s">
        <v>24001</v>
      </c>
      <c r="G1196" s="1" t="s">
        <v>132</v>
      </c>
      <c r="H1196" s="1" t="s">
        <v>132</v>
      </c>
      <c r="I1196" s="1" t="s">
        <v>24002</v>
      </c>
      <c r="J1196" s="1" t="s">
        <v>132</v>
      </c>
      <c r="K1196" s="1" t="s">
        <v>8385</v>
      </c>
      <c r="L1196" s="1" t="s">
        <v>132</v>
      </c>
      <c r="M1196" s="1" t="s">
        <v>24003</v>
      </c>
      <c r="N1196" s="1" t="s">
        <v>24004</v>
      </c>
      <c r="O1196" s="1" t="s">
        <v>132</v>
      </c>
      <c r="P1196" s="1" t="s">
        <v>24005</v>
      </c>
      <c r="Q1196" s="1" t="s">
        <v>24006</v>
      </c>
      <c r="R1196" s="1" t="s">
        <v>132</v>
      </c>
      <c r="S1196" s="1" t="s">
        <v>24007</v>
      </c>
      <c r="T1196" s="1" t="s">
        <v>132</v>
      </c>
      <c r="U1196" s="1" t="s">
        <v>24008</v>
      </c>
      <c r="V1196" s="1" t="s">
        <v>24009</v>
      </c>
      <c r="W1196" s="1" t="s">
        <v>132</v>
      </c>
      <c r="X1196" s="1" t="s">
        <v>24010</v>
      </c>
      <c r="Y1196" s="1" t="s">
        <v>132</v>
      </c>
      <c r="Z1196" s="1" t="s">
        <v>8391</v>
      </c>
      <c r="AA1196" s="1" t="s">
        <v>24011</v>
      </c>
      <c r="AB1196" s="1" t="s">
        <v>132</v>
      </c>
      <c r="AC1196" s="1" t="s">
        <v>24012</v>
      </c>
      <c r="AD1196" s="1" t="s">
        <v>24013</v>
      </c>
      <c r="AE1196" s="1" t="s">
        <v>132</v>
      </c>
      <c r="AF1196" s="1" t="s">
        <v>24014</v>
      </c>
      <c r="AG1196" s="1" t="s">
        <v>24015</v>
      </c>
      <c r="AH1196" s="1" t="s">
        <v>132</v>
      </c>
      <c r="AI1196" s="1" t="s">
        <v>132</v>
      </c>
      <c r="AJ1196" s="1" t="s">
        <v>24016</v>
      </c>
      <c r="AK1196" s="1" t="s">
        <v>24017</v>
      </c>
      <c r="AL1196" s="1" t="s">
        <v>132</v>
      </c>
      <c r="AM1196" s="1" t="s">
        <v>24018</v>
      </c>
      <c r="AN1196" s="1" t="s">
        <v>24018</v>
      </c>
    </row>
    <row r="1197" ht="15.75" customHeight="1">
      <c r="A1197" s="1" t="s">
        <v>127</v>
      </c>
      <c r="B1197" s="1" t="s">
        <v>24019</v>
      </c>
      <c r="C1197" s="1" t="s">
        <v>24020</v>
      </c>
      <c r="D1197" s="8" t="s">
        <v>24021</v>
      </c>
      <c r="E1197" s="1" t="s">
        <v>24022</v>
      </c>
      <c r="F1197" s="1" t="s">
        <v>132</v>
      </c>
      <c r="G1197" s="1" t="s">
        <v>24023</v>
      </c>
      <c r="H1197" s="1" t="s">
        <v>24024</v>
      </c>
      <c r="I1197" s="1" t="s">
        <v>24025</v>
      </c>
      <c r="J1197" s="1" t="s">
        <v>24026</v>
      </c>
      <c r="K1197" s="1" t="s">
        <v>24027</v>
      </c>
      <c r="L1197" s="1" t="s">
        <v>24028</v>
      </c>
      <c r="M1197" s="1" t="s">
        <v>24029</v>
      </c>
      <c r="N1197" s="1" t="s">
        <v>132</v>
      </c>
      <c r="O1197" s="1" t="s">
        <v>24030</v>
      </c>
      <c r="P1197" s="1" t="s">
        <v>24031</v>
      </c>
      <c r="Q1197" s="1" t="s">
        <v>132</v>
      </c>
      <c r="R1197" s="1" t="s">
        <v>24032</v>
      </c>
      <c r="S1197" s="1" t="s">
        <v>24033</v>
      </c>
      <c r="T1197" s="8" t="s">
        <v>24034</v>
      </c>
      <c r="U1197" s="1" t="s">
        <v>24035</v>
      </c>
      <c r="V1197" s="1" t="s">
        <v>24036</v>
      </c>
      <c r="W1197" s="1" t="s">
        <v>24037</v>
      </c>
      <c r="X1197" s="1" t="s">
        <v>24038</v>
      </c>
      <c r="Y1197" s="1" t="s">
        <v>24039</v>
      </c>
      <c r="Z1197" s="1" t="s">
        <v>24040</v>
      </c>
      <c r="AA1197" s="1" t="s">
        <v>24041</v>
      </c>
      <c r="AB1197" s="1" t="s">
        <v>24042</v>
      </c>
      <c r="AC1197" s="1" t="s">
        <v>24043</v>
      </c>
      <c r="AD1197" s="1" t="s">
        <v>24044</v>
      </c>
      <c r="AE1197" s="1" t="s">
        <v>24045</v>
      </c>
      <c r="AF1197" s="1" t="s">
        <v>24046</v>
      </c>
      <c r="AG1197" s="1" t="s">
        <v>24047</v>
      </c>
      <c r="AH1197" s="1" t="s">
        <v>24048</v>
      </c>
      <c r="AI1197" s="1" t="s">
        <v>24049</v>
      </c>
      <c r="AJ1197" s="1" t="s">
        <v>132</v>
      </c>
      <c r="AK1197" s="1" t="s">
        <v>24050</v>
      </c>
      <c r="AL1197" s="1" t="s">
        <v>24051</v>
      </c>
      <c r="AM1197" s="1" t="s">
        <v>132</v>
      </c>
      <c r="AN1197" s="1" t="s">
        <v>132</v>
      </c>
    </row>
    <row r="1198" ht="15.75" customHeight="1">
      <c r="A1198" s="1" t="s">
        <v>127</v>
      </c>
      <c r="B1198" s="1" t="s">
        <v>24052</v>
      </c>
      <c r="C1198" s="1" t="s">
        <v>18922</v>
      </c>
      <c r="D1198" s="8" t="s">
        <v>18923</v>
      </c>
      <c r="E1198" s="1" t="s">
        <v>18924</v>
      </c>
      <c r="F1198" s="1" t="s">
        <v>132</v>
      </c>
      <c r="G1198" s="1" t="s">
        <v>24053</v>
      </c>
      <c r="H1198" s="1" t="s">
        <v>18926</v>
      </c>
      <c r="I1198" s="1" t="s">
        <v>18927</v>
      </c>
      <c r="J1198" s="1" t="s">
        <v>18928</v>
      </c>
      <c r="K1198" s="1" t="s">
        <v>18929</v>
      </c>
      <c r="L1198" s="1" t="s">
        <v>18930</v>
      </c>
      <c r="M1198" s="1" t="s">
        <v>24054</v>
      </c>
      <c r="N1198" s="1" t="s">
        <v>132</v>
      </c>
      <c r="O1198" s="1" t="s">
        <v>18932</v>
      </c>
      <c r="P1198" s="1" t="s">
        <v>24055</v>
      </c>
      <c r="Q1198" s="1" t="s">
        <v>132</v>
      </c>
      <c r="R1198" s="1" t="s">
        <v>18933</v>
      </c>
      <c r="S1198" s="1" t="s">
        <v>18934</v>
      </c>
      <c r="T1198" s="8" t="s">
        <v>18935</v>
      </c>
      <c r="U1198" s="1" t="s">
        <v>18936</v>
      </c>
      <c r="V1198" s="1" t="s">
        <v>2499</v>
      </c>
      <c r="W1198" s="1" t="s">
        <v>18933</v>
      </c>
      <c r="X1198" s="1" t="s">
        <v>24056</v>
      </c>
      <c r="Y1198" s="1" t="s">
        <v>18938</v>
      </c>
      <c r="Z1198" s="1" t="s">
        <v>18939</v>
      </c>
      <c r="AA1198" s="1" t="s">
        <v>18940</v>
      </c>
      <c r="AB1198" s="1" t="s">
        <v>18941</v>
      </c>
      <c r="AC1198" s="1" t="s">
        <v>18942</v>
      </c>
      <c r="AD1198" s="1" t="s">
        <v>18925</v>
      </c>
      <c r="AE1198" s="1" t="s">
        <v>18943</v>
      </c>
      <c r="AF1198" s="1" t="s">
        <v>6362</v>
      </c>
      <c r="AG1198" s="1" t="s">
        <v>18945</v>
      </c>
      <c r="AH1198" s="1" t="s">
        <v>18946</v>
      </c>
      <c r="AI1198" s="1" t="s">
        <v>18947</v>
      </c>
      <c r="AJ1198" s="1" t="s">
        <v>132</v>
      </c>
      <c r="AK1198" s="1" t="s">
        <v>18948</v>
      </c>
      <c r="AL1198" s="1" t="s">
        <v>18936</v>
      </c>
      <c r="AM1198" s="1" t="s">
        <v>132</v>
      </c>
      <c r="AN1198" s="1" t="s">
        <v>132</v>
      </c>
    </row>
    <row r="1199" ht="15.75" customHeight="1">
      <c r="A1199" s="1" t="s">
        <v>38</v>
      </c>
      <c r="B1199" s="1" t="s">
        <v>24057</v>
      </c>
      <c r="C1199" s="1" t="s">
        <v>24058</v>
      </c>
      <c r="D1199" s="1" t="s">
        <v>132</v>
      </c>
      <c r="E1199" s="1" t="s">
        <v>1570</v>
      </c>
      <c r="F1199" s="1" t="s">
        <v>132</v>
      </c>
      <c r="G1199" s="1" t="s">
        <v>132</v>
      </c>
      <c r="H1199" s="1" t="s">
        <v>132</v>
      </c>
      <c r="I1199" s="1" t="s">
        <v>24058</v>
      </c>
      <c r="J1199" s="1" t="s">
        <v>132</v>
      </c>
      <c r="K1199" s="1" t="s">
        <v>1575</v>
      </c>
      <c r="L1199" s="1" t="s">
        <v>132</v>
      </c>
      <c r="M1199" s="1" t="s">
        <v>132</v>
      </c>
      <c r="N1199" s="1" t="s">
        <v>1575</v>
      </c>
      <c r="O1199" s="1" t="s">
        <v>132</v>
      </c>
      <c r="P1199" s="1" t="s">
        <v>1579</v>
      </c>
      <c r="Q1199" s="1" t="s">
        <v>132</v>
      </c>
      <c r="R1199" s="1" t="s">
        <v>132</v>
      </c>
      <c r="S1199" s="1" t="s">
        <v>22516</v>
      </c>
      <c r="T1199" s="1" t="s">
        <v>132</v>
      </c>
      <c r="U1199" s="1" t="s">
        <v>132</v>
      </c>
      <c r="V1199" s="1" t="s">
        <v>132</v>
      </c>
      <c r="W1199" s="1" t="s">
        <v>132</v>
      </c>
      <c r="X1199" s="1" t="s">
        <v>24059</v>
      </c>
      <c r="Y1199" s="1" t="s">
        <v>132</v>
      </c>
      <c r="Z1199" s="1" t="s">
        <v>24060</v>
      </c>
      <c r="AA1199" s="1" t="s">
        <v>132</v>
      </c>
      <c r="AB1199" s="1" t="s">
        <v>132</v>
      </c>
      <c r="AC1199" s="1" t="s">
        <v>132</v>
      </c>
      <c r="AD1199" s="1" t="s">
        <v>132</v>
      </c>
      <c r="AE1199" s="1" t="s">
        <v>132</v>
      </c>
      <c r="AF1199" s="1" t="s">
        <v>132</v>
      </c>
      <c r="AG1199" s="1" t="s">
        <v>132</v>
      </c>
      <c r="AH1199" s="1" t="s">
        <v>132</v>
      </c>
      <c r="AI1199" s="1" t="s">
        <v>132</v>
      </c>
      <c r="AJ1199" s="1" t="s">
        <v>132</v>
      </c>
      <c r="AK1199" s="1" t="s">
        <v>132</v>
      </c>
      <c r="AL1199" s="1" t="s">
        <v>132</v>
      </c>
      <c r="AM1199" s="1" t="s">
        <v>132</v>
      </c>
      <c r="AN1199" s="1" t="s">
        <v>132</v>
      </c>
    </row>
    <row r="1200" ht="15.75" customHeight="1">
      <c r="A1200" s="1" t="s">
        <v>38</v>
      </c>
      <c r="B1200" s="1" t="s">
        <v>24061</v>
      </c>
      <c r="C1200" s="1" t="s">
        <v>24062</v>
      </c>
      <c r="D1200" s="8" t="s">
        <v>24063</v>
      </c>
      <c r="E1200" s="1" t="s">
        <v>24064</v>
      </c>
      <c r="F1200" s="1" t="s">
        <v>24065</v>
      </c>
      <c r="G1200" s="1" t="s">
        <v>132</v>
      </c>
      <c r="H1200" s="1" t="s">
        <v>132</v>
      </c>
      <c r="I1200" s="1" t="s">
        <v>24066</v>
      </c>
      <c r="J1200" s="1" t="s">
        <v>132</v>
      </c>
      <c r="K1200" s="1" t="s">
        <v>24067</v>
      </c>
      <c r="L1200" s="1" t="s">
        <v>132</v>
      </c>
      <c r="M1200" s="1" t="s">
        <v>24068</v>
      </c>
      <c r="N1200" s="1" t="s">
        <v>24069</v>
      </c>
      <c r="O1200" s="1" t="s">
        <v>132</v>
      </c>
      <c r="P1200" s="1" t="s">
        <v>24070</v>
      </c>
      <c r="Q1200" s="1" t="s">
        <v>132</v>
      </c>
      <c r="R1200" s="1" t="s">
        <v>132</v>
      </c>
      <c r="S1200" s="1" t="s">
        <v>24071</v>
      </c>
      <c r="T1200" s="1" t="s">
        <v>132</v>
      </c>
      <c r="U1200" s="1" t="s">
        <v>132</v>
      </c>
      <c r="V1200" s="1" t="s">
        <v>132</v>
      </c>
      <c r="W1200" s="1" t="s">
        <v>132</v>
      </c>
      <c r="X1200" s="1" t="s">
        <v>24072</v>
      </c>
      <c r="Y1200" s="1" t="s">
        <v>132</v>
      </c>
      <c r="Z1200" s="1" t="s">
        <v>24073</v>
      </c>
      <c r="AA1200" s="1" t="s">
        <v>24069</v>
      </c>
      <c r="AB1200" s="1" t="s">
        <v>132</v>
      </c>
      <c r="AC1200" s="1" t="s">
        <v>24074</v>
      </c>
      <c r="AD1200" s="1" t="s">
        <v>132</v>
      </c>
      <c r="AE1200" s="1" t="s">
        <v>132</v>
      </c>
      <c r="AF1200" s="1" t="s">
        <v>24075</v>
      </c>
      <c r="AG1200" s="1" t="s">
        <v>132</v>
      </c>
      <c r="AH1200" s="1" t="s">
        <v>132</v>
      </c>
      <c r="AI1200" s="1" t="s">
        <v>132</v>
      </c>
      <c r="AJ1200" s="1" t="s">
        <v>132</v>
      </c>
      <c r="AK1200" s="1" t="s">
        <v>132</v>
      </c>
      <c r="AL1200" s="1" t="s">
        <v>132</v>
      </c>
      <c r="AM1200" s="1" t="s">
        <v>132</v>
      </c>
      <c r="AN1200" s="1" t="s">
        <v>132</v>
      </c>
    </row>
    <row r="1201" ht="15.75" customHeight="1">
      <c r="A1201" s="1" t="s">
        <v>38</v>
      </c>
      <c r="B1201" s="1" t="s">
        <v>24076</v>
      </c>
      <c r="C1201" s="1" t="s">
        <v>24077</v>
      </c>
      <c r="D1201" s="8" t="s">
        <v>24078</v>
      </c>
      <c r="E1201" s="1" t="s">
        <v>24079</v>
      </c>
      <c r="F1201" s="1" t="s">
        <v>24080</v>
      </c>
      <c r="G1201" s="1" t="s">
        <v>132</v>
      </c>
      <c r="H1201" s="1" t="s">
        <v>132</v>
      </c>
      <c r="I1201" s="1" t="s">
        <v>24081</v>
      </c>
      <c r="J1201" s="1" t="s">
        <v>132</v>
      </c>
      <c r="K1201" s="1" t="s">
        <v>24082</v>
      </c>
      <c r="L1201" s="1" t="s">
        <v>132</v>
      </c>
      <c r="M1201" s="1" t="s">
        <v>24083</v>
      </c>
      <c r="N1201" s="1" t="s">
        <v>24084</v>
      </c>
      <c r="O1201" s="1" t="s">
        <v>132</v>
      </c>
      <c r="P1201" s="1" t="s">
        <v>24085</v>
      </c>
      <c r="Q1201" s="1" t="s">
        <v>24086</v>
      </c>
      <c r="R1201" s="1" t="s">
        <v>132</v>
      </c>
      <c r="S1201" s="1" t="s">
        <v>24087</v>
      </c>
      <c r="T1201" s="1" t="s">
        <v>132</v>
      </c>
      <c r="U1201" s="1" t="s">
        <v>24088</v>
      </c>
      <c r="V1201" s="1" t="s">
        <v>24089</v>
      </c>
      <c r="W1201" s="1" t="s">
        <v>132</v>
      </c>
      <c r="X1201" s="1" t="s">
        <v>24090</v>
      </c>
      <c r="Y1201" s="1" t="s">
        <v>132</v>
      </c>
      <c r="Z1201" s="1" t="s">
        <v>24091</v>
      </c>
      <c r="AA1201" s="1" t="s">
        <v>24084</v>
      </c>
      <c r="AB1201" s="1" t="s">
        <v>132</v>
      </c>
      <c r="AC1201" s="1" t="s">
        <v>24092</v>
      </c>
      <c r="AD1201" s="1" t="s">
        <v>132</v>
      </c>
      <c r="AE1201" s="1" t="s">
        <v>132</v>
      </c>
      <c r="AF1201" s="1" t="s">
        <v>24093</v>
      </c>
      <c r="AG1201" s="1" t="s">
        <v>24094</v>
      </c>
      <c r="AH1201" s="1" t="s">
        <v>132</v>
      </c>
      <c r="AI1201" s="1" t="s">
        <v>132</v>
      </c>
      <c r="AJ1201" s="1" t="s">
        <v>24095</v>
      </c>
      <c r="AK1201" s="1" t="s">
        <v>132</v>
      </c>
      <c r="AL1201" s="1" t="s">
        <v>132</v>
      </c>
      <c r="AM1201" s="1" t="s">
        <v>24088</v>
      </c>
      <c r="AN1201" s="1" t="s">
        <v>24088</v>
      </c>
    </row>
    <row r="1202" ht="15.75" customHeight="1">
      <c r="A1202" s="1" t="s">
        <v>38</v>
      </c>
      <c r="B1202" s="1" t="s">
        <v>24096</v>
      </c>
      <c r="C1202" s="1" t="s">
        <v>24097</v>
      </c>
      <c r="D1202" s="1" t="s">
        <v>132</v>
      </c>
      <c r="E1202" s="1" t="s">
        <v>132</v>
      </c>
      <c r="F1202" s="1" t="s">
        <v>132</v>
      </c>
      <c r="G1202" s="1" t="s">
        <v>132</v>
      </c>
      <c r="H1202" s="1" t="s">
        <v>132</v>
      </c>
      <c r="I1202" s="1" t="s">
        <v>24099</v>
      </c>
      <c r="J1202" s="1" t="s">
        <v>132</v>
      </c>
      <c r="K1202" s="1" t="s">
        <v>24100</v>
      </c>
      <c r="L1202" s="1" t="s">
        <v>132</v>
      </c>
      <c r="M1202" s="1" t="s">
        <v>24101</v>
      </c>
      <c r="N1202" s="1" t="s">
        <v>132</v>
      </c>
      <c r="O1202" s="1" t="s">
        <v>132</v>
      </c>
      <c r="P1202" s="1" t="s">
        <v>24097</v>
      </c>
      <c r="Q1202" s="1" t="s">
        <v>132</v>
      </c>
      <c r="R1202" s="1" t="s">
        <v>132</v>
      </c>
      <c r="S1202" s="1" t="s">
        <v>132</v>
      </c>
      <c r="T1202" s="1" t="s">
        <v>132</v>
      </c>
      <c r="U1202" s="1" t="s">
        <v>132</v>
      </c>
      <c r="V1202" s="1" t="s">
        <v>132</v>
      </c>
      <c r="W1202" s="1" t="s">
        <v>132</v>
      </c>
      <c r="X1202" s="1" t="s">
        <v>132</v>
      </c>
      <c r="Y1202" s="1" t="s">
        <v>132</v>
      </c>
      <c r="Z1202" s="1" t="s">
        <v>132</v>
      </c>
      <c r="AA1202" s="1" t="s">
        <v>132</v>
      </c>
      <c r="AB1202" s="1" t="s">
        <v>132</v>
      </c>
      <c r="AC1202" s="1" t="s">
        <v>24102</v>
      </c>
      <c r="AD1202" s="1" t="s">
        <v>132</v>
      </c>
      <c r="AE1202" s="1" t="s">
        <v>132</v>
      </c>
      <c r="AF1202" s="1" t="s">
        <v>24103</v>
      </c>
      <c r="AG1202" s="1" t="s">
        <v>132</v>
      </c>
      <c r="AH1202" s="1" t="s">
        <v>132</v>
      </c>
      <c r="AI1202" s="1" t="s">
        <v>132</v>
      </c>
      <c r="AJ1202" s="1" t="s">
        <v>132</v>
      </c>
      <c r="AK1202" s="1" t="s">
        <v>132</v>
      </c>
      <c r="AL1202" s="1" t="s">
        <v>132</v>
      </c>
      <c r="AM1202" s="1" t="s">
        <v>132</v>
      </c>
      <c r="AN1202" s="1" t="s">
        <v>132</v>
      </c>
    </row>
    <row r="1203" ht="15.75" customHeight="1">
      <c r="A1203" s="1" t="s">
        <v>38</v>
      </c>
      <c r="B1203" s="1" t="s">
        <v>24104</v>
      </c>
      <c r="C1203" s="1" t="s">
        <v>24105</v>
      </c>
      <c r="D1203" s="8" t="s">
        <v>24106</v>
      </c>
      <c r="E1203" s="1" t="s">
        <v>24107</v>
      </c>
      <c r="F1203" s="1" t="s">
        <v>24108</v>
      </c>
      <c r="G1203" s="1" t="s">
        <v>132</v>
      </c>
      <c r="H1203" s="1" t="s">
        <v>132</v>
      </c>
      <c r="I1203" s="1" t="s">
        <v>24109</v>
      </c>
      <c r="J1203" s="1" t="s">
        <v>132</v>
      </c>
      <c r="K1203" s="1" t="s">
        <v>24110</v>
      </c>
      <c r="L1203" s="1" t="s">
        <v>132</v>
      </c>
      <c r="M1203" s="1" t="s">
        <v>24111</v>
      </c>
      <c r="N1203" s="1" t="s">
        <v>24112</v>
      </c>
      <c r="O1203" s="1" t="s">
        <v>132</v>
      </c>
      <c r="P1203" s="1" t="s">
        <v>24113</v>
      </c>
      <c r="Q1203" s="1" t="s">
        <v>24114</v>
      </c>
      <c r="R1203" s="1" t="s">
        <v>132</v>
      </c>
      <c r="S1203" s="1" t="s">
        <v>24115</v>
      </c>
      <c r="T1203" s="1" t="s">
        <v>132</v>
      </c>
      <c r="U1203" s="1" t="s">
        <v>24116</v>
      </c>
      <c r="V1203" s="1" t="s">
        <v>24117</v>
      </c>
      <c r="W1203" s="1" t="s">
        <v>132</v>
      </c>
      <c r="X1203" s="1" t="s">
        <v>24118</v>
      </c>
      <c r="Y1203" s="1" t="s">
        <v>132</v>
      </c>
      <c r="Z1203" s="1" t="s">
        <v>24119</v>
      </c>
      <c r="AA1203" s="1" t="s">
        <v>24120</v>
      </c>
      <c r="AB1203" s="1" t="s">
        <v>132</v>
      </c>
      <c r="AC1203" s="1" t="s">
        <v>24121</v>
      </c>
      <c r="AD1203" s="1" t="s">
        <v>132</v>
      </c>
      <c r="AE1203" s="1" t="s">
        <v>132</v>
      </c>
      <c r="AF1203" s="1" t="s">
        <v>24122</v>
      </c>
      <c r="AG1203" s="1" t="s">
        <v>24123</v>
      </c>
      <c r="AH1203" s="1" t="s">
        <v>132</v>
      </c>
      <c r="AI1203" s="1" t="s">
        <v>132</v>
      </c>
      <c r="AJ1203" s="1" t="s">
        <v>24124</v>
      </c>
      <c r="AK1203" s="1" t="s">
        <v>24125</v>
      </c>
      <c r="AL1203" s="1" t="s">
        <v>132</v>
      </c>
      <c r="AM1203" s="1" t="s">
        <v>24126</v>
      </c>
      <c r="AN1203" s="1" t="s">
        <v>24126</v>
      </c>
    </row>
    <row r="1204" ht="15.75" customHeight="1">
      <c r="A1204" s="1" t="s">
        <v>38</v>
      </c>
      <c r="B1204" s="1" t="s">
        <v>24127</v>
      </c>
      <c r="C1204" s="1" t="s">
        <v>24128</v>
      </c>
      <c r="D1204" s="1" t="s">
        <v>132</v>
      </c>
      <c r="E1204" s="1" t="s">
        <v>132</v>
      </c>
      <c r="F1204" s="1" t="s">
        <v>132</v>
      </c>
      <c r="G1204" s="1" t="s">
        <v>132</v>
      </c>
      <c r="H1204" s="1" t="s">
        <v>132</v>
      </c>
      <c r="I1204" s="1" t="s">
        <v>24129</v>
      </c>
      <c r="J1204" s="1" t="s">
        <v>132</v>
      </c>
      <c r="K1204" s="1" t="s">
        <v>24130</v>
      </c>
      <c r="L1204" s="1" t="s">
        <v>132</v>
      </c>
      <c r="M1204" s="1" t="s">
        <v>24131</v>
      </c>
      <c r="N1204" s="1" t="s">
        <v>132</v>
      </c>
      <c r="O1204" s="1" t="s">
        <v>132</v>
      </c>
      <c r="P1204" s="1" t="s">
        <v>24128</v>
      </c>
      <c r="Q1204" s="1" t="s">
        <v>132</v>
      </c>
      <c r="R1204" s="1" t="s">
        <v>132</v>
      </c>
      <c r="S1204" s="1" t="s">
        <v>132</v>
      </c>
      <c r="T1204" s="1" t="s">
        <v>132</v>
      </c>
      <c r="U1204" s="1" t="s">
        <v>132</v>
      </c>
      <c r="V1204" s="1" t="s">
        <v>132</v>
      </c>
      <c r="W1204" s="1" t="s">
        <v>132</v>
      </c>
      <c r="X1204" s="1" t="s">
        <v>132</v>
      </c>
      <c r="Y1204" s="1" t="s">
        <v>132</v>
      </c>
      <c r="Z1204" s="1" t="s">
        <v>132</v>
      </c>
      <c r="AA1204" s="1" t="s">
        <v>132</v>
      </c>
      <c r="AB1204" s="1" t="s">
        <v>132</v>
      </c>
      <c r="AC1204" s="1" t="s">
        <v>24132</v>
      </c>
      <c r="AD1204" s="1" t="s">
        <v>132</v>
      </c>
      <c r="AE1204" s="1" t="s">
        <v>132</v>
      </c>
      <c r="AF1204" s="1" t="s">
        <v>24133</v>
      </c>
      <c r="AG1204" s="1" t="s">
        <v>132</v>
      </c>
      <c r="AH1204" s="1" t="s">
        <v>132</v>
      </c>
      <c r="AI1204" s="1" t="s">
        <v>132</v>
      </c>
      <c r="AJ1204" s="1" t="s">
        <v>132</v>
      </c>
      <c r="AK1204" s="1" t="s">
        <v>132</v>
      </c>
      <c r="AL1204" s="1" t="s">
        <v>132</v>
      </c>
      <c r="AM1204" s="1" t="s">
        <v>132</v>
      </c>
      <c r="AN1204" s="1" t="s">
        <v>132</v>
      </c>
    </row>
    <row r="1205" ht="15.75" customHeight="1">
      <c r="A1205" s="1" t="s">
        <v>127</v>
      </c>
      <c r="B1205" s="1" t="s">
        <v>24134</v>
      </c>
      <c r="C1205" s="1" t="s">
        <v>24135</v>
      </c>
      <c r="D1205" s="8" t="s">
        <v>9959</v>
      </c>
      <c r="E1205" s="1" t="s">
        <v>24136</v>
      </c>
      <c r="F1205" s="1" t="s">
        <v>132</v>
      </c>
      <c r="G1205" s="1" t="s">
        <v>24137</v>
      </c>
      <c r="H1205" s="1" t="s">
        <v>24138</v>
      </c>
      <c r="I1205" s="1" t="s">
        <v>9962</v>
      </c>
      <c r="J1205" s="1" t="s">
        <v>24139</v>
      </c>
      <c r="K1205" s="1" t="s">
        <v>9963</v>
      </c>
      <c r="L1205" s="1" t="s">
        <v>24140</v>
      </c>
      <c r="M1205" s="1" t="s">
        <v>9964</v>
      </c>
      <c r="N1205" s="1" t="s">
        <v>132</v>
      </c>
      <c r="O1205" s="1" t="s">
        <v>24141</v>
      </c>
      <c r="P1205" s="1" t="s">
        <v>9966</v>
      </c>
      <c r="Q1205" s="1" t="s">
        <v>132</v>
      </c>
      <c r="R1205" s="1" t="s">
        <v>24142</v>
      </c>
      <c r="S1205" s="1" t="s">
        <v>9968</v>
      </c>
      <c r="T1205" s="8" t="s">
        <v>24143</v>
      </c>
      <c r="U1205" s="1" t="s">
        <v>9969</v>
      </c>
      <c r="V1205" s="1" t="s">
        <v>24144</v>
      </c>
      <c r="W1205" s="1" t="s">
        <v>24145</v>
      </c>
      <c r="X1205" s="1" t="s">
        <v>24146</v>
      </c>
      <c r="Y1205" s="1" t="s">
        <v>24147</v>
      </c>
      <c r="Z1205" s="1" t="s">
        <v>24148</v>
      </c>
      <c r="AA1205" s="1" t="s">
        <v>24149</v>
      </c>
      <c r="AB1205" s="1" t="s">
        <v>24150</v>
      </c>
      <c r="AC1205" s="1" t="s">
        <v>24151</v>
      </c>
      <c r="AD1205" s="1" t="s">
        <v>9975</v>
      </c>
      <c r="AE1205" s="1" t="s">
        <v>24152</v>
      </c>
      <c r="AF1205" s="1" t="s">
        <v>24153</v>
      </c>
      <c r="AG1205" s="1" t="s">
        <v>9977</v>
      </c>
      <c r="AH1205" s="1" t="s">
        <v>24154</v>
      </c>
      <c r="AI1205" s="1" t="s">
        <v>24155</v>
      </c>
      <c r="AJ1205" s="1" t="s">
        <v>132</v>
      </c>
      <c r="AK1205" s="1" t="s">
        <v>9979</v>
      </c>
      <c r="AL1205" s="1" t="s">
        <v>24156</v>
      </c>
      <c r="AM1205" s="1" t="s">
        <v>24157</v>
      </c>
      <c r="AN1205" s="1" t="s">
        <v>24157</v>
      </c>
    </row>
    <row r="1206" ht="15.75" customHeight="1">
      <c r="A1206" s="1" t="s">
        <v>38</v>
      </c>
      <c r="B1206" s="1" t="s">
        <v>24158</v>
      </c>
      <c r="C1206" s="1" t="s">
        <v>24159</v>
      </c>
      <c r="D1206" s="1" t="s">
        <v>132</v>
      </c>
      <c r="E1206" s="1" t="s">
        <v>24160</v>
      </c>
      <c r="F1206" s="1" t="s">
        <v>24161</v>
      </c>
      <c r="G1206" s="1" t="s">
        <v>132</v>
      </c>
      <c r="H1206" s="1" t="s">
        <v>132</v>
      </c>
      <c r="I1206" s="1" t="s">
        <v>24162</v>
      </c>
      <c r="J1206" s="1" t="s">
        <v>132</v>
      </c>
      <c r="K1206" s="1" t="s">
        <v>24163</v>
      </c>
      <c r="L1206" s="1" t="s">
        <v>132</v>
      </c>
      <c r="M1206" s="1" t="s">
        <v>24164</v>
      </c>
      <c r="N1206" s="1" t="s">
        <v>24165</v>
      </c>
      <c r="O1206" s="1" t="s">
        <v>132</v>
      </c>
      <c r="P1206" s="1" t="s">
        <v>24166</v>
      </c>
      <c r="Q1206" s="1" t="s">
        <v>132</v>
      </c>
      <c r="R1206" s="1" t="s">
        <v>132</v>
      </c>
      <c r="S1206" s="1" t="s">
        <v>24167</v>
      </c>
      <c r="T1206" s="1" t="s">
        <v>132</v>
      </c>
      <c r="U1206" s="1" t="s">
        <v>24168</v>
      </c>
      <c r="V1206" s="1" t="s">
        <v>132</v>
      </c>
      <c r="W1206" s="1" t="s">
        <v>132</v>
      </c>
      <c r="X1206" s="1" t="s">
        <v>24169</v>
      </c>
      <c r="Y1206" s="1" t="s">
        <v>132</v>
      </c>
      <c r="Z1206" s="1" t="s">
        <v>24170</v>
      </c>
      <c r="AA1206" s="1" t="s">
        <v>24171</v>
      </c>
      <c r="AB1206" s="1" t="s">
        <v>132</v>
      </c>
      <c r="AC1206" s="1" t="s">
        <v>24172</v>
      </c>
      <c r="AD1206" s="1" t="s">
        <v>132</v>
      </c>
      <c r="AE1206" s="1" t="s">
        <v>132</v>
      </c>
      <c r="AF1206" s="1" t="s">
        <v>24173</v>
      </c>
      <c r="AG1206" s="1" t="s">
        <v>132</v>
      </c>
      <c r="AH1206" s="1" t="s">
        <v>132</v>
      </c>
      <c r="AI1206" s="1" t="s">
        <v>132</v>
      </c>
      <c r="AJ1206" s="1" t="s">
        <v>132</v>
      </c>
      <c r="AK1206" s="1" t="s">
        <v>132</v>
      </c>
      <c r="AL1206" s="1" t="s">
        <v>132</v>
      </c>
      <c r="AM1206" s="1" t="s">
        <v>132</v>
      </c>
      <c r="AN1206" s="1" t="s">
        <v>132</v>
      </c>
    </row>
    <row r="1207" ht="15.75" customHeight="1">
      <c r="A1207" s="1" t="s">
        <v>127</v>
      </c>
      <c r="B1207" s="1" t="s">
        <v>24175</v>
      </c>
      <c r="C1207" s="1" t="s">
        <v>24176</v>
      </c>
      <c r="D1207" s="1" t="s">
        <v>24176</v>
      </c>
      <c r="E1207" s="1" t="s">
        <v>24177</v>
      </c>
      <c r="F1207" s="1" t="s">
        <v>132</v>
      </c>
      <c r="G1207" s="1" t="s">
        <v>24178</v>
      </c>
      <c r="H1207" s="1" t="s">
        <v>24179</v>
      </c>
      <c r="I1207" s="1" t="s">
        <v>24180</v>
      </c>
      <c r="J1207" s="1" t="s">
        <v>24181</v>
      </c>
      <c r="K1207" s="1" t="s">
        <v>24182</v>
      </c>
      <c r="L1207" s="1" t="s">
        <v>24176</v>
      </c>
      <c r="M1207" s="1" t="s">
        <v>24183</v>
      </c>
      <c r="N1207" s="1" t="s">
        <v>132</v>
      </c>
      <c r="O1207" s="1" t="s">
        <v>24184</v>
      </c>
      <c r="P1207" s="1" t="s">
        <v>24176</v>
      </c>
      <c r="Q1207" s="1" t="s">
        <v>132</v>
      </c>
      <c r="R1207" s="1" t="s">
        <v>24185</v>
      </c>
      <c r="S1207" s="1" t="s">
        <v>24186</v>
      </c>
      <c r="T1207" s="8" t="s">
        <v>24187</v>
      </c>
      <c r="U1207" s="1" t="s">
        <v>24188</v>
      </c>
      <c r="V1207" s="1" t="s">
        <v>24189</v>
      </c>
      <c r="W1207" s="1" t="s">
        <v>24190</v>
      </c>
      <c r="X1207" s="1" t="s">
        <v>24176</v>
      </c>
      <c r="Y1207" s="1" t="s">
        <v>24191</v>
      </c>
      <c r="Z1207" s="11" t="s">
        <v>24192</v>
      </c>
      <c r="AA1207" s="1" t="s">
        <v>24176</v>
      </c>
      <c r="AB1207" s="1" t="s">
        <v>24193</v>
      </c>
      <c r="AC1207" s="1" t="s">
        <v>24176</v>
      </c>
      <c r="AD1207" s="1" t="s">
        <v>24194</v>
      </c>
      <c r="AE1207" s="1" t="s">
        <v>24195</v>
      </c>
      <c r="AF1207" s="1" t="s">
        <v>24196</v>
      </c>
      <c r="AG1207" s="1" t="s">
        <v>24176</v>
      </c>
      <c r="AH1207" s="1" t="s">
        <v>24176</v>
      </c>
      <c r="AI1207" s="1" t="s">
        <v>24197</v>
      </c>
      <c r="AJ1207" s="1" t="s">
        <v>132</v>
      </c>
      <c r="AK1207" s="1" t="s">
        <v>24198</v>
      </c>
      <c r="AL1207" s="1" t="s">
        <v>24199</v>
      </c>
      <c r="AM1207" s="1" t="s">
        <v>132</v>
      </c>
      <c r="AN1207" s="1" t="s">
        <v>132</v>
      </c>
    </row>
    <row r="1208" ht="15.75" customHeight="1">
      <c r="A1208" s="1" t="s">
        <v>127</v>
      </c>
      <c r="B1208" s="1" t="s">
        <v>24200</v>
      </c>
      <c r="C1208" s="1" t="s">
        <v>24201</v>
      </c>
      <c r="D1208" s="8" t="s">
        <v>24202</v>
      </c>
      <c r="E1208" s="1" t="s">
        <v>24203</v>
      </c>
      <c r="F1208" s="1" t="s">
        <v>132</v>
      </c>
      <c r="G1208" s="1" t="s">
        <v>24204</v>
      </c>
      <c r="H1208" s="1" t="s">
        <v>24205</v>
      </c>
      <c r="I1208" s="1" t="s">
        <v>24206</v>
      </c>
      <c r="J1208" s="1" t="s">
        <v>24207</v>
      </c>
      <c r="K1208" s="1" t="s">
        <v>24208</v>
      </c>
      <c r="L1208" s="1" t="s">
        <v>24209</v>
      </c>
      <c r="M1208" s="1" t="s">
        <v>24210</v>
      </c>
      <c r="N1208" s="1" t="s">
        <v>132</v>
      </c>
      <c r="O1208" s="1" t="s">
        <v>24211</v>
      </c>
      <c r="P1208" s="1" t="s">
        <v>24212</v>
      </c>
      <c r="Q1208" s="1" t="s">
        <v>132</v>
      </c>
      <c r="R1208" s="1" t="s">
        <v>24213</v>
      </c>
      <c r="S1208" s="1" t="s">
        <v>24214</v>
      </c>
      <c r="T1208" s="8" t="s">
        <v>24215</v>
      </c>
      <c r="U1208" s="1" t="s">
        <v>24201</v>
      </c>
      <c r="V1208" s="1" t="s">
        <v>24216</v>
      </c>
      <c r="W1208" s="1" t="s">
        <v>24213</v>
      </c>
      <c r="X1208" s="1" t="s">
        <v>24217</v>
      </c>
      <c r="Y1208" s="1" t="s">
        <v>24205</v>
      </c>
      <c r="Z1208" s="1" t="s">
        <v>24218</v>
      </c>
      <c r="AA1208" s="1" t="s">
        <v>24219</v>
      </c>
      <c r="AB1208" s="1" t="s">
        <v>24220</v>
      </c>
      <c r="AC1208" s="1" t="s">
        <v>24221</v>
      </c>
      <c r="AD1208" s="1" t="s">
        <v>24222</v>
      </c>
      <c r="AE1208" s="1" t="s">
        <v>24223</v>
      </c>
      <c r="AF1208" s="1" t="s">
        <v>24224</v>
      </c>
      <c r="AG1208" s="1" t="s">
        <v>24225</v>
      </c>
      <c r="AH1208" s="1" t="s">
        <v>24226</v>
      </c>
      <c r="AI1208" s="1" t="s">
        <v>24227</v>
      </c>
      <c r="AJ1208" s="1" t="s">
        <v>132</v>
      </c>
      <c r="AK1208" s="1" t="s">
        <v>24228</v>
      </c>
      <c r="AL1208" s="1" t="s">
        <v>24229</v>
      </c>
      <c r="AM1208" s="1" t="s">
        <v>132</v>
      </c>
      <c r="AN1208" s="1" t="s">
        <v>132</v>
      </c>
    </row>
    <row r="1209" ht="15.75" customHeight="1">
      <c r="A1209" s="1" t="s">
        <v>127</v>
      </c>
      <c r="B1209" s="1" t="s">
        <v>24230</v>
      </c>
      <c r="C1209" s="1" t="s">
        <v>24231</v>
      </c>
      <c r="D1209" s="8" t="s">
        <v>24232</v>
      </c>
      <c r="E1209" s="1" t="s">
        <v>24233</v>
      </c>
      <c r="F1209" s="1" t="s">
        <v>132</v>
      </c>
      <c r="G1209" s="1" t="s">
        <v>24234</v>
      </c>
      <c r="H1209" s="1" t="s">
        <v>24235</v>
      </c>
      <c r="I1209" s="1" t="s">
        <v>24236</v>
      </c>
      <c r="J1209" s="1" t="s">
        <v>24237</v>
      </c>
      <c r="K1209" s="1" t="s">
        <v>24238</v>
      </c>
      <c r="L1209" s="1" t="s">
        <v>24239</v>
      </c>
      <c r="M1209" s="1" t="s">
        <v>24240</v>
      </c>
      <c r="N1209" s="1" t="s">
        <v>132</v>
      </c>
      <c r="O1209" s="1" t="s">
        <v>24241</v>
      </c>
      <c r="P1209" s="1" t="s">
        <v>24242</v>
      </c>
      <c r="Q1209" s="1" t="s">
        <v>132</v>
      </c>
      <c r="R1209" s="1" t="s">
        <v>24243</v>
      </c>
      <c r="S1209" s="1" t="s">
        <v>24244</v>
      </c>
      <c r="T1209" s="8" t="s">
        <v>24245</v>
      </c>
      <c r="U1209" s="1" t="s">
        <v>24246</v>
      </c>
      <c r="V1209" s="1" t="s">
        <v>24247</v>
      </c>
      <c r="W1209" s="1" t="s">
        <v>24248</v>
      </c>
      <c r="X1209" s="1" t="s">
        <v>24249</v>
      </c>
      <c r="Y1209" s="1" t="s">
        <v>24250</v>
      </c>
      <c r="Z1209" s="1" t="s">
        <v>24251</v>
      </c>
      <c r="AA1209" s="1" t="s">
        <v>24252</v>
      </c>
      <c r="AB1209" s="1" t="s">
        <v>24253</v>
      </c>
      <c r="AC1209" s="1" t="s">
        <v>24254</v>
      </c>
      <c r="AD1209" s="1" t="s">
        <v>24255</v>
      </c>
      <c r="AE1209" s="1" t="s">
        <v>24256</v>
      </c>
      <c r="AF1209" s="1" t="s">
        <v>24257</v>
      </c>
      <c r="AG1209" s="1" t="s">
        <v>24258</v>
      </c>
      <c r="AH1209" s="1" t="s">
        <v>24259</v>
      </c>
      <c r="AI1209" s="1" t="s">
        <v>24260</v>
      </c>
      <c r="AJ1209" s="1" t="s">
        <v>132</v>
      </c>
      <c r="AK1209" s="1" t="s">
        <v>24261</v>
      </c>
      <c r="AL1209" s="1" t="s">
        <v>24262</v>
      </c>
      <c r="AM1209" s="1" t="s">
        <v>132</v>
      </c>
      <c r="AN1209" s="1" t="s">
        <v>132</v>
      </c>
    </row>
    <row r="1210" ht="15.75" customHeight="1">
      <c r="A1210" s="1" t="s">
        <v>38</v>
      </c>
      <c r="B1210" s="1" t="s">
        <v>24263</v>
      </c>
      <c r="C1210" s="1" t="s">
        <v>2484</v>
      </c>
      <c r="D1210" s="8" t="s">
        <v>2485</v>
      </c>
      <c r="E1210" s="1" t="s">
        <v>24264</v>
      </c>
      <c r="F1210" s="1" t="s">
        <v>24265</v>
      </c>
      <c r="G1210" s="1" t="s">
        <v>132</v>
      </c>
      <c r="H1210" s="1" t="s">
        <v>132</v>
      </c>
      <c r="I1210" s="1" t="s">
        <v>24266</v>
      </c>
      <c r="J1210" s="1" t="s">
        <v>132</v>
      </c>
      <c r="K1210" s="1" t="s">
        <v>2496</v>
      </c>
      <c r="L1210" s="1" t="s">
        <v>132</v>
      </c>
      <c r="M1210" s="1" t="s">
        <v>14997</v>
      </c>
      <c r="N1210" s="1" t="s">
        <v>2496</v>
      </c>
      <c r="O1210" s="1" t="s">
        <v>132</v>
      </c>
      <c r="P1210" s="1" t="s">
        <v>24267</v>
      </c>
      <c r="Q1210" s="1" t="s">
        <v>24268</v>
      </c>
      <c r="R1210" s="1" t="s">
        <v>132</v>
      </c>
      <c r="S1210" s="1" t="s">
        <v>2496</v>
      </c>
      <c r="T1210" s="1" t="s">
        <v>132</v>
      </c>
      <c r="U1210" s="1" t="s">
        <v>2498</v>
      </c>
      <c r="V1210" s="1" t="s">
        <v>2499</v>
      </c>
      <c r="W1210" s="1" t="s">
        <v>132</v>
      </c>
      <c r="X1210" s="1" t="s">
        <v>15000</v>
      </c>
      <c r="Y1210" s="1" t="s">
        <v>132</v>
      </c>
      <c r="Z1210" s="1" t="s">
        <v>2502</v>
      </c>
      <c r="AA1210" s="1" t="s">
        <v>2503</v>
      </c>
      <c r="AB1210" s="1" t="s">
        <v>132</v>
      </c>
      <c r="AC1210" s="1" t="s">
        <v>2505</v>
      </c>
      <c r="AD1210" s="1" t="s">
        <v>132</v>
      </c>
      <c r="AE1210" s="1" t="s">
        <v>132</v>
      </c>
      <c r="AF1210" s="1" t="s">
        <v>24269</v>
      </c>
      <c r="AG1210" s="1" t="s">
        <v>2484</v>
      </c>
      <c r="AH1210" s="1" t="s">
        <v>132</v>
      </c>
      <c r="AI1210" s="1" t="s">
        <v>132</v>
      </c>
      <c r="AJ1210" s="1" t="s">
        <v>24270</v>
      </c>
      <c r="AK1210" s="1" t="s">
        <v>132</v>
      </c>
      <c r="AL1210" s="1" t="s">
        <v>132</v>
      </c>
      <c r="AM1210" s="1" t="s">
        <v>15002</v>
      </c>
      <c r="AN1210" s="1" t="s">
        <v>15002</v>
      </c>
    </row>
    <row r="1211" ht="15.75" customHeight="1">
      <c r="A1211" s="1" t="s">
        <v>127</v>
      </c>
      <c r="B1211" s="1" t="s">
        <v>24271</v>
      </c>
      <c r="C1211" s="1" t="s">
        <v>24272</v>
      </c>
      <c r="D1211" s="8" t="s">
        <v>24273</v>
      </c>
      <c r="E1211" s="1" t="s">
        <v>24274</v>
      </c>
      <c r="F1211" s="1" t="s">
        <v>132</v>
      </c>
      <c r="G1211" s="1" t="s">
        <v>24275</v>
      </c>
      <c r="H1211" s="1" t="s">
        <v>24276</v>
      </c>
      <c r="I1211" s="1" t="s">
        <v>24277</v>
      </c>
      <c r="J1211" s="1" t="s">
        <v>24278</v>
      </c>
      <c r="K1211" s="1" t="s">
        <v>24279</v>
      </c>
      <c r="L1211" s="1" t="s">
        <v>24280</v>
      </c>
      <c r="M1211" s="1" t="s">
        <v>24281</v>
      </c>
      <c r="N1211" s="1" t="s">
        <v>132</v>
      </c>
      <c r="O1211" s="1" t="s">
        <v>24282</v>
      </c>
      <c r="P1211" s="1" t="s">
        <v>24283</v>
      </c>
      <c r="Q1211" s="1" t="s">
        <v>132</v>
      </c>
      <c r="R1211" s="1" t="s">
        <v>24284</v>
      </c>
      <c r="S1211" s="1" t="s">
        <v>24285</v>
      </c>
      <c r="T1211" s="8" t="s">
        <v>24286</v>
      </c>
      <c r="U1211" s="1" t="s">
        <v>2369</v>
      </c>
      <c r="V1211" s="1" t="s">
        <v>24287</v>
      </c>
      <c r="W1211" s="1" t="s">
        <v>24284</v>
      </c>
      <c r="X1211" s="1" t="s">
        <v>24288</v>
      </c>
      <c r="Y1211" s="1" t="s">
        <v>24289</v>
      </c>
      <c r="Z1211" s="1" t="s">
        <v>24290</v>
      </c>
      <c r="AA1211" s="1" t="s">
        <v>24291</v>
      </c>
      <c r="AB1211" s="1" t="s">
        <v>24292</v>
      </c>
      <c r="AC1211" s="1" t="s">
        <v>24293</v>
      </c>
      <c r="AD1211" s="1" t="s">
        <v>24294</v>
      </c>
      <c r="AE1211" s="1" t="s">
        <v>24295</v>
      </c>
      <c r="AF1211" s="1" t="s">
        <v>24296</v>
      </c>
      <c r="AG1211" s="1" t="s">
        <v>24297</v>
      </c>
      <c r="AH1211" s="1" t="s">
        <v>24298</v>
      </c>
      <c r="AI1211" s="1" t="s">
        <v>24299</v>
      </c>
      <c r="AJ1211" s="1" t="s">
        <v>132</v>
      </c>
      <c r="AK1211" s="1" t="s">
        <v>24300</v>
      </c>
      <c r="AL1211" s="1" t="s">
        <v>2384</v>
      </c>
      <c r="AM1211" s="1" t="s">
        <v>2385</v>
      </c>
      <c r="AN1211" s="1" t="s">
        <v>2385</v>
      </c>
    </row>
    <row r="1212" ht="15.75" customHeight="1">
      <c r="A1212" s="1" t="s">
        <v>127</v>
      </c>
      <c r="B1212" s="1" t="s">
        <v>24301</v>
      </c>
      <c r="C1212" s="1" t="s">
        <v>24302</v>
      </c>
      <c r="D1212" s="8" t="s">
        <v>24303</v>
      </c>
      <c r="E1212" s="1" t="s">
        <v>24304</v>
      </c>
      <c r="F1212" s="1" t="s">
        <v>132</v>
      </c>
      <c r="G1212" s="1" t="s">
        <v>24305</v>
      </c>
      <c r="H1212" s="1" t="s">
        <v>24306</v>
      </c>
      <c r="I1212" s="1" t="s">
        <v>24307</v>
      </c>
      <c r="J1212" s="1" t="s">
        <v>24308</v>
      </c>
      <c r="K1212" s="1" t="s">
        <v>24309</v>
      </c>
      <c r="L1212" s="1" t="s">
        <v>24310</v>
      </c>
      <c r="M1212" s="1" t="s">
        <v>24311</v>
      </c>
      <c r="N1212" s="1" t="s">
        <v>132</v>
      </c>
      <c r="O1212" s="1" t="s">
        <v>24312</v>
      </c>
      <c r="P1212" s="1" t="s">
        <v>24313</v>
      </c>
      <c r="Q1212" s="1" t="s">
        <v>132</v>
      </c>
      <c r="R1212" s="1" t="s">
        <v>24314</v>
      </c>
      <c r="S1212" s="1" t="s">
        <v>24315</v>
      </c>
      <c r="T1212" s="8" t="s">
        <v>24316</v>
      </c>
      <c r="U1212" s="1" t="s">
        <v>24302</v>
      </c>
      <c r="V1212" s="1" t="s">
        <v>24317</v>
      </c>
      <c r="W1212" s="1" t="s">
        <v>24318</v>
      </c>
      <c r="X1212" s="1" t="s">
        <v>24319</v>
      </c>
      <c r="Y1212" s="1" t="s">
        <v>24320</v>
      </c>
      <c r="Z1212" s="1" t="s">
        <v>24321</v>
      </c>
      <c r="AA1212" s="1" t="s">
        <v>24322</v>
      </c>
      <c r="AB1212" s="1" t="s">
        <v>24323</v>
      </c>
      <c r="AC1212" s="1" t="s">
        <v>24324</v>
      </c>
      <c r="AD1212" s="1" t="s">
        <v>24325</v>
      </c>
      <c r="AE1212" s="1" t="s">
        <v>24326</v>
      </c>
      <c r="AF1212" s="1" t="s">
        <v>24327</v>
      </c>
      <c r="AG1212" s="1" t="s">
        <v>24328</v>
      </c>
      <c r="AH1212" s="1" t="s">
        <v>24329</v>
      </c>
      <c r="AI1212" s="1" t="s">
        <v>24330</v>
      </c>
      <c r="AJ1212" s="1" t="s">
        <v>132</v>
      </c>
      <c r="AK1212" s="1" t="s">
        <v>24331</v>
      </c>
      <c r="AL1212" s="1" t="s">
        <v>24332</v>
      </c>
      <c r="AM1212" s="1" t="s">
        <v>132</v>
      </c>
      <c r="AN1212" s="1" t="s">
        <v>132</v>
      </c>
    </row>
    <row r="1213" ht="15.75" customHeight="1">
      <c r="A1213" s="1" t="s">
        <v>127</v>
      </c>
      <c r="B1213" s="1" t="s">
        <v>24333</v>
      </c>
      <c r="C1213" s="1" t="s">
        <v>24334</v>
      </c>
      <c r="D1213" s="8" t="s">
        <v>24335</v>
      </c>
      <c r="E1213" s="1" t="s">
        <v>24336</v>
      </c>
      <c r="F1213" s="1" t="s">
        <v>132</v>
      </c>
      <c r="G1213" s="1" t="s">
        <v>24337</v>
      </c>
      <c r="H1213" s="1" t="s">
        <v>24338</v>
      </c>
      <c r="I1213" s="1" t="s">
        <v>24339</v>
      </c>
      <c r="J1213" s="1" t="s">
        <v>24340</v>
      </c>
      <c r="K1213" s="1" t="s">
        <v>24341</v>
      </c>
      <c r="L1213" s="1" t="s">
        <v>24342</v>
      </c>
      <c r="M1213" s="1" t="s">
        <v>24343</v>
      </c>
      <c r="N1213" s="1" t="s">
        <v>132</v>
      </c>
      <c r="O1213" s="1" t="s">
        <v>24344</v>
      </c>
      <c r="P1213" s="1" t="s">
        <v>24345</v>
      </c>
      <c r="Q1213" s="1" t="s">
        <v>132</v>
      </c>
      <c r="R1213" s="1" t="s">
        <v>24346</v>
      </c>
      <c r="S1213" s="1" t="s">
        <v>24347</v>
      </c>
      <c r="T1213" s="8" t="s">
        <v>24348</v>
      </c>
      <c r="U1213" s="1" t="s">
        <v>24349</v>
      </c>
      <c r="V1213" s="1" t="s">
        <v>24350</v>
      </c>
      <c r="W1213" s="1" t="s">
        <v>24351</v>
      </c>
      <c r="X1213" s="1" t="s">
        <v>24352</v>
      </c>
      <c r="Y1213" s="1" t="s">
        <v>24353</v>
      </c>
      <c r="Z1213" s="1" t="s">
        <v>24354</v>
      </c>
      <c r="AA1213" s="1" t="s">
        <v>24355</v>
      </c>
      <c r="AB1213" s="1" t="s">
        <v>24356</v>
      </c>
      <c r="AC1213" s="1" t="s">
        <v>24357</v>
      </c>
      <c r="AD1213" s="1" t="s">
        <v>24358</v>
      </c>
      <c r="AE1213" s="1" t="s">
        <v>24359</v>
      </c>
      <c r="AF1213" s="1" t="s">
        <v>24360</v>
      </c>
      <c r="AG1213" s="1" t="s">
        <v>24361</v>
      </c>
      <c r="AH1213" s="1" t="s">
        <v>24362</v>
      </c>
      <c r="AI1213" s="1" t="s">
        <v>24363</v>
      </c>
      <c r="AJ1213" s="1" t="s">
        <v>132</v>
      </c>
      <c r="AK1213" s="1" t="s">
        <v>24364</v>
      </c>
      <c r="AL1213" s="1" t="s">
        <v>24365</v>
      </c>
      <c r="AM1213" s="1" t="s">
        <v>132</v>
      </c>
      <c r="AN1213" s="1" t="s">
        <v>132</v>
      </c>
    </row>
    <row r="1214" ht="15.75" customHeight="1">
      <c r="A1214" s="1" t="s">
        <v>38</v>
      </c>
      <c r="B1214" s="1" t="s">
        <v>24366</v>
      </c>
      <c r="C1214" s="1" t="s">
        <v>24367</v>
      </c>
      <c r="D1214" s="1" t="s">
        <v>132</v>
      </c>
      <c r="E1214" s="1" t="s">
        <v>132</v>
      </c>
      <c r="F1214" s="1" t="s">
        <v>132</v>
      </c>
      <c r="G1214" s="1" t="s">
        <v>132</v>
      </c>
      <c r="H1214" s="1" t="s">
        <v>132</v>
      </c>
      <c r="I1214" s="1" t="s">
        <v>24368</v>
      </c>
      <c r="J1214" s="1" t="s">
        <v>132</v>
      </c>
      <c r="K1214" s="1" t="s">
        <v>24369</v>
      </c>
      <c r="L1214" s="1" t="s">
        <v>132</v>
      </c>
      <c r="M1214" s="1" t="s">
        <v>24370</v>
      </c>
      <c r="N1214" s="1" t="s">
        <v>132</v>
      </c>
      <c r="O1214" s="1" t="s">
        <v>132</v>
      </c>
      <c r="P1214" s="1" t="s">
        <v>24371</v>
      </c>
      <c r="Q1214" s="1" t="s">
        <v>132</v>
      </c>
      <c r="R1214" s="1" t="s">
        <v>132</v>
      </c>
      <c r="S1214" s="1" t="s">
        <v>132</v>
      </c>
      <c r="T1214" s="1" t="s">
        <v>132</v>
      </c>
      <c r="U1214" s="1" t="s">
        <v>132</v>
      </c>
      <c r="V1214" s="1" t="s">
        <v>132</v>
      </c>
      <c r="W1214" s="1" t="s">
        <v>132</v>
      </c>
      <c r="X1214" s="1" t="s">
        <v>132</v>
      </c>
      <c r="Y1214" s="1" t="s">
        <v>132</v>
      </c>
      <c r="Z1214" s="1" t="s">
        <v>132</v>
      </c>
      <c r="AA1214" s="1" t="s">
        <v>132</v>
      </c>
      <c r="AB1214" s="1" t="s">
        <v>132</v>
      </c>
      <c r="AC1214" s="1" t="s">
        <v>24372</v>
      </c>
      <c r="AD1214" s="1" t="s">
        <v>132</v>
      </c>
      <c r="AE1214" s="1" t="s">
        <v>132</v>
      </c>
      <c r="AF1214" s="1" t="s">
        <v>24373</v>
      </c>
      <c r="AG1214" s="1" t="s">
        <v>132</v>
      </c>
      <c r="AH1214" s="1" t="s">
        <v>132</v>
      </c>
      <c r="AI1214" s="1" t="s">
        <v>132</v>
      </c>
      <c r="AJ1214" s="1" t="s">
        <v>132</v>
      </c>
      <c r="AK1214" s="1" t="s">
        <v>132</v>
      </c>
      <c r="AL1214" s="1" t="s">
        <v>132</v>
      </c>
      <c r="AM1214" s="1" t="s">
        <v>132</v>
      </c>
      <c r="AN1214" s="1" t="s">
        <v>132</v>
      </c>
    </row>
    <row r="1215" ht="15.75" customHeight="1">
      <c r="A1215" s="1" t="s">
        <v>127</v>
      </c>
      <c r="B1215" s="1" t="s">
        <v>24374</v>
      </c>
      <c r="C1215" s="1" t="s">
        <v>24375</v>
      </c>
      <c r="D1215" s="8" t="s">
        <v>24376</v>
      </c>
      <c r="E1215" s="1" t="s">
        <v>24377</v>
      </c>
      <c r="F1215" s="1" t="s">
        <v>132</v>
      </c>
      <c r="G1215" s="1" t="s">
        <v>24378</v>
      </c>
      <c r="H1215" s="1" t="s">
        <v>24379</v>
      </c>
      <c r="I1215" s="1" t="s">
        <v>24380</v>
      </c>
      <c r="J1215" s="1" t="s">
        <v>24381</v>
      </c>
      <c r="K1215" s="1" t="s">
        <v>24382</v>
      </c>
      <c r="L1215" s="1" t="s">
        <v>24383</v>
      </c>
      <c r="M1215" s="1" t="s">
        <v>24384</v>
      </c>
      <c r="N1215" s="1" t="s">
        <v>132</v>
      </c>
      <c r="O1215" s="1" t="s">
        <v>24385</v>
      </c>
      <c r="P1215" s="1" t="s">
        <v>24386</v>
      </c>
      <c r="Q1215" s="1" t="s">
        <v>132</v>
      </c>
      <c r="R1215" s="1" t="s">
        <v>24387</v>
      </c>
      <c r="S1215" s="1" t="s">
        <v>24388</v>
      </c>
      <c r="T1215" s="8" t="s">
        <v>24389</v>
      </c>
      <c r="U1215" s="1" t="s">
        <v>24390</v>
      </c>
      <c r="V1215" s="1" t="s">
        <v>24391</v>
      </c>
      <c r="W1215" s="1" t="s">
        <v>24387</v>
      </c>
      <c r="X1215" s="1" t="s">
        <v>24392</v>
      </c>
      <c r="Y1215" s="1" t="s">
        <v>24393</v>
      </c>
      <c r="Z1215" s="1" t="s">
        <v>24394</v>
      </c>
      <c r="AA1215" s="1" t="s">
        <v>24395</v>
      </c>
      <c r="AB1215" s="1" t="s">
        <v>24396</v>
      </c>
      <c r="AC1215" s="1" t="s">
        <v>24397</v>
      </c>
      <c r="AD1215" s="1" t="s">
        <v>24398</v>
      </c>
      <c r="AE1215" s="1" t="s">
        <v>24399</v>
      </c>
      <c r="AF1215" s="1" t="s">
        <v>24400</v>
      </c>
      <c r="AG1215" s="1" t="s">
        <v>24401</v>
      </c>
      <c r="AH1215" s="1" t="s">
        <v>24402</v>
      </c>
      <c r="AI1215" s="1" t="s">
        <v>24403</v>
      </c>
      <c r="AJ1215" s="1" t="s">
        <v>132</v>
      </c>
      <c r="AK1215" s="1" t="s">
        <v>24404</v>
      </c>
      <c r="AL1215" s="1" t="s">
        <v>24405</v>
      </c>
      <c r="AM1215" s="1" t="s">
        <v>132</v>
      </c>
      <c r="AN1215" s="1" t="s">
        <v>132</v>
      </c>
    </row>
    <row r="1216" ht="15.75" customHeight="1">
      <c r="A1216" s="1" t="s">
        <v>38</v>
      </c>
      <c r="B1216" s="1" t="s">
        <v>24406</v>
      </c>
      <c r="C1216" s="1" t="s">
        <v>24407</v>
      </c>
      <c r="D1216" s="8" t="s">
        <v>24408</v>
      </c>
      <c r="E1216" s="1" t="s">
        <v>24409</v>
      </c>
      <c r="F1216" s="1" t="s">
        <v>24410</v>
      </c>
      <c r="G1216" s="1" t="s">
        <v>132</v>
      </c>
      <c r="H1216" s="1" t="s">
        <v>132</v>
      </c>
      <c r="I1216" s="1" t="s">
        <v>24411</v>
      </c>
      <c r="J1216" s="1" t="s">
        <v>132</v>
      </c>
      <c r="K1216" s="1" t="s">
        <v>24412</v>
      </c>
      <c r="L1216" s="1" t="s">
        <v>132</v>
      </c>
      <c r="M1216" s="1" t="s">
        <v>24413</v>
      </c>
      <c r="N1216" s="1" t="s">
        <v>24414</v>
      </c>
      <c r="O1216" s="1" t="s">
        <v>132</v>
      </c>
      <c r="P1216" s="1" t="s">
        <v>24415</v>
      </c>
      <c r="Q1216" s="1" t="s">
        <v>132</v>
      </c>
      <c r="R1216" s="1" t="s">
        <v>132</v>
      </c>
      <c r="S1216" s="1" t="s">
        <v>24416</v>
      </c>
      <c r="T1216" s="1" t="s">
        <v>132</v>
      </c>
      <c r="U1216" s="1" t="s">
        <v>24417</v>
      </c>
      <c r="V1216" s="1" t="s">
        <v>132</v>
      </c>
      <c r="W1216" s="1" t="s">
        <v>132</v>
      </c>
      <c r="X1216" s="1" t="s">
        <v>24418</v>
      </c>
      <c r="Y1216" s="1" t="s">
        <v>132</v>
      </c>
      <c r="Z1216" s="1" t="s">
        <v>24419</v>
      </c>
      <c r="AA1216" s="1" t="s">
        <v>132</v>
      </c>
      <c r="AB1216" s="1" t="s">
        <v>132</v>
      </c>
      <c r="AC1216" s="1" t="s">
        <v>24420</v>
      </c>
      <c r="AD1216" s="1" t="s">
        <v>132</v>
      </c>
      <c r="AE1216" s="1" t="s">
        <v>132</v>
      </c>
      <c r="AF1216" s="1" t="s">
        <v>24421</v>
      </c>
      <c r="AG1216" s="1" t="s">
        <v>24422</v>
      </c>
      <c r="AH1216" s="1" t="s">
        <v>132</v>
      </c>
      <c r="AI1216" s="1" t="s">
        <v>132</v>
      </c>
      <c r="AJ1216" s="1" t="s">
        <v>24423</v>
      </c>
      <c r="AK1216" s="1" t="s">
        <v>132</v>
      </c>
      <c r="AL1216" s="1" t="s">
        <v>132</v>
      </c>
      <c r="AM1216" s="1" t="s">
        <v>24424</v>
      </c>
      <c r="AN1216" s="1" t="s">
        <v>24424</v>
      </c>
    </row>
    <row r="1217" ht="15.75" customHeight="1">
      <c r="A1217" s="1" t="s">
        <v>38</v>
      </c>
      <c r="B1217" s="1" t="s">
        <v>24425</v>
      </c>
      <c r="C1217" s="1" t="s">
        <v>24426</v>
      </c>
      <c r="D1217" s="1" t="s">
        <v>132</v>
      </c>
      <c r="E1217" s="1" t="s">
        <v>24427</v>
      </c>
      <c r="F1217" s="1" t="s">
        <v>24428</v>
      </c>
      <c r="G1217" s="1" t="s">
        <v>132</v>
      </c>
      <c r="H1217" s="1" t="s">
        <v>132</v>
      </c>
      <c r="I1217" s="1" t="s">
        <v>24429</v>
      </c>
      <c r="J1217" s="1" t="s">
        <v>132</v>
      </c>
      <c r="K1217" s="1" t="s">
        <v>24430</v>
      </c>
      <c r="L1217" s="1" t="s">
        <v>132</v>
      </c>
      <c r="M1217" s="1" t="s">
        <v>24431</v>
      </c>
      <c r="N1217" s="1" t="s">
        <v>24432</v>
      </c>
      <c r="O1217" s="1" t="s">
        <v>132</v>
      </c>
      <c r="P1217" s="1" t="s">
        <v>24433</v>
      </c>
      <c r="Q1217" s="1" t="s">
        <v>24434</v>
      </c>
      <c r="R1217" s="1" t="s">
        <v>132</v>
      </c>
      <c r="S1217" s="1" t="s">
        <v>24435</v>
      </c>
      <c r="T1217" s="1" t="s">
        <v>132</v>
      </c>
      <c r="U1217" s="1" t="s">
        <v>24436</v>
      </c>
      <c r="V1217" s="1" t="s">
        <v>24437</v>
      </c>
      <c r="W1217" s="1" t="s">
        <v>132</v>
      </c>
      <c r="X1217" s="1" t="s">
        <v>24438</v>
      </c>
      <c r="Y1217" s="1" t="s">
        <v>132</v>
      </c>
      <c r="Z1217" s="1" t="s">
        <v>24439</v>
      </c>
      <c r="AA1217" s="1" t="s">
        <v>24440</v>
      </c>
      <c r="AB1217" s="1" t="s">
        <v>132</v>
      </c>
      <c r="AC1217" s="1" t="s">
        <v>24441</v>
      </c>
      <c r="AD1217" s="1" t="s">
        <v>24442</v>
      </c>
      <c r="AE1217" s="1" t="s">
        <v>132</v>
      </c>
      <c r="AF1217" s="1" t="s">
        <v>24443</v>
      </c>
      <c r="AG1217" s="1" t="s">
        <v>24444</v>
      </c>
      <c r="AH1217" s="1" t="s">
        <v>132</v>
      </c>
      <c r="AI1217" s="1" t="s">
        <v>132</v>
      </c>
      <c r="AJ1217" s="1" t="s">
        <v>24445</v>
      </c>
      <c r="AK1217" s="1" t="s">
        <v>24446</v>
      </c>
      <c r="AL1217" s="1" t="s">
        <v>132</v>
      </c>
      <c r="AM1217" s="1" t="s">
        <v>24447</v>
      </c>
      <c r="AN1217" s="1" t="s">
        <v>24447</v>
      </c>
    </row>
    <row r="1218" ht="15.75" customHeight="1">
      <c r="A1218" s="1" t="s">
        <v>127</v>
      </c>
      <c r="B1218" s="1" t="s">
        <v>24448</v>
      </c>
      <c r="C1218" s="1" t="s">
        <v>24449</v>
      </c>
      <c r="D1218" s="8" t="s">
        <v>23015</v>
      </c>
      <c r="E1218" s="1" t="s">
        <v>23016</v>
      </c>
      <c r="F1218" s="1" t="s">
        <v>132</v>
      </c>
      <c r="G1218" s="1" t="s">
        <v>23017</v>
      </c>
      <c r="H1218" s="1" t="s">
        <v>23018</v>
      </c>
      <c r="I1218" s="1" t="s">
        <v>23019</v>
      </c>
      <c r="J1218" s="1" t="s">
        <v>23020</v>
      </c>
      <c r="K1218" s="1" t="s">
        <v>24450</v>
      </c>
      <c r="L1218" s="1" t="s">
        <v>23022</v>
      </c>
      <c r="M1218" s="1" t="s">
        <v>23023</v>
      </c>
      <c r="N1218" s="1" t="s">
        <v>132</v>
      </c>
      <c r="O1218" s="1" t="s">
        <v>8477</v>
      </c>
      <c r="P1218" s="1" t="s">
        <v>23025</v>
      </c>
      <c r="Q1218" s="1" t="s">
        <v>132</v>
      </c>
      <c r="R1218" s="1" t="s">
        <v>23026</v>
      </c>
      <c r="S1218" s="1" t="s">
        <v>24451</v>
      </c>
      <c r="T1218" s="8" t="s">
        <v>24452</v>
      </c>
      <c r="U1218" s="1" t="s">
        <v>8482</v>
      </c>
      <c r="V1218" s="1" t="s">
        <v>8483</v>
      </c>
      <c r="W1218" s="1" t="s">
        <v>8484</v>
      </c>
      <c r="X1218" s="1" t="s">
        <v>23030</v>
      </c>
      <c r="Y1218" s="1" t="s">
        <v>23031</v>
      </c>
      <c r="Z1218" s="1" t="s">
        <v>23032</v>
      </c>
      <c r="AA1218" s="1" t="s">
        <v>23033</v>
      </c>
      <c r="AB1218" s="1" t="s">
        <v>24453</v>
      </c>
      <c r="AC1218" s="1" t="s">
        <v>24454</v>
      </c>
      <c r="AD1218" s="1" t="s">
        <v>23036</v>
      </c>
      <c r="AE1218" s="1" t="s">
        <v>23037</v>
      </c>
      <c r="AF1218" s="1" t="s">
        <v>23038</v>
      </c>
      <c r="AG1218" s="1" t="s">
        <v>23039</v>
      </c>
      <c r="AH1218" s="1" t="s">
        <v>8493</v>
      </c>
      <c r="AI1218" s="1" t="s">
        <v>24455</v>
      </c>
      <c r="AJ1218" s="1" t="s">
        <v>132</v>
      </c>
      <c r="AK1218" s="1" t="s">
        <v>8495</v>
      </c>
      <c r="AL1218" s="1" t="s">
        <v>8496</v>
      </c>
      <c r="AM1218" s="1" t="s">
        <v>23041</v>
      </c>
      <c r="AN1218" s="1" t="s">
        <v>23041</v>
      </c>
    </row>
    <row r="1219" ht="15.75" customHeight="1">
      <c r="A1219" s="1" t="s">
        <v>38</v>
      </c>
      <c r="B1219" s="1" t="s">
        <v>24456</v>
      </c>
      <c r="C1219" s="1" t="s">
        <v>24457</v>
      </c>
      <c r="D1219" s="8" t="s">
        <v>24458</v>
      </c>
      <c r="E1219" s="1" t="s">
        <v>24459</v>
      </c>
      <c r="F1219" s="1" t="s">
        <v>24460</v>
      </c>
      <c r="G1219" s="1" t="s">
        <v>132</v>
      </c>
      <c r="H1219" s="1" t="s">
        <v>132</v>
      </c>
      <c r="I1219" s="1" t="s">
        <v>24461</v>
      </c>
      <c r="J1219" s="1" t="s">
        <v>132</v>
      </c>
      <c r="K1219" s="1" t="s">
        <v>24462</v>
      </c>
      <c r="L1219" s="1" t="s">
        <v>132</v>
      </c>
      <c r="M1219" s="1" t="s">
        <v>24463</v>
      </c>
      <c r="N1219" s="1" t="s">
        <v>24464</v>
      </c>
      <c r="O1219" s="1" t="s">
        <v>132</v>
      </c>
      <c r="P1219" s="1" t="s">
        <v>24465</v>
      </c>
      <c r="Q1219" s="1" t="s">
        <v>24466</v>
      </c>
      <c r="R1219" s="1" t="s">
        <v>132</v>
      </c>
      <c r="S1219" s="1" t="s">
        <v>24467</v>
      </c>
      <c r="T1219" s="1" t="s">
        <v>132</v>
      </c>
      <c r="U1219" s="1" t="s">
        <v>24468</v>
      </c>
      <c r="V1219" s="1" t="s">
        <v>24469</v>
      </c>
      <c r="W1219" s="1" t="s">
        <v>132</v>
      </c>
      <c r="X1219" s="1" t="s">
        <v>24470</v>
      </c>
      <c r="Y1219" s="1" t="s">
        <v>132</v>
      </c>
      <c r="Z1219" s="1" t="s">
        <v>24471</v>
      </c>
      <c r="AA1219" s="1" t="s">
        <v>24472</v>
      </c>
      <c r="AB1219" s="1" t="s">
        <v>132</v>
      </c>
      <c r="AC1219" s="1" t="s">
        <v>24473</v>
      </c>
      <c r="AD1219" s="1" t="s">
        <v>24474</v>
      </c>
      <c r="AE1219" s="1" t="s">
        <v>132</v>
      </c>
      <c r="AF1219" s="1" t="s">
        <v>24475</v>
      </c>
      <c r="AG1219" s="1" t="s">
        <v>24476</v>
      </c>
      <c r="AH1219" s="1" t="s">
        <v>132</v>
      </c>
      <c r="AI1219" s="1" t="s">
        <v>132</v>
      </c>
      <c r="AJ1219" s="1" t="s">
        <v>24477</v>
      </c>
      <c r="AK1219" s="1" t="s">
        <v>24478</v>
      </c>
      <c r="AL1219" s="1" t="s">
        <v>132</v>
      </c>
      <c r="AM1219" s="1" t="s">
        <v>24479</v>
      </c>
      <c r="AN1219" s="1" t="s">
        <v>24479</v>
      </c>
    </row>
    <row r="1220" ht="15.75" customHeight="1">
      <c r="A1220" s="1" t="s">
        <v>127</v>
      </c>
      <c r="B1220" s="1" t="s">
        <v>24480</v>
      </c>
      <c r="C1220" s="1" t="s">
        <v>738</v>
      </c>
      <c r="D1220" s="8" t="s">
        <v>739</v>
      </c>
      <c r="E1220" s="1" t="s">
        <v>740</v>
      </c>
      <c r="F1220" s="1" t="s">
        <v>132</v>
      </c>
      <c r="G1220" s="1" t="s">
        <v>741</v>
      </c>
      <c r="H1220" s="1" t="s">
        <v>742</v>
      </c>
      <c r="I1220" s="1" t="s">
        <v>743</v>
      </c>
      <c r="J1220" s="1" t="s">
        <v>744</v>
      </c>
      <c r="K1220" s="1" t="s">
        <v>745</v>
      </c>
      <c r="L1220" s="1" t="s">
        <v>746</v>
      </c>
      <c r="M1220" s="1" t="s">
        <v>747</v>
      </c>
      <c r="N1220" s="1" t="s">
        <v>132</v>
      </c>
      <c r="O1220" s="1" t="s">
        <v>748</v>
      </c>
      <c r="P1220" s="1" t="s">
        <v>749</v>
      </c>
      <c r="Q1220" s="1" t="s">
        <v>132</v>
      </c>
      <c r="R1220" s="1" t="s">
        <v>750</v>
      </c>
      <c r="S1220" s="1" t="s">
        <v>751</v>
      </c>
      <c r="T1220" s="8" t="s">
        <v>752</v>
      </c>
      <c r="U1220" s="1" t="s">
        <v>753</v>
      </c>
      <c r="V1220" s="1" t="s">
        <v>754</v>
      </c>
      <c r="W1220" s="1" t="s">
        <v>755</v>
      </c>
      <c r="X1220" s="1" t="s">
        <v>756</v>
      </c>
      <c r="Y1220" s="1" t="s">
        <v>750</v>
      </c>
      <c r="Z1220" s="1" t="s">
        <v>757</v>
      </c>
      <c r="AA1220" s="1" t="s">
        <v>745</v>
      </c>
      <c r="AB1220" s="1" t="s">
        <v>747</v>
      </c>
      <c r="AC1220" s="1" t="s">
        <v>740</v>
      </c>
      <c r="AD1220" s="1" t="s">
        <v>749</v>
      </c>
      <c r="AE1220" s="1" t="s">
        <v>759</v>
      </c>
      <c r="AF1220" s="1" t="s">
        <v>750</v>
      </c>
      <c r="AG1220" s="1" t="s">
        <v>742</v>
      </c>
      <c r="AH1220" s="1" t="s">
        <v>760</v>
      </c>
      <c r="AI1220" s="1" t="s">
        <v>761</v>
      </c>
      <c r="AJ1220" s="1" t="s">
        <v>132</v>
      </c>
      <c r="AK1220" s="1" t="s">
        <v>762</v>
      </c>
      <c r="AL1220" s="1" t="s">
        <v>24481</v>
      </c>
      <c r="AM1220" s="1" t="s">
        <v>24482</v>
      </c>
      <c r="AN1220" s="1" t="s">
        <v>24482</v>
      </c>
    </row>
    <row r="1221" ht="15.75" customHeight="1">
      <c r="A1221" s="1" t="s">
        <v>127</v>
      </c>
      <c r="B1221" s="1" t="s">
        <v>24483</v>
      </c>
      <c r="C1221" s="1" t="s">
        <v>24484</v>
      </c>
      <c r="D1221" s="8" t="s">
        <v>24485</v>
      </c>
      <c r="E1221" s="1" t="s">
        <v>24486</v>
      </c>
      <c r="F1221" s="1" t="s">
        <v>132</v>
      </c>
      <c r="G1221" s="1" t="s">
        <v>24487</v>
      </c>
      <c r="H1221" s="1" t="s">
        <v>24488</v>
      </c>
      <c r="I1221" s="1" t="s">
        <v>24489</v>
      </c>
      <c r="J1221" s="1" t="s">
        <v>24490</v>
      </c>
      <c r="K1221" s="1" t="s">
        <v>24491</v>
      </c>
      <c r="L1221" s="1" t="s">
        <v>24492</v>
      </c>
      <c r="M1221" s="1" t="s">
        <v>24493</v>
      </c>
      <c r="N1221" s="1" t="s">
        <v>132</v>
      </c>
      <c r="O1221" s="1" t="s">
        <v>24494</v>
      </c>
      <c r="P1221" s="1" t="s">
        <v>4565</v>
      </c>
      <c r="Q1221" s="1" t="s">
        <v>132</v>
      </c>
      <c r="R1221" s="1" t="s">
        <v>24495</v>
      </c>
      <c r="S1221" s="1" t="s">
        <v>24496</v>
      </c>
      <c r="T1221" s="8" t="s">
        <v>24497</v>
      </c>
      <c r="U1221" s="1" t="s">
        <v>24484</v>
      </c>
      <c r="V1221" s="1" t="s">
        <v>24498</v>
      </c>
      <c r="W1221" s="1" t="s">
        <v>24495</v>
      </c>
      <c r="X1221" s="1" t="s">
        <v>24499</v>
      </c>
      <c r="Y1221" s="1" t="s">
        <v>24500</v>
      </c>
      <c r="Z1221" s="1" t="s">
        <v>24501</v>
      </c>
      <c r="AA1221" s="1" t="s">
        <v>24502</v>
      </c>
      <c r="AB1221" s="1" t="s">
        <v>24503</v>
      </c>
      <c r="AC1221" s="1" t="s">
        <v>4576</v>
      </c>
      <c r="AD1221" s="1" t="s">
        <v>24504</v>
      </c>
      <c r="AE1221" s="1" t="s">
        <v>24505</v>
      </c>
      <c r="AF1221" s="1" t="s">
        <v>4579</v>
      </c>
      <c r="AG1221" s="1" t="s">
        <v>24506</v>
      </c>
      <c r="AH1221" s="1" t="s">
        <v>24507</v>
      </c>
      <c r="AI1221" s="1" t="s">
        <v>24508</v>
      </c>
      <c r="AJ1221" s="1" t="s">
        <v>132</v>
      </c>
      <c r="AK1221" s="1" t="s">
        <v>24509</v>
      </c>
      <c r="AL1221" s="1" t="s">
        <v>24510</v>
      </c>
      <c r="AM1221" s="1" t="s">
        <v>24511</v>
      </c>
      <c r="AN1221" s="1" t="s">
        <v>24511</v>
      </c>
    </row>
    <row r="1222" ht="15.75" customHeight="1">
      <c r="A1222" s="1" t="s">
        <v>38</v>
      </c>
      <c r="B1222" s="1" t="s">
        <v>24512</v>
      </c>
      <c r="C1222" s="1" t="s">
        <v>24513</v>
      </c>
      <c r="D1222" s="1" t="s">
        <v>132</v>
      </c>
      <c r="E1222" s="1" t="s">
        <v>132</v>
      </c>
      <c r="F1222" s="1" t="s">
        <v>132</v>
      </c>
      <c r="G1222" s="1" t="s">
        <v>132</v>
      </c>
      <c r="H1222" s="1" t="s">
        <v>132</v>
      </c>
      <c r="I1222" s="1" t="s">
        <v>24514</v>
      </c>
      <c r="J1222" s="1" t="s">
        <v>132</v>
      </c>
      <c r="K1222" s="1" t="s">
        <v>24513</v>
      </c>
      <c r="L1222" s="1" t="s">
        <v>132</v>
      </c>
      <c r="M1222" s="1" t="s">
        <v>24515</v>
      </c>
      <c r="N1222" s="1" t="s">
        <v>132</v>
      </c>
      <c r="O1222" s="1" t="s">
        <v>132</v>
      </c>
      <c r="P1222" s="1" t="s">
        <v>24513</v>
      </c>
      <c r="Q1222" s="1" t="s">
        <v>132</v>
      </c>
      <c r="R1222" s="1" t="s">
        <v>132</v>
      </c>
      <c r="S1222" s="1" t="s">
        <v>132</v>
      </c>
      <c r="T1222" s="1" t="s">
        <v>132</v>
      </c>
      <c r="U1222" s="1" t="s">
        <v>132</v>
      </c>
      <c r="V1222" s="1" t="s">
        <v>132</v>
      </c>
      <c r="W1222" s="1" t="s">
        <v>132</v>
      </c>
      <c r="X1222" s="1" t="s">
        <v>132</v>
      </c>
      <c r="Y1222" s="1" t="s">
        <v>132</v>
      </c>
      <c r="Z1222" s="1" t="s">
        <v>132</v>
      </c>
      <c r="AA1222" s="1" t="s">
        <v>132</v>
      </c>
      <c r="AB1222" s="1" t="s">
        <v>132</v>
      </c>
      <c r="AC1222" s="1" t="s">
        <v>24516</v>
      </c>
      <c r="AD1222" s="1" t="s">
        <v>132</v>
      </c>
      <c r="AE1222" s="1" t="s">
        <v>132</v>
      </c>
      <c r="AF1222" s="1" t="s">
        <v>24517</v>
      </c>
      <c r="AG1222" s="1" t="s">
        <v>132</v>
      </c>
      <c r="AH1222" s="1" t="s">
        <v>132</v>
      </c>
      <c r="AI1222" s="1" t="s">
        <v>132</v>
      </c>
      <c r="AJ1222" s="1" t="s">
        <v>132</v>
      </c>
      <c r="AK1222" s="1" t="s">
        <v>132</v>
      </c>
      <c r="AL1222" s="1" t="s">
        <v>132</v>
      </c>
      <c r="AM1222" s="1" t="s">
        <v>132</v>
      </c>
      <c r="AN1222" s="1" t="s">
        <v>132</v>
      </c>
    </row>
    <row r="1223" ht="15.75" customHeight="1">
      <c r="A1223" s="1" t="s">
        <v>127</v>
      </c>
      <c r="B1223" s="1" t="s">
        <v>24518</v>
      </c>
      <c r="C1223" s="1" t="s">
        <v>24519</v>
      </c>
      <c r="D1223" s="8" t="s">
        <v>24520</v>
      </c>
      <c r="E1223" s="1" t="s">
        <v>24521</v>
      </c>
      <c r="F1223" s="1" t="s">
        <v>132</v>
      </c>
      <c r="G1223" s="1" t="s">
        <v>24522</v>
      </c>
      <c r="H1223" s="1" t="s">
        <v>24523</v>
      </c>
      <c r="I1223" s="1" t="s">
        <v>24524</v>
      </c>
      <c r="J1223" s="1" t="s">
        <v>24525</v>
      </c>
      <c r="K1223" s="1" t="s">
        <v>24526</v>
      </c>
      <c r="L1223" s="1" t="s">
        <v>24527</v>
      </c>
      <c r="M1223" s="1" t="s">
        <v>24528</v>
      </c>
      <c r="N1223" s="1" t="s">
        <v>132</v>
      </c>
      <c r="O1223" s="1" t="s">
        <v>24529</v>
      </c>
      <c r="P1223" s="1" t="s">
        <v>24519</v>
      </c>
      <c r="Q1223" s="1" t="s">
        <v>132</v>
      </c>
      <c r="R1223" s="1" t="s">
        <v>24530</v>
      </c>
      <c r="S1223" s="1" t="s">
        <v>24519</v>
      </c>
      <c r="T1223" s="8" t="s">
        <v>24531</v>
      </c>
      <c r="U1223" s="1" t="s">
        <v>24532</v>
      </c>
      <c r="V1223" s="1" t="s">
        <v>24533</v>
      </c>
      <c r="W1223" s="1" t="s">
        <v>24534</v>
      </c>
      <c r="X1223" s="1" t="s">
        <v>24535</v>
      </c>
      <c r="Y1223" s="1" t="s">
        <v>24536</v>
      </c>
      <c r="Z1223" s="1" t="s">
        <v>24537</v>
      </c>
      <c r="AA1223" s="1" t="s">
        <v>24538</v>
      </c>
      <c r="AB1223" s="1" t="s">
        <v>24539</v>
      </c>
      <c r="AC1223" s="1" t="s">
        <v>24540</v>
      </c>
      <c r="AD1223" s="1" t="s">
        <v>24541</v>
      </c>
      <c r="AE1223" s="1" t="s">
        <v>24542</v>
      </c>
      <c r="AF1223" s="1" t="s">
        <v>24543</v>
      </c>
      <c r="AG1223" s="1" t="s">
        <v>24536</v>
      </c>
      <c r="AH1223" s="1" t="s">
        <v>24544</v>
      </c>
      <c r="AI1223" s="1" t="s">
        <v>24545</v>
      </c>
      <c r="AJ1223" s="1" t="s">
        <v>132</v>
      </c>
      <c r="AK1223" s="1" t="s">
        <v>24546</v>
      </c>
      <c r="AL1223" s="1" t="s">
        <v>24547</v>
      </c>
      <c r="AM1223" s="1" t="s">
        <v>132</v>
      </c>
      <c r="AN1223" s="1" t="s">
        <v>132</v>
      </c>
    </row>
    <row r="1224" ht="15.75" customHeight="1">
      <c r="A1224" s="1" t="s">
        <v>38</v>
      </c>
      <c r="B1224" s="1" t="s">
        <v>24548</v>
      </c>
      <c r="C1224" s="1" t="s">
        <v>24549</v>
      </c>
      <c r="D1224" s="1" t="s">
        <v>132</v>
      </c>
      <c r="E1224" s="1" t="s">
        <v>132</v>
      </c>
      <c r="F1224" s="1" t="s">
        <v>132</v>
      </c>
      <c r="G1224" s="1" t="s">
        <v>132</v>
      </c>
      <c r="H1224" s="1" t="s">
        <v>132</v>
      </c>
      <c r="I1224" s="1" t="s">
        <v>24550</v>
      </c>
      <c r="J1224" s="1" t="s">
        <v>132</v>
      </c>
      <c r="K1224" s="1" t="s">
        <v>24551</v>
      </c>
      <c r="L1224" s="1" t="s">
        <v>132</v>
      </c>
      <c r="M1224" s="1" t="s">
        <v>24552</v>
      </c>
      <c r="N1224" s="1" t="s">
        <v>132</v>
      </c>
      <c r="O1224" s="1" t="s">
        <v>132</v>
      </c>
      <c r="P1224" s="1" t="s">
        <v>24549</v>
      </c>
      <c r="Q1224" s="1" t="s">
        <v>132</v>
      </c>
      <c r="R1224" s="1" t="s">
        <v>132</v>
      </c>
      <c r="S1224" s="1" t="s">
        <v>132</v>
      </c>
      <c r="T1224" s="1" t="s">
        <v>132</v>
      </c>
      <c r="U1224" s="1" t="s">
        <v>132</v>
      </c>
      <c r="V1224" s="1" t="s">
        <v>132</v>
      </c>
      <c r="W1224" s="1" t="s">
        <v>132</v>
      </c>
      <c r="X1224" s="1" t="s">
        <v>132</v>
      </c>
      <c r="Y1224" s="1" t="s">
        <v>132</v>
      </c>
      <c r="Z1224" s="1" t="s">
        <v>132</v>
      </c>
      <c r="AA1224" s="1" t="s">
        <v>132</v>
      </c>
      <c r="AB1224" s="1" t="s">
        <v>132</v>
      </c>
      <c r="AC1224" s="1" t="s">
        <v>24553</v>
      </c>
      <c r="AD1224" s="1" t="s">
        <v>132</v>
      </c>
      <c r="AE1224" s="1" t="s">
        <v>132</v>
      </c>
      <c r="AF1224" s="1" t="s">
        <v>24554</v>
      </c>
      <c r="AG1224" s="1" t="s">
        <v>132</v>
      </c>
      <c r="AH1224" s="1" t="s">
        <v>132</v>
      </c>
      <c r="AI1224" s="1" t="s">
        <v>132</v>
      </c>
      <c r="AJ1224" s="1" t="s">
        <v>132</v>
      </c>
      <c r="AK1224" s="1" t="s">
        <v>132</v>
      </c>
      <c r="AL1224" s="1" t="s">
        <v>132</v>
      </c>
      <c r="AM1224" s="1" t="s">
        <v>132</v>
      </c>
      <c r="AN1224" s="1" t="s">
        <v>132</v>
      </c>
    </row>
    <row r="1225" ht="15.75" customHeight="1">
      <c r="A1225" s="1" t="s">
        <v>127</v>
      </c>
      <c r="B1225" s="1" t="s">
        <v>24555</v>
      </c>
      <c r="C1225" s="1" t="s">
        <v>1205</v>
      </c>
      <c r="D1225" s="8" t="s">
        <v>1206</v>
      </c>
      <c r="E1225" s="1" t="s">
        <v>24556</v>
      </c>
      <c r="F1225" s="1" t="s">
        <v>132</v>
      </c>
      <c r="G1225" s="1" t="s">
        <v>1208</v>
      </c>
      <c r="H1225" s="1" t="s">
        <v>1209</v>
      </c>
      <c r="I1225" s="1" t="s">
        <v>1210</v>
      </c>
      <c r="J1225" s="1" t="s">
        <v>1211</v>
      </c>
      <c r="K1225" s="1" t="s">
        <v>1212</v>
      </c>
      <c r="L1225" s="1" t="s">
        <v>1213</v>
      </c>
      <c r="M1225" s="1" t="s">
        <v>1214</v>
      </c>
      <c r="N1225" s="1" t="s">
        <v>132</v>
      </c>
      <c r="O1225" s="1" t="s">
        <v>1215</v>
      </c>
      <c r="P1225" s="1" t="s">
        <v>1216</v>
      </c>
      <c r="Q1225" s="1" t="s">
        <v>132</v>
      </c>
      <c r="R1225" s="1" t="s">
        <v>1217</v>
      </c>
      <c r="S1225" s="1" t="s">
        <v>1218</v>
      </c>
      <c r="T1225" s="8" t="s">
        <v>1219</v>
      </c>
      <c r="U1225" s="1" t="s">
        <v>1220</v>
      </c>
      <c r="V1225" s="1" t="s">
        <v>1221</v>
      </c>
      <c r="W1225" s="1" t="s">
        <v>1217</v>
      </c>
      <c r="X1225" s="1" t="s">
        <v>1205</v>
      </c>
      <c r="Y1225" s="1" t="s">
        <v>1209</v>
      </c>
      <c r="Z1225" s="1" t="s">
        <v>1222</v>
      </c>
      <c r="AA1225" s="1" t="s">
        <v>1223</v>
      </c>
      <c r="AB1225" s="1" t="s">
        <v>1224</v>
      </c>
      <c r="AC1225" s="1" t="s">
        <v>1225</v>
      </c>
      <c r="AD1225" s="1" t="s">
        <v>1226</v>
      </c>
      <c r="AE1225" s="1" t="s">
        <v>1227</v>
      </c>
      <c r="AF1225" s="1" t="s">
        <v>24557</v>
      </c>
      <c r="AG1225" s="1" t="s">
        <v>1229</v>
      </c>
      <c r="AH1225" s="1" t="s">
        <v>1230</v>
      </c>
      <c r="AI1225" s="1" t="s">
        <v>1231</v>
      </c>
      <c r="AJ1225" s="1" t="s">
        <v>132</v>
      </c>
      <c r="AK1225" s="1" t="s">
        <v>1232</v>
      </c>
      <c r="AL1225" s="1" t="s">
        <v>1233</v>
      </c>
      <c r="AM1225" s="1" t="s">
        <v>132</v>
      </c>
      <c r="AN1225" s="1" t="s">
        <v>132</v>
      </c>
    </row>
    <row r="1226" ht="15.75" customHeight="1">
      <c r="A1226" s="1" t="s">
        <v>127</v>
      </c>
      <c r="B1226" s="1" t="s">
        <v>24558</v>
      </c>
      <c r="C1226" s="1" t="s">
        <v>24559</v>
      </c>
      <c r="D1226" s="8" t="s">
        <v>24560</v>
      </c>
      <c r="E1226" s="1" t="s">
        <v>24561</v>
      </c>
      <c r="F1226" s="1" t="s">
        <v>132</v>
      </c>
      <c r="G1226" s="1" t="s">
        <v>24562</v>
      </c>
      <c r="H1226" s="1" t="s">
        <v>24563</v>
      </c>
      <c r="I1226" s="1" t="s">
        <v>24564</v>
      </c>
      <c r="J1226" s="1" t="s">
        <v>24565</v>
      </c>
      <c r="K1226" s="1" t="s">
        <v>24566</v>
      </c>
      <c r="L1226" s="1" t="s">
        <v>24567</v>
      </c>
      <c r="M1226" s="1" t="s">
        <v>24568</v>
      </c>
      <c r="N1226" s="1" t="s">
        <v>132</v>
      </c>
      <c r="O1226" s="1" t="s">
        <v>24569</v>
      </c>
      <c r="P1226" s="1" t="s">
        <v>24570</v>
      </c>
      <c r="Q1226" s="1" t="s">
        <v>132</v>
      </c>
      <c r="R1226" s="1" t="s">
        <v>24571</v>
      </c>
      <c r="S1226" s="1" t="s">
        <v>24572</v>
      </c>
      <c r="T1226" s="8" t="s">
        <v>24573</v>
      </c>
      <c r="U1226" s="1" t="s">
        <v>24574</v>
      </c>
      <c r="V1226" s="1" t="s">
        <v>24575</v>
      </c>
      <c r="W1226" s="1" t="s">
        <v>24571</v>
      </c>
      <c r="X1226" s="1" t="s">
        <v>24576</v>
      </c>
      <c r="Y1226" s="1" t="s">
        <v>24577</v>
      </c>
      <c r="Z1226" s="1" t="s">
        <v>24578</v>
      </c>
      <c r="AA1226" s="1" t="s">
        <v>24579</v>
      </c>
      <c r="AB1226" s="1" t="s">
        <v>24580</v>
      </c>
      <c r="AC1226" s="1" t="s">
        <v>24581</v>
      </c>
      <c r="AD1226" s="1" t="s">
        <v>24582</v>
      </c>
      <c r="AE1226" s="1" t="s">
        <v>24583</v>
      </c>
      <c r="AF1226" s="1" t="s">
        <v>24584</v>
      </c>
      <c r="AG1226" s="1" t="s">
        <v>24585</v>
      </c>
      <c r="AH1226" s="1" t="s">
        <v>24586</v>
      </c>
      <c r="AI1226" s="1" t="s">
        <v>24587</v>
      </c>
      <c r="AJ1226" s="1" t="s">
        <v>132</v>
      </c>
      <c r="AK1226" s="1" t="s">
        <v>24588</v>
      </c>
      <c r="AL1226" s="1" t="s">
        <v>24589</v>
      </c>
      <c r="AM1226" s="1" t="s">
        <v>24590</v>
      </c>
      <c r="AN1226" s="1" t="s">
        <v>24590</v>
      </c>
    </row>
    <row r="1227" ht="15.75" customHeight="1">
      <c r="A1227" s="1" t="s">
        <v>38</v>
      </c>
      <c r="B1227" s="1" t="s">
        <v>24591</v>
      </c>
      <c r="C1227" s="1" t="s">
        <v>24592</v>
      </c>
      <c r="D1227" s="1" t="s">
        <v>132</v>
      </c>
      <c r="E1227" s="1" t="s">
        <v>132</v>
      </c>
      <c r="F1227" s="1" t="s">
        <v>132</v>
      </c>
      <c r="G1227" s="1" t="s">
        <v>132</v>
      </c>
      <c r="H1227" s="1" t="s">
        <v>132</v>
      </c>
      <c r="I1227" s="1" t="s">
        <v>24592</v>
      </c>
      <c r="J1227" s="1" t="s">
        <v>132</v>
      </c>
      <c r="K1227" s="1" t="s">
        <v>24593</v>
      </c>
      <c r="L1227" s="1" t="s">
        <v>132</v>
      </c>
      <c r="M1227" s="1" t="s">
        <v>24592</v>
      </c>
      <c r="N1227" s="1" t="s">
        <v>132</v>
      </c>
      <c r="O1227" s="1" t="s">
        <v>132</v>
      </c>
      <c r="P1227" s="1" t="s">
        <v>24592</v>
      </c>
      <c r="Q1227" s="1" t="s">
        <v>132</v>
      </c>
      <c r="R1227" s="1" t="s">
        <v>132</v>
      </c>
      <c r="S1227" s="1" t="s">
        <v>132</v>
      </c>
      <c r="T1227" s="1" t="s">
        <v>132</v>
      </c>
      <c r="U1227" s="1" t="s">
        <v>132</v>
      </c>
      <c r="V1227" s="1" t="s">
        <v>132</v>
      </c>
      <c r="W1227" s="1" t="s">
        <v>132</v>
      </c>
      <c r="X1227" s="1" t="s">
        <v>132</v>
      </c>
      <c r="Y1227" s="1" t="s">
        <v>132</v>
      </c>
      <c r="Z1227" s="1" t="s">
        <v>132</v>
      </c>
      <c r="AA1227" s="1" t="s">
        <v>132</v>
      </c>
      <c r="AB1227" s="1" t="s">
        <v>132</v>
      </c>
      <c r="AC1227" s="1" t="s">
        <v>24594</v>
      </c>
      <c r="AD1227" s="1" t="s">
        <v>132</v>
      </c>
      <c r="AE1227" s="1" t="s">
        <v>132</v>
      </c>
      <c r="AF1227" s="1" t="s">
        <v>24592</v>
      </c>
      <c r="AG1227" s="1" t="s">
        <v>132</v>
      </c>
      <c r="AH1227" s="1" t="s">
        <v>132</v>
      </c>
      <c r="AI1227" s="1" t="s">
        <v>132</v>
      </c>
      <c r="AJ1227" s="1" t="s">
        <v>132</v>
      </c>
      <c r="AK1227" s="1" t="s">
        <v>132</v>
      </c>
      <c r="AL1227" s="1" t="s">
        <v>132</v>
      </c>
      <c r="AM1227" s="1" t="s">
        <v>132</v>
      </c>
      <c r="AN1227" s="1" t="s">
        <v>132</v>
      </c>
    </row>
    <row r="1228" ht="15.75" customHeight="1">
      <c r="A1228" s="1" t="s">
        <v>127</v>
      </c>
      <c r="B1228" s="1" t="s">
        <v>24595</v>
      </c>
      <c r="C1228" s="1" t="s">
        <v>24596</v>
      </c>
      <c r="D1228" s="8" t="s">
        <v>24597</v>
      </c>
      <c r="E1228" s="1" t="s">
        <v>24598</v>
      </c>
      <c r="F1228" s="1" t="s">
        <v>132</v>
      </c>
      <c r="G1228" s="1" t="s">
        <v>24599</v>
      </c>
      <c r="H1228" s="1" t="s">
        <v>24600</v>
      </c>
      <c r="I1228" s="1" t="s">
        <v>24601</v>
      </c>
      <c r="J1228" s="1" t="s">
        <v>24602</v>
      </c>
      <c r="K1228" s="1" t="s">
        <v>24603</v>
      </c>
      <c r="L1228" s="1" t="s">
        <v>24604</v>
      </c>
      <c r="M1228" s="1" t="s">
        <v>24605</v>
      </c>
      <c r="N1228" s="1" t="s">
        <v>132</v>
      </c>
      <c r="O1228" s="1" t="s">
        <v>24606</v>
      </c>
      <c r="P1228" s="1" t="s">
        <v>24607</v>
      </c>
      <c r="Q1228" s="1" t="s">
        <v>132</v>
      </c>
      <c r="R1228" s="1" t="s">
        <v>24608</v>
      </c>
      <c r="S1228" s="1" t="s">
        <v>24609</v>
      </c>
      <c r="T1228" s="8" t="s">
        <v>24610</v>
      </c>
      <c r="U1228" s="1" t="s">
        <v>24611</v>
      </c>
      <c r="V1228" s="1" t="s">
        <v>24612</v>
      </c>
      <c r="W1228" s="1" t="s">
        <v>24608</v>
      </c>
      <c r="X1228" s="1" t="s">
        <v>24613</v>
      </c>
      <c r="Y1228" s="1" t="s">
        <v>24600</v>
      </c>
      <c r="Z1228" s="1" t="s">
        <v>24614</v>
      </c>
      <c r="AA1228" s="1" t="s">
        <v>24615</v>
      </c>
      <c r="AB1228" s="1" t="s">
        <v>24616</v>
      </c>
      <c r="AC1228" s="1" t="s">
        <v>24617</v>
      </c>
      <c r="AD1228" s="1" t="s">
        <v>24618</v>
      </c>
      <c r="AE1228" s="1" t="s">
        <v>24619</v>
      </c>
      <c r="AF1228" s="1" t="s">
        <v>24620</v>
      </c>
      <c r="AG1228" s="1" t="s">
        <v>24621</v>
      </c>
      <c r="AH1228" s="1" t="s">
        <v>24622</v>
      </c>
      <c r="AI1228" s="1" t="s">
        <v>24623</v>
      </c>
      <c r="AJ1228" s="1" t="s">
        <v>132</v>
      </c>
      <c r="AK1228" s="1" t="s">
        <v>24624</v>
      </c>
      <c r="AL1228" s="1" t="s">
        <v>24625</v>
      </c>
      <c r="AM1228" s="1" t="s">
        <v>132</v>
      </c>
      <c r="AN1228" s="1" t="s">
        <v>132</v>
      </c>
    </row>
    <row r="1229" ht="15.75" customHeight="1">
      <c r="A1229" s="1" t="s">
        <v>38</v>
      </c>
      <c r="B1229" s="1" t="s">
        <v>24626</v>
      </c>
      <c r="C1229" s="1" t="s">
        <v>24627</v>
      </c>
      <c r="D1229" s="8" t="s">
        <v>24628</v>
      </c>
      <c r="E1229" s="1" t="s">
        <v>24629</v>
      </c>
      <c r="F1229" s="1" t="s">
        <v>24630</v>
      </c>
      <c r="G1229" s="1" t="s">
        <v>132</v>
      </c>
      <c r="H1229" s="1" t="s">
        <v>132</v>
      </c>
      <c r="I1229" s="1" t="s">
        <v>24631</v>
      </c>
      <c r="J1229" s="1" t="s">
        <v>132</v>
      </c>
      <c r="K1229" s="1" t="s">
        <v>24632</v>
      </c>
      <c r="L1229" s="1" t="s">
        <v>132</v>
      </c>
      <c r="M1229" s="1" t="s">
        <v>24633</v>
      </c>
      <c r="N1229" s="1" t="s">
        <v>24632</v>
      </c>
      <c r="O1229" s="1" t="s">
        <v>132</v>
      </c>
      <c r="P1229" s="1" t="s">
        <v>24634</v>
      </c>
      <c r="Q1229" s="1" t="s">
        <v>24635</v>
      </c>
      <c r="R1229" s="1" t="s">
        <v>132</v>
      </c>
      <c r="S1229" s="1" t="s">
        <v>24636</v>
      </c>
      <c r="T1229" s="1" t="s">
        <v>132</v>
      </c>
      <c r="U1229" s="1" t="s">
        <v>24637</v>
      </c>
      <c r="V1229" s="1" t="s">
        <v>24638</v>
      </c>
      <c r="W1229" s="1" t="s">
        <v>132</v>
      </c>
      <c r="X1229" s="1" t="s">
        <v>24639</v>
      </c>
      <c r="Y1229" s="1" t="s">
        <v>132</v>
      </c>
      <c r="Z1229" s="1" t="s">
        <v>24640</v>
      </c>
      <c r="AA1229" s="1" t="s">
        <v>24641</v>
      </c>
      <c r="AB1229" s="1" t="s">
        <v>132</v>
      </c>
      <c r="AC1229" s="1" t="s">
        <v>24642</v>
      </c>
      <c r="AD1229" s="1" t="s">
        <v>24643</v>
      </c>
      <c r="AE1229" s="1" t="s">
        <v>132</v>
      </c>
      <c r="AF1229" s="1" t="s">
        <v>24644</v>
      </c>
      <c r="AG1229" s="1" t="s">
        <v>24645</v>
      </c>
      <c r="AH1229" s="1" t="s">
        <v>132</v>
      </c>
      <c r="AI1229" s="1" t="s">
        <v>132</v>
      </c>
      <c r="AJ1229" s="1" t="s">
        <v>24646</v>
      </c>
      <c r="AK1229" s="1" t="s">
        <v>24647</v>
      </c>
      <c r="AL1229" s="1" t="s">
        <v>132</v>
      </c>
      <c r="AM1229" s="1" t="s">
        <v>24648</v>
      </c>
      <c r="AN1229" s="1" t="s">
        <v>24648</v>
      </c>
    </row>
    <row r="1230" ht="15.75" customHeight="1">
      <c r="A1230" s="1" t="s">
        <v>38</v>
      </c>
      <c r="B1230" s="1" t="s">
        <v>24649</v>
      </c>
      <c r="C1230" s="1" t="s">
        <v>24650</v>
      </c>
      <c r="D1230" s="1" t="s">
        <v>132</v>
      </c>
      <c r="E1230" s="1" t="s">
        <v>132</v>
      </c>
      <c r="F1230" s="1" t="s">
        <v>132</v>
      </c>
      <c r="G1230" s="1" t="s">
        <v>132</v>
      </c>
      <c r="H1230" s="1" t="s">
        <v>132</v>
      </c>
      <c r="I1230" s="1" t="s">
        <v>24651</v>
      </c>
      <c r="J1230" s="1" t="s">
        <v>132</v>
      </c>
      <c r="K1230" s="1" t="s">
        <v>24651</v>
      </c>
      <c r="L1230" s="1" t="s">
        <v>132</v>
      </c>
      <c r="M1230" s="1" t="s">
        <v>24652</v>
      </c>
      <c r="N1230" s="1" t="s">
        <v>132</v>
      </c>
      <c r="O1230" s="1" t="s">
        <v>132</v>
      </c>
      <c r="P1230" s="1" t="s">
        <v>24650</v>
      </c>
      <c r="Q1230" s="1" t="s">
        <v>132</v>
      </c>
      <c r="R1230" s="1" t="s">
        <v>132</v>
      </c>
      <c r="S1230" s="1" t="s">
        <v>132</v>
      </c>
      <c r="T1230" s="1" t="s">
        <v>132</v>
      </c>
      <c r="U1230" s="1" t="s">
        <v>132</v>
      </c>
      <c r="V1230" s="1" t="s">
        <v>132</v>
      </c>
      <c r="W1230" s="1" t="s">
        <v>132</v>
      </c>
      <c r="X1230" s="1" t="s">
        <v>132</v>
      </c>
      <c r="Y1230" s="1" t="s">
        <v>132</v>
      </c>
      <c r="Z1230" s="1" t="s">
        <v>132</v>
      </c>
      <c r="AA1230" s="1" t="s">
        <v>132</v>
      </c>
      <c r="AB1230" s="1" t="s">
        <v>132</v>
      </c>
      <c r="AC1230" s="1" t="s">
        <v>24653</v>
      </c>
      <c r="AD1230" s="1" t="s">
        <v>132</v>
      </c>
      <c r="AE1230" s="1" t="s">
        <v>132</v>
      </c>
      <c r="AF1230" s="1" t="s">
        <v>24651</v>
      </c>
      <c r="AG1230" s="1" t="s">
        <v>132</v>
      </c>
      <c r="AH1230" s="1" t="s">
        <v>132</v>
      </c>
      <c r="AI1230" s="1" t="s">
        <v>132</v>
      </c>
      <c r="AJ1230" s="1" t="s">
        <v>132</v>
      </c>
      <c r="AK1230" s="1" t="s">
        <v>132</v>
      </c>
      <c r="AL1230" s="1" t="s">
        <v>132</v>
      </c>
      <c r="AM1230" s="1" t="s">
        <v>132</v>
      </c>
      <c r="AN1230" s="1" t="s">
        <v>132</v>
      </c>
    </row>
    <row r="1231" ht="15.75" customHeight="1">
      <c r="A1231" s="1" t="s">
        <v>38</v>
      </c>
      <c r="B1231" s="1" t="s">
        <v>24654</v>
      </c>
      <c r="C1231" s="1" t="s">
        <v>24655</v>
      </c>
      <c r="D1231" s="8" t="s">
        <v>24656</v>
      </c>
      <c r="E1231" s="1" t="s">
        <v>24657</v>
      </c>
      <c r="F1231" s="1" t="s">
        <v>24658</v>
      </c>
      <c r="G1231" s="1" t="s">
        <v>132</v>
      </c>
      <c r="H1231" s="1" t="s">
        <v>132</v>
      </c>
      <c r="I1231" s="1" t="s">
        <v>24659</v>
      </c>
      <c r="J1231" s="1" t="s">
        <v>132</v>
      </c>
      <c r="K1231" s="1" t="s">
        <v>24658</v>
      </c>
      <c r="L1231" s="1" t="s">
        <v>132</v>
      </c>
      <c r="M1231" s="1" t="s">
        <v>24660</v>
      </c>
      <c r="N1231" s="1" t="s">
        <v>24655</v>
      </c>
      <c r="O1231" s="1" t="s">
        <v>132</v>
      </c>
      <c r="P1231" s="1" t="s">
        <v>24661</v>
      </c>
      <c r="Q1231" s="1" t="s">
        <v>24659</v>
      </c>
      <c r="R1231" s="1" t="s">
        <v>132</v>
      </c>
      <c r="S1231" s="1" t="s">
        <v>24662</v>
      </c>
      <c r="T1231" s="1" t="s">
        <v>132</v>
      </c>
      <c r="U1231" s="1" t="s">
        <v>24663</v>
      </c>
      <c r="V1231" s="1" t="s">
        <v>24664</v>
      </c>
      <c r="W1231" s="1" t="s">
        <v>132</v>
      </c>
      <c r="X1231" s="1" t="s">
        <v>24665</v>
      </c>
      <c r="Y1231" s="1" t="s">
        <v>132</v>
      </c>
      <c r="Z1231" s="1" t="s">
        <v>24655</v>
      </c>
      <c r="AA1231" s="1" t="s">
        <v>24658</v>
      </c>
      <c r="AB1231" s="1" t="s">
        <v>132</v>
      </c>
      <c r="AC1231" s="1" t="s">
        <v>24657</v>
      </c>
      <c r="AD1231" s="1" t="s">
        <v>24666</v>
      </c>
      <c r="AE1231" s="1" t="s">
        <v>132</v>
      </c>
      <c r="AF1231" s="1" t="s">
        <v>24657</v>
      </c>
      <c r="AG1231" s="1" t="s">
        <v>24655</v>
      </c>
      <c r="AH1231" s="1" t="s">
        <v>132</v>
      </c>
      <c r="AI1231" s="1" t="s">
        <v>132</v>
      </c>
      <c r="AJ1231" s="1" t="s">
        <v>24667</v>
      </c>
      <c r="AK1231" s="1" t="s">
        <v>24668</v>
      </c>
      <c r="AL1231" s="1" t="s">
        <v>132</v>
      </c>
      <c r="AM1231" s="1" t="s">
        <v>24669</v>
      </c>
      <c r="AN1231" s="1" t="s">
        <v>24669</v>
      </c>
    </row>
    <row r="1232" ht="15.75" customHeight="1">
      <c r="A1232" s="1" t="s">
        <v>38</v>
      </c>
      <c r="B1232" s="1" t="s">
        <v>24670</v>
      </c>
      <c r="C1232" s="1" t="s">
        <v>24671</v>
      </c>
      <c r="D1232" s="8" t="s">
        <v>24672</v>
      </c>
      <c r="E1232" s="1" t="s">
        <v>24673</v>
      </c>
      <c r="F1232" s="1" t="s">
        <v>24674</v>
      </c>
      <c r="G1232" s="1" t="s">
        <v>132</v>
      </c>
      <c r="H1232" s="1" t="s">
        <v>132</v>
      </c>
      <c r="I1232" s="1" t="s">
        <v>24675</v>
      </c>
      <c r="J1232" s="1" t="s">
        <v>132</v>
      </c>
      <c r="K1232" s="1" t="s">
        <v>24676</v>
      </c>
      <c r="L1232" s="1" t="s">
        <v>132</v>
      </c>
      <c r="M1232" s="1" t="s">
        <v>24677</v>
      </c>
      <c r="N1232" s="1" t="s">
        <v>24678</v>
      </c>
      <c r="O1232" s="1" t="s">
        <v>132</v>
      </c>
      <c r="P1232" s="1" t="s">
        <v>24679</v>
      </c>
      <c r="Q1232" s="1" t="s">
        <v>24680</v>
      </c>
      <c r="R1232" s="1" t="s">
        <v>132</v>
      </c>
      <c r="S1232" s="1" t="s">
        <v>24681</v>
      </c>
      <c r="T1232" s="1" t="s">
        <v>132</v>
      </c>
      <c r="U1232" s="1" t="s">
        <v>24682</v>
      </c>
      <c r="V1232" s="1" t="s">
        <v>24683</v>
      </c>
      <c r="W1232" s="1" t="s">
        <v>132</v>
      </c>
      <c r="X1232" s="1" t="s">
        <v>24684</v>
      </c>
      <c r="Y1232" s="1" t="s">
        <v>132</v>
      </c>
      <c r="Z1232" s="1" t="s">
        <v>24685</v>
      </c>
      <c r="AA1232" s="1" t="s">
        <v>24686</v>
      </c>
      <c r="AB1232" s="1" t="s">
        <v>132</v>
      </c>
      <c r="AC1232" s="1" t="s">
        <v>24687</v>
      </c>
      <c r="AD1232" s="1" t="s">
        <v>24688</v>
      </c>
      <c r="AE1232" s="1" t="s">
        <v>132</v>
      </c>
      <c r="AF1232" s="1" t="s">
        <v>24689</v>
      </c>
      <c r="AG1232" s="1" t="s">
        <v>24690</v>
      </c>
      <c r="AH1232" s="1" t="s">
        <v>132</v>
      </c>
      <c r="AI1232" s="1" t="s">
        <v>132</v>
      </c>
      <c r="AJ1232" s="1" t="s">
        <v>24691</v>
      </c>
      <c r="AK1232" s="1" t="s">
        <v>24692</v>
      </c>
      <c r="AL1232" s="1" t="s">
        <v>132</v>
      </c>
      <c r="AM1232" s="1" t="s">
        <v>24693</v>
      </c>
      <c r="AN1232" s="1" t="s">
        <v>24693</v>
      </c>
    </row>
    <row r="1233" ht="15.75" customHeight="1">
      <c r="A1233" s="1" t="s">
        <v>127</v>
      </c>
      <c r="B1233" s="1" t="s">
        <v>24694</v>
      </c>
      <c r="C1233" s="1" t="s">
        <v>24695</v>
      </c>
      <c r="D1233" s="8" t="s">
        <v>24696</v>
      </c>
      <c r="E1233" s="1" t="s">
        <v>24697</v>
      </c>
      <c r="F1233" s="1" t="s">
        <v>132</v>
      </c>
      <c r="G1233" s="1" t="s">
        <v>24698</v>
      </c>
      <c r="H1233" s="1" t="s">
        <v>24699</v>
      </c>
      <c r="I1233" s="1" t="s">
        <v>24695</v>
      </c>
      <c r="J1233" s="1" t="s">
        <v>24700</v>
      </c>
      <c r="K1233" s="1" t="s">
        <v>24701</v>
      </c>
      <c r="L1233" s="1" t="s">
        <v>24702</v>
      </c>
      <c r="M1233" s="1" t="s">
        <v>24703</v>
      </c>
      <c r="N1233" s="1" t="s">
        <v>132</v>
      </c>
      <c r="O1233" s="1" t="s">
        <v>24704</v>
      </c>
      <c r="P1233" s="1" t="s">
        <v>24705</v>
      </c>
      <c r="Q1233" s="1" t="s">
        <v>132</v>
      </c>
      <c r="R1233" s="1" t="s">
        <v>24706</v>
      </c>
      <c r="S1233" s="1" t="s">
        <v>24707</v>
      </c>
      <c r="T1233" s="8" t="s">
        <v>24708</v>
      </c>
      <c r="U1233" s="1" t="s">
        <v>24709</v>
      </c>
      <c r="V1233" s="1" t="s">
        <v>24710</v>
      </c>
      <c r="W1233" s="1" t="s">
        <v>24711</v>
      </c>
      <c r="X1233" s="1" t="s">
        <v>24712</v>
      </c>
      <c r="Y1233" s="1" t="s">
        <v>24713</v>
      </c>
      <c r="Z1233" s="1" t="s">
        <v>24714</v>
      </c>
      <c r="AA1233" s="1" t="s">
        <v>24715</v>
      </c>
      <c r="AB1233" s="1" t="s">
        <v>24716</v>
      </c>
      <c r="AC1233" s="1" t="s">
        <v>24717</v>
      </c>
      <c r="AD1233" s="1" t="s">
        <v>24718</v>
      </c>
      <c r="AE1233" s="1" t="s">
        <v>24719</v>
      </c>
      <c r="AF1233" s="1" t="s">
        <v>24720</v>
      </c>
      <c r="AG1233" s="1" t="s">
        <v>24721</v>
      </c>
      <c r="AH1233" s="1" t="s">
        <v>24722</v>
      </c>
      <c r="AI1233" s="1" t="s">
        <v>24723</v>
      </c>
      <c r="AJ1233" s="1" t="s">
        <v>132</v>
      </c>
      <c r="AK1233" s="1" t="s">
        <v>24724</v>
      </c>
      <c r="AL1233" s="1" t="s">
        <v>24725</v>
      </c>
      <c r="AM1233" s="1" t="s">
        <v>24726</v>
      </c>
      <c r="AN1233" s="1" t="s">
        <v>24726</v>
      </c>
    </row>
    <row r="1234" ht="15.75" customHeight="1">
      <c r="A1234" s="1" t="s">
        <v>127</v>
      </c>
      <c r="B1234" s="1" t="s">
        <v>24727</v>
      </c>
      <c r="C1234" s="1" t="s">
        <v>24728</v>
      </c>
      <c r="D1234" s="8" t="s">
        <v>24729</v>
      </c>
      <c r="E1234" s="1" t="s">
        <v>24730</v>
      </c>
      <c r="F1234" s="1" t="s">
        <v>132</v>
      </c>
      <c r="G1234" s="1" t="s">
        <v>24731</v>
      </c>
      <c r="H1234" s="1" t="s">
        <v>24732</v>
      </c>
      <c r="I1234" s="1" t="s">
        <v>24733</v>
      </c>
      <c r="J1234" s="1" t="s">
        <v>24734</v>
      </c>
      <c r="K1234" s="1" t="s">
        <v>24735</v>
      </c>
      <c r="L1234" s="1" t="s">
        <v>24736</v>
      </c>
      <c r="M1234" s="1" t="s">
        <v>24737</v>
      </c>
      <c r="N1234" s="1" t="s">
        <v>132</v>
      </c>
      <c r="O1234" s="1" t="s">
        <v>24738</v>
      </c>
      <c r="P1234" s="1" t="s">
        <v>24739</v>
      </c>
      <c r="Q1234" s="1" t="s">
        <v>132</v>
      </c>
      <c r="R1234" s="1" t="s">
        <v>24740</v>
      </c>
      <c r="S1234" s="1" t="s">
        <v>24741</v>
      </c>
      <c r="T1234" s="8" t="s">
        <v>24742</v>
      </c>
      <c r="U1234" s="1" t="s">
        <v>24743</v>
      </c>
      <c r="V1234" s="1" t="s">
        <v>24744</v>
      </c>
      <c r="W1234" s="1" t="s">
        <v>24740</v>
      </c>
      <c r="X1234" s="1" t="s">
        <v>24745</v>
      </c>
      <c r="Y1234" s="1" t="s">
        <v>24746</v>
      </c>
      <c r="Z1234" s="1" t="s">
        <v>24747</v>
      </c>
      <c r="AA1234" s="1" t="s">
        <v>24748</v>
      </c>
      <c r="AB1234" s="1" t="s">
        <v>24749</v>
      </c>
      <c r="AC1234" s="1" t="s">
        <v>24730</v>
      </c>
      <c r="AD1234" s="1" t="s">
        <v>24750</v>
      </c>
      <c r="AE1234" s="1" t="s">
        <v>24751</v>
      </c>
      <c r="AF1234" s="1" t="s">
        <v>24752</v>
      </c>
      <c r="AG1234" s="1" t="s">
        <v>24732</v>
      </c>
      <c r="AH1234" s="1" t="s">
        <v>24753</v>
      </c>
      <c r="AI1234" s="1" t="s">
        <v>24754</v>
      </c>
      <c r="AJ1234" s="1" t="s">
        <v>132</v>
      </c>
      <c r="AK1234" s="1" t="s">
        <v>24755</v>
      </c>
      <c r="AL1234" s="1" t="s">
        <v>24756</v>
      </c>
      <c r="AM1234" s="1" t="s">
        <v>24757</v>
      </c>
      <c r="AN1234" s="1" t="s">
        <v>24757</v>
      </c>
    </row>
    <row r="1235" ht="15.75" customHeight="1">
      <c r="A1235" s="1" t="s">
        <v>38</v>
      </c>
      <c r="B1235" s="1" t="s">
        <v>24758</v>
      </c>
      <c r="C1235" s="1" t="s">
        <v>24759</v>
      </c>
      <c r="D1235" s="8" t="s">
        <v>24760</v>
      </c>
      <c r="E1235" s="1" t="s">
        <v>24761</v>
      </c>
      <c r="F1235" s="1" t="s">
        <v>24762</v>
      </c>
      <c r="G1235" s="1" t="s">
        <v>132</v>
      </c>
      <c r="H1235" s="1" t="s">
        <v>132</v>
      </c>
      <c r="I1235" s="1" t="s">
        <v>24763</v>
      </c>
      <c r="J1235" s="1" t="s">
        <v>132</v>
      </c>
      <c r="K1235" s="1" t="s">
        <v>24764</v>
      </c>
      <c r="L1235" s="1" t="s">
        <v>132</v>
      </c>
      <c r="M1235" s="1" t="s">
        <v>24765</v>
      </c>
      <c r="N1235" s="1" t="s">
        <v>24766</v>
      </c>
      <c r="O1235" s="1" t="s">
        <v>132</v>
      </c>
      <c r="P1235" s="1" t="s">
        <v>24767</v>
      </c>
      <c r="Q1235" s="1" t="s">
        <v>132</v>
      </c>
      <c r="R1235" s="1" t="s">
        <v>132</v>
      </c>
      <c r="S1235" s="1" t="s">
        <v>24768</v>
      </c>
      <c r="T1235" s="1" t="s">
        <v>132</v>
      </c>
      <c r="U1235" s="1" t="s">
        <v>24769</v>
      </c>
      <c r="V1235" s="1" t="s">
        <v>24770</v>
      </c>
      <c r="W1235" s="1" t="s">
        <v>132</v>
      </c>
      <c r="X1235" s="1" t="s">
        <v>24771</v>
      </c>
      <c r="Y1235" s="1" t="s">
        <v>132</v>
      </c>
      <c r="Z1235" s="1" t="s">
        <v>24772</v>
      </c>
      <c r="AA1235" s="1" t="s">
        <v>24773</v>
      </c>
      <c r="AB1235" s="1" t="s">
        <v>132</v>
      </c>
      <c r="AC1235" s="1" t="s">
        <v>24774</v>
      </c>
      <c r="AD1235" s="1" t="s">
        <v>132</v>
      </c>
      <c r="AE1235" s="1" t="s">
        <v>132</v>
      </c>
      <c r="AF1235" s="1" t="s">
        <v>24775</v>
      </c>
      <c r="AG1235" s="1" t="s">
        <v>24776</v>
      </c>
      <c r="AH1235" s="1" t="s">
        <v>132</v>
      </c>
      <c r="AI1235" s="1" t="s">
        <v>132</v>
      </c>
      <c r="AJ1235" s="1" t="s">
        <v>24777</v>
      </c>
      <c r="AK1235" s="1" t="s">
        <v>132</v>
      </c>
      <c r="AL1235" s="1" t="s">
        <v>132</v>
      </c>
      <c r="AM1235" s="1" t="s">
        <v>24778</v>
      </c>
      <c r="AN1235" s="1" t="s">
        <v>24778</v>
      </c>
    </row>
    <row r="1236" ht="15.75" customHeight="1">
      <c r="A1236" s="1" t="s">
        <v>127</v>
      </c>
      <c r="B1236" s="1" t="s">
        <v>24779</v>
      </c>
      <c r="C1236" s="1" t="s">
        <v>24780</v>
      </c>
      <c r="D1236" s="8" t="s">
        <v>24781</v>
      </c>
      <c r="E1236" s="1" t="s">
        <v>24782</v>
      </c>
      <c r="F1236" s="1" t="s">
        <v>132</v>
      </c>
      <c r="G1236" s="1" t="s">
        <v>8921</v>
      </c>
      <c r="H1236" s="1" t="s">
        <v>5874</v>
      </c>
      <c r="I1236" s="1" t="s">
        <v>24783</v>
      </c>
      <c r="J1236" s="1" t="s">
        <v>24784</v>
      </c>
      <c r="K1236" s="1" t="s">
        <v>24785</v>
      </c>
      <c r="L1236" s="1" t="s">
        <v>24786</v>
      </c>
      <c r="M1236" s="1" t="s">
        <v>8940</v>
      </c>
      <c r="N1236" s="1" t="s">
        <v>132</v>
      </c>
      <c r="O1236" s="1" t="s">
        <v>8928</v>
      </c>
      <c r="P1236" s="1" t="s">
        <v>8929</v>
      </c>
      <c r="Q1236" s="1" t="s">
        <v>132</v>
      </c>
      <c r="R1236" s="1" t="s">
        <v>8930</v>
      </c>
      <c r="S1236" s="1" t="s">
        <v>24787</v>
      </c>
      <c r="T1236" s="8" t="s">
        <v>24788</v>
      </c>
      <c r="U1236" s="1" t="s">
        <v>8933</v>
      </c>
      <c r="V1236" s="1" t="s">
        <v>8934</v>
      </c>
      <c r="W1236" s="1" t="s">
        <v>8935</v>
      </c>
      <c r="X1236" s="1" t="s">
        <v>24789</v>
      </c>
      <c r="Y1236" s="1" t="s">
        <v>24790</v>
      </c>
      <c r="Z1236" s="1" t="s">
        <v>24783</v>
      </c>
      <c r="AA1236" s="1" t="s">
        <v>24791</v>
      </c>
      <c r="AB1236" s="1" t="s">
        <v>24792</v>
      </c>
      <c r="AC1236" s="1" t="s">
        <v>24793</v>
      </c>
      <c r="AD1236" s="1" t="s">
        <v>24794</v>
      </c>
      <c r="AE1236" s="1" t="s">
        <v>5892</v>
      </c>
      <c r="AF1236" s="1" t="s">
        <v>24795</v>
      </c>
      <c r="AG1236" s="1" t="s">
        <v>5894</v>
      </c>
      <c r="AH1236" s="1" t="s">
        <v>8946</v>
      </c>
      <c r="AI1236" s="1" t="s">
        <v>5896</v>
      </c>
      <c r="AJ1236" s="1" t="s">
        <v>132</v>
      </c>
      <c r="AK1236" s="1" t="s">
        <v>5897</v>
      </c>
      <c r="AL1236" s="1" t="s">
        <v>8948</v>
      </c>
      <c r="AM1236" s="1" t="s">
        <v>8949</v>
      </c>
      <c r="AN1236" s="1" t="s">
        <v>8949</v>
      </c>
    </row>
    <row r="1237" ht="15.75" customHeight="1">
      <c r="A1237" s="1" t="s">
        <v>127</v>
      </c>
      <c r="B1237" s="1" t="s">
        <v>24796</v>
      </c>
      <c r="C1237" s="1" t="s">
        <v>24797</v>
      </c>
      <c r="D1237" s="8" t="s">
        <v>24798</v>
      </c>
      <c r="E1237" s="1" t="s">
        <v>24799</v>
      </c>
      <c r="F1237" s="1" t="s">
        <v>132</v>
      </c>
      <c r="G1237" s="1" t="s">
        <v>24800</v>
      </c>
      <c r="H1237" s="1" t="s">
        <v>24801</v>
      </c>
      <c r="I1237" s="1" t="s">
        <v>24797</v>
      </c>
      <c r="J1237" s="1" t="s">
        <v>24802</v>
      </c>
      <c r="K1237" s="1" t="s">
        <v>24803</v>
      </c>
      <c r="L1237" s="1" t="s">
        <v>24804</v>
      </c>
      <c r="M1237" s="1" t="s">
        <v>24805</v>
      </c>
      <c r="N1237" s="1" t="s">
        <v>132</v>
      </c>
      <c r="O1237" s="1" t="s">
        <v>24806</v>
      </c>
      <c r="P1237" s="1" t="s">
        <v>24807</v>
      </c>
      <c r="Q1237" s="1" t="s">
        <v>132</v>
      </c>
      <c r="R1237" s="1" t="s">
        <v>24808</v>
      </c>
      <c r="S1237" s="1" t="s">
        <v>24809</v>
      </c>
      <c r="T1237" s="8" t="s">
        <v>24810</v>
      </c>
      <c r="U1237" s="1" t="s">
        <v>24811</v>
      </c>
      <c r="V1237" s="1" t="s">
        <v>24812</v>
      </c>
      <c r="W1237" s="1" t="s">
        <v>24813</v>
      </c>
      <c r="X1237" s="1" t="s">
        <v>24814</v>
      </c>
      <c r="Y1237" s="1" t="s">
        <v>24815</v>
      </c>
      <c r="Z1237" s="1" t="s">
        <v>24816</v>
      </c>
      <c r="AA1237" s="1" t="s">
        <v>24817</v>
      </c>
      <c r="AB1237" s="1" t="s">
        <v>24818</v>
      </c>
      <c r="AC1237" s="1" t="s">
        <v>24819</v>
      </c>
      <c r="AD1237" s="1" t="s">
        <v>24820</v>
      </c>
      <c r="AE1237" s="1" t="s">
        <v>24821</v>
      </c>
      <c r="AF1237" s="1" t="s">
        <v>24822</v>
      </c>
      <c r="AG1237" s="1" t="s">
        <v>24823</v>
      </c>
      <c r="AH1237" s="1" t="s">
        <v>24824</v>
      </c>
      <c r="AI1237" s="1" t="s">
        <v>24825</v>
      </c>
      <c r="AJ1237" s="1" t="s">
        <v>132</v>
      </c>
      <c r="AK1237" s="1" t="s">
        <v>24826</v>
      </c>
      <c r="AL1237" s="1" t="s">
        <v>24827</v>
      </c>
      <c r="AM1237" s="1" t="s">
        <v>24828</v>
      </c>
      <c r="AN1237" s="1" t="s">
        <v>24828</v>
      </c>
    </row>
    <row r="1238" ht="15.75" customHeight="1">
      <c r="A1238" s="1" t="s">
        <v>38</v>
      </c>
      <c r="B1238" s="1" t="s">
        <v>24829</v>
      </c>
      <c r="C1238" s="1" t="s">
        <v>3812</v>
      </c>
      <c r="D1238" s="8" t="s">
        <v>20873</v>
      </c>
      <c r="E1238" s="1" t="s">
        <v>3814</v>
      </c>
      <c r="F1238" s="1" t="s">
        <v>24830</v>
      </c>
      <c r="G1238" s="1" t="s">
        <v>132</v>
      </c>
      <c r="H1238" s="1" t="s">
        <v>132</v>
      </c>
      <c r="I1238" s="1" t="s">
        <v>3817</v>
      </c>
      <c r="J1238" s="1" t="s">
        <v>132</v>
      </c>
      <c r="K1238" s="1" t="s">
        <v>3819</v>
      </c>
      <c r="L1238" s="1" t="s">
        <v>132</v>
      </c>
      <c r="M1238" s="1" t="s">
        <v>3821</v>
      </c>
      <c r="N1238" s="1" t="s">
        <v>3819</v>
      </c>
      <c r="O1238" s="1" t="s">
        <v>132</v>
      </c>
      <c r="P1238" s="1" t="s">
        <v>3823</v>
      </c>
      <c r="Q1238" s="1" t="s">
        <v>20875</v>
      </c>
      <c r="R1238" s="1" t="s">
        <v>132</v>
      </c>
      <c r="S1238" s="1" t="s">
        <v>3825</v>
      </c>
      <c r="T1238" s="1" t="s">
        <v>132</v>
      </c>
      <c r="U1238" s="1" t="s">
        <v>3827</v>
      </c>
      <c r="V1238" s="1" t="s">
        <v>3828</v>
      </c>
      <c r="W1238" s="1" t="s">
        <v>132</v>
      </c>
      <c r="X1238" s="1" t="s">
        <v>20876</v>
      </c>
      <c r="Y1238" s="1" t="s">
        <v>132</v>
      </c>
      <c r="Z1238" s="1" t="s">
        <v>3831</v>
      </c>
      <c r="AA1238" s="1" t="s">
        <v>3819</v>
      </c>
      <c r="AB1238" s="1" t="s">
        <v>132</v>
      </c>
      <c r="AC1238" s="1" t="s">
        <v>20877</v>
      </c>
      <c r="AD1238" s="1" t="s">
        <v>3834</v>
      </c>
      <c r="AE1238" s="1" t="s">
        <v>132</v>
      </c>
      <c r="AF1238" s="1" t="s">
        <v>20878</v>
      </c>
      <c r="AG1238" s="1" t="s">
        <v>3830</v>
      </c>
      <c r="AH1238" s="1" t="s">
        <v>132</v>
      </c>
      <c r="AI1238" s="1" t="s">
        <v>132</v>
      </c>
      <c r="AJ1238" s="1" t="s">
        <v>20879</v>
      </c>
      <c r="AK1238" s="1" t="s">
        <v>20880</v>
      </c>
      <c r="AL1238" s="1" t="s">
        <v>132</v>
      </c>
      <c r="AM1238" s="1" t="s">
        <v>3840</v>
      </c>
      <c r="AN1238" s="1" t="s">
        <v>3840</v>
      </c>
    </row>
    <row r="1239" ht="15.75" customHeight="1">
      <c r="A1239" s="1" t="s">
        <v>38</v>
      </c>
      <c r="B1239" s="1" t="s">
        <v>24831</v>
      </c>
      <c r="C1239" s="1" t="s">
        <v>24832</v>
      </c>
      <c r="D1239" s="8" t="s">
        <v>24833</v>
      </c>
      <c r="E1239" s="1" t="s">
        <v>24834</v>
      </c>
      <c r="F1239" s="1" t="s">
        <v>24835</v>
      </c>
      <c r="G1239" s="1" t="s">
        <v>132</v>
      </c>
      <c r="H1239" s="1" t="s">
        <v>132</v>
      </c>
      <c r="I1239" s="1" t="s">
        <v>24836</v>
      </c>
      <c r="J1239" s="1" t="s">
        <v>132</v>
      </c>
      <c r="K1239" s="1" t="s">
        <v>24837</v>
      </c>
      <c r="L1239" s="1" t="s">
        <v>132</v>
      </c>
      <c r="M1239" s="1" t="s">
        <v>24838</v>
      </c>
      <c r="N1239" s="1" t="s">
        <v>24839</v>
      </c>
      <c r="O1239" s="1" t="s">
        <v>132</v>
      </c>
      <c r="P1239" s="1" t="s">
        <v>24840</v>
      </c>
      <c r="Q1239" s="1" t="s">
        <v>132</v>
      </c>
      <c r="R1239" s="1" t="s">
        <v>132</v>
      </c>
      <c r="S1239" s="1" t="s">
        <v>24841</v>
      </c>
      <c r="T1239" s="1" t="s">
        <v>132</v>
      </c>
      <c r="U1239" s="1" t="s">
        <v>24842</v>
      </c>
      <c r="V1239" s="1" t="s">
        <v>24843</v>
      </c>
      <c r="W1239" s="1" t="s">
        <v>132</v>
      </c>
      <c r="X1239" s="1" t="s">
        <v>24844</v>
      </c>
      <c r="Y1239" s="1" t="s">
        <v>132</v>
      </c>
      <c r="Z1239" s="1" t="s">
        <v>24845</v>
      </c>
      <c r="AA1239" s="1" t="s">
        <v>24846</v>
      </c>
      <c r="AB1239" s="1" t="s">
        <v>132</v>
      </c>
      <c r="AC1239" s="1" t="s">
        <v>24847</v>
      </c>
      <c r="AD1239" s="1" t="s">
        <v>132</v>
      </c>
      <c r="AE1239" s="1" t="s">
        <v>132</v>
      </c>
      <c r="AF1239" s="1" t="s">
        <v>24848</v>
      </c>
      <c r="AG1239" s="1" t="s">
        <v>24849</v>
      </c>
      <c r="AH1239" s="1" t="s">
        <v>132</v>
      </c>
      <c r="AI1239" s="1" t="s">
        <v>132</v>
      </c>
      <c r="AJ1239" s="1" t="s">
        <v>24850</v>
      </c>
      <c r="AK1239" s="1" t="s">
        <v>24851</v>
      </c>
      <c r="AL1239" s="1" t="s">
        <v>132</v>
      </c>
      <c r="AM1239" s="1" t="s">
        <v>24852</v>
      </c>
      <c r="AN1239" s="1" t="s">
        <v>24852</v>
      </c>
    </row>
    <row r="1240" ht="15.75" customHeight="1">
      <c r="A1240" s="1" t="s">
        <v>38</v>
      </c>
      <c r="B1240" s="1" t="s">
        <v>24853</v>
      </c>
      <c r="C1240" s="1" t="s">
        <v>24854</v>
      </c>
      <c r="D1240" s="1" t="s">
        <v>132</v>
      </c>
      <c r="E1240" s="1" t="s">
        <v>24855</v>
      </c>
      <c r="F1240" s="1" t="s">
        <v>132</v>
      </c>
      <c r="G1240" s="1" t="s">
        <v>132</v>
      </c>
      <c r="H1240" s="1" t="s">
        <v>132</v>
      </c>
      <c r="I1240" s="1" t="s">
        <v>24856</v>
      </c>
      <c r="J1240" s="1" t="s">
        <v>132</v>
      </c>
      <c r="K1240" s="1" t="s">
        <v>24857</v>
      </c>
      <c r="L1240" s="1" t="s">
        <v>132</v>
      </c>
      <c r="M1240" s="1" t="s">
        <v>24858</v>
      </c>
      <c r="N1240" s="1" t="s">
        <v>24857</v>
      </c>
      <c r="O1240" s="1" t="s">
        <v>132</v>
      </c>
      <c r="P1240" s="1" t="s">
        <v>24859</v>
      </c>
      <c r="Q1240" s="1" t="s">
        <v>132</v>
      </c>
      <c r="R1240" s="1" t="s">
        <v>132</v>
      </c>
      <c r="S1240" s="1" t="s">
        <v>24860</v>
      </c>
      <c r="T1240" s="1" t="s">
        <v>132</v>
      </c>
      <c r="U1240" s="1" t="s">
        <v>132</v>
      </c>
      <c r="V1240" s="1" t="s">
        <v>132</v>
      </c>
      <c r="W1240" s="1" t="s">
        <v>132</v>
      </c>
      <c r="X1240" s="1" t="s">
        <v>24861</v>
      </c>
      <c r="Y1240" s="1" t="s">
        <v>132</v>
      </c>
      <c r="Z1240" s="1" t="s">
        <v>24862</v>
      </c>
      <c r="AA1240" s="1" t="s">
        <v>132</v>
      </c>
      <c r="AB1240" s="1" t="s">
        <v>132</v>
      </c>
      <c r="AC1240" s="1" t="s">
        <v>132</v>
      </c>
      <c r="AD1240" s="1" t="s">
        <v>132</v>
      </c>
      <c r="AE1240" s="1" t="s">
        <v>132</v>
      </c>
      <c r="AF1240" s="1" t="s">
        <v>132</v>
      </c>
      <c r="AG1240" s="1" t="s">
        <v>132</v>
      </c>
      <c r="AH1240" s="1" t="s">
        <v>132</v>
      </c>
      <c r="AI1240" s="1" t="s">
        <v>132</v>
      </c>
      <c r="AJ1240" s="1" t="s">
        <v>132</v>
      </c>
      <c r="AK1240" s="1" t="s">
        <v>132</v>
      </c>
      <c r="AL1240" s="1" t="s">
        <v>132</v>
      </c>
      <c r="AM1240" s="1" t="s">
        <v>132</v>
      </c>
      <c r="AN1240" s="1" t="s">
        <v>132</v>
      </c>
    </row>
    <row r="1241" ht="15.75" customHeight="1">
      <c r="A1241" s="1" t="s">
        <v>38</v>
      </c>
      <c r="B1241" s="1" t="s">
        <v>24864</v>
      </c>
      <c r="C1241" s="1" t="s">
        <v>24865</v>
      </c>
      <c r="D1241" s="1" t="s">
        <v>132</v>
      </c>
      <c r="E1241" s="1" t="s">
        <v>132</v>
      </c>
      <c r="F1241" s="1" t="s">
        <v>132</v>
      </c>
      <c r="G1241" s="1" t="s">
        <v>132</v>
      </c>
      <c r="H1241" s="1" t="s">
        <v>132</v>
      </c>
      <c r="I1241" s="1" t="s">
        <v>24866</v>
      </c>
      <c r="J1241" s="1" t="s">
        <v>132</v>
      </c>
      <c r="K1241" s="1" t="s">
        <v>24867</v>
      </c>
      <c r="L1241" s="1" t="s">
        <v>132</v>
      </c>
      <c r="M1241" s="1" t="s">
        <v>24868</v>
      </c>
      <c r="N1241" s="1" t="s">
        <v>132</v>
      </c>
      <c r="O1241" s="1" t="s">
        <v>132</v>
      </c>
      <c r="P1241" s="1" t="s">
        <v>24869</v>
      </c>
      <c r="Q1241" s="1" t="s">
        <v>132</v>
      </c>
      <c r="R1241" s="1" t="s">
        <v>132</v>
      </c>
      <c r="S1241" s="1" t="s">
        <v>132</v>
      </c>
      <c r="T1241" s="1" t="s">
        <v>132</v>
      </c>
      <c r="U1241" s="1" t="s">
        <v>132</v>
      </c>
      <c r="V1241" s="1" t="s">
        <v>132</v>
      </c>
      <c r="W1241" s="1" t="s">
        <v>132</v>
      </c>
      <c r="X1241" s="1" t="s">
        <v>132</v>
      </c>
      <c r="Y1241" s="1" t="s">
        <v>132</v>
      </c>
      <c r="Z1241" s="1" t="s">
        <v>132</v>
      </c>
      <c r="AA1241" s="1" t="s">
        <v>132</v>
      </c>
      <c r="AB1241" s="1" t="s">
        <v>132</v>
      </c>
      <c r="AC1241" s="1" t="s">
        <v>24870</v>
      </c>
      <c r="AD1241" s="1" t="s">
        <v>132</v>
      </c>
      <c r="AE1241" s="1" t="s">
        <v>132</v>
      </c>
      <c r="AF1241" s="1" t="s">
        <v>24871</v>
      </c>
      <c r="AG1241" s="1" t="s">
        <v>132</v>
      </c>
      <c r="AH1241" s="1" t="s">
        <v>132</v>
      </c>
      <c r="AI1241" s="1" t="s">
        <v>132</v>
      </c>
      <c r="AJ1241" s="1" t="s">
        <v>132</v>
      </c>
      <c r="AK1241" s="1" t="s">
        <v>132</v>
      </c>
      <c r="AL1241" s="1" t="s">
        <v>132</v>
      </c>
      <c r="AM1241" s="1" t="s">
        <v>132</v>
      </c>
      <c r="AN1241" s="1" t="s">
        <v>132</v>
      </c>
    </row>
    <row r="1242" ht="15.75" customHeight="1">
      <c r="A1242" s="1" t="s">
        <v>127</v>
      </c>
      <c r="B1242" s="1" t="s">
        <v>24872</v>
      </c>
      <c r="C1242" s="1" t="s">
        <v>24873</v>
      </c>
      <c r="D1242" s="8" t="s">
        <v>24874</v>
      </c>
      <c r="E1242" s="1" t="s">
        <v>24875</v>
      </c>
      <c r="F1242" s="1" t="s">
        <v>132</v>
      </c>
      <c r="G1242" s="1" t="s">
        <v>24876</v>
      </c>
      <c r="H1242" s="1" t="s">
        <v>24877</v>
      </c>
      <c r="I1242" s="1" t="s">
        <v>24878</v>
      </c>
      <c r="J1242" s="1" t="s">
        <v>24879</v>
      </c>
      <c r="K1242" s="1" t="s">
        <v>24880</v>
      </c>
      <c r="L1242" s="1" t="s">
        <v>24881</v>
      </c>
      <c r="M1242" s="1" t="s">
        <v>24882</v>
      </c>
      <c r="N1242" s="1" t="s">
        <v>132</v>
      </c>
      <c r="O1242" s="1" t="s">
        <v>24883</v>
      </c>
      <c r="P1242" s="1" t="s">
        <v>24884</v>
      </c>
      <c r="Q1242" s="1" t="s">
        <v>132</v>
      </c>
      <c r="R1242" s="1" t="s">
        <v>24885</v>
      </c>
      <c r="S1242" s="1" t="s">
        <v>24886</v>
      </c>
      <c r="T1242" s="8" t="s">
        <v>24887</v>
      </c>
      <c r="U1242" s="1" t="s">
        <v>24888</v>
      </c>
      <c r="V1242" s="1" t="s">
        <v>24889</v>
      </c>
      <c r="W1242" s="1" t="s">
        <v>24890</v>
      </c>
      <c r="X1242" s="1" t="s">
        <v>4405</v>
      </c>
      <c r="Y1242" s="1" t="s">
        <v>24891</v>
      </c>
      <c r="Z1242" s="1" t="s">
        <v>24892</v>
      </c>
      <c r="AA1242" s="1" t="s">
        <v>24880</v>
      </c>
      <c r="AB1242" s="1" t="s">
        <v>24893</v>
      </c>
      <c r="AC1242" s="1" t="s">
        <v>24894</v>
      </c>
      <c r="AD1242" s="1" t="s">
        <v>24895</v>
      </c>
      <c r="AE1242" s="1" t="s">
        <v>24896</v>
      </c>
      <c r="AF1242" s="1" t="s">
        <v>24897</v>
      </c>
      <c r="AG1242" s="1" t="s">
        <v>24898</v>
      </c>
      <c r="AH1242" s="1" t="s">
        <v>24899</v>
      </c>
      <c r="AI1242" s="1" t="s">
        <v>24900</v>
      </c>
      <c r="AJ1242" s="1" t="s">
        <v>132</v>
      </c>
      <c r="AK1242" s="1" t="s">
        <v>24901</v>
      </c>
      <c r="AL1242" s="1" t="s">
        <v>24902</v>
      </c>
      <c r="AM1242" s="1" t="s">
        <v>24903</v>
      </c>
      <c r="AN1242" s="1" t="s">
        <v>24903</v>
      </c>
    </row>
    <row r="1243" ht="15.75" customHeight="1">
      <c r="A1243" s="1" t="s">
        <v>38</v>
      </c>
      <c r="B1243" s="1" t="s">
        <v>24904</v>
      </c>
      <c r="C1243" s="1" t="s">
        <v>24905</v>
      </c>
      <c r="D1243" s="8" t="s">
        <v>24906</v>
      </c>
      <c r="E1243" s="1" t="s">
        <v>24907</v>
      </c>
      <c r="F1243" s="1" t="s">
        <v>24908</v>
      </c>
      <c r="G1243" s="1" t="s">
        <v>132</v>
      </c>
      <c r="H1243" s="1" t="s">
        <v>132</v>
      </c>
      <c r="I1243" s="1" t="s">
        <v>24909</v>
      </c>
      <c r="J1243" s="1" t="s">
        <v>132</v>
      </c>
      <c r="K1243" s="1" t="s">
        <v>24910</v>
      </c>
      <c r="L1243" s="1" t="s">
        <v>132</v>
      </c>
      <c r="M1243" s="1" t="s">
        <v>24911</v>
      </c>
      <c r="N1243" s="1" t="s">
        <v>24912</v>
      </c>
      <c r="O1243" s="1" t="s">
        <v>132</v>
      </c>
      <c r="P1243" s="1" t="s">
        <v>24913</v>
      </c>
      <c r="Q1243" s="1" t="s">
        <v>24914</v>
      </c>
      <c r="R1243" s="1" t="s">
        <v>132</v>
      </c>
      <c r="S1243" s="1" t="s">
        <v>24915</v>
      </c>
      <c r="T1243" s="1" t="s">
        <v>132</v>
      </c>
      <c r="U1243" s="1" t="s">
        <v>24916</v>
      </c>
      <c r="V1243" s="1" t="s">
        <v>24917</v>
      </c>
      <c r="W1243" s="1" t="s">
        <v>132</v>
      </c>
      <c r="X1243" s="1" t="s">
        <v>24918</v>
      </c>
      <c r="Y1243" s="1" t="s">
        <v>132</v>
      </c>
      <c r="Z1243" s="1" t="s">
        <v>24919</v>
      </c>
      <c r="AA1243" s="1" t="s">
        <v>24920</v>
      </c>
      <c r="AB1243" s="1" t="s">
        <v>132</v>
      </c>
      <c r="AC1243" s="1" t="s">
        <v>24921</v>
      </c>
      <c r="AD1243" s="1" t="s">
        <v>24922</v>
      </c>
      <c r="AE1243" s="1" t="s">
        <v>132</v>
      </c>
      <c r="AF1243" s="1" t="s">
        <v>24923</v>
      </c>
      <c r="AG1243" s="1" t="s">
        <v>24924</v>
      </c>
      <c r="AH1243" s="1" t="s">
        <v>132</v>
      </c>
      <c r="AI1243" s="1" t="s">
        <v>132</v>
      </c>
      <c r="AJ1243" s="1" t="s">
        <v>24925</v>
      </c>
      <c r="AK1243" s="1" t="s">
        <v>24926</v>
      </c>
      <c r="AL1243" s="1" t="s">
        <v>132</v>
      </c>
      <c r="AM1243" s="1" t="s">
        <v>24927</v>
      </c>
      <c r="AN1243" s="1" t="s">
        <v>24927</v>
      </c>
    </row>
    <row r="1244" ht="15.75" customHeight="1">
      <c r="A1244" s="1" t="s">
        <v>38</v>
      </c>
      <c r="B1244" s="1" t="s">
        <v>24928</v>
      </c>
      <c r="C1244" s="1" t="s">
        <v>24929</v>
      </c>
      <c r="D1244" s="1" t="s">
        <v>132</v>
      </c>
      <c r="E1244" s="1" t="s">
        <v>132</v>
      </c>
      <c r="F1244" s="1" t="s">
        <v>132</v>
      </c>
      <c r="G1244" s="1" t="s">
        <v>132</v>
      </c>
      <c r="H1244" s="1" t="s">
        <v>132</v>
      </c>
      <c r="I1244" s="1" t="s">
        <v>24930</v>
      </c>
      <c r="J1244" s="1" t="s">
        <v>132</v>
      </c>
      <c r="K1244" s="1" t="s">
        <v>24931</v>
      </c>
      <c r="L1244" s="1" t="s">
        <v>132</v>
      </c>
      <c r="M1244" s="1" t="s">
        <v>24932</v>
      </c>
      <c r="N1244" s="1" t="s">
        <v>132</v>
      </c>
      <c r="O1244" s="1" t="s">
        <v>132</v>
      </c>
      <c r="P1244" s="1" t="s">
        <v>24929</v>
      </c>
      <c r="Q1244" s="1" t="s">
        <v>132</v>
      </c>
      <c r="R1244" s="1" t="s">
        <v>132</v>
      </c>
      <c r="S1244" s="1" t="s">
        <v>132</v>
      </c>
      <c r="T1244" s="1" t="s">
        <v>132</v>
      </c>
      <c r="U1244" s="1" t="s">
        <v>132</v>
      </c>
      <c r="V1244" s="1" t="s">
        <v>132</v>
      </c>
      <c r="W1244" s="1" t="s">
        <v>132</v>
      </c>
      <c r="X1244" s="1" t="s">
        <v>132</v>
      </c>
      <c r="Y1244" s="1" t="s">
        <v>132</v>
      </c>
      <c r="Z1244" s="1" t="s">
        <v>132</v>
      </c>
      <c r="AA1244" s="1" t="s">
        <v>132</v>
      </c>
      <c r="AB1244" s="1" t="s">
        <v>132</v>
      </c>
      <c r="AC1244" s="1" t="s">
        <v>24933</v>
      </c>
      <c r="AD1244" s="1" t="s">
        <v>132</v>
      </c>
      <c r="AE1244" s="1" t="s">
        <v>132</v>
      </c>
      <c r="AF1244" s="1" t="s">
        <v>24934</v>
      </c>
      <c r="AG1244" s="1" t="s">
        <v>132</v>
      </c>
      <c r="AH1244" s="1" t="s">
        <v>132</v>
      </c>
      <c r="AI1244" s="1" t="s">
        <v>132</v>
      </c>
      <c r="AJ1244" s="1" t="s">
        <v>132</v>
      </c>
      <c r="AK1244" s="1" t="s">
        <v>132</v>
      </c>
      <c r="AL1244" s="1" t="s">
        <v>132</v>
      </c>
      <c r="AM1244" s="1" t="s">
        <v>132</v>
      </c>
      <c r="AN1244" s="1" t="s">
        <v>132</v>
      </c>
    </row>
    <row r="1245" ht="15.75" customHeight="1">
      <c r="A1245" s="1" t="s">
        <v>127</v>
      </c>
      <c r="B1245" s="1" t="s">
        <v>24935</v>
      </c>
      <c r="C1245" s="1" t="s">
        <v>24936</v>
      </c>
      <c r="D1245" s="8" t="s">
        <v>24937</v>
      </c>
      <c r="E1245" s="1" t="s">
        <v>24938</v>
      </c>
      <c r="F1245" s="1" t="s">
        <v>132</v>
      </c>
      <c r="G1245" s="1" t="s">
        <v>24939</v>
      </c>
      <c r="H1245" s="1" t="s">
        <v>24936</v>
      </c>
      <c r="I1245" s="1" t="s">
        <v>24936</v>
      </c>
      <c r="J1245" s="1" t="s">
        <v>24940</v>
      </c>
      <c r="K1245" s="1" t="s">
        <v>24941</v>
      </c>
      <c r="L1245" s="1" t="s">
        <v>24942</v>
      </c>
      <c r="M1245" s="1" t="s">
        <v>24943</v>
      </c>
      <c r="N1245" s="1" t="s">
        <v>132</v>
      </c>
      <c r="O1245" s="1" t="s">
        <v>24944</v>
      </c>
      <c r="P1245" s="1" t="s">
        <v>24945</v>
      </c>
      <c r="Q1245" s="1" t="s">
        <v>132</v>
      </c>
      <c r="R1245" s="1" t="s">
        <v>24946</v>
      </c>
      <c r="S1245" s="1" t="s">
        <v>24938</v>
      </c>
      <c r="T1245" s="8" t="s">
        <v>24947</v>
      </c>
      <c r="U1245" s="1" t="s">
        <v>24948</v>
      </c>
      <c r="V1245" s="1" t="s">
        <v>24949</v>
      </c>
      <c r="W1245" s="1" t="s">
        <v>24946</v>
      </c>
      <c r="X1245" s="1" t="s">
        <v>24950</v>
      </c>
      <c r="Y1245" s="1" t="s">
        <v>24951</v>
      </c>
      <c r="Z1245" s="1" t="s">
        <v>24938</v>
      </c>
      <c r="AA1245" s="1" t="s">
        <v>24952</v>
      </c>
      <c r="AB1245" s="1" t="s">
        <v>24953</v>
      </c>
      <c r="AC1245" s="1" t="s">
        <v>24954</v>
      </c>
      <c r="AD1245" s="1" t="s">
        <v>24955</v>
      </c>
      <c r="AE1245" s="1" t="s">
        <v>24956</v>
      </c>
      <c r="AF1245" s="1" t="s">
        <v>24957</v>
      </c>
      <c r="AG1245" s="1" t="s">
        <v>24958</v>
      </c>
      <c r="AH1245" s="1" t="s">
        <v>24959</v>
      </c>
      <c r="AI1245" s="1" t="s">
        <v>24960</v>
      </c>
      <c r="AJ1245" s="1" t="s">
        <v>132</v>
      </c>
      <c r="AK1245" s="1" t="s">
        <v>24961</v>
      </c>
      <c r="AL1245" s="1" t="s">
        <v>24962</v>
      </c>
      <c r="AM1245" s="1" t="s">
        <v>132</v>
      </c>
      <c r="AN1245" s="1" t="s">
        <v>132</v>
      </c>
    </row>
    <row r="1246" ht="15.75" customHeight="1">
      <c r="A1246" s="1" t="s">
        <v>38</v>
      </c>
      <c r="B1246" s="1" t="s">
        <v>24963</v>
      </c>
      <c r="C1246" s="1" t="s">
        <v>24964</v>
      </c>
      <c r="D1246" s="1" t="s">
        <v>24964</v>
      </c>
      <c r="E1246" s="1" t="s">
        <v>24964</v>
      </c>
      <c r="F1246" s="1" t="s">
        <v>24964</v>
      </c>
      <c r="G1246" s="1" t="s">
        <v>132</v>
      </c>
      <c r="H1246" s="1" t="s">
        <v>132</v>
      </c>
      <c r="I1246" s="1" t="s">
        <v>24964</v>
      </c>
      <c r="J1246" s="1" t="s">
        <v>132</v>
      </c>
      <c r="K1246" s="1" t="s">
        <v>24964</v>
      </c>
      <c r="L1246" s="1" t="s">
        <v>132</v>
      </c>
      <c r="M1246" s="1" t="s">
        <v>24964</v>
      </c>
      <c r="N1246" s="1" t="s">
        <v>24964</v>
      </c>
      <c r="O1246" s="1" t="s">
        <v>132</v>
      </c>
      <c r="P1246" s="1" t="s">
        <v>24964</v>
      </c>
      <c r="Q1246" s="1" t="s">
        <v>24964</v>
      </c>
      <c r="R1246" s="1" t="s">
        <v>132</v>
      </c>
      <c r="S1246" s="1" t="s">
        <v>24964</v>
      </c>
      <c r="T1246" s="1" t="s">
        <v>132</v>
      </c>
      <c r="U1246" s="1" t="s">
        <v>24964</v>
      </c>
      <c r="V1246" s="1" t="s">
        <v>24964</v>
      </c>
      <c r="W1246" s="1" t="s">
        <v>132</v>
      </c>
      <c r="X1246" s="1" t="s">
        <v>24964</v>
      </c>
      <c r="Y1246" s="1" t="s">
        <v>132</v>
      </c>
      <c r="Z1246" s="1" t="s">
        <v>24964</v>
      </c>
      <c r="AA1246" s="1" t="s">
        <v>24964</v>
      </c>
      <c r="AB1246" s="1" t="s">
        <v>132</v>
      </c>
      <c r="AC1246" s="1" t="s">
        <v>24965</v>
      </c>
      <c r="AD1246" s="1" t="s">
        <v>24964</v>
      </c>
      <c r="AE1246" s="1" t="s">
        <v>132</v>
      </c>
      <c r="AF1246" s="1" t="s">
        <v>24966</v>
      </c>
      <c r="AG1246" s="1" t="s">
        <v>24964</v>
      </c>
      <c r="AH1246" s="1" t="s">
        <v>132</v>
      </c>
      <c r="AI1246" s="1" t="s">
        <v>132</v>
      </c>
      <c r="AJ1246" s="1" t="s">
        <v>24964</v>
      </c>
      <c r="AK1246" s="1" t="s">
        <v>24964</v>
      </c>
      <c r="AL1246" s="1" t="s">
        <v>132</v>
      </c>
      <c r="AM1246" s="1" t="s">
        <v>24964</v>
      </c>
      <c r="AN1246" s="1" t="s">
        <v>24964</v>
      </c>
    </row>
    <row r="1247" ht="15.75" customHeight="1">
      <c r="A1247" s="1" t="s">
        <v>43182</v>
      </c>
      <c r="B1247" s="1" t="s">
        <v>43272</v>
      </c>
      <c r="C1247" s="1" t="s">
        <v>43273</v>
      </c>
      <c r="D1247" s="1" t="s">
        <v>132</v>
      </c>
      <c r="E1247" s="1" t="s">
        <v>132</v>
      </c>
      <c r="F1247" s="1" t="s">
        <v>132</v>
      </c>
      <c r="G1247" s="1" t="s">
        <v>132</v>
      </c>
      <c r="H1247" s="1" t="s">
        <v>132</v>
      </c>
      <c r="I1247" s="1" t="s">
        <v>132</v>
      </c>
      <c r="J1247" s="1" t="s">
        <v>132</v>
      </c>
      <c r="K1247" s="1" t="s">
        <v>132</v>
      </c>
      <c r="L1247" s="1" t="s">
        <v>132</v>
      </c>
      <c r="M1247" s="1" t="s">
        <v>132</v>
      </c>
      <c r="N1247" s="1" t="s">
        <v>132</v>
      </c>
      <c r="O1247" s="1" t="s">
        <v>132</v>
      </c>
      <c r="P1247" s="1" t="s">
        <v>132</v>
      </c>
      <c r="Q1247" s="1" t="s">
        <v>132</v>
      </c>
      <c r="R1247" s="1" t="s">
        <v>132</v>
      </c>
      <c r="S1247" s="1" t="s">
        <v>132</v>
      </c>
      <c r="T1247" s="1" t="s">
        <v>132</v>
      </c>
      <c r="U1247" s="1" t="s">
        <v>132</v>
      </c>
      <c r="V1247" s="1" t="s">
        <v>132</v>
      </c>
      <c r="W1247" s="1" t="s">
        <v>132</v>
      </c>
      <c r="X1247" s="1" t="s">
        <v>132</v>
      </c>
      <c r="Y1247" s="1" t="s">
        <v>132</v>
      </c>
      <c r="Z1247" s="1" t="s">
        <v>132</v>
      </c>
      <c r="AA1247" s="1" t="s">
        <v>132</v>
      </c>
      <c r="AB1247" s="1" t="s">
        <v>132</v>
      </c>
      <c r="AC1247" s="1" t="s">
        <v>132</v>
      </c>
      <c r="AD1247" s="1" t="s">
        <v>132</v>
      </c>
      <c r="AE1247" s="1" t="s">
        <v>132</v>
      </c>
      <c r="AF1247" s="1" t="s">
        <v>132</v>
      </c>
      <c r="AG1247" s="1" t="s">
        <v>132</v>
      </c>
      <c r="AH1247" s="1" t="s">
        <v>132</v>
      </c>
      <c r="AI1247" s="1" t="s">
        <v>132</v>
      </c>
      <c r="AJ1247" s="1" t="s">
        <v>132</v>
      </c>
      <c r="AK1247" s="1" t="s">
        <v>132</v>
      </c>
      <c r="AL1247" s="1" t="s">
        <v>132</v>
      </c>
      <c r="AM1247" s="1" t="s">
        <v>132</v>
      </c>
      <c r="AN1247" s="1" t="s">
        <v>132</v>
      </c>
    </row>
    <row r="1248" ht="15.75" customHeight="1">
      <c r="A1248" s="1" t="s">
        <v>38</v>
      </c>
      <c r="B1248" s="1" t="s">
        <v>24967</v>
      </c>
      <c r="C1248" s="1" t="s">
        <v>24968</v>
      </c>
      <c r="D1248" s="1" t="s">
        <v>132</v>
      </c>
      <c r="E1248" s="1" t="s">
        <v>132</v>
      </c>
      <c r="F1248" s="1" t="s">
        <v>132</v>
      </c>
      <c r="G1248" s="1" t="s">
        <v>132</v>
      </c>
      <c r="H1248" s="1" t="s">
        <v>132</v>
      </c>
      <c r="I1248" s="1" t="s">
        <v>132</v>
      </c>
      <c r="J1248" s="1" t="s">
        <v>132</v>
      </c>
      <c r="K1248" s="1" t="s">
        <v>132</v>
      </c>
      <c r="L1248" s="1" t="s">
        <v>132</v>
      </c>
      <c r="M1248" s="1" t="s">
        <v>132</v>
      </c>
      <c r="N1248" s="1" t="s">
        <v>132</v>
      </c>
      <c r="O1248" s="1" t="s">
        <v>132</v>
      </c>
      <c r="P1248" s="1" t="s">
        <v>132</v>
      </c>
      <c r="Q1248" s="1" t="s">
        <v>132</v>
      </c>
      <c r="R1248" s="1" t="s">
        <v>132</v>
      </c>
      <c r="S1248" s="1" t="s">
        <v>132</v>
      </c>
      <c r="T1248" s="1" t="s">
        <v>132</v>
      </c>
      <c r="U1248" s="1" t="s">
        <v>132</v>
      </c>
      <c r="V1248" s="1" t="s">
        <v>132</v>
      </c>
      <c r="W1248" s="1" t="s">
        <v>132</v>
      </c>
      <c r="X1248" s="1" t="s">
        <v>132</v>
      </c>
      <c r="Y1248" s="1" t="s">
        <v>132</v>
      </c>
      <c r="Z1248" s="1" t="s">
        <v>132</v>
      </c>
      <c r="AA1248" s="1" t="s">
        <v>132</v>
      </c>
      <c r="AB1248" s="1" t="s">
        <v>132</v>
      </c>
      <c r="AC1248" s="1" t="s">
        <v>132</v>
      </c>
      <c r="AD1248" s="1" t="s">
        <v>132</v>
      </c>
      <c r="AE1248" s="1" t="s">
        <v>132</v>
      </c>
      <c r="AF1248" s="1" t="s">
        <v>132</v>
      </c>
      <c r="AG1248" s="1" t="s">
        <v>132</v>
      </c>
      <c r="AH1248" s="1" t="s">
        <v>132</v>
      </c>
      <c r="AI1248" s="1" t="s">
        <v>132</v>
      </c>
      <c r="AJ1248" s="1" t="s">
        <v>132</v>
      </c>
      <c r="AK1248" s="1" t="s">
        <v>132</v>
      </c>
      <c r="AL1248" s="1" t="s">
        <v>132</v>
      </c>
      <c r="AM1248" s="1" t="s">
        <v>132</v>
      </c>
      <c r="AN1248" s="1" t="s">
        <v>132</v>
      </c>
    </row>
    <row r="1249" ht="15.75" customHeight="1">
      <c r="A1249" s="1" t="s">
        <v>38</v>
      </c>
      <c r="B1249" s="1" t="s">
        <v>24969</v>
      </c>
      <c r="C1249" s="1" t="s">
        <v>24970</v>
      </c>
      <c r="D1249" s="1" t="s">
        <v>132</v>
      </c>
      <c r="E1249" s="1" t="s">
        <v>132</v>
      </c>
      <c r="F1249" s="1" t="s">
        <v>132</v>
      </c>
      <c r="G1249" s="1" t="s">
        <v>132</v>
      </c>
      <c r="H1249" s="1" t="s">
        <v>132</v>
      </c>
      <c r="I1249" s="1" t="s">
        <v>24970</v>
      </c>
      <c r="J1249" s="1" t="s">
        <v>132</v>
      </c>
      <c r="K1249" s="1" t="s">
        <v>24970</v>
      </c>
      <c r="L1249" s="1" t="s">
        <v>132</v>
      </c>
      <c r="M1249" s="1" t="s">
        <v>24970</v>
      </c>
      <c r="N1249" s="1" t="s">
        <v>132</v>
      </c>
      <c r="O1249" s="1" t="s">
        <v>132</v>
      </c>
      <c r="P1249" s="1" t="s">
        <v>24970</v>
      </c>
      <c r="Q1249" s="1" t="s">
        <v>132</v>
      </c>
      <c r="R1249" s="1" t="s">
        <v>132</v>
      </c>
      <c r="S1249" s="1" t="s">
        <v>132</v>
      </c>
      <c r="T1249" s="1" t="s">
        <v>132</v>
      </c>
      <c r="U1249" s="1" t="s">
        <v>132</v>
      </c>
      <c r="V1249" s="1" t="s">
        <v>132</v>
      </c>
      <c r="W1249" s="1" t="s">
        <v>132</v>
      </c>
      <c r="X1249" s="1" t="s">
        <v>132</v>
      </c>
      <c r="Y1249" s="1" t="s">
        <v>132</v>
      </c>
      <c r="Z1249" s="1" t="s">
        <v>132</v>
      </c>
      <c r="AA1249" s="1" t="s">
        <v>132</v>
      </c>
      <c r="AB1249" s="1" t="s">
        <v>132</v>
      </c>
      <c r="AC1249" s="1" t="s">
        <v>24971</v>
      </c>
      <c r="AD1249" s="1" t="s">
        <v>132</v>
      </c>
      <c r="AE1249" s="1" t="s">
        <v>132</v>
      </c>
      <c r="AF1249" s="1" t="s">
        <v>24970</v>
      </c>
      <c r="AG1249" s="1" t="s">
        <v>132</v>
      </c>
      <c r="AH1249" s="1" t="s">
        <v>132</v>
      </c>
      <c r="AI1249" s="1" t="s">
        <v>132</v>
      </c>
      <c r="AJ1249" s="1" t="s">
        <v>132</v>
      </c>
      <c r="AK1249" s="1" t="s">
        <v>132</v>
      </c>
      <c r="AL1249" s="1" t="s">
        <v>132</v>
      </c>
      <c r="AM1249" s="1" t="s">
        <v>132</v>
      </c>
      <c r="AN1249" s="1" t="s">
        <v>132</v>
      </c>
    </row>
    <row r="1250" ht="15.75" customHeight="1">
      <c r="A1250" s="1" t="s">
        <v>127</v>
      </c>
      <c r="B1250" s="1" t="s">
        <v>24972</v>
      </c>
      <c r="C1250" s="1" t="s">
        <v>132</v>
      </c>
      <c r="D1250" s="1" t="s">
        <v>24973</v>
      </c>
      <c r="E1250" s="1" t="s">
        <v>132</v>
      </c>
      <c r="F1250" s="1" t="s">
        <v>132</v>
      </c>
      <c r="G1250" s="1" t="s">
        <v>132</v>
      </c>
      <c r="H1250" s="1" t="s">
        <v>132</v>
      </c>
      <c r="I1250" s="1" t="s">
        <v>132</v>
      </c>
      <c r="J1250" s="1" t="s">
        <v>132</v>
      </c>
      <c r="K1250" s="1" t="s">
        <v>132</v>
      </c>
      <c r="L1250" s="1" t="s">
        <v>132</v>
      </c>
      <c r="M1250" s="1" t="s">
        <v>132</v>
      </c>
      <c r="N1250" s="1" t="s">
        <v>132</v>
      </c>
      <c r="O1250" s="1" t="s">
        <v>132</v>
      </c>
      <c r="P1250" s="1" t="s">
        <v>132</v>
      </c>
      <c r="Q1250" s="1" t="s">
        <v>132</v>
      </c>
      <c r="R1250" s="1" t="s">
        <v>132</v>
      </c>
      <c r="S1250" s="1" t="s">
        <v>132</v>
      </c>
      <c r="T1250" s="1" t="s">
        <v>132</v>
      </c>
      <c r="U1250" s="1" t="s">
        <v>132</v>
      </c>
      <c r="V1250" s="1" t="s">
        <v>24973</v>
      </c>
      <c r="W1250" s="1" t="s">
        <v>132</v>
      </c>
      <c r="X1250" s="1" t="s">
        <v>132</v>
      </c>
      <c r="Y1250" s="1" t="s">
        <v>132</v>
      </c>
      <c r="Z1250" s="1" t="s">
        <v>132</v>
      </c>
      <c r="AA1250" s="1" t="s">
        <v>132</v>
      </c>
      <c r="AB1250" s="1" t="s">
        <v>132</v>
      </c>
      <c r="AC1250" s="1" t="s">
        <v>132</v>
      </c>
      <c r="AD1250" s="1" t="s">
        <v>132</v>
      </c>
      <c r="AE1250" s="1" t="s">
        <v>132</v>
      </c>
      <c r="AF1250" s="1" t="s">
        <v>132</v>
      </c>
      <c r="AG1250" s="1" t="s">
        <v>132</v>
      </c>
      <c r="AH1250" s="1" t="s">
        <v>132</v>
      </c>
      <c r="AI1250" s="1" t="s">
        <v>132</v>
      </c>
      <c r="AJ1250" s="1" t="s">
        <v>132</v>
      </c>
      <c r="AK1250" s="1" t="s">
        <v>132</v>
      </c>
      <c r="AL1250" s="1" t="s">
        <v>132</v>
      </c>
      <c r="AM1250" s="1" t="s">
        <v>132</v>
      </c>
      <c r="AN1250" s="1" t="s">
        <v>132</v>
      </c>
    </row>
    <row r="1251" ht="15.75" customHeight="1">
      <c r="A1251" s="1" t="s">
        <v>38</v>
      </c>
      <c r="B1251" s="1" t="s">
        <v>24974</v>
      </c>
      <c r="C1251" s="1" t="s">
        <v>24975</v>
      </c>
      <c r="D1251" s="8" t="s">
        <v>24976</v>
      </c>
      <c r="E1251" s="1" t="s">
        <v>24977</v>
      </c>
      <c r="F1251" s="1" t="s">
        <v>24978</v>
      </c>
      <c r="G1251" s="1" t="s">
        <v>132</v>
      </c>
      <c r="H1251" s="1" t="s">
        <v>132</v>
      </c>
      <c r="I1251" s="1" t="s">
        <v>24979</v>
      </c>
      <c r="J1251" s="1" t="s">
        <v>132</v>
      </c>
      <c r="K1251" s="1" t="s">
        <v>24980</v>
      </c>
      <c r="L1251" s="1" t="s">
        <v>132</v>
      </c>
      <c r="M1251" s="1" t="s">
        <v>24981</v>
      </c>
      <c r="N1251" s="1" t="s">
        <v>24982</v>
      </c>
      <c r="O1251" s="1" t="s">
        <v>132</v>
      </c>
      <c r="P1251" s="1" t="s">
        <v>24983</v>
      </c>
      <c r="Q1251" s="1" t="s">
        <v>24984</v>
      </c>
      <c r="R1251" s="1" t="s">
        <v>132</v>
      </c>
      <c r="S1251" s="1" t="s">
        <v>24985</v>
      </c>
      <c r="T1251" s="1" t="s">
        <v>132</v>
      </c>
      <c r="U1251" s="1" t="s">
        <v>24986</v>
      </c>
      <c r="V1251" s="1" t="s">
        <v>24987</v>
      </c>
      <c r="W1251" s="1" t="s">
        <v>132</v>
      </c>
      <c r="X1251" s="1" t="s">
        <v>24988</v>
      </c>
      <c r="Y1251" s="1" t="s">
        <v>132</v>
      </c>
      <c r="Z1251" s="1" t="s">
        <v>24989</v>
      </c>
      <c r="AA1251" s="1" t="s">
        <v>24990</v>
      </c>
      <c r="AB1251" s="1" t="s">
        <v>132</v>
      </c>
      <c r="AC1251" s="1" t="s">
        <v>24991</v>
      </c>
      <c r="AD1251" s="1" t="s">
        <v>24992</v>
      </c>
      <c r="AE1251" s="1" t="s">
        <v>132</v>
      </c>
      <c r="AF1251" s="1" t="s">
        <v>24993</v>
      </c>
      <c r="AG1251" s="1" t="s">
        <v>24994</v>
      </c>
      <c r="AH1251" s="1" t="s">
        <v>132</v>
      </c>
      <c r="AI1251" s="1" t="s">
        <v>132</v>
      </c>
      <c r="AJ1251" s="1" t="s">
        <v>24995</v>
      </c>
      <c r="AK1251" s="1" t="s">
        <v>24996</v>
      </c>
      <c r="AL1251" s="1" t="s">
        <v>132</v>
      </c>
      <c r="AM1251" s="1" t="s">
        <v>24997</v>
      </c>
      <c r="AN1251" s="1" t="s">
        <v>24997</v>
      </c>
    </row>
    <row r="1252" ht="15.75" customHeight="1">
      <c r="A1252" s="1" t="s">
        <v>38</v>
      </c>
      <c r="B1252" s="1" t="s">
        <v>24998</v>
      </c>
      <c r="C1252" s="1" t="s">
        <v>24999</v>
      </c>
      <c r="D1252" s="1" t="s">
        <v>132</v>
      </c>
      <c r="E1252" s="1" t="s">
        <v>132</v>
      </c>
      <c r="F1252" s="1" t="s">
        <v>132</v>
      </c>
      <c r="G1252" s="1" t="s">
        <v>132</v>
      </c>
      <c r="H1252" s="1" t="s">
        <v>132</v>
      </c>
      <c r="I1252" s="1" t="s">
        <v>24999</v>
      </c>
      <c r="J1252" s="1" t="s">
        <v>132</v>
      </c>
      <c r="K1252" s="1" t="s">
        <v>24999</v>
      </c>
      <c r="L1252" s="1" t="s">
        <v>132</v>
      </c>
      <c r="M1252" s="1" t="s">
        <v>24999</v>
      </c>
      <c r="N1252" s="1" t="s">
        <v>132</v>
      </c>
      <c r="O1252" s="1" t="s">
        <v>132</v>
      </c>
      <c r="P1252" s="1" t="s">
        <v>24999</v>
      </c>
      <c r="Q1252" s="1" t="s">
        <v>132</v>
      </c>
      <c r="R1252" s="1" t="s">
        <v>132</v>
      </c>
      <c r="S1252" s="1" t="s">
        <v>132</v>
      </c>
      <c r="T1252" s="1" t="s">
        <v>132</v>
      </c>
      <c r="U1252" s="1" t="s">
        <v>132</v>
      </c>
      <c r="V1252" s="1" t="s">
        <v>132</v>
      </c>
      <c r="W1252" s="1" t="s">
        <v>132</v>
      </c>
      <c r="X1252" s="1" t="s">
        <v>132</v>
      </c>
      <c r="Y1252" s="1" t="s">
        <v>132</v>
      </c>
      <c r="Z1252" s="1" t="s">
        <v>132</v>
      </c>
      <c r="AA1252" s="1" t="s">
        <v>132</v>
      </c>
      <c r="AB1252" s="1" t="s">
        <v>132</v>
      </c>
      <c r="AC1252" s="1" t="s">
        <v>25000</v>
      </c>
      <c r="AD1252" s="1" t="s">
        <v>132</v>
      </c>
      <c r="AE1252" s="1" t="s">
        <v>132</v>
      </c>
      <c r="AF1252" s="1" t="s">
        <v>24999</v>
      </c>
      <c r="AG1252" s="1" t="s">
        <v>132</v>
      </c>
      <c r="AH1252" s="1" t="s">
        <v>132</v>
      </c>
      <c r="AI1252" s="1" t="s">
        <v>132</v>
      </c>
      <c r="AJ1252" s="1" t="s">
        <v>132</v>
      </c>
      <c r="AK1252" s="1" t="s">
        <v>132</v>
      </c>
      <c r="AL1252" s="1" t="s">
        <v>132</v>
      </c>
      <c r="AM1252" s="1" t="s">
        <v>132</v>
      </c>
      <c r="AN1252" s="1" t="s">
        <v>132</v>
      </c>
    </row>
    <row r="1253" ht="15.75" customHeight="1">
      <c r="A1253" s="1" t="s">
        <v>127</v>
      </c>
      <c r="B1253" s="1" t="s">
        <v>25001</v>
      </c>
      <c r="C1253" s="1" t="s">
        <v>25002</v>
      </c>
      <c r="D1253" s="8" t="s">
        <v>8553</v>
      </c>
      <c r="E1253" s="1" t="s">
        <v>25002</v>
      </c>
      <c r="F1253" s="1" t="s">
        <v>132</v>
      </c>
      <c r="G1253" s="1" t="s">
        <v>25002</v>
      </c>
      <c r="H1253" s="1" t="s">
        <v>25002</v>
      </c>
      <c r="I1253" s="1" t="s">
        <v>25003</v>
      </c>
      <c r="J1253" s="1" t="s">
        <v>25002</v>
      </c>
      <c r="K1253" s="1" t="s">
        <v>25002</v>
      </c>
      <c r="L1253" s="1" t="s">
        <v>25002</v>
      </c>
      <c r="M1253" s="1" t="s">
        <v>25004</v>
      </c>
      <c r="N1253" s="1" t="s">
        <v>132</v>
      </c>
      <c r="O1253" s="1" t="s">
        <v>25005</v>
      </c>
      <c r="P1253" s="1" t="s">
        <v>8563</v>
      </c>
      <c r="Q1253" s="1" t="s">
        <v>132</v>
      </c>
      <c r="R1253" s="1" t="s">
        <v>25002</v>
      </c>
      <c r="S1253" s="1" t="s">
        <v>25002</v>
      </c>
      <c r="T1253" s="1" t="s">
        <v>25002</v>
      </c>
      <c r="U1253" s="1" t="s">
        <v>25002</v>
      </c>
      <c r="V1253" s="1" t="s">
        <v>25002</v>
      </c>
      <c r="W1253" s="1" t="s">
        <v>25002</v>
      </c>
      <c r="X1253" s="1" t="s">
        <v>25002</v>
      </c>
      <c r="Y1253" s="1" t="s">
        <v>25002</v>
      </c>
      <c r="Z1253" s="1" t="s">
        <v>25002</v>
      </c>
      <c r="AA1253" s="1" t="s">
        <v>25002</v>
      </c>
      <c r="AB1253" s="1" t="s">
        <v>25002</v>
      </c>
      <c r="AC1253" s="1" t="s">
        <v>8571</v>
      </c>
      <c r="AD1253" s="1" t="s">
        <v>25002</v>
      </c>
      <c r="AE1253" s="1" t="s">
        <v>25002</v>
      </c>
      <c r="AF1253" s="1" t="s">
        <v>25006</v>
      </c>
      <c r="AG1253" s="1" t="s">
        <v>25002</v>
      </c>
      <c r="AH1253" s="1" t="s">
        <v>8575</v>
      </c>
      <c r="AI1253" s="1" t="s">
        <v>25002</v>
      </c>
      <c r="AJ1253" s="1" t="s">
        <v>132</v>
      </c>
      <c r="AK1253" s="1" t="s">
        <v>8577</v>
      </c>
      <c r="AL1253" s="1" t="s">
        <v>25007</v>
      </c>
      <c r="AM1253" s="1" t="s">
        <v>25008</v>
      </c>
      <c r="AN1253" s="1" t="s">
        <v>25008</v>
      </c>
    </row>
    <row r="1254" ht="15.75" customHeight="1">
      <c r="A1254" s="1" t="s">
        <v>127</v>
      </c>
      <c r="B1254" s="1" t="s">
        <v>25009</v>
      </c>
      <c r="C1254" s="1" t="s">
        <v>11697</v>
      </c>
      <c r="D1254" s="8" t="s">
        <v>11698</v>
      </c>
      <c r="E1254" s="1" t="s">
        <v>11699</v>
      </c>
      <c r="F1254" s="1" t="s">
        <v>132</v>
      </c>
      <c r="G1254" s="1" t="s">
        <v>11700</v>
      </c>
      <c r="H1254" s="1" t="s">
        <v>9181</v>
      </c>
      <c r="I1254" s="1" t="s">
        <v>25010</v>
      </c>
      <c r="J1254" s="1" t="s">
        <v>25011</v>
      </c>
      <c r="K1254" s="1" t="s">
        <v>11702</v>
      </c>
      <c r="L1254" s="1" t="s">
        <v>11703</v>
      </c>
      <c r="M1254" s="1" t="s">
        <v>25012</v>
      </c>
      <c r="N1254" s="1" t="s">
        <v>132</v>
      </c>
      <c r="O1254" s="1" t="s">
        <v>11705</v>
      </c>
      <c r="P1254" s="1" t="s">
        <v>11706</v>
      </c>
      <c r="Q1254" s="1" t="s">
        <v>132</v>
      </c>
      <c r="R1254" s="1" t="s">
        <v>11707</v>
      </c>
      <c r="S1254" s="1" t="s">
        <v>11708</v>
      </c>
      <c r="T1254" s="8" t="s">
        <v>11709</v>
      </c>
      <c r="U1254" s="1" t="s">
        <v>25013</v>
      </c>
      <c r="V1254" s="1" t="s">
        <v>11711</v>
      </c>
      <c r="W1254" s="1" t="s">
        <v>11707</v>
      </c>
      <c r="X1254" s="1" t="s">
        <v>25014</v>
      </c>
      <c r="Y1254" s="1" t="s">
        <v>11700</v>
      </c>
      <c r="Z1254" s="1" t="s">
        <v>11713</v>
      </c>
      <c r="AA1254" s="1" t="s">
        <v>11714</v>
      </c>
      <c r="AB1254" s="1" t="s">
        <v>10132</v>
      </c>
      <c r="AC1254" s="1" t="s">
        <v>11715</v>
      </c>
      <c r="AD1254" s="1" t="s">
        <v>11716</v>
      </c>
      <c r="AE1254" s="1" t="s">
        <v>11717</v>
      </c>
      <c r="AF1254" s="1" t="s">
        <v>11700</v>
      </c>
      <c r="AG1254" s="1" t="s">
        <v>11718</v>
      </c>
      <c r="AH1254" s="1" t="s">
        <v>11719</v>
      </c>
      <c r="AI1254" s="1" t="s">
        <v>11720</v>
      </c>
      <c r="AJ1254" s="1" t="s">
        <v>132</v>
      </c>
      <c r="AK1254" s="1" t="s">
        <v>11721</v>
      </c>
      <c r="AL1254" s="1" t="s">
        <v>11722</v>
      </c>
      <c r="AM1254" s="1" t="s">
        <v>25015</v>
      </c>
      <c r="AN1254" s="1" t="s">
        <v>25015</v>
      </c>
    </row>
    <row r="1255" ht="15.75" customHeight="1">
      <c r="A1255" s="1" t="s">
        <v>38</v>
      </c>
      <c r="B1255" s="1" t="s">
        <v>25016</v>
      </c>
      <c r="C1255" s="1" t="s">
        <v>25017</v>
      </c>
      <c r="D1255" s="1" t="s">
        <v>132</v>
      </c>
      <c r="E1255" s="1" t="s">
        <v>25018</v>
      </c>
      <c r="F1255" s="1" t="s">
        <v>132</v>
      </c>
      <c r="G1255" s="1" t="s">
        <v>132</v>
      </c>
      <c r="H1255" s="1" t="s">
        <v>132</v>
      </c>
      <c r="I1255" s="1" t="s">
        <v>25019</v>
      </c>
      <c r="J1255" s="1" t="s">
        <v>132</v>
      </c>
      <c r="K1255" s="1" t="s">
        <v>25020</v>
      </c>
      <c r="L1255" s="1" t="s">
        <v>132</v>
      </c>
      <c r="M1255" s="1" t="s">
        <v>25021</v>
      </c>
      <c r="N1255" s="1" t="s">
        <v>25022</v>
      </c>
      <c r="O1255" s="1" t="s">
        <v>132</v>
      </c>
      <c r="P1255" s="1" t="s">
        <v>25023</v>
      </c>
      <c r="Q1255" s="1" t="s">
        <v>132</v>
      </c>
      <c r="R1255" s="1" t="s">
        <v>132</v>
      </c>
      <c r="S1255" s="1" t="s">
        <v>25024</v>
      </c>
      <c r="T1255" s="1" t="s">
        <v>132</v>
      </c>
      <c r="U1255" s="1" t="s">
        <v>132</v>
      </c>
      <c r="V1255" s="1" t="s">
        <v>132</v>
      </c>
      <c r="W1255" s="1" t="s">
        <v>132</v>
      </c>
      <c r="X1255" s="1" t="s">
        <v>25025</v>
      </c>
      <c r="Y1255" s="1" t="s">
        <v>132</v>
      </c>
      <c r="Z1255" s="1" t="s">
        <v>25026</v>
      </c>
      <c r="AA1255" s="1" t="s">
        <v>132</v>
      </c>
      <c r="AB1255" s="1" t="s">
        <v>132</v>
      </c>
      <c r="AC1255" s="1" t="s">
        <v>132</v>
      </c>
      <c r="AD1255" s="1" t="s">
        <v>132</v>
      </c>
      <c r="AE1255" s="1" t="s">
        <v>132</v>
      </c>
      <c r="AF1255" s="1" t="s">
        <v>132</v>
      </c>
      <c r="AG1255" s="1" t="s">
        <v>132</v>
      </c>
      <c r="AH1255" s="1" t="s">
        <v>132</v>
      </c>
      <c r="AI1255" s="1" t="s">
        <v>132</v>
      </c>
      <c r="AJ1255" s="1" t="s">
        <v>132</v>
      </c>
      <c r="AK1255" s="1" t="s">
        <v>132</v>
      </c>
      <c r="AL1255" s="1" t="s">
        <v>132</v>
      </c>
      <c r="AM1255" s="1" t="s">
        <v>132</v>
      </c>
      <c r="AN1255" s="1" t="s">
        <v>132</v>
      </c>
    </row>
    <row r="1256" ht="15.75" customHeight="1">
      <c r="A1256" s="1" t="s">
        <v>38</v>
      </c>
      <c r="B1256" s="1" t="s">
        <v>25027</v>
      </c>
      <c r="C1256" s="1" t="s">
        <v>25028</v>
      </c>
      <c r="D1256" s="1" t="s">
        <v>132</v>
      </c>
      <c r="E1256" s="1" t="s">
        <v>25029</v>
      </c>
      <c r="F1256" s="1" t="s">
        <v>25030</v>
      </c>
      <c r="G1256" s="1" t="s">
        <v>132</v>
      </c>
      <c r="H1256" s="1" t="s">
        <v>132</v>
      </c>
      <c r="I1256" s="1" t="s">
        <v>25033</v>
      </c>
      <c r="J1256" s="1" t="s">
        <v>132</v>
      </c>
      <c r="K1256" s="1" t="s">
        <v>25034</v>
      </c>
      <c r="L1256" s="1" t="s">
        <v>132</v>
      </c>
      <c r="M1256" s="1" t="s">
        <v>25036</v>
      </c>
      <c r="N1256" s="1" t="s">
        <v>25037</v>
      </c>
      <c r="O1256" s="1" t="s">
        <v>132</v>
      </c>
      <c r="P1256" s="1" t="s">
        <v>43274</v>
      </c>
      <c r="Q1256" s="1" t="s">
        <v>132</v>
      </c>
      <c r="R1256" s="1" t="s">
        <v>132</v>
      </c>
      <c r="S1256" s="1" t="s">
        <v>25040</v>
      </c>
      <c r="T1256" s="1" t="s">
        <v>132</v>
      </c>
      <c r="U1256" s="1" t="s">
        <v>132</v>
      </c>
      <c r="V1256" s="1" t="s">
        <v>132</v>
      </c>
      <c r="W1256" s="1" t="s">
        <v>132</v>
      </c>
      <c r="X1256" s="1" t="s">
        <v>25041</v>
      </c>
      <c r="Y1256" s="1" t="s">
        <v>132</v>
      </c>
      <c r="Z1256" s="1" t="s">
        <v>25043</v>
      </c>
      <c r="AA1256" s="1" t="s">
        <v>132</v>
      </c>
      <c r="AB1256" s="1" t="s">
        <v>132</v>
      </c>
      <c r="AC1256" s="1" t="s">
        <v>25044</v>
      </c>
      <c r="AD1256" s="1" t="s">
        <v>132</v>
      </c>
      <c r="AE1256" s="1" t="s">
        <v>132</v>
      </c>
      <c r="AF1256" s="1" t="s">
        <v>25045</v>
      </c>
      <c r="AG1256" s="1" t="s">
        <v>132</v>
      </c>
      <c r="AH1256" s="1" t="s">
        <v>132</v>
      </c>
      <c r="AI1256" s="1" t="s">
        <v>132</v>
      </c>
      <c r="AJ1256" s="1" t="s">
        <v>132</v>
      </c>
      <c r="AK1256" s="1" t="s">
        <v>132</v>
      </c>
      <c r="AL1256" s="1" t="s">
        <v>132</v>
      </c>
      <c r="AM1256" s="1" t="s">
        <v>132</v>
      </c>
      <c r="AN1256" s="1" t="s">
        <v>132</v>
      </c>
    </row>
    <row r="1257" ht="15.75" customHeight="1">
      <c r="A1257" s="1" t="s">
        <v>127</v>
      </c>
      <c r="B1257" s="1" t="s">
        <v>25047</v>
      </c>
      <c r="C1257" s="1" t="s">
        <v>25048</v>
      </c>
      <c r="D1257" s="8" t="s">
        <v>25049</v>
      </c>
      <c r="E1257" s="1" t="s">
        <v>25050</v>
      </c>
      <c r="F1257" s="1" t="s">
        <v>132</v>
      </c>
      <c r="G1257" s="1" t="s">
        <v>25051</v>
      </c>
      <c r="H1257" s="1" t="s">
        <v>25052</v>
      </c>
      <c r="I1257" s="1" t="s">
        <v>25053</v>
      </c>
      <c r="J1257" s="1" t="s">
        <v>25054</v>
      </c>
      <c r="K1257" s="1" t="s">
        <v>25055</v>
      </c>
      <c r="L1257" s="1" t="s">
        <v>25056</v>
      </c>
      <c r="M1257" s="1" t="s">
        <v>25057</v>
      </c>
      <c r="N1257" s="1" t="s">
        <v>132</v>
      </c>
      <c r="O1257" s="1" t="s">
        <v>25058</v>
      </c>
      <c r="P1257" s="1" t="s">
        <v>25059</v>
      </c>
      <c r="Q1257" s="1" t="s">
        <v>132</v>
      </c>
      <c r="R1257" s="1" t="s">
        <v>25060</v>
      </c>
      <c r="S1257" s="1" t="s">
        <v>25061</v>
      </c>
      <c r="T1257" s="8" t="s">
        <v>25062</v>
      </c>
      <c r="U1257" s="1" t="s">
        <v>25063</v>
      </c>
      <c r="V1257" s="1" t="s">
        <v>25064</v>
      </c>
      <c r="W1257" s="1" t="s">
        <v>25065</v>
      </c>
      <c r="X1257" s="1" t="s">
        <v>25066</v>
      </c>
      <c r="Y1257" s="1" t="s">
        <v>25052</v>
      </c>
      <c r="Z1257" s="1" t="s">
        <v>25067</v>
      </c>
      <c r="AA1257" s="1" t="s">
        <v>25068</v>
      </c>
      <c r="AB1257" s="1" t="s">
        <v>25069</v>
      </c>
      <c r="AC1257" s="1" t="s">
        <v>25070</v>
      </c>
      <c r="AD1257" s="1" t="s">
        <v>25051</v>
      </c>
      <c r="AE1257" s="1" t="s">
        <v>25071</v>
      </c>
      <c r="AF1257" s="1" t="s">
        <v>25072</v>
      </c>
      <c r="AG1257" s="1" t="s">
        <v>25073</v>
      </c>
      <c r="AH1257" s="1" t="s">
        <v>17691</v>
      </c>
      <c r="AI1257" s="1" t="s">
        <v>25074</v>
      </c>
      <c r="AJ1257" s="1" t="s">
        <v>132</v>
      </c>
      <c r="AK1257" s="1" t="s">
        <v>25075</v>
      </c>
      <c r="AL1257" s="1" t="s">
        <v>25076</v>
      </c>
      <c r="AM1257" s="1" t="s">
        <v>25077</v>
      </c>
      <c r="AN1257" s="1" t="s">
        <v>25077</v>
      </c>
    </row>
    <row r="1258" ht="15.75" customHeight="1">
      <c r="A1258" s="1" t="s">
        <v>127</v>
      </c>
      <c r="B1258" s="1" t="s">
        <v>25078</v>
      </c>
      <c r="C1258" s="1" t="s">
        <v>25079</v>
      </c>
      <c r="D1258" s="8" t="s">
        <v>25080</v>
      </c>
      <c r="E1258" s="1" t="s">
        <v>25081</v>
      </c>
      <c r="F1258" s="1" t="s">
        <v>132</v>
      </c>
      <c r="G1258" s="1" t="s">
        <v>25079</v>
      </c>
      <c r="H1258" s="1" t="s">
        <v>25079</v>
      </c>
      <c r="I1258" s="1" t="s">
        <v>25079</v>
      </c>
      <c r="J1258" s="1" t="s">
        <v>25082</v>
      </c>
      <c r="K1258" s="1" t="s">
        <v>25079</v>
      </c>
      <c r="L1258" s="1" t="s">
        <v>25079</v>
      </c>
      <c r="M1258" s="1" t="s">
        <v>25079</v>
      </c>
      <c r="N1258" s="1" t="s">
        <v>132</v>
      </c>
      <c r="O1258" s="1" t="s">
        <v>25083</v>
      </c>
      <c r="P1258" s="1" t="s">
        <v>21637</v>
      </c>
      <c r="Q1258" s="1" t="s">
        <v>132</v>
      </c>
      <c r="R1258" s="1" t="s">
        <v>25079</v>
      </c>
      <c r="S1258" s="1" t="s">
        <v>25079</v>
      </c>
      <c r="T1258" s="1" t="s">
        <v>25079</v>
      </c>
      <c r="U1258" s="1" t="s">
        <v>25079</v>
      </c>
      <c r="V1258" s="1" t="s">
        <v>25079</v>
      </c>
      <c r="W1258" s="1" t="s">
        <v>25079</v>
      </c>
      <c r="X1258" s="1" t="s">
        <v>25079</v>
      </c>
      <c r="Y1258" s="1" t="s">
        <v>25079</v>
      </c>
      <c r="Z1258" s="1" t="s">
        <v>25079</v>
      </c>
      <c r="AA1258" s="1" t="s">
        <v>25079</v>
      </c>
      <c r="AB1258" s="1" t="s">
        <v>25079</v>
      </c>
      <c r="AC1258" s="1" t="s">
        <v>25084</v>
      </c>
      <c r="AD1258" s="1" t="s">
        <v>25079</v>
      </c>
      <c r="AE1258" s="1" t="s">
        <v>25079</v>
      </c>
      <c r="AF1258" s="1" t="s">
        <v>25085</v>
      </c>
      <c r="AG1258" s="1" t="s">
        <v>25079</v>
      </c>
      <c r="AH1258" s="1" t="s">
        <v>25086</v>
      </c>
      <c r="AI1258" s="1" t="s">
        <v>25079</v>
      </c>
      <c r="AJ1258" s="1" t="s">
        <v>132</v>
      </c>
      <c r="AK1258" s="1" t="s">
        <v>25087</v>
      </c>
      <c r="AL1258" s="1" t="s">
        <v>25088</v>
      </c>
      <c r="AM1258" s="1" t="s">
        <v>25089</v>
      </c>
      <c r="AN1258" s="1" t="s">
        <v>25089</v>
      </c>
    </row>
    <row r="1259" ht="15.75" customHeight="1">
      <c r="A1259" s="1" t="s">
        <v>127</v>
      </c>
      <c r="B1259" s="1" t="s">
        <v>25090</v>
      </c>
      <c r="C1259" s="1" t="s">
        <v>25091</v>
      </c>
      <c r="D1259" s="8" t="s">
        <v>25092</v>
      </c>
      <c r="E1259" s="1" t="s">
        <v>25093</v>
      </c>
      <c r="F1259" s="1" t="s">
        <v>132</v>
      </c>
      <c r="G1259" s="1" t="s">
        <v>25094</v>
      </c>
      <c r="H1259" s="1" t="s">
        <v>25095</v>
      </c>
      <c r="I1259" s="1" t="s">
        <v>25096</v>
      </c>
      <c r="J1259" s="1" t="s">
        <v>25097</v>
      </c>
      <c r="K1259" s="1" t="s">
        <v>25098</v>
      </c>
      <c r="L1259" s="1" t="s">
        <v>25099</v>
      </c>
      <c r="M1259" s="1" t="s">
        <v>25091</v>
      </c>
      <c r="N1259" s="1" t="s">
        <v>132</v>
      </c>
      <c r="O1259" s="1" t="s">
        <v>25100</v>
      </c>
      <c r="P1259" s="1" t="s">
        <v>25101</v>
      </c>
      <c r="Q1259" s="1" t="s">
        <v>132</v>
      </c>
      <c r="R1259" s="1" t="s">
        <v>25102</v>
      </c>
      <c r="S1259" s="1" t="s">
        <v>25103</v>
      </c>
      <c r="T1259" s="8" t="s">
        <v>25104</v>
      </c>
      <c r="U1259" s="1" t="s">
        <v>25105</v>
      </c>
      <c r="V1259" s="1" t="s">
        <v>25106</v>
      </c>
      <c r="W1259" s="1" t="s">
        <v>25107</v>
      </c>
      <c r="X1259" s="1" t="s">
        <v>25108</v>
      </c>
      <c r="Y1259" s="1" t="s">
        <v>25109</v>
      </c>
      <c r="Z1259" s="1" t="s">
        <v>25110</v>
      </c>
      <c r="AA1259" s="1" t="s">
        <v>25111</v>
      </c>
      <c r="AB1259" s="1" t="s">
        <v>25112</v>
      </c>
      <c r="AC1259" s="1" t="s">
        <v>25113</v>
      </c>
      <c r="AD1259" s="1" t="s">
        <v>25114</v>
      </c>
      <c r="AE1259" s="1" t="s">
        <v>25115</v>
      </c>
      <c r="AF1259" s="1" t="s">
        <v>25096</v>
      </c>
      <c r="AG1259" s="1" t="s">
        <v>25116</v>
      </c>
      <c r="AH1259" s="1" t="s">
        <v>25117</v>
      </c>
      <c r="AI1259" s="1" t="s">
        <v>25118</v>
      </c>
      <c r="AJ1259" s="1" t="s">
        <v>132</v>
      </c>
      <c r="AK1259" s="1" t="s">
        <v>25119</v>
      </c>
      <c r="AL1259" s="1" t="s">
        <v>25120</v>
      </c>
      <c r="AM1259" s="1" t="s">
        <v>25121</v>
      </c>
      <c r="AN1259" s="1" t="s">
        <v>25121</v>
      </c>
    </row>
    <row r="1260" ht="15.75" customHeight="1">
      <c r="A1260" s="1" t="s">
        <v>127</v>
      </c>
      <c r="B1260" s="1" t="s">
        <v>25122</v>
      </c>
      <c r="C1260" s="1" t="s">
        <v>25123</v>
      </c>
      <c r="D1260" s="8" t="s">
        <v>25124</v>
      </c>
      <c r="E1260" s="1" t="s">
        <v>25125</v>
      </c>
      <c r="F1260" s="1" t="s">
        <v>132</v>
      </c>
      <c r="G1260" s="1" t="s">
        <v>25126</v>
      </c>
      <c r="H1260" s="1" t="s">
        <v>25127</v>
      </c>
      <c r="I1260" s="1" t="s">
        <v>25128</v>
      </c>
      <c r="J1260" s="1" t="s">
        <v>25129</v>
      </c>
      <c r="K1260" s="1" t="s">
        <v>25130</v>
      </c>
      <c r="L1260" s="1" t="s">
        <v>25131</v>
      </c>
      <c r="M1260" s="1" t="s">
        <v>25123</v>
      </c>
      <c r="N1260" s="1" t="s">
        <v>132</v>
      </c>
      <c r="O1260" s="1" t="s">
        <v>25132</v>
      </c>
      <c r="P1260" s="1" t="s">
        <v>25133</v>
      </c>
      <c r="Q1260" s="1" t="s">
        <v>132</v>
      </c>
      <c r="R1260" s="1" t="s">
        <v>25134</v>
      </c>
      <c r="S1260" s="1" t="s">
        <v>25135</v>
      </c>
      <c r="T1260" s="8" t="s">
        <v>25136</v>
      </c>
      <c r="U1260" s="1" t="s">
        <v>25137</v>
      </c>
      <c r="V1260" s="1" t="s">
        <v>25138</v>
      </c>
      <c r="W1260" s="1" t="s">
        <v>25134</v>
      </c>
      <c r="X1260" s="1" t="s">
        <v>25128</v>
      </c>
      <c r="Y1260" s="1" t="s">
        <v>25127</v>
      </c>
      <c r="Z1260" s="1" t="s">
        <v>25139</v>
      </c>
      <c r="AA1260" s="1" t="s">
        <v>25140</v>
      </c>
      <c r="AB1260" s="1" t="s">
        <v>25141</v>
      </c>
      <c r="AC1260" s="1" t="s">
        <v>25142</v>
      </c>
      <c r="AD1260" s="1" t="s">
        <v>25143</v>
      </c>
      <c r="AE1260" s="1" t="s">
        <v>25144</v>
      </c>
      <c r="AF1260" s="1" t="s">
        <v>25145</v>
      </c>
      <c r="AG1260" s="1" t="s">
        <v>25127</v>
      </c>
      <c r="AH1260" s="1" t="s">
        <v>25146</v>
      </c>
      <c r="AI1260" s="1" t="s">
        <v>25147</v>
      </c>
      <c r="AJ1260" s="1" t="s">
        <v>132</v>
      </c>
      <c r="AK1260" s="1" t="s">
        <v>25148</v>
      </c>
      <c r="AL1260" s="1" t="s">
        <v>25149</v>
      </c>
      <c r="AM1260" s="1" t="s">
        <v>25150</v>
      </c>
      <c r="AN1260" s="1" t="s">
        <v>25150</v>
      </c>
    </row>
    <row r="1261" ht="15.75" customHeight="1">
      <c r="A1261" s="1" t="s">
        <v>38</v>
      </c>
      <c r="B1261" s="1" t="s">
        <v>25151</v>
      </c>
      <c r="C1261" s="1" t="s">
        <v>25152</v>
      </c>
      <c r="D1261" s="8" t="s">
        <v>25153</v>
      </c>
      <c r="E1261" s="1" t="s">
        <v>25154</v>
      </c>
      <c r="F1261" s="1" t="s">
        <v>25155</v>
      </c>
      <c r="G1261" s="1" t="s">
        <v>132</v>
      </c>
      <c r="H1261" s="1" t="s">
        <v>132</v>
      </c>
      <c r="I1261" s="1" t="s">
        <v>25156</v>
      </c>
      <c r="J1261" s="1" t="s">
        <v>132</v>
      </c>
      <c r="K1261" s="1" t="s">
        <v>25157</v>
      </c>
      <c r="L1261" s="1" t="s">
        <v>132</v>
      </c>
      <c r="M1261" s="1" t="s">
        <v>25158</v>
      </c>
      <c r="N1261" s="1" t="s">
        <v>25159</v>
      </c>
      <c r="O1261" s="1" t="s">
        <v>132</v>
      </c>
      <c r="P1261" s="1" t="s">
        <v>25160</v>
      </c>
      <c r="Q1261" s="1" t="s">
        <v>132</v>
      </c>
      <c r="R1261" s="1" t="s">
        <v>132</v>
      </c>
      <c r="S1261" s="1" t="s">
        <v>25161</v>
      </c>
      <c r="T1261" s="1" t="s">
        <v>132</v>
      </c>
      <c r="U1261" s="1" t="s">
        <v>25162</v>
      </c>
      <c r="V1261" s="1" t="s">
        <v>132</v>
      </c>
      <c r="W1261" s="1" t="s">
        <v>132</v>
      </c>
      <c r="X1261" s="1" t="s">
        <v>25163</v>
      </c>
      <c r="Y1261" s="1" t="s">
        <v>132</v>
      </c>
      <c r="Z1261" s="1" t="s">
        <v>25164</v>
      </c>
      <c r="AA1261" s="1" t="s">
        <v>25165</v>
      </c>
      <c r="AB1261" s="1" t="s">
        <v>132</v>
      </c>
      <c r="AC1261" s="1" t="s">
        <v>25166</v>
      </c>
      <c r="AD1261" s="1" t="s">
        <v>132</v>
      </c>
      <c r="AE1261" s="1" t="s">
        <v>132</v>
      </c>
      <c r="AF1261" s="1" t="s">
        <v>25167</v>
      </c>
      <c r="AG1261" s="1" t="s">
        <v>132</v>
      </c>
      <c r="AH1261" s="1" t="s">
        <v>132</v>
      </c>
      <c r="AI1261" s="1" t="s">
        <v>132</v>
      </c>
      <c r="AJ1261" s="1" t="s">
        <v>132</v>
      </c>
      <c r="AK1261" s="1" t="s">
        <v>132</v>
      </c>
      <c r="AL1261" s="1" t="s">
        <v>132</v>
      </c>
      <c r="AM1261" s="1" t="s">
        <v>132</v>
      </c>
      <c r="AN1261" s="1" t="s">
        <v>132</v>
      </c>
    </row>
    <row r="1262" ht="15.75" customHeight="1">
      <c r="A1262" s="1" t="s">
        <v>127</v>
      </c>
      <c r="B1262" s="1" t="s">
        <v>25168</v>
      </c>
      <c r="C1262" s="1" t="s">
        <v>25169</v>
      </c>
      <c r="D1262" s="8" t="s">
        <v>25170</v>
      </c>
      <c r="E1262" s="1" t="s">
        <v>25171</v>
      </c>
      <c r="F1262" s="1" t="s">
        <v>132</v>
      </c>
      <c r="G1262" s="1" t="s">
        <v>25172</v>
      </c>
      <c r="H1262" s="1" t="s">
        <v>25173</v>
      </c>
      <c r="I1262" s="1" t="s">
        <v>25174</v>
      </c>
      <c r="J1262" s="1" t="s">
        <v>25175</v>
      </c>
      <c r="K1262" s="1" t="s">
        <v>25176</v>
      </c>
      <c r="L1262" s="1" t="s">
        <v>25177</v>
      </c>
      <c r="M1262" s="1" t="s">
        <v>25169</v>
      </c>
      <c r="N1262" s="1" t="s">
        <v>132</v>
      </c>
      <c r="O1262" s="1" t="s">
        <v>25178</v>
      </c>
      <c r="P1262" s="1" t="s">
        <v>25179</v>
      </c>
      <c r="Q1262" s="1" t="s">
        <v>132</v>
      </c>
      <c r="R1262" s="1" t="s">
        <v>25180</v>
      </c>
      <c r="S1262" s="1" t="s">
        <v>25181</v>
      </c>
      <c r="T1262" s="8" t="s">
        <v>25182</v>
      </c>
      <c r="U1262" s="1" t="s">
        <v>25183</v>
      </c>
      <c r="V1262" s="1" t="s">
        <v>25184</v>
      </c>
      <c r="W1262" s="1" t="s">
        <v>25185</v>
      </c>
      <c r="X1262" s="1" t="s">
        <v>25186</v>
      </c>
      <c r="Y1262" s="1" t="s">
        <v>25173</v>
      </c>
      <c r="Z1262" s="1" t="s">
        <v>25187</v>
      </c>
      <c r="AA1262" s="1" t="s">
        <v>25188</v>
      </c>
      <c r="AB1262" s="1" t="s">
        <v>25189</v>
      </c>
      <c r="AC1262" s="1" t="s">
        <v>25190</v>
      </c>
      <c r="AD1262" s="1" t="s">
        <v>25191</v>
      </c>
      <c r="AE1262" s="1" t="s">
        <v>25192</v>
      </c>
      <c r="AF1262" s="1" t="s">
        <v>25193</v>
      </c>
      <c r="AG1262" s="1" t="s">
        <v>25173</v>
      </c>
      <c r="AH1262" s="1" t="s">
        <v>25194</v>
      </c>
      <c r="AI1262" s="1" t="s">
        <v>25195</v>
      </c>
      <c r="AJ1262" s="1" t="s">
        <v>132</v>
      </c>
      <c r="AK1262" s="1" t="s">
        <v>25196</v>
      </c>
      <c r="AL1262" s="1" t="s">
        <v>25197</v>
      </c>
      <c r="AM1262" s="1" t="s">
        <v>25198</v>
      </c>
      <c r="AN1262" s="1" t="s">
        <v>25198</v>
      </c>
    </row>
    <row r="1263" ht="15.75" customHeight="1">
      <c r="A1263" s="1" t="s">
        <v>127</v>
      </c>
      <c r="B1263" s="1" t="s">
        <v>25199</v>
      </c>
      <c r="C1263" s="1" t="s">
        <v>25200</v>
      </c>
      <c r="D1263" s="8" t="s">
        <v>25201</v>
      </c>
      <c r="E1263" s="1" t="s">
        <v>25202</v>
      </c>
      <c r="F1263" s="1" t="s">
        <v>132</v>
      </c>
      <c r="G1263" s="1" t="s">
        <v>25203</v>
      </c>
      <c r="H1263" s="1" t="s">
        <v>25204</v>
      </c>
      <c r="I1263" s="1" t="s">
        <v>25205</v>
      </c>
      <c r="J1263" s="1" t="s">
        <v>25206</v>
      </c>
      <c r="K1263" s="1" t="s">
        <v>25207</v>
      </c>
      <c r="L1263" s="1" t="s">
        <v>25208</v>
      </c>
      <c r="M1263" s="1" t="s">
        <v>25209</v>
      </c>
      <c r="N1263" s="1" t="s">
        <v>132</v>
      </c>
      <c r="O1263" s="1" t="s">
        <v>25210</v>
      </c>
      <c r="P1263" s="1" t="s">
        <v>25211</v>
      </c>
      <c r="Q1263" s="1" t="s">
        <v>132</v>
      </c>
      <c r="R1263" s="1" t="s">
        <v>25212</v>
      </c>
      <c r="S1263" s="1" t="s">
        <v>25213</v>
      </c>
      <c r="T1263" s="8" t="s">
        <v>25214</v>
      </c>
      <c r="U1263" s="1" t="s">
        <v>25215</v>
      </c>
      <c r="V1263" s="1" t="s">
        <v>25216</v>
      </c>
      <c r="W1263" s="1" t="s">
        <v>25217</v>
      </c>
      <c r="X1263" s="1" t="s">
        <v>25218</v>
      </c>
      <c r="Y1263" s="1" t="s">
        <v>25219</v>
      </c>
      <c r="Z1263" s="1" t="s">
        <v>25220</v>
      </c>
      <c r="AA1263" s="1" t="s">
        <v>25221</v>
      </c>
      <c r="AB1263" s="1" t="s">
        <v>25222</v>
      </c>
      <c r="AC1263" s="1" t="s">
        <v>25223</v>
      </c>
      <c r="AD1263" s="1" t="s">
        <v>25224</v>
      </c>
      <c r="AE1263" s="1" t="s">
        <v>25225</v>
      </c>
      <c r="AF1263" s="1" t="s">
        <v>25226</v>
      </c>
      <c r="AG1263" s="1" t="s">
        <v>25227</v>
      </c>
      <c r="AH1263" s="1" t="s">
        <v>25228</v>
      </c>
      <c r="AI1263" s="1" t="s">
        <v>25229</v>
      </c>
      <c r="AJ1263" s="1" t="s">
        <v>132</v>
      </c>
      <c r="AK1263" s="1" t="s">
        <v>25230</v>
      </c>
      <c r="AL1263" s="1" t="s">
        <v>25231</v>
      </c>
      <c r="AM1263" s="1" t="s">
        <v>132</v>
      </c>
      <c r="AN1263" s="1" t="s">
        <v>132</v>
      </c>
    </row>
    <row r="1264" ht="15.75" customHeight="1">
      <c r="A1264" s="1" t="s">
        <v>38</v>
      </c>
      <c r="B1264" s="1" t="s">
        <v>25232</v>
      </c>
      <c r="C1264" s="1" t="s">
        <v>25233</v>
      </c>
      <c r="D1264" s="8" t="s">
        <v>25234</v>
      </c>
      <c r="E1264" s="1" t="s">
        <v>25235</v>
      </c>
      <c r="F1264" s="1" t="s">
        <v>25236</v>
      </c>
      <c r="G1264" s="1" t="s">
        <v>132</v>
      </c>
      <c r="H1264" s="1" t="s">
        <v>132</v>
      </c>
      <c r="I1264" s="1" t="s">
        <v>25237</v>
      </c>
      <c r="J1264" s="1" t="s">
        <v>132</v>
      </c>
      <c r="K1264" s="1" t="s">
        <v>25238</v>
      </c>
      <c r="L1264" s="1" t="s">
        <v>132</v>
      </c>
      <c r="M1264" s="1" t="s">
        <v>25239</v>
      </c>
      <c r="N1264" s="1" t="s">
        <v>25240</v>
      </c>
      <c r="O1264" s="1" t="s">
        <v>132</v>
      </c>
      <c r="P1264" s="1" t="s">
        <v>25241</v>
      </c>
      <c r="Q1264" s="1" t="s">
        <v>132</v>
      </c>
      <c r="R1264" s="1" t="s">
        <v>132</v>
      </c>
      <c r="S1264" s="1" t="s">
        <v>25242</v>
      </c>
      <c r="T1264" s="1" t="s">
        <v>132</v>
      </c>
      <c r="U1264" s="1" t="s">
        <v>25243</v>
      </c>
      <c r="V1264" s="1" t="s">
        <v>25244</v>
      </c>
      <c r="W1264" s="1" t="s">
        <v>132</v>
      </c>
      <c r="X1264" s="1" t="s">
        <v>25245</v>
      </c>
      <c r="Y1264" s="1" t="s">
        <v>132</v>
      </c>
      <c r="Z1264" s="1" t="s">
        <v>25246</v>
      </c>
      <c r="AA1264" s="1" t="s">
        <v>132</v>
      </c>
      <c r="AB1264" s="1" t="s">
        <v>132</v>
      </c>
      <c r="AC1264" s="1" t="s">
        <v>25247</v>
      </c>
      <c r="AD1264" s="1" t="s">
        <v>132</v>
      </c>
      <c r="AE1264" s="1" t="s">
        <v>132</v>
      </c>
      <c r="AF1264" s="1" t="s">
        <v>132</v>
      </c>
      <c r="AG1264" s="1" t="s">
        <v>25248</v>
      </c>
      <c r="AH1264" s="1" t="s">
        <v>132</v>
      </c>
      <c r="AI1264" s="1" t="s">
        <v>132</v>
      </c>
      <c r="AJ1264" s="1" t="s">
        <v>25249</v>
      </c>
      <c r="AK1264" s="1" t="s">
        <v>132</v>
      </c>
      <c r="AL1264" s="1" t="s">
        <v>132</v>
      </c>
      <c r="AM1264" s="1" t="s">
        <v>25250</v>
      </c>
      <c r="AN1264" s="1" t="s">
        <v>25250</v>
      </c>
    </row>
    <row r="1265" ht="15.75" customHeight="1">
      <c r="A1265" s="1" t="s">
        <v>127</v>
      </c>
      <c r="B1265" s="1" t="s">
        <v>25251</v>
      </c>
      <c r="C1265" s="1" t="s">
        <v>2354</v>
      </c>
      <c r="D1265" s="8" t="s">
        <v>25252</v>
      </c>
      <c r="E1265" s="1" t="s">
        <v>2356</v>
      </c>
      <c r="F1265" s="1" t="s">
        <v>132</v>
      </c>
      <c r="G1265" s="1" t="s">
        <v>2357</v>
      </c>
      <c r="H1265" s="1" t="s">
        <v>25253</v>
      </c>
      <c r="I1265" s="1" t="s">
        <v>2359</v>
      </c>
      <c r="J1265" s="1" t="s">
        <v>2360</v>
      </c>
      <c r="K1265" s="1" t="s">
        <v>2361</v>
      </c>
      <c r="L1265" s="1" t="s">
        <v>2362</v>
      </c>
      <c r="M1265" s="1" t="s">
        <v>2363</v>
      </c>
      <c r="N1265" s="1" t="s">
        <v>132</v>
      </c>
      <c r="O1265" s="1" t="s">
        <v>2364</v>
      </c>
      <c r="P1265" s="1" t="s">
        <v>2354</v>
      </c>
      <c r="Q1265" s="1" t="s">
        <v>132</v>
      </c>
      <c r="R1265" s="1" t="s">
        <v>2366</v>
      </c>
      <c r="S1265" s="1" t="s">
        <v>2367</v>
      </c>
      <c r="T1265" s="8" t="s">
        <v>2368</v>
      </c>
      <c r="U1265" s="1" t="s">
        <v>25254</v>
      </c>
      <c r="V1265" s="1" t="s">
        <v>2370</v>
      </c>
      <c r="W1265" s="1" t="s">
        <v>2366</v>
      </c>
      <c r="X1265" s="1" t="s">
        <v>25255</v>
      </c>
      <c r="Y1265" s="1" t="s">
        <v>2372</v>
      </c>
      <c r="Z1265" s="1" t="s">
        <v>2373</v>
      </c>
      <c r="AA1265" s="1" t="s">
        <v>2374</v>
      </c>
      <c r="AB1265" s="1" t="s">
        <v>2375</v>
      </c>
      <c r="AC1265" s="1" t="s">
        <v>25256</v>
      </c>
      <c r="AD1265" s="1" t="s">
        <v>2377</v>
      </c>
      <c r="AE1265" s="1" t="s">
        <v>25257</v>
      </c>
      <c r="AF1265" s="1" t="s">
        <v>2379</v>
      </c>
      <c r="AG1265" s="1" t="s">
        <v>2380</v>
      </c>
      <c r="AH1265" s="1" t="s">
        <v>2381</v>
      </c>
      <c r="AI1265" s="1" t="s">
        <v>2382</v>
      </c>
      <c r="AJ1265" s="1" t="s">
        <v>132</v>
      </c>
      <c r="AK1265" s="1" t="s">
        <v>2383</v>
      </c>
      <c r="AL1265" s="1" t="s">
        <v>25258</v>
      </c>
      <c r="AM1265" s="1" t="s">
        <v>132</v>
      </c>
      <c r="AN1265" s="1" t="s">
        <v>132</v>
      </c>
    </row>
    <row r="1266" ht="15.75" customHeight="1">
      <c r="A1266" s="1" t="s">
        <v>38</v>
      </c>
      <c r="B1266" s="1" t="s">
        <v>25259</v>
      </c>
      <c r="C1266" s="1" t="s">
        <v>9177</v>
      </c>
      <c r="D1266" s="8" t="s">
        <v>25260</v>
      </c>
      <c r="E1266" s="1" t="s">
        <v>25261</v>
      </c>
      <c r="F1266" s="1" t="s">
        <v>25262</v>
      </c>
      <c r="G1266" s="1" t="s">
        <v>132</v>
      </c>
      <c r="H1266" s="1" t="s">
        <v>132</v>
      </c>
      <c r="I1266" s="1" t="s">
        <v>9182</v>
      </c>
      <c r="J1266" s="1" t="s">
        <v>132</v>
      </c>
      <c r="K1266" s="1" t="s">
        <v>22434</v>
      </c>
      <c r="L1266" s="1" t="s">
        <v>132</v>
      </c>
      <c r="M1266" s="1" t="s">
        <v>21492</v>
      </c>
      <c r="N1266" s="1" t="s">
        <v>22434</v>
      </c>
      <c r="O1266" s="1" t="s">
        <v>132</v>
      </c>
      <c r="P1266" s="1" t="s">
        <v>25263</v>
      </c>
      <c r="Q1266" s="1" t="s">
        <v>25264</v>
      </c>
      <c r="R1266" s="1" t="s">
        <v>132</v>
      </c>
      <c r="S1266" s="1" t="s">
        <v>25265</v>
      </c>
      <c r="T1266" s="1" t="s">
        <v>132</v>
      </c>
      <c r="U1266" s="1" t="s">
        <v>25266</v>
      </c>
      <c r="V1266" s="1" t="s">
        <v>9193</v>
      </c>
      <c r="W1266" s="1" t="s">
        <v>132</v>
      </c>
      <c r="X1266" s="1" t="s">
        <v>25267</v>
      </c>
      <c r="Y1266" s="1" t="s">
        <v>132</v>
      </c>
      <c r="Z1266" s="1" t="s">
        <v>9196</v>
      </c>
      <c r="AA1266" s="1" t="s">
        <v>25268</v>
      </c>
      <c r="AB1266" s="1" t="s">
        <v>132</v>
      </c>
      <c r="AC1266" s="1" t="s">
        <v>9198</v>
      </c>
      <c r="AD1266" s="1" t="s">
        <v>9199</v>
      </c>
      <c r="AE1266" s="1" t="s">
        <v>132</v>
      </c>
      <c r="AF1266" s="1" t="s">
        <v>25269</v>
      </c>
      <c r="AG1266" s="1" t="s">
        <v>9202</v>
      </c>
      <c r="AH1266" s="1" t="s">
        <v>132</v>
      </c>
      <c r="AI1266" s="1" t="s">
        <v>132</v>
      </c>
      <c r="AJ1266" s="1" t="s">
        <v>25270</v>
      </c>
      <c r="AK1266" s="1" t="s">
        <v>25271</v>
      </c>
      <c r="AL1266" s="1" t="s">
        <v>132</v>
      </c>
      <c r="AM1266" s="1" t="s">
        <v>25272</v>
      </c>
      <c r="AN1266" s="1" t="s">
        <v>25272</v>
      </c>
    </row>
    <row r="1267" ht="15.75" customHeight="1">
      <c r="A1267" s="1" t="s">
        <v>38</v>
      </c>
      <c r="B1267" s="1" t="s">
        <v>25273</v>
      </c>
      <c r="C1267" s="1" t="s">
        <v>25274</v>
      </c>
      <c r="D1267" s="1" t="s">
        <v>132</v>
      </c>
      <c r="E1267" s="1" t="s">
        <v>132</v>
      </c>
      <c r="F1267" s="1" t="s">
        <v>132</v>
      </c>
      <c r="G1267" s="1" t="s">
        <v>132</v>
      </c>
      <c r="H1267" s="1" t="s">
        <v>132</v>
      </c>
      <c r="I1267" s="1" t="s">
        <v>132</v>
      </c>
      <c r="J1267" s="1" t="s">
        <v>132</v>
      </c>
      <c r="K1267" s="1" t="s">
        <v>132</v>
      </c>
      <c r="L1267" s="1" t="s">
        <v>132</v>
      </c>
      <c r="M1267" s="1" t="s">
        <v>132</v>
      </c>
      <c r="N1267" s="1" t="s">
        <v>132</v>
      </c>
      <c r="O1267" s="1" t="s">
        <v>132</v>
      </c>
      <c r="P1267" s="1" t="s">
        <v>132</v>
      </c>
      <c r="Q1267" s="1" t="s">
        <v>132</v>
      </c>
      <c r="R1267" s="1" t="s">
        <v>132</v>
      </c>
      <c r="S1267" s="1" t="s">
        <v>132</v>
      </c>
      <c r="T1267" s="1" t="s">
        <v>132</v>
      </c>
      <c r="U1267" s="1" t="s">
        <v>132</v>
      </c>
      <c r="V1267" s="1" t="s">
        <v>132</v>
      </c>
      <c r="W1267" s="1" t="s">
        <v>132</v>
      </c>
      <c r="X1267" s="1" t="s">
        <v>132</v>
      </c>
      <c r="Y1267" s="1" t="s">
        <v>132</v>
      </c>
      <c r="Z1267" s="1" t="s">
        <v>132</v>
      </c>
      <c r="AA1267" s="1" t="s">
        <v>132</v>
      </c>
      <c r="AB1267" s="1" t="s">
        <v>132</v>
      </c>
      <c r="AC1267" s="1" t="s">
        <v>132</v>
      </c>
      <c r="AD1267" s="1" t="s">
        <v>132</v>
      </c>
      <c r="AE1267" s="1" t="s">
        <v>132</v>
      </c>
      <c r="AF1267" s="1" t="s">
        <v>132</v>
      </c>
      <c r="AG1267" s="1" t="s">
        <v>132</v>
      </c>
      <c r="AH1267" s="1" t="s">
        <v>132</v>
      </c>
      <c r="AI1267" s="1" t="s">
        <v>132</v>
      </c>
      <c r="AJ1267" s="1" t="s">
        <v>132</v>
      </c>
      <c r="AK1267" s="1" t="s">
        <v>132</v>
      </c>
      <c r="AL1267" s="1" t="s">
        <v>132</v>
      </c>
      <c r="AM1267" s="1" t="s">
        <v>132</v>
      </c>
      <c r="AN1267" s="1" t="s">
        <v>132</v>
      </c>
    </row>
    <row r="1268" ht="15.75" customHeight="1">
      <c r="A1268" s="1" t="s">
        <v>38</v>
      </c>
      <c r="B1268" s="1" t="s">
        <v>25276</v>
      </c>
      <c r="C1268" s="1" t="s">
        <v>25277</v>
      </c>
      <c r="D1268" s="1" t="s">
        <v>132</v>
      </c>
      <c r="E1268" s="1" t="s">
        <v>25278</v>
      </c>
      <c r="F1268" s="1" t="s">
        <v>132</v>
      </c>
      <c r="G1268" s="1" t="s">
        <v>132</v>
      </c>
      <c r="H1268" s="1" t="s">
        <v>132</v>
      </c>
      <c r="I1268" s="1" t="s">
        <v>25279</v>
      </c>
      <c r="J1268" s="1" t="s">
        <v>132</v>
      </c>
      <c r="K1268" s="1" t="s">
        <v>25280</v>
      </c>
      <c r="L1268" s="1" t="s">
        <v>132</v>
      </c>
      <c r="M1268" s="1" t="s">
        <v>25281</v>
      </c>
      <c r="N1268" s="1" t="s">
        <v>25282</v>
      </c>
      <c r="O1268" s="1" t="s">
        <v>132</v>
      </c>
      <c r="P1268" s="1" t="s">
        <v>25283</v>
      </c>
      <c r="Q1268" s="1" t="s">
        <v>132</v>
      </c>
      <c r="R1268" s="1" t="s">
        <v>132</v>
      </c>
      <c r="S1268" s="1" t="s">
        <v>25284</v>
      </c>
      <c r="T1268" s="1" t="s">
        <v>132</v>
      </c>
      <c r="U1268" s="1" t="s">
        <v>132</v>
      </c>
      <c r="V1268" s="1" t="s">
        <v>132</v>
      </c>
      <c r="W1268" s="1" t="s">
        <v>132</v>
      </c>
      <c r="X1268" s="1" t="s">
        <v>25285</v>
      </c>
      <c r="Y1268" s="1" t="s">
        <v>132</v>
      </c>
      <c r="Z1268" s="1" t="s">
        <v>25286</v>
      </c>
      <c r="AA1268" s="1" t="s">
        <v>132</v>
      </c>
      <c r="AB1268" s="1" t="s">
        <v>132</v>
      </c>
      <c r="AC1268" s="1" t="s">
        <v>132</v>
      </c>
      <c r="AD1268" s="1" t="s">
        <v>132</v>
      </c>
      <c r="AE1268" s="1" t="s">
        <v>132</v>
      </c>
      <c r="AF1268" s="1" t="s">
        <v>132</v>
      </c>
      <c r="AG1268" s="1" t="s">
        <v>132</v>
      </c>
      <c r="AH1268" s="1" t="s">
        <v>132</v>
      </c>
      <c r="AI1268" s="1" t="s">
        <v>132</v>
      </c>
      <c r="AJ1268" s="1" t="s">
        <v>132</v>
      </c>
      <c r="AK1268" s="1" t="s">
        <v>132</v>
      </c>
      <c r="AL1268" s="1" t="s">
        <v>132</v>
      </c>
      <c r="AM1268" s="1" t="s">
        <v>132</v>
      </c>
      <c r="AN1268" s="1" t="s">
        <v>132</v>
      </c>
    </row>
    <row r="1269" ht="15.75" customHeight="1">
      <c r="A1269" s="1" t="s">
        <v>127</v>
      </c>
      <c r="B1269" s="1" t="s">
        <v>25287</v>
      </c>
      <c r="C1269" s="1" t="s">
        <v>11680</v>
      </c>
      <c r="D1269" s="8" t="s">
        <v>11681</v>
      </c>
      <c r="E1269" s="1" t="s">
        <v>11682</v>
      </c>
      <c r="F1269" s="1" t="s">
        <v>132</v>
      </c>
      <c r="G1269" s="1" t="s">
        <v>11680</v>
      </c>
      <c r="H1269" s="1" t="s">
        <v>11680</v>
      </c>
      <c r="I1269" s="1" t="s">
        <v>11683</v>
      </c>
      <c r="J1269" s="1" t="s">
        <v>11680</v>
      </c>
      <c r="K1269" s="1" t="s">
        <v>11680</v>
      </c>
      <c r="L1269" s="1" t="s">
        <v>11684</v>
      </c>
      <c r="M1269" s="1" t="s">
        <v>11680</v>
      </c>
      <c r="N1269" s="1" t="s">
        <v>132</v>
      </c>
      <c r="O1269" s="1" t="s">
        <v>11686</v>
      </c>
      <c r="P1269" s="1" t="s">
        <v>11680</v>
      </c>
      <c r="Q1269" s="1" t="s">
        <v>132</v>
      </c>
      <c r="R1269" s="1" t="s">
        <v>11685</v>
      </c>
      <c r="S1269" s="1" t="s">
        <v>11680</v>
      </c>
      <c r="T1269" s="8" t="s">
        <v>11687</v>
      </c>
      <c r="U1269" s="1" t="s">
        <v>11688</v>
      </c>
      <c r="V1269" s="1" t="s">
        <v>11689</v>
      </c>
      <c r="W1269" s="1" t="s">
        <v>11690</v>
      </c>
      <c r="X1269" s="1" t="s">
        <v>11680</v>
      </c>
      <c r="Y1269" s="1" t="s">
        <v>11691</v>
      </c>
      <c r="Z1269" s="1" t="s">
        <v>11680</v>
      </c>
      <c r="AA1269" s="1" t="s">
        <v>11680</v>
      </c>
      <c r="AB1269" s="1" t="s">
        <v>11680</v>
      </c>
      <c r="AC1269" s="1" t="s">
        <v>11680</v>
      </c>
      <c r="AD1269" s="1" t="s">
        <v>11680</v>
      </c>
      <c r="AE1269" s="1" t="s">
        <v>11692</v>
      </c>
      <c r="AF1269" s="1" t="s">
        <v>11680</v>
      </c>
      <c r="AG1269" s="1" t="s">
        <v>11691</v>
      </c>
      <c r="AH1269" s="1" t="s">
        <v>3384</v>
      </c>
      <c r="AI1269" s="1" t="s">
        <v>11693</v>
      </c>
      <c r="AJ1269" s="1" t="s">
        <v>132</v>
      </c>
      <c r="AK1269" s="1" t="s">
        <v>11685</v>
      </c>
      <c r="AL1269" s="1" t="s">
        <v>11694</v>
      </c>
      <c r="AM1269" s="1" t="s">
        <v>11695</v>
      </c>
      <c r="AN1269" s="1" t="s">
        <v>11695</v>
      </c>
    </row>
    <row r="1270" ht="15.75" customHeight="1">
      <c r="A1270" s="1" t="s">
        <v>127</v>
      </c>
      <c r="B1270" s="1" t="s">
        <v>25288</v>
      </c>
      <c r="C1270" s="1" t="s">
        <v>25289</v>
      </c>
      <c r="D1270" s="8" t="s">
        <v>25290</v>
      </c>
      <c r="E1270" s="1" t="s">
        <v>25291</v>
      </c>
      <c r="F1270" s="1" t="s">
        <v>132</v>
      </c>
      <c r="G1270" s="1" t="s">
        <v>25292</v>
      </c>
      <c r="H1270" s="1" t="s">
        <v>25293</v>
      </c>
      <c r="I1270" s="1" t="s">
        <v>25294</v>
      </c>
      <c r="J1270" s="1" t="s">
        <v>25289</v>
      </c>
      <c r="K1270" s="1" t="s">
        <v>25295</v>
      </c>
      <c r="L1270" s="1" t="s">
        <v>25296</v>
      </c>
      <c r="M1270" s="1" t="s">
        <v>25297</v>
      </c>
      <c r="N1270" s="1" t="s">
        <v>132</v>
      </c>
      <c r="O1270" s="1" t="s">
        <v>25298</v>
      </c>
      <c r="P1270" s="1" t="s">
        <v>25299</v>
      </c>
      <c r="Q1270" s="1" t="s">
        <v>132</v>
      </c>
      <c r="R1270" s="1" t="s">
        <v>25300</v>
      </c>
      <c r="S1270" s="1" t="s">
        <v>25301</v>
      </c>
      <c r="T1270" s="8" t="s">
        <v>25302</v>
      </c>
      <c r="U1270" s="1" t="s">
        <v>25303</v>
      </c>
      <c r="V1270" s="1" t="s">
        <v>25304</v>
      </c>
      <c r="W1270" s="1" t="s">
        <v>25305</v>
      </c>
      <c r="X1270" s="1" t="s">
        <v>25306</v>
      </c>
      <c r="Y1270" s="1" t="s">
        <v>25307</v>
      </c>
      <c r="Z1270" s="1" t="s">
        <v>25308</v>
      </c>
      <c r="AA1270" s="1" t="s">
        <v>25309</v>
      </c>
      <c r="AB1270" s="1" t="s">
        <v>25310</v>
      </c>
      <c r="AC1270" s="1" t="s">
        <v>25311</v>
      </c>
      <c r="AD1270" s="1" t="s">
        <v>25312</v>
      </c>
      <c r="AE1270" s="1" t="s">
        <v>25313</v>
      </c>
      <c r="AF1270" s="1" t="s">
        <v>25314</v>
      </c>
      <c r="AG1270" s="1" t="s">
        <v>25315</v>
      </c>
      <c r="AH1270" s="1" t="s">
        <v>25316</v>
      </c>
      <c r="AI1270" s="1" t="s">
        <v>25317</v>
      </c>
      <c r="AJ1270" s="1" t="s">
        <v>132</v>
      </c>
      <c r="AK1270" s="1" t="s">
        <v>25318</v>
      </c>
      <c r="AL1270" s="1" t="s">
        <v>25319</v>
      </c>
      <c r="AM1270" s="1" t="s">
        <v>132</v>
      </c>
      <c r="AN1270" s="1" t="s">
        <v>132</v>
      </c>
    </row>
    <row r="1271" ht="15.75" customHeight="1">
      <c r="A1271" s="1" t="s">
        <v>127</v>
      </c>
      <c r="B1271" s="1" t="s">
        <v>25320</v>
      </c>
      <c r="C1271" s="1" t="s">
        <v>43275</v>
      </c>
      <c r="D1271" s="8" t="s">
        <v>25322</v>
      </c>
      <c r="E1271" s="1" t="s">
        <v>43276</v>
      </c>
      <c r="F1271" s="1" t="s">
        <v>132</v>
      </c>
      <c r="G1271" s="1" t="s">
        <v>43277</v>
      </c>
      <c r="H1271" s="1" t="s">
        <v>43278</v>
      </c>
      <c r="I1271" s="1" t="s">
        <v>25326</v>
      </c>
      <c r="J1271" s="1" t="s">
        <v>25327</v>
      </c>
      <c r="K1271" s="1" t="s">
        <v>25328</v>
      </c>
      <c r="L1271" s="1" t="s">
        <v>25329</v>
      </c>
      <c r="M1271" s="1" t="s">
        <v>25330</v>
      </c>
      <c r="N1271" s="1" t="s">
        <v>132</v>
      </c>
      <c r="O1271" s="1" t="s">
        <v>25331</v>
      </c>
      <c r="P1271" s="1" t="s">
        <v>25332</v>
      </c>
      <c r="Q1271" s="1" t="s">
        <v>132</v>
      </c>
      <c r="R1271" s="1" t="s">
        <v>25333</v>
      </c>
      <c r="S1271" s="1" t="s">
        <v>25334</v>
      </c>
      <c r="T1271" s="8" t="s">
        <v>25335</v>
      </c>
      <c r="U1271" s="1" t="s">
        <v>25336</v>
      </c>
      <c r="V1271" s="1" t="s">
        <v>25337</v>
      </c>
      <c r="W1271" s="1" t="s">
        <v>25338</v>
      </c>
      <c r="X1271" s="1" t="s">
        <v>25339</v>
      </c>
      <c r="Y1271" s="1" t="s">
        <v>25340</v>
      </c>
      <c r="Z1271" s="1" t="s">
        <v>25341</v>
      </c>
      <c r="AA1271" s="1" t="s">
        <v>25342</v>
      </c>
      <c r="AB1271" s="1" t="s">
        <v>25343</v>
      </c>
      <c r="AC1271" s="1" t="s">
        <v>25344</v>
      </c>
      <c r="AD1271" s="1" t="s">
        <v>25345</v>
      </c>
      <c r="AE1271" s="1" t="s">
        <v>25346</v>
      </c>
      <c r="AF1271" s="1" t="s">
        <v>25347</v>
      </c>
      <c r="AG1271" s="1" t="s">
        <v>25348</v>
      </c>
      <c r="AH1271" s="1" t="s">
        <v>25349</v>
      </c>
      <c r="AI1271" s="1" t="s">
        <v>25350</v>
      </c>
      <c r="AJ1271" s="1" t="s">
        <v>132</v>
      </c>
      <c r="AK1271" s="1" t="s">
        <v>25351</v>
      </c>
      <c r="AL1271" s="1" t="s">
        <v>25352</v>
      </c>
      <c r="AM1271" s="1" t="s">
        <v>25353</v>
      </c>
      <c r="AN1271" s="1" t="s">
        <v>25353</v>
      </c>
    </row>
    <row r="1272" ht="15.75" customHeight="1">
      <c r="A1272" s="1" t="s">
        <v>127</v>
      </c>
      <c r="B1272" s="1" t="s">
        <v>25354</v>
      </c>
      <c r="C1272" s="1" t="s">
        <v>25355</v>
      </c>
      <c r="D1272" s="1" t="s">
        <v>132</v>
      </c>
      <c r="E1272" s="1" t="s">
        <v>132</v>
      </c>
      <c r="F1272" s="1" t="s">
        <v>132</v>
      </c>
      <c r="G1272" s="1" t="s">
        <v>132</v>
      </c>
      <c r="H1272" s="1" t="s">
        <v>25356</v>
      </c>
      <c r="I1272" s="1" t="s">
        <v>25357</v>
      </c>
      <c r="J1272" s="1" t="s">
        <v>132</v>
      </c>
      <c r="K1272" s="1" t="s">
        <v>25358</v>
      </c>
      <c r="L1272" s="1" t="s">
        <v>25359</v>
      </c>
      <c r="M1272" s="1" t="s">
        <v>25360</v>
      </c>
      <c r="N1272" s="1" t="s">
        <v>132</v>
      </c>
      <c r="O1272" s="1" t="s">
        <v>132</v>
      </c>
      <c r="P1272" s="1" t="s">
        <v>25361</v>
      </c>
      <c r="Q1272" s="1" t="s">
        <v>132</v>
      </c>
      <c r="R1272" s="1" t="s">
        <v>25362</v>
      </c>
      <c r="S1272" s="1" t="s">
        <v>25363</v>
      </c>
      <c r="T1272" s="1" t="s">
        <v>132</v>
      </c>
      <c r="U1272" s="1" t="s">
        <v>25364</v>
      </c>
      <c r="V1272" s="1" t="s">
        <v>25365</v>
      </c>
      <c r="W1272" s="1" t="s">
        <v>25366</v>
      </c>
      <c r="X1272" s="1" t="s">
        <v>25367</v>
      </c>
      <c r="Y1272" s="1" t="s">
        <v>25368</v>
      </c>
      <c r="Z1272" s="1" t="s">
        <v>25369</v>
      </c>
      <c r="AA1272" s="1" t="s">
        <v>25370</v>
      </c>
      <c r="AB1272" s="1" t="s">
        <v>132</v>
      </c>
      <c r="AC1272" s="1" t="s">
        <v>25371</v>
      </c>
      <c r="AD1272" s="1" t="s">
        <v>132</v>
      </c>
      <c r="AE1272" s="1" t="s">
        <v>132</v>
      </c>
      <c r="AF1272" s="1" t="s">
        <v>25372</v>
      </c>
      <c r="AG1272" s="1" t="s">
        <v>25373</v>
      </c>
      <c r="AH1272" s="1" t="s">
        <v>132</v>
      </c>
      <c r="AI1272" s="1" t="s">
        <v>25374</v>
      </c>
      <c r="AJ1272" s="1" t="s">
        <v>132</v>
      </c>
      <c r="AK1272" s="1" t="s">
        <v>132</v>
      </c>
      <c r="AL1272" s="1" t="s">
        <v>25375</v>
      </c>
      <c r="AM1272" s="1" t="s">
        <v>132</v>
      </c>
      <c r="AN1272" s="1" t="s">
        <v>132</v>
      </c>
    </row>
    <row r="1273" ht="15.75" customHeight="1">
      <c r="A1273" s="1" t="s">
        <v>38</v>
      </c>
      <c r="B1273" s="1" t="s">
        <v>25376</v>
      </c>
      <c r="C1273" s="1" t="s">
        <v>25377</v>
      </c>
      <c r="D1273" s="8" t="s">
        <v>25378</v>
      </c>
      <c r="E1273" s="1" t="s">
        <v>25379</v>
      </c>
      <c r="F1273" s="1" t="s">
        <v>25380</v>
      </c>
      <c r="G1273" s="1" t="s">
        <v>132</v>
      </c>
      <c r="H1273" s="1" t="s">
        <v>132</v>
      </c>
      <c r="I1273" s="1" t="s">
        <v>25381</v>
      </c>
      <c r="J1273" s="1" t="s">
        <v>132</v>
      </c>
      <c r="K1273" s="1" t="s">
        <v>25382</v>
      </c>
      <c r="L1273" s="1" t="s">
        <v>132</v>
      </c>
      <c r="M1273" s="1" t="s">
        <v>25383</v>
      </c>
      <c r="N1273" s="1" t="s">
        <v>25384</v>
      </c>
      <c r="O1273" s="1" t="s">
        <v>132</v>
      </c>
      <c r="P1273" s="1" t="s">
        <v>25385</v>
      </c>
      <c r="Q1273" s="1" t="s">
        <v>132</v>
      </c>
      <c r="R1273" s="1" t="s">
        <v>132</v>
      </c>
      <c r="S1273" s="1" t="s">
        <v>25386</v>
      </c>
      <c r="T1273" s="1" t="s">
        <v>132</v>
      </c>
      <c r="U1273" s="1" t="s">
        <v>132</v>
      </c>
      <c r="V1273" s="1" t="s">
        <v>132</v>
      </c>
      <c r="W1273" s="1" t="s">
        <v>132</v>
      </c>
      <c r="X1273" s="1" t="s">
        <v>25387</v>
      </c>
      <c r="Y1273" s="1" t="s">
        <v>132</v>
      </c>
      <c r="Z1273" s="1" t="s">
        <v>25388</v>
      </c>
      <c r="AA1273" s="1" t="s">
        <v>132</v>
      </c>
      <c r="AB1273" s="1" t="s">
        <v>132</v>
      </c>
      <c r="AC1273" s="1" t="s">
        <v>132</v>
      </c>
      <c r="AD1273" s="1" t="s">
        <v>132</v>
      </c>
      <c r="AE1273" s="1" t="s">
        <v>132</v>
      </c>
      <c r="AF1273" s="1" t="s">
        <v>132</v>
      </c>
      <c r="AG1273" s="1" t="s">
        <v>132</v>
      </c>
      <c r="AH1273" s="1" t="s">
        <v>132</v>
      </c>
      <c r="AI1273" s="1" t="s">
        <v>132</v>
      </c>
      <c r="AJ1273" s="1" t="s">
        <v>132</v>
      </c>
      <c r="AK1273" s="1" t="s">
        <v>132</v>
      </c>
      <c r="AL1273" s="1" t="s">
        <v>132</v>
      </c>
      <c r="AM1273" s="1" t="s">
        <v>132</v>
      </c>
      <c r="AN1273" s="1" t="s">
        <v>132</v>
      </c>
    </row>
    <row r="1274" ht="15.75" customHeight="1">
      <c r="A1274" s="1" t="s">
        <v>127</v>
      </c>
      <c r="B1274" s="1" t="s">
        <v>25389</v>
      </c>
      <c r="C1274" s="1" t="s">
        <v>25390</v>
      </c>
      <c r="D1274" s="8" t="s">
        <v>25391</v>
      </c>
      <c r="E1274" s="1" t="s">
        <v>25392</v>
      </c>
      <c r="F1274" s="1" t="s">
        <v>132</v>
      </c>
      <c r="G1274" s="1" t="s">
        <v>25393</v>
      </c>
      <c r="H1274" s="1" t="s">
        <v>25394</v>
      </c>
      <c r="I1274" s="1" t="s">
        <v>25395</v>
      </c>
      <c r="J1274" s="1" t="s">
        <v>25396</v>
      </c>
      <c r="K1274" s="1" t="s">
        <v>25397</v>
      </c>
      <c r="L1274" s="1" t="s">
        <v>25398</v>
      </c>
      <c r="M1274" s="1" t="s">
        <v>25399</v>
      </c>
      <c r="N1274" s="1" t="s">
        <v>132</v>
      </c>
      <c r="O1274" s="1" t="s">
        <v>25400</v>
      </c>
      <c r="P1274" s="1" t="s">
        <v>25401</v>
      </c>
      <c r="Q1274" s="1" t="s">
        <v>132</v>
      </c>
      <c r="R1274" s="1" t="s">
        <v>25402</v>
      </c>
      <c r="S1274" s="1" t="s">
        <v>25403</v>
      </c>
      <c r="T1274" s="8" t="s">
        <v>25404</v>
      </c>
      <c r="U1274" s="1" t="s">
        <v>25405</v>
      </c>
      <c r="V1274" s="1" t="s">
        <v>25406</v>
      </c>
      <c r="W1274" s="1" t="s">
        <v>25407</v>
      </c>
      <c r="X1274" s="1" t="s">
        <v>25408</v>
      </c>
      <c r="Y1274" s="1" t="s">
        <v>25409</v>
      </c>
      <c r="Z1274" s="1" t="s">
        <v>25410</v>
      </c>
      <c r="AA1274" s="1" t="s">
        <v>25411</v>
      </c>
      <c r="AB1274" s="1" t="s">
        <v>25412</v>
      </c>
      <c r="AC1274" s="1" t="s">
        <v>25413</v>
      </c>
      <c r="AD1274" s="1" t="s">
        <v>25393</v>
      </c>
      <c r="AE1274" s="1" t="s">
        <v>25414</v>
      </c>
      <c r="AF1274" s="1" t="s">
        <v>25415</v>
      </c>
      <c r="AG1274" s="1" t="s">
        <v>25409</v>
      </c>
      <c r="AH1274" s="1" t="s">
        <v>25416</v>
      </c>
      <c r="AI1274" s="1" t="s">
        <v>25417</v>
      </c>
      <c r="AJ1274" s="1" t="s">
        <v>132</v>
      </c>
      <c r="AK1274" s="1" t="s">
        <v>25418</v>
      </c>
      <c r="AL1274" s="1" t="s">
        <v>25419</v>
      </c>
      <c r="AM1274" s="1" t="s">
        <v>25420</v>
      </c>
      <c r="AN1274" s="1" t="s">
        <v>25420</v>
      </c>
    </row>
    <row r="1275" ht="15.75" customHeight="1">
      <c r="A1275" s="1" t="s">
        <v>38</v>
      </c>
      <c r="B1275" s="1" t="s">
        <v>25421</v>
      </c>
      <c r="C1275" s="1" t="s">
        <v>25422</v>
      </c>
      <c r="D1275" s="1" t="s">
        <v>132</v>
      </c>
      <c r="E1275" s="1" t="s">
        <v>25423</v>
      </c>
      <c r="F1275" s="1" t="s">
        <v>25424</v>
      </c>
      <c r="G1275" s="1" t="s">
        <v>132</v>
      </c>
      <c r="H1275" s="1" t="s">
        <v>132</v>
      </c>
      <c r="I1275" s="1" t="s">
        <v>25426</v>
      </c>
      <c r="J1275" s="1" t="s">
        <v>132</v>
      </c>
      <c r="K1275" s="1" t="s">
        <v>25427</v>
      </c>
      <c r="L1275" s="1" t="s">
        <v>132</v>
      </c>
      <c r="M1275" s="1" t="s">
        <v>25428</v>
      </c>
      <c r="N1275" s="1" t="s">
        <v>25429</v>
      </c>
      <c r="O1275" s="1" t="s">
        <v>132</v>
      </c>
      <c r="P1275" s="1" t="s">
        <v>25430</v>
      </c>
      <c r="Q1275" s="1" t="s">
        <v>25431</v>
      </c>
      <c r="R1275" s="1" t="s">
        <v>132</v>
      </c>
      <c r="S1275" s="1" t="s">
        <v>25432</v>
      </c>
      <c r="T1275" s="1" t="s">
        <v>132</v>
      </c>
      <c r="U1275" s="1" t="s">
        <v>25433</v>
      </c>
      <c r="V1275" s="1" t="s">
        <v>25434</v>
      </c>
      <c r="W1275" s="1" t="s">
        <v>132</v>
      </c>
      <c r="X1275" s="1" t="s">
        <v>25435</v>
      </c>
      <c r="Y1275" s="1" t="s">
        <v>132</v>
      </c>
      <c r="Z1275" s="1" t="s">
        <v>25436</v>
      </c>
      <c r="AA1275" s="1" t="s">
        <v>25437</v>
      </c>
      <c r="AB1275" s="1" t="s">
        <v>132</v>
      </c>
      <c r="AC1275" s="1" t="s">
        <v>25438</v>
      </c>
      <c r="AD1275" s="1" t="s">
        <v>25439</v>
      </c>
      <c r="AE1275" s="1" t="s">
        <v>132</v>
      </c>
      <c r="AF1275" s="1" t="s">
        <v>25440</v>
      </c>
      <c r="AG1275" s="1" t="s">
        <v>25441</v>
      </c>
      <c r="AH1275" s="1" t="s">
        <v>132</v>
      </c>
      <c r="AI1275" s="1" t="s">
        <v>132</v>
      </c>
      <c r="AJ1275" s="1" t="s">
        <v>25442</v>
      </c>
      <c r="AK1275" s="1" t="s">
        <v>25443</v>
      </c>
      <c r="AL1275" s="1" t="s">
        <v>132</v>
      </c>
      <c r="AM1275" s="1" t="s">
        <v>25444</v>
      </c>
      <c r="AN1275" s="1" t="s">
        <v>25444</v>
      </c>
    </row>
    <row r="1276" ht="15.75" customHeight="1">
      <c r="A1276" s="1" t="s">
        <v>38</v>
      </c>
      <c r="B1276" s="1" t="s">
        <v>25445</v>
      </c>
      <c r="C1276" s="1" t="s">
        <v>25446</v>
      </c>
      <c r="D1276" s="1" t="s">
        <v>132</v>
      </c>
      <c r="E1276" s="1" t="s">
        <v>132</v>
      </c>
      <c r="F1276" s="1" t="s">
        <v>132</v>
      </c>
      <c r="G1276" s="1" t="s">
        <v>132</v>
      </c>
      <c r="H1276" s="1" t="s">
        <v>132</v>
      </c>
      <c r="I1276" s="1" t="s">
        <v>25447</v>
      </c>
      <c r="J1276" s="1" t="s">
        <v>132</v>
      </c>
      <c r="K1276" s="1" t="s">
        <v>25448</v>
      </c>
      <c r="L1276" s="1" t="s">
        <v>132</v>
      </c>
      <c r="M1276" s="1" t="s">
        <v>25449</v>
      </c>
      <c r="N1276" s="1" t="s">
        <v>132</v>
      </c>
      <c r="O1276" s="1" t="s">
        <v>132</v>
      </c>
      <c r="P1276" s="1" t="s">
        <v>25450</v>
      </c>
      <c r="Q1276" s="1" t="s">
        <v>132</v>
      </c>
      <c r="R1276" s="1" t="s">
        <v>132</v>
      </c>
      <c r="S1276" s="1" t="s">
        <v>132</v>
      </c>
      <c r="T1276" s="1" t="s">
        <v>132</v>
      </c>
      <c r="U1276" s="1" t="s">
        <v>132</v>
      </c>
      <c r="V1276" s="1" t="s">
        <v>132</v>
      </c>
      <c r="W1276" s="1" t="s">
        <v>132</v>
      </c>
      <c r="X1276" s="1" t="s">
        <v>132</v>
      </c>
      <c r="Y1276" s="1" t="s">
        <v>132</v>
      </c>
      <c r="Z1276" s="1" t="s">
        <v>132</v>
      </c>
      <c r="AA1276" s="1" t="s">
        <v>132</v>
      </c>
      <c r="AB1276" s="1" t="s">
        <v>132</v>
      </c>
      <c r="AC1276" s="1" t="s">
        <v>25451</v>
      </c>
      <c r="AD1276" s="1" t="s">
        <v>132</v>
      </c>
      <c r="AE1276" s="1" t="s">
        <v>132</v>
      </c>
      <c r="AF1276" s="1" t="s">
        <v>25452</v>
      </c>
      <c r="AG1276" s="1" t="s">
        <v>132</v>
      </c>
      <c r="AH1276" s="1" t="s">
        <v>132</v>
      </c>
      <c r="AI1276" s="1" t="s">
        <v>132</v>
      </c>
      <c r="AJ1276" s="1" t="s">
        <v>132</v>
      </c>
      <c r="AK1276" s="1" t="s">
        <v>132</v>
      </c>
      <c r="AL1276" s="1" t="s">
        <v>132</v>
      </c>
      <c r="AM1276" s="1" t="s">
        <v>132</v>
      </c>
      <c r="AN1276" s="1" t="s">
        <v>132</v>
      </c>
    </row>
    <row r="1277" ht="15.75" customHeight="1">
      <c r="A1277" s="1" t="s">
        <v>127</v>
      </c>
      <c r="B1277" s="1" t="s">
        <v>25454</v>
      </c>
      <c r="C1277" s="1" t="s">
        <v>25455</v>
      </c>
      <c r="D1277" s="8" t="s">
        <v>25456</v>
      </c>
      <c r="E1277" s="1" t="s">
        <v>25457</v>
      </c>
      <c r="F1277" s="1" t="s">
        <v>132</v>
      </c>
      <c r="G1277" s="1" t="s">
        <v>25458</v>
      </c>
      <c r="H1277" s="1" t="s">
        <v>25459</v>
      </c>
      <c r="I1277" s="1" t="s">
        <v>25460</v>
      </c>
      <c r="J1277" s="1" t="s">
        <v>25461</v>
      </c>
      <c r="K1277" s="1" t="s">
        <v>25462</v>
      </c>
      <c r="L1277" s="1" t="s">
        <v>25463</v>
      </c>
      <c r="M1277" s="1" t="s">
        <v>25464</v>
      </c>
      <c r="N1277" s="1" t="s">
        <v>132</v>
      </c>
      <c r="O1277" s="1" t="s">
        <v>25465</v>
      </c>
      <c r="P1277" s="1" t="s">
        <v>25466</v>
      </c>
      <c r="Q1277" s="1" t="s">
        <v>132</v>
      </c>
      <c r="R1277" s="1" t="s">
        <v>25467</v>
      </c>
      <c r="S1277" s="1" t="s">
        <v>25468</v>
      </c>
      <c r="T1277" s="8" t="s">
        <v>25469</v>
      </c>
      <c r="U1277" s="1" t="s">
        <v>25455</v>
      </c>
      <c r="V1277" s="1" t="s">
        <v>25470</v>
      </c>
      <c r="W1277" s="1" t="s">
        <v>25471</v>
      </c>
      <c r="X1277" s="1" t="s">
        <v>25472</v>
      </c>
      <c r="Y1277" s="1" t="s">
        <v>25473</v>
      </c>
      <c r="Z1277" s="1" t="s">
        <v>25474</v>
      </c>
      <c r="AA1277" s="1" t="s">
        <v>25475</v>
      </c>
      <c r="AB1277" s="1" t="s">
        <v>25476</v>
      </c>
      <c r="AC1277" s="1" t="s">
        <v>25477</v>
      </c>
      <c r="AD1277" s="1" t="s">
        <v>25478</v>
      </c>
      <c r="AE1277" s="1" t="s">
        <v>25479</v>
      </c>
      <c r="AF1277" s="1" t="s">
        <v>25480</v>
      </c>
      <c r="AG1277" s="1" t="s">
        <v>25455</v>
      </c>
      <c r="AH1277" s="1" t="s">
        <v>25481</v>
      </c>
      <c r="AI1277" s="1" t="s">
        <v>25455</v>
      </c>
      <c r="AJ1277" s="1" t="s">
        <v>132</v>
      </c>
      <c r="AK1277" s="1" t="s">
        <v>25482</v>
      </c>
      <c r="AL1277" s="1" t="s">
        <v>25483</v>
      </c>
      <c r="AM1277" s="1" t="s">
        <v>25484</v>
      </c>
      <c r="AN1277" s="1" t="s">
        <v>25484</v>
      </c>
    </row>
    <row r="1278" ht="15.75" customHeight="1">
      <c r="A1278" s="1" t="s">
        <v>127</v>
      </c>
      <c r="B1278" s="1" t="s">
        <v>25485</v>
      </c>
      <c r="C1278" s="1" t="s">
        <v>25486</v>
      </c>
      <c r="D1278" s="8" t="s">
        <v>25487</v>
      </c>
      <c r="E1278" s="1" t="s">
        <v>25488</v>
      </c>
      <c r="F1278" s="1" t="s">
        <v>132</v>
      </c>
      <c r="G1278" s="1" t="s">
        <v>25489</v>
      </c>
      <c r="H1278" s="1" t="s">
        <v>25490</v>
      </c>
      <c r="I1278" s="1" t="s">
        <v>25491</v>
      </c>
      <c r="J1278" s="1" t="s">
        <v>25492</v>
      </c>
      <c r="K1278" s="1" t="s">
        <v>25486</v>
      </c>
      <c r="L1278" s="1" t="s">
        <v>25493</v>
      </c>
      <c r="M1278" s="1" t="s">
        <v>25494</v>
      </c>
      <c r="N1278" s="1" t="s">
        <v>132</v>
      </c>
      <c r="O1278" s="1" t="s">
        <v>25495</v>
      </c>
      <c r="P1278" s="1" t="s">
        <v>10069</v>
      </c>
      <c r="Q1278" s="1" t="s">
        <v>132</v>
      </c>
      <c r="R1278" s="1" t="s">
        <v>25496</v>
      </c>
      <c r="S1278" s="1" t="s">
        <v>25486</v>
      </c>
      <c r="T1278" s="8" t="s">
        <v>10072</v>
      </c>
      <c r="U1278" s="1" t="s">
        <v>25497</v>
      </c>
      <c r="V1278" s="1" t="s">
        <v>25498</v>
      </c>
      <c r="W1278" s="1" t="s">
        <v>25496</v>
      </c>
      <c r="X1278" s="1" t="s">
        <v>25499</v>
      </c>
      <c r="Y1278" s="1" t="s">
        <v>25500</v>
      </c>
      <c r="Z1278" s="1" t="s">
        <v>25501</v>
      </c>
      <c r="AA1278" s="1" t="s">
        <v>25486</v>
      </c>
      <c r="AB1278" s="1" t="s">
        <v>25502</v>
      </c>
      <c r="AC1278" s="1" t="s">
        <v>25503</v>
      </c>
      <c r="AD1278" s="1" t="s">
        <v>25504</v>
      </c>
      <c r="AE1278" s="1" t="s">
        <v>25505</v>
      </c>
      <c r="AF1278" s="1" t="s">
        <v>25506</v>
      </c>
      <c r="AG1278" s="1" t="s">
        <v>25507</v>
      </c>
      <c r="AH1278" s="1" t="s">
        <v>25508</v>
      </c>
      <c r="AI1278" s="1" t="s">
        <v>25509</v>
      </c>
      <c r="AJ1278" s="1" t="s">
        <v>132</v>
      </c>
      <c r="AK1278" s="1" t="s">
        <v>10086</v>
      </c>
      <c r="AL1278" s="1" t="s">
        <v>10087</v>
      </c>
      <c r="AM1278" s="1" t="s">
        <v>10088</v>
      </c>
      <c r="AN1278" s="1" t="s">
        <v>10088</v>
      </c>
    </row>
    <row r="1279" ht="15.75" customHeight="1">
      <c r="A1279" s="1" t="s">
        <v>38</v>
      </c>
      <c r="B1279" s="1" t="s">
        <v>25510</v>
      </c>
      <c r="C1279" s="1" t="s">
        <v>25511</v>
      </c>
      <c r="D1279" s="8" t="s">
        <v>25512</v>
      </c>
      <c r="E1279" s="1" t="s">
        <v>25513</v>
      </c>
      <c r="F1279" s="1" t="s">
        <v>25514</v>
      </c>
      <c r="G1279" s="1" t="s">
        <v>132</v>
      </c>
      <c r="H1279" s="1" t="s">
        <v>132</v>
      </c>
      <c r="I1279" s="1" t="s">
        <v>25515</v>
      </c>
      <c r="J1279" s="1" t="s">
        <v>132</v>
      </c>
      <c r="K1279" s="1" t="s">
        <v>25516</v>
      </c>
      <c r="L1279" s="1" t="s">
        <v>132</v>
      </c>
      <c r="M1279" s="1" t="s">
        <v>25517</v>
      </c>
      <c r="N1279" s="1" t="s">
        <v>25518</v>
      </c>
      <c r="O1279" s="1" t="s">
        <v>132</v>
      </c>
      <c r="P1279" s="1" t="s">
        <v>25519</v>
      </c>
      <c r="Q1279" s="1" t="s">
        <v>25520</v>
      </c>
      <c r="R1279" s="1" t="s">
        <v>132</v>
      </c>
      <c r="S1279" s="1" t="s">
        <v>25521</v>
      </c>
      <c r="T1279" s="1" t="s">
        <v>132</v>
      </c>
      <c r="U1279" s="1" t="s">
        <v>25522</v>
      </c>
      <c r="V1279" s="1" t="s">
        <v>25523</v>
      </c>
      <c r="W1279" s="1" t="s">
        <v>132</v>
      </c>
      <c r="X1279" s="1" t="s">
        <v>25524</v>
      </c>
      <c r="Y1279" s="1" t="s">
        <v>132</v>
      </c>
      <c r="Z1279" s="1" t="s">
        <v>25525</v>
      </c>
      <c r="AA1279" s="1" t="s">
        <v>25526</v>
      </c>
      <c r="AB1279" s="1" t="s">
        <v>132</v>
      </c>
      <c r="AC1279" s="1" t="s">
        <v>25527</v>
      </c>
      <c r="AD1279" s="1" t="s">
        <v>25528</v>
      </c>
      <c r="AE1279" s="1" t="s">
        <v>132</v>
      </c>
      <c r="AF1279" s="1" t="s">
        <v>25529</v>
      </c>
      <c r="AG1279" s="1" t="s">
        <v>25530</v>
      </c>
      <c r="AH1279" s="1" t="s">
        <v>132</v>
      </c>
      <c r="AI1279" s="1" t="s">
        <v>132</v>
      </c>
      <c r="AJ1279" s="1" t="s">
        <v>25531</v>
      </c>
      <c r="AK1279" s="1" t="s">
        <v>25532</v>
      </c>
      <c r="AL1279" s="1" t="s">
        <v>132</v>
      </c>
      <c r="AM1279" s="1" t="s">
        <v>25533</v>
      </c>
      <c r="AN1279" s="1" t="s">
        <v>25533</v>
      </c>
    </row>
    <row r="1280" ht="15.75" customHeight="1">
      <c r="A1280" s="1" t="s">
        <v>38</v>
      </c>
      <c r="B1280" s="1" t="s">
        <v>25534</v>
      </c>
      <c r="C1280" s="1" t="s">
        <v>25535</v>
      </c>
      <c r="D1280" s="1" t="s">
        <v>132</v>
      </c>
      <c r="E1280" s="1" t="s">
        <v>25536</v>
      </c>
      <c r="F1280" s="1" t="s">
        <v>25537</v>
      </c>
      <c r="G1280" s="1" t="s">
        <v>132</v>
      </c>
      <c r="H1280" s="1" t="s">
        <v>132</v>
      </c>
      <c r="I1280" s="1" t="s">
        <v>25538</v>
      </c>
      <c r="J1280" s="1" t="s">
        <v>132</v>
      </c>
      <c r="K1280" s="1" t="s">
        <v>25539</v>
      </c>
      <c r="L1280" s="1" t="s">
        <v>132</v>
      </c>
      <c r="M1280" s="1" t="s">
        <v>132</v>
      </c>
      <c r="N1280" s="1" t="s">
        <v>25539</v>
      </c>
      <c r="O1280" s="1" t="s">
        <v>132</v>
      </c>
      <c r="P1280" s="1" t="s">
        <v>25540</v>
      </c>
      <c r="Q1280" s="1" t="s">
        <v>132</v>
      </c>
      <c r="R1280" s="1" t="s">
        <v>132</v>
      </c>
      <c r="S1280" s="1" t="s">
        <v>25541</v>
      </c>
      <c r="T1280" s="1" t="s">
        <v>132</v>
      </c>
      <c r="U1280" s="1" t="s">
        <v>132</v>
      </c>
      <c r="V1280" s="1" t="s">
        <v>132</v>
      </c>
      <c r="W1280" s="1" t="s">
        <v>132</v>
      </c>
      <c r="X1280" s="1" t="s">
        <v>25542</v>
      </c>
      <c r="Y1280" s="1" t="s">
        <v>132</v>
      </c>
      <c r="Z1280" s="1" t="s">
        <v>25543</v>
      </c>
      <c r="AA1280" s="1" t="s">
        <v>132</v>
      </c>
      <c r="AB1280" s="1" t="s">
        <v>132</v>
      </c>
      <c r="AC1280" s="1" t="s">
        <v>132</v>
      </c>
      <c r="AD1280" s="1" t="s">
        <v>132</v>
      </c>
      <c r="AE1280" s="1" t="s">
        <v>132</v>
      </c>
      <c r="AF1280" s="1" t="s">
        <v>132</v>
      </c>
      <c r="AG1280" s="1" t="s">
        <v>132</v>
      </c>
      <c r="AH1280" s="1" t="s">
        <v>132</v>
      </c>
      <c r="AI1280" s="1" t="s">
        <v>132</v>
      </c>
      <c r="AJ1280" s="1" t="s">
        <v>132</v>
      </c>
      <c r="AK1280" s="1" t="s">
        <v>132</v>
      </c>
      <c r="AL1280" s="1" t="s">
        <v>132</v>
      </c>
      <c r="AM1280" s="1" t="s">
        <v>132</v>
      </c>
      <c r="AN1280" s="1" t="s">
        <v>132</v>
      </c>
    </row>
    <row r="1281" ht="15.75" customHeight="1">
      <c r="A1281" s="1" t="s">
        <v>127</v>
      </c>
      <c r="B1281" s="1" t="s">
        <v>25544</v>
      </c>
      <c r="C1281" s="1" t="s">
        <v>25545</v>
      </c>
      <c r="D1281" s="8" t="s">
        <v>25546</v>
      </c>
      <c r="E1281" s="1" t="s">
        <v>25547</v>
      </c>
      <c r="F1281" s="1" t="s">
        <v>132</v>
      </c>
      <c r="G1281" s="1" t="s">
        <v>25548</v>
      </c>
      <c r="H1281" s="1" t="s">
        <v>25549</v>
      </c>
      <c r="I1281" s="1" t="s">
        <v>25545</v>
      </c>
      <c r="J1281" s="1" t="s">
        <v>25550</v>
      </c>
      <c r="K1281" s="1" t="s">
        <v>25551</v>
      </c>
      <c r="L1281" s="1" t="s">
        <v>25552</v>
      </c>
      <c r="M1281" s="1" t="s">
        <v>25553</v>
      </c>
      <c r="N1281" s="1" t="s">
        <v>132</v>
      </c>
      <c r="O1281" s="1" t="s">
        <v>25554</v>
      </c>
      <c r="P1281" s="1" t="s">
        <v>25555</v>
      </c>
      <c r="Q1281" s="1" t="s">
        <v>132</v>
      </c>
      <c r="R1281" s="1" t="s">
        <v>25556</v>
      </c>
      <c r="S1281" s="1" t="s">
        <v>25545</v>
      </c>
      <c r="T1281" s="8" t="s">
        <v>25557</v>
      </c>
      <c r="U1281" s="1" t="s">
        <v>25558</v>
      </c>
      <c r="V1281" s="1" t="s">
        <v>25559</v>
      </c>
      <c r="W1281" s="1" t="s">
        <v>25560</v>
      </c>
      <c r="X1281" s="1" t="s">
        <v>25545</v>
      </c>
      <c r="Y1281" s="1" t="s">
        <v>25561</v>
      </c>
      <c r="Z1281" s="1" t="s">
        <v>25548</v>
      </c>
      <c r="AA1281" s="1" t="s">
        <v>25562</v>
      </c>
      <c r="AB1281" s="1" t="s">
        <v>25563</v>
      </c>
      <c r="AC1281" s="1" t="s">
        <v>25564</v>
      </c>
      <c r="AD1281" s="1" t="s">
        <v>25565</v>
      </c>
      <c r="AE1281" s="1" t="s">
        <v>25566</v>
      </c>
      <c r="AF1281" s="1" t="s">
        <v>25545</v>
      </c>
      <c r="AG1281" s="1" t="s">
        <v>25567</v>
      </c>
      <c r="AH1281" s="1" t="s">
        <v>25568</v>
      </c>
      <c r="AI1281" s="1" t="s">
        <v>25569</v>
      </c>
      <c r="AJ1281" s="1" t="s">
        <v>132</v>
      </c>
      <c r="AK1281" s="1" t="s">
        <v>25570</v>
      </c>
      <c r="AL1281" s="1" t="s">
        <v>25571</v>
      </c>
      <c r="AM1281" s="1" t="s">
        <v>132</v>
      </c>
      <c r="AN1281" s="1" t="s">
        <v>132</v>
      </c>
    </row>
    <row r="1282" ht="15.75" customHeight="1">
      <c r="A1282" s="1" t="s">
        <v>38</v>
      </c>
      <c r="B1282" s="1" t="s">
        <v>25572</v>
      </c>
      <c r="C1282" s="1" t="s">
        <v>25573</v>
      </c>
      <c r="D1282" s="1" t="s">
        <v>132</v>
      </c>
      <c r="E1282" s="1" t="s">
        <v>132</v>
      </c>
      <c r="F1282" s="1" t="s">
        <v>132</v>
      </c>
      <c r="G1282" s="1" t="s">
        <v>132</v>
      </c>
      <c r="H1282" s="1" t="s">
        <v>132</v>
      </c>
      <c r="I1282" s="1" t="s">
        <v>25574</v>
      </c>
      <c r="J1282" s="1" t="s">
        <v>132</v>
      </c>
      <c r="K1282" s="1" t="s">
        <v>25573</v>
      </c>
      <c r="L1282" s="1" t="s">
        <v>132</v>
      </c>
      <c r="M1282" s="1" t="s">
        <v>25575</v>
      </c>
      <c r="N1282" s="1" t="s">
        <v>132</v>
      </c>
      <c r="O1282" s="1" t="s">
        <v>132</v>
      </c>
      <c r="P1282" s="1" t="s">
        <v>25573</v>
      </c>
      <c r="Q1282" s="1" t="s">
        <v>132</v>
      </c>
      <c r="R1282" s="1" t="s">
        <v>132</v>
      </c>
      <c r="S1282" s="1" t="s">
        <v>132</v>
      </c>
      <c r="T1282" s="1" t="s">
        <v>132</v>
      </c>
      <c r="U1282" s="1" t="s">
        <v>132</v>
      </c>
      <c r="V1282" s="1" t="s">
        <v>132</v>
      </c>
      <c r="W1282" s="1" t="s">
        <v>132</v>
      </c>
      <c r="X1282" s="1" t="s">
        <v>132</v>
      </c>
      <c r="Y1282" s="1" t="s">
        <v>132</v>
      </c>
      <c r="Z1282" s="1" t="s">
        <v>132</v>
      </c>
      <c r="AA1282" s="1" t="s">
        <v>132</v>
      </c>
      <c r="AB1282" s="1" t="s">
        <v>132</v>
      </c>
      <c r="AC1282" s="1" t="s">
        <v>25576</v>
      </c>
      <c r="AD1282" s="1" t="s">
        <v>132</v>
      </c>
      <c r="AE1282" s="1" t="s">
        <v>132</v>
      </c>
      <c r="AF1282" s="1" t="s">
        <v>25577</v>
      </c>
      <c r="AG1282" s="1" t="s">
        <v>132</v>
      </c>
      <c r="AH1282" s="1" t="s">
        <v>132</v>
      </c>
      <c r="AI1282" s="1" t="s">
        <v>132</v>
      </c>
      <c r="AJ1282" s="1" t="s">
        <v>132</v>
      </c>
      <c r="AK1282" s="1" t="s">
        <v>132</v>
      </c>
      <c r="AL1282" s="1" t="s">
        <v>132</v>
      </c>
      <c r="AM1282" s="1" t="s">
        <v>132</v>
      </c>
      <c r="AN1282" s="1" t="s">
        <v>132</v>
      </c>
    </row>
    <row r="1283" ht="15.75" customHeight="1">
      <c r="A1283" s="1" t="s">
        <v>38</v>
      </c>
      <c r="B1283" s="1" t="s">
        <v>25578</v>
      </c>
      <c r="C1283" s="1" t="s">
        <v>25579</v>
      </c>
      <c r="D1283" s="1" t="s">
        <v>132</v>
      </c>
      <c r="E1283" s="1" t="s">
        <v>132</v>
      </c>
      <c r="F1283" s="1" t="s">
        <v>132</v>
      </c>
      <c r="G1283" s="1" t="s">
        <v>132</v>
      </c>
      <c r="H1283" s="1" t="s">
        <v>132</v>
      </c>
      <c r="I1283" s="1" t="s">
        <v>25579</v>
      </c>
      <c r="J1283" s="1" t="s">
        <v>132</v>
      </c>
      <c r="K1283" s="1" t="s">
        <v>25579</v>
      </c>
      <c r="L1283" s="1" t="s">
        <v>132</v>
      </c>
      <c r="M1283" s="1" t="s">
        <v>25579</v>
      </c>
      <c r="N1283" s="1" t="s">
        <v>132</v>
      </c>
      <c r="O1283" s="1" t="s">
        <v>132</v>
      </c>
      <c r="P1283" s="1" t="s">
        <v>25579</v>
      </c>
      <c r="Q1283" s="1" t="s">
        <v>132</v>
      </c>
      <c r="R1283" s="1" t="s">
        <v>132</v>
      </c>
      <c r="S1283" s="1" t="s">
        <v>132</v>
      </c>
      <c r="T1283" s="1" t="s">
        <v>132</v>
      </c>
      <c r="U1283" s="1" t="s">
        <v>132</v>
      </c>
      <c r="V1283" s="1" t="s">
        <v>132</v>
      </c>
      <c r="W1283" s="1" t="s">
        <v>132</v>
      </c>
      <c r="X1283" s="1" t="s">
        <v>132</v>
      </c>
      <c r="Y1283" s="1" t="s">
        <v>132</v>
      </c>
      <c r="Z1283" s="1" t="s">
        <v>132</v>
      </c>
      <c r="AA1283" s="1" t="s">
        <v>132</v>
      </c>
      <c r="AB1283" s="1" t="s">
        <v>132</v>
      </c>
      <c r="AC1283" s="1" t="s">
        <v>25580</v>
      </c>
      <c r="AD1283" s="1" t="s">
        <v>132</v>
      </c>
      <c r="AE1283" s="1" t="s">
        <v>132</v>
      </c>
      <c r="AF1283" s="1" t="s">
        <v>25579</v>
      </c>
      <c r="AG1283" s="1" t="s">
        <v>132</v>
      </c>
      <c r="AH1283" s="1" t="s">
        <v>132</v>
      </c>
      <c r="AI1283" s="1" t="s">
        <v>132</v>
      </c>
      <c r="AJ1283" s="1" t="s">
        <v>132</v>
      </c>
      <c r="AK1283" s="1" t="s">
        <v>132</v>
      </c>
      <c r="AL1283" s="1" t="s">
        <v>132</v>
      </c>
      <c r="AM1283" s="1" t="s">
        <v>132</v>
      </c>
      <c r="AN1283" s="1" t="s">
        <v>132</v>
      </c>
    </row>
    <row r="1284" ht="15.75" customHeight="1">
      <c r="A1284" s="1" t="s">
        <v>38</v>
      </c>
      <c r="B1284" s="1" t="s">
        <v>25581</v>
      </c>
      <c r="C1284" s="1" t="s">
        <v>25582</v>
      </c>
      <c r="D1284" s="1" t="s">
        <v>132</v>
      </c>
      <c r="E1284" s="1" t="s">
        <v>132</v>
      </c>
      <c r="F1284" s="1" t="s">
        <v>132</v>
      </c>
      <c r="G1284" s="1" t="s">
        <v>132</v>
      </c>
      <c r="H1284" s="1" t="s">
        <v>132</v>
      </c>
      <c r="I1284" s="1" t="s">
        <v>25582</v>
      </c>
      <c r="J1284" s="1" t="s">
        <v>132</v>
      </c>
      <c r="K1284" s="1" t="s">
        <v>25582</v>
      </c>
      <c r="L1284" s="1" t="s">
        <v>132</v>
      </c>
      <c r="M1284" s="1" t="s">
        <v>25583</v>
      </c>
      <c r="N1284" s="1" t="s">
        <v>132</v>
      </c>
      <c r="O1284" s="1" t="s">
        <v>132</v>
      </c>
      <c r="P1284" s="1" t="s">
        <v>25582</v>
      </c>
      <c r="Q1284" s="1" t="s">
        <v>132</v>
      </c>
      <c r="R1284" s="1" t="s">
        <v>132</v>
      </c>
      <c r="S1284" s="1" t="s">
        <v>132</v>
      </c>
      <c r="T1284" s="1" t="s">
        <v>132</v>
      </c>
      <c r="U1284" s="1" t="s">
        <v>132</v>
      </c>
      <c r="V1284" s="1" t="s">
        <v>132</v>
      </c>
      <c r="W1284" s="1" t="s">
        <v>132</v>
      </c>
      <c r="X1284" s="1" t="s">
        <v>132</v>
      </c>
      <c r="Y1284" s="1" t="s">
        <v>132</v>
      </c>
      <c r="Z1284" s="1" t="s">
        <v>132</v>
      </c>
      <c r="AA1284" s="1" t="s">
        <v>132</v>
      </c>
      <c r="AB1284" s="1" t="s">
        <v>132</v>
      </c>
      <c r="AC1284" s="1" t="s">
        <v>25584</v>
      </c>
      <c r="AD1284" s="1" t="s">
        <v>132</v>
      </c>
      <c r="AE1284" s="1" t="s">
        <v>132</v>
      </c>
      <c r="AF1284" s="1" t="s">
        <v>25582</v>
      </c>
      <c r="AG1284" s="1" t="s">
        <v>132</v>
      </c>
      <c r="AH1284" s="1" t="s">
        <v>132</v>
      </c>
      <c r="AI1284" s="1" t="s">
        <v>132</v>
      </c>
      <c r="AJ1284" s="1" t="s">
        <v>132</v>
      </c>
      <c r="AK1284" s="1" t="s">
        <v>132</v>
      </c>
      <c r="AL1284" s="1" t="s">
        <v>132</v>
      </c>
      <c r="AM1284" s="1" t="s">
        <v>132</v>
      </c>
      <c r="AN1284" s="1" t="s">
        <v>132</v>
      </c>
    </row>
    <row r="1285" ht="15.75" customHeight="1">
      <c r="A1285" s="1" t="s">
        <v>127</v>
      </c>
      <c r="B1285" s="1" t="s">
        <v>25585</v>
      </c>
      <c r="C1285" s="1" t="s">
        <v>25586</v>
      </c>
      <c r="D1285" s="8" t="s">
        <v>25587</v>
      </c>
      <c r="E1285" s="1" t="s">
        <v>25588</v>
      </c>
      <c r="F1285" s="1" t="s">
        <v>132</v>
      </c>
      <c r="G1285" s="1" t="s">
        <v>25589</v>
      </c>
      <c r="H1285" s="1" t="s">
        <v>25590</v>
      </c>
      <c r="I1285" s="1" t="s">
        <v>25591</v>
      </c>
      <c r="J1285" s="1" t="s">
        <v>25592</v>
      </c>
      <c r="K1285" s="1" t="s">
        <v>25593</v>
      </c>
      <c r="L1285" s="1" t="s">
        <v>25594</v>
      </c>
      <c r="M1285" s="1" t="s">
        <v>25595</v>
      </c>
      <c r="N1285" s="1" t="s">
        <v>132</v>
      </c>
      <c r="O1285" s="1" t="s">
        <v>25596</v>
      </c>
      <c r="P1285" s="1" t="s">
        <v>25597</v>
      </c>
      <c r="Q1285" s="1" t="s">
        <v>132</v>
      </c>
      <c r="R1285" s="1" t="s">
        <v>25598</v>
      </c>
      <c r="S1285" s="1" t="s">
        <v>25599</v>
      </c>
      <c r="T1285" s="8" t="s">
        <v>25600</v>
      </c>
      <c r="U1285" s="1" t="s">
        <v>25601</v>
      </c>
      <c r="V1285" s="1" t="s">
        <v>25602</v>
      </c>
      <c r="W1285" s="1" t="s">
        <v>25603</v>
      </c>
      <c r="X1285" s="1" t="s">
        <v>25604</v>
      </c>
      <c r="Y1285" s="1" t="s">
        <v>25605</v>
      </c>
      <c r="Z1285" s="1" t="s">
        <v>25606</v>
      </c>
      <c r="AA1285" s="1" t="s">
        <v>25607</v>
      </c>
      <c r="AB1285" s="1" t="s">
        <v>25608</v>
      </c>
      <c r="AC1285" s="1" t="s">
        <v>25609</v>
      </c>
      <c r="AD1285" s="1" t="s">
        <v>25610</v>
      </c>
      <c r="AE1285" s="1" t="s">
        <v>25611</v>
      </c>
      <c r="AF1285" s="1" t="s">
        <v>25612</v>
      </c>
      <c r="AG1285" s="1" t="s">
        <v>25613</v>
      </c>
      <c r="AH1285" s="1" t="s">
        <v>25614</v>
      </c>
      <c r="AI1285" s="1" t="s">
        <v>25615</v>
      </c>
      <c r="AJ1285" s="1" t="s">
        <v>132</v>
      </c>
      <c r="AK1285" s="1" t="s">
        <v>25616</v>
      </c>
      <c r="AL1285" s="1" t="s">
        <v>25617</v>
      </c>
      <c r="AM1285" s="1" t="s">
        <v>25618</v>
      </c>
      <c r="AN1285" s="1" t="s">
        <v>25618</v>
      </c>
    </row>
    <row r="1286" ht="15.75" customHeight="1">
      <c r="A1286" s="1" t="s">
        <v>38</v>
      </c>
      <c r="B1286" s="1" t="s">
        <v>25619</v>
      </c>
      <c r="C1286" s="1" t="s">
        <v>25620</v>
      </c>
      <c r="D1286" s="1" t="s">
        <v>132</v>
      </c>
      <c r="E1286" s="1" t="s">
        <v>25621</v>
      </c>
      <c r="F1286" s="1" t="s">
        <v>132</v>
      </c>
      <c r="G1286" s="1" t="s">
        <v>132</v>
      </c>
      <c r="H1286" s="1" t="s">
        <v>132</v>
      </c>
      <c r="I1286" s="1" t="s">
        <v>25622</v>
      </c>
      <c r="J1286" s="1" t="s">
        <v>132</v>
      </c>
      <c r="K1286" s="1" t="s">
        <v>25623</v>
      </c>
      <c r="L1286" s="1" t="s">
        <v>132</v>
      </c>
      <c r="M1286" s="1" t="s">
        <v>25624</v>
      </c>
      <c r="N1286" s="1" t="s">
        <v>25625</v>
      </c>
      <c r="O1286" s="1" t="s">
        <v>132</v>
      </c>
      <c r="P1286" s="1" t="s">
        <v>25626</v>
      </c>
      <c r="Q1286" s="1" t="s">
        <v>132</v>
      </c>
      <c r="R1286" s="1" t="s">
        <v>132</v>
      </c>
      <c r="S1286" s="1" t="s">
        <v>25627</v>
      </c>
      <c r="T1286" s="1" t="s">
        <v>132</v>
      </c>
      <c r="U1286" s="1" t="s">
        <v>132</v>
      </c>
      <c r="V1286" s="1" t="s">
        <v>132</v>
      </c>
      <c r="W1286" s="1" t="s">
        <v>132</v>
      </c>
      <c r="X1286" s="1" t="s">
        <v>25628</v>
      </c>
      <c r="Y1286" s="1" t="s">
        <v>132</v>
      </c>
      <c r="Z1286" s="1" t="s">
        <v>25629</v>
      </c>
      <c r="AA1286" s="1" t="s">
        <v>132</v>
      </c>
      <c r="AB1286" s="1" t="s">
        <v>132</v>
      </c>
      <c r="AC1286" s="1" t="s">
        <v>132</v>
      </c>
      <c r="AD1286" s="1" t="s">
        <v>132</v>
      </c>
      <c r="AE1286" s="1" t="s">
        <v>132</v>
      </c>
      <c r="AF1286" s="1" t="s">
        <v>132</v>
      </c>
      <c r="AG1286" s="1" t="s">
        <v>132</v>
      </c>
      <c r="AH1286" s="1" t="s">
        <v>132</v>
      </c>
      <c r="AI1286" s="1" t="s">
        <v>132</v>
      </c>
      <c r="AJ1286" s="1" t="s">
        <v>132</v>
      </c>
      <c r="AK1286" s="1" t="s">
        <v>132</v>
      </c>
      <c r="AL1286" s="1" t="s">
        <v>132</v>
      </c>
      <c r="AM1286" s="1" t="s">
        <v>132</v>
      </c>
      <c r="AN1286" s="1" t="s">
        <v>132</v>
      </c>
    </row>
    <row r="1287" ht="15.75" customHeight="1">
      <c r="A1287" s="1" t="s">
        <v>127</v>
      </c>
      <c r="B1287" s="1" t="s">
        <v>25630</v>
      </c>
      <c r="C1287" s="1" t="s">
        <v>25631</v>
      </c>
      <c r="D1287" s="8" t="s">
        <v>25632</v>
      </c>
      <c r="E1287" s="1" t="s">
        <v>25633</v>
      </c>
      <c r="F1287" s="1" t="s">
        <v>132</v>
      </c>
      <c r="G1287" s="1" t="s">
        <v>25634</v>
      </c>
      <c r="H1287" s="1" t="s">
        <v>25635</v>
      </c>
      <c r="I1287" s="1" t="s">
        <v>25636</v>
      </c>
      <c r="J1287" s="1" t="s">
        <v>25637</v>
      </c>
      <c r="K1287" s="1" t="s">
        <v>25638</v>
      </c>
      <c r="L1287" s="1" t="s">
        <v>25639</v>
      </c>
      <c r="M1287" s="1" t="s">
        <v>25640</v>
      </c>
      <c r="N1287" s="1" t="s">
        <v>132</v>
      </c>
      <c r="O1287" s="1" t="s">
        <v>25641</v>
      </c>
      <c r="P1287" s="1" t="s">
        <v>25631</v>
      </c>
      <c r="Q1287" s="1" t="s">
        <v>132</v>
      </c>
      <c r="R1287" s="1" t="s">
        <v>23291</v>
      </c>
      <c r="S1287" s="1" t="s">
        <v>20540</v>
      </c>
      <c r="T1287" s="8" t="s">
        <v>25642</v>
      </c>
      <c r="U1287" s="1" t="s">
        <v>25643</v>
      </c>
      <c r="V1287" s="1" t="s">
        <v>25644</v>
      </c>
      <c r="W1287" s="1" t="s">
        <v>23291</v>
      </c>
      <c r="X1287" s="1" t="s">
        <v>25645</v>
      </c>
      <c r="Y1287" s="1" t="s">
        <v>25646</v>
      </c>
      <c r="Z1287" s="1" t="s">
        <v>20546</v>
      </c>
      <c r="AA1287" s="1" t="s">
        <v>25647</v>
      </c>
      <c r="AB1287" s="1" t="s">
        <v>25648</v>
      </c>
      <c r="AC1287" s="1" t="s">
        <v>25649</v>
      </c>
      <c r="AD1287" s="1" t="s">
        <v>25634</v>
      </c>
      <c r="AE1287" s="1" t="s">
        <v>25650</v>
      </c>
      <c r="AF1287" s="1" t="s">
        <v>25651</v>
      </c>
      <c r="AG1287" s="1" t="s">
        <v>25652</v>
      </c>
      <c r="AH1287" s="1" t="s">
        <v>25653</v>
      </c>
      <c r="AI1287" s="1" t="s">
        <v>25654</v>
      </c>
      <c r="AJ1287" s="1" t="s">
        <v>132</v>
      </c>
      <c r="AK1287" s="1" t="s">
        <v>25655</v>
      </c>
      <c r="AL1287" s="1" t="s">
        <v>25656</v>
      </c>
      <c r="AM1287" s="1" t="s">
        <v>132</v>
      </c>
      <c r="AN1287" s="1" t="s">
        <v>132</v>
      </c>
    </row>
    <row r="1288" ht="15.75" customHeight="1">
      <c r="A1288" s="1" t="s">
        <v>38</v>
      </c>
      <c r="B1288" s="1" t="s">
        <v>25657</v>
      </c>
      <c r="C1288" s="1" t="s">
        <v>25658</v>
      </c>
      <c r="D1288" s="1" t="s">
        <v>132</v>
      </c>
      <c r="E1288" s="1" t="s">
        <v>25659</v>
      </c>
      <c r="F1288" s="1" t="s">
        <v>25660</v>
      </c>
      <c r="G1288" s="1" t="s">
        <v>132</v>
      </c>
      <c r="H1288" s="1" t="s">
        <v>132</v>
      </c>
      <c r="I1288" s="1" t="s">
        <v>25661</v>
      </c>
      <c r="J1288" s="1" t="s">
        <v>132</v>
      </c>
      <c r="K1288" s="1" t="s">
        <v>25662</v>
      </c>
      <c r="L1288" s="1" t="s">
        <v>132</v>
      </c>
      <c r="M1288" s="1" t="s">
        <v>25663</v>
      </c>
      <c r="N1288" s="1" t="s">
        <v>25664</v>
      </c>
      <c r="O1288" s="1" t="s">
        <v>132</v>
      </c>
      <c r="P1288" s="1" t="s">
        <v>25665</v>
      </c>
      <c r="Q1288" s="1" t="s">
        <v>132</v>
      </c>
      <c r="R1288" s="1" t="s">
        <v>132</v>
      </c>
      <c r="S1288" s="1" t="s">
        <v>25666</v>
      </c>
      <c r="T1288" s="1" t="s">
        <v>132</v>
      </c>
      <c r="U1288" s="1" t="s">
        <v>132</v>
      </c>
      <c r="V1288" s="1" t="s">
        <v>132</v>
      </c>
      <c r="W1288" s="1" t="s">
        <v>132</v>
      </c>
      <c r="X1288" s="1" t="s">
        <v>25667</v>
      </c>
      <c r="Y1288" s="1" t="s">
        <v>132</v>
      </c>
      <c r="Z1288" s="1" t="s">
        <v>25668</v>
      </c>
      <c r="AA1288" s="1" t="s">
        <v>25669</v>
      </c>
      <c r="AB1288" s="1" t="s">
        <v>132</v>
      </c>
      <c r="AC1288" s="1" t="s">
        <v>25670</v>
      </c>
      <c r="AD1288" s="1" t="s">
        <v>132</v>
      </c>
      <c r="AE1288" s="1" t="s">
        <v>132</v>
      </c>
      <c r="AF1288" s="1" t="s">
        <v>25671</v>
      </c>
      <c r="AG1288" s="1" t="s">
        <v>132</v>
      </c>
      <c r="AH1288" s="1" t="s">
        <v>132</v>
      </c>
      <c r="AI1288" s="1" t="s">
        <v>132</v>
      </c>
      <c r="AJ1288" s="1" t="s">
        <v>132</v>
      </c>
      <c r="AK1288" s="1" t="s">
        <v>132</v>
      </c>
      <c r="AL1288" s="1" t="s">
        <v>132</v>
      </c>
      <c r="AM1288" s="1" t="s">
        <v>132</v>
      </c>
      <c r="AN1288" s="1" t="s">
        <v>132</v>
      </c>
    </row>
    <row r="1289" ht="15.75" customHeight="1">
      <c r="A1289" s="1" t="s">
        <v>38</v>
      </c>
      <c r="B1289" s="1" t="s">
        <v>25672</v>
      </c>
      <c r="C1289" s="1" t="s">
        <v>25673</v>
      </c>
      <c r="D1289" s="8" t="s">
        <v>25674</v>
      </c>
      <c r="E1289" s="1" t="s">
        <v>25675</v>
      </c>
      <c r="F1289" s="1" t="s">
        <v>25676</v>
      </c>
      <c r="G1289" s="1" t="s">
        <v>132</v>
      </c>
      <c r="H1289" s="1" t="s">
        <v>132</v>
      </c>
      <c r="I1289" s="1" t="s">
        <v>25677</v>
      </c>
      <c r="J1289" s="1" t="s">
        <v>132</v>
      </c>
      <c r="K1289" s="1" t="s">
        <v>25678</v>
      </c>
      <c r="L1289" s="1" t="s">
        <v>132</v>
      </c>
      <c r="M1289" s="1" t="s">
        <v>25679</v>
      </c>
      <c r="N1289" s="1" t="s">
        <v>25680</v>
      </c>
      <c r="O1289" s="1" t="s">
        <v>132</v>
      </c>
      <c r="P1289" s="1" t="s">
        <v>25681</v>
      </c>
      <c r="Q1289" s="1" t="s">
        <v>24680</v>
      </c>
      <c r="R1289" s="1" t="s">
        <v>132</v>
      </c>
      <c r="S1289" s="1" t="s">
        <v>25682</v>
      </c>
      <c r="T1289" s="1" t="s">
        <v>132</v>
      </c>
      <c r="U1289" s="1" t="s">
        <v>24682</v>
      </c>
      <c r="V1289" s="1" t="s">
        <v>24683</v>
      </c>
      <c r="W1289" s="1" t="s">
        <v>132</v>
      </c>
      <c r="X1289" s="1" t="s">
        <v>25683</v>
      </c>
      <c r="Y1289" s="1" t="s">
        <v>132</v>
      </c>
      <c r="Z1289" s="1" t="s">
        <v>25684</v>
      </c>
      <c r="AA1289" s="1" t="s">
        <v>25685</v>
      </c>
      <c r="AB1289" s="1" t="s">
        <v>132</v>
      </c>
      <c r="AC1289" s="1" t="s">
        <v>25686</v>
      </c>
      <c r="AD1289" s="1" t="s">
        <v>132</v>
      </c>
      <c r="AE1289" s="1" t="s">
        <v>132</v>
      </c>
      <c r="AF1289" s="1" t="s">
        <v>25687</v>
      </c>
      <c r="AG1289" s="1" t="s">
        <v>25688</v>
      </c>
      <c r="AH1289" s="1" t="s">
        <v>132</v>
      </c>
      <c r="AI1289" s="1" t="s">
        <v>132</v>
      </c>
      <c r="AJ1289" s="1" t="s">
        <v>25689</v>
      </c>
      <c r="AK1289" s="1" t="s">
        <v>24692</v>
      </c>
      <c r="AL1289" s="1" t="s">
        <v>132</v>
      </c>
      <c r="AM1289" s="1" t="s">
        <v>25690</v>
      </c>
      <c r="AN1289" s="1" t="s">
        <v>25690</v>
      </c>
    </row>
    <row r="1290" ht="15.75" customHeight="1">
      <c r="A1290" s="1" t="s">
        <v>38</v>
      </c>
      <c r="B1290" s="1" t="s">
        <v>25691</v>
      </c>
      <c r="C1290" s="1" t="s">
        <v>25692</v>
      </c>
      <c r="D1290" s="8" t="s">
        <v>25693</v>
      </c>
      <c r="E1290" s="1" t="s">
        <v>25694</v>
      </c>
      <c r="F1290" s="1" t="s">
        <v>25695</v>
      </c>
      <c r="G1290" s="1" t="s">
        <v>132</v>
      </c>
      <c r="H1290" s="1" t="s">
        <v>132</v>
      </c>
      <c r="I1290" s="1" t="s">
        <v>25696</v>
      </c>
      <c r="J1290" s="1" t="s">
        <v>132</v>
      </c>
      <c r="K1290" s="1" t="s">
        <v>25697</v>
      </c>
      <c r="L1290" s="1" t="s">
        <v>132</v>
      </c>
      <c r="M1290" s="1" t="s">
        <v>25698</v>
      </c>
      <c r="N1290" s="1" t="s">
        <v>25699</v>
      </c>
      <c r="O1290" s="1" t="s">
        <v>132</v>
      </c>
      <c r="P1290" s="1" t="s">
        <v>25700</v>
      </c>
      <c r="Q1290" s="1" t="s">
        <v>132</v>
      </c>
      <c r="R1290" s="1" t="s">
        <v>132</v>
      </c>
      <c r="S1290" s="1" t="s">
        <v>25701</v>
      </c>
      <c r="T1290" s="1" t="s">
        <v>132</v>
      </c>
      <c r="U1290" s="1" t="s">
        <v>25702</v>
      </c>
      <c r="V1290" s="1" t="s">
        <v>25703</v>
      </c>
      <c r="W1290" s="1" t="s">
        <v>132</v>
      </c>
      <c r="X1290" s="1" t="s">
        <v>25704</v>
      </c>
      <c r="Y1290" s="1" t="s">
        <v>132</v>
      </c>
      <c r="Z1290" s="1" t="s">
        <v>25705</v>
      </c>
      <c r="AA1290" s="1" t="s">
        <v>25706</v>
      </c>
      <c r="AB1290" s="1" t="s">
        <v>132</v>
      </c>
      <c r="AC1290" s="1" t="s">
        <v>25707</v>
      </c>
      <c r="AD1290" s="1" t="s">
        <v>132</v>
      </c>
      <c r="AE1290" s="1" t="s">
        <v>132</v>
      </c>
      <c r="AF1290" s="1" t="s">
        <v>25708</v>
      </c>
      <c r="AG1290" s="1" t="s">
        <v>25709</v>
      </c>
      <c r="AH1290" s="1" t="s">
        <v>132</v>
      </c>
      <c r="AI1290" s="1" t="s">
        <v>132</v>
      </c>
      <c r="AJ1290" s="1" t="s">
        <v>25710</v>
      </c>
      <c r="AK1290" s="1" t="s">
        <v>132</v>
      </c>
      <c r="AL1290" s="1" t="s">
        <v>132</v>
      </c>
      <c r="AM1290" s="1" t="s">
        <v>25711</v>
      </c>
      <c r="AN1290" s="1" t="s">
        <v>25711</v>
      </c>
    </row>
    <row r="1291" ht="15.75" customHeight="1">
      <c r="A1291" s="1" t="s">
        <v>38</v>
      </c>
      <c r="B1291" s="1" t="s">
        <v>25712</v>
      </c>
      <c r="C1291" s="1" t="s">
        <v>25713</v>
      </c>
      <c r="D1291" s="8" t="s">
        <v>25714</v>
      </c>
      <c r="E1291" s="1" t="s">
        <v>25715</v>
      </c>
      <c r="F1291" s="1" t="s">
        <v>25716</v>
      </c>
      <c r="G1291" s="1" t="s">
        <v>132</v>
      </c>
      <c r="H1291" s="1" t="s">
        <v>132</v>
      </c>
      <c r="I1291" s="1" t="s">
        <v>25717</v>
      </c>
      <c r="J1291" s="1" t="s">
        <v>132</v>
      </c>
      <c r="K1291" s="1" t="s">
        <v>25718</v>
      </c>
      <c r="L1291" s="1" t="s">
        <v>132</v>
      </c>
      <c r="M1291" s="1" t="s">
        <v>25719</v>
      </c>
      <c r="N1291" s="1" t="s">
        <v>25718</v>
      </c>
      <c r="O1291" s="1" t="s">
        <v>132</v>
      </c>
      <c r="P1291" s="1" t="s">
        <v>25720</v>
      </c>
      <c r="Q1291" s="1" t="s">
        <v>25721</v>
      </c>
      <c r="R1291" s="1" t="s">
        <v>132</v>
      </c>
      <c r="S1291" s="1" t="s">
        <v>25722</v>
      </c>
      <c r="T1291" s="1" t="s">
        <v>132</v>
      </c>
      <c r="U1291" s="1" t="s">
        <v>25723</v>
      </c>
      <c r="V1291" s="1" t="s">
        <v>25724</v>
      </c>
      <c r="W1291" s="1" t="s">
        <v>132</v>
      </c>
      <c r="X1291" s="1" t="s">
        <v>25725</v>
      </c>
      <c r="Y1291" s="1" t="s">
        <v>132</v>
      </c>
      <c r="Z1291" s="1" t="s">
        <v>25726</v>
      </c>
      <c r="AA1291" s="1" t="s">
        <v>25718</v>
      </c>
      <c r="AB1291" s="1" t="s">
        <v>132</v>
      </c>
      <c r="AC1291" s="1" t="s">
        <v>25727</v>
      </c>
      <c r="AD1291" s="1" t="s">
        <v>25728</v>
      </c>
      <c r="AE1291" s="1" t="s">
        <v>132</v>
      </c>
      <c r="AF1291" s="1" t="s">
        <v>25729</v>
      </c>
      <c r="AG1291" s="1" t="s">
        <v>25730</v>
      </c>
      <c r="AH1291" s="1" t="s">
        <v>132</v>
      </c>
      <c r="AI1291" s="1" t="s">
        <v>132</v>
      </c>
      <c r="AJ1291" s="1" t="s">
        <v>25731</v>
      </c>
      <c r="AK1291" s="1" t="s">
        <v>25732</v>
      </c>
      <c r="AL1291" s="1" t="s">
        <v>132</v>
      </c>
      <c r="AM1291" s="1" t="s">
        <v>25733</v>
      </c>
      <c r="AN1291" s="1" t="s">
        <v>25733</v>
      </c>
    </row>
    <row r="1292" ht="15.75" customHeight="1">
      <c r="A1292" s="1" t="s">
        <v>38</v>
      </c>
      <c r="B1292" s="1" t="s">
        <v>25734</v>
      </c>
      <c r="C1292" s="1" t="s">
        <v>25735</v>
      </c>
      <c r="D1292" s="1" t="s">
        <v>132</v>
      </c>
      <c r="E1292" s="1" t="s">
        <v>25736</v>
      </c>
      <c r="F1292" s="1" t="s">
        <v>132</v>
      </c>
      <c r="G1292" s="1" t="s">
        <v>132</v>
      </c>
      <c r="H1292" s="1" t="s">
        <v>132</v>
      </c>
      <c r="I1292" s="1" t="s">
        <v>25737</v>
      </c>
      <c r="J1292" s="1" t="s">
        <v>132</v>
      </c>
      <c r="K1292" s="1" t="s">
        <v>25738</v>
      </c>
      <c r="L1292" s="1" t="s">
        <v>132</v>
      </c>
      <c r="M1292" s="1" t="s">
        <v>132</v>
      </c>
      <c r="N1292" s="1" t="s">
        <v>25739</v>
      </c>
      <c r="O1292" s="1" t="s">
        <v>132</v>
      </c>
      <c r="P1292" s="1" t="s">
        <v>25740</v>
      </c>
      <c r="Q1292" s="1" t="s">
        <v>132</v>
      </c>
      <c r="R1292" s="1" t="s">
        <v>132</v>
      </c>
      <c r="S1292" s="1" t="s">
        <v>25741</v>
      </c>
      <c r="T1292" s="1" t="s">
        <v>132</v>
      </c>
      <c r="U1292" s="1" t="s">
        <v>25742</v>
      </c>
      <c r="V1292" s="1" t="s">
        <v>132</v>
      </c>
      <c r="W1292" s="1" t="s">
        <v>132</v>
      </c>
      <c r="X1292" s="1" t="s">
        <v>25743</v>
      </c>
      <c r="Y1292" s="1" t="s">
        <v>132</v>
      </c>
      <c r="Z1292" s="1" t="s">
        <v>25744</v>
      </c>
      <c r="AA1292" s="1" t="s">
        <v>132</v>
      </c>
      <c r="AB1292" s="1" t="s">
        <v>132</v>
      </c>
      <c r="AC1292" s="1" t="s">
        <v>132</v>
      </c>
      <c r="AD1292" s="1" t="s">
        <v>132</v>
      </c>
      <c r="AE1292" s="1" t="s">
        <v>132</v>
      </c>
      <c r="AF1292" s="1" t="s">
        <v>132</v>
      </c>
      <c r="AG1292" s="1" t="s">
        <v>132</v>
      </c>
      <c r="AH1292" s="1" t="s">
        <v>132</v>
      </c>
      <c r="AI1292" s="1" t="s">
        <v>132</v>
      </c>
      <c r="AJ1292" s="1" t="s">
        <v>132</v>
      </c>
      <c r="AK1292" s="1" t="s">
        <v>132</v>
      </c>
      <c r="AL1292" s="1" t="s">
        <v>132</v>
      </c>
      <c r="AM1292" s="1" t="s">
        <v>132</v>
      </c>
      <c r="AN1292" s="1" t="s">
        <v>132</v>
      </c>
    </row>
    <row r="1293" ht="15.75" customHeight="1">
      <c r="A1293" s="1" t="s">
        <v>127</v>
      </c>
      <c r="B1293" s="1" t="s">
        <v>25745</v>
      </c>
      <c r="C1293" s="1" t="s">
        <v>25746</v>
      </c>
      <c r="D1293" s="8" t="s">
        <v>25747</v>
      </c>
      <c r="E1293" s="1" t="s">
        <v>25748</v>
      </c>
      <c r="F1293" s="1" t="s">
        <v>132</v>
      </c>
      <c r="G1293" s="1" t="s">
        <v>25749</v>
      </c>
      <c r="H1293" s="1" t="s">
        <v>25750</v>
      </c>
      <c r="I1293" s="1" t="s">
        <v>25751</v>
      </c>
      <c r="J1293" s="1" t="s">
        <v>25752</v>
      </c>
      <c r="K1293" s="1" t="s">
        <v>25753</v>
      </c>
      <c r="L1293" s="1" t="s">
        <v>17800</v>
      </c>
      <c r="M1293" s="1" t="s">
        <v>6991</v>
      </c>
      <c r="N1293" s="1" t="s">
        <v>132</v>
      </c>
      <c r="O1293" s="1" t="s">
        <v>25754</v>
      </c>
      <c r="P1293" s="1" t="s">
        <v>25755</v>
      </c>
      <c r="Q1293" s="1" t="s">
        <v>132</v>
      </c>
      <c r="R1293" s="1" t="s">
        <v>25746</v>
      </c>
      <c r="S1293" s="1" t="s">
        <v>25756</v>
      </c>
      <c r="T1293" s="8" t="s">
        <v>25757</v>
      </c>
      <c r="U1293" s="1" t="s">
        <v>16447</v>
      </c>
      <c r="V1293" s="1" t="s">
        <v>25758</v>
      </c>
      <c r="W1293" s="1" t="s">
        <v>25759</v>
      </c>
      <c r="X1293" s="1" t="s">
        <v>25760</v>
      </c>
      <c r="Y1293" s="1" t="s">
        <v>25761</v>
      </c>
      <c r="Z1293" s="1" t="s">
        <v>25762</v>
      </c>
      <c r="AA1293" s="1" t="s">
        <v>25753</v>
      </c>
      <c r="AB1293" s="1" t="s">
        <v>25763</v>
      </c>
      <c r="AC1293" s="1" t="s">
        <v>25764</v>
      </c>
      <c r="AD1293" s="1" t="s">
        <v>25765</v>
      </c>
      <c r="AE1293" s="1" t="s">
        <v>25766</v>
      </c>
      <c r="AF1293" s="1" t="s">
        <v>25767</v>
      </c>
      <c r="AG1293" s="1" t="s">
        <v>25768</v>
      </c>
      <c r="AH1293" s="1" t="s">
        <v>25769</v>
      </c>
      <c r="AI1293" s="1" t="s">
        <v>25770</v>
      </c>
      <c r="AJ1293" s="1" t="s">
        <v>132</v>
      </c>
      <c r="AK1293" s="1" t="s">
        <v>25771</v>
      </c>
      <c r="AL1293" s="1" t="s">
        <v>25772</v>
      </c>
      <c r="AM1293" s="1" t="s">
        <v>25773</v>
      </c>
      <c r="AN1293" s="1" t="s">
        <v>25773</v>
      </c>
    </row>
    <row r="1294" ht="15.75" customHeight="1">
      <c r="A1294" s="1" t="s">
        <v>127</v>
      </c>
      <c r="B1294" s="1" t="s">
        <v>25774</v>
      </c>
      <c r="C1294" s="1" t="s">
        <v>25775</v>
      </c>
      <c r="D1294" s="8" t="s">
        <v>25776</v>
      </c>
      <c r="E1294" s="1" t="s">
        <v>25777</v>
      </c>
      <c r="F1294" s="1" t="s">
        <v>132</v>
      </c>
      <c r="G1294" s="1" t="s">
        <v>25778</v>
      </c>
      <c r="H1294" s="1" t="s">
        <v>25779</v>
      </c>
      <c r="I1294" s="1" t="s">
        <v>25780</v>
      </c>
      <c r="J1294" s="1" t="s">
        <v>25781</v>
      </c>
      <c r="K1294" s="1" t="s">
        <v>25782</v>
      </c>
      <c r="L1294" s="1" t="s">
        <v>25783</v>
      </c>
      <c r="M1294" s="1" t="s">
        <v>25784</v>
      </c>
      <c r="N1294" s="1" t="s">
        <v>132</v>
      </c>
      <c r="O1294" s="1" t="s">
        <v>25785</v>
      </c>
      <c r="P1294" s="1" t="s">
        <v>25786</v>
      </c>
      <c r="Q1294" s="1" t="s">
        <v>132</v>
      </c>
      <c r="R1294" s="1" t="s">
        <v>25787</v>
      </c>
      <c r="S1294" s="1" t="s">
        <v>25788</v>
      </c>
      <c r="T1294" s="8" t="s">
        <v>25789</v>
      </c>
      <c r="U1294" s="1" t="s">
        <v>25790</v>
      </c>
      <c r="V1294" s="1" t="s">
        <v>25791</v>
      </c>
      <c r="W1294" s="1" t="s">
        <v>25792</v>
      </c>
      <c r="X1294" s="1" t="s">
        <v>25793</v>
      </c>
      <c r="Y1294" s="1" t="s">
        <v>25794</v>
      </c>
      <c r="Z1294" s="1" t="s">
        <v>25795</v>
      </c>
      <c r="AA1294" s="1" t="s">
        <v>25796</v>
      </c>
      <c r="AB1294" s="1" t="s">
        <v>25797</v>
      </c>
      <c r="AC1294" s="1" t="s">
        <v>25798</v>
      </c>
      <c r="AD1294" s="1" t="s">
        <v>25799</v>
      </c>
      <c r="AE1294" s="1" t="s">
        <v>25800</v>
      </c>
      <c r="AF1294" s="1" t="s">
        <v>25801</v>
      </c>
      <c r="AG1294" s="1" t="s">
        <v>25802</v>
      </c>
      <c r="AH1294" s="1" t="s">
        <v>25803</v>
      </c>
      <c r="AI1294" s="1" t="s">
        <v>25804</v>
      </c>
      <c r="AJ1294" s="1" t="s">
        <v>132</v>
      </c>
      <c r="AK1294" s="1" t="s">
        <v>25805</v>
      </c>
      <c r="AL1294" s="1" t="s">
        <v>25806</v>
      </c>
      <c r="AM1294" s="1" t="s">
        <v>132</v>
      </c>
      <c r="AN1294" s="1" t="s">
        <v>132</v>
      </c>
    </row>
    <row r="1295" ht="15.75" customHeight="1">
      <c r="A1295" s="1" t="s">
        <v>38</v>
      </c>
      <c r="B1295" s="1" t="s">
        <v>25807</v>
      </c>
      <c r="C1295" s="1" t="s">
        <v>25808</v>
      </c>
      <c r="D1295" s="1" t="s">
        <v>132</v>
      </c>
      <c r="E1295" s="1" t="s">
        <v>132</v>
      </c>
      <c r="F1295" s="1" t="s">
        <v>132</v>
      </c>
      <c r="G1295" s="1" t="s">
        <v>132</v>
      </c>
      <c r="H1295" s="1" t="s">
        <v>132</v>
      </c>
      <c r="I1295" s="1" t="s">
        <v>25809</v>
      </c>
      <c r="J1295" s="1" t="s">
        <v>132</v>
      </c>
      <c r="K1295" s="1" t="s">
        <v>25810</v>
      </c>
      <c r="L1295" s="1" t="s">
        <v>132</v>
      </c>
      <c r="M1295" s="1" t="s">
        <v>25811</v>
      </c>
      <c r="N1295" s="1" t="s">
        <v>132</v>
      </c>
      <c r="O1295" s="1" t="s">
        <v>132</v>
      </c>
      <c r="P1295" s="1" t="s">
        <v>25812</v>
      </c>
      <c r="Q1295" s="1" t="s">
        <v>132</v>
      </c>
      <c r="R1295" s="1" t="s">
        <v>132</v>
      </c>
      <c r="S1295" s="1" t="s">
        <v>132</v>
      </c>
      <c r="T1295" s="1" t="s">
        <v>132</v>
      </c>
      <c r="U1295" s="1" t="s">
        <v>132</v>
      </c>
      <c r="V1295" s="1" t="s">
        <v>132</v>
      </c>
      <c r="W1295" s="1" t="s">
        <v>132</v>
      </c>
      <c r="X1295" s="1" t="s">
        <v>132</v>
      </c>
      <c r="Y1295" s="1" t="s">
        <v>132</v>
      </c>
      <c r="Z1295" s="1" t="s">
        <v>132</v>
      </c>
      <c r="AA1295" s="1" t="s">
        <v>132</v>
      </c>
      <c r="AB1295" s="1" t="s">
        <v>132</v>
      </c>
      <c r="AC1295" s="1" t="s">
        <v>25813</v>
      </c>
      <c r="AD1295" s="1" t="s">
        <v>132</v>
      </c>
      <c r="AE1295" s="1" t="s">
        <v>132</v>
      </c>
      <c r="AF1295" s="1" t="s">
        <v>25814</v>
      </c>
      <c r="AG1295" s="1" t="s">
        <v>132</v>
      </c>
      <c r="AH1295" s="1" t="s">
        <v>132</v>
      </c>
      <c r="AI1295" s="1" t="s">
        <v>132</v>
      </c>
      <c r="AJ1295" s="1" t="s">
        <v>132</v>
      </c>
      <c r="AK1295" s="1" t="s">
        <v>132</v>
      </c>
      <c r="AL1295" s="1" t="s">
        <v>132</v>
      </c>
      <c r="AM1295" s="1" t="s">
        <v>132</v>
      </c>
      <c r="AN1295" s="1" t="s">
        <v>132</v>
      </c>
    </row>
    <row r="1296" ht="15.75" customHeight="1">
      <c r="A1296" s="1" t="s">
        <v>38</v>
      </c>
      <c r="B1296" s="1" t="s">
        <v>25815</v>
      </c>
      <c r="C1296" s="1" t="s">
        <v>25816</v>
      </c>
      <c r="D1296" s="8" t="s">
        <v>25817</v>
      </c>
      <c r="E1296" s="1" t="s">
        <v>25818</v>
      </c>
      <c r="F1296" s="1" t="s">
        <v>25819</v>
      </c>
      <c r="G1296" s="1" t="s">
        <v>132</v>
      </c>
      <c r="H1296" s="1" t="s">
        <v>132</v>
      </c>
      <c r="I1296" s="1" t="s">
        <v>25820</v>
      </c>
      <c r="J1296" s="1" t="s">
        <v>132</v>
      </c>
      <c r="K1296" s="1" t="s">
        <v>25821</v>
      </c>
      <c r="L1296" s="1" t="s">
        <v>132</v>
      </c>
      <c r="M1296" s="1" t="s">
        <v>25822</v>
      </c>
      <c r="N1296" s="1" t="s">
        <v>25823</v>
      </c>
      <c r="O1296" s="1" t="s">
        <v>132</v>
      </c>
      <c r="P1296" s="1" t="s">
        <v>25824</v>
      </c>
      <c r="Q1296" s="1" t="s">
        <v>132</v>
      </c>
      <c r="R1296" s="1" t="s">
        <v>132</v>
      </c>
      <c r="S1296" s="1" t="s">
        <v>25825</v>
      </c>
      <c r="T1296" s="1" t="s">
        <v>132</v>
      </c>
      <c r="U1296" s="1" t="s">
        <v>25826</v>
      </c>
      <c r="V1296" s="1" t="s">
        <v>132</v>
      </c>
      <c r="W1296" s="1" t="s">
        <v>132</v>
      </c>
      <c r="X1296" s="1" t="s">
        <v>25827</v>
      </c>
      <c r="Y1296" s="1" t="s">
        <v>132</v>
      </c>
      <c r="Z1296" s="1" t="s">
        <v>25828</v>
      </c>
      <c r="AA1296" s="1" t="s">
        <v>25821</v>
      </c>
      <c r="AB1296" s="1" t="s">
        <v>132</v>
      </c>
      <c r="AC1296" s="1" t="s">
        <v>25829</v>
      </c>
      <c r="AD1296" s="1" t="s">
        <v>132</v>
      </c>
      <c r="AE1296" s="1" t="s">
        <v>132</v>
      </c>
      <c r="AF1296" s="1" t="s">
        <v>25830</v>
      </c>
      <c r="AG1296" s="1" t="s">
        <v>132</v>
      </c>
      <c r="AH1296" s="1" t="s">
        <v>132</v>
      </c>
      <c r="AI1296" s="1" t="s">
        <v>132</v>
      </c>
      <c r="AJ1296" s="1" t="s">
        <v>132</v>
      </c>
      <c r="AK1296" s="1" t="s">
        <v>132</v>
      </c>
      <c r="AL1296" s="1" t="s">
        <v>132</v>
      </c>
      <c r="AM1296" s="1" t="s">
        <v>132</v>
      </c>
      <c r="AN1296" s="1" t="s">
        <v>132</v>
      </c>
    </row>
    <row r="1297" ht="15.75" customHeight="1">
      <c r="A1297" s="1" t="s">
        <v>127</v>
      </c>
      <c r="B1297" s="1" t="s">
        <v>25831</v>
      </c>
      <c r="C1297" s="1" t="s">
        <v>25832</v>
      </c>
      <c r="D1297" s="8" t="s">
        <v>25833</v>
      </c>
      <c r="E1297" s="1" t="s">
        <v>25834</v>
      </c>
      <c r="F1297" s="1" t="s">
        <v>132</v>
      </c>
      <c r="G1297" s="1" t="s">
        <v>25835</v>
      </c>
      <c r="H1297" s="1" t="s">
        <v>25836</v>
      </c>
      <c r="I1297" s="1" t="s">
        <v>25837</v>
      </c>
      <c r="J1297" s="1" t="s">
        <v>25838</v>
      </c>
      <c r="K1297" s="1" t="s">
        <v>25839</v>
      </c>
      <c r="L1297" s="1" t="s">
        <v>25840</v>
      </c>
      <c r="M1297" s="1" t="s">
        <v>25841</v>
      </c>
      <c r="N1297" s="1" t="s">
        <v>132</v>
      </c>
      <c r="O1297" s="1" t="s">
        <v>25842</v>
      </c>
      <c r="P1297" s="1" t="s">
        <v>25843</v>
      </c>
      <c r="Q1297" s="1" t="s">
        <v>132</v>
      </c>
      <c r="R1297" s="1" t="s">
        <v>25844</v>
      </c>
      <c r="S1297" s="1" t="s">
        <v>25845</v>
      </c>
      <c r="T1297" s="8" t="s">
        <v>25846</v>
      </c>
      <c r="U1297" s="1" t="s">
        <v>25847</v>
      </c>
      <c r="V1297" s="1" t="s">
        <v>25848</v>
      </c>
      <c r="W1297" s="1" t="s">
        <v>25844</v>
      </c>
      <c r="X1297" s="1" t="s">
        <v>25849</v>
      </c>
      <c r="Y1297" s="1" t="s">
        <v>25850</v>
      </c>
      <c r="Z1297" s="1" t="s">
        <v>25851</v>
      </c>
      <c r="AA1297" s="1" t="s">
        <v>25852</v>
      </c>
      <c r="AB1297" s="1" t="s">
        <v>25853</v>
      </c>
      <c r="AC1297" s="1" t="s">
        <v>25854</v>
      </c>
      <c r="AD1297" s="1" t="s">
        <v>25855</v>
      </c>
      <c r="AE1297" s="1" t="s">
        <v>25856</v>
      </c>
      <c r="AF1297" s="1" t="s">
        <v>25856</v>
      </c>
      <c r="AG1297" s="1" t="s">
        <v>25837</v>
      </c>
      <c r="AH1297" s="1" t="s">
        <v>25857</v>
      </c>
      <c r="AI1297" s="1" t="s">
        <v>25858</v>
      </c>
      <c r="AJ1297" s="1" t="s">
        <v>132</v>
      </c>
      <c r="AK1297" s="1" t="s">
        <v>25859</v>
      </c>
      <c r="AL1297" s="1" t="s">
        <v>25860</v>
      </c>
      <c r="AM1297" s="1" t="s">
        <v>132</v>
      </c>
      <c r="AN1297" s="1" t="s">
        <v>132</v>
      </c>
    </row>
    <row r="1298" ht="15.75" customHeight="1">
      <c r="A1298" s="1" t="s">
        <v>127</v>
      </c>
      <c r="B1298" s="1" t="s">
        <v>25861</v>
      </c>
      <c r="C1298" s="1" t="s">
        <v>25862</v>
      </c>
      <c r="D1298" s="8" t="s">
        <v>25863</v>
      </c>
      <c r="E1298" s="1" t="s">
        <v>25864</v>
      </c>
      <c r="F1298" s="1" t="s">
        <v>132</v>
      </c>
      <c r="G1298" s="1" t="s">
        <v>25865</v>
      </c>
      <c r="H1298" s="1" t="s">
        <v>25866</v>
      </c>
      <c r="I1298" s="1" t="s">
        <v>25867</v>
      </c>
      <c r="J1298" s="1" t="s">
        <v>25868</v>
      </c>
      <c r="K1298" s="1" t="s">
        <v>25869</v>
      </c>
      <c r="L1298" s="1" t="s">
        <v>25870</v>
      </c>
      <c r="M1298" s="1" t="s">
        <v>25871</v>
      </c>
      <c r="N1298" s="1" t="s">
        <v>132</v>
      </c>
      <c r="O1298" s="1" t="s">
        <v>25872</v>
      </c>
      <c r="P1298" s="1" t="s">
        <v>25873</v>
      </c>
      <c r="Q1298" s="1" t="s">
        <v>132</v>
      </c>
      <c r="R1298" s="1" t="s">
        <v>25874</v>
      </c>
      <c r="S1298" s="1" t="s">
        <v>25875</v>
      </c>
      <c r="T1298" s="8" t="s">
        <v>25876</v>
      </c>
      <c r="U1298" s="1" t="s">
        <v>25877</v>
      </c>
      <c r="V1298" s="1" t="s">
        <v>25878</v>
      </c>
      <c r="W1298" s="1" t="s">
        <v>25879</v>
      </c>
      <c r="X1298" s="1" t="s">
        <v>25880</v>
      </c>
      <c r="Y1298" s="1" t="s">
        <v>25881</v>
      </c>
      <c r="Z1298" s="1" t="s">
        <v>25866</v>
      </c>
      <c r="AA1298" s="1" t="s">
        <v>25882</v>
      </c>
      <c r="AB1298" s="1" t="s">
        <v>25866</v>
      </c>
      <c r="AC1298" s="1" t="s">
        <v>25864</v>
      </c>
      <c r="AD1298" s="1" t="s">
        <v>25883</v>
      </c>
      <c r="AE1298" s="1" t="s">
        <v>25884</v>
      </c>
      <c r="AF1298" s="1" t="s">
        <v>25885</v>
      </c>
      <c r="AG1298" s="1" t="s">
        <v>25866</v>
      </c>
      <c r="AH1298" s="1" t="s">
        <v>25886</v>
      </c>
      <c r="AI1298" s="1" t="s">
        <v>25887</v>
      </c>
      <c r="AJ1298" s="1" t="s">
        <v>132</v>
      </c>
      <c r="AK1298" s="1" t="s">
        <v>25888</v>
      </c>
      <c r="AL1298" s="1" t="s">
        <v>25889</v>
      </c>
      <c r="AM1298" s="1" t="s">
        <v>25890</v>
      </c>
      <c r="AN1298" s="1" t="s">
        <v>25890</v>
      </c>
    </row>
    <row r="1299" ht="15.75" customHeight="1">
      <c r="A1299" s="1" t="s">
        <v>127</v>
      </c>
      <c r="B1299" s="1" t="s">
        <v>25891</v>
      </c>
      <c r="C1299" s="1" t="s">
        <v>25892</v>
      </c>
      <c r="D1299" s="8" t="s">
        <v>25893</v>
      </c>
      <c r="E1299" s="1" t="s">
        <v>25894</v>
      </c>
      <c r="F1299" s="1" t="s">
        <v>132</v>
      </c>
      <c r="G1299" s="1" t="s">
        <v>25895</v>
      </c>
      <c r="H1299" s="1" t="s">
        <v>25896</v>
      </c>
      <c r="I1299" s="1" t="s">
        <v>25897</v>
      </c>
      <c r="J1299" s="1" t="s">
        <v>25898</v>
      </c>
      <c r="K1299" s="1" t="s">
        <v>25899</v>
      </c>
      <c r="L1299" s="1" t="s">
        <v>25900</v>
      </c>
      <c r="M1299" s="1" t="s">
        <v>25901</v>
      </c>
      <c r="N1299" s="1" t="s">
        <v>132</v>
      </c>
      <c r="O1299" s="1" t="s">
        <v>25902</v>
      </c>
      <c r="P1299" s="1" t="s">
        <v>25892</v>
      </c>
      <c r="Q1299" s="1" t="s">
        <v>132</v>
      </c>
      <c r="R1299" s="1" t="s">
        <v>25903</v>
      </c>
      <c r="S1299" s="1" t="s">
        <v>25904</v>
      </c>
      <c r="T1299" s="8" t="s">
        <v>25905</v>
      </c>
      <c r="U1299" s="1" t="s">
        <v>25906</v>
      </c>
      <c r="V1299" s="1" t="s">
        <v>25907</v>
      </c>
      <c r="W1299" s="1" t="s">
        <v>25903</v>
      </c>
      <c r="X1299" s="1" t="s">
        <v>25908</v>
      </c>
      <c r="Y1299" s="1" t="s">
        <v>25909</v>
      </c>
      <c r="Z1299" s="1" t="s">
        <v>25910</v>
      </c>
      <c r="AA1299" s="1" t="s">
        <v>25911</v>
      </c>
      <c r="AB1299" s="1" t="s">
        <v>25912</v>
      </c>
      <c r="AC1299" s="1" t="s">
        <v>25913</v>
      </c>
      <c r="AD1299" s="1" t="s">
        <v>25914</v>
      </c>
      <c r="AE1299" s="1" t="s">
        <v>25915</v>
      </c>
      <c r="AF1299" s="1" t="s">
        <v>25916</v>
      </c>
      <c r="AG1299" s="1" t="s">
        <v>25917</v>
      </c>
      <c r="AH1299" s="1" t="s">
        <v>25918</v>
      </c>
      <c r="AI1299" s="1" t="s">
        <v>25919</v>
      </c>
      <c r="AJ1299" s="1" t="s">
        <v>132</v>
      </c>
      <c r="AK1299" s="1" t="s">
        <v>25920</v>
      </c>
      <c r="AL1299" s="1" t="s">
        <v>25921</v>
      </c>
      <c r="AM1299" s="1" t="s">
        <v>132</v>
      </c>
      <c r="AN1299" s="1" t="s">
        <v>132</v>
      </c>
    </row>
    <row r="1300" ht="15.75" customHeight="1">
      <c r="A1300" s="1" t="s">
        <v>38</v>
      </c>
      <c r="B1300" s="1" t="s">
        <v>25922</v>
      </c>
      <c r="C1300" s="1" t="s">
        <v>25923</v>
      </c>
      <c r="D1300" s="8" t="s">
        <v>25924</v>
      </c>
      <c r="E1300" s="1" t="s">
        <v>25925</v>
      </c>
      <c r="F1300" s="1" t="s">
        <v>25926</v>
      </c>
      <c r="G1300" s="1" t="s">
        <v>132</v>
      </c>
      <c r="H1300" s="1" t="s">
        <v>132</v>
      </c>
      <c r="I1300" s="1" t="s">
        <v>25927</v>
      </c>
      <c r="J1300" s="1" t="s">
        <v>132</v>
      </c>
      <c r="K1300" s="1" t="s">
        <v>25928</v>
      </c>
      <c r="L1300" s="1" t="s">
        <v>132</v>
      </c>
      <c r="M1300" s="1" t="s">
        <v>25929</v>
      </c>
      <c r="N1300" s="1" t="s">
        <v>25930</v>
      </c>
      <c r="O1300" s="1" t="s">
        <v>132</v>
      </c>
      <c r="P1300" s="1" t="s">
        <v>25931</v>
      </c>
      <c r="Q1300" s="1" t="s">
        <v>25932</v>
      </c>
      <c r="R1300" s="1" t="s">
        <v>132</v>
      </c>
      <c r="S1300" s="1" t="s">
        <v>25933</v>
      </c>
      <c r="T1300" s="1" t="s">
        <v>132</v>
      </c>
      <c r="U1300" s="1" t="s">
        <v>25934</v>
      </c>
      <c r="V1300" s="1" t="s">
        <v>25935</v>
      </c>
      <c r="W1300" s="1" t="s">
        <v>132</v>
      </c>
      <c r="X1300" s="1" t="s">
        <v>25936</v>
      </c>
      <c r="Y1300" s="1" t="s">
        <v>132</v>
      </c>
      <c r="Z1300" s="1" t="s">
        <v>25937</v>
      </c>
      <c r="AA1300" s="1" t="s">
        <v>25938</v>
      </c>
      <c r="AB1300" s="1" t="s">
        <v>132</v>
      </c>
      <c r="AC1300" s="1" t="s">
        <v>25939</v>
      </c>
      <c r="AD1300" s="1" t="s">
        <v>132</v>
      </c>
      <c r="AE1300" s="1" t="s">
        <v>132</v>
      </c>
      <c r="AF1300" s="1" t="s">
        <v>25940</v>
      </c>
      <c r="AG1300" s="1" t="s">
        <v>25941</v>
      </c>
      <c r="AH1300" s="1" t="s">
        <v>132</v>
      </c>
      <c r="AI1300" s="1" t="s">
        <v>132</v>
      </c>
      <c r="AJ1300" s="1" t="s">
        <v>25943</v>
      </c>
      <c r="AK1300" s="1" t="s">
        <v>132</v>
      </c>
      <c r="AL1300" s="1" t="s">
        <v>132</v>
      </c>
      <c r="AM1300" s="1" t="s">
        <v>25944</v>
      </c>
      <c r="AN1300" s="1" t="s">
        <v>25944</v>
      </c>
    </row>
    <row r="1301" ht="15.75" customHeight="1">
      <c r="A1301" s="1" t="s">
        <v>127</v>
      </c>
      <c r="B1301" s="1" t="s">
        <v>25945</v>
      </c>
      <c r="C1301" s="1" t="s">
        <v>2236</v>
      </c>
      <c r="D1301" s="8" t="s">
        <v>2237</v>
      </c>
      <c r="E1301" s="1" t="s">
        <v>2238</v>
      </c>
      <c r="F1301" s="1" t="s">
        <v>132</v>
      </c>
      <c r="G1301" s="1" t="s">
        <v>25946</v>
      </c>
      <c r="H1301" s="1" t="s">
        <v>25947</v>
      </c>
      <c r="I1301" s="1" t="s">
        <v>2240</v>
      </c>
      <c r="J1301" s="1" t="s">
        <v>25948</v>
      </c>
      <c r="K1301" s="1" t="s">
        <v>2241</v>
      </c>
      <c r="L1301" s="1" t="s">
        <v>25949</v>
      </c>
      <c r="M1301" s="1" t="s">
        <v>2242</v>
      </c>
      <c r="N1301" s="1" t="s">
        <v>132</v>
      </c>
      <c r="O1301" s="1" t="s">
        <v>25950</v>
      </c>
      <c r="P1301" s="1" t="s">
        <v>2244</v>
      </c>
      <c r="Q1301" s="1" t="s">
        <v>132</v>
      </c>
      <c r="R1301" s="1" t="s">
        <v>2245</v>
      </c>
      <c r="S1301" s="1" t="s">
        <v>2246</v>
      </c>
      <c r="T1301" s="8" t="s">
        <v>25951</v>
      </c>
      <c r="U1301" s="1" t="s">
        <v>2247</v>
      </c>
      <c r="V1301" s="1" t="s">
        <v>2248</v>
      </c>
      <c r="W1301" s="1" t="s">
        <v>2245</v>
      </c>
      <c r="X1301" s="1" t="s">
        <v>2249</v>
      </c>
      <c r="Y1301" s="1" t="s">
        <v>25952</v>
      </c>
      <c r="Z1301" s="1" t="s">
        <v>25953</v>
      </c>
      <c r="AA1301" s="1" t="s">
        <v>11504</v>
      </c>
      <c r="AB1301" s="1" t="s">
        <v>25954</v>
      </c>
      <c r="AC1301" s="1" t="s">
        <v>2238</v>
      </c>
      <c r="AD1301" s="1" t="s">
        <v>25946</v>
      </c>
      <c r="AE1301" s="1" t="s">
        <v>25955</v>
      </c>
      <c r="AF1301" s="1" t="s">
        <v>2236</v>
      </c>
      <c r="AG1301" s="1" t="s">
        <v>25956</v>
      </c>
      <c r="AH1301" s="1" t="s">
        <v>25957</v>
      </c>
      <c r="AI1301" s="1" t="s">
        <v>25958</v>
      </c>
      <c r="AJ1301" s="1" t="s">
        <v>132</v>
      </c>
      <c r="AK1301" s="1" t="s">
        <v>2255</v>
      </c>
      <c r="AL1301" s="1" t="s">
        <v>2256</v>
      </c>
      <c r="AM1301" s="1" t="s">
        <v>25959</v>
      </c>
      <c r="AN1301" s="1" t="s">
        <v>25959</v>
      </c>
    </row>
    <row r="1302" ht="15.75" customHeight="1">
      <c r="A1302" s="1" t="s">
        <v>38</v>
      </c>
      <c r="B1302" s="1" t="s">
        <v>25960</v>
      </c>
      <c r="C1302" s="1" t="s">
        <v>25961</v>
      </c>
      <c r="D1302" s="8" t="s">
        <v>25962</v>
      </c>
      <c r="E1302" s="1" t="s">
        <v>25963</v>
      </c>
      <c r="F1302" s="1" t="s">
        <v>25964</v>
      </c>
      <c r="G1302" s="1" t="s">
        <v>132</v>
      </c>
      <c r="H1302" s="1" t="s">
        <v>132</v>
      </c>
      <c r="I1302" s="1" t="s">
        <v>25965</v>
      </c>
      <c r="J1302" s="1" t="s">
        <v>132</v>
      </c>
      <c r="K1302" s="1" t="s">
        <v>25966</v>
      </c>
      <c r="L1302" s="1" t="s">
        <v>132</v>
      </c>
      <c r="M1302" s="1" t="s">
        <v>18801</v>
      </c>
      <c r="N1302" s="1" t="s">
        <v>25967</v>
      </c>
      <c r="O1302" s="1" t="s">
        <v>132</v>
      </c>
      <c r="P1302" s="1" t="s">
        <v>25968</v>
      </c>
      <c r="Q1302" s="1" t="s">
        <v>25969</v>
      </c>
      <c r="R1302" s="1" t="s">
        <v>132</v>
      </c>
      <c r="S1302" s="1" t="s">
        <v>25970</v>
      </c>
      <c r="T1302" s="1" t="s">
        <v>132</v>
      </c>
      <c r="U1302" s="1" t="s">
        <v>25971</v>
      </c>
      <c r="V1302" s="1" t="s">
        <v>25972</v>
      </c>
      <c r="W1302" s="1" t="s">
        <v>132</v>
      </c>
      <c r="X1302" s="1" t="s">
        <v>25973</v>
      </c>
      <c r="Y1302" s="1" t="s">
        <v>132</v>
      </c>
      <c r="Z1302" s="1" t="s">
        <v>25974</v>
      </c>
      <c r="AA1302" s="1" t="s">
        <v>25967</v>
      </c>
      <c r="AB1302" s="1" t="s">
        <v>132</v>
      </c>
      <c r="AC1302" s="1" t="s">
        <v>25975</v>
      </c>
      <c r="AD1302" s="1" t="s">
        <v>25976</v>
      </c>
      <c r="AE1302" s="1" t="s">
        <v>132</v>
      </c>
      <c r="AF1302" s="1" t="s">
        <v>25977</v>
      </c>
      <c r="AG1302" s="1" t="s">
        <v>25978</v>
      </c>
      <c r="AH1302" s="1" t="s">
        <v>132</v>
      </c>
      <c r="AI1302" s="1" t="s">
        <v>132</v>
      </c>
      <c r="AJ1302" s="1" t="s">
        <v>25979</v>
      </c>
      <c r="AK1302" s="1" t="s">
        <v>25980</v>
      </c>
      <c r="AL1302" s="1" t="s">
        <v>132</v>
      </c>
      <c r="AM1302" s="1" t="s">
        <v>25981</v>
      </c>
      <c r="AN1302" s="1" t="s">
        <v>25981</v>
      </c>
    </row>
    <row r="1303" ht="15.75" customHeight="1">
      <c r="A1303" s="1" t="s">
        <v>127</v>
      </c>
      <c r="B1303" s="1" t="s">
        <v>25982</v>
      </c>
      <c r="C1303" s="1" t="s">
        <v>25983</v>
      </c>
      <c r="D1303" s="8" t="s">
        <v>25984</v>
      </c>
      <c r="E1303" s="1" t="s">
        <v>25985</v>
      </c>
      <c r="F1303" s="1" t="s">
        <v>132</v>
      </c>
      <c r="G1303" s="1" t="s">
        <v>25986</v>
      </c>
      <c r="H1303" s="1" t="s">
        <v>25987</v>
      </c>
      <c r="I1303" s="1" t="s">
        <v>25988</v>
      </c>
      <c r="J1303" s="1" t="s">
        <v>25989</v>
      </c>
      <c r="K1303" s="1" t="s">
        <v>25990</v>
      </c>
      <c r="L1303" s="1" t="s">
        <v>25991</v>
      </c>
      <c r="M1303" s="1" t="s">
        <v>25992</v>
      </c>
      <c r="N1303" s="1" t="s">
        <v>132</v>
      </c>
      <c r="O1303" s="1" t="s">
        <v>25993</v>
      </c>
      <c r="P1303" s="1" t="s">
        <v>25994</v>
      </c>
      <c r="Q1303" s="1" t="s">
        <v>132</v>
      </c>
      <c r="R1303" s="1" t="s">
        <v>25995</v>
      </c>
      <c r="S1303" s="1" t="s">
        <v>25996</v>
      </c>
      <c r="T1303" s="8" t="s">
        <v>25997</v>
      </c>
      <c r="U1303" s="1" t="s">
        <v>25998</v>
      </c>
      <c r="V1303" s="1" t="s">
        <v>25999</v>
      </c>
      <c r="W1303" s="1" t="s">
        <v>26000</v>
      </c>
      <c r="X1303" s="1" t="s">
        <v>26001</v>
      </c>
      <c r="Y1303" s="1" t="s">
        <v>26002</v>
      </c>
      <c r="Z1303" s="1" t="s">
        <v>26003</v>
      </c>
      <c r="AA1303" s="1" t="s">
        <v>26004</v>
      </c>
      <c r="AB1303" s="1" t="s">
        <v>26005</v>
      </c>
      <c r="AC1303" s="1" t="s">
        <v>26006</v>
      </c>
      <c r="AD1303" s="1" t="s">
        <v>26007</v>
      </c>
      <c r="AE1303" s="1" t="s">
        <v>26008</v>
      </c>
      <c r="AF1303" s="1" t="s">
        <v>26008</v>
      </c>
      <c r="AG1303" s="1" t="s">
        <v>26009</v>
      </c>
      <c r="AH1303" s="1" t="s">
        <v>26010</v>
      </c>
      <c r="AI1303" s="1" t="s">
        <v>26011</v>
      </c>
      <c r="AJ1303" s="1" t="s">
        <v>132</v>
      </c>
      <c r="AK1303" s="1" t="s">
        <v>26012</v>
      </c>
      <c r="AL1303" s="1" t="s">
        <v>4617</v>
      </c>
      <c r="AM1303" s="1" t="s">
        <v>26013</v>
      </c>
      <c r="AN1303" s="1" t="s">
        <v>26013</v>
      </c>
    </row>
    <row r="1304" ht="15.75" customHeight="1">
      <c r="A1304" s="1" t="s">
        <v>38</v>
      </c>
      <c r="B1304" s="1" t="s">
        <v>26014</v>
      </c>
      <c r="C1304" s="1" t="s">
        <v>26015</v>
      </c>
      <c r="D1304" s="1" t="s">
        <v>132</v>
      </c>
      <c r="E1304" s="1" t="s">
        <v>132</v>
      </c>
      <c r="F1304" s="1" t="s">
        <v>132</v>
      </c>
      <c r="G1304" s="1" t="s">
        <v>132</v>
      </c>
      <c r="H1304" s="1" t="s">
        <v>132</v>
      </c>
      <c r="I1304" s="1" t="s">
        <v>26016</v>
      </c>
      <c r="J1304" s="1" t="s">
        <v>132</v>
      </c>
      <c r="K1304" s="1" t="s">
        <v>26017</v>
      </c>
      <c r="L1304" s="1" t="s">
        <v>132</v>
      </c>
      <c r="M1304" s="1" t="s">
        <v>26018</v>
      </c>
      <c r="N1304" s="1" t="s">
        <v>132</v>
      </c>
      <c r="O1304" s="1" t="s">
        <v>132</v>
      </c>
      <c r="P1304" s="1" t="s">
        <v>26015</v>
      </c>
      <c r="Q1304" s="1" t="s">
        <v>132</v>
      </c>
      <c r="R1304" s="1" t="s">
        <v>132</v>
      </c>
      <c r="S1304" s="1" t="s">
        <v>132</v>
      </c>
      <c r="T1304" s="1" t="s">
        <v>132</v>
      </c>
      <c r="U1304" s="1" t="s">
        <v>132</v>
      </c>
      <c r="V1304" s="1" t="s">
        <v>132</v>
      </c>
      <c r="W1304" s="1" t="s">
        <v>132</v>
      </c>
      <c r="X1304" s="1" t="s">
        <v>132</v>
      </c>
      <c r="Y1304" s="1" t="s">
        <v>132</v>
      </c>
      <c r="Z1304" s="1" t="s">
        <v>132</v>
      </c>
      <c r="AA1304" s="1" t="s">
        <v>132</v>
      </c>
      <c r="AB1304" s="1" t="s">
        <v>132</v>
      </c>
      <c r="AC1304" s="1" t="s">
        <v>26019</v>
      </c>
      <c r="AD1304" s="1" t="s">
        <v>132</v>
      </c>
      <c r="AE1304" s="1" t="s">
        <v>132</v>
      </c>
      <c r="AF1304" s="1" t="s">
        <v>26020</v>
      </c>
      <c r="AG1304" s="1" t="s">
        <v>132</v>
      </c>
      <c r="AH1304" s="1" t="s">
        <v>132</v>
      </c>
      <c r="AI1304" s="1" t="s">
        <v>132</v>
      </c>
      <c r="AJ1304" s="1" t="s">
        <v>132</v>
      </c>
      <c r="AK1304" s="1" t="s">
        <v>132</v>
      </c>
      <c r="AL1304" s="1" t="s">
        <v>132</v>
      </c>
      <c r="AM1304" s="1" t="s">
        <v>132</v>
      </c>
      <c r="AN1304" s="1" t="s">
        <v>132</v>
      </c>
    </row>
    <row r="1305" ht="15.75" customHeight="1">
      <c r="A1305" s="1" t="s">
        <v>38</v>
      </c>
      <c r="B1305" s="1" t="s">
        <v>26021</v>
      </c>
      <c r="C1305" s="1" t="s">
        <v>26022</v>
      </c>
      <c r="D1305" s="1" t="s">
        <v>132</v>
      </c>
      <c r="E1305" s="1" t="s">
        <v>26023</v>
      </c>
      <c r="F1305" s="1" t="s">
        <v>26024</v>
      </c>
      <c r="G1305" s="1" t="s">
        <v>132</v>
      </c>
      <c r="H1305" s="1" t="s">
        <v>132</v>
      </c>
      <c r="I1305" s="1" t="s">
        <v>26025</v>
      </c>
      <c r="J1305" s="1" t="s">
        <v>132</v>
      </c>
      <c r="K1305" s="1" t="s">
        <v>26026</v>
      </c>
      <c r="L1305" s="1" t="s">
        <v>132</v>
      </c>
      <c r="M1305" s="1" t="s">
        <v>26027</v>
      </c>
      <c r="N1305" s="1" t="s">
        <v>26028</v>
      </c>
      <c r="O1305" s="1" t="s">
        <v>132</v>
      </c>
      <c r="P1305" s="1" t="s">
        <v>26029</v>
      </c>
      <c r="Q1305" s="1" t="s">
        <v>132</v>
      </c>
      <c r="R1305" s="1" t="s">
        <v>132</v>
      </c>
      <c r="S1305" s="1" t="s">
        <v>26030</v>
      </c>
      <c r="T1305" s="1" t="s">
        <v>132</v>
      </c>
      <c r="U1305" s="1" t="s">
        <v>132</v>
      </c>
      <c r="V1305" s="1" t="s">
        <v>132</v>
      </c>
      <c r="W1305" s="1" t="s">
        <v>132</v>
      </c>
      <c r="X1305" s="1" t="s">
        <v>26031</v>
      </c>
      <c r="Y1305" s="1" t="s">
        <v>132</v>
      </c>
      <c r="Z1305" s="1" t="s">
        <v>26032</v>
      </c>
      <c r="AA1305" s="1" t="s">
        <v>132</v>
      </c>
      <c r="AB1305" s="1" t="s">
        <v>132</v>
      </c>
      <c r="AC1305" s="1" t="s">
        <v>132</v>
      </c>
      <c r="AD1305" s="1" t="s">
        <v>132</v>
      </c>
      <c r="AE1305" s="1" t="s">
        <v>132</v>
      </c>
      <c r="AF1305" s="1" t="s">
        <v>132</v>
      </c>
      <c r="AG1305" s="1" t="s">
        <v>132</v>
      </c>
      <c r="AH1305" s="1" t="s">
        <v>132</v>
      </c>
      <c r="AI1305" s="1" t="s">
        <v>132</v>
      </c>
      <c r="AJ1305" s="1" t="s">
        <v>132</v>
      </c>
      <c r="AK1305" s="1" t="s">
        <v>132</v>
      </c>
      <c r="AL1305" s="1" t="s">
        <v>132</v>
      </c>
      <c r="AM1305" s="1" t="s">
        <v>132</v>
      </c>
      <c r="AN1305" s="1" t="s">
        <v>132</v>
      </c>
    </row>
    <row r="1306" ht="15.75" customHeight="1">
      <c r="A1306" s="1" t="s">
        <v>38</v>
      </c>
      <c r="B1306" s="1" t="s">
        <v>26033</v>
      </c>
      <c r="C1306" s="1" t="s">
        <v>26034</v>
      </c>
      <c r="D1306" s="8" t="s">
        <v>26035</v>
      </c>
      <c r="E1306" s="1" t="s">
        <v>26036</v>
      </c>
      <c r="F1306" s="1" t="s">
        <v>26037</v>
      </c>
      <c r="G1306" s="1" t="s">
        <v>132</v>
      </c>
      <c r="H1306" s="1" t="s">
        <v>132</v>
      </c>
      <c r="I1306" s="1" t="s">
        <v>26038</v>
      </c>
      <c r="J1306" s="1" t="s">
        <v>132</v>
      </c>
      <c r="K1306" s="1" t="s">
        <v>26039</v>
      </c>
      <c r="L1306" s="1" t="s">
        <v>132</v>
      </c>
      <c r="M1306" s="1" t="s">
        <v>26040</v>
      </c>
      <c r="N1306" s="1" t="s">
        <v>26041</v>
      </c>
      <c r="O1306" s="1" t="s">
        <v>132</v>
      </c>
      <c r="P1306" s="1" t="s">
        <v>26042</v>
      </c>
      <c r="Q1306" s="1" t="s">
        <v>26043</v>
      </c>
      <c r="R1306" s="1" t="s">
        <v>132</v>
      </c>
      <c r="S1306" s="1" t="s">
        <v>26044</v>
      </c>
      <c r="T1306" s="1" t="s">
        <v>132</v>
      </c>
      <c r="U1306" s="1" t="s">
        <v>26045</v>
      </c>
      <c r="V1306" s="1" t="s">
        <v>26046</v>
      </c>
      <c r="W1306" s="1" t="s">
        <v>132</v>
      </c>
      <c r="X1306" s="1" t="s">
        <v>26047</v>
      </c>
      <c r="Y1306" s="1" t="s">
        <v>132</v>
      </c>
      <c r="Z1306" s="1" t="s">
        <v>26048</v>
      </c>
      <c r="AA1306" s="1" t="s">
        <v>26049</v>
      </c>
      <c r="AB1306" s="1" t="s">
        <v>132</v>
      </c>
      <c r="AC1306" s="1" t="s">
        <v>26050</v>
      </c>
      <c r="AD1306" s="1" t="s">
        <v>26051</v>
      </c>
      <c r="AE1306" s="1" t="s">
        <v>132</v>
      </c>
      <c r="AF1306" s="1" t="s">
        <v>26052</v>
      </c>
      <c r="AG1306" s="1" t="s">
        <v>26053</v>
      </c>
      <c r="AH1306" s="1" t="s">
        <v>132</v>
      </c>
      <c r="AI1306" s="1" t="s">
        <v>132</v>
      </c>
      <c r="AJ1306" s="1" t="s">
        <v>26054</v>
      </c>
      <c r="AK1306" s="1" t="s">
        <v>26055</v>
      </c>
      <c r="AL1306" s="1" t="s">
        <v>132</v>
      </c>
      <c r="AM1306" s="1" t="s">
        <v>26056</v>
      </c>
      <c r="AN1306" s="1" t="s">
        <v>26056</v>
      </c>
    </row>
    <row r="1307" ht="15.75" customHeight="1">
      <c r="A1307" s="1" t="s">
        <v>38</v>
      </c>
      <c r="B1307" s="1" t="s">
        <v>26057</v>
      </c>
      <c r="C1307" s="1" t="s">
        <v>26058</v>
      </c>
      <c r="D1307" s="8" t="s">
        <v>26059</v>
      </c>
      <c r="E1307" s="1" t="s">
        <v>26060</v>
      </c>
      <c r="F1307" s="1" t="s">
        <v>26061</v>
      </c>
      <c r="G1307" s="1" t="s">
        <v>132</v>
      </c>
      <c r="H1307" s="1" t="s">
        <v>132</v>
      </c>
      <c r="I1307" s="1" t="s">
        <v>26062</v>
      </c>
      <c r="J1307" s="1" t="s">
        <v>132</v>
      </c>
      <c r="K1307" s="1" t="s">
        <v>26063</v>
      </c>
      <c r="L1307" s="1" t="s">
        <v>132</v>
      </c>
      <c r="M1307" s="1" t="s">
        <v>26064</v>
      </c>
      <c r="N1307" s="1" t="s">
        <v>26063</v>
      </c>
      <c r="O1307" s="1" t="s">
        <v>132</v>
      </c>
      <c r="P1307" s="1" t="s">
        <v>26065</v>
      </c>
      <c r="Q1307" s="1" t="s">
        <v>26066</v>
      </c>
      <c r="R1307" s="1" t="s">
        <v>132</v>
      </c>
      <c r="S1307" s="1" t="s">
        <v>26067</v>
      </c>
      <c r="T1307" s="1" t="s">
        <v>132</v>
      </c>
      <c r="U1307" s="1" t="s">
        <v>26068</v>
      </c>
      <c r="V1307" s="1" t="s">
        <v>26069</v>
      </c>
      <c r="W1307" s="1" t="s">
        <v>132</v>
      </c>
      <c r="X1307" s="1" t="s">
        <v>26070</v>
      </c>
      <c r="Y1307" s="1" t="s">
        <v>132</v>
      </c>
      <c r="Z1307" s="1" t="s">
        <v>26071</v>
      </c>
      <c r="AA1307" s="1" t="s">
        <v>26072</v>
      </c>
      <c r="AB1307" s="1" t="s">
        <v>132</v>
      </c>
      <c r="AC1307" s="1" t="s">
        <v>26073</v>
      </c>
      <c r="AD1307" s="1" t="s">
        <v>26074</v>
      </c>
      <c r="AE1307" s="1" t="s">
        <v>132</v>
      </c>
      <c r="AF1307" s="1" t="s">
        <v>26075</v>
      </c>
      <c r="AG1307" s="1" t="s">
        <v>26076</v>
      </c>
      <c r="AH1307" s="1" t="s">
        <v>132</v>
      </c>
      <c r="AI1307" s="1" t="s">
        <v>132</v>
      </c>
      <c r="AJ1307" s="1" t="s">
        <v>26077</v>
      </c>
      <c r="AK1307" s="1" t="s">
        <v>26078</v>
      </c>
      <c r="AL1307" s="1" t="s">
        <v>132</v>
      </c>
      <c r="AM1307" s="1" t="s">
        <v>26079</v>
      </c>
      <c r="AN1307" s="1" t="s">
        <v>26079</v>
      </c>
    </row>
    <row r="1308" ht="15.75" customHeight="1">
      <c r="A1308" s="1" t="s">
        <v>38</v>
      </c>
      <c r="B1308" s="1" t="s">
        <v>26080</v>
      </c>
      <c r="C1308" s="1" t="s">
        <v>26081</v>
      </c>
      <c r="D1308" s="1" t="s">
        <v>132</v>
      </c>
      <c r="E1308" s="1" t="s">
        <v>26082</v>
      </c>
      <c r="F1308" s="1" t="s">
        <v>132</v>
      </c>
      <c r="G1308" s="1" t="s">
        <v>132</v>
      </c>
      <c r="H1308" s="1" t="s">
        <v>132</v>
      </c>
      <c r="I1308" s="1" t="s">
        <v>26083</v>
      </c>
      <c r="J1308" s="1" t="s">
        <v>132</v>
      </c>
      <c r="K1308" s="1" t="s">
        <v>26084</v>
      </c>
      <c r="L1308" s="1" t="s">
        <v>132</v>
      </c>
      <c r="M1308" s="1" t="s">
        <v>26085</v>
      </c>
      <c r="N1308" s="1" t="s">
        <v>26086</v>
      </c>
      <c r="O1308" s="1" t="s">
        <v>132</v>
      </c>
      <c r="P1308" s="1" t="s">
        <v>26087</v>
      </c>
      <c r="Q1308" s="1" t="s">
        <v>132</v>
      </c>
      <c r="R1308" s="1" t="s">
        <v>132</v>
      </c>
      <c r="S1308" s="1" t="s">
        <v>26088</v>
      </c>
      <c r="T1308" s="1" t="s">
        <v>132</v>
      </c>
      <c r="U1308" s="1" t="s">
        <v>132</v>
      </c>
      <c r="V1308" s="1" t="s">
        <v>132</v>
      </c>
      <c r="W1308" s="1" t="s">
        <v>132</v>
      </c>
      <c r="X1308" s="1" t="s">
        <v>26089</v>
      </c>
      <c r="Y1308" s="1" t="s">
        <v>132</v>
      </c>
      <c r="Z1308" s="1" t="s">
        <v>26090</v>
      </c>
      <c r="AA1308" s="1" t="s">
        <v>132</v>
      </c>
      <c r="AB1308" s="1" t="s">
        <v>132</v>
      </c>
      <c r="AC1308" s="1" t="s">
        <v>132</v>
      </c>
      <c r="AD1308" s="1" t="s">
        <v>132</v>
      </c>
      <c r="AE1308" s="1" t="s">
        <v>132</v>
      </c>
      <c r="AF1308" s="1" t="s">
        <v>26091</v>
      </c>
      <c r="AG1308" s="1" t="s">
        <v>132</v>
      </c>
      <c r="AH1308" s="1" t="s">
        <v>132</v>
      </c>
      <c r="AI1308" s="1" t="s">
        <v>132</v>
      </c>
      <c r="AJ1308" s="1" t="s">
        <v>132</v>
      </c>
      <c r="AK1308" s="1" t="s">
        <v>132</v>
      </c>
      <c r="AL1308" s="1" t="s">
        <v>132</v>
      </c>
      <c r="AM1308" s="1" t="s">
        <v>132</v>
      </c>
      <c r="AN1308" s="1" t="s">
        <v>132</v>
      </c>
    </row>
    <row r="1309" ht="15.75" customHeight="1">
      <c r="A1309" s="1" t="s">
        <v>127</v>
      </c>
      <c r="B1309" s="1" t="s">
        <v>26092</v>
      </c>
      <c r="C1309" s="1" t="s">
        <v>26093</v>
      </c>
      <c r="D1309" s="8" t="s">
        <v>26094</v>
      </c>
      <c r="E1309" s="1" t="s">
        <v>26095</v>
      </c>
      <c r="F1309" s="1" t="s">
        <v>132</v>
      </c>
      <c r="G1309" s="1" t="s">
        <v>26096</v>
      </c>
      <c r="H1309" s="1" t="s">
        <v>26097</v>
      </c>
      <c r="I1309" s="1" t="s">
        <v>26098</v>
      </c>
      <c r="J1309" s="1" t="s">
        <v>26099</v>
      </c>
      <c r="K1309" s="1" t="s">
        <v>26100</v>
      </c>
      <c r="L1309" s="1" t="s">
        <v>26101</v>
      </c>
      <c r="M1309" s="1" t="s">
        <v>26102</v>
      </c>
      <c r="N1309" s="1" t="s">
        <v>132</v>
      </c>
      <c r="O1309" s="1" t="s">
        <v>26103</v>
      </c>
      <c r="P1309" s="1" t="s">
        <v>26104</v>
      </c>
      <c r="Q1309" s="1" t="s">
        <v>132</v>
      </c>
      <c r="R1309" s="1" t="s">
        <v>26105</v>
      </c>
      <c r="S1309" s="1" t="s">
        <v>26106</v>
      </c>
      <c r="T1309" s="8" t="s">
        <v>26107</v>
      </c>
      <c r="U1309" s="1" t="s">
        <v>26108</v>
      </c>
      <c r="V1309" s="1" t="s">
        <v>26109</v>
      </c>
      <c r="W1309" s="1" t="s">
        <v>26110</v>
      </c>
      <c r="X1309" s="1" t="s">
        <v>26111</v>
      </c>
      <c r="Y1309" s="1" t="s">
        <v>26112</v>
      </c>
      <c r="Z1309" s="1" t="s">
        <v>26113</v>
      </c>
      <c r="AA1309" s="1" t="s">
        <v>26114</v>
      </c>
      <c r="AB1309" s="1" t="s">
        <v>26115</v>
      </c>
      <c r="AC1309" s="1" t="s">
        <v>26116</v>
      </c>
      <c r="AD1309" s="1" t="s">
        <v>26117</v>
      </c>
      <c r="AE1309" s="1" t="s">
        <v>26118</v>
      </c>
      <c r="AF1309" s="1" t="s">
        <v>26119</v>
      </c>
      <c r="AG1309" s="1" t="s">
        <v>26120</v>
      </c>
      <c r="AH1309" s="1" t="s">
        <v>26121</v>
      </c>
      <c r="AI1309" s="1" t="s">
        <v>26122</v>
      </c>
      <c r="AJ1309" s="1" t="s">
        <v>132</v>
      </c>
      <c r="AK1309" s="1" t="s">
        <v>26123</v>
      </c>
      <c r="AL1309" s="1" t="s">
        <v>26124</v>
      </c>
      <c r="AM1309" s="1" t="s">
        <v>132</v>
      </c>
      <c r="AN1309" s="1" t="s">
        <v>132</v>
      </c>
    </row>
    <row r="1310" ht="15.75" customHeight="1">
      <c r="A1310" s="1" t="s">
        <v>127</v>
      </c>
      <c r="B1310" s="1" t="s">
        <v>26125</v>
      </c>
      <c r="C1310" s="1" t="s">
        <v>26126</v>
      </c>
      <c r="D1310" s="8" t="s">
        <v>26127</v>
      </c>
      <c r="E1310" s="1" t="s">
        <v>26128</v>
      </c>
      <c r="F1310" s="1" t="s">
        <v>132</v>
      </c>
      <c r="G1310" s="1" t="s">
        <v>26129</v>
      </c>
      <c r="H1310" s="1" t="s">
        <v>26130</v>
      </c>
      <c r="I1310" s="1" t="s">
        <v>26131</v>
      </c>
      <c r="J1310" s="1" t="s">
        <v>26132</v>
      </c>
      <c r="K1310" s="1" t="s">
        <v>26133</v>
      </c>
      <c r="L1310" s="1" t="s">
        <v>26134</v>
      </c>
      <c r="M1310" s="1" t="s">
        <v>26135</v>
      </c>
      <c r="N1310" s="1" t="s">
        <v>132</v>
      </c>
      <c r="O1310" s="1" t="s">
        <v>26136</v>
      </c>
      <c r="P1310" s="1" t="s">
        <v>26137</v>
      </c>
      <c r="Q1310" s="1" t="s">
        <v>132</v>
      </c>
      <c r="R1310" s="1" t="s">
        <v>26138</v>
      </c>
      <c r="S1310" s="1" t="s">
        <v>26139</v>
      </c>
      <c r="T1310" s="8" t="s">
        <v>26140</v>
      </c>
      <c r="U1310" s="1" t="s">
        <v>26141</v>
      </c>
      <c r="V1310" s="1" t="s">
        <v>26142</v>
      </c>
      <c r="W1310" s="1" t="s">
        <v>26143</v>
      </c>
      <c r="X1310" s="1" t="s">
        <v>26144</v>
      </c>
      <c r="Y1310" s="1" t="s">
        <v>26145</v>
      </c>
      <c r="Z1310" s="1" t="s">
        <v>26146</v>
      </c>
      <c r="AA1310" s="1" t="s">
        <v>26147</v>
      </c>
      <c r="AB1310" s="1" t="s">
        <v>26148</v>
      </c>
      <c r="AC1310" s="1" t="s">
        <v>26149</v>
      </c>
      <c r="AD1310" s="1" t="s">
        <v>26150</v>
      </c>
      <c r="AE1310" s="1" t="s">
        <v>26151</v>
      </c>
      <c r="AF1310" s="1" t="s">
        <v>26126</v>
      </c>
      <c r="AG1310" s="1" t="s">
        <v>26152</v>
      </c>
      <c r="AH1310" s="1" t="s">
        <v>26153</v>
      </c>
      <c r="AI1310" s="1" t="s">
        <v>26154</v>
      </c>
      <c r="AJ1310" s="1" t="s">
        <v>132</v>
      </c>
      <c r="AK1310" s="1" t="s">
        <v>26155</v>
      </c>
      <c r="AL1310" s="1" t="s">
        <v>26156</v>
      </c>
      <c r="AM1310" s="1" t="s">
        <v>26157</v>
      </c>
      <c r="AN1310" s="1" t="s">
        <v>26157</v>
      </c>
    </row>
    <row r="1311" ht="15.75" customHeight="1">
      <c r="A1311" s="1" t="s">
        <v>38</v>
      </c>
      <c r="B1311" s="1" t="s">
        <v>26158</v>
      </c>
      <c r="C1311" s="1" t="s">
        <v>26159</v>
      </c>
      <c r="D1311" s="8" t="s">
        <v>26160</v>
      </c>
      <c r="E1311" s="1" t="s">
        <v>26161</v>
      </c>
      <c r="F1311" s="1" t="s">
        <v>26162</v>
      </c>
      <c r="G1311" s="1" t="s">
        <v>132</v>
      </c>
      <c r="H1311" s="1" t="s">
        <v>132</v>
      </c>
      <c r="I1311" s="1" t="s">
        <v>26163</v>
      </c>
      <c r="J1311" s="1" t="s">
        <v>132</v>
      </c>
      <c r="K1311" s="1" t="s">
        <v>26164</v>
      </c>
      <c r="L1311" s="1" t="s">
        <v>132</v>
      </c>
      <c r="M1311" s="1" t="s">
        <v>26165</v>
      </c>
      <c r="N1311" s="1" t="s">
        <v>26164</v>
      </c>
      <c r="O1311" s="1" t="s">
        <v>132</v>
      </c>
      <c r="P1311" s="1" t="s">
        <v>26166</v>
      </c>
      <c r="Q1311" s="1" t="s">
        <v>26167</v>
      </c>
      <c r="R1311" s="1" t="s">
        <v>132</v>
      </c>
      <c r="S1311" s="1" t="s">
        <v>26168</v>
      </c>
      <c r="T1311" s="1" t="s">
        <v>132</v>
      </c>
      <c r="U1311" s="1" t="s">
        <v>26169</v>
      </c>
      <c r="V1311" s="1" t="s">
        <v>26170</v>
      </c>
      <c r="W1311" s="1" t="s">
        <v>132</v>
      </c>
      <c r="X1311" s="1" t="s">
        <v>26171</v>
      </c>
      <c r="Y1311" s="1" t="s">
        <v>132</v>
      </c>
      <c r="Z1311" s="1" t="s">
        <v>26172</v>
      </c>
      <c r="AA1311" s="1" t="s">
        <v>26164</v>
      </c>
      <c r="AB1311" s="1" t="s">
        <v>132</v>
      </c>
      <c r="AC1311" s="1" t="s">
        <v>26173</v>
      </c>
      <c r="AD1311" s="1" t="s">
        <v>26174</v>
      </c>
      <c r="AE1311" s="1" t="s">
        <v>132</v>
      </c>
      <c r="AF1311" s="1" t="s">
        <v>26175</v>
      </c>
      <c r="AG1311" s="1" t="s">
        <v>26176</v>
      </c>
      <c r="AH1311" s="1" t="s">
        <v>132</v>
      </c>
      <c r="AI1311" s="1" t="s">
        <v>132</v>
      </c>
      <c r="AJ1311" s="1" t="s">
        <v>26177</v>
      </c>
      <c r="AK1311" s="1" t="s">
        <v>26178</v>
      </c>
      <c r="AL1311" s="1" t="s">
        <v>132</v>
      </c>
      <c r="AM1311" s="1" t="s">
        <v>26179</v>
      </c>
      <c r="AN1311" s="1" t="s">
        <v>26179</v>
      </c>
    </row>
    <row r="1312" ht="15.75" customHeight="1">
      <c r="A1312" s="1" t="s">
        <v>38</v>
      </c>
      <c r="B1312" s="1" t="s">
        <v>26180</v>
      </c>
      <c r="C1312" s="1" t="s">
        <v>26181</v>
      </c>
      <c r="D1312" s="8" t="s">
        <v>26182</v>
      </c>
      <c r="E1312" s="1" t="s">
        <v>26183</v>
      </c>
      <c r="F1312" s="1" t="s">
        <v>26184</v>
      </c>
      <c r="G1312" s="1" t="s">
        <v>132</v>
      </c>
      <c r="H1312" s="1" t="s">
        <v>132</v>
      </c>
      <c r="I1312" s="1" t="s">
        <v>26185</v>
      </c>
      <c r="J1312" s="1" t="s">
        <v>132</v>
      </c>
      <c r="K1312" s="1" t="s">
        <v>26186</v>
      </c>
      <c r="L1312" s="1" t="s">
        <v>132</v>
      </c>
      <c r="M1312" s="1" t="s">
        <v>26187</v>
      </c>
      <c r="N1312" s="1" t="s">
        <v>26188</v>
      </c>
      <c r="O1312" s="1" t="s">
        <v>132</v>
      </c>
      <c r="P1312" s="1" t="s">
        <v>26189</v>
      </c>
      <c r="Q1312" s="1" t="s">
        <v>132</v>
      </c>
      <c r="R1312" s="1" t="s">
        <v>132</v>
      </c>
      <c r="S1312" s="1" t="s">
        <v>26190</v>
      </c>
      <c r="T1312" s="1" t="s">
        <v>132</v>
      </c>
      <c r="U1312" s="1" t="s">
        <v>26191</v>
      </c>
      <c r="V1312" s="1" t="s">
        <v>132</v>
      </c>
      <c r="W1312" s="1" t="s">
        <v>132</v>
      </c>
      <c r="X1312" s="1" t="s">
        <v>26192</v>
      </c>
      <c r="Y1312" s="1" t="s">
        <v>132</v>
      </c>
      <c r="Z1312" s="1" t="s">
        <v>26193</v>
      </c>
      <c r="AA1312" s="1" t="s">
        <v>132</v>
      </c>
      <c r="AB1312" s="1" t="s">
        <v>132</v>
      </c>
      <c r="AC1312" s="1" t="s">
        <v>132</v>
      </c>
      <c r="AD1312" s="1" t="s">
        <v>132</v>
      </c>
      <c r="AE1312" s="1" t="s">
        <v>132</v>
      </c>
      <c r="AF1312" s="1" t="s">
        <v>132</v>
      </c>
      <c r="AG1312" s="1" t="s">
        <v>132</v>
      </c>
      <c r="AH1312" s="1" t="s">
        <v>132</v>
      </c>
      <c r="AI1312" s="1" t="s">
        <v>132</v>
      </c>
      <c r="AJ1312" s="1" t="s">
        <v>132</v>
      </c>
      <c r="AK1312" s="1" t="s">
        <v>132</v>
      </c>
      <c r="AL1312" s="1" t="s">
        <v>132</v>
      </c>
      <c r="AM1312" s="1" t="s">
        <v>132</v>
      </c>
      <c r="AN1312" s="1" t="s">
        <v>132</v>
      </c>
    </row>
    <row r="1313" ht="15.75" customHeight="1">
      <c r="A1313" s="1" t="s">
        <v>127</v>
      </c>
      <c r="B1313" s="1" t="s">
        <v>26194</v>
      </c>
      <c r="C1313" s="1" t="s">
        <v>5007</v>
      </c>
      <c r="D1313" s="8" t="s">
        <v>5008</v>
      </c>
      <c r="E1313" s="1" t="s">
        <v>5009</v>
      </c>
      <c r="F1313" s="1" t="s">
        <v>132</v>
      </c>
      <c r="G1313" s="1" t="s">
        <v>5010</v>
      </c>
      <c r="H1313" s="1" t="s">
        <v>5011</v>
      </c>
      <c r="I1313" s="1" t="s">
        <v>5012</v>
      </c>
      <c r="J1313" s="1" t="s">
        <v>5013</v>
      </c>
      <c r="K1313" s="1" t="s">
        <v>5014</v>
      </c>
      <c r="L1313" s="1" t="s">
        <v>5015</v>
      </c>
      <c r="M1313" s="1" t="s">
        <v>5016</v>
      </c>
      <c r="N1313" s="1" t="s">
        <v>132</v>
      </c>
      <c r="O1313" s="1" t="s">
        <v>5017</v>
      </c>
      <c r="P1313" s="1" t="s">
        <v>5018</v>
      </c>
      <c r="Q1313" s="1" t="s">
        <v>132</v>
      </c>
      <c r="R1313" s="1" t="s">
        <v>5019</v>
      </c>
      <c r="S1313" s="1" t="s">
        <v>5020</v>
      </c>
      <c r="T1313" s="8" t="s">
        <v>5021</v>
      </c>
      <c r="U1313" s="1" t="s">
        <v>5022</v>
      </c>
      <c r="V1313" s="1" t="s">
        <v>5023</v>
      </c>
      <c r="W1313" s="1" t="s">
        <v>5019</v>
      </c>
      <c r="X1313" s="1" t="s">
        <v>5024</v>
      </c>
      <c r="Y1313" s="1" t="s">
        <v>5025</v>
      </c>
      <c r="Z1313" s="1" t="s">
        <v>5026</v>
      </c>
      <c r="AA1313" s="1" t="s">
        <v>5027</v>
      </c>
      <c r="AB1313" s="1" t="s">
        <v>5028</v>
      </c>
      <c r="AC1313" s="1" t="s">
        <v>5029</v>
      </c>
      <c r="AD1313" s="1" t="s">
        <v>5010</v>
      </c>
      <c r="AE1313" s="1" t="s">
        <v>5030</v>
      </c>
      <c r="AF1313" s="1" t="s">
        <v>5031</v>
      </c>
      <c r="AG1313" s="1" t="s">
        <v>5011</v>
      </c>
      <c r="AH1313" s="1" t="s">
        <v>5032</v>
      </c>
      <c r="AI1313" s="1" t="s">
        <v>26195</v>
      </c>
      <c r="AJ1313" s="1" t="s">
        <v>132</v>
      </c>
      <c r="AK1313" s="1" t="s">
        <v>5034</v>
      </c>
      <c r="AL1313" s="1" t="s">
        <v>5035</v>
      </c>
      <c r="AM1313" s="1" t="s">
        <v>5036</v>
      </c>
      <c r="AN1313" s="1" t="s">
        <v>5036</v>
      </c>
    </row>
    <row r="1314" ht="15.75" customHeight="1">
      <c r="A1314" s="1" t="s">
        <v>38</v>
      </c>
      <c r="B1314" s="1" t="s">
        <v>26196</v>
      </c>
      <c r="C1314" s="1" t="s">
        <v>26197</v>
      </c>
      <c r="D1314" s="8" t="s">
        <v>26198</v>
      </c>
      <c r="E1314" s="1" t="s">
        <v>26199</v>
      </c>
      <c r="F1314" s="1" t="s">
        <v>26200</v>
      </c>
      <c r="G1314" s="1" t="s">
        <v>132</v>
      </c>
      <c r="H1314" s="1" t="s">
        <v>132</v>
      </c>
      <c r="I1314" s="1" t="s">
        <v>26201</v>
      </c>
      <c r="J1314" s="1" t="s">
        <v>132</v>
      </c>
      <c r="K1314" s="1" t="s">
        <v>26202</v>
      </c>
      <c r="L1314" s="1" t="s">
        <v>132</v>
      </c>
      <c r="M1314" s="1" t="s">
        <v>26203</v>
      </c>
      <c r="N1314" s="1" t="s">
        <v>26204</v>
      </c>
      <c r="O1314" s="1" t="s">
        <v>132</v>
      </c>
      <c r="P1314" s="1" t="s">
        <v>26205</v>
      </c>
      <c r="Q1314" s="1" t="s">
        <v>26206</v>
      </c>
      <c r="R1314" s="1" t="s">
        <v>132</v>
      </c>
      <c r="S1314" s="1" t="s">
        <v>26207</v>
      </c>
      <c r="T1314" s="1" t="s">
        <v>132</v>
      </c>
      <c r="U1314" s="1" t="s">
        <v>26208</v>
      </c>
      <c r="V1314" s="1" t="s">
        <v>26209</v>
      </c>
      <c r="W1314" s="1" t="s">
        <v>132</v>
      </c>
      <c r="X1314" s="1" t="s">
        <v>26210</v>
      </c>
      <c r="Y1314" s="1" t="s">
        <v>132</v>
      </c>
      <c r="Z1314" s="1" t="s">
        <v>26211</v>
      </c>
      <c r="AA1314" s="1" t="s">
        <v>26212</v>
      </c>
      <c r="AB1314" s="1" t="s">
        <v>132</v>
      </c>
      <c r="AC1314" s="1" t="s">
        <v>26213</v>
      </c>
      <c r="AD1314" s="1" t="s">
        <v>26214</v>
      </c>
      <c r="AE1314" s="1" t="s">
        <v>132</v>
      </c>
      <c r="AF1314" s="1" t="s">
        <v>26215</v>
      </c>
      <c r="AG1314" s="1" t="s">
        <v>26216</v>
      </c>
      <c r="AH1314" s="1" t="s">
        <v>132</v>
      </c>
      <c r="AI1314" s="1" t="s">
        <v>132</v>
      </c>
      <c r="AJ1314" s="1" t="s">
        <v>26217</v>
      </c>
      <c r="AK1314" s="1" t="s">
        <v>26218</v>
      </c>
      <c r="AL1314" s="1" t="s">
        <v>132</v>
      </c>
      <c r="AM1314" s="1" t="s">
        <v>26219</v>
      </c>
      <c r="AN1314" s="1" t="s">
        <v>26219</v>
      </c>
    </row>
    <row r="1315" ht="15.75" customHeight="1">
      <c r="A1315" s="1" t="s">
        <v>38</v>
      </c>
      <c r="B1315" s="1" t="s">
        <v>26220</v>
      </c>
      <c r="C1315" s="1" t="s">
        <v>26221</v>
      </c>
      <c r="D1315" s="8" t="s">
        <v>26222</v>
      </c>
      <c r="E1315" s="1" t="s">
        <v>26223</v>
      </c>
      <c r="F1315" s="1" t="s">
        <v>26224</v>
      </c>
      <c r="G1315" s="1" t="s">
        <v>132</v>
      </c>
      <c r="H1315" s="1" t="s">
        <v>132</v>
      </c>
      <c r="I1315" s="1" t="s">
        <v>26225</v>
      </c>
      <c r="J1315" s="1" t="s">
        <v>132</v>
      </c>
      <c r="K1315" s="1" t="s">
        <v>26226</v>
      </c>
      <c r="L1315" s="1" t="s">
        <v>132</v>
      </c>
      <c r="M1315" s="1" t="s">
        <v>26227</v>
      </c>
      <c r="N1315" s="1" t="s">
        <v>26228</v>
      </c>
      <c r="O1315" s="1" t="s">
        <v>132</v>
      </c>
      <c r="P1315" s="1" t="s">
        <v>26229</v>
      </c>
      <c r="Q1315" s="1" t="s">
        <v>132</v>
      </c>
      <c r="R1315" s="1" t="s">
        <v>132</v>
      </c>
      <c r="S1315" s="1" t="s">
        <v>26230</v>
      </c>
      <c r="T1315" s="1" t="s">
        <v>132</v>
      </c>
      <c r="U1315" s="1" t="s">
        <v>26231</v>
      </c>
      <c r="V1315" s="1" t="s">
        <v>132</v>
      </c>
      <c r="W1315" s="1" t="s">
        <v>132</v>
      </c>
      <c r="X1315" s="1" t="s">
        <v>26232</v>
      </c>
      <c r="Y1315" s="1" t="s">
        <v>132</v>
      </c>
      <c r="Z1315" s="1" t="s">
        <v>26233</v>
      </c>
      <c r="AA1315" s="1" t="s">
        <v>26234</v>
      </c>
      <c r="AB1315" s="1" t="s">
        <v>132</v>
      </c>
      <c r="AC1315" s="1" t="s">
        <v>26235</v>
      </c>
      <c r="AD1315" s="1" t="s">
        <v>132</v>
      </c>
      <c r="AE1315" s="1" t="s">
        <v>132</v>
      </c>
      <c r="AF1315" s="1" t="s">
        <v>26236</v>
      </c>
      <c r="AG1315" s="1" t="s">
        <v>132</v>
      </c>
      <c r="AH1315" s="1" t="s">
        <v>132</v>
      </c>
      <c r="AI1315" s="1" t="s">
        <v>132</v>
      </c>
      <c r="AJ1315" s="1" t="s">
        <v>132</v>
      </c>
      <c r="AK1315" s="1" t="s">
        <v>132</v>
      </c>
      <c r="AL1315" s="1" t="s">
        <v>132</v>
      </c>
      <c r="AM1315" s="1" t="s">
        <v>132</v>
      </c>
      <c r="AN1315" s="1" t="s">
        <v>132</v>
      </c>
    </row>
    <row r="1316" ht="15.75" customHeight="1">
      <c r="A1316" s="1" t="s">
        <v>38</v>
      </c>
      <c r="B1316" s="1" t="s">
        <v>26237</v>
      </c>
      <c r="C1316" s="1" t="s">
        <v>26238</v>
      </c>
      <c r="D1316" s="8" t="s">
        <v>26239</v>
      </c>
      <c r="E1316" s="1" t="s">
        <v>26240</v>
      </c>
      <c r="F1316" s="1" t="s">
        <v>26241</v>
      </c>
      <c r="G1316" s="1" t="s">
        <v>132</v>
      </c>
      <c r="H1316" s="1" t="s">
        <v>132</v>
      </c>
      <c r="I1316" s="1" t="s">
        <v>26242</v>
      </c>
      <c r="J1316" s="1" t="s">
        <v>132</v>
      </c>
      <c r="K1316" s="1" t="s">
        <v>26243</v>
      </c>
      <c r="L1316" s="1" t="s">
        <v>132</v>
      </c>
      <c r="M1316" s="1" t="s">
        <v>26244</v>
      </c>
      <c r="N1316" s="1" t="s">
        <v>26245</v>
      </c>
      <c r="O1316" s="1" t="s">
        <v>132</v>
      </c>
      <c r="P1316" s="1" t="s">
        <v>26246</v>
      </c>
      <c r="Q1316" s="1" t="s">
        <v>132</v>
      </c>
      <c r="R1316" s="1" t="s">
        <v>132</v>
      </c>
      <c r="S1316" s="1" t="s">
        <v>26247</v>
      </c>
      <c r="T1316" s="1" t="s">
        <v>132</v>
      </c>
      <c r="U1316" s="1" t="s">
        <v>26248</v>
      </c>
      <c r="V1316" s="1" t="s">
        <v>26249</v>
      </c>
      <c r="W1316" s="1" t="s">
        <v>132</v>
      </c>
      <c r="X1316" s="1" t="s">
        <v>26250</v>
      </c>
      <c r="Y1316" s="1" t="s">
        <v>132</v>
      </c>
      <c r="Z1316" s="1" t="s">
        <v>26251</v>
      </c>
      <c r="AA1316" s="1" t="s">
        <v>26252</v>
      </c>
      <c r="AB1316" s="1" t="s">
        <v>132</v>
      </c>
      <c r="AC1316" s="1" t="s">
        <v>26253</v>
      </c>
      <c r="AD1316" s="1" t="s">
        <v>132</v>
      </c>
      <c r="AE1316" s="1" t="s">
        <v>132</v>
      </c>
      <c r="AF1316" s="1" t="s">
        <v>26254</v>
      </c>
      <c r="AG1316" s="1" t="s">
        <v>26255</v>
      </c>
      <c r="AH1316" s="1" t="s">
        <v>132</v>
      </c>
      <c r="AI1316" s="1" t="s">
        <v>132</v>
      </c>
      <c r="AJ1316" s="1" t="s">
        <v>26256</v>
      </c>
      <c r="AK1316" s="1" t="s">
        <v>132</v>
      </c>
      <c r="AL1316" s="1" t="s">
        <v>132</v>
      </c>
      <c r="AM1316" s="1" t="s">
        <v>26257</v>
      </c>
      <c r="AN1316" s="1" t="s">
        <v>26257</v>
      </c>
    </row>
    <row r="1317" ht="15.75" customHeight="1">
      <c r="A1317" s="1" t="s">
        <v>38</v>
      </c>
      <c r="B1317" s="1" t="s">
        <v>26258</v>
      </c>
      <c r="C1317" s="1" t="s">
        <v>26259</v>
      </c>
      <c r="D1317" s="1" t="s">
        <v>132</v>
      </c>
      <c r="E1317" s="1" t="s">
        <v>132</v>
      </c>
      <c r="F1317" s="1" t="s">
        <v>132</v>
      </c>
      <c r="G1317" s="1" t="s">
        <v>132</v>
      </c>
      <c r="H1317" s="1" t="s">
        <v>132</v>
      </c>
      <c r="I1317" s="1" t="s">
        <v>26259</v>
      </c>
      <c r="J1317" s="1" t="s">
        <v>132</v>
      </c>
      <c r="K1317" s="1" t="s">
        <v>26259</v>
      </c>
      <c r="L1317" s="1" t="s">
        <v>132</v>
      </c>
      <c r="M1317" s="1" t="s">
        <v>26260</v>
      </c>
      <c r="N1317" s="1" t="s">
        <v>132</v>
      </c>
      <c r="O1317" s="1" t="s">
        <v>132</v>
      </c>
      <c r="P1317" s="1" t="s">
        <v>26259</v>
      </c>
      <c r="Q1317" s="1" t="s">
        <v>132</v>
      </c>
      <c r="R1317" s="1" t="s">
        <v>132</v>
      </c>
      <c r="S1317" s="1" t="s">
        <v>132</v>
      </c>
      <c r="T1317" s="1" t="s">
        <v>132</v>
      </c>
      <c r="U1317" s="1" t="s">
        <v>132</v>
      </c>
      <c r="V1317" s="1" t="s">
        <v>132</v>
      </c>
      <c r="W1317" s="1" t="s">
        <v>132</v>
      </c>
      <c r="X1317" s="1" t="s">
        <v>132</v>
      </c>
      <c r="Y1317" s="1" t="s">
        <v>132</v>
      </c>
      <c r="Z1317" s="1" t="s">
        <v>132</v>
      </c>
      <c r="AA1317" s="1" t="s">
        <v>132</v>
      </c>
      <c r="AB1317" s="1" t="s">
        <v>132</v>
      </c>
      <c r="AC1317" s="1" t="s">
        <v>26261</v>
      </c>
      <c r="AD1317" s="1" t="s">
        <v>132</v>
      </c>
      <c r="AE1317" s="1" t="s">
        <v>132</v>
      </c>
      <c r="AF1317" s="1" t="s">
        <v>26259</v>
      </c>
      <c r="AG1317" s="1" t="s">
        <v>132</v>
      </c>
      <c r="AH1317" s="1" t="s">
        <v>132</v>
      </c>
      <c r="AI1317" s="1" t="s">
        <v>132</v>
      </c>
      <c r="AJ1317" s="1" t="s">
        <v>132</v>
      </c>
      <c r="AK1317" s="1" t="s">
        <v>132</v>
      </c>
      <c r="AL1317" s="1" t="s">
        <v>132</v>
      </c>
      <c r="AM1317" s="1" t="s">
        <v>132</v>
      </c>
      <c r="AN1317" s="1" t="s">
        <v>132</v>
      </c>
    </row>
    <row r="1318" ht="15.75" customHeight="1">
      <c r="A1318" s="1" t="s">
        <v>38</v>
      </c>
      <c r="B1318" s="1" t="s">
        <v>26262</v>
      </c>
      <c r="C1318" s="1" t="s">
        <v>26263</v>
      </c>
      <c r="D1318" s="8" t="s">
        <v>26264</v>
      </c>
      <c r="E1318" s="1" t="s">
        <v>26265</v>
      </c>
      <c r="F1318" s="1" t="s">
        <v>26266</v>
      </c>
      <c r="G1318" s="1" t="s">
        <v>132</v>
      </c>
      <c r="H1318" s="1" t="s">
        <v>132</v>
      </c>
      <c r="I1318" s="1" t="s">
        <v>26267</v>
      </c>
      <c r="J1318" s="1" t="s">
        <v>132</v>
      </c>
      <c r="K1318" s="1" t="s">
        <v>26268</v>
      </c>
      <c r="L1318" s="1" t="s">
        <v>132</v>
      </c>
      <c r="M1318" s="1" t="s">
        <v>26269</v>
      </c>
      <c r="N1318" s="1" t="s">
        <v>26268</v>
      </c>
      <c r="O1318" s="1" t="s">
        <v>132</v>
      </c>
      <c r="P1318" s="1" t="s">
        <v>26270</v>
      </c>
      <c r="Q1318" s="1" t="s">
        <v>132</v>
      </c>
      <c r="R1318" s="1" t="s">
        <v>132</v>
      </c>
      <c r="S1318" s="1" t="s">
        <v>26271</v>
      </c>
      <c r="T1318" s="1" t="s">
        <v>132</v>
      </c>
      <c r="U1318" s="1" t="s">
        <v>26169</v>
      </c>
      <c r="V1318" s="1" t="s">
        <v>132</v>
      </c>
      <c r="W1318" s="1" t="s">
        <v>132</v>
      </c>
      <c r="X1318" s="1" t="s">
        <v>26272</v>
      </c>
      <c r="Y1318" s="1" t="s">
        <v>132</v>
      </c>
      <c r="Z1318" s="1" t="s">
        <v>26172</v>
      </c>
      <c r="AA1318" s="1" t="s">
        <v>132</v>
      </c>
      <c r="AB1318" s="1" t="s">
        <v>132</v>
      </c>
      <c r="AC1318" s="1" t="s">
        <v>26173</v>
      </c>
      <c r="AD1318" s="1" t="s">
        <v>132</v>
      </c>
      <c r="AE1318" s="1" t="s">
        <v>132</v>
      </c>
      <c r="AF1318" s="1" t="s">
        <v>26273</v>
      </c>
      <c r="AG1318" s="1" t="s">
        <v>26274</v>
      </c>
      <c r="AH1318" s="1" t="s">
        <v>132</v>
      </c>
      <c r="AI1318" s="1" t="s">
        <v>132</v>
      </c>
      <c r="AJ1318" s="1" t="s">
        <v>26275</v>
      </c>
      <c r="AK1318" s="1" t="s">
        <v>132</v>
      </c>
      <c r="AL1318" s="1" t="s">
        <v>132</v>
      </c>
      <c r="AM1318" s="1" t="s">
        <v>26276</v>
      </c>
      <c r="AN1318" s="1" t="s">
        <v>26276</v>
      </c>
    </row>
    <row r="1319" ht="15.75" customHeight="1">
      <c r="A1319" s="1" t="s">
        <v>38</v>
      </c>
      <c r="B1319" s="1" t="s">
        <v>26277</v>
      </c>
      <c r="C1319" s="1" t="s">
        <v>26278</v>
      </c>
      <c r="D1319" s="8" t="s">
        <v>26279</v>
      </c>
      <c r="E1319" s="1" t="s">
        <v>26280</v>
      </c>
      <c r="F1319" s="1" t="s">
        <v>26281</v>
      </c>
      <c r="G1319" s="1" t="s">
        <v>132</v>
      </c>
      <c r="H1319" s="1" t="s">
        <v>132</v>
      </c>
      <c r="I1319" s="1" t="s">
        <v>26282</v>
      </c>
      <c r="J1319" s="1" t="s">
        <v>132</v>
      </c>
      <c r="K1319" s="1" t="s">
        <v>2335</v>
      </c>
      <c r="L1319" s="1" t="s">
        <v>132</v>
      </c>
      <c r="M1319" s="1" t="s">
        <v>26283</v>
      </c>
      <c r="N1319" s="1" t="s">
        <v>26284</v>
      </c>
      <c r="O1319" s="1" t="s">
        <v>132</v>
      </c>
      <c r="P1319" s="1" t="s">
        <v>26285</v>
      </c>
      <c r="Q1319" s="1" t="s">
        <v>26286</v>
      </c>
      <c r="R1319" s="1" t="s">
        <v>132</v>
      </c>
      <c r="S1319" s="1" t="s">
        <v>26287</v>
      </c>
      <c r="T1319" s="1" t="s">
        <v>132</v>
      </c>
      <c r="U1319" s="1" t="s">
        <v>26288</v>
      </c>
      <c r="V1319" s="1" t="s">
        <v>26278</v>
      </c>
      <c r="W1319" s="1" t="s">
        <v>132</v>
      </c>
      <c r="X1319" s="1" t="s">
        <v>26289</v>
      </c>
      <c r="Y1319" s="1" t="s">
        <v>132</v>
      </c>
      <c r="Z1319" s="1" t="s">
        <v>26290</v>
      </c>
      <c r="AA1319" s="1" t="s">
        <v>26291</v>
      </c>
      <c r="AB1319" s="1" t="s">
        <v>132</v>
      </c>
      <c r="AC1319" s="1" t="s">
        <v>26292</v>
      </c>
      <c r="AD1319" s="1" t="s">
        <v>26293</v>
      </c>
      <c r="AE1319" s="1" t="s">
        <v>132</v>
      </c>
      <c r="AF1319" s="1" t="s">
        <v>26294</v>
      </c>
      <c r="AG1319" s="1" t="s">
        <v>26295</v>
      </c>
      <c r="AH1319" s="1" t="s">
        <v>132</v>
      </c>
      <c r="AI1319" s="1" t="s">
        <v>132</v>
      </c>
      <c r="AJ1319" s="1" t="s">
        <v>26296</v>
      </c>
      <c r="AK1319" s="1" t="s">
        <v>26297</v>
      </c>
      <c r="AL1319" s="1" t="s">
        <v>132</v>
      </c>
      <c r="AM1319" s="1" t="s">
        <v>26298</v>
      </c>
      <c r="AN1319" s="1" t="s">
        <v>26298</v>
      </c>
    </row>
    <row r="1320" ht="15.75" customHeight="1">
      <c r="A1320" s="1" t="s">
        <v>38</v>
      </c>
      <c r="B1320" s="1" t="s">
        <v>26299</v>
      </c>
      <c r="C1320" s="1" t="s">
        <v>26300</v>
      </c>
      <c r="D1320" s="1" t="s">
        <v>132</v>
      </c>
      <c r="E1320" s="1" t="s">
        <v>132</v>
      </c>
      <c r="F1320" s="1" t="s">
        <v>132</v>
      </c>
      <c r="G1320" s="1" t="s">
        <v>132</v>
      </c>
      <c r="H1320" s="1" t="s">
        <v>132</v>
      </c>
      <c r="I1320" s="1" t="s">
        <v>26301</v>
      </c>
      <c r="J1320" s="1" t="s">
        <v>132</v>
      </c>
      <c r="K1320" s="1" t="s">
        <v>26302</v>
      </c>
      <c r="L1320" s="1" t="s">
        <v>132</v>
      </c>
      <c r="M1320" s="1" t="s">
        <v>26300</v>
      </c>
      <c r="N1320" s="1" t="s">
        <v>132</v>
      </c>
      <c r="O1320" s="1" t="s">
        <v>132</v>
      </c>
      <c r="P1320" s="1" t="s">
        <v>26300</v>
      </c>
      <c r="Q1320" s="1" t="s">
        <v>132</v>
      </c>
      <c r="R1320" s="1" t="s">
        <v>132</v>
      </c>
      <c r="S1320" s="1" t="s">
        <v>132</v>
      </c>
      <c r="T1320" s="1" t="s">
        <v>132</v>
      </c>
      <c r="U1320" s="1" t="s">
        <v>132</v>
      </c>
      <c r="V1320" s="1" t="s">
        <v>132</v>
      </c>
      <c r="W1320" s="1" t="s">
        <v>132</v>
      </c>
      <c r="X1320" s="1" t="s">
        <v>132</v>
      </c>
      <c r="Y1320" s="1" t="s">
        <v>132</v>
      </c>
      <c r="Z1320" s="1" t="s">
        <v>132</v>
      </c>
      <c r="AA1320" s="1" t="s">
        <v>132</v>
      </c>
      <c r="AB1320" s="1" t="s">
        <v>132</v>
      </c>
      <c r="AC1320" s="1" t="s">
        <v>26303</v>
      </c>
      <c r="AD1320" s="1" t="s">
        <v>132</v>
      </c>
      <c r="AE1320" s="1" t="s">
        <v>132</v>
      </c>
      <c r="AF1320" s="1" t="s">
        <v>26304</v>
      </c>
      <c r="AG1320" s="1" t="s">
        <v>132</v>
      </c>
      <c r="AH1320" s="1" t="s">
        <v>132</v>
      </c>
      <c r="AI1320" s="1" t="s">
        <v>132</v>
      </c>
      <c r="AJ1320" s="1" t="s">
        <v>132</v>
      </c>
      <c r="AK1320" s="1" t="s">
        <v>132</v>
      </c>
      <c r="AL1320" s="1" t="s">
        <v>132</v>
      </c>
      <c r="AM1320" s="1" t="s">
        <v>132</v>
      </c>
      <c r="AN1320" s="1" t="s">
        <v>132</v>
      </c>
    </row>
    <row r="1321" ht="15.75" customHeight="1">
      <c r="A1321" s="1" t="s">
        <v>127</v>
      </c>
      <c r="B1321" s="1" t="s">
        <v>26305</v>
      </c>
      <c r="C1321" s="1" t="s">
        <v>26306</v>
      </c>
      <c r="D1321" s="8" t="s">
        <v>26307</v>
      </c>
      <c r="E1321" s="1" t="s">
        <v>26308</v>
      </c>
      <c r="F1321" s="1" t="s">
        <v>132</v>
      </c>
      <c r="G1321" s="1" t="s">
        <v>26309</v>
      </c>
      <c r="H1321" s="1" t="s">
        <v>26310</v>
      </c>
      <c r="I1321" s="1" t="s">
        <v>26311</v>
      </c>
      <c r="J1321" s="1" t="s">
        <v>26312</v>
      </c>
      <c r="K1321" s="1" t="s">
        <v>26313</v>
      </c>
      <c r="L1321" s="1" t="s">
        <v>26314</v>
      </c>
      <c r="M1321" s="1" t="s">
        <v>26315</v>
      </c>
      <c r="N1321" s="1" t="s">
        <v>132</v>
      </c>
      <c r="O1321" s="1" t="s">
        <v>26316</v>
      </c>
      <c r="P1321" s="1" t="s">
        <v>26306</v>
      </c>
      <c r="Q1321" s="1" t="s">
        <v>132</v>
      </c>
      <c r="R1321" s="1" t="s">
        <v>26317</v>
      </c>
      <c r="S1321" s="1" t="s">
        <v>26318</v>
      </c>
      <c r="T1321" s="8" t="s">
        <v>26319</v>
      </c>
      <c r="U1321" s="1" t="s">
        <v>26320</v>
      </c>
      <c r="V1321" s="1" t="s">
        <v>26321</v>
      </c>
      <c r="W1321" s="1" t="s">
        <v>26322</v>
      </c>
      <c r="X1321" s="1" t="s">
        <v>26323</v>
      </c>
      <c r="Y1321" s="1" t="s">
        <v>26324</v>
      </c>
      <c r="Z1321" s="1" t="s">
        <v>26325</v>
      </c>
      <c r="AA1321" s="1" t="s">
        <v>26326</v>
      </c>
      <c r="AB1321" s="1" t="s">
        <v>26327</v>
      </c>
      <c r="AC1321" s="1" t="s">
        <v>26328</v>
      </c>
      <c r="AD1321" s="1" t="s">
        <v>26329</v>
      </c>
      <c r="AE1321" s="1" t="s">
        <v>26330</v>
      </c>
      <c r="AF1321" s="1" t="s">
        <v>26331</v>
      </c>
      <c r="AG1321" s="1" t="s">
        <v>26332</v>
      </c>
      <c r="AH1321" s="1" t="s">
        <v>26333</v>
      </c>
      <c r="AI1321" s="1" t="s">
        <v>26334</v>
      </c>
      <c r="AJ1321" s="1" t="s">
        <v>132</v>
      </c>
      <c r="AK1321" s="1" t="s">
        <v>26335</v>
      </c>
      <c r="AL1321" s="1" t="s">
        <v>26336</v>
      </c>
      <c r="AM1321" s="1" t="s">
        <v>132</v>
      </c>
      <c r="AN1321" s="1" t="s">
        <v>132</v>
      </c>
    </row>
    <row r="1322" ht="15.75" customHeight="1">
      <c r="A1322" s="1" t="s">
        <v>38</v>
      </c>
      <c r="B1322" s="1" t="s">
        <v>26337</v>
      </c>
      <c r="C1322" s="1" t="s">
        <v>26338</v>
      </c>
      <c r="D1322" s="8" t="s">
        <v>26339</v>
      </c>
      <c r="E1322" s="1" t="s">
        <v>26340</v>
      </c>
      <c r="F1322" s="1" t="s">
        <v>26341</v>
      </c>
      <c r="G1322" s="1" t="s">
        <v>132</v>
      </c>
      <c r="H1322" s="1" t="s">
        <v>132</v>
      </c>
      <c r="I1322" s="1" t="s">
        <v>26342</v>
      </c>
      <c r="J1322" s="1" t="s">
        <v>132</v>
      </c>
      <c r="K1322" s="1" t="s">
        <v>26343</v>
      </c>
      <c r="L1322" s="1" t="s">
        <v>132</v>
      </c>
      <c r="M1322" s="1" t="s">
        <v>26344</v>
      </c>
      <c r="N1322" s="1" t="s">
        <v>26345</v>
      </c>
      <c r="O1322" s="1" t="s">
        <v>132</v>
      </c>
      <c r="P1322" s="1" t="s">
        <v>26346</v>
      </c>
      <c r="Q1322" s="1" t="s">
        <v>26347</v>
      </c>
      <c r="R1322" s="1" t="s">
        <v>132</v>
      </c>
      <c r="S1322" s="1" t="s">
        <v>26348</v>
      </c>
      <c r="T1322" s="1" t="s">
        <v>132</v>
      </c>
      <c r="U1322" s="1" t="s">
        <v>26349</v>
      </c>
      <c r="V1322" s="1" t="s">
        <v>26350</v>
      </c>
      <c r="W1322" s="1" t="s">
        <v>132</v>
      </c>
      <c r="X1322" s="1" t="s">
        <v>26351</v>
      </c>
      <c r="Y1322" s="1" t="s">
        <v>132</v>
      </c>
      <c r="Z1322" s="1" t="s">
        <v>26352</v>
      </c>
      <c r="AA1322" s="1" t="s">
        <v>26353</v>
      </c>
      <c r="AB1322" s="1" t="s">
        <v>132</v>
      </c>
      <c r="AC1322" s="1" t="s">
        <v>26354</v>
      </c>
      <c r="AD1322" s="1" t="s">
        <v>26355</v>
      </c>
      <c r="AE1322" s="1" t="s">
        <v>132</v>
      </c>
      <c r="AF1322" s="1" t="s">
        <v>26356</v>
      </c>
      <c r="AG1322" s="1" t="s">
        <v>26357</v>
      </c>
      <c r="AH1322" s="1" t="s">
        <v>132</v>
      </c>
      <c r="AI1322" s="1" t="s">
        <v>132</v>
      </c>
      <c r="AJ1322" s="1" t="s">
        <v>26358</v>
      </c>
      <c r="AK1322" s="1" t="s">
        <v>26359</v>
      </c>
      <c r="AL1322" s="1" t="s">
        <v>132</v>
      </c>
      <c r="AM1322" s="1" t="s">
        <v>26360</v>
      </c>
      <c r="AN1322" s="1" t="s">
        <v>26360</v>
      </c>
    </row>
    <row r="1323" ht="15.75" customHeight="1">
      <c r="A1323" s="1" t="s">
        <v>38</v>
      </c>
      <c r="B1323" s="1" t="s">
        <v>26361</v>
      </c>
      <c r="C1323" s="1" t="s">
        <v>26362</v>
      </c>
      <c r="D1323" s="8" t="s">
        <v>26363</v>
      </c>
      <c r="E1323" s="1" t="s">
        <v>26364</v>
      </c>
      <c r="F1323" s="1" t="s">
        <v>26365</v>
      </c>
      <c r="G1323" s="1" t="s">
        <v>132</v>
      </c>
      <c r="H1323" s="1" t="s">
        <v>132</v>
      </c>
      <c r="I1323" s="1" t="s">
        <v>26366</v>
      </c>
      <c r="J1323" s="1" t="s">
        <v>132</v>
      </c>
      <c r="K1323" s="1" t="s">
        <v>26367</v>
      </c>
      <c r="L1323" s="1" t="s">
        <v>132</v>
      </c>
      <c r="M1323" s="1" t="s">
        <v>26368</v>
      </c>
      <c r="N1323" s="1" t="s">
        <v>26367</v>
      </c>
      <c r="O1323" s="1" t="s">
        <v>132</v>
      </c>
      <c r="P1323" s="1" t="s">
        <v>26369</v>
      </c>
      <c r="Q1323" s="1" t="s">
        <v>26370</v>
      </c>
      <c r="R1323" s="1" t="s">
        <v>132</v>
      </c>
      <c r="S1323" s="1" t="s">
        <v>26371</v>
      </c>
      <c r="T1323" s="1" t="s">
        <v>132</v>
      </c>
      <c r="U1323" s="1" t="s">
        <v>26372</v>
      </c>
      <c r="V1323" s="1" t="s">
        <v>26373</v>
      </c>
      <c r="W1323" s="1" t="s">
        <v>132</v>
      </c>
      <c r="X1323" s="1" t="s">
        <v>26374</v>
      </c>
      <c r="Y1323" s="1" t="s">
        <v>132</v>
      </c>
      <c r="Z1323" s="1" t="s">
        <v>26375</v>
      </c>
      <c r="AA1323" s="1" t="s">
        <v>26376</v>
      </c>
      <c r="AB1323" s="1" t="s">
        <v>132</v>
      </c>
      <c r="AC1323" s="1" t="s">
        <v>26377</v>
      </c>
      <c r="AD1323" s="1" t="s">
        <v>26378</v>
      </c>
      <c r="AE1323" s="1" t="s">
        <v>132</v>
      </c>
      <c r="AF1323" s="1" t="s">
        <v>26379</v>
      </c>
      <c r="AG1323" s="1" t="s">
        <v>26380</v>
      </c>
      <c r="AH1323" s="1" t="s">
        <v>132</v>
      </c>
      <c r="AI1323" s="1" t="s">
        <v>132</v>
      </c>
      <c r="AJ1323" s="1" t="s">
        <v>26381</v>
      </c>
      <c r="AK1323" s="1" t="s">
        <v>26382</v>
      </c>
      <c r="AL1323" s="1" t="s">
        <v>132</v>
      </c>
      <c r="AM1323" s="1" t="s">
        <v>26383</v>
      </c>
      <c r="AN1323" s="1" t="s">
        <v>26383</v>
      </c>
    </row>
    <row r="1324" ht="15.75" customHeight="1">
      <c r="A1324" s="1" t="s">
        <v>127</v>
      </c>
      <c r="B1324" s="1" t="s">
        <v>26384</v>
      </c>
      <c r="C1324" s="1" t="s">
        <v>26385</v>
      </c>
      <c r="D1324" s="8" t="s">
        <v>26386</v>
      </c>
      <c r="E1324" s="1" t="s">
        <v>26387</v>
      </c>
      <c r="F1324" s="1" t="s">
        <v>132</v>
      </c>
      <c r="G1324" s="1" t="s">
        <v>26388</v>
      </c>
      <c r="H1324" s="1" t="s">
        <v>26389</v>
      </c>
      <c r="I1324" s="1" t="s">
        <v>26390</v>
      </c>
      <c r="J1324" s="1" t="s">
        <v>26391</v>
      </c>
      <c r="K1324" s="1" t="s">
        <v>26392</v>
      </c>
      <c r="L1324" s="1" t="s">
        <v>26393</v>
      </c>
      <c r="M1324" s="1" t="s">
        <v>26394</v>
      </c>
      <c r="N1324" s="1" t="s">
        <v>132</v>
      </c>
      <c r="O1324" s="1" t="s">
        <v>26395</v>
      </c>
      <c r="P1324" s="1" t="s">
        <v>26396</v>
      </c>
      <c r="Q1324" s="1" t="s">
        <v>132</v>
      </c>
      <c r="R1324" s="1" t="s">
        <v>26397</v>
      </c>
      <c r="S1324" s="1" t="s">
        <v>26398</v>
      </c>
      <c r="T1324" s="8" t="s">
        <v>26399</v>
      </c>
      <c r="U1324" s="1" t="s">
        <v>26400</v>
      </c>
      <c r="V1324" s="1" t="s">
        <v>26401</v>
      </c>
      <c r="W1324" s="1" t="s">
        <v>26402</v>
      </c>
      <c r="X1324" s="1" t="s">
        <v>26403</v>
      </c>
      <c r="Y1324" s="1" t="s">
        <v>26404</v>
      </c>
      <c r="Z1324" s="1" t="s">
        <v>26405</v>
      </c>
      <c r="AA1324" s="1" t="s">
        <v>26406</v>
      </c>
      <c r="AB1324" s="1" t="s">
        <v>26407</v>
      </c>
      <c r="AC1324" s="1" t="s">
        <v>26408</v>
      </c>
      <c r="AD1324" s="1" t="s">
        <v>26409</v>
      </c>
      <c r="AE1324" s="1" t="s">
        <v>26410</v>
      </c>
      <c r="AF1324" s="1" t="s">
        <v>26410</v>
      </c>
      <c r="AG1324" s="1" t="s">
        <v>26411</v>
      </c>
      <c r="AH1324" s="1" t="s">
        <v>26412</v>
      </c>
      <c r="AI1324" s="1" t="s">
        <v>26413</v>
      </c>
      <c r="AJ1324" s="1" t="s">
        <v>132</v>
      </c>
      <c r="AK1324" s="1" t="s">
        <v>26414</v>
      </c>
      <c r="AL1324" s="1" t="s">
        <v>26415</v>
      </c>
      <c r="AM1324" s="1" t="s">
        <v>132</v>
      </c>
      <c r="AN1324" s="1" t="s">
        <v>132</v>
      </c>
    </row>
    <row r="1325" ht="15.75" customHeight="1">
      <c r="A1325" s="1" t="s">
        <v>38</v>
      </c>
      <c r="B1325" s="1" t="s">
        <v>26416</v>
      </c>
      <c r="C1325" s="1" t="s">
        <v>26417</v>
      </c>
      <c r="D1325" s="8" t="s">
        <v>26418</v>
      </c>
      <c r="E1325" s="1" t="s">
        <v>26419</v>
      </c>
      <c r="F1325" s="1" t="s">
        <v>26420</v>
      </c>
      <c r="G1325" s="1" t="s">
        <v>132</v>
      </c>
      <c r="H1325" s="1" t="s">
        <v>132</v>
      </c>
      <c r="I1325" s="1" t="s">
        <v>26421</v>
      </c>
      <c r="J1325" s="1" t="s">
        <v>132</v>
      </c>
      <c r="K1325" s="1" t="s">
        <v>26422</v>
      </c>
      <c r="L1325" s="1" t="s">
        <v>132</v>
      </c>
      <c r="M1325" s="1" t="s">
        <v>26423</v>
      </c>
      <c r="N1325" s="1" t="s">
        <v>26424</v>
      </c>
      <c r="O1325" s="1" t="s">
        <v>132</v>
      </c>
      <c r="P1325" s="1" t="s">
        <v>26425</v>
      </c>
      <c r="Q1325" s="1" t="s">
        <v>26426</v>
      </c>
      <c r="R1325" s="1" t="s">
        <v>132</v>
      </c>
      <c r="S1325" s="1" t="s">
        <v>26427</v>
      </c>
      <c r="T1325" s="1" t="s">
        <v>132</v>
      </c>
      <c r="U1325" s="1" t="s">
        <v>26428</v>
      </c>
      <c r="V1325" s="1" t="s">
        <v>26429</v>
      </c>
      <c r="W1325" s="1" t="s">
        <v>132</v>
      </c>
      <c r="X1325" s="1" t="s">
        <v>26430</v>
      </c>
      <c r="Y1325" s="1" t="s">
        <v>132</v>
      </c>
      <c r="Z1325" s="1" t="s">
        <v>26431</v>
      </c>
      <c r="AA1325" s="1" t="s">
        <v>26432</v>
      </c>
      <c r="AB1325" s="1" t="s">
        <v>132</v>
      </c>
      <c r="AC1325" s="1" t="s">
        <v>26433</v>
      </c>
      <c r="AD1325" s="1" t="s">
        <v>132</v>
      </c>
      <c r="AE1325" s="1" t="s">
        <v>132</v>
      </c>
      <c r="AF1325" s="1" t="s">
        <v>26434</v>
      </c>
      <c r="AG1325" s="1" t="s">
        <v>26435</v>
      </c>
      <c r="AH1325" s="1" t="s">
        <v>132</v>
      </c>
      <c r="AI1325" s="1" t="s">
        <v>132</v>
      </c>
      <c r="AJ1325" s="1" t="s">
        <v>26436</v>
      </c>
      <c r="AK1325" s="1" t="s">
        <v>26437</v>
      </c>
      <c r="AL1325" s="1" t="s">
        <v>132</v>
      </c>
      <c r="AM1325" s="1" t="s">
        <v>26438</v>
      </c>
      <c r="AN1325" s="1" t="s">
        <v>26438</v>
      </c>
    </row>
    <row r="1326" ht="15.75" customHeight="1">
      <c r="A1326" s="1" t="s">
        <v>127</v>
      </c>
      <c r="B1326" s="1" t="s">
        <v>26439</v>
      </c>
      <c r="C1326" s="1" t="s">
        <v>26440</v>
      </c>
      <c r="D1326" s="8" t="s">
        <v>26441</v>
      </c>
      <c r="E1326" s="1" t="s">
        <v>24730</v>
      </c>
      <c r="F1326" s="1" t="s">
        <v>132</v>
      </c>
      <c r="G1326" s="1" t="s">
        <v>24750</v>
      </c>
      <c r="H1326" s="1" t="s">
        <v>24732</v>
      </c>
      <c r="I1326" s="1" t="s">
        <v>26442</v>
      </c>
      <c r="J1326" s="1" t="s">
        <v>26443</v>
      </c>
      <c r="K1326" s="1" t="s">
        <v>24735</v>
      </c>
      <c r="L1326" s="1" t="s">
        <v>24736</v>
      </c>
      <c r="M1326" s="1" t="s">
        <v>24737</v>
      </c>
      <c r="N1326" s="1" t="s">
        <v>132</v>
      </c>
      <c r="O1326" s="1" t="s">
        <v>26444</v>
      </c>
      <c r="P1326" s="1" t="s">
        <v>24739</v>
      </c>
      <c r="Q1326" s="1" t="s">
        <v>132</v>
      </c>
      <c r="R1326" s="1" t="s">
        <v>24740</v>
      </c>
      <c r="S1326" s="1" t="s">
        <v>24741</v>
      </c>
      <c r="T1326" s="8" t="s">
        <v>24742</v>
      </c>
      <c r="U1326" s="1" t="s">
        <v>24743</v>
      </c>
      <c r="V1326" s="1" t="s">
        <v>24744</v>
      </c>
      <c r="W1326" s="1" t="s">
        <v>24740</v>
      </c>
      <c r="X1326" s="1" t="s">
        <v>24745</v>
      </c>
      <c r="Y1326" s="1" t="s">
        <v>24746</v>
      </c>
      <c r="Z1326" s="1" t="s">
        <v>24747</v>
      </c>
      <c r="AA1326" s="1" t="s">
        <v>24748</v>
      </c>
      <c r="AB1326" s="1" t="s">
        <v>26445</v>
      </c>
      <c r="AC1326" s="1" t="s">
        <v>24730</v>
      </c>
      <c r="AD1326" s="1" t="s">
        <v>26446</v>
      </c>
      <c r="AE1326" s="1" t="s">
        <v>26447</v>
      </c>
      <c r="AF1326" s="1" t="s">
        <v>24752</v>
      </c>
      <c r="AG1326" s="1" t="s">
        <v>24732</v>
      </c>
      <c r="AH1326" s="1" t="s">
        <v>24753</v>
      </c>
      <c r="AI1326" s="1" t="s">
        <v>26448</v>
      </c>
      <c r="AJ1326" s="1" t="s">
        <v>132</v>
      </c>
      <c r="AK1326" s="1" t="s">
        <v>24755</v>
      </c>
      <c r="AL1326" s="1" t="s">
        <v>26449</v>
      </c>
      <c r="AM1326" s="1" t="s">
        <v>26450</v>
      </c>
      <c r="AN1326" s="1" t="s">
        <v>26450</v>
      </c>
    </row>
    <row r="1327" ht="15.75" customHeight="1">
      <c r="A1327" s="1" t="s">
        <v>38</v>
      </c>
      <c r="B1327" s="1" t="s">
        <v>26451</v>
      </c>
      <c r="C1327" s="1" t="s">
        <v>26452</v>
      </c>
      <c r="D1327" s="1" t="s">
        <v>132</v>
      </c>
      <c r="E1327" s="1" t="s">
        <v>132</v>
      </c>
      <c r="F1327" s="1" t="s">
        <v>132</v>
      </c>
      <c r="G1327" s="1" t="s">
        <v>132</v>
      </c>
      <c r="H1327" s="1" t="s">
        <v>132</v>
      </c>
      <c r="I1327" s="1" t="s">
        <v>26453</v>
      </c>
      <c r="J1327" s="1" t="s">
        <v>132</v>
      </c>
      <c r="K1327" s="1" t="s">
        <v>26454</v>
      </c>
      <c r="L1327" s="1" t="s">
        <v>132</v>
      </c>
      <c r="M1327" s="1" t="s">
        <v>26455</v>
      </c>
      <c r="N1327" s="1" t="s">
        <v>132</v>
      </c>
      <c r="O1327" s="1" t="s">
        <v>132</v>
      </c>
      <c r="P1327" s="1" t="s">
        <v>26456</v>
      </c>
      <c r="Q1327" s="1" t="s">
        <v>132</v>
      </c>
      <c r="R1327" s="1" t="s">
        <v>132</v>
      </c>
      <c r="S1327" s="1" t="s">
        <v>132</v>
      </c>
      <c r="T1327" s="1" t="s">
        <v>132</v>
      </c>
      <c r="U1327" s="1" t="s">
        <v>132</v>
      </c>
      <c r="V1327" s="1" t="s">
        <v>132</v>
      </c>
      <c r="W1327" s="1" t="s">
        <v>132</v>
      </c>
      <c r="X1327" s="1" t="s">
        <v>132</v>
      </c>
      <c r="Y1327" s="1" t="s">
        <v>132</v>
      </c>
      <c r="Z1327" s="1" t="s">
        <v>132</v>
      </c>
      <c r="AA1327" s="1" t="s">
        <v>132</v>
      </c>
      <c r="AB1327" s="1" t="s">
        <v>132</v>
      </c>
      <c r="AC1327" s="1" t="s">
        <v>26458</v>
      </c>
      <c r="AD1327" s="1" t="s">
        <v>132</v>
      </c>
      <c r="AE1327" s="1" t="s">
        <v>132</v>
      </c>
      <c r="AF1327" s="1" t="s">
        <v>26459</v>
      </c>
      <c r="AG1327" s="1" t="s">
        <v>132</v>
      </c>
      <c r="AH1327" s="1" t="s">
        <v>132</v>
      </c>
      <c r="AI1327" s="1" t="s">
        <v>132</v>
      </c>
      <c r="AJ1327" s="1" t="s">
        <v>132</v>
      </c>
      <c r="AK1327" s="1" t="s">
        <v>132</v>
      </c>
      <c r="AL1327" s="1" t="s">
        <v>132</v>
      </c>
      <c r="AM1327" s="1" t="s">
        <v>132</v>
      </c>
      <c r="AN1327" s="1" t="s">
        <v>132</v>
      </c>
    </row>
    <row r="1328" ht="15.75" customHeight="1">
      <c r="A1328" s="1" t="s">
        <v>38</v>
      </c>
      <c r="B1328" s="1" t="s">
        <v>26460</v>
      </c>
      <c r="C1328" s="1" t="s">
        <v>132</v>
      </c>
      <c r="D1328" s="1" t="s">
        <v>132</v>
      </c>
      <c r="E1328" s="1" t="s">
        <v>132</v>
      </c>
      <c r="F1328" s="1" t="s">
        <v>132</v>
      </c>
      <c r="G1328" s="1" t="s">
        <v>132</v>
      </c>
      <c r="H1328" s="1" t="s">
        <v>132</v>
      </c>
      <c r="I1328" s="1" t="s">
        <v>132</v>
      </c>
      <c r="J1328" s="1" t="s">
        <v>132</v>
      </c>
      <c r="K1328" s="1" t="s">
        <v>132</v>
      </c>
      <c r="L1328" s="1" t="s">
        <v>132</v>
      </c>
      <c r="M1328" s="1" t="s">
        <v>132</v>
      </c>
      <c r="N1328" s="1" t="s">
        <v>132</v>
      </c>
      <c r="O1328" s="1" t="s">
        <v>132</v>
      </c>
      <c r="P1328" s="1" t="s">
        <v>132</v>
      </c>
      <c r="Q1328" s="1" t="s">
        <v>132</v>
      </c>
      <c r="R1328" s="1" t="s">
        <v>132</v>
      </c>
      <c r="S1328" s="1" t="s">
        <v>132</v>
      </c>
      <c r="T1328" s="1" t="s">
        <v>132</v>
      </c>
      <c r="U1328" s="1" t="s">
        <v>132</v>
      </c>
      <c r="V1328" s="1" t="s">
        <v>132</v>
      </c>
      <c r="W1328" s="1" t="s">
        <v>132</v>
      </c>
      <c r="X1328" s="1" t="s">
        <v>132</v>
      </c>
      <c r="Y1328" s="1" t="s">
        <v>132</v>
      </c>
      <c r="Z1328" s="1" t="s">
        <v>132</v>
      </c>
      <c r="AA1328" s="1" t="s">
        <v>132</v>
      </c>
      <c r="AB1328" s="1" t="s">
        <v>132</v>
      </c>
      <c r="AC1328" s="1" t="s">
        <v>132</v>
      </c>
      <c r="AD1328" s="1" t="s">
        <v>132</v>
      </c>
      <c r="AE1328" s="1" t="s">
        <v>132</v>
      </c>
      <c r="AF1328" s="1" t="s">
        <v>132</v>
      </c>
      <c r="AG1328" s="1" t="s">
        <v>132</v>
      </c>
      <c r="AH1328" s="1" t="s">
        <v>132</v>
      </c>
      <c r="AI1328" s="1" t="s">
        <v>132</v>
      </c>
      <c r="AJ1328" s="1" t="s">
        <v>132</v>
      </c>
      <c r="AK1328" s="1" t="s">
        <v>132</v>
      </c>
      <c r="AL1328" s="1" t="s">
        <v>132</v>
      </c>
      <c r="AM1328" s="1" t="s">
        <v>132</v>
      </c>
      <c r="AN1328" s="1" t="s">
        <v>132</v>
      </c>
    </row>
    <row r="1329" ht="15.75" customHeight="1">
      <c r="A1329" s="1" t="s">
        <v>127</v>
      </c>
      <c r="B1329" s="1" t="s">
        <v>26461</v>
      </c>
      <c r="C1329" s="1" t="s">
        <v>5555</v>
      </c>
      <c r="D1329" s="8" t="s">
        <v>5556</v>
      </c>
      <c r="E1329" s="1" t="s">
        <v>5557</v>
      </c>
      <c r="F1329" s="1" t="s">
        <v>132</v>
      </c>
      <c r="G1329" s="1" t="s">
        <v>5558</v>
      </c>
      <c r="H1329" s="1" t="s">
        <v>5559</v>
      </c>
      <c r="I1329" s="1" t="s">
        <v>5560</v>
      </c>
      <c r="J1329" s="1" t="s">
        <v>26462</v>
      </c>
      <c r="K1329" s="1" t="s">
        <v>5562</v>
      </c>
      <c r="L1329" s="1" t="s">
        <v>5563</v>
      </c>
      <c r="M1329" s="1" t="s">
        <v>5564</v>
      </c>
      <c r="N1329" s="1" t="s">
        <v>132</v>
      </c>
      <c r="O1329" s="1" t="s">
        <v>5565</v>
      </c>
      <c r="P1329" s="1" t="s">
        <v>5566</v>
      </c>
      <c r="Q1329" s="1" t="s">
        <v>132</v>
      </c>
      <c r="R1329" s="1" t="s">
        <v>5567</v>
      </c>
      <c r="S1329" s="1" t="s">
        <v>5568</v>
      </c>
      <c r="T1329" s="8" t="s">
        <v>5569</v>
      </c>
      <c r="U1329" s="1" t="s">
        <v>5570</v>
      </c>
      <c r="V1329" s="1" t="s">
        <v>5571</v>
      </c>
      <c r="W1329" s="1" t="s">
        <v>5567</v>
      </c>
      <c r="X1329" s="1" t="s">
        <v>5572</v>
      </c>
      <c r="Y1329" s="1" t="s">
        <v>5559</v>
      </c>
      <c r="Z1329" s="1" t="s">
        <v>5573</v>
      </c>
      <c r="AA1329" s="1" t="s">
        <v>5574</v>
      </c>
      <c r="AB1329" s="1" t="s">
        <v>5575</v>
      </c>
      <c r="AC1329" s="1" t="s">
        <v>5576</v>
      </c>
      <c r="AD1329" s="1" t="s">
        <v>5577</v>
      </c>
      <c r="AE1329" s="1" t="s">
        <v>5578</v>
      </c>
      <c r="AF1329" s="1" t="s">
        <v>5578</v>
      </c>
      <c r="AG1329" s="1" t="s">
        <v>5579</v>
      </c>
      <c r="AH1329" s="1" t="s">
        <v>5580</v>
      </c>
      <c r="AI1329" s="1" t="s">
        <v>5581</v>
      </c>
      <c r="AJ1329" s="1" t="s">
        <v>132</v>
      </c>
      <c r="AK1329" s="1" t="s">
        <v>5582</v>
      </c>
      <c r="AL1329" s="1" t="s">
        <v>5583</v>
      </c>
      <c r="AM1329" s="1" t="s">
        <v>5584</v>
      </c>
      <c r="AN1329" s="1" t="s">
        <v>5584</v>
      </c>
    </row>
    <row r="1330" ht="15.75" customHeight="1">
      <c r="A1330" s="1" t="s">
        <v>127</v>
      </c>
      <c r="B1330" s="1" t="s">
        <v>26463</v>
      </c>
      <c r="C1330" s="1" t="s">
        <v>26464</v>
      </c>
      <c r="D1330" s="8" t="s">
        <v>26465</v>
      </c>
      <c r="E1330" s="1" t="s">
        <v>26466</v>
      </c>
      <c r="F1330" s="1" t="s">
        <v>132</v>
      </c>
      <c r="G1330" s="1" t="s">
        <v>26467</v>
      </c>
      <c r="H1330" s="1" t="s">
        <v>26468</v>
      </c>
      <c r="I1330" s="1" t="s">
        <v>26469</v>
      </c>
      <c r="J1330" s="1" t="s">
        <v>26470</v>
      </c>
      <c r="K1330" s="1" t="s">
        <v>26471</v>
      </c>
      <c r="L1330" s="1" t="s">
        <v>26472</v>
      </c>
      <c r="M1330" s="1" t="s">
        <v>26473</v>
      </c>
      <c r="N1330" s="1" t="s">
        <v>132</v>
      </c>
      <c r="O1330" s="1" t="s">
        <v>26474</v>
      </c>
      <c r="P1330" s="1" t="s">
        <v>26475</v>
      </c>
      <c r="Q1330" s="1" t="s">
        <v>132</v>
      </c>
      <c r="R1330" s="1" t="s">
        <v>26476</v>
      </c>
      <c r="S1330" s="1" t="s">
        <v>26477</v>
      </c>
      <c r="T1330" s="8" t="s">
        <v>26478</v>
      </c>
      <c r="U1330" s="1" t="s">
        <v>26479</v>
      </c>
      <c r="V1330" s="1" t="s">
        <v>26480</v>
      </c>
      <c r="W1330" s="1" t="s">
        <v>26481</v>
      </c>
      <c r="X1330" s="1" t="s">
        <v>26482</v>
      </c>
      <c r="Y1330" s="1" t="s">
        <v>26483</v>
      </c>
      <c r="Z1330" s="1" t="s">
        <v>26484</v>
      </c>
      <c r="AA1330" s="1" t="s">
        <v>26485</v>
      </c>
      <c r="AB1330" s="1" t="s">
        <v>26486</v>
      </c>
      <c r="AC1330" s="1" t="s">
        <v>26487</v>
      </c>
      <c r="AD1330" s="1" t="s">
        <v>26488</v>
      </c>
      <c r="AE1330" s="1" t="s">
        <v>26489</v>
      </c>
      <c r="AF1330" s="1" t="s">
        <v>26490</v>
      </c>
      <c r="AG1330" s="1" t="s">
        <v>26491</v>
      </c>
      <c r="AH1330" s="1" t="s">
        <v>26492</v>
      </c>
      <c r="AI1330" s="1" t="s">
        <v>26493</v>
      </c>
      <c r="AJ1330" s="1" t="s">
        <v>132</v>
      </c>
      <c r="AK1330" s="1" t="s">
        <v>26494</v>
      </c>
      <c r="AL1330" s="1" t="s">
        <v>26495</v>
      </c>
      <c r="AM1330" s="1" t="s">
        <v>132</v>
      </c>
      <c r="AN1330" s="1" t="s">
        <v>132</v>
      </c>
    </row>
    <row r="1331" ht="15.75" customHeight="1">
      <c r="A1331" s="1" t="s">
        <v>38</v>
      </c>
      <c r="B1331" s="1" t="s">
        <v>26496</v>
      </c>
      <c r="C1331" s="1" t="s">
        <v>26497</v>
      </c>
      <c r="D1331" s="8" t="s">
        <v>26498</v>
      </c>
      <c r="E1331" s="1" t="s">
        <v>26499</v>
      </c>
      <c r="F1331" s="1" t="s">
        <v>26500</v>
      </c>
      <c r="G1331" s="1" t="s">
        <v>132</v>
      </c>
      <c r="H1331" s="1" t="s">
        <v>132</v>
      </c>
      <c r="I1331" s="1" t="s">
        <v>26501</v>
      </c>
      <c r="J1331" s="1" t="s">
        <v>132</v>
      </c>
      <c r="K1331" s="1" t="s">
        <v>26502</v>
      </c>
      <c r="L1331" s="1" t="s">
        <v>132</v>
      </c>
      <c r="M1331" s="1" t="s">
        <v>26503</v>
      </c>
      <c r="N1331" s="1" t="s">
        <v>26504</v>
      </c>
      <c r="O1331" s="1" t="s">
        <v>132</v>
      </c>
      <c r="P1331" s="1" t="s">
        <v>26505</v>
      </c>
      <c r="Q1331" s="1" t="s">
        <v>132</v>
      </c>
      <c r="R1331" s="1" t="s">
        <v>132</v>
      </c>
      <c r="S1331" s="1" t="s">
        <v>26506</v>
      </c>
      <c r="T1331" s="1" t="s">
        <v>132</v>
      </c>
      <c r="U1331" s="1" t="s">
        <v>26507</v>
      </c>
      <c r="V1331" s="1" t="s">
        <v>132</v>
      </c>
      <c r="W1331" s="1" t="s">
        <v>132</v>
      </c>
      <c r="X1331" s="1" t="s">
        <v>26508</v>
      </c>
      <c r="Y1331" s="1" t="s">
        <v>132</v>
      </c>
      <c r="Z1331" s="1" t="s">
        <v>26509</v>
      </c>
      <c r="AA1331" s="1" t="s">
        <v>132</v>
      </c>
      <c r="AB1331" s="1" t="s">
        <v>132</v>
      </c>
      <c r="AC1331" s="1" t="s">
        <v>26510</v>
      </c>
      <c r="AD1331" s="1" t="s">
        <v>132</v>
      </c>
      <c r="AE1331" s="1" t="s">
        <v>132</v>
      </c>
      <c r="AF1331" s="1" t="s">
        <v>26511</v>
      </c>
      <c r="AG1331" s="1" t="s">
        <v>132</v>
      </c>
      <c r="AH1331" s="1" t="s">
        <v>132</v>
      </c>
      <c r="AI1331" s="1" t="s">
        <v>132</v>
      </c>
      <c r="AJ1331" s="1" t="s">
        <v>132</v>
      </c>
      <c r="AK1331" s="1" t="s">
        <v>132</v>
      </c>
      <c r="AL1331" s="1" t="s">
        <v>132</v>
      </c>
      <c r="AM1331" s="1" t="s">
        <v>132</v>
      </c>
      <c r="AN1331" s="1" t="s">
        <v>132</v>
      </c>
    </row>
    <row r="1332" ht="15.75" customHeight="1">
      <c r="A1332" s="1" t="s">
        <v>43182</v>
      </c>
      <c r="B1332" s="1" t="s">
        <v>43279</v>
      </c>
      <c r="C1332" s="1" t="s">
        <v>43192</v>
      </c>
      <c r="D1332" s="1" t="s">
        <v>132</v>
      </c>
      <c r="E1332" s="1" t="s">
        <v>132</v>
      </c>
      <c r="F1332" s="1" t="s">
        <v>132</v>
      </c>
      <c r="G1332" s="1" t="s">
        <v>132</v>
      </c>
      <c r="H1332" s="1" t="s">
        <v>132</v>
      </c>
      <c r="I1332" s="1" t="s">
        <v>132</v>
      </c>
      <c r="J1332" s="1" t="s">
        <v>132</v>
      </c>
      <c r="K1332" s="1" t="s">
        <v>132</v>
      </c>
      <c r="L1332" s="1" t="s">
        <v>132</v>
      </c>
      <c r="M1332" s="1" t="s">
        <v>132</v>
      </c>
      <c r="N1332" s="1" t="s">
        <v>132</v>
      </c>
      <c r="O1332" s="1" t="s">
        <v>132</v>
      </c>
      <c r="P1332" s="1" t="s">
        <v>132</v>
      </c>
      <c r="Q1332" s="1" t="s">
        <v>132</v>
      </c>
      <c r="R1332" s="1" t="s">
        <v>132</v>
      </c>
      <c r="S1332" s="1" t="s">
        <v>132</v>
      </c>
      <c r="T1332" s="1" t="s">
        <v>132</v>
      </c>
      <c r="U1332" s="1" t="s">
        <v>132</v>
      </c>
      <c r="V1332" s="1" t="s">
        <v>132</v>
      </c>
      <c r="W1332" s="1" t="s">
        <v>132</v>
      </c>
      <c r="X1332" s="1" t="s">
        <v>132</v>
      </c>
      <c r="Y1332" s="1" t="s">
        <v>132</v>
      </c>
      <c r="Z1332" s="1" t="s">
        <v>132</v>
      </c>
      <c r="AA1332" s="1" t="s">
        <v>132</v>
      </c>
      <c r="AB1332" s="1" t="s">
        <v>132</v>
      </c>
      <c r="AC1332" s="1" t="s">
        <v>132</v>
      </c>
      <c r="AD1332" s="1" t="s">
        <v>132</v>
      </c>
      <c r="AE1332" s="1" t="s">
        <v>132</v>
      </c>
      <c r="AF1332" s="1" t="s">
        <v>132</v>
      </c>
      <c r="AG1332" s="1" t="s">
        <v>132</v>
      </c>
      <c r="AH1332" s="1" t="s">
        <v>132</v>
      </c>
      <c r="AI1332" s="1" t="s">
        <v>132</v>
      </c>
      <c r="AJ1332" s="1" t="s">
        <v>132</v>
      </c>
      <c r="AK1332" s="1" t="s">
        <v>132</v>
      </c>
      <c r="AL1332" s="1" t="s">
        <v>132</v>
      </c>
      <c r="AM1332" s="1" t="s">
        <v>132</v>
      </c>
      <c r="AN1332" s="1" t="s">
        <v>132</v>
      </c>
    </row>
    <row r="1333" ht="15.75" customHeight="1">
      <c r="A1333" s="1" t="s">
        <v>43182</v>
      </c>
      <c r="B1333" s="1" t="s">
        <v>43280</v>
      </c>
      <c r="C1333" s="1" t="s">
        <v>43194</v>
      </c>
      <c r="D1333" s="1" t="s">
        <v>132</v>
      </c>
      <c r="E1333" s="1" t="s">
        <v>132</v>
      </c>
      <c r="F1333" s="1" t="s">
        <v>132</v>
      </c>
      <c r="G1333" s="1" t="s">
        <v>132</v>
      </c>
      <c r="H1333" s="1" t="s">
        <v>132</v>
      </c>
      <c r="I1333" s="1" t="s">
        <v>132</v>
      </c>
      <c r="J1333" s="1" t="s">
        <v>132</v>
      </c>
      <c r="K1333" s="1" t="s">
        <v>132</v>
      </c>
      <c r="L1333" s="1" t="s">
        <v>132</v>
      </c>
      <c r="M1333" s="1" t="s">
        <v>132</v>
      </c>
      <c r="N1333" s="1" t="s">
        <v>132</v>
      </c>
      <c r="O1333" s="1" t="s">
        <v>132</v>
      </c>
      <c r="P1333" s="1" t="s">
        <v>132</v>
      </c>
      <c r="Q1333" s="1" t="s">
        <v>132</v>
      </c>
      <c r="R1333" s="1" t="s">
        <v>132</v>
      </c>
      <c r="S1333" s="1" t="s">
        <v>132</v>
      </c>
      <c r="T1333" s="1" t="s">
        <v>132</v>
      </c>
      <c r="U1333" s="1" t="s">
        <v>132</v>
      </c>
      <c r="V1333" s="1" t="s">
        <v>132</v>
      </c>
      <c r="W1333" s="1" t="s">
        <v>132</v>
      </c>
      <c r="X1333" s="1" t="s">
        <v>132</v>
      </c>
      <c r="Y1333" s="1" t="s">
        <v>132</v>
      </c>
      <c r="Z1333" s="1" t="s">
        <v>132</v>
      </c>
      <c r="AA1333" s="1" t="s">
        <v>132</v>
      </c>
      <c r="AB1333" s="1" t="s">
        <v>132</v>
      </c>
      <c r="AC1333" s="1" t="s">
        <v>132</v>
      </c>
      <c r="AD1333" s="1" t="s">
        <v>132</v>
      </c>
      <c r="AE1333" s="1" t="s">
        <v>132</v>
      </c>
      <c r="AF1333" s="1" t="s">
        <v>132</v>
      </c>
      <c r="AG1333" s="1" t="s">
        <v>132</v>
      </c>
      <c r="AH1333" s="1" t="s">
        <v>132</v>
      </c>
      <c r="AI1333" s="1" t="s">
        <v>132</v>
      </c>
      <c r="AJ1333" s="1" t="s">
        <v>132</v>
      </c>
      <c r="AK1333" s="1" t="s">
        <v>132</v>
      </c>
      <c r="AL1333" s="1" t="s">
        <v>132</v>
      </c>
      <c r="AM1333" s="1" t="s">
        <v>132</v>
      </c>
      <c r="AN1333" s="1" t="s">
        <v>132</v>
      </c>
    </row>
    <row r="1334" ht="15.75" customHeight="1">
      <c r="A1334" s="1" t="s">
        <v>127</v>
      </c>
      <c r="B1334" s="1" t="s">
        <v>26512</v>
      </c>
      <c r="C1334" s="1" t="s">
        <v>26513</v>
      </c>
      <c r="D1334" s="8" t="s">
        <v>26514</v>
      </c>
      <c r="E1334" s="1" t="s">
        <v>26515</v>
      </c>
      <c r="F1334" s="1" t="s">
        <v>132</v>
      </c>
      <c r="G1334" s="1" t="s">
        <v>26516</v>
      </c>
      <c r="H1334" s="1" t="s">
        <v>26517</v>
      </c>
      <c r="I1334" s="1" t="s">
        <v>26518</v>
      </c>
      <c r="J1334" s="1" t="s">
        <v>26519</v>
      </c>
      <c r="K1334" s="1" t="s">
        <v>26520</v>
      </c>
      <c r="L1334" s="1" t="s">
        <v>26521</v>
      </c>
      <c r="M1334" s="1" t="s">
        <v>26513</v>
      </c>
      <c r="N1334" s="1" t="s">
        <v>132</v>
      </c>
      <c r="O1334" s="1" t="s">
        <v>26522</v>
      </c>
      <c r="P1334" s="1" t="s">
        <v>26523</v>
      </c>
      <c r="Q1334" s="1" t="s">
        <v>132</v>
      </c>
      <c r="R1334" s="1" t="s">
        <v>26524</v>
      </c>
      <c r="S1334" s="1" t="s">
        <v>26525</v>
      </c>
      <c r="T1334" s="8" t="s">
        <v>26526</v>
      </c>
      <c r="U1334" s="1" t="s">
        <v>26527</v>
      </c>
      <c r="V1334" s="1" t="s">
        <v>26528</v>
      </c>
      <c r="W1334" s="1" t="s">
        <v>26529</v>
      </c>
      <c r="X1334" s="1" t="s">
        <v>26513</v>
      </c>
      <c r="Y1334" s="1" t="s">
        <v>26530</v>
      </c>
      <c r="Z1334" s="1" t="s">
        <v>26531</v>
      </c>
      <c r="AA1334" s="1" t="s">
        <v>26532</v>
      </c>
      <c r="AB1334" s="1" t="s">
        <v>26533</v>
      </c>
      <c r="AC1334" s="1" t="s">
        <v>26534</v>
      </c>
      <c r="AD1334" s="1" t="s">
        <v>26535</v>
      </c>
      <c r="AE1334" s="1" t="s">
        <v>26536</v>
      </c>
      <c r="AF1334" s="1" t="s">
        <v>26518</v>
      </c>
      <c r="AG1334" s="1" t="s">
        <v>26537</v>
      </c>
      <c r="AH1334" s="1" t="s">
        <v>26538</v>
      </c>
      <c r="AI1334" s="1" t="s">
        <v>26539</v>
      </c>
      <c r="AJ1334" s="1" t="s">
        <v>132</v>
      </c>
      <c r="AK1334" s="1" t="s">
        <v>26540</v>
      </c>
      <c r="AL1334" s="1" t="s">
        <v>26541</v>
      </c>
      <c r="AM1334" s="1" t="s">
        <v>26542</v>
      </c>
      <c r="AN1334" s="1" t="s">
        <v>26542</v>
      </c>
    </row>
    <row r="1335" ht="15.75" customHeight="1">
      <c r="A1335" s="1" t="s">
        <v>38</v>
      </c>
      <c r="B1335" s="1" t="s">
        <v>26543</v>
      </c>
      <c r="C1335" s="1" t="s">
        <v>26544</v>
      </c>
      <c r="D1335" s="1" t="s">
        <v>132</v>
      </c>
      <c r="E1335" s="1" t="s">
        <v>132</v>
      </c>
      <c r="F1335" s="1" t="s">
        <v>132</v>
      </c>
      <c r="G1335" s="1" t="s">
        <v>132</v>
      </c>
      <c r="H1335" s="1" t="s">
        <v>132</v>
      </c>
      <c r="I1335" s="1" t="s">
        <v>26544</v>
      </c>
      <c r="J1335" s="1" t="s">
        <v>132</v>
      </c>
      <c r="K1335" s="1" t="s">
        <v>26545</v>
      </c>
      <c r="L1335" s="1" t="s">
        <v>132</v>
      </c>
      <c r="M1335" s="1" t="s">
        <v>26544</v>
      </c>
      <c r="N1335" s="1" t="s">
        <v>132</v>
      </c>
      <c r="O1335" s="1" t="s">
        <v>132</v>
      </c>
      <c r="P1335" s="1" t="s">
        <v>26544</v>
      </c>
      <c r="Q1335" s="1" t="s">
        <v>132</v>
      </c>
      <c r="R1335" s="1" t="s">
        <v>132</v>
      </c>
      <c r="S1335" s="1" t="s">
        <v>132</v>
      </c>
      <c r="T1335" s="1" t="s">
        <v>132</v>
      </c>
      <c r="U1335" s="1" t="s">
        <v>132</v>
      </c>
      <c r="V1335" s="1" t="s">
        <v>132</v>
      </c>
      <c r="W1335" s="1" t="s">
        <v>132</v>
      </c>
      <c r="X1335" s="1" t="s">
        <v>132</v>
      </c>
      <c r="Y1335" s="1" t="s">
        <v>132</v>
      </c>
      <c r="Z1335" s="1" t="s">
        <v>132</v>
      </c>
      <c r="AA1335" s="1" t="s">
        <v>132</v>
      </c>
      <c r="AB1335" s="1" t="s">
        <v>132</v>
      </c>
      <c r="AC1335" s="1" t="s">
        <v>26546</v>
      </c>
      <c r="AD1335" s="1" t="s">
        <v>132</v>
      </c>
      <c r="AE1335" s="1" t="s">
        <v>132</v>
      </c>
      <c r="AF1335" s="1" t="s">
        <v>26544</v>
      </c>
      <c r="AG1335" s="1" t="s">
        <v>132</v>
      </c>
      <c r="AH1335" s="1" t="s">
        <v>132</v>
      </c>
      <c r="AI1335" s="1" t="s">
        <v>132</v>
      </c>
      <c r="AJ1335" s="1" t="s">
        <v>132</v>
      </c>
      <c r="AK1335" s="1" t="s">
        <v>132</v>
      </c>
      <c r="AL1335" s="1" t="s">
        <v>132</v>
      </c>
      <c r="AM1335" s="1" t="s">
        <v>132</v>
      </c>
      <c r="AN1335" s="1" t="s">
        <v>132</v>
      </c>
    </row>
    <row r="1336" ht="15.75" customHeight="1">
      <c r="A1336" s="1" t="s">
        <v>43182</v>
      </c>
      <c r="B1336" s="1" t="s">
        <v>43281</v>
      </c>
      <c r="C1336" s="1" t="s">
        <v>43196</v>
      </c>
      <c r="D1336" s="1" t="s">
        <v>132</v>
      </c>
      <c r="E1336" s="1" t="s">
        <v>132</v>
      </c>
      <c r="F1336" s="1" t="s">
        <v>132</v>
      </c>
      <c r="G1336" s="1" t="s">
        <v>132</v>
      </c>
      <c r="H1336" s="1" t="s">
        <v>132</v>
      </c>
      <c r="I1336" s="1" t="s">
        <v>132</v>
      </c>
      <c r="J1336" s="1" t="s">
        <v>132</v>
      </c>
      <c r="K1336" s="1" t="s">
        <v>132</v>
      </c>
      <c r="L1336" s="1" t="s">
        <v>132</v>
      </c>
      <c r="M1336" s="1" t="s">
        <v>132</v>
      </c>
      <c r="N1336" s="1" t="s">
        <v>132</v>
      </c>
      <c r="O1336" s="1" t="s">
        <v>132</v>
      </c>
      <c r="P1336" s="1" t="s">
        <v>132</v>
      </c>
      <c r="Q1336" s="1" t="s">
        <v>132</v>
      </c>
      <c r="R1336" s="1" t="s">
        <v>132</v>
      </c>
      <c r="S1336" s="1" t="s">
        <v>132</v>
      </c>
      <c r="T1336" s="1" t="s">
        <v>132</v>
      </c>
      <c r="U1336" s="1" t="s">
        <v>132</v>
      </c>
      <c r="V1336" s="1" t="s">
        <v>132</v>
      </c>
      <c r="W1336" s="1" t="s">
        <v>132</v>
      </c>
      <c r="X1336" s="1" t="s">
        <v>132</v>
      </c>
      <c r="Y1336" s="1" t="s">
        <v>132</v>
      </c>
      <c r="Z1336" s="1" t="s">
        <v>132</v>
      </c>
      <c r="AA1336" s="1" t="s">
        <v>132</v>
      </c>
      <c r="AB1336" s="1" t="s">
        <v>132</v>
      </c>
      <c r="AC1336" s="1" t="s">
        <v>132</v>
      </c>
      <c r="AD1336" s="1" t="s">
        <v>132</v>
      </c>
      <c r="AE1336" s="1" t="s">
        <v>132</v>
      </c>
      <c r="AF1336" s="1" t="s">
        <v>132</v>
      </c>
      <c r="AG1336" s="1" t="s">
        <v>132</v>
      </c>
      <c r="AH1336" s="1" t="s">
        <v>132</v>
      </c>
      <c r="AI1336" s="1" t="s">
        <v>132</v>
      </c>
      <c r="AJ1336" s="1" t="s">
        <v>132</v>
      </c>
      <c r="AK1336" s="1" t="s">
        <v>132</v>
      </c>
      <c r="AL1336" s="1" t="s">
        <v>132</v>
      </c>
      <c r="AM1336" s="1" t="s">
        <v>132</v>
      </c>
      <c r="AN1336" s="1" t="s">
        <v>132</v>
      </c>
    </row>
    <row r="1337" ht="15.75" customHeight="1">
      <c r="A1337" s="1" t="s">
        <v>127</v>
      </c>
      <c r="B1337" s="1" t="s">
        <v>26547</v>
      </c>
      <c r="C1337" s="1" t="s">
        <v>26548</v>
      </c>
      <c r="D1337" s="1" t="s">
        <v>26548</v>
      </c>
      <c r="E1337" s="1" t="s">
        <v>26548</v>
      </c>
      <c r="F1337" s="1" t="s">
        <v>132</v>
      </c>
      <c r="G1337" s="1" t="s">
        <v>26549</v>
      </c>
      <c r="H1337" s="1" t="s">
        <v>26548</v>
      </c>
      <c r="I1337" s="1" t="s">
        <v>26548</v>
      </c>
      <c r="J1337" s="1" t="s">
        <v>26548</v>
      </c>
      <c r="K1337" s="1" t="s">
        <v>26548</v>
      </c>
      <c r="L1337" s="1" t="s">
        <v>26548</v>
      </c>
      <c r="M1337" s="1" t="s">
        <v>26548</v>
      </c>
      <c r="N1337" s="1" t="s">
        <v>132</v>
      </c>
      <c r="O1337" s="1" t="s">
        <v>26550</v>
      </c>
      <c r="P1337" s="1" t="s">
        <v>26548</v>
      </c>
      <c r="Q1337" s="1" t="s">
        <v>132</v>
      </c>
      <c r="R1337" s="1" t="s">
        <v>26548</v>
      </c>
      <c r="S1337" s="1" t="s">
        <v>26551</v>
      </c>
      <c r="T1337" s="8" t="s">
        <v>26552</v>
      </c>
      <c r="U1337" s="1" t="s">
        <v>26553</v>
      </c>
      <c r="V1337" s="1" t="s">
        <v>26554</v>
      </c>
      <c r="W1337" s="1" t="s">
        <v>26548</v>
      </c>
      <c r="X1337" s="1" t="s">
        <v>26548</v>
      </c>
      <c r="Y1337" s="1" t="s">
        <v>26548</v>
      </c>
      <c r="Z1337" s="1" t="s">
        <v>26555</v>
      </c>
      <c r="AA1337" s="1" t="s">
        <v>26556</v>
      </c>
      <c r="AB1337" s="1" t="s">
        <v>26557</v>
      </c>
      <c r="AC1337" s="1" t="s">
        <v>26548</v>
      </c>
      <c r="AD1337" s="1" t="s">
        <v>26548</v>
      </c>
      <c r="AE1337" s="1" t="s">
        <v>26548</v>
      </c>
      <c r="AF1337" s="1" t="s">
        <v>26548</v>
      </c>
      <c r="AG1337" s="1" t="s">
        <v>26558</v>
      </c>
      <c r="AH1337" s="1" t="s">
        <v>26548</v>
      </c>
      <c r="AI1337" s="1" t="s">
        <v>26559</v>
      </c>
      <c r="AJ1337" s="1" t="s">
        <v>132</v>
      </c>
      <c r="AK1337" s="1" t="s">
        <v>26560</v>
      </c>
      <c r="AL1337" s="1" t="s">
        <v>26561</v>
      </c>
      <c r="AM1337" s="1" t="s">
        <v>26562</v>
      </c>
      <c r="AN1337" s="1" t="s">
        <v>26562</v>
      </c>
    </row>
    <row r="1338" ht="15.75" customHeight="1">
      <c r="A1338" s="1" t="s">
        <v>43182</v>
      </c>
      <c r="B1338" s="1" t="s">
        <v>43282</v>
      </c>
      <c r="C1338" s="1" t="s">
        <v>43198</v>
      </c>
      <c r="D1338" s="1" t="s">
        <v>132</v>
      </c>
      <c r="E1338" s="1" t="s">
        <v>132</v>
      </c>
      <c r="F1338" s="1" t="s">
        <v>132</v>
      </c>
      <c r="G1338" s="1" t="s">
        <v>132</v>
      </c>
      <c r="H1338" s="1" t="s">
        <v>132</v>
      </c>
      <c r="I1338" s="1" t="s">
        <v>132</v>
      </c>
      <c r="J1338" s="1" t="s">
        <v>132</v>
      </c>
      <c r="K1338" s="1" t="s">
        <v>132</v>
      </c>
      <c r="L1338" s="1" t="s">
        <v>132</v>
      </c>
      <c r="M1338" s="1" t="s">
        <v>132</v>
      </c>
      <c r="N1338" s="1" t="s">
        <v>132</v>
      </c>
      <c r="O1338" s="1" t="s">
        <v>132</v>
      </c>
      <c r="P1338" s="1" t="s">
        <v>132</v>
      </c>
      <c r="Q1338" s="1" t="s">
        <v>132</v>
      </c>
      <c r="R1338" s="1" t="s">
        <v>132</v>
      </c>
      <c r="S1338" s="1" t="s">
        <v>132</v>
      </c>
      <c r="T1338" s="1" t="s">
        <v>132</v>
      </c>
      <c r="U1338" s="1" t="s">
        <v>132</v>
      </c>
      <c r="V1338" s="1" t="s">
        <v>132</v>
      </c>
      <c r="W1338" s="1" t="s">
        <v>132</v>
      </c>
      <c r="X1338" s="1" t="s">
        <v>132</v>
      </c>
      <c r="Y1338" s="1" t="s">
        <v>132</v>
      </c>
      <c r="Z1338" s="1" t="s">
        <v>132</v>
      </c>
      <c r="AA1338" s="1" t="s">
        <v>132</v>
      </c>
      <c r="AB1338" s="1" t="s">
        <v>132</v>
      </c>
      <c r="AC1338" s="1" t="s">
        <v>132</v>
      </c>
      <c r="AD1338" s="1" t="s">
        <v>132</v>
      </c>
      <c r="AE1338" s="1" t="s">
        <v>132</v>
      </c>
      <c r="AF1338" s="1" t="s">
        <v>132</v>
      </c>
      <c r="AG1338" s="1" t="s">
        <v>132</v>
      </c>
      <c r="AH1338" s="1" t="s">
        <v>132</v>
      </c>
      <c r="AI1338" s="1" t="s">
        <v>132</v>
      </c>
      <c r="AJ1338" s="1" t="s">
        <v>132</v>
      </c>
      <c r="AK1338" s="1" t="s">
        <v>132</v>
      </c>
      <c r="AL1338" s="1" t="s">
        <v>132</v>
      </c>
      <c r="AM1338" s="1" t="s">
        <v>132</v>
      </c>
      <c r="AN1338" s="1" t="s">
        <v>132</v>
      </c>
    </row>
    <row r="1339" ht="15.75" customHeight="1">
      <c r="A1339" s="1" t="s">
        <v>43182</v>
      </c>
      <c r="B1339" s="1" t="s">
        <v>43283</v>
      </c>
      <c r="C1339" s="1" t="s">
        <v>538</v>
      </c>
      <c r="D1339" s="1" t="s">
        <v>132</v>
      </c>
      <c r="E1339" s="1" t="s">
        <v>132</v>
      </c>
      <c r="F1339" s="1" t="s">
        <v>132</v>
      </c>
      <c r="G1339" s="1" t="s">
        <v>132</v>
      </c>
      <c r="H1339" s="1" t="s">
        <v>132</v>
      </c>
      <c r="I1339" s="1" t="s">
        <v>132</v>
      </c>
      <c r="J1339" s="1" t="s">
        <v>132</v>
      </c>
      <c r="K1339" s="1" t="s">
        <v>132</v>
      </c>
      <c r="L1339" s="1" t="s">
        <v>132</v>
      </c>
      <c r="M1339" s="1" t="s">
        <v>132</v>
      </c>
      <c r="N1339" s="1" t="s">
        <v>132</v>
      </c>
      <c r="O1339" s="1" t="s">
        <v>132</v>
      </c>
      <c r="P1339" s="1" t="s">
        <v>132</v>
      </c>
      <c r="Q1339" s="1" t="s">
        <v>132</v>
      </c>
      <c r="R1339" s="1" t="s">
        <v>132</v>
      </c>
      <c r="S1339" s="1" t="s">
        <v>132</v>
      </c>
      <c r="T1339" s="1" t="s">
        <v>132</v>
      </c>
      <c r="U1339" s="1" t="s">
        <v>132</v>
      </c>
      <c r="V1339" s="1" t="s">
        <v>132</v>
      </c>
      <c r="W1339" s="1" t="s">
        <v>132</v>
      </c>
      <c r="X1339" s="1" t="s">
        <v>132</v>
      </c>
      <c r="Y1339" s="1" t="s">
        <v>132</v>
      </c>
      <c r="Z1339" s="1" t="s">
        <v>132</v>
      </c>
      <c r="AA1339" s="1" t="s">
        <v>132</v>
      </c>
      <c r="AB1339" s="1" t="s">
        <v>132</v>
      </c>
      <c r="AC1339" s="1" t="s">
        <v>132</v>
      </c>
      <c r="AD1339" s="1" t="s">
        <v>132</v>
      </c>
      <c r="AE1339" s="1" t="s">
        <v>132</v>
      </c>
      <c r="AF1339" s="1" t="s">
        <v>132</v>
      </c>
      <c r="AG1339" s="1" t="s">
        <v>132</v>
      </c>
      <c r="AH1339" s="1" t="s">
        <v>132</v>
      </c>
      <c r="AI1339" s="1" t="s">
        <v>132</v>
      </c>
      <c r="AJ1339" s="1" t="s">
        <v>132</v>
      </c>
      <c r="AK1339" s="1" t="s">
        <v>132</v>
      </c>
      <c r="AL1339" s="1" t="s">
        <v>132</v>
      </c>
      <c r="AM1339" s="1" t="s">
        <v>132</v>
      </c>
      <c r="AN1339" s="1" t="s">
        <v>132</v>
      </c>
    </row>
    <row r="1340" ht="15.75" customHeight="1">
      <c r="A1340" s="1" t="s">
        <v>43182</v>
      </c>
      <c r="B1340" s="1" t="s">
        <v>43284</v>
      </c>
      <c r="C1340" s="1" t="s">
        <v>43201</v>
      </c>
      <c r="D1340" s="1" t="s">
        <v>132</v>
      </c>
      <c r="E1340" s="1" t="s">
        <v>132</v>
      </c>
      <c r="F1340" s="1" t="s">
        <v>132</v>
      </c>
      <c r="G1340" s="1" t="s">
        <v>132</v>
      </c>
      <c r="H1340" s="1" t="s">
        <v>132</v>
      </c>
      <c r="I1340" s="1" t="s">
        <v>132</v>
      </c>
      <c r="J1340" s="1" t="s">
        <v>132</v>
      </c>
      <c r="K1340" s="1" t="s">
        <v>132</v>
      </c>
      <c r="L1340" s="1" t="s">
        <v>132</v>
      </c>
      <c r="M1340" s="1" t="s">
        <v>132</v>
      </c>
      <c r="N1340" s="1" t="s">
        <v>132</v>
      </c>
      <c r="O1340" s="1" t="s">
        <v>132</v>
      </c>
      <c r="P1340" s="1" t="s">
        <v>132</v>
      </c>
      <c r="Q1340" s="1" t="s">
        <v>132</v>
      </c>
      <c r="R1340" s="1" t="s">
        <v>132</v>
      </c>
      <c r="S1340" s="1" t="s">
        <v>132</v>
      </c>
      <c r="T1340" s="1" t="s">
        <v>132</v>
      </c>
      <c r="U1340" s="1" t="s">
        <v>132</v>
      </c>
      <c r="V1340" s="1" t="s">
        <v>132</v>
      </c>
      <c r="W1340" s="1" t="s">
        <v>132</v>
      </c>
      <c r="X1340" s="1" t="s">
        <v>132</v>
      </c>
      <c r="Y1340" s="1" t="s">
        <v>132</v>
      </c>
      <c r="Z1340" s="1" t="s">
        <v>132</v>
      </c>
      <c r="AA1340" s="1" t="s">
        <v>132</v>
      </c>
      <c r="AB1340" s="1" t="s">
        <v>132</v>
      </c>
      <c r="AC1340" s="1" t="s">
        <v>132</v>
      </c>
      <c r="AD1340" s="1" t="s">
        <v>132</v>
      </c>
      <c r="AE1340" s="1" t="s">
        <v>132</v>
      </c>
      <c r="AF1340" s="1" t="s">
        <v>132</v>
      </c>
      <c r="AG1340" s="1" t="s">
        <v>132</v>
      </c>
      <c r="AH1340" s="1" t="s">
        <v>132</v>
      </c>
      <c r="AI1340" s="1" t="s">
        <v>132</v>
      </c>
      <c r="AJ1340" s="1" t="s">
        <v>132</v>
      </c>
      <c r="AK1340" s="1" t="s">
        <v>132</v>
      </c>
      <c r="AL1340" s="1" t="s">
        <v>132</v>
      </c>
      <c r="AM1340" s="1" t="s">
        <v>132</v>
      </c>
      <c r="AN1340" s="1" t="s">
        <v>132</v>
      </c>
    </row>
    <row r="1341" ht="15.75" customHeight="1">
      <c r="A1341" s="1" t="s">
        <v>43182</v>
      </c>
      <c r="B1341" s="1" t="s">
        <v>43285</v>
      </c>
      <c r="C1341" s="1" t="s">
        <v>637</v>
      </c>
      <c r="D1341" s="1" t="s">
        <v>132</v>
      </c>
      <c r="E1341" s="1" t="s">
        <v>132</v>
      </c>
      <c r="F1341" s="1" t="s">
        <v>132</v>
      </c>
      <c r="G1341" s="1" t="s">
        <v>132</v>
      </c>
      <c r="H1341" s="1" t="s">
        <v>132</v>
      </c>
      <c r="I1341" s="1" t="s">
        <v>132</v>
      </c>
      <c r="J1341" s="1" t="s">
        <v>132</v>
      </c>
      <c r="K1341" s="1" t="s">
        <v>132</v>
      </c>
      <c r="L1341" s="1" t="s">
        <v>132</v>
      </c>
      <c r="M1341" s="1" t="s">
        <v>132</v>
      </c>
      <c r="N1341" s="1" t="s">
        <v>132</v>
      </c>
      <c r="O1341" s="1" t="s">
        <v>132</v>
      </c>
      <c r="P1341" s="1" t="s">
        <v>132</v>
      </c>
      <c r="Q1341" s="1" t="s">
        <v>132</v>
      </c>
      <c r="R1341" s="1" t="s">
        <v>132</v>
      </c>
      <c r="S1341" s="1" t="s">
        <v>132</v>
      </c>
      <c r="T1341" s="1" t="s">
        <v>132</v>
      </c>
      <c r="U1341" s="1" t="s">
        <v>132</v>
      </c>
      <c r="V1341" s="1" t="s">
        <v>132</v>
      </c>
      <c r="W1341" s="1" t="s">
        <v>132</v>
      </c>
      <c r="X1341" s="1" t="s">
        <v>132</v>
      </c>
      <c r="Y1341" s="1" t="s">
        <v>132</v>
      </c>
      <c r="Z1341" s="1" t="s">
        <v>132</v>
      </c>
      <c r="AA1341" s="1" t="s">
        <v>132</v>
      </c>
      <c r="AB1341" s="1" t="s">
        <v>132</v>
      </c>
      <c r="AC1341" s="1" t="s">
        <v>132</v>
      </c>
      <c r="AD1341" s="1" t="s">
        <v>132</v>
      </c>
      <c r="AE1341" s="1" t="s">
        <v>132</v>
      </c>
      <c r="AF1341" s="1" t="s">
        <v>132</v>
      </c>
      <c r="AG1341" s="1" t="s">
        <v>132</v>
      </c>
      <c r="AH1341" s="1" t="s">
        <v>132</v>
      </c>
      <c r="AI1341" s="1" t="s">
        <v>132</v>
      </c>
      <c r="AJ1341" s="1" t="s">
        <v>132</v>
      </c>
      <c r="AK1341" s="1" t="s">
        <v>132</v>
      </c>
      <c r="AL1341" s="1" t="s">
        <v>132</v>
      </c>
      <c r="AM1341" s="1" t="s">
        <v>132</v>
      </c>
      <c r="AN1341" s="1" t="s">
        <v>132</v>
      </c>
    </row>
    <row r="1342" ht="15.75" customHeight="1">
      <c r="A1342" s="1" t="s">
        <v>38</v>
      </c>
      <c r="B1342" s="1" t="s">
        <v>26563</v>
      </c>
      <c r="C1342" s="1" t="s">
        <v>26564</v>
      </c>
      <c r="D1342" s="1" t="s">
        <v>132</v>
      </c>
      <c r="E1342" s="1" t="s">
        <v>132</v>
      </c>
      <c r="F1342" s="1" t="s">
        <v>132</v>
      </c>
      <c r="G1342" s="1" t="s">
        <v>132</v>
      </c>
      <c r="H1342" s="1" t="s">
        <v>132</v>
      </c>
      <c r="I1342" s="1" t="s">
        <v>26564</v>
      </c>
      <c r="J1342" s="1" t="s">
        <v>132</v>
      </c>
      <c r="K1342" s="1" t="s">
        <v>26564</v>
      </c>
      <c r="L1342" s="1" t="s">
        <v>132</v>
      </c>
      <c r="M1342" s="1" t="s">
        <v>26565</v>
      </c>
      <c r="N1342" s="1" t="s">
        <v>132</v>
      </c>
      <c r="O1342" s="1" t="s">
        <v>132</v>
      </c>
      <c r="P1342" s="1" t="s">
        <v>26564</v>
      </c>
      <c r="Q1342" s="1" t="s">
        <v>132</v>
      </c>
      <c r="R1342" s="1" t="s">
        <v>132</v>
      </c>
      <c r="S1342" s="1" t="s">
        <v>132</v>
      </c>
      <c r="T1342" s="1" t="s">
        <v>132</v>
      </c>
      <c r="U1342" s="1" t="s">
        <v>132</v>
      </c>
      <c r="V1342" s="1" t="s">
        <v>132</v>
      </c>
      <c r="W1342" s="1" t="s">
        <v>132</v>
      </c>
      <c r="X1342" s="1" t="s">
        <v>132</v>
      </c>
      <c r="Y1342" s="1" t="s">
        <v>132</v>
      </c>
      <c r="Z1342" s="1" t="s">
        <v>132</v>
      </c>
      <c r="AA1342" s="1" t="s">
        <v>132</v>
      </c>
      <c r="AB1342" s="1" t="s">
        <v>132</v>
      </c>
      <c r="AC1342" s="1" t="s">
        <v>26566</v>
      </c>
      <c r="AD1342" s="1" t="s">
        <v>132</v>
      </c>
      <c r="AE1342" s="1" t="s">
        <v>132</v>
      </c>
      <c r="AF1342" s="1" t="s">
        <v>26564</v>
      </c>
      <c r="AG1342" s="1" t="s">
        <v>132</v>
      </c>
      <c r="AH1342" s="1" t="s">
        <v>132</v>
      </c>
      <c r="AI1342" s="1" t="s">
        <v>132</v>
      </c>
      <c r="AJ1342" s="1" t="s">
        <v>132</v>
      </c>
      <c r="AK1342" s="1" t="s">
        <v>132</v>
      </c>
      <c r="AL1342" s="1" t="s">
        <v>132</v>
      </c>
      <c r="AM1342" s="1" t="s">
        <v>132</v>
      </c>
      <c r="AN1342" s="1" t="s">
        <v>132</v>
      </c>
    </row>
    <row r="1343" ht="15.75" customHeight="1">
      <c r="A1343" s="1" t="s">
        <v>43182</v>
      </c>
      <c r="B1343" s="1" t="s">
        <v>43286</v>
      </c>
      <c r="C1343" s="1" t="s">
        <v>11434</v>
      </c>
      <c r="D1343" s="1" t="s">
        <v>132</v>
      </c>
      <c r="E1343" s="1" t="s">
        <v>132</v>
      </c>
      <c r="F1343" s="1" t="s">
        <v>132</v>
      </c>
      <c r="G1343" s="1" t="s">
        <v>132</v>
      </c>
      <c r="H1343" s="1" t="s">
        <v>132</v>
      </c>
      <c r="I1343" s="1" t="s">
        <v>132</v>
      </c>
      <c r="J1343" s="1" t="s">
        <v>132</v>
      </c>
      <c r="K1343" s="1" t="s">
        <v>132</v>
      </c>
      <c r="L1343" s="1" t="s">
        <v>132</v>
      </c>
      <c r="M1343" s="1" t="s">
        <v>132</v>
      </c>
      <c r="N1343" s="1" t="s">
        <v>132</v>
      </c>
      <c r="O1343" s="1" t="s">
        <v>132</v>
      </c>
      <c r="P1343" s="1" t="s">
        <v>132</v>
      </c>
      <c r="Q1343" s="1" t="s">
        <v>132</v>
      </c>
      <c r="R1343" s="1" t="s">
        <v>132</v>
      </c>
      <c r="S1343" s="1" t="s">
        <v>132</v>
      </c>
      <c r="T1343" s="1" t="s">
        <v>132</v>
      </c>
      <c r="U1343" s="1" t="s">
        <v>132</v>
      </c>
      <c r="V1343" s="1" t="s">
        <v>132</v>
      </c>
      <c r="W1343" s="1" t="s">
        <v>132</v>
      </c>
      <c r="X1343" s="1" t="s">
        <v>132</v>
      </c>
      <c r="Y1343" s="1" t="s">
        <v>132</v>
      </c>
      <c r="Z1343" s="1" t="s">
        <v>132</v>
      </c>
      <c r="AA1343" s="1" t="s">
        <v>132</v>
      </c>
      <c r="AB1343" s="1" t="s">
        <v>132</v>
      </c>
      <c r="AC1343" s="1" t="s">
        <v>132</v>
      </c>
      <c r="AD1343" s="1" t="s">
        <v>132</v>
      </c>
      <c r="AE1343" s="1" t="s">
        <v>132</v>
      </c>
      <c r="AF1343" s="1" t="s">
        <v>132</v>
      </c>
      <c r="AG1343" s="1" t="s">
        <v>132</v>
      </c>
      <c r="AH1343" s="1" t="s">
        <v>132</v>
      </c>
      <c r="AI1343" s="1" t="s">
        <v>132</v>
      </c>
      <c r="AJ1343" s="1" t="s">
        <v>132</v>
      </c>
      <c r="AK1343" s="1" t="s">
        <v>132</v>
      </c>
      <c r="AL1343" s="1" t="s">
        <v>132</v>
      </c>
      <c r="AM1343" s="1" t="s">
        <v>132</v>
      </c>
      <c r="AN1343" s="1" t="s">
        <v>132</v>
      </c>
    </row>
    <row r="1344" ht="15.75" customHeight="1">
      <c r="A1344" s="1" t="s">
        <v>127</v>
      </c>
      <c r="B1344" s="1" t="s">
        <v>26567</v>
      </c>
      <c r="C1344" s="1" t="s">
        <v>26568</v>
      </c>
      <c r="D1344" s="8" t="s">
        <v>26569</v>
      </c>
      <c r="E1344" s="1" t="s">
        <v>26570</v>
      </c>
      <c r="F1344" s="1" t="s">
        <v>132</v>
      </c>
      <c r="G1344" s="1" t="s">
        <v>26571</v>
      </c>
      <c r="H1344" s="1" t="s">
        <v>26572</v>
      </c>
      <c r="I1344" s="1" t="s">
        <v>26573</v>
      </c>
      <c r="J1344" s="1" t="s">
        <v>26574</v>
      </c>
      <c r="K1344" s="1" t="s">
        <v>26575</v>
      </c>
      <c r="L1344" s="1" t="s">
        <v>26576</v>
      </c>
      <c r="M1344" s="1" t="s">
        <v>26577</v>
      </c>
      <c r="N1344" s="1" t="s">
        <v>132</v>
      </c>
      <c r="O1344" s="1" t="s">
        <v>26578</v>
      </c>
      <c r="P1344" s="1" t="s">
        <v>26579</v>
      </c>
      <c r="Q1344" s="1" t="s">
        <v>132</v>
      </c>
      <c r="R1344" s="1" t="s">
        <v>26580</v>
      </c>
      <c r="S1344" s="1" t="s">
        <v>26581</v>
      </c>
      <c r="T1344" s="8" t="s">
        <v>26582</v>
      </c>
      <c r="U1344" s="1" t="s">
        <v>26583</v>
      </c>
      <c r="V1344" s="1" t="s">
        <v>26584</v>
      </c>
      <c r="W1344" s="1" t="s">
        <v>26585</v>
      </c>
      <c r="X1344" s="1" t="s">
        <v>26586</v>
      </c>
      <c r="Y1344" s="1" t="s">
        <v>26587</v>
      </c>
      <c r="Z1344" s="1" t="s">
        <v>26588</v>
      </c>
      <c r="AA1344" s="1" t="s">
        <v>26589</v>
      </c>
      <c r="AB1344" s="1" t="s">
        <v>26590</v>
      </c>
      <c r="AC1344" s="1" t="s">
        <v>26591</v>
      </c>
      <c r="AD1344" s="1" t="s">
        <v>26592</v>
      </c>
      <c r="AE1344" s="1" t="s">
        <v>26593</v>
      </c>
      <c r="AF1344" s="1" t="s">
        <v>26594</v>
      </c>
      <c r="AG1344" s="1" t="s">
        <v>26595</v>
      </c>
      <c r="AH1344" s="1" t="s">
        <v>26596</v>
      </c>
      <c r="AI1344" s="1" t="s">
        <v>26597</v>
      </c>
      <c r="AJ1344" s="1" t="s">
        <v>132</v>
      </c>
      <c r="AK1344" s="1" t="s">
        <v>26598</v>
      </c>
      <c r="AL1344" s="1" t="s">
        <v>26599</v>
      </c>
      <c r="AM1344" s="1" t="s">
        <v>26600</v>
      </c>
      <c r="AN1344" s="1" t="s">
        <v>26600</v>
      </c>
    </row>
    <row r="1345" ht="15.75" customHeight="1">
      <c r="A1345" s="1" t="s">
        <v>43182</v>
      </c>
      <c r="B1345" s="1" t="s">
        <v>43287</v>
      </c>
      <c r="C1345" s="1" t="s">
        <v>43205</v>
      </c>
      <c r="D1345" s="1" t="s">
        <v>132</v>
      </c>
      <c r="E1345" s="1" t="s">
        <v>132</v>
      </c>
      <c r="F1345" s="1" t="s">
        <v>132</v>
      </c>
      <c r="G1345" s="1" t="s">
        <v>132</v>
      </c>
      <c r="H1345" s="1" t="s">
        <v>132</v>
      </c>
      <c r="I1345" s="1" t="s">
        <v>132</v>
      </c>
      <c r="J1345" s="1" t="s">
        <v>132</v>
      </c>
      <c r="K1345" s="1" t="s">
        <v>132</v>
      </c>
      <c r="L1345" s="1" t="s">
        <v>132</v>
      </c>
      <c r="M1345" s="1" t="s">
        <v>132</v>
      </c>
      <c r="N1345" s="1" t="s">
        <v>132</v>
      </c>
      <c r="O1345" s="1" t="s">
        <v>132</v>
      </c>
      <c r="P1345" s="1" t="s">
        <v>132</v>
      </c>
      <c r="Q1345" s="1" t="s">
        <v>132</v>
      </c>
      <c r="R1345" s="1" t="s">
        <v>132</v>
      </c>
      <c r="S1345" s="1" t="s">
        <v>132</v>
      </c>
      <c r="T1345" s="1" t="s">
        <v>132</v>
      </c>
      <c r="U1345" s="1" t="s">
        <v>132</v>
      </c>
      <c r="V1345" s="1" t="s">
        <v>132</v>
      </c>
      <c r="W1345" s="1" t="s">
        <v>132</v>
      </c>
      <c r="X1345" s="1" t="s">
        <v>132</v>
      </c>
      <c r="Y1345" s="1" t="s">
        <v>132</v>
      </c>
      <c r="Z1345" s="1" t="s">
        <v>132</v>
      </c>
      <c r="AA1345" s="1" t="s">
        <v>132</v>
      </c>
      <c r="AB1345" s="1" t="s">
        <v>132</v>
      </c>
      <c r="AC1345" s="1" t="s">
        <v>132</v>
      </c>
      <c r="AD1345" s="1" t="s">
        <v>132</v>
      </c>
      <c r="AE1345" s="1" t="s">
        <v>132</v>
      </c>
      <c r="AF1345" s="1" t="s">
        <v>132</v>
      </c>
      <c r="AG1345" s="1" t="s">
        <v>132</v>
      </c>
      <c r="AH1345" s="1" t="s">
        <v>132</v>
      </c>
      <c r="AI1345" s="1" t="s">
        <v>132</v>
      </c>
      <c r="AJ1345" s="1" t="s">
        <v>132</v>
      </c>
      <c r="AK1345" s="1" t="s">
        <v>132</v>
      </c>
      <c r="AL1345" s="1" t="s">
        <v>132</v>
      </c>
      <c r="AM1345" s="1" t="s">
        <v>132</v>
      </c>
      <c r="AN1345" s="1" t="s">
        <v>132</v>
      </c>
    </row>
    <row r="1346" ht="15.75" customHeight="1">
      <c r="A1346" s="1" t="s">
        <v>38</v>
      </c>
      <c r="B1346" s="1" t="s">
        <v>26601</v>
      </c>
      <c r="C1346" s="1" t="s">
        <v>26602</v>
      </c>
      <c r="D1346" s="8" t="s">
        <v>26603</v>
      </c>
      <c r="E1346" s="1" t="s">
        <v>26602</v>
      </c>
      <c r="F1346" s="1" t="s">
        <v>26602</v>
      </c>
      <c r="G1346" s="1" t="s">
        <v>132</v>
      </c>
      <c r="H1346" s="1" t="s">
        <v>132</v>
      </c>
      <c r="I1346" s="1" t="s">
        <v>26602</v>
      </c>
      <c r="J1346" s="1" t="s">
        <v>132</v>
      </c>
      <c r="K1346" s="1" t="s">
        <v>26602</v>
      </c>
      <c r="L1346" s="1" t="s">
        <v>132</v>
      </c>
      <c r="M1346" s="1" t="s">
        <v>26602</v>
      </c>
      <c r="N1346" s="1" t="s">
        <v>26602</v>
      </c>
      <c r="O1346" s="1" t="s">
        <v>132</v>
      </c>
      <c r="P1346" s="1" t="s">
        <v>26602</v>
      </c>
      <c r="Q1346" s="1" t="s">
        <v>26602</v>
      </c>
      <c r="R1346" s="1" t="s">
        <v>132</v>
      </c>
      <c r="S1346" s="1" t="s">
        <v>26602</v>
      </c>
      <c r="T1346" s="1" t="s">
        <v>132</v>
      </c>
      <c r="U1346" s="1" t="s">
        <v>26602</v>
      </c>
      <c r="V1346" s="1" t="s">
        <v>26602</v>
      </c>
      <c r="W1346" s="1" t="s">
        <v>132</v>
      </c>
      <c r="X1346" s="1" t="s">
        <v>26602</v>
      </c>
      <c r="Y1346" s="1" t="s">
        <v>132</v>
      </c>
      <c r="Z1346" s="1" t="s">
        <v>26602</v>
      </c>
      <c r="AA1346" s="1" t="s">
        <v>26602</v>
      </c>
      <c r="AB1346" s="1" t="s">
        <v>132</v>
      </c>
      <c r="AC1346" s="1" t="s">
        <v>26602</v>
      </c>
      <c r="AD1346" s="1" t="s">
        <v>26602</v>
      </c>
      <c r="AE1346" s="1" t="s">
        <v>132</v>
      </c>
      <c r="AF1346" s="1" t="s">
        <v>26604</v>
      </c>
      <c r="AG1346" s="1" t="s">
        <v>26602</v>
      </c>
      <c r="AH1346" s="1" t="s">
        <v>132</v>
      </c>
      <c r="AI1346" s="1" t="s">
        <v>132</v>
      </c>
      <c r="AJ1346" s="1" t="s">
        <v>26602</v>
      </c>
      <c r="AK1346" s="1" t="s">
        <v>26602</v>
      </c>
      <c r="AL1346" s="1" t="s">
        <v>132</v>
      </c>
      <c r="AM1346" s="1" t="s">
        <v>26602</v>
      </c>
      <c r="AN1346" s="1" t="s">
        <v>26602</v>
      </c>
    </row>
    <row r="1347" ht="15.75" customHeight="1">
      <c r="A1347" s="1" t="s">
        <v>127</v>
      </c>
      <c r="B1347" s="1" t="s">
        <v>26605</v>
      </c>
      <c r="C1347" s="1" t="s">
        <v>26606</v>
      </c>
      <c r="D1347" s="8" t="s">
        <v>26607</v>
      </c>
      <c r="E1347" s="1" t="s">
        <v>26608</v>
      </c>
      <c r="F1347" s="1" t="s">
        <v>132</v>
      </c>
      <c r="G1347" s="1" t="s">
        <v>26609</v>
      </c>
      <c r="H1347" s="1" t="s">
        <v>2619</v>
      </c>
      <c r="I1347" s="1" t="s">
        <v>2623</v>
      </c>
      <c r="J1347" s="1" t="s">
        <v>26610</v>
      </c>
      <c r="K1347" s="1" t="s">
        <v>2624</v>
      </c>
      <c r="L1347" s="1" t="s">
        <v>26611</v>
      </c>
      <c r="M1347" s="1" t="s">
        <v>26612</v>
      </c>
      <c r="N1347" s="1" t="s">
        <v>132</v>
      </c>
      <c r="O1347" s="1" t="s">
        <v>26613</v>
      </c>
      <c r="P1347" s="1" t="s">
        <v>26614</v>
      </c>
      <c r="Q1347" s="1" t="s">
        <v>132</v>
      </c>
      <c r="R1347" s="1" t="s">
        <v>26615</v>
      </c>
      <c r="S1347" s="1" t="s">
        <v>26616</v>
      </c>
      <c r="T1347" s="8" t="s">
        <v>26617</v>
      </c>
      <c r="U1347" s="1" t="s">
        <v>26618</v>
      </c>
      <c r="V1347" s="1" t="s">
        <v>26619</v>
      </c>
      <c r="W1347" s="1" t="s">
        <v>26620</v>
      </c>
      <c r="X1347" s="1" t="s">
        <v>26621</v>
      </c>
      <c r="Y1347" s="1" t="s">
        <v>26606</v>
      </c>
      <c r="Z1347" s="1" t="s">
        <v>26622</v>
      </c>
      <c r="AA1347" s="1" t="s">
        <v>26623</v>
      </c>
      <c r="AB1347" s="1" t="s">
        <v>26624</v>
      </c>
      <c r="AC1347" s="1" t="s">
        <v>26625</v>
      </c>
      <c r="AD1347" s="1" t="s">
        <v>26626</v>
      </c>
      <c r="AE1347" s="1" t="s">
        <v>26627</v>
      </c>
      <c r="AF1347" s="1" t="s">
        <v>26606</v>
      </c>
      <c r="AG1347" s="1" t="s">
        <v>26628</v>
      </c>
      <c r="AH1347" s="1" t="s">
        <v>26629</v>
      </c>
      <c r="AI1347" s="1" t="s">
        <v>26630</v>
      </c>
      <c r="AJ1347" s="1" t="s">
        <v>132</v>
      </c>
      <c r="AK1347" s="1" t="s">
        <v>26631</v>
      </c>
      <c r="AL1347" s="1" t="s">
        <v>26632</v>
      </c>
      <c r="AM1347" s="1" t="s">
        <v>132</v>
      </c>
      <c r="AN1347" s="1" t="s">
        <v>132</v>
      </c>
    </row>
    <row r="1348" ht="15.75" customHeight="1">
      <c r="A1348" s="1" t="s">
        <v>127</v>
      </c>
      <c r="B1348" s="1" t="s">
        <v>26633</v>
      </c>
      <c r="C1348" s="1" t="s">
        <v>26634</v>
      </c>
      <c r="D1348" s="1" t="s">
        <v>26635</v>
      </c>
      <c r="E1348" s="1" t="s">
        <v>26636</v>
      </c>
      <c r="F1348" s="1" t="s">
        <v>132</v>
      </c>
      <c r="G1348" s="1" t="s">
        <v>26637</v>
      </c>
      <c r="H1348" s="1" t="s">
        <v>26638</v>
      </c>
      <c r="I1348" s="1" t="s">
        <v>26634</v>
      </c>
      <c r="J1348" s="1" t="s">
        <v>26639</v>
      </c>
      <c r="K1348" s="1" t="s">
        <v>26636</v>
      </c>
      <c r="L1348" s="1" t="s">
        <v>26640</v>
      </c>
      <c r="M1348" s="1" t="s">
        <v>26636</v>
      </c>
      <c r="N1348" s="1" t="s">
        <v>132</v>
      </c>
      <c r="O1348" s="1" t="s">
        <v>26641</v>
      </c>
      <c r="P1348" s="1" t="s">
        <v>26636</v>
      </c>
      <c r="Q1348" s="1" t="s">
        <v>132</v>
      </c>
      <c r="R1348" s="1" t="s">
        <v>26642</v>
      </c>
      <c r="S1348" s="1" t="s">
        <v>26636</v>
      </c>
      <c r="T1348" s="8" t="s">
        <v>26643</v>
      </c>
      <c r="U1348" s="1" t="s">
        <v>26636</v>
      </c>
      <c r="V1348" s="1" t="s">
        <v>22666</v>
      </c>
      <c r="W1348" s="1" t="s">
        <v>26642</v>
      </c>
      <c r="X1348" s="1" t="s">
        <v>26636</v>
      </c>
      <c r="Y1348" s="1" t="s">
        <v>26638</v>
      </c>
      <c r="Z1348" s="1" t="s">
        <v>26636</v>
      </c>
      <c r="AA1348" s="1" t="s">
        <v>26636</v>
      </c>
      <c r="AB1348" s="1" t="s">
        <v>26644</v>
      </c>
      <c r="AC1348" s="1" t="s">
        <v>26645</v>
      </c>
      <c r="AD1348" s="1" t="s">
        <v>26646</v>
      </c>
      <c r="AE1348" s="1" t="s">
        <v>26636</v>
      </c>
      <c r="AF1348" s="1" t="s">
        <v>26636</v>
      </c>
      <c r="AG1348" s="1" t="s">
        <v>26638</v>
      </c>
      <c r="AH1348" s="1" t="s">
        <v>26647</v>
      </c>
      <c r="AI1348" s="1" t="s">
        <v>26648</v>
      </c>
      <c r="AJ1348" s="1" t="s">
        <v>132</v>
      </c>
      <c r="AK1348" s="1" t="s">
        <v>26649</v>
      </c>
      <c r="AL1348" s="1" t="s">
        <v>26650</v>
      </c>
      <c r="AM1348" s="1" t="s">
        <v>26651</v>
      </c>
      <c r="AN1348" s="1" t="s">
        <v>26651</v>
      </c>
    </row>
    <row r="1349" ht="15.75" customHeight="1">
      <c r="A1349" s="1" t="s">
        <v>127</v>
      </c>
      <c r="B1349" s="1" t="s">
        <v>26652</v>
      </c>
      <c r="C1349" s="1" t="s">
        <v>26653</v>
      </c>
      <c r="D1349" s="8" t="s">
        <v>19350</v>
      </c>
      <c r="E1349" s="1" t="s">
        <v>26654</v>
      </c>
      <c r="F1349" s="1" t="s">
        <v>132</v>
      </c>
      <c r="G1349" s="1" t="s">
        <v>26655</v>
      </c>
      <c r="H1349" s="1" t="s">
        <v>26656</v>
      </c>
      <c r="I1349" s="1" t="s">
        <v>26653</v>
      </c>
      <c r="J1349" s="1" t="s">
        <v>26657</v>
      </c>
      <c r="K1349" s="1" t="s">
        <v>19356</v>
      </c>
      <c r="L1349" s="1" t="s">
        <v>19357</v>
      </c>
      <c r="M1349" s="1" t="s">
        <v>19358</v>
      </c>
      <c r="N1349" s="1" t="s">
        <v>132</v>
      </c>
      <c r="O1349" s="1" t="s">
        <v>26658</v>
      </c>
      <c r="P1349" s="1" t="s">
        <v>26659</v>
      </c>
      <c r="Q1349" s="1" t="s">
        <v>132</v>
      </c>
      <c r="R1349" s="1" t="s">
        <v>26660</v>
      </c>
      <c r="S1349" s="1" t="s">
        <v>26653</v>
      </c>
      <c r="T1349" s="8" t="s">
        <v>26661</v>
      </c>
      <c r="U1349" s="1" t="s">
        <v>26662</v>
      </c>
      <c r="V1349" s="1" t="s">
        <v>26663</v>
      </c>
      <c r="W1349" s="1" t="s">
        <v>26660</v>
      </c>
      <c r="X1349" s="1" t="s">
        <v>26664</v>
      </c>
      <c r="Y1349" s="1" t="s">
        <v>26665</v>
      </c>
      <c r="Z1349" s="1" t="s">
        <v>26653</v>
      </c>
      <c r="AA1349" s="1" t="s">
        <v>19356</v>
      </c>
      <c r="AB1349" s="1" t="s">
        <v>26666</v>
      </c>
      <c r="AC1349" s="1" t="s">
        <v>26667</v>
      </c>
      <c r="AD1349" s="1" t="s">
        <v>26668</v>
      </c>
      <c r="AE1349" s="1" t="s">
        <v>26669</v>
      </c>
      <c r="AF1349" s="1" t="s">
        <v>26653</v>
      </c>
      <c r="AG1349" s="1" t="s">
        <v>26670</v>
      </c>
      <c r="AH1349" s="1" t="s">
        <v>26671</v>
      </c>
      <c r="AI1349" s="1" t="s">
        <v>26672</v>
      </c>
      <c r="AJ1349" s="1" t="s">
        <v>132</v>
      </c>
      <c r="AK1349" s="1" t="s">
        <v>19375</v>
      </c>
      <c r="AL1349" s="1" t="s">
        <v>19376</v>
      </c>
      <c r="AM1349" s="1" t="s">
        <v>19377</v>
      </c>
      <c r="AN1349" s="1" t="s">
        <v>19377</v>
      </c>
    </row>
    <row r="1350" ht="15.75" customHeight="1">
      <c r="A1350" s="1" t="s">
        <v>38</v>
      </c>
      <c r="B1350" s="1" t="s">
        <v>26673</v>
      </c>
      <c r="C1350" s="1" t="s">
        <v>26674</v>
      </c>
      <c r="D1350" s="8" t="s">
        <v>26675</v>
      </c>
      <c r="E1350" s="1" t="s">
        <v>26676</v>
      </c>
      <c r="F1350" s="1" t="s">
        <v>26677</v>
      </c>
      <c r="G1350" s="1" t="s">
        <v>132</v>
      </c>
      <c r="H1350" s="1" t="s">
        <v>132</v>
      </c>
      <c r="I1350" s="1" t="s">
        <v>26678</v>
      </c>
      <c r="J1350" s="1" t="s">
        <v>132</v>
      </c>
      <c r="K1350" s="1" t="s">
        <v>26679</v>
      </c>
      <c r="L1350" s="1" t="s">
        <v>132</v>
      </c>
      <c r="M1350" s="1" t="s">
        <v>26680</v>
      </c>
      <c r="N1350" s="1" t="s">
        <v>26681</v>
      </c>
      <c r="O1350" s="1" t="s">
        <v>132</v>
      </c>
      <c r="P1350" s="1" t="s">
        <v>26682</v>
      </c>
      <c r="Q1350" s="1" t="s">
        <v>26683</v>
      </c>
      <c r="R1350" s="1" t="s">
        <v>132</v>
      </c>
      <c r="S1350" s="1" t="s">
        <v>26684</v>
      </c>
      <c r="T1350" s="1" t="s">
        <v>132</v>
      </c>
      <c r="U1350" s="1" t="s">
        <v>26685</v>
      </c>
      <c r="V1350" s="1" t="s">
        <v>26686</v>
      </c>
      <c r="W1350" s="1" t="s">
        <v>132</v>
      </c>
      <c r="X1350" s="1" t="s">
        <v>26687</v>
      </c>
      <c r="Y1350" s="1" t="s">
        <v>132</v>
      </c>
      <c r="Z1350" s="1" t="s">
        <v>26688</v>
      </c>
      <c r="AA1350" s="1" t="s">
        <v>26689</v>
      </c>
      <c r="AB1350" s="1" t="s">
        <v>132</v>
      </c>
      <c r="AC1350" s="1" t="s">
        <v>26690</v>
      </c>
      <c r="AD1350" s="1" t="s">
        <v>26691</v>
      </c>
      <c r="AE1350" s="1" t="s">
        <v>132</v>
      </c>
      <c r="AF1350" s="1" t="s">
        <v>26692</v>
      </c>
      <c r="AG1350" s="1" t="s">
        <v>26693</v>
      </c>
      <c r="AH1350" s="1" t="s">
        <v>132</v>
      </c>
      <c r="AI1350" s="1" t="s">
        <v>132</v>
      </c>
      <c r="AJ1350" s="1" t="s">
        <v>26694</v>
      </c>
      <c r="AK1350" s="1" t="s">
        <v>26695</v>
      </c>
      <c r="AL1350" s="1" t="s">
        <v>132</v>
      </c>
      <c r="AM1350" s="1" t="s">
        <v>26696</v>
      </c>
      <c r="AN1350" s="1" t="s">
        <v>26696</v>
      </c>
    </row>
    <row r="1351" ht="15.75" customHeight="1">
      <c r="A1351" s="1" t="s">
        <v>127</v>
      </c>
      <c r="B1351" s="1" t="s">
        <v>26697</v>
      </c>
      <c r="C1351" s="1" t="s">
        <v>26698</v>
      </c>
      <c r="D1351" s="8" t="s">
        <v>26699</v>
      </c>
      <c r="E1351" s="1" t="s">
        <v>26700</v>
      </c>
      <c r="F1351" s="1" t="s">
        <v>132</v>
      </c>
      <c r="G1351" s="1" t="s">
        <v>26701</v>
      </c>
      <c r="H1351" s="1" t="s">
        <v>26702</v>
      </c>
      <c r="I1351" s="1" t="s">
        <v>26703</v>
      </c>
      <c r="J1351" s="1" t="s">
        <v>26704</v>
      </c>
      <c r="K1351" s="1" t="s">
        <v>26705</v>
      </c>
      <c r="L1351" s="1" t="s">
        <v>26706</v>
      </c>
      <c r="M1351" s="1" t="s">
        <v>26707</v>
      </c>
      <c r="N1351" s="1" t="s">
        <v>132</v>
      </c>
      <c r="O1351" s="1" t="s">
        <v>26708</v>
      </c>
      <c r="P1351" s="1" t="s">
        <v>26709</v>
      </c>
      <c r="Q1351" s="1" t="s">
        <v>132</v>
      </c>
      <c r="R1351" s="1" t="s">
        <v>26710</v>
      </c>
      <c r="S1351" s="1" t="s">
        <v>26711</v>
      </c>
      <c r="T1351" s="8" t="s">
        <v>26712</v>
      </c>
      <c r="U1351" s="1" t="s">
        <v>26713</v>
      </c>
      <c r="V1351" s="1" t="s">
        <v>26714</v>
      </c>
      <c r="W1351" s="1" t="s">
        <v>26710</v>
      </c>
      <c r="X1351" s="1" t="s">
        <v>26715</v>
      </c>
      <c r="Y1351" s="1" t="s">
        <v>26702</v>
      </c>
      <c r="Z1351" s="1" t="s">
        <v>26716</v>
      </c>
      <c r="AA1351" s="1" t="s">
        <v>26717</v>
      </c>
      <c r="AB1351" s="1" t="s">
        <v>26718</v>
      </c>
      <c r="AC1351" s="1" t="s">
        <v>26719</v>
      </c>
      <c r="AD1351" s="1" t="s">
        <v>26720</v>
      </c>
      <c r="AE1351" s="1" t="s">
        <v>26721</v>
      </c>
      <c r="AF1351" s="1" t="s">
        <v>26722</v>
      </c>
      <c r="AG1351" s="1" t="s">
        <v>26702</v>
      </c>
      <c r="AH1351" s="1" t="s">
        <v>26723</v>
      </c>
      <c r="AI1351" s="1" t="s">
        <v>26724</v>
      </c>
      <c r="AJ1351" s="1" t="s">
        <v>132</v>
      </c>
      <c r="AK1351" s="1" t="s">
        <v>26725</v>
      </c>
      <c r="AL1351" s="1" t="s">
        <v>26726</v>
      </c>
      <c r="AM1351" s="1" t="s">
        <v>132</v>
      </c>
      <c r="AN1351" s="1" t="s">
        <v>132</v>
      </c>
    </row>
    <row r="1352" ht="15.75" customHeight="1">
      <c r="A1352" s="1" t="s">
        <v>127</v>
      </c>
      <c r="B1352" s="1" t="s">
        <v>26727</v>
      </c>
      <c r="C1352" s="1" t="s">
        <v>26728</v>
      </c>
      <c r="D1352" s="8" t="s">
        <v>26729</v>
      </c>
      <c r="E1352" s="1" t="s">
        <v>26730</v>
      </c>
      <c r="F1352" s="1" t="s">
        <v>132</v>
      </c>
      <c r="G1352" s="1" t="s">
        <v>26731</v>
      </c>
      <c r="H1352" s="1" t="s">
        <v>26732</v>
      </c>
      <c r="I1352" s="1" t="s">
        <v>26733</v>
      </c>
      <c r="J1352" s="1" t="s">
        <v>26734</v>
      </c>
      <c r="K1352" s="1" t="s">
        <v>26735</v>
      </c>
      <c r="L1352" s="1" t="s">
        <v>26736</v>
      </c>
      <c r="M1352" s="1" t="s">
        <v>26737</v>
      </c>
      <c r="N1352" s="1" t="s">
        <v>132</v>
      </c>
      <c r="O1352" s="1" t="s">
        <v>26738</v>
      </c>
      <c r="P1352" s="1" t="s">
        <v>26739</v>
      </c>
      <c r="Q1352" s="1" t="s">
        <v>132</v>
      </c>
      <c r="R1352" s="1" t="s">
        <v>26740</v>
      </c>
      <c r="S1352" s="1" t="s">
        <v>26741</v>
      </c>
      <c r="T1352" s="8" t="s">
        <v>26742</v>
      </c>
      <c r="U1352" s="1" t="s">
        <v>26743</v>
      </c>
      <c r="V1352" s="1" t="s">
        <v>26744</v>
      </c>
      <c r="W1352" s="1" t="s">
        <v>26745</v>
      </c>
      <c r="X1352" s="1" t="s">
        <v>26746</v>
      </c>
      <c r="Y1352" s="1" t="s">
        <v>26747</v>
      </c>
      <c r="Z1352" s="1" t="s">
        <v>26748</v>
      </c>
      <c r="AA1352" s="1" t="s">
        <v>26749</v>
      </c>
      <c r="AB1352" s="1" t="s">
        <v>26750</v>
      </c>
      <c r="AC1352" s="1" t="s">
        <v>26751</v>
      </c>
      <c r="AD1352" s="1" t="s">
        <v>26752</v>
      </c>
      <c r="AE1352" s="1" t="s">
        <v>26753</v>
      </c>
      <c r="AF1352" s="1" t="s">
        <v>26754</v>
      </c>
      <c r="AG1352" s="1" t="s">
        <v>26755</v>
      </c>
      <c r="AH1352" s="1" t="s">
        <v>26756</v>
      </c>
      <c r="AI1352" s="1" t="s">
        <v>26757</v>
      </c>
      <c r="AJ1352" s="1" t="s">
        <v>132</v>
      </c>
      <c r="AK1352" s="1" t="s">
        <v>26758</v>
      </c>
      <c r="AL1352" s="1" t="s">
        <v>26759</v>
      </c>
      <c r="AM1352" s="1" t="s">
        <v>26760</v>
      </c>
      <c r="AN1352" s="1" t="s">
        <v>26760</v>
      </c>
    </row>
    <row r="1353" ht="15.75" customHeight="1">
      <c r="A1353" s="1" t="s">
        <v>38</v>
      </c>
      <c r="B1353" s="1" t="s">
        <v>26761</v>
      </c>
      <c r="C1353" s="1" t="s">
        <v>26762</v>
      </c>
      <c r="D1353" s="8" t="s">
        <v>26763</v>
      </c>
      <c r="E1353" s="1" t="s">
        <v>26764</v>
      </c>
      <c r="F1353" s="1" t="s">
        <v>26765</v>
      </c>
      <c r="G1353" s="1" t="s">
        <v>132</v>
      </c>
      <c r="H1353" s="1" t="s">
        <v>132</v>
      </c>
      <c r="I1353" s="1" t="s">
        <v>26766</v>
      </c>
      <c r="J1353" s="1" t="s">
        <v>132</v>
      </c>
      <c r="K1353" s="1" t="s">
        <v>26767</v>
      </c>
      <c r="L1353" s="1" t="s">
        <v>132</v>
      </c>
      <c r="M1353" s="1" t="s">
        <v>26768</v>
      </c>
      <c r="N1353" s="1" t="s">
        <v>26769</v>
      </c>
      <c r="O1353" s="1" t="s">
        <v>132</v>
      </c>
      <c r="P1353" s="1" t="s">
        <v>26770</v>
      </c>
      <c r="Q1353" s="1" t="s">
        <v>26771</v>
      </c>
      <c r="R1353" s="1" t="s">
        <v>132</v>
      </c>
      <c r="S1353" s="1" t="s">
        <v>26772</v>
      </c>
      <c r="T1353" s="1" t="s">
        <v>132</v>
      </c>
      <c r="U1353" s="1" t="s">
        <v>26773</v>
      </c>
      <c r="V1353" s="1" t="s">
        <v>26774</v>
      </c>
      <c r="W1353" s="1" t="s">
        <v>132</v>
      </c>
      <c r="X1353" s="1" t="s">
        <v>26775</v>
      </c>
      <c r="Y1353" s="1" t="s">
        <v>132</v>
      </c>
      <c r="Z1353" s="1" t="s">
        <v>26776</v>
      </c>
      <c r="AA1353" s="1" t="s">
        <v>26777</v>
      </c>
      <c r="AB1353" s="1" t="s">
        <v>132</v>
      </c>
      <c r="AC1353" s="1" t="s">
        <v>26778</v>
      </c>
      <c r="AD1353" s="1" t="s">
        <v>26779</v>
      </c>
      <c r="AE1353" s="1" t="s">
        <v>132</v>
      </c>
      <c r="AF1353" s="1" t="s">
        <v>26780</v>
      </c>
      <c r="AG1353" s="1" t="s">
        <v>26781</v>
      </c>
      <c r="AH1353" s="1" t="s">
        <v>132</v>
      </c>
      <c r="AI1353" s="1" t="s">
        <v>132</v>
      </c>
      <c r="AJ1353" s="1" t="s">
        <v>26783</v>
      </c>
      <c r="AK1353" s="1" t="s">
        <v>26784</v>
      </c>
      <c r="AL1353" s="1" t="s">
        <v>132</v>
      </c>
      <c r="AM1353" s="1" t="s">
        <v>26785</v>
      </c>
      <c r="AN1353" s="1" t="s">
        <v>26785</v>
      </c>
    </row>
    <row r="1354" ht="15.75" customHeight="1">
      <c r="A1354" s="1" t="s">
        <v>38</v>
      </c>
      <c r="B1354" s="1" t="s">
        <v>26786</v>
      </c>
      <c r="C1354" s="1" t="s">
        <v>24873</v>
      </c>
      <c r="D1354" s="8" t="s">
        <v>24874</v>
      </c>
      <c r="E1354" s="1" t="s">
        <v>26787</v>
      </c>
      <c r="F1354" s="1" t="s">
        <v>24880</v>
      </c>
      <c r="G1354" s="1" t="s">
        <v>132</v>
      </c>
      <c r="H1354" s="1" t="s">
        <v>132</v>
      </c>
      <c r="I1354" s="1" t="s">
        <v>24878</v>
      </c>
      <c r="J1354" s="1" t="s">
        <v>132</v>
      </c>
      <c r="K1354" s="1" t="s">
        <v>24880</v>
      </c>
      <c r="L1354" s="1" t="s">
        <v>132</v>
      </c>
      <c r="M1354" s="1" t="s">
        <v>24882</v>
      </c>
      <c r="N1354" s="1" t="s">
        <v>24880</v>
      </c>
      <c r="O1354" s="1" t="s">
        <v>132</v>
      </c>
      <c r="P1354" s="1" t="s">
        <v>26788</v>
      </c>
      <c r="Q1354" s="1" t="s">
        <v>24885</v>
      </c>
      <c r="R1354" s="1" t="s">
        <v>132</v>
      </c>
      <c r="S1354" s="1" t="s">
        <v>26789</v>
      </c>
      <c r="T1354" s="1" t="s">
        <v>132</v>
      </c>
      <c r="U1354" s="1" t="s">
        <v>26790</v>
      </c>
      <c r="V1354" s="1" t="s">
        <v>24889</v>
      </c>
      <c r="W1354" s="1" t="s">
        <v>132</v>
      </c>
      <c r="X1354" s="1" t="s">
        <v>26791</v>
      </c>
      <c r="Y1354" s="1" t="s">
        <v>132</v>
      </c>
      <c r="Z1354" s="1" t="s">
        <v>24892</v>
      </c>
      <c r="AA1354" s="1" t="s">
        <v>24880</v>
      </c>
      <c r="AB1354" s="1" t="s">
        <v>132</v>
      </c>
      <c r="AC1354" s="1" t="s">
        <v>24894</v>
      </c>
      <c r="AD1354" s="1" t="s">
        <v>24895</v>
      </c>
      <c r="AE1354" s="1" t="s">
        <v>132</v>
      </c>
      <c r="AF1354" s="1" t="s">
        <v>26792</v>
      </c>
      <c r="AG1354" s="1" t="s">
        <v>24898</v>
      </c>
      <c r="AH1354" s="1" t="s">
        <v>132</v>
      </c>
      <c r="AI1354" s="1" t="s">
        <v>132</v>
      </c>
      <c r="AJ1354" s="1" t="s">
        <v>26793</v>
      </c>
      <c r="AK1354" s="1" t="s">
        <v>24901</v>
      </c>
      <c r="AL1354" s="1" t="s">
        <v>132</v>
      </c>
      <c r="AM1354" s="1" t="s">
        <v>26790</v>
      </c>
      <c r="AN1354" s="1" t="s">
        <v>26790</v>
      </c>
    </row>
    <row r="1355" ht="15.75" customHeight="1">
      <c r="A1355" s="1" t="s">
        <v>38</v>
      </c>
      <c r="B1355" s="1" t="s">
        <v>26794</v>
      </c>
      <c r="C1355" s="1" t="s">
        <v>26795</v>
      </c>
      <c r="D1355" s="1" t="s">
        <v>132</v>
      </c>
      <c r="E1355" s="1" t="s">
        <v>26796</v>
      </c>
      <c r="F1355" s="1" t="s">
        <v>26797</v>
      </c>
      <c r="G1355" s="1" t="s">
        <v>132</v>
      </c>
      <c r="H1355" s="1" t="s">
        <v>132</v>
      </c>
      <c r="I1355" s="1" t="s">
        <v>26798</v>
      </c>
      <c r="J1355" s="1" t="s">
        <v>132</v>
      </c>
      <c r="K1355" s="1" t="s">
        <v>26799</v>
      </c>
      <c r="L1355" s="1" t="s">
        <v>132</v>
      </c>
      <c r="M1355" s="1" t="s">
        <v>26800</v>
      </c>
      <c r="N1355" s="1" t="s">
        <v>26801</v>
      </c>
      <c r="O1355" s="1" t="s">
        <v>132</v>
      </c>
      <c r="P1355" s="1" t="s">
        <v>26802</v>
      </c>
      <c r="Q1355" s="1" t="s">
        <v>132</v>
      </c>
      <c r="R1355" s="1" t="s">
        <v>132</v>
      </c>
      <c r="S1355" s="1" t="s">
        <v>26803</v>
      </c>
      <c r="T1355" s="1" t="s">
        <v>132</v>
      </c>
      <c r="U1355" s="1" t="s">
        <v>26804</v>
      </c>
      <c r="V1355" s="1" t="s">
        <v>132</v>
      </c>
      <c r="W1355" s="1" t="s">
        <v>132</v>
      </c>
      <c r="X1355" s="1" t="s">
        <v>26805</v>
      </c>
      <c r="Y1355" s="1" t="s">
        <v>132</v>
      </c>
      <c r="Z1355" s="1" t="s">
        <v>26806</v>
      </c>
      <c r="AA1355" s="1" t="s">
        <v>132</v>
      </c>
      <c r="AB1355" s="1" t="s">
        <v>132</v>
      </c>
      <c r="AC1355" s="1" t="s">
        <v>132</v>
      </c>
      <c r="AD1355" s="1" t="s">
        <v>132</v>
      </c>
      <c r="AE1355" s="1" t="s">
        <v>132</v>
      </c>
      <c r="AF1355" s="1" t="s">
        <v>26807</v>
      </c>
      <c r="AG1355" s="1" t="s">
        <v>132</v>
      </c>
      <c r="AH1355" s="1" t="s">
        <v>132</v>
      </c>
      <c r="AI1355" s="1" t="s">
        <v>132</v>
      </c>
      <c r="AJ1355" s="1" t="s">
        <v>132</v>
      </c>
      <c r="AK1355" s="1" t="s">
        <v>132</v>
      </c>
      <c r="AL1355" s="1" t="s">
        <v>132</v>
      </c>
      <c r="AM1355" s="1" t="s">
        <v>26808</v>
      </c>
      <c r="AN1355" s="1" t="s">
        <v>26808</v>
      </c>
    </row>
    <row r="1356" ht="15.75" customHeight="1">
      <c r="A1356" s="1" t="s">
        <v>38</v>
      </c>
      <c r="B1356" s="1" t="s">
        <v>26809</v>
      </c>
      <c r="C1356" s="1" t="s">
        <v>26810</v>
      </c>
      <c r="D1356" s="1" t="s">
        <v>132</v>
      </c>
      <c r="E1356" s="1" t="s">
        <v>26811</v>
      </c>
      <c r="F1356" s="1" t="s">
        <v>26812</v>
      </c>
      <c r="G1356" s="1" t="s">
        <v>132</v>
      </c>
      <c r="H1356" s="1" t="s">
        <v>132</v>
      </c>
      <c r="I1356" s="1" t="s">
        <v>26813</v>
      </c>
      <c r="J1356" s="1" t="s">
        <v>132</v>
      </c>
      <c r="K1356" s="1" t="s">
        <v>26814</v>
      </c>
      <c r="L1356" s="1" t="s">
        <v>132</v>
      </c>
      <c r="M1356" s="1" t="s">
        <v>26815</v>
      </c>
      <c r="N1356" s="1" t="s">
        <v>26816</v>
      </c>
      <c r="O1356" s="1" t="s">
        <v>132</v>
      </c>
      <c r="P1356" s="1" t="s">
        <v>26817</v>
      </c>
      <c r="Q1356" s="1" t="s">
        <v>26818</v>
      </c>
      <c r="R1356" s="1" t="s">
        <v>132</v>
      </c>
      <c r="S1356" s="1" t="s">
        <v>26819</v>
      </c>
      <c r="T1356" s="1" t="s">
        <v>132</v>
      </c>
      <c r="U1356" s="1" t="s">
        <v>26820</v>
      </c>
      <c r="V1356" s="1" t="s">
        <v>26821</v>
      </c>
      <c r="W1356" s="1" t="s">
        <v>132</v>
      </c>
      <c r="X1356" s="1" t="s">
        <v>26822</v>
      </c>
      <c r="Y1356" s="1" t="s">
        <v>132</v>
      </c>
      <c r="Z1356" s="1" t="s">
        <v>26823</v>
      </c>
      <c r="AA1356" s="1" t="s">
        <v>26824</v>
      </c>
      <c r="AB1356" s="1" t="s">
        <v>132</v>
      </c>
      <c r="AC1356" s="1" t="s">
        <v>26825</v>
      </c>
      <c r="AD1356" s="1" t="s">
        <v>26826</v>
      </c>
      <c r="AE1356" s="1" t="s">
        <v>132</v>
      </c>
      <c r="AF1356" s="1" t="s">
        <v>26827</v>
      </c>
      <c r="AG1356" s="1" t="s">
        <v>26828</v>
      </c>
      <c r="AH1356" s="1" t="s">
        <v>132</v>
      </c>
      <c r="AI1356" s="1" t="s">
        <v>132</v>
      </c>
      <c r="AJ1356" s="1" t="s">
        <v>26829</v>
      </c>
      <c r="AK1356" s="1" t="s">
        <v>26830</v>
      </c>
      <c r="AL1356" s="1" t="s">
        <v>132</v>
      </c>
      <c r="AM1356" s="1" t="s">
        <v>26831</v>
      </c>
      <c r="AN1356" s="1" t="s">
        <v>26831</v>
      </c>
    </row>
    <row r="1357" ht="15.75" customHeight="1">
      <c r="A1357" s="1" t="s">
        <v>127</v>
      </c>
      <c r="B1357" s="1" t="s">
        <v>26832</v>
      </c>
      <c r="C1357" s="1" t="s">
        <v>26833</v>
      </c>
      <c r="D1357" s="8" t="s">
        <v>26834</v>
      </c>
      <c r="E1357" s="1" t="s">
        <v>26835</v>
      </c>
      <c r="F1357" s="1" t="s">
        <v>132</v>
      </c>
      <c r="G1357" s="1" t="s">
        <v>26836</v>
      </c>
      <c r="H1357" s="1" t="s">
        <v>26837</v>
      </c>
      <c r="I1357" s="1" t="s">
        <v>26838</v>
      </c>
      <c r="J1357" s="1" t="s">
        <v>26839</v>
      </c>
      <c r="K1357" s="1" t="s">
        <v>26840</v>
      </c>
      <c r="L1357" s="1" t="s">
        <v>26841</v>
      </c>
      <c r="M1357" s="1" t="s">
        <v>26842</v>
      </c>
      <c r="N1357" s="1" t="s">
        <v>132</v>
      </c>
      <c r="O1357" s="1" t="s">
        <v>26843</v>
      </c>
      <c r="P1357" s="1" t="s">
        <v>26844</v>
      </c>
      <c r="Q1357" s="1" t="s">
        <v>132</v>
      </c>
      <c r="R1357" s="1" t="s">
        <v>26845</v>
      </c>
      <c r="S1357" s="1" t="s">
        <v>26846</v>
      </c>
      <c r="T1357" s="8" t="s">
        <v>26847</v>
      </c>
      <c r="U1357" s="1" t="s">
        <v>26848</v>
      </c>
      <c r="V1357" s="1" t="s">
        <v>26849</v>
      </c>
      <c r="W1357" s="1" t="s">
        <v>26850</v>
      </c>
      <c r="X1357" s="1" t="s">
        <v>26851</v>
      </c>
      <c r="Y1357" s="1" t="s">
        <v>26852</v>
      </c>
      <c r="Z1357" s="1" t="s">
        <v>26853</v>
      </c>
      <c r="AA1357" s="1" t="s">
        <v>26854</v>
      </c>
      <c r="AB1357" s="1" t="s">
        <v>26855</v>
      </c>
      <c r="AC1357" s="1" t="s">
        <v>26856</v>
      </c>
      <c r="AD1357" s="1" t="s">
        <v>26857</v>
      </c>
      <c r="AE1357" s="1" t="s">
        <v>26858</v>
      </c>
      <c r="AF1357" s="1" t="s">
        <v>26859</v>
      </c>
      <c r="AG1357" s="1" t="s">
        <v>26860</v>
      </c>
      <c r="AH1357" s="1" t="s">
        <v>26861</v>
      </c>
      <c r="AI1357" s="1" t="s">
        <v>26862</v>
      </c>
      <c r="AJ1357" s="1" t="s">
        <v>132</v>
      </c>
      <c r="AK1357" s="1" t="s">
        <v>26863</v>
      </c>
      <c r="AL1357" s="1" t="s">
        <v>26864</v>
      </c>
      <c r="AM1357" s="1" t="s">
        <v>132</v>
      </c>
      <c r="AN1357" s="1" t="s">
        <v>132</v>
      </c>
    </row>
    <row r="1358" ht="15.75" customHeight="1">
      <c r="A1358" s="1" t="s">
        <v>127</v>
      </c>
      <c r="B1358" s="1" t="s">
        <v>26865</v>
      </c>
      <c r="C1358" s="1" t="s">
        <v>26866</v>
      </c>
      <c r="D1358" s="8" t="s">
        <v>26867</v>
      </c>
      <c r="E1358" s="1" t="s">
        <v>26868</v>
      </c>
      <c r="F1358" s="1" t="s">
        <v>132</v>
      </c>
      <c r="G1358" s="1" t="s">
        <v>26869</v>
      </c>
      <c r="H1358" s="1" t="s">
        <v>26870</v>
      </c>
      <c r="I1358" s="1" t="s">
        <v>26866</v>
      </c>
      <c r="J1358" s="1" t="s">
        <v>26871</v>
      </c>
      <c r="K1358" s="1" t="s">
        <v>26866</v>
      </c>
      <c r="L1358" s="1" t="s">
        <v>26872</v>
      </c>
      <c r="M1358" s="1" t="s">
        <v>26866</v>
      </c>
      <c r="N1358" s="1" t="s">
        <v>132</v>
      </c>
      <c r="O1358" s="1" t="s">
        <v>26873</v>
      </c>
      <c r="P1358" s="1" t="s">
        <v>26866</v>
      </c>
      <c r="Q1358" s="1" t="s">
        <v>132</v>
      </c>
      <c r="R1358" s="1" t="s">
        <v>26874</v>
      </c>
      <c r="S1358" s="1" t="s">
        <v>26866</v>
      </c>
      <c r="T1358" s="8" t="s">
        <v>26875</v>
      </c>
      <c r="U1358" s="1" t="s">
        <v>26876</v>
      </c>
      <c r="V1358" s="1" t="s">
        <v>26877</v>
      </c>
      <c r="W1358" s="1" t="s">
        <v>26878</v>
      </c>
      <c r="X1358" s="1" t="s">
        <v>26879</v>
      </c>
      <c r="Y1358" s="1" t="s">
        <v>26880</v>
      </c>
      <c r="Z1358" s="1" t="s">
        <v>26866</v>
      </c>
      <c r="AA1358" s="1" t="s">
        <v>26881</v>
      </c>
      <c r="AB1358" s="1" t="s">
        <v>26882</v>
      </c>
      <c r="AC1358" s="1" t="s">
        <v>26883</v>
      </c>
      <c r="AD1358" s="1" t="s">
        <v>26884</v>
      </c>
      <c r="AE1358" s="1" t="s">
        <v>26885</v>
      </c>
      <c r="AF1358" s="1" t="s">
        <v>26866</v>
      </c>
      <c r="AG1358" s="1" t="s">
        <v>26866</v>
      </c>
      <c r="AH1358" s="1" t="s">
        <v>26886</v>
      </c>
      <c r="AI1358" s="1" t="s">
        <v>26887</v>
      </c>
      <c r="AJ1358" s="1" t="s">
        <v>132</v>
      </c>
      <c r="AK1358" s="1" t="s">
        <v>26888</v>
      </c>
      <c r="AL1358" s="1" t="s">
        <v>26889</v>
      </c>
      <c r="AM1358" s="1" t="s">
        <v>26890</v>
      </c>
      <c r="AN1358" s="1" t="s">
        <v>26890</v>
      </c>
    </row>
    <row r="1359" ht="15.75" customHeight="1">
      <c r="A1359" s="1" t="s">
        <v>127</v>
      </c>
      <c r="B1359" s="1" t="s">
        <v>26891</v>
      </c>
      <c r="C1359" s="1" t="s">
        <v>26892</v>
      </c>
      <c r="D1359" s="8" t="s">
        <v>26893</v>
      </c>
      <c r="E1359" s="1" t="s">
        <v>26894</v>
      </c>
      <c r="F1359" s="1" t="s">
        <v>132</v>
      </c>
      <c r="G1359" s="1" t="s">
        <v>26895</v>
      </c>
      <c r="H1359" s="1" t="s">
        <v>26896</v>
      </c>
      <c r="I1359" s="1" t="s">
        <v>26897</v>
      </c>
      <c r="J1359" s="1" t="s">
        <v>26898</v>
      </c>
      <c r="K1359" s="1" t="s">
        <v>26899</v>
      </c>
      <c r="L1359" s="1" t="s">
        <v>26900</v>
      </c>
      <c r="M1359" s="1" t="s">
        <v>26901</v>
      </c>
      <c r="N1359" s="1" t="s">
        <v>132</v>
      </c>
      <c r="O1359" s="1" t="s">
        <v>26902</v>
      </c>
      <c r="P1359" s="1" t="s">
        <v>26903</v>
      </c>
      <c r="Q1359" s="1" t="s">
        <v>132</v>
      </c>
      <c r="R1359" s="1" t="s">
        <v>26904</v>
      </c>
      <c r="S1359" s="1" t="s">
        <v>26905</v>
      </c>
      <c r="T1359" s="8" t="s">
        <v>26906</v>
      </c>
      <c r="U1359" s="1" t="s">
        <v>26907</v>
      </c>
      <c r="V1359" s="1" t="s">
        <v>26908</v>
      </c>
      <c r="W1359" s="1" t="s">
        <v>26904</v>
      </c>
      <c r="X1359" s="1" t="s">
        <v>26909</v>
      </c>
      <c r="Y1359" s="1" t="s">
        <v>26910</v>
      </c>
      <c r="Z1359" s="1" t="s">
        <v>26911</v>
      </c>
      <c r="AA1359" s="1" t="s">
        <v>26912</v>
      </c>
      <c r="AB1359" s="1" t="s">
        <v>26913</v>
      </c>
      <c r="AC1359" s="1" t="s">
        <v>26914</v>
      </c>
      <c r="AD1359" s="1" t="s">
        <v>26915</v>
      </c>
      <c r="AE1359" s="1" t="s">
        <v>26916</v>
      </c>
      <c r="AF1359" s="1" t="s">
        <v>26917</v>
      </c>
      <c r="AG1359" s="1" t="s">
        <v>26918</v>
      </c>
      <c r="AH1359" s="1" t="s">
        <v>26919</v>
      </c>
      <c r="AI1359" s="1" t="s">
        <v>26920</v>
      </c>
      <c r="AJ1359" s="1" t="s">
        <v>132</v>
      </c>
      <c r="AK1359" s="1" t="s">
        <v>26921</v>
      </c>
      <c r="AL1359" s="1" t="s">
        <v>26922</v>
      </c>
      <c r="AM1359" s="1" t="s">
        <v>26923</v>
      </c>
      <c r="AN1359" s="1" t="s">
        <v>26923</v>
      </c>
    </row>
    <row r="1360" ht="15.75" customHeight="1">
      <c r="A1360" s="1" t="s">
        <v>38</v>
      </c>
      <c r="B1360" s="1" t="s">
        <v>26924</v>
      </c>
      <c r="C1360" s="1" t="s">
        <v>26925</v>
      </c>
      <c r="D1360" s="8" t="s">
        <v>26926</v>
      </c>
      <c r="E1360" s="1" t="s">
        <v>26927</v>
      </c>
      <c r="F1360" s="1" t="s">
        <v>26928</v>
      </c>
      <c r="G1360" s="1" t="s">
        <v>132</v>
      </c>
      <c r="H1360" s="1" t="s">
        <v>132</v>
      </c>
      <c r="I1360" s="1" t="s">
        <v>26929</v>
      </c>
      <c r="J1360" s="1" t="s">
        <v>132</v>
      </c>
      <c r="K1360" s="1" t="s">
        <v>26930</v>
      </c>
      <c r="L1360" s="1" t="s">
        <v>132</v>
      </c>
      <c r="M1360" s="1" t="s">
        <v>26931</v>
      </c>
      <c r="N1360" s="1" t="s">
        <v>26932</v>
      </c>
      <c r="O1360" s="1" t="s">
        <v>132</v>
      </c>
      <c r="P1360" s="1" t="s">
        <v>26933</v>
      </c>
      <c r="Q1360" s="1" t="s">
        <v>26934</v>
      </c>
      <c r="R1360" s="1" t="s">
        <v>132</v>
      </c>
      <c r="S1360" s="1" t="s">
        <v>26935</v>
      </c>
      <c r="T1360" s="1" t="s">
        <v>132</v>
      </c>
      <c r="U1360" s="1" t="s">
        <v>26936</v>
      </c>
      <c r="V1360" s="1" t="s">
        <v>26937</v>
      </c>
      <c r="W1360" s="1" t="s">
        <v>132</v>
      </c>
      <c r="X1360" s="1" t="s">
        <v>26938</v>
      </c>
      <c r="Y1360" s="1" t="s">
        <v>132</v>
      </c>
      <c r="Z1360" s="1" t="s">
        <v>26939</v>
      </c>
      <c r="AA1360" s="1" t="s">
        <v>26940</v>
      </c>
      <c r="AB1360" s="1" t="s">
        <v>132</v>
      </c>
      <c r="AC1360" s="1" t="s">
        <v>26941</v>
      </c>
      <c r="AD1360" s="1" t="s">
        <v>26942</v>
      </c>
      <c r="AE1360" s="1" t="s">
        <v>132</v>
      </c>
      <c r="AF1360" s="1" t="s">
        <v>26943</v>
      </c>
      <c r="AG1360" s="1" t="s">
        <v>26944</v>
      </c>
      <c r="AH1360" s="1" t="s">
        <v>132</v>
      </c>
      <c r="AI1360" s="1" t="s">
        <v>132</v>
      </c>
      <c r="AJ1360" s="1" t="s">
        <v>26945</v>
      </c>
      <c r="AK1360" s="1" t="s">
        <v>26946</v>
      </c>
      <c r="AL1360" s="1" t="s">
        <v>132</v>
      </c>
      <c r="AM1360" s="1" t="s">
        <v>26947</v>
      </c>
      <c r="AN1360" s="1" t="s">
        <v>26947</v>
      </c>
    </row>
    <row r="1361" ht="15.75" customHeight="1">
      <c r="A1361" s="1" t="s">
        <v>127</v>
      </c>
      <c r="B1361" s="1" t="s">
        <v>26948</v>
      </c>
      <c r="C1361" s="1" t="s">
        <v>26949</v>
      </c>
      <c r="D1361" s="8" t="s">
        <v>26950</v>
      </c>
      <c r="E1361" s="1" t="s">
        <v>26951</v>
      </c>
      <c r="F1361" s="1" t="s">
        <v>132</v>
      </c>
      <c r="G1361" s="1" t="s">
        <v>26952</v>
      </c>
      <c r="H1361" s="1" t="s">
        <v>26953</v>
      </c>
      <c r="I1361" s="1" t="s">
        <v>26949</v>
      </c>
      <c r="J1361" s="1" t="s">
        <v>26954</v>
      </c>
      <c r="K1361" s="1" t="s">
        <v>26949</v>
      </c>
      <c r="L1361" s="1" t="s">
        <v>26955</v>
      </c>
      <c r="M1361" s="1" t="s">
        <v>26949</v>
      </c>
      <c r="N1361" s="1" t="s">
        <v>132</v>
      </c>
      <c r="O1361" s="1" t="s">
        <v>26956</v>
      </c>
      <c r="P1361" s="1" t="s">
        <v>26949</v>
      </c>
      <c r="Q1361" s="1" t="s">
        <v>132</v>
      </c>
      <c r="R1361" s="1" t="s">
        <v>26957</v>
      </c>
      <c r="S1361" s="1" t="s">
        <v>26949</v>
      </c>
      <c r="T1361" s="8" t="s">
        <v>26958</v>
      </c>
      <c r="U1361" s="1" t="s">
        <v>26959</v>
      </c>
      <c r="V1361" s="1" t="s">
        <v>26960</v>
      </c>
      <c r="W1361" s="1" t="s">
        <v>26961</v>
      </c>
      <c r="X1361" s="1" t="s">
        <v>26962</v>
      </c>
      <c r="Y1361" s="1" t="s">
        <v>26963</v>
      </c>
      <c r="Z1361" s="1" t="s">
        <v>26949</v>
      </c>
      <c r="AA1361" s="1" t="s">
        <v>26964</v>
      </c>
      <c r="AB1361" s="1" t="s">
        <v>26965</v>
      </c>
      <c r="AC1361" s="1" t="s">
        <v>26966</v>
      </c>
      <c r="AD1361" s="1" t="s">
        <v>26967</v>
      </c>
      <c r="AE1361" s="1" t="s">
        <v>26968</v>
      </c>
      <c r="AF1361" s="1" t="s">
        <v>26949</v>
      </c>
      <c r="AG1361" s="1" t="s">
        <v>26949</v>
      </c>
      <c r="AH1361" s="1" t="s">
        <v>26969</v>
      </c>
      <c r="AI1361" s="1" t="s">
        <v>26970</v>
      </c>
      <c r="AJ1361" s="1" t="s">
        <v>132</v>
      </c>
      <c r="AK1361" s="1" t="s">
        <v>26971</v>
      </c>
      <c r="AL1361" s="1" t="s">
        <v>26972</v>
      </c>
      <c r="AM1361" s="1" t="s">
        <v>26973</v>
      </c>
      <c r="AN1361" s="1" t="s">
        <v>26973</v>
      </c>
    </row>
    <row r="1362" ht="15.75" customHeight="1">
      <c r="A1362" s="1" t="s">
        <v>38</v>
      </c>
      <c r="B1362" s="1" t="s">
        <v>26974</v>
      </c>
      <c r="C1362" s="1" t="s">
        <v>26975</v>
      </c>
      <c r="D1362" s="1" t="s">
        <v>132</v>
      </c>
      <c r="E1362" s="1" t="s">
        <v>132</v>
      </c>
      <c r="F1362" s="1" t="s">
        <v>132</v>
      </c>
      <c r="G1362" s="1" t="s">
        <v>132</v>
      </c>
      <c r="H1362" s="1" t="s">
        <v>132</v>
      </c>
      <c r="I1362" s="1" t="s">
        <v>26976</v>
      </c>
      <c r="J1362" s="1" t="s">
        <v>132</v>
      </c>
      <c r="K1362" s="1" t="s">
        <v>26977</v>
      </c>
      <c r="L1362" s="1" t="s">
        <v>132</v>
      </c>
      <c r="M1362" s="1" t="s">
        <v>26978</v>
      </c>
      <c r="N1362" s="1" t="s">
        <v>132</v>
      </c>
      <c r="O1362" s="1" t="s">
        <v>132</v>
      </c>
      <c r="P1362" s="1" t="s">
        <v>26975</v>
      </c>
      <c r="Q1362" s="1" t="s">
        <v>132</v>
      </c>
      <c r="R1362" s="1" t="s">
        <v>132</v>
      </c>
      <c r="S1362" s="1" t="s">
        <v>132</v>
      </c>
      <c r="T1362" s="1" t="s">
        <v>132</v>
      </c>
      <c r="U1362" s="1" t="s">
        <v>132</v>
      </c>
      <c r="V1362" s="1" t="s">
        <v>132</v>
      </c>
      <c r="W1362" s="1" t="s">
        <v>132</v>
      </c>
      <c r="X1362" s="1" t="s">
        <v>132</v>
      </c>
      <c r="Y1362" s="1" t="s">
        <v>132</v>
      </c>
      <c r="Z1362" s="1" t="s">
        <v>132</v>
      </c>
      <c r="AA1362" s="1" t="s">
        <v>132</v>
      </c>
      <c r="AB1362" s="1" t="s">
        <v>132</v>
      </c>
      <c r="AC1362" s="1" t="s">
        <v>26979</v>
      </c>
      <c r="AD1362" s="1" t="s">
        <v>132</v>
      </c>
      <c r="AE1362" s="1" t="s">
        <v>132</v>
      </c>
      <c r="AF1362" s="1" t="s">
        <v>26980</v>
      </c>
      <c r="AG1362" s="1" t="s">
        <v>132</v>
      </c>
      <c r="AH1362" s="1" t="s">
        <v>132</v>
      </c>
      <c r="AI1362" s="1" t="s">
        <v>132</v>
      </c>
      <c r="AJ1362" s="1" t="s">
        <v>132</v>
      </c>
      <c r="AK1362" s="1" t="s">
        <v>132</v>
      </c>
      <c r="AL1362" s="1" t="s">
        <v>132</v>
      </c>
      <c r="AM1362" s="1" t="s">
        <v>132</v>
      </c>
      <c r="AN1362" s="1" t="s">
        <v>132</v>
      </c>
    </row>
    <row r="1363" ht="15.75" customHeight="1">
      <c r="A1363" s="1" t="s">
        <v>127</v>
      </c>
      <c r="B1363" s="1" t="s">
        <v>26981</v>
      </c>
      <c r="C1363" s="1" t="s">
        <v>26982</v>
      </c>
      <c r="D1363" s="8" t="s">
        <v>26983</v>
      </c>
      <c r="E1363" s="1" t="s">
        <v>26982</v>
      </c>
      <c r="F1363" s="1" t="s">
        <v>132</v>
      </c>
      <c r="G1363" s="1" t="s">
        <v>26984</v>
      </c>
      <c r="H1363" s="1" t="s">
        <v>26985</v>
      </c>
      <c r="I1363" s="1" t="s">
        <v>26982</v>
      </c>
      <c r="J1363" s="1" t="s">
        <v>26984</v>
      </c>
      <c r="K1363" s="1" t="s">
        <v>26982</v>
      </c>
      <c r="L1363" s="1" t="s">
        <v>26986</v>
      </c>
      <c r="M1363" s="1" t="s">
        <v>26982</v>
      </c>
      <c r="N1363" s="1" t="s">
        <v>132</v>
      </c>
      <c r="O1363" s="1" t="s">
        <v>26987</v>
      </c>
      <c r="P1363" s="1" t="s">
        <v>26982</v>
      </c>
      <c r="Q1363" s="1" t="s">
        <v>132</v>
      </c>
      <c r="R1363" s="1" t="s">
        <v>26984</v>
      </c>
      <c r="S1363" s="1" t="s">
        <v>26984</v>
      </c>
      <c r="T1363" s="8" t="s">
        <v>26988</v>
      </c>
      <c r="U1363" s="1" t="s">
        <v>26982</v>
      </c>
      <c r="V1363" s="1" t="s">
        <v>26984</v>
      </c>
      <c r="W1363" s="1" t="s">
        <v>26984</v>
      </c>
      <c r="X1363" s="1" t="s">
        <v>26982</v>
      </c>
      <c r="Y1363" s="1" t="s">
        <v>26984</v>
      </c>
      <c r="Z1363" s="1" t="s">
        <v>26982</v>
      </c>
      <c r="AA1363" s="1" t="s">
        <v>26982</v>
      </c>
      <c r="AB1363" s="1" t="s">
        <v>26989</v>
      </c>
      <c r="AC1363" s="1" t="s">
        <v>26982</v>
      </c>
      <c r="AD1363" s="1" t="s">
        <v>26984</v>
      </c>
      <c r="AE1363" s="1" t="s">
        <v>26990</v>
      </c>
      <c r="AF1363" s="1" t="s">
        <v>26982</v>
      </c>
      <c r="AG1363" s="1" t="s">
        <v>26991</v>
      </c>
      <c r="AH1363" s="1" t="s">
        <v>26982</v>
      </c>
      <c r="AI1363" s="1" t="s">
        <v>26992</v>
      </c>
      <c r="AJ1363" s="1" t="s">
        <v>132</v>
      </c>
      <c r="AK1363" s="1" t="s">
        <v>26984</v>
      </c>
      <c r="AL1363" s="1" t="s">
        <v>26993</v>
      </c>
      <c r="AM1363" s="1" t="s">
        <v>26994</v>
      </c>
      <c r="AN1363" s="1" t="s">
        <v>26994</v>
      </c>
    </row>
    <row r="1364" ht="15.75" customHeight="1">
      <c r="A1364" s="1" t="s">
        <v>38</v>
      </c>
      <c r="B1364" s="1" t="s">
        <v>26995</v>
      </c>
      <c r="C1364" s="1" t="s">
        <v>26996</v>
      </c>
      <c r="D1364" s="1" t="s">
        <v>132</v>
      </c>
      <c r="E1364" s="1" t="s">
        <v>132</v>
      </c>
      <c r="F1364" s="1" t="s">
        <v>132</v>
      </c>
      <c r="G1364" s="1" t="s">
        <v>132</v>
      </c>
      <c r="H1364" s="1" t="s">
        <v>132</v>
      </c>
      <c r="I1364" s="1" t="s">
        <v>26997</v>
      </c>
      <c r="J1364" s="1" t="s">
        <v>132</v>
      </c>
      <c r="K1364" s="1" t="s">
        <v>26997</v>
      </c>
      <c r="L1364" s="1" t="s">
        <v>132</v>
      </c>
      <c r="M1364" s="1" t="s">
        <v>26998</v>
      </c>
      <c r="N1364" s="1" t="s">
        <v>132</v>
      </c>
      <c r="O1364" s="1" t="s">
        <v>132</v>
      </c>
      <c r="P1364" s="1" t="s">
        <v>26996</v>
      </c>
      <c r="Q1364" s="1" t="s">
        <v>132</v>
      </c>
      <c r="R1364" s="1" t="s">
        <v>132</v>
      </c>
      <c r="S1364" s="1" t="s">
        <v>132</v>
      </c>
      <c r="T1364" s="1" t="s">
        <v>132</v>
      </c>
      <c r="U1364" s="1" t="s">
        <v>132</v>
      </c>
      <c r="V1364" s="1" t="s">
        <v>132</v>
      </c>
      <c r="W1364" s="1" t="s">
        <v>132</v>
      </c>
      <c r="X1364" s="1" t="s">
        <v>132</v>
      </c>
      <c r="Y1364" s="1" t="s">
        <v>132</v>
      </c>
      <c r="Z1364" s="1" t="s">
        <v>132</v>
      </c>
      <c r="AA1364" s="1" t="s">
        <v>132</v>
      </c>
      <c r="AB1364" s="1" t="s">
        <v>132</v>
      </c>
      <c r="AC1364" s="1" t="s">
        <v>26999</v>
      </c>
      <c r="AD1364" s="1" t="s">
        <v>132</v>
      </c>
      <c r="AE1364" s="1" t="s">
        <v>132</v>
      </c>
      <c r="AF1364" s="1" t="s">
        <v>27000</v>
      </c>
      <c r="AG1364" s="1" t="s">
        <v>132</v>
      </c>
      <c r="AH1364" s="1" t="s">
        <v>132</v>
      </c>
      <c r="AI1364" s="1" t="s">
        <v>132</v>
      </c>
      <c r="AJ1364" s="1" t="s">
        <v>132</v>
      </c>
      <c r="AK1364" s="1" t="s">
        <v>132</v>
      </c>
      <c r="AL1364" s="1" t="s">
        <v>132</v>
      </c>
      <c r="AM1364" s="1" t="s">
        <v>132</v>
      </c>
      <c r="AN1364" s="1" t="s">
        <v>132</v>
      </c>
    </row>
    <row r="1365" ht="15.75" customHeight="1">
      <c r="A1365" s="1" t="s">
        <v>38</v>
      </c>
      <c r="B1365" s="1" t="s">
        <v>27001</v>
      </c>
      <c r="C1365" s="1" t="s">
        <v>27002</v>
      </c>
      <c r="D1365" s="8" t="s">
        <v>27003</v>
      </c>
      <c r="E1365" s="1" t="s">
        <v>27004</v>
      </c>
      <c r="F1365" s="1" t="s">
        <v>27005</v>
      </c>
      <c r="G1365" s="1" t="s">
        <v>132</v>
      </c>
      <c r="H1365" s="1" t="s">
        <v>132</v>
      </c>
      <c r="I1365" s="1" t="s">
        <v>27006</v>
      </c>
      <c r="J1365" s="1" t="s">
        <v>132</v>
      </c>
      <c r="K1365" s="1" t="s">
        <v>27007</v>
      </c>
      <c r="L1365" s="1" t="s">
        <v>132</v>
      </c>
      <c r="M1365" s="1" t="s">
        <v>27008</v>
      </c>
      <c r="N1365" s="1" t="s">
        <v>27009</v>
      </c>
      <c r="O1365" s="1" t="s">
        <v>132</v>
      </c>
      <c r="P1365" s="1" t="s">
        <v>27010</v>
      </c>
      <c r="Q1365" s="1" t="s">
        <v>132</v>
      </c>
      <c r="R1365" s="1" t="s">
        <v>132</v>
      </c>
      <c r="S1365" s="1" t="s">
        <v>27011</v>
      </c>
      <c r="T1365" s="1" t="s">
        <v>132</v>
      </c>
      <c r="U1365" s="1" t="s">
        <v>27012</v>
      </c>
      <c r="V1365" s="1" t="s">
        <v>27013</v>
      </c>
      <c r="W1365" s="1" t="s">
        <v>132</v>
      </c>
      <c r="X1365" s="1" t="s">
        <v>27014</v>
      </c>
      <c r="Y1365" s="1" t="s">
        <v>132</v>
      </c>
      <c r="Z1365" s="1" t="s">
        <v>27015</v>
      </c>
      <c r="AA1365" s="1" t="s">
        <v>27016</v>
      </c>
      <c r="AB1365" s="1" t="s">
        <v>132</v>
      </c>
      <c r="AC1365" s="1" t="s">
        <v>27017</v>
      </c>
      <c r="AD1365" s="1" t="s">
        <v>132</v>
      </c>
      <c r="AE1365" s="1" t="s">
        <v>132</v>
      </c>
      <c r="AF1365" s="1" t="s">
        <v>27018</v>
      </c>
      <c r="AG1365" s="1" t="s">
        <v>27019</v>
      </c>
      <c r="AH1365" s="1" t="s">
        <v>132</v>
      </c>
      <c r="AI1365" s="1" t="s">
        <v>132</v>
      </c>
      <c r="AJ1365" s="1" t="s">
        <v>27020</v>
      </c>
      <c r="AK1365" s="1" t="s">
        <v>132</v>
      </c>
      <c r="AL1365" s="1" t="s">
        <v>132</v>
      </c>
      <c r="AM1365" s="1" t="s">
        <v>27021</v>
      </c>
      <c r="AN1365" s="1" t="s">
        <v>27021</v>
      </c>
    </row>
    <row r="1366" ht="15.75" customHeight="1">
      <c r="A1366" s="1" t="s">
        <v>38</v>
      </c>
      <c r="B1366" s="1" t="s">
        <v>27022</v>
      </c>
      <c r="C1366" s="1" t="s">
        <v>27023</v>
      </c>
      <c r="D1366" s="8" t="s">
        <v>27024</v>
      </c>
      <c r="E1366" s="1" t="s">
        <v>27025</v>
      </c>
      <c r="F1366" s="1" t="s">
        <v>27026</v>
      </c>
      <c r="G1366" s="1" t="s">
        <v>132</v>
      </c>
      <c r="H1366" s="1" t="s">
        <v>132</v>
      </c>
      <c r="I1366" s="1" t="s">
        <v>27027</v>
      </c>
      <c r="J1366" s="1" t="s">
        <v>132</v>
      </c>
      <c r="K1366" s="1" t="s">
        <v>27028</v>
      </c>
      <c r="L1366" s="1" t="s">
        <v>132</v>
      </c>
      <c r="M1366" s="1" t="s">
        <v>27029</v>
      </c>
      <c r="N1366" s="1" t="s">
        <v>27030</v>
      </c>
      <c r="O1366" s="1" t="s">
        <v>132</v>
      </c>
      <c r="P1366" s="1" t="s">
        <v>27031</v>
      </c>
      <c r="Q1366" s="1" t="s">
        <v>27032</v>
      </c>
      <c r="R1366" s="1" t="s">
        <v>132</v>
      </c>
      <c r="S1366" s="1" t="s">
        <v>27033</v>
      </c>
      <c r="T1366" s="1" t="s">
        <v>132</v>
      </c>
      <c r="U1366" s="1" t="s">
        <v>27034</v>
      </c>
      <c r="V1366" s="1" t="s">
        <v>27035</v>
      </c>
      <c r="W1366" s="1" t="s">
        <v>132</v>
      </c>
      <c r="X1366" s="1" t="s">
        <v>27036</v>
      </c>
      <c r="Y1366" s="1" t="s">
        <v>132</v>
      </c>
      <c r="Z1366" s="1" t="s">
        <v>27037</v>
      </c>
      <c r="AA1366" s="1" t="s">
        <v>27038</v>
      </c>
      <c r="AB1366" s="1" t="s">
        <v>132</v>
      </c>
      <c r="AC1366" s="1" t="s">
        <v>27039</v>
      </c>
      <c r="AD1366" s="1" t="s">
        <v>27040</v>
      </c>
      <c r="AE1366" s="1" t="s">
        <v>132</v>
      </c>
      <c r="AF1366" s="1" t="s">
        <v>27041</v>
      </c>
      <c r="AG1366" s="1" t="s">
        <v>27042</v>
      </c>
      <c r="AH1366" s="1" t="s">
        <v>132</v>
      </c>
      <c r="AI1366" s="1" t="s">
        <v>132</v>
      </c>
      <c r="AJ1366" s="1" t="s">
        <v>27043</v>
      </c>
      <c r="AK1366" s="1" t="s">
        <v>27044</v>
      </c>
      <c r="AL1366" s="1" t="s">
        <v>132</v>
      </c>
      <c r="AM1366" s="1" t="s">
        <v>27045</v>
      </c>
      <c r="AN1366" s="1" t="s">
        <v>27045</v>
      </c>
    </row>
    <row r="1367" ht="15.75" customHeight="1">
      <c r="A1367" s="1" t="s">
        <v>38</v>
      </c>
      <c r="B1367" s="1" t="s">
        <v>27046</v>
      </c>
      <c r="C1367" s="1" t="s">
        <v>27047</v>
      </c>
      <c r="D1367" s="8" t="s">
        <v>27048</v>
      </c>
      <c r="E1367" s="1" t="s">
        <v>27049</v>
      </c>
      <c r="F1367" s="1" t="s">
        <v>27050</v>
      </c>
      <c r="G1367" s="1" t="s">
        <v>132</v>
      </c>
      <c r="H1367" s="1" t="s">
        <v>132</v>
      </c>
      <c r="I1367" s="1" t="s">
        <v>27051</v>
      </c>
      <c r="J1367" s="1" t="s">
        <v>132</v>
      </c>
      <c r="K1367" s="1" t="s">
        <v>27052</v>
      </c>
      <c r="L1367" s="1" t="s">
        <v>132</v>
      </c>
      <c r="M1367" s="1" t="s">
        <v>27053</v>
      </c>
      <c r="N1367" s="1" t="s">
        <v>27054</v>
      </c>
      <c r="O1367" s="1" t="s">
        <v>132</v>
      </c>
      <c r="P1367" s="1" t="s">
        <v>27055</v>
      </c>
      <c r="Q1367" s="1" t="s">
        <v>27056</v>
      </c>
      <c r="R1367" s="1" t="s">
        <v>132</v>
      </c>
      <c r="S1367" s="1" t="s">
        <v>27057</v>
      </c>
      <c r="T1367" s="1" t="s">
        <v>132</v>
      </c>
      <c r="U1367" s="1" t="s">
        <v>27058</v>
      </c>
      <c r="V1367" s="1" t="s">
        <v>27059</v>
      </c>
      <c r="W1367" s="1" t="s">
        <v>132</v>
      </c>
      <c r="X1367" s="1" t="s">
        <v>27060</v>
      </c>
      <c r="Y1367" s="1" t="s">
        <v>132</v>
      </c>
      <c r="Z1367" s="1" t="s">
        <v>27061</v>
      </c>
      <c r="AA1367" s="1" t="s">
        <v>27062</v>
      </c>
      <c r="AB1367" s="1" t="s">
        <v>132</v>
      </c>
      <c r="AC1367" s="1" t="s">
        <v>27063</v>
      </c>
      <c r="AD1367" s="1" t="s">
        <v>27064</v>
      </c>
      <c r="AE1367" s="1" t="s">
        <v>132</v>
      </c>
      <c r="AF1367" s="1" t="s">
        <v>27065</v>
      </c>
      <c r="AG1367" s="1" t="s">
        <v>27066</v>
      </c>
      <c r="AH1367" s="1" t="s">
        <v>132</v>
      </c>
      <c r="AI1367" s="1" t="s">
        <v>132</v>
      </c>
      <c r="AJ1367" s="1" t="s">
        <v>27067</v>
      </c>
      <c r="AK1367" s="1" t="s">
        <v>27068</v>
      </c>
      <c r="AL1367" s="1" t="s">
        <v>132</v>
      </c>
      <c r="AM1367" s="1" t="s">
        <v>27069</v>
      </c>
      <c r="AN1367" s="1" t="s">
        <v>27069</v>
      </c>
    </row>
    <row r="1368" ht="15.75" customHeight="1">
      <c r="A1368" s="1" t="s">
        <v>127</v>
      </c>
      <c r="B1368" s="1" t="s">
        <v>27070</v>
      </c>
      <c r="C1368" s="1" t="s">
        <v>19803</v>
      </c>
      <c r="D1368" s="8" t="s">
        <v>19804</v>
      </c>
      <c r="E1368" s="1" t="s">
        <v>19805</v>
      </c>
      <c r="F1368" s="1" t="s">
        <v>132</v>
      </c>
      <c r="G1368" s="1" t="s">
        <v>19806</v>
      </c>
      <c r="H1368" s="1" t="s">
        <v>19803</v>
      </c>
      <c r="I1368" s="1" t="s">
        <v>19806</v>
      </c>
      <c r="J1368" s="1" t="s">
        <v>19807</v>
      </c>
      <c r="K1368" s="1" t="s">
        <v>19808</v>
      </c>
      <c r="L1368" s="1" t="s">
        <v>19809</v>
      </c>
      <c r="M1368" s="1" t="s">
        <v>19803</v>
      </c>
      <c r="N1368" s="1" t="s">
        <v>132</v>
      </c>
      <c r="O1368" s="1" t="s">
        <v>19810</v>
      </c>
      <c r="P1368" s="1" t="s">
        <v>19811</v>
      </c>
      <c r="Q1368" s="1" t="s">
        <v>132</v>
      </c>
      <c r="R1368" s="1" t="s">
        <v>19812</v>
      </c>
      <c r="S1368" s="1" t="s">
        <v>19808</v>
      </c>
      <c r="T1368" s="8" t="s">
        <v>19813</v>
      </c>
      <c r="U1368" s="1" t="s">
        <v>19814</v>
      </c>
      <c r="V1368" s="1" t="s">
        <v>19815</v>
      </c>
      <c r="W1368" s="1" t="s">
        <v>19812</v>
      </c>
      <c r="X1368" s="1" t="s">
        <v>19803</v>
      </c>
      <c r="Y1368" s="1" t="s">
        <v>19803</v>
      </c>
      <c r="Z1368" s="1" t="s">
        <v>19806</v>
      </c>
      <c r="AA1368" s="1" t="s">
        <v>19808</v>
      </c>
      <c r="AB1368" s="1" t="s">
        <v>19816</v>
      </c>
      <c r="AC1368" s="1" t="s">
        <v>19805</v>
      </c>
      <c r="AD1368" s="1" t="s">
        <v>19806</v>
      </c>
      <c r="AE1368" s="1" t="s">
        <v>19817</v>
      </c>
      <c r="AF1368" s="1" t="s">
        <v>19803</v>
      </c>
      <c r="AG1368" s="1" t="s">
        <v>19806</v>
      </c>
      <c r="AH1368" s="1" t="s">
        <v>19818</v>
      </c>
      <c r="AI1368" s="1" t="s">
        <v>19819</v>
      </c>
      <c r="AJ1368" s="1" t="s">
        <v>132</v>
      </c>
      <c r="AK1368" s="1" t="s">
        <v>19820</v>
      </c>
      <c r="AL1368" s="1" t="s">
        <v>19821</v>
      </c>
      <c r="AM1368" s="1" t="s">
        <v>27071</v>
      </c>
      <c r="AN1368" s="1" t="s">
        <v>27071</v>
      </c>
    </row>
    <row r="1369" ht="15.75" customHeight="1">
      <c r="A1369" s="1" t="s">
        <v>127</v>
      </c>
      <c r="B1369" s="1" t="s">
        <v>27072</v>
      </c>
      <c r="C1369" s="1" t="s">
        <v>27073</v>
      </c>
      <c r="D1369" s="8" t="s">
        <v>27074</v>
      </c>
      <c r="E1369" s="1" t="s">
        <v>27075</v>
      </c>
      <c r="F1369" s="1" t="s">
        <v>132</v>
      </c>
      <c r="G1369" s="1" t="s">
        <v>27076</v>
      </c>
      <c r="H1369" s="1" t="s">
        <v>27077</v>
      </c>
      <c r="I1369" s="1" t="s">
        <v>27078</v>
      </c>
      <c r="J1369" s="1" t="s">
        <v>27079</v>
      </c>
      <c r="K1369" s="1" t="s">
        <v>27080</v>
      </c>
      <c r="L1369" s="1" t="s">
        <v>27081</v>
      </c>
      <c r="M1369" s="1" t="s">
        <v>27082</v>
      </c>
      <c r="N1369" s="1" t="s">
        <v>132</v>
      </c>
      <c r="O1369" s="1" t="s">
        <v>27083</v>
      </c>
      <c r="P1369" s="1" t="s">
        <v>27084</v>
      </c>
      <c r="Q1369" s="1" t="s">
        <v>132</v>
      </c>
      <c r="R1369" s="1" t="s">
        <v>27085</v>
      </c>
      <c r="S1369" s="1" t="s">
        <v>27086</v>
      </c>
      <c r="T1369" s="8" t="s">
        <v>27087</v>
      </c>
      <c r="U1369" s="1" t="s">
        <v>27088</v>
      </c>
      <c r="V1369" s="1" t="s">
        <v>27089</v>
      </c>
      <c r="W1369" s="1" t="s">
        <v>27085</v>
      </c>
      <c r="X1369" s="1" t="s">
        <v>27090</v>
      </c>
      <c r="Y1369" s="1" t="s">
        <v>27091</v>
      </c>
      <c r="Z1369" s="1" t="s">
        <v>27092</v>
      </c>
      <c r="AA1369" s="1" t="s">
        <v>27093</v>
      </c>
      <c r="AB1369" s="1" t="s">
        <v>27094</v>
      </c>
      <c r="AC1369" s="1" t="s">
        <v>27095</v>
      </c>
      <c r="AD1369" s="1" t="s">
        <v>27096</v>
      </c>
      <c r="AE1369" s="1" t="s">
        <v>27097</v>
      </c>
      <c r="AF1369" s="1" t="s">
        <v>27098</v>
      </c>
      <c r="AG1369" s="1" t="s">
        <v>27099</v>
      </c>
      <c r="AH1369" s="1" t="s">
        <v>27100</v>
      </c>
      <c r="AI1369" s="1" t="s">
        <v>27101</v>
      </c>
      <c r="AJ1369" s="1" t="s">
        <v>132</v>
      </c>
      <c r="AK1369" s="1" t="s">
        <v>27102</v>
      </c>
      <c r="AL1369" s="1" t="s">
        <v>27103</v>
      </c>
      <c r="AM1369" s="1" t="s">
        <v>132</v>
      </c>
      <c r="AN1369" s="1" t="s">
        <v>132</v>
      </c>
    </row>
    <row r="1370" ht="15.75" customHeight="1">
      <c r="A1370" s="1" t="s">
        <v>38</v>
      </c>
      <c r="B1370" s="1" t="s">
        <v>27104</v>
      </c>
      <c r="C1370" s="1" t="s">
        <v>27105</v>
      </c>
      <c r="D1370" s="8" t="s">
        <v>27106</v>
      </c>
      <c r="E1370" s="1" t="s">
        <v>27107</v>
      </c>
      <c r="F1370" s="1" t="s">
        <v>27108</v>
      </c>
      <c r="G1370" s="1" t="s">
        <v>132</v>
      </c>
      <c r="H1370" s="1" t="s">
        <v>132</v>
      </c>
      <c r="I1370" s="1" t="s">
        <v>27109</v>
      </c>
      <c r="J1370" s="1" t="s">
        <v>132</v>
      </c>
      <c r="K1370" s="1" t="s">
        <v>27110</v>
      </c>
      <c r="L1370" s="1" t="s">
        <v>132</v>
      </c>
      <c r="M1370" s="1" t="s">
        <v>27111</v>
      </c>
      <c r="N1370" s="1" t="s">
        <v>27112</v>
      </c>
      <c r="O1370" s="1" t="s">
        <v>132</v>
      </c>
      <c r="P1370" s="1" t="s">
        <v>27113</v>
      </c>
      <c r="Q1370" s="1" t="s">
        <v>27114</v>
      </c>
      <c r="R1370" s="1" t="s">
        <v>132</v>
      </c>
      <c r="S1370" s="1" t="s">
        <v>27115</v>
      </c>
      <c r="T1370" s="1" t="s">
        <v>132</v>
      </c>
      <c r="U1370" s="1" t="s">
        <v>27116</v>
      </c>
      <c r="V1370" s="1" t="s">
        <v>27117</v>
      </c>
      <c r="W1370" s="1" t="s">
        <v>132</v>
      </c>
      <c r="X1370" s="1" t="s">
        <v>27118</v>
      </c>
      <c r="Y1370" s="1" t="s">
        <v>132</v>
      </c>
      <c r="Z1370" s="1" t="s">
        <v>27119</v>
      </c>
      <c r="AA1370" s="1" t="s">
        <v>27120</v>
      </c>
      <c r="AB1370" s="1" t="s">
        <v>132</v>
      </c>
      <c r="AC1370" s="1" t="s">
        <v>27121</v>
      </c>
      <c r="AD1370" s="1" t="s">
        <v>132</v>
      </c>
      <c r="AE1370" s="1" t="s">
        <v>132</v>
      </c>
      <c r="AF1370" s="1" t="s">
        <v>27122</v>
      </c>
      <c r="AG1370" s="1" t="s">
        <v>27123</v>
      </c>
      <c r="AH1370" s="1" t="s">
        <v>132</v>
      </c>
      <c r="AI1370" s="1" t="s">
        <v>132</v>
      </c>
      <c r="AJ1370" s="1" t="s">
        <v>27124</v>
      </c>
      <c r="AK1370" s="1" t="s">
        <v>27125</v>
      </c>
      <c r="AL1370" s="1" t="s">
        <v>132</v>
      </c>
      <c r="AM1370" s="1" t="s">
        <v>27126</v>
      </c>
      <c r="AN1370" s="1" t="s">
        <v>27126</v>
      </c>
    </row>
    <row r="1371" ht="15.75" customHeight="1">
      <c r="A1371" s="1" t="s">
        <v>127</v>
      </c>
      <c r="B1371" s="1" t="s">
        <v>27127</v>
      </c>
      <c r="C1371" s="1" t="s">
        <v>27128</v>
      </c>
      <c r="D1371" s="8" t="s">
        <v>27129</v>
      </c>
      <c r="E1371" s="1" t="s">
        <v>27130</v>
      </c>
      <c r="F1371" s="1" t="s">
        <v>132</v>
      </c>
      <c r="G1371" s="1" t="s">
        <v>27131</v>
      </c>
      <c r="H1371" s="1" t="s">
        <v>27132</v>
      </c>
      <c r="I1371" s="1" t="s">
        <v>27133</v>
      </c>
      <c r="J1371" s="1" t="s">
        <v>27134</v>
      </c>
      <c r="K1371" s="1" t="s">
        <v>27135</v>
      </c>
      <c r="L1371" s="1" t="s">
        <v>27136</v>
      </c>
      <c r="M1371" s="1" t="s">
        <v>27137</v>
      </c>
      <c r="N1371" s="1" t="s">
        <v>132</v>
      </c>
      <c r="O1371" s="1" t="s">
        <v>27138</v>
      </c>
      <c r="P1371" s="1" t="s">
        <v>27139</v>
      </c>
      <c r="Q1371" s="1" t="s">
        <v>132</v>
      </c>
      <c r="R1371" s="1" t="s">
        <v>27140</v>
      </c>
      <c r="S1371" s="1" t="s">
        <v>27141</v>
      </c>
      <c r="T1371" s="8" t="s">
        <v>27142</v>
      </c>
      <c r="U1371" s="1" t="s">
        <v>27143</v>
      </c>
      <c r="V1371" s="1" t="s">
        <v>27144</v>
      </c>
      <c r="W1371" s="1" t="s">
        <v>27140</v>
      </c>
      <c r="X1371" s="1" t="s">
        <v>27145</v>
      </c>
      <c r="Y1371" s="1" t="s">
        <v>27132</v>
      </c>
      <c r="Z1371" s="1" t="s">
        <v>27146</v>
      </c>
      <c r="AA1371" s="1" t="s">
        <v>27147</v>
      </c>
      <c r="AB1371" s="1" t="s">
        <v>27148</v>
      </c>
      <c r="AC1371" s="1" t="s">
        <v>27149</v>
      </c>
      <c r="AD1371" s="1" t="s">
        <v>27150</v>
      </c>
      <c r="AE1371" s="1" t="s">
        <v>27151</v>
      </c>
      <c r="AF1371" s="1" t="s">
        <v>27152</v>
      </c>
      <c r="AG1371" s="1" t="s">
        <v>27153</v>
      </c>
      <c r="AH1371" s="1" t="s">
        <v>27154</v>
      </c>
      <c r="AI1371" s="1" t="s">
        <v>27155</v>
      </c>
      <c r="AJ1371" s="1" t="s">
        <v>132</v>
      </c>
      <c r="AK1371" s="1" t="s">
        <v>27156</v>
      </c>
      <c r="AL1371" s="1" t="s">
        <v>27157</v>
      </c>
      <c r="AM1371" s="1" t="s">
        <v>27158</v>
      </c>
      <c r="AN1371" s="1" t="s">
        <v>27158</v>
      </c>
    </row>
    <row r="1372" ht="15.75" customHeight="1">
      <c r="A1372" s="1" t="s">
        <v>127</v>
      </c>
      <c r="B1372" s="1" t="s">
        <v>27159</v>
      </c>
      <c r="C1372" s="1" t="s">
        <v>17183</v>
      </c>
      <c r="D1372" s="8" t="s">
        <v>17184</v>
      </c>
      <c r="E1372" s="1" t="s">
        <v>17185</v>
      </c>
      <c r="F1372" s="1" t="s">
        <v>132</v>
      </c>
      <c r="G1372" s="1" t="s">
        <v>17200</v>
      </c>
      <c r="H1372" s="1" t="s">
        <v>27160</v>
      </c>
      <c r="I1372" s="1" t="s">
        <v>17187</v>
      </c>
      <c r="J1372" s="1" t="s">
        <v>27161</v>
      </c>
      <c r="K1372" s="1" t="s">
        <v>17188</v>
      </c>
      <c r="L1372" s="1" t="s">
        <v>27162</v>
      </c>
      <c r="M1372" s="1" t="s">
        <v>17189</v>
      </c>
      <c r="N1372" s="1" t="s">
        <v>132</v>
      </c>
      <c r="O1372" s="1" t="s">
        <v>27163</v>
      </c>
      <c r="P1372" s="1" t="s">
        <v>17191</v>
      </c>
      <c r="Q1372" s="1" t="s">
        <v>132</v>
      </c>
      <c r="R1372" s="1" t="s">
        <v>27164</v>
      </c>
      <c r="S1372" s="1" t="s">
        <v>27165</v>
      </c>
      <c r="T1372" s="8" t="s">
        <v>27166</v>
      </c>
      <c r="U1372" s="1" t="s">
        <v>27167</v>
      </c>
      <c r="V1372" s="1" t="s">
        <v>27168</v>
      </c>
      <c r="W1372" s="1" t="s">
        <v>27169</v>
      </c>
      <c r="X1372" s="1" t="s">
        <v>27170</v>
      </c>
      <c r="Y1372" s="1" t="s">
        <v>27171</v>
      </c>
      <c r="Z1372" s="1" t="s">
        <v>17197</v>
      </c>
      <c r="AA1372" s="1" t="s">
        <v>27172</v>
      </c>
      <c r="AB1372" s="1" t="s">
        <v>27173</v>
      </c>
      <c r="AC1372" s="1" t="s">
        <v>17199</v>
      </c>
      <c r="AD1372" s="1" t="s">
        <v>17200</v>
      </c>
      <c r="AE1372" s="1" t="s">
        <v>27174</v>
      </c>
      <c r="AF1372" s="1" t="s">
        <v>27175</v>
      </c>
      <c r="AG1372" s="1" t="s">
        <v>17202</v>
      </c>
      <c r="AH1372" s="1" t="s">
        <v>27176</v>
      </c>
      <c r="AI1372" s="1" t="s">
        <v>27177</v>
      </c>
      <c r="AJ1372" s="1" t="s">
        <v>132</v>
      </c>
      <c r="AK1372" s="1" t="s">
        <v>17204</v>
      </c>
      <c r="AL1372" s="1" t="s">
        <v>27178</v>
      </c>
      <c r="AM1372" s="1" t="s">
        <v>27179</v>
      </c>
      <c r="AN1372" s="1" t="s">
        <v>27179</v>
      </c>
    </row>
    <row r="1373" ht="15.75" customHeight="1">
      <c r="A1373" s="1" t="s">
        <v>38</v>
      </c>
      <c r="B1373" s="1" t="s">
        <v>27180</v>
      </c>
      <c r="C1373" s="1" t="s">
        <v>27181</v>
      </c>
      <c r="D1373" s="1" t="s">
        <v>132</v>
      </c>
      <c r="E1373" s="1" t="s">
        <v>132</v>
      </c>
      <c r="F1373" s="1" t="s">
        <v>132</v>
      </c>
      <c r="G1373" s="1" t="s">
        <v>132</v>
      </c>
      <c r="H1373" s="1" t="s">
        <v>132</v>
      </c>
      <c r="I1373" s="1" t="s">
        <v>27182</v>
      </c>
      <c r="J1373" s="1" t="s">
        <v>132</v>
      </c>
      <c r="K1373" s="1" t="s">
        <v>27183</v>
      </c>
      <c r="L1373" s="1" t="s">
        <v>132</v>
      </c>
      <c r="M1373" s="1" t="s">
        <v>27184</v>
      </c>
      <c r="N1373" s="1" t="s">
        <v>132</v>
      </c>
      <c r="O1373" s="1" t="s">
        <v>132</v>
      </c>
      <c r="P1373" s="1" t="s">
        <v>27185</v>
      </c>
      <c r="Q1373" s="1" t="s">
        <v>132</v>
      </c>
      <c r="R1373" s="1" t="s">
        <v>132</v>
      </c>
      <c r="S1373" s="1" t="s">
        <v>132</v>
      </c>
      <c r="T1373" s="1" t="s">
        <v>132</v>
      </c>
      <c r="U1373" s="1" t="s">
        <v>132</v>
      </c>
      <c r="V1373" s="1" t="s">
        <v>132</v>
      </c>
      <c r="W1373" s="1" t="s">
        <v>132</v>
      </c>
      <c r="X1373" s="1" t="s">
        <v>132</v>
      </c>
      <c r="Y1373" s="1" t="s">
        <v>132</v>
      </c>
      <c r="Z1373" s="1" t="s">
        <v>132</v>
      </c>
      <c r="AA1373" s="1" t="s">
        <v>132</v>
      </c>
      <c r="AB1373" s="1" t="s">
        <v>132</v>
      </c>
      <c r="AC1373" s="1" t="s">
        <v>27187</v>
      </c>
      <c r="AD1373" s="1" t="s">
        <v>132</v>
      </c>
      <c r="AE1373" s="1" t="s">
        <v>132</v>
      </c>
      <c r="AF1373" s="1" t="s">
        <v>27188</v>
      </c>
      <c r="AG1373" s="1" t="s">
        <v>132</v>
      </c>
      <c r="AH1373" s="1" t="s">
        <v>132</v>
      </c>
      <c r="AI1373" s="1" t="s">
        <v>132</v>
      </c>
      <c r="AJ1373" s="1" t="s">
        <v>132</v>
      </c>
      <c r="AK1373" s="1" t="s">
        <v>132</v>
      </c>
      <c r="AL1373" s="1" t="s">
        <v>132</v>
      </c>
      <c r="AM1373" s="1" t="s">
        <v>132</v>
      </c>
      <c r="AN1373" s="1" t="s">
        <v>132</v>
      </c>
    </row>
    <row r="1374" ht="15.75" customHeight="1">
      <c r="A1374" s="1" t="s">
        <v>127</v>
      </c>
      <c r="B1374" s="1" t="s">
        <v>27189</v>
      </c>
      <c r="C1374" s="1" t="s">
        <v>27190</v>
      </c>
      <c r="D1374" s="8" t="s">
        <v>27191</v>
      </c>
      <c r="E1374" s="1" t="s">
        <v>27192</v>
      </c>
      <c r="F1374" s="1" t="s">
        <v>132</v>
      </c>
      <c r="G1374" s="1" t="s">
        <v>27193</v>
      </c>
      <c r="H1374" s="1" t="s">
        <v>27194</v>
      </c>
      <c r="I1374" s="1" t="s">
        <v>27195</v>
      </c>
      <c r="J1374" s="1" t="s">
        <v>27196</v>
      </c>
      <c r="K1374" s="1" t="s">
        <v>27197</v>
      </c>
      <c r="L1374" s="1" t="s">
        <v>27198</v>
      </c>
      <c r="M1374" s="1" t="s">
        <v>27199</v>
      </c>
      <c r="N1374" s="1" t="s">
        <v>132</v>
      </c>
      <c r="O1374" s="1" t="s">
        <v>27200</v>
      </c>
      <c r="P1374" s="1" t="s">
        <v>27201</v>
      </c>
      <c r="Q1374" s="1" t="s">
        <v>132</v>
      </c>
      <c r="R1374" s="1" t="s">
        <v>27202</v>
      </c>
      <c r="S1374" s="1" t="s">
        <v>27203</v>
      </c>
      <c r="T1374" s="8" t="s">
        <v>27204</v>
      </c>
      <c r="U1374" s="1" t="s">
        <v>27205</v>
      </c>
      <c r="V1374" s="1" t="s">
        <v>27206</v>
      </c>
      <c r="W1374" s="1" t="s">
        <v>27202</v>
      </c>
      <c r="X1374" s="1" t="s">
        <v>10075</v>
      </c>
      <c r="Y1374" s="1" t="s">
        <v>27207</v>
      </c>
      <c r="Z1374" s="1" t="s">
        <v>27208</v>
      </c>
      <c r="AA1374" s="1" t="s">
        <v>27209</v>
      </c>
      <c r="AB1374" s="1" t="s">
        <v>27210</v>
      </c>
      <c r="AC1374" s="1" t="s">
        <v>27211</v>
      </c>
      <c r="AD1374" s="1" t="s">
        <v>27212</v>
      </c>
      <c r="AE1374" s="1" t="s">
        <v>27213</v>
      </c>
      <c r="AF1374" s="1" t="s">
        <v>27214</v>
      </c>
      <c r="AG1374" s="1" t="s">
        <v>27215</v>
      </c>
      <c r="AH1374" s="1" t="s">
        <v>27216</v>
      </c>
      <c r="AI1374" s="1" t="s">
        <v>27217</v>
      </c>
      <c r="AJ1374" s="1" t="s">
        <v>132</v>
      </c>
      <c r="AK1374" s="1" t="s">
        <v>27218</v>
      </c>
      <c r="AL1374" s="1" t="s">
        <v>27219</v>
      </c>
      <c r="AM1374" s="1" t="s">
        <v>27220</v>
      </c>
      <c r="AN1374" s="1" t="s">
        <v>27220</v>
      </c>
    </row>
    <row r="1375" ht="15.75" customHeight="1">
      <c r="A1375" s="1" t="s">
        <v>38</v>
      </c>
      <c r="B1375" s="1" t="s">
        <v>27221</v>
      </c>
      <c r="C1375" s="1" t="s">
        <v>27222</v>
      </c>
      <c r="D1375" s="1" t="s">
        <v>132</v>
      </c>
      <c r="E1375" s="1" t="s">
        <v>27223</v>
      </c>
      <c r="F1375" s="1" t="s">
        <v>132</v>
      </c>
      <c r="G1375" s="1" t="s">
        <v>132</v>
      </c>
      <c r="H1375" s="1" t="s">
        <v>132</v>
      </c>
      <c r="I1375" s="1" t="s">
        <v>27224</v>
      </c>
      <c r="J1375" s="1" t="s">
        <v>132</v>
      </c>
      <c r="K1375" s="1" t="s">
        <v>27225</v>
      </c>
      <c r="L1375" s="1" t="s">
        <v>132</v>
      </c>
      <c r="M1375" s="1" t="s">
        <v>27226</v>
      </c>
      <c r="N1375" s="1" t="s">
        <v>27227</v>
      </c>
      <c r="O1375" s="1" t="s">
        <v>132</v>
      </c>
      <c r="P1375" s="1" t="s">
        <v>27228</v>
      </c>
      <c r="Q1375" s="1" t="s">
        <v>132</v>
      </c>
      <c r="R1375" s="1" t="s">
        <v>132</v>
      </c>
      <c r="S1375" s="1" t="s">
        <v>27229</v>
      </c>
      <c r="T1375" s="1" t="s">
        <v>132</v>
      </c>
      <c r="U1375" s="1" t="s">
        <v>132</v>
      </c>
      <c r="V1375" s="1" t="s">
        <v>132</v>
      </c>
      <c r="W1375" s="1" t="s">
        <v>132</v>
      </c>
      <c r="X1375" s="1" t="s">
        <v>27230</v>
      </c>
      <c r="Y1375" s="1" t="s">
        <v>132</v>
      </c>
      <c r="Z1375" s="1" t="s">
        <v>27231</v>
      </c>
      <c r="AA1375" s="1" t="s">
        <v>132</v>
      </c>
      <c r="AB1375" s="1" t="s">
        <v>132</v>
      </c>
      <c r="AC1375" s="1" t="s">
        <v>132</v>
      </c>
      <c r="AD1375" s="1" t="s">
        <v>132</v>
      </c>
      <c r="AE1375" s="1" t="s">
        <v>132</v>
      </c>
      <c r="AF1375" s="1" t="s">
        <v>132</v>
      </c>
      <c r="AG1375" s="1" t="s">
        <v>132</v>
      </c>
      <c r="AH1375" s="1" t="s">
        <v>132</v>
      </c>
      <c r="AI1375" s="1" t="s">
        <v>132</v>
      </c>
      <c r="AJ1375" s="1" t="s">
        <v>132</v>
      </c>
      <c r="AK1375" s="1" t="s">
        <v>132</v>
      </c>
      <c r="AL1375" s="1" t="s">
        <v>132</v>
      </c>
      <c r="AM1375" s="1" t="s">
        <v>132</v>
      </c>
      <c r="AN1375" s="1" t="s">
        <v>132</v>
      </c>
    </row>
    <row r="1376" ht="15.75" customHeight="1">
      <c r="A1376" s="1" t="s">
        <v>127</v>
      </c>
      <c r="B1376" s="1" t="s">
        <v>27232</v>
      </c>
      <c r="C1376" s="1" t="s">
        <v>3098</v>
      </c>
      <c r="D1376" s="8" t="s">
        <v>3099</v>
      </c>
      <c r="E1376" s="1" t="s">
        <v>3100</v>
      </c>
      <c r="F1376" s="1" t="s">
        <v>132</v>
      </c>
      <c r="G1376" s="1" t="s">
        <v>3101</v>
      </c>
      <c r="H1376" s="1" t="s">
        <v>3102</v>
      </c>
      <c r="I1376" s="1" t="s">
        <v>3103</v>
      </c>
      <c r="J1376" s="1" t="s">
        <v>3104</v>
      </c>
      <c r="K1376" s="1" t="s">
        <v>3105</v>
      </c>
      <c r="L1376" s="1" t="s">
        <v>3106</v>
      </c>
      <c r="M1376" s="1" t="s">
        <v>3107</v>
      </c>
      <c r="N1376" s="1" t="s">
        <v>132</v>
      </c>
      <c r="O1376" s="1" t="s">
        <v>3108</v>
      </c>
      <c r="P1376" s="1" t="s">
        <v>3109</v>
      </c>
      <c r="Q1376" s="1" t="s">
        <v>132</v>
      </c>
      <c r="R1376" s="1" t="s">
        <v>3110</v>
      </c>
      <c r="S1376" s="1" t="s">
        <v>3111</v>
      </c>
      <c r="T1376" s="8" t="s">
        <v>3112</v>
      </c>
      <c r="U1376" s="1" t="s">
        <v>3113</v>
      </c>
      <c r="V1376" s="1" t="s">
        <v>3114</v>
      </c>
      <c r="W1376" s="1" t="s">
        <v>3110</v>
      </c>
      <c r="X1376" s="1" t="s">
        <v>3115</v>
      </c>
      <c r="Y1376" s="1" t="s">
        <v>3116</v>
      </c>
      <c r="Z1376" s="1" t="s">
        <v>3117</v>
      </c>
      <c r="AA1376" s="1" t="s">
        <v>3118</v>
      </c>
      <c r="AB1376" s="1" t="s">
        <v>3119</v>
      </c>
      <c r="AC1376" s="1" t="s">
        <v>3120</v>
      </c>
      <c r="AD1376" s="1" t="s">
        <v>3121</v>
      </c>
      <c r="AE1376" s="1" t="s">
        <v>3122</v>
      </c>
      <c r="AF1376" s="1" t="s">
        <v>3123</v>
      </c>
      <c r="AG1376" s="1" t="s">
        <v>3124</v>
      </c>
      <c r="AH1376" s="1" t="s">
        <v>3125</v>
      </c>
      <c r="AI1376" s="1" t="s">
        <v>27233</v>
      </c>
      <c r="AJ1376" s="1" t="s">
        <v>132</v>
      </c>
      <c r="AK1376" s="1" t="s">
        <v>3127</v>
      </c>
      <c r="AL1376" s="1" t="s">
        <v>3128</v>
      </c>
      <c r="AM1376" s="1" t="s">
        <v>3129</v>
      </c>
      <c r="AN1376" s="1" t="s">
        <v>3129</v>
      </c>
    </row>
    <row r="1377" ht="15.75" customHeight="1">
      <c r="A1377" s="1" t="s">
        <v>38</v>
      </c>
      <c r="B1377" s="1" t="s">
        <v>27234</v>
      </c>
      <c r="C1377" s="1" t="s">
        <v>27235</v>
      </c>
      <c r="D1377" s="1" t="s">
        <v>132</v>
      </c>
      <c r="E1377" s="1" t="s">
        <v>132</v>
      </c>
      <c r="F1377" s="1" t="s">
        <v>132</v>
      </c>
      <c r="G1377" s="1" t="s">
        <v>132</v>
      </c>
      <c r="H1377" s="1" t="s">
        <v>132</v>
      </c>
      <c r="I1377" s="1" t="s">
        <v>132</v>
      </c>
      <c r="J1377" s="1" t="s">
        <v>132</v>
      </c>
      <c r="K1377" s="1" t="s">
        <v>132</v>
      </c>
      <c r="L1377" s="1" t="s">
        <v>132</v>
      </c>
      <c r="M1377" s="1" t="s">
        <v>132</v>
      </c>
      <c r="N1377" s="1" t="s">
        <v>132</v>
      </c>
      <c r="O1377" s="1" t="s">
        <v>132</v>
      </c>
      <c r="P1377" s="1" t="s">
        <v>132</v>
      </c>
      <c r="Q1377" s="1" t="s">
        <v>132</v>
      </c>
      <c r="R1377" s="1" t="s">
        <v>132</v>
      </c>
      <c r="S1377" s="1" t="s">
        <v>132</v>
      </c>
      <c r="T1377" s="1" t="s">
        <v>132</v>
      </c>
      <c r="U1377" s="1" t="s">
        <v>132</v>
      </c>
      <c r="V1377" s="1" t="s">
        <v>132</v>
      </c>
      <c r="W1377" s="1" t="s">
        <v>132</v>
      </c>
      <c r="X1377" s="1" t="s">
        <v>132</v>
      </c>
      <c r="Y1377" s="1" t="s">
        <v>132</v>
      </c>
      <c r="Z1377" s="1" t="s">
        <v>132</v>
      </c>
      <c r="AA1377" s="1" t="s">
        <v>132</v>
      </c>
      <c r="AB1377" s="1" t="s">
        <v>132</v>
      </c>
      <c r="AC1377" s="1" t="s">
        <v>132</v>
      </c>
      <c r="AD1377" s="1" t="s">
        <v>132</v>
      </c>
      <c r="AE1377" s="1" t="s">
        <v>132</v>
      </c>
      <c r="AF1377" s="1" t="s">
        <v>132</v>
      </c>
      <c r="AG1377" s="1" t="s">
        <v>132</v>
      </c>
      <c r="AH1377" s="1" t="s">
        <v>132</v>
      </c>
      <c r="AI1377" s="1" t="s">
        <v>132</v>
      </c>
      <c r="AJ1377" s="1" t="s">
        <v>132</v>
      </c>
      <c r="AK1377" s="1" t="s">
        <v>132</v>
      </c>
      <c r="AL1377" s="1" t="s">
        <v>132</v>
      </c>
      <c r="AM1377" s="1" t="s">
        <v>132</v>
      </c>
      <c r="AN1377" s="1" t="s">
        <v>132</v>
      </c>
    </row>
    <row r="1378" ht="15.75" customHeight="1">
      <c r="A1378" s="1" t="s">
        <v>38</v>
      </c>
      <c r="B1378" s="1" t="s">
        <v>27236</v>
      </c>
      <c r="C1378" s="1" t="s">
        <v>27237</v>
      </c>
      <c r="D1378" s="1" t="s">
        <v>132</v>
      </c>
      <c r="E1378" s="1" t="s">
        <v>132</v>
      </c>
      <c r="F1378" s="1" t="s">
        <v>132</v>
      </c>
      <c r="G1378" s="1" t="s">
        <v>132</v>
      </c>
      <c r="H1378" s="1" t="s">
        <v>132</v>
      </c>
      <c r="I1378" s="1" t="s">
        <v>27237</v>
      </c>
      <c r="J1378" s="1" t="s">
        <v>132</v>
      </c>
      <c r="K1378" s="1" t="s">
        <v>27238</v>
      </c>
      <c r="L1378" s="1" t="s">
        <v>132</v>
      </c>
      <c r="M1378" s="1" t="s">
        <v>27237</v>
      </c>
      <c r="N1378" s="1" t="s">
        <v>132</v>
      </c>
      <c r="O1378" s="1" t="s">
        <v>132</v>
      </c>
      <c r="P1378" s="1" t="s">
        <v>27237</v>
      </c>
      <c r="Q1378" s="1" t="s">
        <v>132</v>
      </c>
      <c r="R1378" s="1" t="s">
        <v>132</v>
      </c>
      <c r="S1378" s="1" t="s">
        <v>132</v>
      </c>
      <c r="T1378" s="1" t="s">
        <v>132</v>
      </c>
      <c r="U1378" s="1" t="s">
        <v>132</v>
      </c>
      <c r="V1378" s="1" t="s">
        <v>132</v>
      </c>
      <c r="W1378" s="1" t="s">
        <v>132</v>
      </c>
      <c r="X1378" s="1" t="s">
        <v>132</v>
      </c>
      <c r="Y1378" s="1" t="s">
        <v>132</v>
      </c>
      <c r="Z1378" s="1" t="s">
        <v>132</v>
      </c>
      <c r="AA1378" s="1" t="s">
        <v>132</v>
      </c>
      <c r="AB1378" s="1" t="s">
        <v>132</v>
      </c>
      <c r="AC1378" s="1" t="s">
        <v>27239</v>
      </c>
      <c r="AD1378" s="1" t="s">
        <v>132</v>
      </c>
      <c r="AE1378" s="1" t="s">
        <v>132</v>
      </c>
      <c r="AF1378" s="1" t="s">
        <v>27238</v>
      </c>
      <c r="AG1378" s="1" t="s">
        <v>132</v>
      </c>
      <c r="AH1378" s="1" t="s">
        <v>132</v>
      </c>
      <c r="AI1378" s="1" t="s">
        <v>132</v>
      </c>
      <c r="AJ1378" s="1" t="s">
        <v>132</v>
      </c>
      <c r="AK1378" s="1" t="s">
        <v>132</v>
      </c>
      <c r="AL1378" s="1" t="s">
        <v>132</v>
      </c>
      <c r="AM1378" s="1" t="s">
        <v>132</v>
      </c>
      <c r="AN1378" s="1" t="s">
        <v>132</v>
      </c>
    </row>
    <row r="1379" ht="15.75" customHeight="1">
      <c r="A1379" s="1" t="s">
        <v>127</v>
      </c>
      <c r="B1379" s="1" t="s">
        <v>27240</v>
      </c>
      <c r="C1379" s="1" t="s">
        <v>27241</v>
      </c>
      <c r="D1379" s="8" t="s">
        <v>27242</v>
      </c>
      <c r="E1379" s="1" t="s">
        <v>27243</v>
      </c>
      <c r="F1379" s="1" t="s">
        <v>132</v>
      </c>
      <c r="G1379" s="1" t="s">
        <v>27244</v>
      </c>
      <c r="H1379" s="1" t="s">
        <v>27245</v>
      </c>
      <c r="I1379" s="1" t="s">
        <v>27246</v>
      </c>
      <c r="J1379" s="1" t="s">
        <v>27247</v>
      </c>
      <c r="K1379" s="1" t="s">
        <v>27248</v>
      </c>
      <c r="L1379" s="1" t="s">
        <v>27249</v>
      </c>
      <c r="M1379" s="1" t="s">
        <v>27250</v>
      </c>
      <c r="N1379" s="1" t="s">
        <v>132</v>
      </c>
      <c r="O1379" s="1" t="s">
        <v>27251</v>
      </c>
      <c r="P1379" s="1" t="s">
        <v>27252</v>
      </c>
      <c r="Q1379" s="1" t="s">
        <v>132</v>
      </c>
      <c r="R1379" s="1" t="s">
        <v>27253</v>
      </c>
      <c r="S1379" s="1" t="s">
        <v>27254</v>
      </c>
      <c r="T1379" s="8" t="s">
        <v>27255</v>
      </c>
      <c r="U1379" s="1" t="s">
        <v>27256</v>
      </c>
      <c r="V1379" s="1" t="s">
        <v>17367</v>
      </c>
      <c r="W1379" s="1" t="s">
        <v>27257</v>
      </c>
      <c r="X1379" s="1" t="s">
        <v>27241</v>
      </c>
      <c r="Y1379" s="1" t="s">
        <v>27258</v>
      </c>
      <c r="Z1379" s="1" t="s">
        <v>27259</v>
      </c>
      <c r="AA1379" s="1" t="s">
        <v>27260</v>
      </c>
      <c r="AB1379" s="1" t="s">
        <v>27261</v>
      </c>
      <c r="AC1379" s="1" t="s">
        <v>27262</v>
      </c>
      <c r="AD1379" s="1" t="s">
        <v>27259</v>
      </c>
      <c r="AE1379" s="1" t="s">
        <v>27263</v>
      </c>
      <c r="AF1379" s="1" t="s">
        <v>27264</v>
      </c>
      <c r="AG1379" s="1" t="s">
        <v>27265</v>
      </c>
      <c r="AH1379" s="1" t="s">
        <v>27266</v>
      </c>
      <c r="AI1379" s="1" t="s">
        <v>27267</v>
      </c>
      <c r="AJ1379" s="1" t="s">
        <v>132</v>
      </c>
      <c r="AK1379" s="1" t="s">
        <v>27268</v>
      </c>
      <c r="AL1379" s="1" t="s">
        <v>27269</v>
      </c>
      <c r="AM1379" s="1" t="s">
        <v>27270</v>
      </c>
      <c r="AN1379" s="1" t="s">
        <v>27270</v>
      </c>
    </row>
    <row r="1380" ht="15.75" customHeight="1">
      <c r="A1380" s="1" t="s">
        <v>127</v>
      </c>
      <c r="B1380" s="1" t="s">
        <v>27271</v>
      </c>
      <c r="C1380" s="1" t="s">
        <v>27272</v>
      </c>
      <c r="D1380" s="8" t="s">
        <v>27273</v>
      </c>
      <c r="E1380" s="1" t="s">
        <v>27274</v>
      </c>
      <c r="F1380" s="1" t="s">
        <v>132</v>
      </c>
      <c r="G1380" s="1" t="s">
        <v>27275</v>
      </c>
      <c r="H1380" s="1" t="s">
        <v>27275</v>
      </c>
      <c r="I1380" s="1" t="s">
        <v>27275</v>
      </c>
      <c r="J1380" s="1" t="s">
        <v>27276</v>
      </c>
      <c r="K1380" s="1" t="s">
        <v>27272</v>
      </c>
      <c r="L1380" s="1" t="s">
        <v>27277</v>
      </c>
      <c r="M1380" s="1" t="s">
        <v>27278</v>
      </c>
      <c r="N1380" s="1" t="s">
        <v>132</v>
      </c>
      <c r="O1380" s="1" t="s">
        <v>27279</v>
      </c>
      <c r="P1380" s="1" t="s">
        <v>8823</v>
      </c>
      <c r="Q1380" s="1" t="s">
        <v>132</v>
      </c>
      <c r="R1380" s="1" t="s">
        <v>27275</v>
      </c>
      <c r="S1380" s="1" t="s">
        <v>27280</v>
      </c>
      <c r="T1380" s="8" t="s">
        <v>27281</v>
      </c>
      <c r="U1380" s="1" t="s">
        <v>27282</v>
      </c>
      <c r="V1380" s="1" t="s">
        <v>27283</v>
      </c>
      <c r="W1380" s="1" t="s">
        <v>27275</v>
      </c>
      <c r="X1380" s="1" t="s">
        <v>27272</v>
      </c>
      <c r="Y1380" s="1" t="s">
        <v>27275</v>
      </c>
      <c r="Z1380" s="1" t="s">
        <v>27275</v>
      </c>
      <c r="AA1380" s="1" t="s">
        <v>27284</v>
      </c>
      <c r="AB1380" s="1" t="s">
        <v>27272</v>
      </c>
      <c r="AC1380" s="1" t="s">
        <v>27274</v>
      </c>
      <c r="AD1380" s="1" t="s">
        <v>27275</v>
      </c>
      <c r="AE1380" s="1" t="s">
        <v>27275</v>
      </c>
      <c r="AF1380" s="1" t="s">
        <v>27275</v>
      </c>
      <c r="AG1380" s="1" t="s">
        <v>27275</v>
      </c>
      <c r="AH1380" s="1" t="s">
        <v>27285</v>
      </c>
      <c r="AI1380" s="1" t="s">
        <v>27286</v>
      </c>
      <c r="AJ1380" s="1" t="s">
        <v>132</v>
      </c>
      <c r="AK1380" s="1" t="s">
        <v>27287</v>
      </c>
      <c r="AL1380" s="1" t="s">
        <v>27288</v>
      </c>
      <c r="AM1380" s="1" t="s">
        <v>27289</v>
      </c>
      <c r="AN1380" s="1" t="s">
        <v>27289</v>
      </c>
    </row>
    <row r="1381" ht="15.75" customHeight="1">
      <c r="A1381" s="1" t="s">
        <v>38</v>
      </c>
      <c r="B1381" s="1" t="s">
        <v>27290</v>
      </c>
      <c r="C1381" s="1" t="s">
        <v>27291</v>
      </c>
      <c r="D1381" s="1" t="s">
        <v>132</v>
      </c>
      <c r="E1381" s="1" t="s">
        <v>132</v>
      </c>
      <c r="F1381" s="1" t="s">
        <v>132</v>
      </c>
      <c r="G1381" s="1" t="s">
        <v>132</v>
      </c>
      <c r="H1381" s="1" t="s">
        <v>132</v>
      </c>
      <c r="I1381" s="1" t="s">
        <v>27292</v>
      </c>
      <c r="J1381" s="1" t="s">
        <v>132</v>
      </c>
      <c r="K1381" s="1" t="s">
        <v>27293</v>
      </c>
      <c r="L1381" s="1" t="s">
        <v>132</v>
      </c>
      <c r="M1381" s="1" t="s">
        <v>27294</v>
      </c>
      <c r="N1381" s="1" t="s">
        <v>132</v>
      </c>
      <c r="O1381" s="1" t="s">
        <v>132</v>
      </c>
      <c r="P1381" s="1" t="s">
        <v>27291</v>
      </c>
      <c r="Q1381" s="1" t="s">
        <v>132</v>
      </c>
      <c r="R1381" s="1" t="s">
        <v>132</v>
      </c>
      <c r="S1381" s="1" t="s">
        <v>132</v>
      </c>
      <c r="T1381" s="1" t="s">
        <v>132</v>
      </c>
      <c r="U1381" s="1" t="s">
        <v>132</v>
      </c>
      <c r="V1381" s="1" t="s">
        <v>132</v>
      </c>
      <c r="W1381" s="1" t="s">
        <v>132</v>
      </c>
      <c r="X1381" s="1" t="s">
        <v>132</v>
      </c>
      <c r="Y1381" s="1" t="s">
        <v>132</v>
      </c>
      <c r="Z1381" s="1" t="s">
        <v>132</v>
      </c>
      <c r="AA1381" s="1" t="s">
        <v>132</v>
      </c>
      <c r="AB1381" s="1" t="s">
        <v>132</v>
      </c>
      <c r="AC1381" s="1" t="s">
        <v>27295</v>
      </c>
      <c r="AD1381" s="1" t="s">
        <v>132</v>
      </c>
      <c r="AE1381" s="1" t="s">
        <v>132</v>
      </c>
      <c r="AF1381" s="1" t="s">
        <v>27296</v>
      </c>
      <c r="AG1381" s="1" t="s">
        <v>132</v>
      </c>
      <c r="AH1381" s="1" t="s">
        <v>132</v>
      </c>
      <c r="AI1381" s="1" t="s">
        <v>132</v>
      </c>
      <c r="AJ1381" s="1" t="s">
        <v>132</v>
      </c>
      <c r="AK1381" s="1" t="s">
        <v>132</v>
      </c>
      <c r="AL1381" s="1" t="s">
        <v>132</v>
      </c>
      <c r="AM1381" s="1" t="s">
        <v>132</v>
      </c>
      <c r="AN1381" s="1" t="s">
        <v>132</v>
      </c>
    </row>
    <row r="1382" ht="15.75" customHeight="1">
      <c r="A1382" s="1" t="s">
        <v>43182</v>
      </c>
      <c r="B1382" s="1" t="s">
        <v>43288</v>
      </c>
      <c r="C1382" s="1" t="s">
        <v>43289</v>
      </c>
      <c r="D1382" s="1" t="s">
        <v>132</v>
      </c>
      <c r="E1382" s="1" t="s">
        <v>132</v>
      </c>
      <c r="F1382" s="1" t="s">
        <v>132</v>
      </c>
      <c r="G1382" s="1" t="s">
        <v>132</v>
      </c>
      <c r="H1382" s="1" t="s">
        <v>132</v>
      </c>
      <c r="I1382" s="1" t="s">
        <v>132</v>
      </c>
      <c r="J1382" s="1" t="s">
        <v>132</v>
      </c>
      <c r="K1382" s="1" t="s">
        <v>132</v>
      </c>
      <c r="L1382" s="1" t="s">
        <v>132</v>
      </c>
      <c r="M1382" s="1" t="s">
        <v>132</v>
      </c>
      <c r="N1382" s="1" t="s">
        <v>132</v>
      </c>
      <c r="O1382" s="1" t="s">
        <v>132</v>
      </c>
      <c r="P1382" s="1" t="s">
        <v>132</v>
      </c>
      <c r="Q1382" s="1" t="s">
        <v>132</v>
      </c>
      <c r="R1382" s="1" t="s">
        <v>132</v>
      </c>
      <c r="S1382" s="1" t="s">
        <v>132</v>
      </c>
      <c r="T1382" s="1" t="s">
        <v>132</v>
      </c>
      <c r="U1382" s="1" t="s">
        <v>132</v>
      </c>
      <c r="V1382" s="1" t="s">
        <v>132</v>
      </c>
      <c r="W1382" s="1" t="s">
        <v>132</v>
      </c>
      <c r="X1382" s="1" t="s">
        <v>132</v>
      </c>
      <c r="Y1382" s="1" t="s">
        <v>132</v>
      </c>
      <c r="Z1382" s="1" t="s">
        <v>132</v>
      </c>
      <c r="AA1382" s="1" t="s">
        <v>132</v>
      </c>
      <c r="AB1382" s="1" t="s">
        <v>132</v>
      </c>
      <c r="AC1382" s="1" t="s">
        <v>132</v>
      </c>
      <c r="AD1382" s="1" t="s">
        <v>132</v>
      </c>
      <c r="AE1382" s="1" t="s">
        <v>132</v>
      </c>
      <c r="AF1382" s="1" t="s">
        <v>132</v>
      </c>
      <c r="AG1382" s="1" t="s">
        <v>132</v>
      </c>
      <c r="AH1382" s="1" t="s">
        <v>132</v>
      </c>
      <c r="AI1382" s="1" t="s">
        <v>132</v>
      </c>
      <c r="AJ1382" s="1" t="s">
        <v>132</v>
      </c>
      <c r="AK1382" s="1" t="s">
        <v>132</v>
      </c>
      <c r="AL1382" s="1" t="s">
        <v>132</v>
      </c>
      <c r="AM1382" s="1" t="s">
        <v>132</v>
      </c>
      <c r="AN1382" s="1" t="s">
        <v>132</v>
      </c>
    </row>
    <row r="1383" ht="15.75" customHeight="1">
      <c r="A1383" s="1" t="s">
        <v>127</v>
      </c>
      <c r="B1383" s="1" t="s">
        <v>27297</v>
      </c>
      <c r="C1383" s="1" t="s">
        <v>27298</v>
      </c>
      <c r="D1383" s="8" t="s">
        <v>27299</v>
      </c>
      <c r="E1383" s="1" t="s">
        <v>27300</v>
      </c>
      <c r="F1383" s="1" t="s">
        <v>132</v>
      </c>
      <c r="G1383" s="1" t="s">
        <v>27301</v>
      </c>
      <c r="H1383" s="1" t="s">
        <v>27298</v>
      </c>
      <c r="I1383" s="1" t="s">
        <v>27298</v>
      </c>
      <c r="J1383" s="1" t="s">
        <v>27298</v>
      </c>
      <c r="K1383" s="1" t="s">
        <v>27298</v>
      </c>
      <c r="L1383" s="1" t="s">
        <v>27298</v>
      </c>
      <c r="M1383" s="1" t="s">
        <v>27302</v>
      </c>
      <c r="N1383" s="1" t="s">
        <v>132</v>
      </c>
      <c r="O1383" s="1" t="s">
        <v>27303</v>
      </c>
      <c r="P1383" s="1" t="s">
        <v>17867</v>
      </c>
      <c r="Q1383" s="1" t="s">
        <v>132</v>
      </c>
      <c r="R1383" s="1" t="s">
        <v>27304</v>
      </c>
      <c r="S1383" s="1" t="s">
        <v>27298</v>
      </c>
      <c r="T1383" s="8" t="s">
        <v>27305</v>
      </c>
      <c r="U1383" s="1" t="s">
        <v>27306</v>
      </c>
      <c r="V1383" s="1" t="s">
        <v>27307</v>
      </c>
      <c r="W1383" s="1" t="s">
        <v>27304</v>
      </c>
      <c r="X1383" s="1" t="s">
        <v>27308</v>
      </c>
      <c r="Y1383" s="1" t="s">
        <v>27309</v>
      </c>
      <c r="Z1383" s="1" t="s">
        <v>27310</v>
      </c>
      <c r="AA1383" s="1" t="s">
        <v>27298</v>
      </c>
      <c r="AB1383" s="1" t="s">
        <v>27298</v>
      </c>
      <c r="AC1383" s="1" t="s">
        <v>27300</v>
      </c>
      <c r="AD1383" s="1" t="s">
        <v>27311</v>
      </c>
      <c r="AE1383" s="1" t="s">
        <v>27308</v>
      </c>
      <c r="AF1383" s="1" t="s">
        <v>27298</v>
      </c>
      <c r="AG1383" s="1" t="s">
        <v>27309</v>
      </c>
      <c r="AH1383" s="1" t="s">
        <v>27298</v>
      </c>
      <c r="AI1383" s="1" t="s">
        <v>27312</v>
      </c>
      <c r="AJ1383" s="1" t="s">
        <v>132</v>
      </c>
      <c r="AK1383" s="1" t="s">
        <v>8716</v>
      </c>
      <c r="AL1383" s="1" t="s">
        <v>27313</v>
      </c>
      <c r="AM1383" s="1" t="s">
        <v>132</v>
      </c>
      <c r="AN1383" s="1" t="s">
        <v>132</v>
      </c>
    </row>
    <row r="1384" ht="15.75" customHeight="1">
      <c r="A1384" s="1" t="s">
        <v>38</v>
      </c>
      <c r="B1384" s="1" t="s">
        <v>27314</v>
      </c>
      <c r="C1384" s="1" t="s">
        <v>27315</v>
      </c>
      <c r="D1384" s="8" t="s">
        <v>27316</v>
      </c>
      <c r="E1384" s="1" t="s">
        <v>27317</v>
      </c>
      <c r="F1384" s="1" t="s">
        <v>27318</v>
      </c>
      <c r="G1384" s="1" t="s">
        <v>132</v>
      </c>
      <c r="H1384" s="1" t="s">
        <v>132</v>
      </c>
      <c r="I1384" s="1" t="s">
        <v>27319</v>
      </c>
      <c r="J1384" s="1" t="s">
        <v>132</v>
      </c>
      <c r="K1384" s="1" t="s">
        <v>27320</v>
      </c>
      <c r="L1384" s="1" t="s">
        <v>132</v>
      </c>
      <c r="M1384" s="1" t="s">
        <v>27321</v>
      </c>
      <c r="N1384" s="1" t="s">
        <v>27322</v>
      </c>
      <c r="O1384" s="1" t="s">
        <v>132</v>
      </c>
      <c r="P1384" s="1" t="s">
        <v>27323</v>
      </c>
      <c r="Q1384" s="1" t="s">
        <v>132</v>
      </c>
      <c r="R1384" s="1" t="s">
        <v>132</v>
      </c>
      <c r="S1384" s="1" t="s">
        <v>27324</v>
      </c>
      <c r="T1384" s="1" t="s">
        <v>132</v>
      </c>
      <c r="U1384" s="1" t="s">
        <v>27325</v>
      </c>
      <c r="V1384" s="1" t="s">
        <v>132</v>
      </c>
      <c r="W1384" s="1" t="s">
        <v>132</v>
      </c>
      <c r="X1384" s="1" t="s">
        <v>27326</v>
      </c>
      <c r="Y1384" s="1" t="s">
        <v>132</v>
      </c>
      <c r="Z1384" s="1" t="s">
        <v>27327</v>
      </c>
      <c r="AA1384" s="1" t="s">
        <v>132</v>
      </c>
      <c r="AB1384" s="1" t="s">
        <v>132</v>
      </c>
      <c r="AC1384" s="1" t="s">
        <v>27328</v>
      </c>
      <c r="AD1384" s="1" t="s">
        <v>132</v>
      </c>
      <c r="AE1384" s="1" t="s">
        <v>132</v>
      </c>
      <c r="AF1384" s="1" t="s">
        <v>27329</v>
      </c>
      <c r="AG1384" s="1" t="s">
        <v>132</v>
      </c>
      <c r="AH1384" s="1" t="s">
        <v>132</v>
      </c>
      <c r="AI1384" s="1" t="s">
        <v>132</v>
      </c>
      <c r="AJ1384" s="1" t="s">
        <v>132</v>
      </c>
      <c r="AK1384" s="1" t="s">
        <v>132</v>
      </c>
      <c r="AL1384" s="1" t="s">
        <v>132</v>
      </c>
      <c r="AM1384" s="1" t="s">
        <v>132</v>
      </c>
      <c r="AN1384" s="1" t="s">
        <v>132</v>
      </c>
    </row>
    <row r="1385" ht="15.75" customHeight="1">
      <c r="A1385" s="1" t="s">
        <v>38</v>
      </c>
      <c r="B1385" s="1" t="s">
        <v>27330</v>
      </c>
      <c r="C1385" s="1" t="s">
        <v>27331</v>
      </c>
      <c r="D1385" s="1" t="s">
        <v>132</v>
      </c>
      <c r="E1385" s="1" t="s">
        <v>132</v>
      </c>
      <c r="F1385" s="1" t="s">
        <v>132</v>
      </c>
      <c r="G1385" s="1" t="s">
        <v>132</v>
      </c>
      <c r="H1385" s="1" t="s">
        <v>132</v>
      </c>
      <c r="I1385" s="1" t="s">
        <v>27332</v>
      </c>
      <c r="J1385" s="1" t="s">
        <v>132</v>
      </c>
      <c r="K1385" s="1" t="s">
        <v>27331</v>
      </c>
      <c r="L1385" s="1" t="s">
        <v>132</v>
      </c>
      <c r="M1385" s="1" t="s">
        <v>27333</v>
      </c>
      <c r="N1385" s="1" t="s">
        <v>132</v>
      </c>
      <c r="O1385" s="1" t="s">
        <v>132</v>
      </c>
      <c r="P1385" s="1" t="s">
        <v>27331</v>
      </c>
      <c r="Q1385" s="1" t="s">
        <v>132</v>
      </c>
      <c r="R1385" s="1" t="s">
        <v>132</v>
      </c>
      <c r="S1385" s="1" t="s">
        <v>132</v>
      </c>
      <c r="T1385" s="1" t="s">
        <v>132</v>
      </c>
      <c r="U1385" s="1" t="s">
        <v>132</v>
      </c>
      <c r="V1385" s="1" t="s">
        <v>132</v>
      </c>
      <c r="W1385" s="1" t="s">
        <v>132</v>
      </c>
      <c r="X1385" s="1" t="s">
        <v>132</v>
      </c>
      <c r="Y1385" s="1" t="s">
        <v>132</v>
      </c>
      <c r="Z1385" s="1" t="s">
        <v>132</v>
      </c>
      <c r="AA1385" s="1" t="s">
        <v>132</v>
      </c>
      <c r="AB1385" s="1" t="s">
        <v>132</v>
      </c>
      <c r="AC1385" s="1" t="s">
        <v>27334</v>
      </c>
      <c r="AD1385" s="1" t="s">
        <v>132</v>
      </c>
      <c r="AE1385" s="1" t="s">
        <v>132</v>
      </c>
      <c r="AF1385" s="1" t="s">
        <v>27335</v>
      </c>
      <c r="AG1385" s="1" t="s">
        <v>132</v>
      </c>
      <c r="AH1385" s="1" t="s">
        <v>132</v>
      </c>
      <c r="AI1385" s="1" t="s">
        <v>132</v>
      </c>
      <c r="AJ1385" s="1" t="s">
        <v>132</v>
      </c>
      <c r="AK1385" s="1" t="s">
        <v>132</v>
      </c>
      <c r="AL1385" s="1" t="s">
        <v>132</v>
      </c>
      <c r="AM1385" s="1" t="s">
        <v>132</v>
      </c>
      <c r="AN1385" s="1" t="s">
        <v>132</v>
      </c>
    </row>
    <row r="1386" ht="15.75" customHeight="1">
      <c r="A1386" s="1" t="s">
        <v>5830</v>
      </c>
      <c r="B1386" s="1" t="s">
        <v>27336</v>
      </c>
      <c r="C1386" s="1" t="s">
        <v>132</v>
      </c>
      <c r="D1386" s="1" t="s">
        <v>132</v>
      </c>
      <c r="E1386" s="1" t="s">
        <v>132</v>
      </c>
      <c r="F1386" s="1" t="s">
        <v>132</v>
      </c>
      <c r="G1386" s="1" t="s">
        <v>132</v>
      </c>
      <c r="H1386" s="1" t="s">
        <v>132</v>
      </c>
      <c r="I1386" s="1" t="s">
        <v>132</v>
      </c>
      <c r="J1386" s="1" t="s">
        <v>132</v>
      </c>
      <c r="K1386" s="1" t="s">
        <v>132</v>
      </c>
      <c r="L1386" s="1" t="s">
        <v>132</v>
      </c>
      <c r="M1386" s="1" t="s">
        <v>132</v>
      </c>
      <c r="N1386" s="1" t="s">
        <v>132</v>
      </c>
      <c r="O1386" s="1" t="s">
        <v>132</v>
      </c>
      <c r="P1386" s="1" t="s">
        <v>132</v>
      </c>
      <c r="Q1386" s="1" t="s">
        <v>132</v>
      </c>
      <c r="R1386" s="1" t="s">
        <v>132</v>
      </c>
      <c r="S1386" s="1" t="s">
        <v>132</v>
      </c>
      <c r="T1386" s="1" t="s">
        <v>132</v>
      </c>
      <c r="U1386" s="1" t="s">
        <v>132</v>
      </c>
      <c r="V1386" s="1" t="s">
        <v>132</v>
      </c>
      <c r="W1386" s="1" t="s">
        <v>132</v>
      </c>
      <c r="X1386" s="1" t="s">
        <v>132</v>
      </c>
      <c r="Y1386" s="1" t="s">
        <v>132</v>
      </c>
      <c r="Z1386" s="1" t="s">
        <v>132</v>
      </c>
      <c r="AA1386" s="1" t="s">
        <v>132</v>
      </c>
      <c r="AB1386" s="1" t="s">
        <v>132</v>
      </c>
      <c r="AC1386" s="1" t="s">
        <v>132</v>
      </c>
      <c r="AD1386" s="1" t="s">
        <v>132</v>
      </c>
      <c r="AE1386" s="1" t="s">
        <v>132</v>
      </c>
      <c r="AF1386" s="1" t="s">
        <v>132</v>
      </c>
      <c r="AG1386" s="1" t="s">
        <v>132</v>
      </c>
      <c r="AH1386" s="1" t="s">
        <v>132</v>
      </c>
      <c r="AI1386" s="1" t="s">
        <v>132</v>
      </c>
      <c r="AJ1386" s="1" t="s">
        <v>132</v>
      </c>
      <c r="AK1386" s="1" t="s">
        <v>132</v>
      </c>
      <c r="AL1386" s="1" t="s">
        <v>132</v>
      </c>
      <c r="AM1386" s="1" t="s">
        <v>13037</v>
      </c>
      <c r="AN1386" s="1" t="s">
        <v>13037</v>
      </c>
    </row>
    <row r="1387" ht="15.75" customHeight="1">
      <c r="A1387" s="1" t="s">
        <v>127</v>
      </c>
      <c r="B1387" s="1" t="s">
        <v>27337</v>
      </c>
      <c r="C1387" s="1" t="s">
        <v>27338</v>
      </c>
      <c r="D1387" s="8" t="s">
        <v>27339</v>
      </c>
      <c r="E1387" s="1" t="s">
        <v>27340</v>
      </c>
      <c r="F1387" s="1" t="s">
        <v>132</v>
      </c>
      <c r="G1387" s="1" t="s">
        <v>27341</v>
      </c>
      <c r="H1387" s="1" t="s">
        <v>27342</v>
      </c>
      <c r="I1387" s="1" t="s">
        <v>27343</v>
      </c>
      <c r="J1387" s="1" t="s">
        <v>27344</v>
      </c>
      <c r="K1387" s="1" t="s">
        <v>27345</v>
      </c>
      <c r="L1387" s="1" t="s">
        <v>27346</v>
      </c>
      <c r="M1387" s="1" t="s">
        <v>27347</v>
      </c>
      <c r="N1387" s="1" t="s">
        <v>132</v>
      </c>
      <c r="O1387" s="1" t="s">
        <v>27348</v>
      </c>
      <c r="P1387" s="1" t="s">
        <v>27349</v>
      </c>
      <c r="Q1387" s="1" t="s">
        <v>132</v>
      </c>
      <c r="R1387" s="1" t="s">
        <v>27350</v>
      </c>
      <c r="S1387" s="1" t="s">
        <v>27351</v>
      </c>
      <c r="T1387" s="8" t="s">
        <v>27352</v>
      </c>
      <c r="U1387" s="1" t="s">
        <v>27353</v>
      </c>
      <c r="V1387" s="1" t="s">
        <v>27354</v>
      </c>
      <c r="W1387" s="1" t="s">
        <v>27355</v>
      </c>
      <c r="X1387" s="1" t="s">
        <v>27356</v>
      </c>
      <c r="Y1387" s="1" t="s">
        <v>27357</v>
      </c>
      <c r="Z1387" s="1" t="s">
        <v>27358</v>
      </c>
      <c r="AA1387" s="1" t="s">
        <v>27359</v>
      </c>
      <c r="AB1387" s="1" t="s">
        <v>27360</v>
      </c>
      <c r="AC1387" s="1" t="s">
        <v>27361</v>
      </c>
      <c r="AD1387" s="1" t="s">
        <v>27362</v>
      </c>
      <c r="AE1387" s="1" t="s">
        <v>27363</v>
      </c>
      <c r="AF1387" s="1" t="s">
        <v>27364</v>
      </c>
      <c r="AG1387" s="1" t="s">
        <v>27365</v>
      </c>
      <c r="AH1387" s="1" t="s">
        <v>27366</v>
      </c>
      <c r="AI1387" s="1" t="s">
        <v>27367</v>
      </c>
      <c r="AJ1387" s="1" t="s">
        <v>132</v>
      </c>
      <c r="AK1387" s="1" t="s">
        <v>27368</v>
      </c>
      <c r="AL1387" s="1" t="s">
        <v>27369</v>
      </c>
      <c r="AM1387" s="1" t="s">
        <v>132</v>
      </c>
      <c r="AN1387" s="1" t="s">
        <v>132</v>
      </c>
    </row>
    <row r="1388" ht="15.75" customHeight="1">
      <c r="A1388" s="1" t="s">
        <v>38</v>
      </c>
      <c r="B1388" s="1" t="s">
        <v>27370</v>
      </c>
      <c r="C1388" s="1" t="s">
        <v>27371</v>
      </c>
      <c r="D1388" s="8" t="s">
        <v>27372</v>
      </c>
      <c r="E1388" s="1" t="s">
        <v>27373</v>
      </c>
      <c r="F1388" s="1" t="s">
        <v>27374</v>
      </c>
      <c r="G1388" s="1" t="s">
        <v>132</v>
      </c>
      <c r="H1388" s="1" t="s">
        <v>132</v>
      </c>
      <c r="I1388" s="1" t="s">
        <v>27375</v>
      </c>
      <c r="J1388" s="1" t="s">
        <v>132</v>
      </c>
      <c r="K1388" s="1" t="s">
        <v>27376</v>
      </c>
      <c r="L1388" s="1" t="s">
        <v>132</v>
      </c>
      <c r="M1388" s="1" t="s">
        <v>5941</v>
      </c>
      <c r="N1388" s="1" t="s">
        <v>27377</v>
      </c>
      <c r="O1388" s="1" t="s">
        <v>132</v>
      </c>
      <c r="P1388" s="1" t="s">
        <v>27378</v>
      </c>
      <c r="Q1388" s="1" t="s">
        <v>27379</v>
      </c>
      <c r="R1388" s="1" t="s">
        <v>132</v>
      </c>
      <c r="S1388" s="1" t="s">
        <v>27377</v>
      </c>
      <c r="T1388" s="1" t="s">
        <v>132</v>
      </c>
      <c r="U1388" s="1" t="s">
        <v>27379</v>
      </c>
      <c r="V1388" s="1" t="s">
        <v>27379</v>
      </c>
      <c r="W1388" s="1" t="s">
        <v>132</v>
      </c>
      <c r="X1388" s="1" t="s">
        <v>27380</v>
      </c>
      <c r="Y1388" s="1" t="s">
        <v>132</v>
      </c>
      <c r="Z1388" s="1" t="s">
        <v>27379</v>
      </c>
      <c r="AA1388" s="1" t="s">
        <v>27377</v>
      </c>
      <c r="AB1388" s="1" t="s">
        <v>132</v>
      </c>
      <c r="AC1388" s="1" t="s">
        <v>27379</v>
      </c>
      <c r="AD1388" s="1" t="s">
        <v>27379</v>
      </c>
      <c r="AE1388" s="1" t="s">
        <v>132</v>
      </c>
      <c r="AF1388" s="1" t="s">
        <v>27381</v>
      </c>
      <c r="AG1388" s="1" t="s">
        <v>27375</v>
      </c>
      <c r="AH1388" s="1" t="s">
        <v>132</v>
      </c>
      <c r="AI1388" s="1" t="s">
        <v>132</v>
      </c>
      <c r="AJ1388" s="1" t="s">
        <v>27379</v>
      </c>
      <c r="AK1388" s="1" t="s">
        <v>27377</v>
      </c>
      <c r="AL1388" s="1" t="s">
        <v>132</v>
      </c>
      <c r="AM1388" s="1" t="s">
        <v>27379</v>
      </c>
      <c r="AN1388" s="1" t="s">
        <v>27379</v>
      </c>
    </row>
    <row r="1389" ht="15.75" customHeight="1">
      <c r="A1389" s="1" t="s">
        <v>38</v>
      </c>
      <c r="B1389" s="1" t="s">
        <v>27382</v>
      </c>
      <c r="C1389" s="1" t="s">
        <v>27383</v>
      </c>
      <c r="D1389" s="8" t="s">
        <v>27384</v>
      </c>
      <c r="E1389" s="1" t="s">
        <v>27385</v>
      </c>
      <c r="F1389" s="1" t="s">
        <v>27386</v>
      </c>
      <c r="G1389" s="1" t="s">
        <v>132</v>
      </c>
      <c r="H1389" s="1" t="s">
        <v>132</v>
      </c>
      <c r="I1389" s="1" t="s">
        <v>27387</v>
      </c>
      <c r="J1389" s="1" t="s">
        <v>132</v>
      </c>
      <c r="K1389" s="1" t="s">
        <v>27388</v>
      </c>
      <c r="L1389" s="1" t="s">
        <v>132</v>
      </c>
      <c r="M1389" s="1" t="s">
        <v>27389</v>
      </c>
      <c r="N1389" s="1" t="s">
        <v>27390</v>
      </c>
      <c r="O1389" s="1" t="s">
        <v>132</v>
      </c>
      <c r="P1389" s="1" t="s">
        <v>27391</v>
      </c>
      <c r="Q1389" s="1" t="s">
        <v>132</v>
      </c>
      <c r="R1389" s="1" t="s">
        <v>132</v>
      </c>
      <c r="S1389" s="1" t="s">
        <v>27392</v>
      </c>
      <c r="T1389" s="1" t="s">
        <v>132</v>
      </c>
      <c r="U1389" s="1" t="s">
        <v>27393</v>
      </c>
      <c r="V1389" s="1" t="s">
        <v>132</v>
      </c>
      <c r="W1389" s="1" t="s">
        <v>132</v>
      </c>
      <c r="X1389" s="1" t="s">
        <v>27394</v>
      </c>
      <c r="Y1389" s="1" t="s">
        <v>132</v>
      </c>
      <c r="Z1389" s="1" t="s">
        <v>27395</v>
      </c>
      <c r="AA1389" s="1" t="s">
        <v>27396</v>
      </c>
      <c r="AB1389" s="1" t="s">
        <v>132</v>
      </c>
      <c r="AC1389" s="1" t="s">
        <v>27397</v>
      </c>
      <c r="AD1389" s="1" t="s">
        <v>132</v>
      </c>
      <c r="AE1389" s="1" t="s">
        <v>132</v>
      </c>
      <c r="AF1389" s="1" t="s">
        <v>27398</v>
      </c>
      <c r="AG1389" s="1" t="s">
        <v>27399</v>
      </c>
      <c r="AH1389" s="1" t="s">
        <v>132</v>
      </c>
      <c r="AI1389" s="1" t="s">
        <v>132</v>
      </c>
      <c r="AJ1389" s="1" t="s">
        <v>27400</v>
      </c>
      <c r="AK1389" s="1" t="s">
        <v>132</v>
      </c>
      <c r="AL1389" s="1" t="s">
        <v>132</v>
      </c>
      <c r="AM1389" s="1" t="s">
        <v>27401</v>
      </c>
      <c r="AN1389" s="1" t="s">
        <v>27401</v>
      </c>
    </row>
    <row r="1390" ht="15.75" customHeight="1">
      <c r="A1390" s="1" t="s">
        <v>127</v>
      </c>
      <c r="B1390" s="1" t="s">
        <v>27402</v>
      </c>
      <c r="C1390" s="1" t="s">
        <v>27403</v>
      </c>
      <c r="D1390" s="8" t="s">
        <v>3334</v>
      </c>
      <c r="E1390" s="1" t="s">
        <v>27404</v>
      </c>
      <c r="F1390" s="1" t="s">
        <v>132</v>
      </c>
      <c r="G1390" s="1" t="s">
        <v>27405</v>
      </c>
      <c r="H1390" s="1" t="s">
        <v>27406</v>
      </c>
      <c r="I1390" s="1" t="s">
        <v>27407</v>
      </c>
      <c r="J1390" s="1" t="s">
        <v>27408</v>
      </c>
      <c r="K1390" s="1" t="s">
        <v>27409</v>
      </c>
      <c r="L1390" s="1" t="s">
        <v>27410</v>
      </c>
      <c r="M1390" s="1" t="s">
        <v>27411</v>
      </c>
      <c r="N1390" s="1" t="s">
        <v>132</v>
      </c>
      <c r="O1390" s="1" t="s">
        <v>27412</v>
      </c>
      <c r="P1390" s="1" t="s">
        <v>3932</v>
      </c>
      <c r="Q1390" s="1" t="s">
        <v>132</v>
      </c>
      <c r="R1390" s="1" t="s">
        <v>3342</v>
      </c>
      <c r="S1390" s="1" t="s">
        <v>3343</v>
      </c>
      <c r="T1390" s="8" t="s">
        <v>27413</v>
      </c>
      <c r="U1390" s="1" t="s">
        <v>27414</v>
      </c>
      <c r="V1390" s="1" t="s">
        <v>3935</v>
      </c>
      <c r="W1390" s="1" t="s">
        <v>3342</v>
      </c>
      <c r="X1390" s="1" t="s">
        <v>3346</v>
      </c>
      <c r="Y1390" s="1" t="s">
        <v>27415</v>
      </c>
      <c r="Z1390" s="1" t="s">
        <v>27416</v>
      </c>
      <c r="AA1390" s="1" t="s">
        <v>3938</v>
      </c>
      <c r="AB1390" s="1" t="s">
        <v>27417</v>
      </c>
      <c r="AC1390" s="1" t="s">
        <v>3349</v>
      </c>
      <c r="AD1390" s="1" t="s">
        <v>3350</v>
      </c>
      <c r="AE1390" s="1" t="s">
        <v>27418</v>
      </c>
      <c r="AF1390" s="1" t="s">
        <v>27419</v>
      </c>
      <c r="AG1390" s="1" t="s">
        <v>27420</v>
      </c>
      <c r="AH1390" s="1" t="s">
        <v>27421</v>
      </c>
      <c r="AI1390" s="1" t="s">
        <v>27422</v>
      </c>
      <c r="AJ1390" s="1" t="s">
        <v>132</v>
      </c>
      <c r="AK1390" s="1" t="s">
        <v>27423</v>
      </c>
      <c r="AL1390" s="1" t="s">
        <v>27424</v>
      </c>
      <c r="AM1390" s="1" t="s">
        <v>27425</v>
      </c>
      <c r="AN1390" s="1" t="s">
        <v>27425</v>
      </c>
    </row>
    <row r="1391" ht="15.75" customHeight="1">
      <c r="A1391" s="1" t="s">
        <v>127</v>
      </c>
      <c r="B1391" s="1" t="s">
        <v>27426</v>
      </c>
      <c r="C1391" s="1" t="s">
        <v>4836</v>
      </c>
      <c r="D1391" s="8" t="s">
        <v>27427</v>
      </c>
      <c r="E1391" s="1" t="s">
        <v>4838</v>
      </c>
      <c r="F1391" s="1" t="s">
        <v>132</v>
      </c>
      <c r="G1391" s="1" t="s">
        <v>4839</v>
      </c>
      <c r="H1391" s="1" t="s">
        <v>4836</v>
      </c>
      <c r="I1391" s="1" t="s">
        <v>4836</v>
      </c>
      <c r="J1391" s="1" t="s">
        <v>4840</v>
      </c>
      <c r="K1391" s="1" t="s">
        <v>4841</v>
      </c>
      <c r="L1391" s="1" t="s">
        <v>4842</v>
      </c>
      <c r="M1391" s="1" t="s">
        <v>27428</v>
      </c>
      <c r="N1391" s="1" t="s">
        <v>132</v>
      </c>
      <c r="O1391" s="1" t="s">
        <v>4843</v>
      </c>
      <c r="P1391" s="1" t="s">
        <v>4844</v>
      </c>
      <c r="Q1391" s="1" t="s">
        <v>132</v>
      </c>
      <c r="R1391" s="1" t="s">
        <v>4845</v>
      </c>
      <c r="S1391" s="1" t="s">
        <v>4846</v>
      </c>
      <c r="T1391" s="8" t="s">
        <v>27429</v>
      </c>
      <c r="U1391" s="1" t="s">
        <v>4848</v>
      </c>
      <c r="V1391" s="1" t="s">
        <v>4849</v>
      </c>
      <c r="W1391" s="1" t="s">
        <v>27430</v>
      </c>
      <c r="X1391" s="1" t="s">
        <v>4850</v>
      </c>
      <c r="Y1391" s="1" t="s">
        <v>4851</v>
      </c>
      <c r="Z1391" s="1" t="s">
        <v>4852</v>
      </c>
      <c r="AA1391" s="1" t="s">
        <v>4853</v>
      </c>
      <c r="AB1391" s="1" t="s">
        <v>4854</v>
      </c>
      <c r="AC1391" s="1" t="s">
        <v>4838</v>
      </c>
      <c r="AD1391" s="1" t="s">
        <v>4855</v>
      </c>
      <c r="AE1391" s="1" t="s">
        <v>4856</v>
      </c>
      <c r="AF1391" s="1" t="s">
        <v>4857</v>
      </c>
      <c r="AG1391" s="1" t="s">
        <v>4836</v>
      </c>
      <c r="AH1391" s="1" t="s">
        <v>4858</v>
      </c>
      <c r="AI1391" s="1" t="s">
        <v>4859</v>
      </c>
      <c r="AJ1391" s="1" t="s">
        <v>132</v>
      </c>
      <c r="AK1391" s="1" t="s">
        <v>4860</v>
      </c>
      <c r="AL1391" s="1" t="s">
        <v>4861</v>
      </c>
      <c r="AM1391" s="1" t="s">
        <v>132</v>
      </c>
      <c r="AN1391" s="1" t="s">
        <v>132</v>
      </c>
    </row>
    <row r="1392" ht="15.75" customHeight="1">
      <c r="A1392" s="1" t="s">
        <v>38</v>
      </c>
      <c r="B1392" s="1" t="s">
        <v>27431</v>
      </c>
      <c r="C1392" s="1" t="s">
        <v>27432</v>
      </c>
      <c r="D1392" s="1" t="s">
        <v>132</v>
      </c>
      <c r="E1392" s="1" t="s">
        <v>132</v>
      </c>
      <c r="F1392" s="1" t="s">
        <v>132</v>
      </c>
      <c r="G1392" s="1" t="s">
        <v>132</v>
      </c>
      <c r="H1392" s="1" t="s">
        <v>132</v>
      </c>
      <c r="I1392" s="1" t="s">
        <v>27433</v>
      </c>
      <c r="J1392" s="1" t="s">
        <v>132</v>
      </c>
      <c r="K1392" s="1" t="s">
        <v>27434</v>
      </c>
      <c r="L1392" s="1" t="s">
        <v>132</v>
      </c>
      <c r="M1392" s="1" t="s">
        <v>27435</v>
      </c>
      <c r="N1392" s="1" t="s">
        <v>132</v>
      </c>
      <c r="O1392" s="1" t="s">
        <v>132</v>
      </c>
      <c r="P1392" s="1" t="s">
        <v>27436</v>
      </c>
      <c r="Q1392" s="1" t="s">
        <v>132</v>
      </c>
      <c r="R1392" s="1" t="s">
        <v>132</v>
      </c>
      <c r="S1392" s="1" t="s">
        <v>132</v>
      </c>
      <c r="T1392" s="1" t="s">
        <v>132</v>
      </c>
      <c r="U1392" s="1" t="s">
        <v>132</v>
      </c>
      <c r="V1392" s="1" t="s">
        <v>132</v>
      </c>
      <c r="W1392" s="1" t="s">
        <v>132</v>
      </c>
      <c r="X1392" s="1" t="s">
        <v>132</v>
      </c>
      <c r="Y1392" s="1" t="s">
        <v>132</v>
      </c>
      <c r="Z1392" s="1" t="s">
        <v>132</v>
      </c>
      <c r="AA1392" s="1" t="s">
        <v>132</v>
      </c>
      <c r="AB1392" s="1" t="s">
        <v>132</v>
      </c>
      <c r="AC1392" s="1" t="s">
        <v>27437</v>
      </c>
      <c r="AD1392" s="1" t="s">
        <v>132</v>
      </c>
      <c r="AE1392" s="1" t="s">
        <v>132</v>
      </c>
      <c r="AF1392" s="1" t="s">
        <v>27438</v>
      </c>
      <c r="AG1392" s="1" t="s">
        <v>132</v>
      </c>
      <c r="AH1392" s="1" t="s">
        <v>132</v>
      </c>
      <c r="AI1392" s="1" t="s">
        <v>132</v>
      </c>
      <c r="AJ1392" s="1" t="s">
        <v>132</v>
      </c>
      <c r="AK1392" s="1" t="s">
        <v>132</v>
      </c>
      <c r="AL1392" s="1" t="s">
        <v>132</v>
      </c>
      <c r="AM1392" s="1" t="s">
        <v>132</v>
      </c>
      <c r="AN1392" s="1" t="s">
        <v>132</v>
      </c>
    </row>
    <row r="1393" ht="15.75" customHeight="1">
      <c r="A1393" s="1" t="s">
        <v>38</v>
      </c>
      <c r="B1393" s="1" t="s">
        <v>27439</v>
      </c>
      <c r="C1393" s="1" t="s">
        <v>27440</v>
      </c>
      <c r="D1393" s="1" t="s">
        <v>132</v>
      </c>
      <c r="E1393" s="1" t="s">
        <v>27441</v>
      </c>
      <c r="F1393" s="1" t="s">
        <v>27442</v>
      </c>
      <c r="G1393" s="1" t="s">
        <v>132</v>
      </c>
      <c r="H1393" s="1" t="s">
        <v>132</v>
      </c>
      <c r="I1393" s="1" t="s">
        <v>27444</v>
      </c>
      <c r="J1393" s="1" t="s">
        <v>132</v>
      </c>
      <c r="K1393" s="1" t="s">
        <v>27445</v>
      </c>
      <c r="L1393" s="1" t="s">
        <v>132</v>
      </c>
      <c r="M1393" s="1" t="s">
        <v>132</v>
      </c>
      <c r="N1393" s="1" t="s">
        <v>27447</v>
      </c>
      <c r="O1393" s="1" t="s">
        <v>132</v>
      </c>
      <c r="P1393" s="1" t="s">
        <v>27448</v>
      </c>
      <c r="Q1393" s="1" t="s">
        <v>132</v>
      </c>
      <c r="R1393" s="1" t="s">
        <v>132</v>
      </c>
      <c r="S1393" s="1" t="s">
        <v>27449</v>
      </c>
      <c r="T1393" s="1" t="s">
        <v>132</v>
      </c>
      <c r="U1393" s="1" t="s">
        <v>132</v>
      </c>
      <c r="V1393" s="1" t="s">
        <v>132</v>
      </c>
      <c r="W1393" s="1" t="s">
        <v>132</v>
      </c>
      <c r="X1393" s="1" t="s">
        <v>132</v>
      </c>
      <c r="Y1393" s="1" t="s">
        <v>132</v>
      </c>
      <c r="Z1393" s="1" t="s">
        <v>27451</v>
      </c>
      <c r="AA1393" s="1" t="s">
        <v>132</v>
      </c>
      <c r="AB1393" s="1" t="s">
        <v>132</v>
      </c>
      <c r="AC1393" s="1" t="s">
        <v>132</v>
      </c>
      <c r="AD1393" s="1" t="s">
        <v>132</v>
      </c>
      <c r="AE1393" s="1" t="s">
        <v>132</v>
      </c>
      <c r="AF1393" s="1" t="s">
        <v>132</v>
      </c>
      <c r="AG1393" s="1" t="s">
        <v>132</v>
      </c>
      <c r="AH1393" s="1" t="s">
        <v>132</v>
      </c>
      <c r="AI1393" s="1" t="s">
        <v>132</v>
      </c>
      <c r="AJ1393" s="1" t="s">
        <v>132</v>
      </c>
      <c r="AK1393" s="1" t="s">
        <v>132</v>
      </c>
      <c r="AL1393" s="1" t="s">
        <v>132</v>
      </c>
      <c r="AM1393" s="1" t="s">
        <v>132</v>
      </c>
      <c r="AN1393" s="1" t="s">
        <v>132</v>
      </c>
    </row>
    <row r="1394" ht="15.75" customHeight="1">
      <c r="A1394" s="1" t="s">
        <v>38</v>
      </c>
      <c r="B1394" s="1" t="s">
        <v>27452</v>
      </c>
      <c r="C1394" s="1" t="s">
        <v>27453</v>
      </c>
      <c r="D1394" s="8" t="s">
        <v>27454</v>
      </c>
      <c r="E1394" s="1" t="s">
        <v>27455</v>
      </c>
      <c r="F1394" s="1" t="s">
        <v>27456</v>
      </c>
      <c r="G1394" s="1" t="s">
        <v>132</v>
      </c>
      <c r="H1394" s="1" t="s">
        <v>132</v>
      </c>
      <c r="I1394" s="1" t="s">
        <v>27457</v>
      </c>
      <c r="J1394" s="1" t="s">
        <v>132</v>
      </c>
      <c r="K1394" s="1" t="s">
        <v>27458</v>
      </c>
      <c r="L1394" s="1" t="s">
        <v>132</v>
      </c>
      <c r="M1394" s="1" t="s">
        <v>27459</v>
      </c>
      <c r="N1394" s="1" t="s">
        <v>27460</v>
      </c>
      <c r="O1394" s="1" t="s">
        <v>132</v>
      </c>
      <c r="P1394" s="1" t="s">
        <v>27461</v>
      </c>
      <c r="Q1394" s="1" t="s">
        <v>132</v>
      </c>
      <c r="R1394" s="1" t="s">
        <v>132</v>
      </c>
      <c r="S1394" s="1" t="s">
        <v>27462</v>
      </c>
      <c r="T1394" s="1" t="s">
        <v>132</v>
      </c>
      <c r="U1394" s="1" t="s">
        <v>27463</v>
      </c>
      <c r="V1394" s="1" t="s">
        <v>132</v>
      </c>
      <c r="W1394" s="1" t="s">
        <v>132</v>
      </c>
      <c r="X1394" s="1" t="s">
        <v>27464</v>
      </c>
      <c r="Y1394" s="1" t="s">
        <v>132</v>
      </c>
      <c r="Z1394" s="1" t="s">
        <v>27465</v>
      </c>
      <c r="AA1394" s="1" t="s">
        <v>132</v>
      </c>
      <c r="AB1394" s="1" t="s">
        <v>132</v>
      </c>
      <c r="AC1394" s="1" t="s">
        <v>27466</v>
      </c>
      <c r="AD1394" s="1" t="s">
        <v>132</v>
      </c>
      <c r="AE1394" s="1" t="s">
        <v>132</v>
      </c>
      <c r="AF1394" s="1" t="s">
        <v>27467</v>
      </c>
      <c r="AG1394" s="1" t="s">
        <v>132</v>
      </c>
      <c r="AH1394" s="1" t="s">
        <v>132</v>
      </c>
      <c r="AI1394" s="1" t="s">
        <v>132</v>
      </c>
      <c r="AJ1394" s="1" t="s">
        <v>27468</v>
      </c>
      <c r="AK1394" s="1" t="s">
        <v>132</v>
      </c>
      <c r="AL1394" s="1" t="s">
        <v>132</v>
      </c>
      <c r="AM1394" s="1" t="s">
        <v>132</v>
      </c>
      <c r="AN1394" s="1" t="s">
        <v>132</v>
      </c>
    </row>
    <row r="1395" ht="15.75" customHeight="1">
      <c r="A1395" s="1" t="s">
        <v>127</v>
      </c>
      <c r="B1395" s="1" t="s">
        <v>27469</v>
      </c>
      <c r="C1395" s="1" t="s">
        <v>27470</v>
      </c>
      <c r="D1395" s="8" t="s">
        <v>27471</v>
      </c>
      <c r="E1395" s="1" t="s">
        <v>27472</v>
      </c>
      <c r="F1395" s="1" t="s">
        <v>132</v>
      </c>
      <c r="G1395" s="1" t="s">
        <v>27473</v>
      </c>
      <c r="H1395" s="1" t="s">
        <v>27474</v>
      </c>
      <c r="I1395" s="1" t="s">
        <v>27475</v>
      </c>
      <c r="J1395" s="1" t="s">
        <v>27476</v>
      </c>
      <c r="K1395" s="1" t="s">
        <v>27477</v>
      </c>
      <c r="L1395" s="1" t="s">
        <v>27478</v>
      </c>
      <c r="M1395" s="1" t="s">
        <v>27479</v>
      </c>
      <c r="N1395" s="1" t="s">
        <v>132</v>
      </c>
      <c r="O1395" s="1" t="s">
        <v>27480</v>
      </c>
      <c r="P1395" s="1" t="s">
        <v>27481</v>
      </c>
      <c r="Q1395" s="1" t="s">
        <v>132</v>
      </c>
      <c r="R1395" s="1" t="s">
        <v>27482</v>
      </c>
      <c r="S1395" s="1" t="s">
        <v>27483</v>
      </c>
      <c r="T1395" s="8" t="s">
        <v>27484</v>
      </c>
      <c r="U1395" s="1" t="s">
        <v>27470</v>
      </c>
      <c r="V1395" s="1" t="s">
        <v>27485</v>
      </c>
      <c r="W1395" s="1" t="s">
        <v>27482</v>
      </c>
      <c r="X1395" s="1" t="s">
        <v>27486</v>
      </c>
      <c r="Y1395" s="1" t="s">
        <v>27474</v>
      </c>
      <c r="Z1395" s="1" t="s">
        <v>17843</v>
      </c>
      <c r="AA1395" s="1" t="s">
        <v>27487</v>
      </c>
      <c r="AB1395" s="1" t="s">
        <v>27488</v>
      </c>
      <c r="AC1395" s="1" t="s">
        <v>27489</v>
      </c>
      <c r="AD1395" s="1" t="s">
        <v>27490</v>
      </c>
      <c r="AE1395" s="1" t="s">
        <v>27491</v>
      </c>
      <c r="AF1395" s="1" t="s">
        <v>27491</v>
      </c>
      <c r="AG1395" s="1" t="s">
        <v>27492</v>
      </c>
      <c r="AH1395" s="1" t="s">
        <v>27493</v>
      </c>
      <c r="AI1395" s="1" t="s">
        <v>27494</v>
      </c>
      <c r="AJ1395" s="1" t="s">
        <v>132</v>
      </c>
      <c r="AK1395" s="1" t="s">
        <v>27495</v>
      </c>
      <c r="AL1395" s="1" t="s">
        <v>27496</v>
      </c>
      <c r="AM1395" s="1" t="s">
        <v>132</v>
      </c>
      <c r="AN1395" s="1" t="s">
        <v>132</v>
      </c>
    </row>
    <row r="1396" ht="15.75" customHeight="1">
      <c r="A1396" s="1" t="s">
        <v>127</v>
      </c>
      <c r="B1396" s="1" t="s">
        <v>27497</v>
      </c>
      <c r="C1396" s="1" t="s">
        <v>27498</v>
      </c>
      <c r="D1396" s="8" t="s">
        <v>27499</v>
      </c>
      <c r="E1396" s="1" t="s">
        <v>27500</v>
      </c>
      <c r="F1396" s="1" t="s">
        <v>132</v>
      </c>
      <c r="G1396" s="1" t="s">
        <v>27501</v>
      </c>
      <c r="H1396" s="1" t="s">
        <v>27502</v>
      </c>
      <c r="I1396" s="1" t="s">
        <v>27503</v>
      </c>
      <c r="J1396" s="1" t="s">
        <v>27504</v>
      </c>
      <c r="K1396" s="1" t="s">
        <v>27505</v>
      </c>
      <c r="L1396" s="1" t="s">
        <v>27506</v>
      </c>
      <c r="M1396" s="1" t="s">
        <v>27507</v>
      </c>
      <c r="N1396" s="1" t="s">
        <v>132</v>
      </c>
      <c r="O1396" s="1" t="s">
        <v>27508</v>
      </c>
      <c r="P1396" s="1" t="s">
        <v>27509</v>
      </c>
      <c r="Q1396" s="1" t="s">
        <v>132</v>
      </c>
      <c r="R1396" s="1" t="s">
        <v>27510</v>
      </c>
      <c r="S1396" s="1" t="s">
        <v>27511</v>
      </c>
      <c r="T1396" s="8" t="s">
        <v>27512</v>
      </c>
      <c r="U1396" s="1" t="s">
        <v>27513</v>
      </c>
      <c r="V1396" s="1" t="s">
        <v>27514</v>
      </c>
      <c r="W1396" s="1" t="s">
        <v>27515</v>
      </c>
      <c r="X1396" s="1" t="s">
        <v>27516</v>
      </c>
      <c r="Y1396" s="1" t="s">
        <v>27517</v>
      </c>
      <c r="Z1396" s="1" t="s">
        <v>27518</v>
      </c>
      <c r="AA1396" s="1" t="s">
        <v>27519</v>
      </c>
      <c r="AB1396" s="1" t="s">
        <v>27520</v>
      </c>
      <c r="AC1396" s="1" t="s">
        <v>27521</v>
      </c>
      <c r="AD1396" s="1" t="s">
        <v>27522</v>
      </c>
      <c r="AE1396" s="1" t="s">
        <v>27523</v>
      </c>
      <c r="AF1396" s="1" t="s">
        <v>27524</v>
      </c>
      <c r="AG1396" s="1" t="s">
        <v>27525</v>
      </c>
      <c r="AH1396" s="1" t="s">
        <v>27526</v>
      </c>
      <c r="AI1396" s="1" t="s">
        <v>27527</v>
      </c>
      <c r="AJ1396" s="1" t="s">
        <v>132</v>
      </c>
      <c r="AK1396" s="1" t="s">
        <v>27528</v>
      </c>
      <c r="AL1396" s="1" t="s">
        <v>27529</v>
      </c>
      <c r="AM1396" s="1" t="s">
        <v>27530</v>
      </c>
      <c r="AN1396" s="1" t="s">
        <v>27530</v>
      </c>
    </row>
    <row r="1397" ht="15.75" customHeight="1">
      <c r="A1397" s="1" t="s">
        <v>127</v>
      </c>
      <c r="B1397" s="1" t="s">
        <v>27531</v>
      </c>
      <c r="C1397" s="1" t="s">
        <v>27532</v>
      </c>
      <c r="D1397" s="8" t="s">
        <v>27533</v>
      </c>
      <c r="E1397" s="1" t="s">
        <v>27534</v>
      </c>
      <c r="F1397" s="1" t="s">
        <v>132</v>
      </c>
      <c r="G1397" s="1" t="s">
        <v>27535</v>
      </c>
      <c r="H1397" s="1" t="s">
        <v>27536</v>
      </c>
      <c r="I1397" s="1" t="s">
        <v>27537</v>
      </c>
      <c r="J1397" s="1" t="s">
        <v>27538</v>
      </c>
      <c r="K1397" s="1" t="s">
        <v>27539</v>
      </c>
      <c r="L1397" s="1" t="s">
        <v>27540</v>
      </c>
      <c r="M1397" s="1" t="s">
        <v>27541</v>
      </c>
      <c r="N1397" s="1" t="s">
        <v>132</v>
      </c>
      <c r="O1397" s="1" t="s">
        <v>748</v>
      </c>
      <c r="P1397" s="1" t="s">
        <v>27542</v>
      </c>
      <c r="Q1397" s="1" t="s">
        <v>132</v>
      </c>
      <c r="R1397" s="1" t="s">
        <v>750</v>
      </c>
      <c r="S1397" s="1" t="s">
        <v>27543</v>
      </c>
      <c r="T1397" s="8" t="s">
        <v>27544</v>
      </c>
      <c r="U1397" s="1" t="s">
        <v>753</v>
      </c>
      <c r="V1397" s="1" t="s">
        <v>754</v>
      </c>
      <c r="W1397" s="1" t="s">
        <v>755</v>
      </c>
      <c r="X1397" s="1" t="s">
        <v>27545</v>
      </c>
      <c r="Y1397" s="1" t="s">
        <v>27546</v>
      </c>
      <c r="Z1397" s="1" t="s">
        <v>27547</v>
      </c>
      <c r="AA1397" s="1" t="s">
        <v>27539</v>
      </c>
      <c r="AB1397" s="1" t="s">
        <v>738</v>
      </c>
      <c r="AC1397" s="1" t="s">
        <v>27548</v>
      </c>
      <c r="AD1397" s="1" t="s">
        <v>27535</v>
      </c>
      <c r="AE1397" s="1" t="s">
        <v>27549</v>
      </c>
      <c r="AF1397" s="1" t="s">
        <v>27550</v>
      </c>
      <c r="AG1397" s="1" t="s">
        <v>742</v>
      </c>
      <c r="AH1397" s="1" t="s">
        <v>760</v>
      </c>
      <c r="AI1397" s="1" t="s">
        <v>27551</v>
      </c>
      <c r="AJ1397" s="1" t="s">
        <v>132</v>
      </c>
      <c r="AK1397" s="1" t="s">
        <v>27552</v>
      </c>
      <c r="AL1397" s="1" t="s">
        <v>763</v>
      </c>
      <c r="AM1397" s="1" t="s">
        <v>764</v>
      </c>
      <c r="AN1397" s="1" t="s">
        <v>764</v>
      </c>
    </row>
    <row r="1398" ht="15.75" customHeight="1">
      <c r="A1398" s="1" t="s">
        <v>38</v>
      </c>
      <c r="B1398" s="1" t="s">
        <v>27553</v>
      </c>
      <c r="C1398" s="1" t="s">
        <v>27554</v>
      </c>
      <c r="D1398" s="8" t="s">
        <v>27555</v>
      </c>
      <c r="E1398" s="1" t="s">
        <v>27556</v>
      </c>
      <c r="F1398" s="1" t="s">
        <v>27557</v>
      </c>
      <c r="G1398" s="1" t="s">
        <v>132</v>
      </c>
      <c r="H1398" s="1" t="s">
        <v>132</v>
      </c>
      <c r="I1398" s="1" t="s">
        <v>27558</v>
      </c>
      <c r="J1398" s="1" t="s">
        <v>132</v>
      </c>
      <c r="K1398" s="1" t="s">
        <v>27559</v>
      </c>
      <c r="L1398" s="1" t="s">
        <v>132</v>
      </c>
      <c r="M1398" s="1" t="s">
        <v>27560</v>
      </c>
      <c r="N1398" s="1" t="s">
        <v>27561</v>
      </c>
      <c r="O1398" s="1" t="s">
        <v>132</v>
      </c>
      <c r="P1398" s="1" t="s">
        <v>27562</v>
      </c>
      <c r="Q1398" s="1" t="s">
        <v>132</v>
      </c>
      <c r="R1398" s="1" t="s">
        <v>132</v>
      </c>
      <c r="S1398" s="1" t="s">
        <v>27563</v>
      </c>
      <c r="T1398" s="1" t="s">
        <v>132</v>
      </c>
      <c r="U1398" s="1" t="s">
        <v>27564</v>
      </c>
      <c r="V1398" s="1" t="s">
        <v>27565</v>
      </c>
      <c r="W1398" s="1" t="s">
        <v>132</v>
      </c>
      <c r="X1398" s="1" t="s">
        <v>27566</v>
      </c>
      <c r="Y1398" s="1" t="s">
        <v>132</v>
      </c>
      <c r="Z1398" s="1" t="s">
        <v>27567</v>
      </c>
      <c r="AA1398" s="1" t="s">
        <v>132</v>
      </c>
      <c r="AB1398" s="1" t="s">
        <v>132</v>
      </c>
      <c r="AC1398" s="1" t="s">
        <v>27568</v>
      </c>
      <c r="AD1398" s="1" t="s">
        <v>132</v>
      </c>
      <c r="AE1398" s="1" t="s">
        <v>132</v>
      </c>
      <c r="AF1398" s="1" t="s">
        <v>27569</v>
      </c>
      <c r="AG1398" s="1" t="s">
        <v>27570</v>
      </c>
      <c r="AH1398" s="1" t="s">
        <v>132</v>
      </c>
      <c r="AI1398" s="1" t="s">
        <v>132</v>
      </c>
      <c r="AJ1398" s="1" t="s">
        <v>27571</v>
      </c>
      <c r="AK1398" s="1" t="s">
        <v>132</v>
      </c>
      <c r="AL1398" s="1" t="s">
        <v>132</v>
      </c>
      <c r="AM1398" s="1" t="s">
        <v>27572</v>
      </c>
      <c r="AN1398" s="1" t="s">
        <v>27572</v>
      </c>
    </row>
    <row r="1399" ht="15.75" customHeight="1">
      <c r="A1399" s="1" t="s">
        <v>38</v>
      </c>
      <c r="B1399" s="1" t="s">
        <v>27573</v>
      </c>
      <c r="C1399" s="1" t="s">
        <v>27574</v>
      </c>
      <c r="D1399" s="1" t="s">
        <v>132</v>
      </c>
      <c r="E1399" s="1" t="s">
        <v>27575</v>
      </c>
      <c r="F1399" s="1" t="s">
        <v>132</v>
      </c>
      <c r="G1399" s="1" t="s">
        <v>132</v>
      </c>
      <c r="H1399" s="1" t="s">
        <v>132</v>
      </c>
      <c r="I1399" s="1" t="s">
        <v>27576</v>
      </c>
      <c r="J1399" s="1" t="s">
        <v>132</v>
      </c>
      <c r="K1399" s="1" t="s">
        <v>27577</v>
      </c>
      <c r="L1399" s="1" t="s">
        <v>132</v>
      </c>
      <c r="M1399" s="1" t="s">
        <v>27578</v>
      </c>
      <c r="N1399" s="1" t="s">
        <v>27579</v>
      </c>
      <c r="O1399" s="1" t="s">
        <v>132</v>
      </c>
      <c r="P1399" s="1" t="s">
        <v>27580</v>
      </c>
      <c r="Q1399" s="1" t="s">
        <v>132</v>
      </c>
      <c r="R1399" s="1" t="s">
        <v>132</v>
      </c>
      <c r="S1399" s="1" t="s">
        <v>27579</v>
      </c>
      <c r="T1399" s="1" t="s">
        <v>132</v>
      </c>
      <c r="U1399" s="1" t="s">
        <v>132</v>
      </c>
      <c r="V1399" s="1" t="s">
        <v>132</v>
      </c>
      <c r="W1399" s="1" t="s">
        <v>132</v>
      </c>
      <c r="X1399" s="1" t="s">
        <v>27581</v>
      </c>
      <c r="Y1399" s="1" t="s">
        <v>132</v>
      </c>
      <c r="Z1399" s="1" t="s">
        <v>27582</v>
      </c>
      <c r="AA1399" s="1" t="s">
        <v>132</v>
      </c>
      <c r="AB1399" s="1" t="s">
        <v>132</v>
      </c>
      <c r="AC1399" s="1" t="s">
        <v>132</v>
      </c>
      <c r="AD1399" s="1" t="s">
        <v>132</v>
      </c>
      <c r="AE1399" s="1" t="s">
        <v>132</v>
      </c>
      <c r="AF1399" s="1" t="s">
        <v>132</v>
      </c>
      <c r="AG1399" s="1" t="s">
        <v>132</v>
      </c>
      <c r="AH1399" s="1" t="s">
        <v>132</v>
      </c>
      <c r="AI1399" s="1" t="s">
        <v>132</v>
      </c>
      <c r="AJ1399" s="1" t="s">
        <v>132</v>
      </c>
      <c r="AK1399" s="1" t="s">
        <v>132</v>
      </c>
      <c r="AL1399" s="1" t="s">
        <v>132</v>
      </c>
      <c r="AM1399" s="1" t="s">
        <v>132</v>
      </c>
      <c r="AN1399" s="1" t="s">
        <v>132</v>
      </c>
    </row>
    <row r="1400" ht="15.75" customHeight="1">
      <c r="A1400" s="1" t="s">
        <v>38</v>
      </c>
      <c r="B1400" s="1" t="s">
        <v>27583</v>
      </c>
      <c r="C1400" s="1" t="s">
        <v>27584</v>
      </c>
      <c r="D1400" s="1" t="s">
        <v>132</v>
      </c>
      <c r="E1400" s="1" t="s">
        <v>27585</v>
      </c>
      <c r="F1400" s="1" t="s">
        <v>27586</v>
      </c>
      <c r="G1400" s="1" t="s">
        <v>132</v>
      </c>
      <c r="H1400" s="1" t="s">
        <v>132</v>
      </c>
      <c r="I1400" s="1" t="s">
        <v>27587</v>
      </c>
      <c r="J1400" s="1" t="s">
        <v>132</v>
      </c>
      <c r="K1400" s="1" t="s">
        <v>27588</v>
      </c>
      <c r="L1400" s="1" t="s">
        <v>132</v>
      </c>
      <c r="M1400" s="1" t="s">
        <v>27589</v>
      </c>
      <c r="N1400" s="1" t="s">
        <v>27590</v>
      </c>
      <c r="O1400" s="1" t="s">
        <v>132</v>
      </c>
      <c r="P1400" s="1" t="s">
        <v>27591</v>
      </c>
      <c r="Q1400" s="1" t="s">
        <v>132</v>
      </c>
      <c r="R1400" s="1" t="s">
        <v>132</v>
      </c>
      <c r="S1400" s="1" t="s">
        <v>27592</v>
      </c>
      <c r="T1400" s="1" t="s">
        <v>132</v>
      </c>
      <c r="U1400" s="1" t="s">
        <v>132</v>
      </c>
      <c r="V1400" s="1" t="s">
        <v>132</v>
      </c>
      <c r="W1400" s="1" t="s">
        <v>132</v>
      </c>
      <c r="X1400" s="1" t="s">
        <v>27593</v>
      </c>
      <c r="Y1400" s="1" t="s">
        <v>132</v>
      </c>
      <c r="Z1400" s="1" t="s">
        <v>27594</v>
      </c>
      <c r="AA1400" s="1" t="s">
        <v>132</v>
      </c>
      <c r="AB1400" s="1" t="s">
        <v>132</v>
      </c>
      <c r="AC1400" s="1" t="s">
        <v>132</v>
      </c>
      <c r="AD1400" s="1" t="s">
        <v>132</v>
      </c>
      <c r="AE1400" s="1" t="s">
        <v>132</v>
      </c>
      <c r="AF1400" s="1" t="s">
        <v>27595</v>
      </c>
      <c r="AG1400" s="1" t="s">
        <v>132</v>
      </c>
      <c r="AH1400" s="1" t="s">
        <v>132</v>
      </c>
      <c r="AI1400" s="1" t="s">
        <v>132</v>
      </c>
      <c r="AJ1400" s="1" t="s">
        <v>132</v>
      </c>
      <c r="AK1400" s="1" t="s">
        <v>132</v>
      </c>
      <c r="AL1400" s="1" t="s">
        <v>132</v>
      </c>
      <c r="AM1400" s="1" t="s">
        <v>132</v>
      </c>
      <c r="AN1400" s="1" t="s">
        <v>132</v>
      </c>
    </row>
    <row r="1401" ht="15.75" customHeight="1">
      <c r="A1401" s="1" t="s">
        <v>38</v>
      </c>
      <c r="B1401" s="1" t="s">
        <v>27596</v>
      </c>
      <c r="C1401" s="1" t="s">
        <v>27597</v>
      </c>
      <c r="D1401" s="8" t="s">
        <v>27598</v>
      </c>
      <c r="E1401" s="1" t="s">
        <v>27599</v>
      </c>
      <c r="F1401" s="1" t="s">
        <v>27600</v>
      </c>
      <c r="G1401" s="1" t="s">
        <v>132</v>
      </c>
      <c r="H1401" s="1" t="s">
        <v>132</v>
      </c>
      <c r="I1401" s="1" t="s">
        <v>27601</v>
      </c>
      <c r="J1401" s="1" t="s">
        <v>132</v>
      </c>
      <c r="K1401" s="1" t="s">
        <v>27602</v>
      </c>
      <c r="L1401" s="1" t="s">
        <v>132</v>
      </c>
      <c r="M1401" s="1" t="s">
        <v>27603</v>
      </c>
      <c r="N1401" s="1" t="s">
        <v>27604</v>
      </c>
      <c r="O1401" s="1" t="s">
        <v>132</v>
      </c>
      <c r="P1401" s="1" t="s">
        <v>27605</v>
      </c>
      <c r="Q1401" s="1" t="s">
        <v>132</v>
      </c>
      <c r="R1401" s="1" t="s">
        <v>132</v>
      </c>
      <c r="S1401" s="1" t="s">
        <v>27606</v>
      </c>
      <c r="T1401" s="1" t="s">
        <v>132</v>
      </c>
      <c r="U1401" s="1" t="s">
        <v>27607</v>
      </c>
      <c r="V1401" s="1" t="s">
        <v>132</v>
      </c>
      <c r="W1401" s="1" t="s">
        <v>132</v>
      </c>
      <c r="X1401" s="1" t="s">
        <v>27608</v>
      </c>
      <c r="Y1401" s="1" t="s">
        <v>132</v>
      </c>
      <c r="Z1401" s="1" t="s">
        <v>27609</v>
      </c>
      <c r="AA1401" s="1" t="s">
        <v>27610</v>
      </c>
      <c r="AB1401" s="1" t="s">
        <v>132</v>
      </c>
      <c r="AC1401" s="1" t="s">
        <v>2536</v>
      </c>
      <c r="AD1401" s="1" t="s">
        <v>132</v>
      </c>
      <c r="AE1401" s="1" t="s">
        <v>132</v>
      </c>
      <c r="AF1401" s="1" t="s">
        <v>27611</v>
      </c>
      <c r="AG1401" s="1" t="s">
        <v>132</v>
      </c>
      <c r="AH1401" s="1" t="s">
        <v>132</v>
      </c>
      <c r="AI1401" s="1" t="s">
        <v>132</v>
      </c>
      <c r="AJ1401" s="1" t="s">
        <v>132</v>
      </c>
      <c r="AK1401" s="1" t="s">
        <v>132</v>
      </c>
      <c r="AL1401" s="1" t="s">
        <v>132</v>
      </c>
      <c r="AM1401" s="1" t="s">
        <v>132</v>
      </c>
      <c r="AN1401" s="1" t="s">
        <v>132</v>
      </c>
    </row>
    <row r="1402" ht="15.75" customHeight="1">
      <c r="A1402" s="1" t="s">
        <v>38</v>
      </c>
      <c r="B1402" s="1" t="s">
        <v>27612</v>
      </c>
      <c r="C1402" s="1" t="s">
        <v>27613</v>
      </c>
      <c r="D1402" s="1" t="s">
        <v>132</v>
      </c>
      <c r="E1402" s="1" t="s">
        <v>132</v>
      </c>
      <c r="F1402" s="1" t="s">
        <v>132</v>
      </c>
      <c r="G1402" s="1" t="s">
        <v>132</v>
      </c>
      <c r="H1402" s="1" t="s">
        <v>132</v>
      </c>
      <c r="I1402" s="1" t="s">
        <v>1643</v>
      </c>
      <c r="J1402" s="1" t="s">
        <v>132</v>
      </c>
      <c r="K1402" s="1" t="s">
        <v>27614</v>
      </c>
      <c r="L1402" s="1" t="s">
        <v>132</v>
      </c>
      <c r="M1402" s="1" t="s">
        <v>27615</v>
      </c>
      <c r="N1402" s="1" t="s">
        <v>132</v>
      </c>
      <c r="O1402" s="1" t="s">
        <v>132</v>
      </c>
      <c r="P1402" s="1" t="s">
        <v>27616</v>
      </c>
      <c r="Q1402" s="1" t="s">
        <v>132</v>
      </c>
      <c r="R1402" s="1" t="s">
        <v>132</v>
      </c>
      <c r="S1402" s="1" t="s">
        <v>132</v>
      </c>
      <c r="T1402" s="1" t="s">
        <v>132</v>
      </c>
      <c r="U1402" s="1" t="s">
        <v>132</v>
      </c>
      <c r="V1402" s="1" t="s">
        <v>132</v>
      </c>
      <c r="W1402" s="1" t="s">
        <v>132</v>
      </c>
      <c r="X1402" s="1" t="s">
        <v>132</v>
      </c>
      <c r="Y1402" s="1" t="s">
        <v>132</v>
      </c>
      <c r="Z1402" s="1" t="s">
        <v>132</v>
      </c>
      <c r="AA1402" s="1" t="s">
        <v>132</v>
      </c>
      <c r="AB1402" s="1" t="s">
        <v>132</v>
      </c>
      <c r="AC1402" s="1" t="s">
        <v>27617</v>
      </c>
      <c r="AD1402" s="1" t="s">
        <v>132</v>
      </c>
      <c r="AE1402" s="1" t="s">
        <v>132</v>
      </c>
      <c r="AF1402" s="1" t="s">
        <v>27618</v>
      </c>
      <c r="AG1402" s="1" t="s">
        <v>132</v>
      </c>
      <c r="AH1402" s="1" t="s">
        <v>132</v>
      </c>
      <c r="AI1402" s="1" t="s">
        <v>132</v>
      </c>
      <c r="AJ1402" s="1" t="s">
        <v>132</v>
      </c>
      <c r="AK1402" s="1" t="s">
        <v>132</v>
      </c>
      <c r="AL1402" s="1" t="s">
        <v>132</v>
      </c>
      <c r="AM1402" s="1" t="s">
        <v>132</v>
      </c>
      <c r="AN1402" s="1" t="s">
        <v>132</v>
      </c>
    </row>
    <row r="1403" ht="15.75" customHeight="1">
      <c r="A1403" s="1" t="s">
        <v>127</v>
      </c>
      <c r="B1403" s="1" t="s">
        <v>27619</v>
      </c>
      <c r="C1403" s="1" t="s">
        <v>27620</v>
      </c>
      <c r="D1403" s="8" t="s">
        <v>27621</v>
      </c>
      <c r="E1403" s="1" t="s">
        <v>27622</v>
      </c>
      <c r="F1403" s="1" t="s">
        <v>132</v>
      </c>
      <c r="G1403" s="1" t="s">
        <v>27623</v>
      </c>
      <c r="H1403" s="1" t="s">
        <v>27624</v>
      </c>
      <c r="I1403" s="1" t="s">
        <v>10373</v>
      </c>
      <c r="J1403" s="1" t="s">
        <v>27625</v>
      </c>
      <c r="K1403" s="1" t="s">
        <v>27626</v>
      </c>
      <c r="L1403" s="1" t="s">
        <v>27627</v>
      </c>
      <c r="M1403" s="1" t="s">
        <v>27628</v>
      </c>
      <c r="N1403" s="1" t="s">
        <v>132</v>
      </c>
      <c r="O1403" s="1" t="s">
        <v>27629</v>
      </c>
      <c r="P1403" s="1" t="s">
        <v>27630</v>
      </c>
      <c r="Q1403" s="1" t="s">
        <v>132</v>
      </c>
      <c r="R1403" s="1" t="s">
        <v>27631</v>
      </c>
      <c r="S1403" s="1" t="s">
        <v>27632</v>
      </c>
      <c r="T1403" s="8" t="s">
        <v>10382</v>
      </c>
      <c r="U1403" s="1" t="s">
        <v>27633</v>
      </c>
      <c r="V1403" s="1" t="s">
        <v>27634</v>
      </c>
      <c r="W1403" s="1" t="s">
        <v>27631</v>
      </c>
      <c r="X1403" s="1" t="s">
        <v>27635</v>
      </c>
      <c r="Y1403" s="1" t="s">
        <v>27636</v>
      </c>
      <c r="Z1403" s="1" t="s">
        <v>1255</v>
      </c>
      <c r="AA1403" s="1" t="s">
        <v>27637</v>
      </c>
      <c r="AB1403" s="1" t="s">
        <v>27638</v>
      </c>
      <c r="AC1403" s="1" t="s">
        <v>1258</v>
      </c>
      <c r="AD1403" s="1" t="s">
        <v>27639</v>
      </c>
      <c r="AE1403" s="1" t="s">
        <v>27640</v>
      </c>
      <c r="AF1403" s="1" t="s">
        <v>27641</v>
      </c>
      <c r="AG1403" s="1" t="s">
        <v>27642</v>
      </c>
      <c r="AH1403" s="1" t="s">
        <v>27643</v>
      </c>
      <c r="AI1403" s="1" t="s">
        <v>27644</v>
      </c>
      <c r="AJ1403" s="1" t="s">
        <v>132</v>
      </c>
      <c r="AK1403" s="1" t="s">
        <v>27645</v>
      </c>
      <c r="AL1403" s="1" t="s">
        <v>10394</v>
      </c>
      <c r="AM1403" s="1" t="s">
        <v>132</v>
      </c>
      <c r="AN1403" s="1" t="s">
        <v>132</v>
      </c>
    </row>
    <row r="1404" ht="15.75" customHeight="1">
      <c r="A1404" s="1" t="s">
        <v>38</v>
      </c>
      <c r="B1404" s="1" t="s">
        <v>27646</v>
      </c>
      <c r="C1404" s="1" t="s">
        <v>27647</v>
      </c>
      <c r="D1404" s="1" t="s">
        <v>132</v>
      </c>
      <c r="E1404" s="1" t="s">
        <v>132</v>
      </c>
      <c r="F1404" s="1" t="s">
        <v>132</v>
      </c>
      <c r="G1404" s="1" t="s">
        <v>132</v>
      </c>
      <c r="H1404" s="1" t="s">
        <v>132</v>
      </c>
      <c r="I1404" s="1" t="s">
        <v>27647</v>
      </c>
      <c r="J1404" s="1" t="s">
        <v>132</v>
      </c>
      <c r="K1404" s="1" t="s">
        <v>27648</v>
      </c>
      <c r="L1404" s="1" t="s">
        <v>132</v>
      </c>
      <c r="M1404" s="1" t="s">
        <v>27649</v>
      </c>
      <c r="N1404" s="1" t="s">
        <v>132</v>
      </c>
      <c r="O1404" s="1" t="s">
        <v>132</v>
      </c>
      <c r="P1404" s="1" t="s">
        <v>27647</v>
      </c>
      <c r="Q1404" s="1" t="s">
        <v>132</v>
      </c>
      <c r="R1404" s="1" t="s">
        <v>132</v>
      </c>
      <c r="S1404" s="1" t="s">
        <v>132</v>
      </c>
      <c r="T1404" s="1" t="s">
        <v>132</v>
      </c>
      <c r="U1404" s="1" t="s">
        <v>132</v>
      </c>
      <c r="V1404" s="1" t="s">
        <v>132</v>
      </c>
      <c r="W1404" s="1" t="s">
        <v>132</v>
      </c>
      <c r="X1404" s="1" t="s">
        <v>132</v>
      </c>
      <c r="Y1404" s="1" t="s">
        <v>132</v>
      </c>
      <c r="Z1404" s="1" t="s">
        <v>132</v>
      </c>
      <c r="AA1404" s="1" t="s">
        <v>132</v>
      </c>
      <c r="AB1404" s="1" t="s">
        <v>132</v>
      </c>
      <c r="AC1404" s="1" t="s">
        <v>27650</v>
      </c>
      <c r="AD1404" s="1" t="s">
        <v>132</v>
      </c>
      <c r="AE1404" s="1" t="s">
        <v>132</v>
      </c>
      <c r="AF1404" s="1" t="s">
        <v>27651</v>
      </c>
      <c r="AG1404" s="1" t="s">
        <v>132</v>
      </c>
      <c r="AH1404" s="1" t="s">
        <v>132</v>
      </c>
      <c r="AI1404" s="1" t="s">
        <v>132</v>
      </c>
      <c r="AJ1404" s="1" t="s">
        <v>132</v>
      </c>
      <c r="AK1404" s="1" t="s">
        <v>132</v>
      </c>
      <c r="AL1404" s="1" t="s">
        <v>132</v>
      </c>
      <c r="AM1404" s="1" t="s">
        <v>132</v>
      </c>
      <c r="AN1404" s="1" t="s">
        <v>132</v>
      </c>
    </row>
    <row r="1405" ht="15.75" customHeight="1">
      <c r="A1405" s="1" t="s">
        <v>38</v>
      </c>
      <c r="B1405" s="1" t="s">
        <v>27652</v>
      </c>
      <c r="C1405" s="1" t="s">
        <v>27653</v>
      </c>
      <c r="D1405" s="1" t="s">
        <v>132</v>
      </c>
      <c r="E1405" s="1" t="s">
        <v>132</v>
      </c>
      <c r="F1405" s="1" t="s">
        <v>132</v>
      </c>
      <c r="G1405" s="1" t="s">
        <v>132</v>
      </c>
      <c r="H1405" s="1" t="s">
        <v>132</v>
      </c>
      <c r="I1405" s="1" t="s">
        <v>27654</v>
      </c>
      <c r="J1405" s="1" t="s">
        <v>132</v>
      </c>
      <c r="K1405" s="1" t="s">
        <v>27655</v>
      </c>
      <c r="L1405" s="1" t="s">
        <v>132</v>
      </c>
      <c r="M1405" s="1" t="s">
        <v>27656</v>
      </c>
      <c r="N1405" s="1" t="s">
        <v>132</v>
      </c>
      <c r="O1405" s="1" t="s">
        <v>132</v>
      </c>
      <c r="P1405" s="1" t="s">
        <v>27657</v>
      </c>
      <c r="Q1405" s="1" t="s">
        <v>132</v>
      </c>
      <c r="R1405" s="1" t="s">
        <v>132</v>
      </c>
      <c r="S1405" s="1" t="s">
        <v>132</v>
      </c>
      <c r="T1405" s="1" t="s">
        <v>132</v>
      </c>
      <c r="U1405" s="1" t="s">
        <v>132</v>
      </c>
      <c r="V1405" s="1" t="s">
        <v>132</v>
      </c>
      <c r="W1405" s="1" t="s">
        <v>132</v>
      </c>
      <c r="X1405" s="1" t="s">
        <v>132</v>
      </c>
      <c r="Y1405" s="1" t="s">
        <v>132</v>
      </c>
      <c r="Z1405" s="1" t="s">
        <v>132</v>
      </c>
      <c r="AA1405" s="1" t="s">
        <v>132</v>
      </c>
      <c r="AB1405" s="1" t="s">
        <v>132</v>
      </c>
      <c r="AC1405" s="1" t="s">
        <v>27659</v>
      </c>
      <c r="AD1405" s="1" t="s">
        <v>132</v>
      </c>
      <c r="AE1405" s="1" t="s">
        <v>132</v>
      </c>
      <c r="AF1405" s="1" t="s">
        <v>27660</v>
      </c>
      <c r="AG1405" s="1" t="s">
        <v>132</v>
      </c>
      <c r="AH1405" s="1" t="s">
        <v>132</v>
      </c>
      <c r="AI1405" s="1" t="s">
        <v>132</v>
      </c>
      <c r="AJ1405" s="1" t="s">
        <v>132</v>
      </c>
      <c r="AK1405" s="1" t="s">
        <v>132</v>
      </c>
      <c r="AL1405" s="1" t="s">
        <v>132</v>
      </c>
      <c r="AM1405" s="1" t="s">
        <v>132</v>
      </c>
      <c r="AN1405" s="1" t="s">
        <v>132</v>
      </c>
    </row>
    <row r="1406" ht="15.75" customHeight="1">
      <c r="A1406" s="1" t="s">
        <v>127</v>
      </c>
      <c r="B1406" s="1" t="s">
        <v>27661</v>
      </c>
      <c r="C1406" s="1" t="s">
        <v>27662</v>
      </c>
      <c r="D1406" s="8" t="s">
        <v>27663</v>
      </c>
      <c r="E1406" s="1" t="s">
        <v>27664</v>
      </c>
      <c r="F1406" s="1" t="s">
        <v>132</v>
      </c>
      <c r="G1406" s="1" t="s">
        <v>27665</v>
      </c>
      <c r="H1406" s="1" t="s">
        <v>27666</v>
      </c>
      <c r="I1406" s="1" t="s">
        <v>27667</v>
      </c>
      <c r="J1406" s="1" t="s">
        <v>27668</v>
      </c>
      <c r="K1406" s="1" t="s">
        <v>27669</v>
      </c>
      <c r="L1406" s="1" t="s">
        <v>27670</v>
      </c>
      <c r="M1406" s="1" t="s">
        <v>27671</v>
      </c>
      <c r="N1406" s="1" t="s">
        <v>132</v>
      </c>
      <c r="O1406" s="1" t="s">
        <v>27672</v>
      </c>
      <c r="P1406" s="1" t="s">
        <v>27673</v>
      </c>
      <c r="Q1406" s="1" t="s">
        <v>132</v>
      </c>
      <c r="R1406" s="1" t="s">
        <v>27674</v>
      </c>
      <c r="S1406" s="1" t="s">
        <v>27675</v>
      </c>
      <c r="T1406" s="8" t="s">
        <v>27676</v>
      </c>
      <c r="U1406" s="1" t="s">
        <v>27677</v>
      </c>
      <c r="V1406" s="1" t="s">
        <v>27678</v>
      </c>
      <c r="W1406" s="1" t="s">
        <v>27674</v>
      </c>
      <c r="X1406" s="1" t="s">
        <v>27679</v>
      </c>
      <c r="Y1406" s="1" t="s">
        <v>27680</v>
      </c>
      <c r="Z1406" s="1" t="s">
        <v>27681</v>
      </c>
      <c r="AA1406" s="1" t="s">
        <v>27682</v>
      </c>
      <c r="AB1406" s="1" t="s">
        <v>27683</v>
      </c>
      <c r="AC1406" s="1" t="s">
        <v>27684</v>
      </c>
      <c r="AD1406" s="1" t="s">
        <v>27685</v>
      </c>
      <c r="AE1406" s="1" t="s">
        <v>27686</v>
      </c>
      <c r="AF1406" s="1" t="s">
        <v>27687</v>
      </c>
      <c r="AG1406" s="1" t="s">
        <v>27688</v>
      </c>
      <c r="AH1406" s="1" t="s">
        <v>27689</v>
      </c>
      <c r="AI1406" s="1" t="s">
        <v>27690</v>
      </c>
      <c r="AJ1406" s="1" t="s">
        <v>132</v>
      </c>
      <c r="AK1406" s="1" t="s">
        <v>27691</v>
      </c>
      <c r="AL1406" s="1" t="s">
        <v>27692</v>
      </c>
      <c r="AM1406" s="1" t="s">
        <v>132</v>
      </c>
      <c r="AN1406" s="1" t="s">
        <v>132</v>
      </c>
    </row>
    <row r="1407" ht="15.75" customHeight="1">
      <c r="A1407" s="1" t="s">
        <v>127</v>
      </c>
      <c r="B1407" s="1" t="s">
        <v>27693</v>
      </c>
      <c r="C1407" s="1" t="s">
        <v>27694</v>
      </c>
      <c r="D1407" s="8" t="s">
        <v>27695</v>
      </c>
      <c r="E1407" s="1" t="s">
        <v>27696</v>
      </c>
      <c r="F1407" s="1" t="s">
        <v>132</v>
      </c>
      <c r="G1407" s="1" t="s">
        <v>27697</v>
      </c>
      <c r="H1407" s="1" t="s">
        <v>27698</v>
      </c>
      <c r="I1407" s="1" t="s">
        <v>27699</v>
      </c>
      <c r="J1407" s="1" t="s">
        <v>27700</v>
      </c>
      <c r="K1407" s="1" t="s">
        <v>27701</v>
      </c>
      <c r="L1407" s="1" t="s">
        <v>27702</v>
      </c>
      <c r="M1407" s="1" t="s">
        <v>27703</v>
      </c>
      <c r="N1407" s="1" t="s">
        <v>132</v>
      </c>
      <c r="O1407" s="1" t="s">
        <v>27704</v>
      </c>
      <c r="P1407" s="1" t="s">
        <v>27705</v>
      </c>
      <c r="Q1407" s="1" t="s">
        <v>132</v>
      </c>
      <c r="R1407" s="1" t="s">
        <v>27706</v>
      </c>
      <c r="S1407" s="1" t="s">
        <v>27707</v>
      </c>
      <c r="T1407" s="8" t="s">
        <v>27708</v>
      </c>
      <c r="U1407" s="1" t="s">
        <v>27709</v>
      </c>
      <c r="V1407" s="1" t="s">
        <v>20354</v>
      </c>
      <c r="W1407" s="1" t="s">
        <v>27710</v>
      </c>
      <c r="X1407" s="1" t="s">
        <v>27711</v>
      </c>
      <c r="Y1407" s="1" t="s">
        <v>27712</v>
      </c>
      <c r="Z1407" s="1" t="s">
        <v>27713</v>
      </c>
      <c r="AA1407" s="1" t="s">
        <v>27714</v>
      </c>
      <c r="AB1407" s="1" t="s">
        <v>27715</v>
      </c>
      <c r="AC1407" s="1" t="s">
        <v>27716</v>
      </c>
      <c r="AD1407" s="1" t="s">
        <v>27717</v>
      </c>
      <c r="AE1407" s="1" t="s">
        <v>27718</v>
      </c>
      <c r="AF1407" s="1" t="s">
        <v>27719</v>
      </c>
      <c r="AG1407" s="1" t="s">
        <v>27720</v>
      </c>
      <c r="AH1407" s="1" t="s">
        <v>27721</v>
      </c>
      <c r="AI1407" s="1" t="s">
        <v>27722</v>
      </c>
      <c r="AJ1407" s="1" t="s">
        <v>132</v>
      </c>
      <c r="AK1407" s="1" t="s">
        <v>27723</v>
      </c>
      <c r="AL1407" s="1" t="s">
        <v>3984</v>
      </c>
      <c r="AM1407" s="1" t="s">
        <v>132</v>
      </c>
      <c r="AN1407" s="1" t="s">
        <v>132</v>
      </c>
    </row>
    <row r="1408" ht="15.75" customHeight="1">
      <c r="A1408" s="1" t="s">
        <v>127</v>
      </c>
      <c r="B1408" s="1" t="s">
        <v>27724</v>
      </c>
      <c r="C1408" s="1" t="s">
        <v>27725</v>
      </c>
      <c r="D1408" s="8" t="s">
        <v>27726</v>
      </c>
      <c r="E1408" s="1" t="s">
        <v>27727</v>
      </c>
      <c r="F1408" s="1" t="s">
        <v>132</v>
      </c>
      <c r="G1408" s="1" t="s">
        <v>27728</v>
      </c>
      <c r="H1408" s="1" t="s">
        <v>27729</v>
      </c>
      <c r="I1408" s="1" t="s">
        <v>27730</v>
      </c>
      <c r="J1408" s="1" t="s">
        <v>27731</v>
      </c>
      <c r="K1408" s="1" t="s">
        <v>27732</v>
      </c>
      <c r="L1408" s="1" t="s">
        <v>27733</v>
      </c>
      <c r="M1408" s="1" t="s">
        <v>27734</v>
      </c>
      <c r="N1408" s="1" t="s">
        <v>132</v>
      </c>
      <c r="O1408" s="1" t="s">
        <v>27735</v>
      </c>
      <c r="P1408" s="1" t="s">
        <v>27736</v>
      </c>
      <c r="Q1408" s="1" t="s">
        <v>132</v>
      </c>
      <c r="R1408" s="1" t="s">
        <v>27737</v>
      </c>
      <c r="S1408" s="1" t="s">
        <v>27738</v>
      </c>
      <c r="T1408" s="8" t="s">
        <v>27739</v>
      </c>
      <c r="U1408" s="1" t="s">
        <v>27740</v>
      </c>
      <c r="V1408" s="1" t="s">
        <v>27741</v>
      </c>
      <c r="W1408" s="1" t="s">
        <v>27742</v>
      </c>
      <c r="X1408" s="1" t="s">
        <v>27743</v>
      </c>
      <c r="Y1408" s="1" t="s">
        <v>27744</v>
      </c>
      <c r="Z1408" s="1" t="s">
        <v>27745</v>
      </c>
      <c r="AA1408" s="1" t="s">
        <v>27746</v>
      </c>
      <c r="AB1408" s="1" t="s">
        <v>27747</v>
      </c>
      <c r="AC1408" s="1" t="s">
        <v>27748</v>
      </c>
      <c r="AD1408" s="1" t="s">
        <v>27749</v>
      </c>
      <c r="AE1408" s="1" t="s">
        <v>27750</v>
      </c>
      <c r="AF1408" s="1" t="s">
        <v>27751</v>
      </c>
      <c r="AG1408" s="1" t="s">
        <v>27752</v>
      </c>
      <c r="AH1408" s="1" t="s">
        <v>27753</v>
      </c>
      <c r="AI1408" s="1" t="s">
        <v>27754</v>
      </c>
      <c r="AJ1408" s="1" t="s">
        <v>132</v>
      </c>
      <c r="AK1408" s="1" t="s">
        <v>27755</v>
      </c>
      <c r="AL1408" s="1" t="s">
        <v>27756</v>
      </c>
      <c r="AM1408" s="1" t="s">
        <v>27757</v>
      </c>
      <c r="AN1408" s="1" t="s">
        <v>27757</v>
      </c>
    </row>
    <row r="1409" ht="15.75" customHeight="1">
      <c r="A1409" s="1" t="s">
        <v>38</v>
      </c>
      <c r="B1409" s="1" t="s">
        <v>27758</v>
      </c>
      <c r="C1409" s="1" t="s">
        <v>27759</v>
      </c>
      <c r="D1409" s="1" t="s">
        <v>132</v>
      </c>
      <c r="E1409" s="1" t="s">
        <v>132</v>
      </c>
      <c r="F1409" s="1" t="s">
        <v>132</v>
      </c>
      <c r="G1409" s="1" t="s">
        <v>132</v>
      </c>
      <c r="H1409" s="1" t="s">
        <v>132</v>
      </c>
      <c r="I1409" s="1" t="s">
        <v>27760</v>
      </c>
      <c r="J1409" s="1" t="s">
        <v>132</v>
      </c>
      <c r="K1409" s="1" t="s">
        <v>27759</v>
      </c>
      <c r="L1409" s="1" t="s">
        <v>132</v>
      </c>
      <c r="M1409" s="1" t="s">
        <v>27761</v>
      </c>
      <c r="N1409" s="1" t="s">
        <v>132</v>
      </c>
      <c r="O1409" s="1" t="s">
        <v>132</v>
      </c>
      <c r="P1409" s="1" t="s">
        <v>27759</v>
      </c>
      <c r="Q1409" s="1" t="s">
        <v>132</v>
      </c>
      <c r="R1409" s="1" t="s">
        <v>132</v>
      </c>
      <c r="S1409" s="1" t="s">
        <v>132</v>
      </c>
      <c r="T1409" s="1" t="s">
        <v>132</v>
      </c>
      <c r="U1409" s="1" t="s">
        <v>132</v>
      </c>
      <c r="V1409" s="1" t="s">
        <v>132</v>
      </c>
      <c r="W1409" s="1" t="s">
        <v>132</v>
      </c>
      <c r="X1409" s="1" t="s">
        <v>132</v>
      </c>
      <c r="Y1409" s="1" t="s">
        <v>132</v>
      </c>
      <c r="Z1409" s="1" t="s">
        <v>132</v>
      </c>
      <c r="AA1409" s="1" t="s">
        <v>132</v>
      </c>
      <c r="AB1409" s="1" t="s">
        <v>132</v>
      </c>
      <c r="AC1409" s="1" t="s">
        <v>27762</v>
      </c>
      <c r="AD1409" s="1" t="s">
        <v>132</v>
      </c>
      <c r="AE1409" s="1" t="s">
        <v>132</v>
      </c>
      <c r="AF1409" s="1" t="s">
        <v>27763</v>
      </c>
      <c r="AG1409" s="1" t="s">
        <v>132</v>
      </c>
      <c r="AH1409" s="1" t="s">
        <v>132</v>
      </c>
      <c r="AI1409" s="1" t="s">
        <v>132</v>
      </c>
      <c r="AJ1409" s="1" t="s">
        <v>132</v>
      </c>
      <c r="AK1409" s="1" t="s">
        <v>132</v>
      </c>
      <c r="AL1409" s="1" t="s">
        <v>132</v>
      </c>
      <c r="AM1409" s="1" t="s">
        <v>132</v>
      </c>
      <c r="AN1409" s="1" t="s">
        <v>132</v>
      </c>
    </row>
    <row r="1410" ht="15.75" customHeight="1">
      <c r="A1410" s="1" t="s">
        <v>127</v>
      </c>
      <c r="B1410" s="1" t="s">
        <v>27764</v>
      </c>
      <c r="C1410" s="1" t="s">
        <v>27765</v>
      </c>
      <c r="D1410" s="8" t="s">
        <v>27766</v>
      </c>
      <c r="E1410" s="1" t="s">
        <v>27767</v>
      </c>
      <c r="F1410" s="1" t="s">
        <v>132</v>
      </c>
      <c r="G1410" s="1" t="s">
        <v>27768</v>
      </c>
      <c r="H1410" s="1" t="s">
        <v>27769</v>
      </c>
      <c r="I1410" s="1" t="s">
        <v>27770</v>
      </c>
      <c r="J1410" s="1" t="s">
        <v>27771</v>
      </c>
      <c r="K1410" s="1" t="s">
        <v>27772</v>
      </c>
      <c r="L1410" s="1" t="s">
        <v>27773</v>
      </c>
      <c r="M1410" s="1" t="s">
        <v>27774</v>
      </c>
      <c r="N1410" s="1" t="s">
        <v>132</v>
      </c>
      <c r="O1410" s="1" t="s">
        <v>27775</v>
      </c>
      <c r="P1410" s="1" t="s">
        <v>27776</v>
      </c>
      <c r="Q1410" s="1" t="s">
        <v>132</v>
      </c>
      <c r="R1410" s="1" t="s">
        <v>27777</v>
      </c>
      <c r="S1410" s="1" t="s">
        <v>27778</v>
      </c>
      <c r="T1410" s="8" t="s">
        <v>27779</v>
      </c>
      <c r="U1410" s="1" t="s">
        <v>2808</v>
      </c>
      <c r="V1410" s="1" t="s">
        <v>27780</v>
      </c>
      <c r="W1410" s="1" t="s">
        <v>27777</v>
      </c>
      <c r="X1410" s="1" t="s">
        <v>27781</v>
      </c>
      <c r="Y1410" s="1" t="s">
        <v>27782</v>
      </c>
      <c r="Z1410" s="1" t="s">
        <v>27783</v>
      </c>
      <c r="AA1410" s="1" t="s">
        <v>27784</v>
      </c>
      <c r="AB1410" s="1" t="s">
        <v>27785</v>
      </c>
      <c r="AC1410" s="1" t="s">
        <v>27786</v>
      </c>
      <c r="AD1410" s="1" t="s">
        <v>27787</v>
      </c>
      <c r="AE1410" s="1" t="s">
        <v>27788</v>
      </c>
      <c r="AF1410" s="1" t="s">
        <v>27789</v>
      </c>
      <c r="AG1410" s="1" t="s">
        <v>27790</v>
      </c>
      <c r="AH1410" s="1" t="s">
        <v>27791</v>
      </c>
      <c r="AI1410" s="1" t="s">
        <v>27792</v>
      </c>
      <c r="AJ1410" s="1" t="s">
        <v>132</v>
      </c>
      <c r="AK1410" s="1" t="s">
        <v>27793</v>
      </c>
      <c r="AL1410" s="1" t="s">
        <v>27794</v>
      </c>
      <c r="AM1410" s="1" t="s">
        <v>27795</v>
      </c>
      <c r="AN1410" s="1" t="s">
        <v>27795</v>
      </c>
    </row>
    <row r="1411" ht="15.75" customHeight="1">
      <c r="A1411" s="1" t="s">
        <v>127</v>
      </c>
      <c r="B1411" s="1" t="s">
        <v>27796</v>
      </c>
      <c r="C1411" s="1" t="s">
        <v>27797</v>
      </c>
      <c r="D1411" s="8" t="s">
        <v>27798</v>
      </c>
      <c r="E1411" s="1" t="s">
        <v>27799</v>
      </c>
      <c r="F1411" s="1" t="s">
        <v>132</v>
      </c>
      <c r="G1411" s="1" t="s">
        <v>27800</v>
      </c>
      <c r="H1411" s="1" t="s">
        <v>27801</v>
      </c>
      <c r="I1411" s="1" t="s">
        <v>27797</v>
      </c>
      <c r="J1411" s="1" t="s">
        <v>27802</v>
      </c>
      <c r="K1411" s="1" t="s">
        <v>27797</v>
      </c>
      <c r="L1411" s="1" t="s">
        <v>27803</v>
      </c>
      <c r="M1411" s="1" t="s">
        <v>27804</v>
      </c>
      <c r="N1411" s="1" t="s">
        <v>132</v>
      </c>
      <c r="O1411" s="1" t="s">
        <v>27805</v>
      </c>
      <c r="P1411" s="1" t="s">
        <v>27806</v>
      </c>
      <c r="Q1411" s="1" t="s">
        <v>132</v>
      </c>
      <c r="R1411" s="1" t="s">
        <v>27807</v>
      </c>
      <c r="S1411" s="1" t="s">
        <v>27797</v>
      </c>
      <c r="T1411" s="8" t="s">
        <v>27808</v>
      </c>
      <c r="U1411" s="1" t="s">
        <v>23809</v>
      </c>
      <c r="V1411" s="1" t="s">
        <v>27809</v>
      </c>
      <c r="W1411" s="1" t="s">
        <v>27810</v>
      </c>
      <c r="X1411" s="1" t="s">
        <v>27797</v>
      </c>
      <c r="Y1411" s="1" t="s">
        <v>27811</v>
      </c>
      <c r="Z1411" s="1" t="s">
        <v>27812</v>
      </c>
      <c r="AA1411" s="1" t="s">
        <v>27813</v>
      </c>
      <c r="AB1411" s="1" t="s">
        <v>27814</v>
      </c>
      <c r="AC1411" s="1" t="s">
        <v>23817</v>
      </c>
      <c r="AD1411" s="1" t="s">
        <v>27815</v>
      </c>
      <c r="AE1411" s="1" t="s">
        <v>27816</v>
      </c>
      <c r="AF1411" s="1" t="s">
        <v>27797</v>
      </c>
      <c r="AG1411" s="1" t="s">
        <v>27817</v>
      </c>
      <c r="AH1411" s="1" t="s">
        <v>27818</v>
      </c>
      <c r="AI1411" s="1" t="s">
        <v>27819</v>
      </c>
      <c r="AJ1411" s="1" t="s">
        <v>132</v>
      </c>
      <c r="AK1411" s="1" t="s">
        <v>27820</v>
      </c>
      <c r="AL1411" s="1" t="s">
        <v>23824</v>
      </c>
      <c r="AM1411" s="1" t="s">
        <v>23825</v>
      </c>
      <c r="AN1411" s="1" t="s">
        <v>23825</v>
      </c>
    </row>
    <row r="1412" ht="15.75" customHeight="1">
      <c r="A1412" s="1" t="s">
        <v>38</v>
      </c>
      <c r="B1412" s="1" t="s">
        <v>27821</v>
      </c>
      <c r="C1412" s="1" t="s">
        <v>27822</v>
      </c>
      <c r="D1412" s="1" t="s">
        <v>132</v>
      </c>
      <c r="E1412" s="1" t="s">
        <v>132</v>
      </c>
      <c r="F1412" s="1" t="s">
        <v>132</v>
      </c>
      <c r="G1412" s="1" t="s">
        <v>132</v>
      </c>
      <c r="H1412" s="1" t="s">
        <v>132</v>
      </c>
      <c r="I1412" s="1" t="s">
        <v>27823</v>
      </c>
      <c r="J1412" s="1" t="s">
        <v>132</v>
      </c>
      <c r="K1412" s="1" t="s">
        <v>27824</v>
      </c>
      <c r="L1412" s="1" t="s">
        <v>132</v>
      </c>
      <c r="M1412" s="1" t="s">
        <v>27825</v>
      </c>
      <c r="N1412" s="1" t="s">
        <v>132</v>
      </c>
      <c r="O1412" s="1" t="s">
        <v>132</v>
      </c>
      <c r="P1412" s="1" t="s">
        <v>27822</v>
      </c>
      <c r="Q1412" s="1" t="s">
        <v>132</v>
      </c>
      <c r="R1412" s="1" t="s">
        <v>132</v>
      </c>
      <c r="S1412" s="1" t="s">
        <v>132</v>
      </c>
      <c r="T1412" s="1" t="s">
        <v>132</v>
      </c>
      <c r="U1412" s="1" t="s">
        <v>132</v>
      </c>
      <c r="V1412" s="1" t="s">
        <v>132</v>
      </c>
      <c r="W1412" s="1" t="s">
        <v>132</v>
      </c>
      <c r="X1412" s="1" t="s">
        <v>132</v>
      </c>
      <c r="Y1412" s="1" t="s">
        <v>132</v>
      </c>
      <c r="Z1412" s="1" t="s">
        <v>132</v>
      </c>
      <c r="AA1412" s="1" t="s">
        <v>132</v>
      </c>
      <c r="AB1412" s="1" t="s">
        <v>132</v>
      </c>
      <c r="AC1412" s="1" t="s">
        <v>27826</v>
      </c>
      <c r="AD1412" s="1" t="s">
        <v>132</v>
      </c>
      <c r="AE1412" s="1" t="s">
        <v>132</v>
      </c>
      <c r="AF1412" s="1" t="s">
        <v>27827</v>
      </c>
      <c r="AG1412" s="1" t="s">
        <v>132</v>
      </c>
      <c r="AH1412" s="1" t="s">
        <v>132</v>
      </c>
      <c r="AI1412" s="1" t="s">
        <v>132</v>
      </c>
      <c r="AJ1412" s="1" t="s">
        <v>132</v>
      </c>
      <c r="AK1412" s="1" t="s">
        <v>132</v>
      </c>
      <c r="AL1412" s="1" t="s">
        <v>132</v>
      </c>
      <c r="AM1412" s="1" t="s">
        <v>132</v>
      </c>
      <c r="AN1412" s="1" t="s">
        <v>132</v>
      </c>
    </row>
    <row r="1413" ht="15.75" customHeight="1">
      <c r="A1413" s="1" t="s">
        <v>127</v>
      </c>
      <c r="B1413" s="1" t="s">
        <v>27828</v>
      </c>
      <c r="C1413" s="1" t="s">
        <v>27829</v>
      </c>
      <c r="D1413" s="8" t="s">
        <v>27830</v>
      </c>
      <c r="E1413" s="1" t="s">
        <v>27831</v>
      </c>
      <c r="F1413" s="1" t="s">
        <v>132</v>
      </c>
      <c r="G1413" s="1" t="s">
        <v>27832</v>
      </c>
      <c r="H1413" s="1" t="s">
        <v>27833</v>
      </c>
      <c r="I1413" s="1" t="s">
        <v>27834</v>
      </c>
      <c r="J1413" s="1" t="s">
        <v>27835</v>
      </c>
      <c r="K1413" s="1" t="s">
        <v>27836</v>
      </c>
      <c r="L1413" s="1" t="s">
        <v>27837</v>
      </c>
      <c r="M1413" s="1" t="s">
        <v>27838</v>
      </c>
      <c r="N1413" s="1" t="s">
        <v>132</v>
      </c>
      <c r="O1413" s="1" t="s">
        <v>27839</v>
      </c>
      <c r="P1413" s="1" t="s">
        <v>27840</v>
      </c>
      <c r="Q1413" s="1" t="s">
        <v>132</v>
      </c>
      <c r="R1413" s="1" t="s">
        <v>27841</v>
      </c>
      <c r="S1413" s="1" t="s">
        <v>2586</v>
      </c>
      <c r="T1413" s="8" t="s">
        <v>27842</v>
      </c>
      <c r="U1413" s="1" t="s">
        <v>27843</v>
      </c>
      <c r="V1413" s="1" t="s">
        <v>27844</v>
      </c>
      <c r="W1413" s="1" t="s">
        <v>27845</v>
      </c>
      <c r="X1413" s="1" t="s">
        <v>27846</v>
      </c>
      <c r="Y1413" s="1" t="s">
        <v>27847</v>
      </c>
      <c r="Z1413" s="1" t="s">
        <v>27848</v>
      </c>
      <c r="AA1413" s="1" t="s">
        <v>27849</v>
      </c>
      <c r="AB1413" s="1" t="s">
        <v>27850</v>
      </c>
      <c r="AC1413" s="1" t="s">
        <v>27851</v>
      </c>
      <c r="AD1413" s="1" t="s">
        <v>27852</v>
      </c>
      <c r="AE1413" s="1" t="s">
        <v>27853</v>
      </c>
      <c r="AF1413" s="1" t="s">
        <v>27854</v>
      </c>
      <c r="AG1413" s="1" t="s">
        <v>27855</v>
      </c>
      <c r="AH1413" s="1" t="s">
        <v>27856</v>
      </c>
      <c r="AI1413" s="1" t="s">
        <v>27857</v>
      </c>
      <c r="AJ1413" s="1" t="s">
        <v>132</v>
      </c>
      <c r="AK1413" s="1" t="s">
        <v>27858</v>
      </c>
      <c r="AL1413" s="1" t="s">
        <v>27859</v>
      </c>
      <c r="AM1413" s="1" t="s">
        <v>132</v>
      </c>
      <c r="AN1413" s="1" t="s">
        <v>132</v>
      </c>
    </row>
    <row r="1414" ht="15.75" customHeight="1">
      <c r="A1414" s="1" t="s">
        <v>127</v>
      </c>
      <c r="B1414" s="1" t="s">
        <v>27860</v>
      </c>
      <c r="C1414" s="1" t="s">
        <v>27861</v>
      </c>
      <c r="D1414" s="8" t="s">
        <v>27862</v>
      </c>
      <c r="E1414" s="1" t="s">
        <v>27863</v>
      </c>
      <c r="F1414" s="1" t="s">
        <v>132</v>
      </c>
      <c r="G1414" s="1" t="s">
        <v>27864</v>
      </c>
      <c r="H1414" s="1" t="s">
        <v>27865</v>
      </c>
      <c r="I1414" s="1" t="s">
        <v>27866</v>
      </c>
      <c r="J1414" s="1" t="s">
        <v>27861</v>
      </c>
      <c r="K1414" s="1" t="s">
        <v>27867</v>
      </c>
      <c r="L1414" s="1" t="s">
        <v>27868</v>
      </c>
      <c r="M1414" s="1" t="s">
        <v>27869</v>
      </c>
      <c r="N1414" s="1" t="s">
        <v>132</v>
      </c>
      <c r="O1414" s="1" t="s">
        <v>27870</v>
      </c>
      <c r="P1414" s="1" t="s">
        <v>27871</v>
      </c>
      <c r="Q1414" s="1" t="s">
        <v>132</v>
      </c>
      <c r="R1414" s="1" t="s">
        <v>27872</v>
      </c>
      <c r="S1414" s="1" t="s">
        <v>27873</v>
      </c>
      <c r="T1414" s="8" t="s">
        <v>27874</v>
      </c>
      <c r="U1414" s="1" t="s">
        <v>27875</v>
      </c>
      <c r="V1414" s="1" t="s">
        <v>27876</v>
      </c>
      <c r="W1414" s="1" t="s">
        <v>27872</v>
      </c>
      <c r="X1414" s="1" t="s">
        <v>27877</v>
      </c>
      <c r="Y1414" s="1" t="s">
        <v>27878</v>
      </c>
      <c r="Z1414" s="1" t="s">
        <v>27879</v>
      </c>
      <c r="AA1414" s="1" t="s">
        <v>27880</v>
      </c>
      <c r="AB1414" s="1" t="s">
        <v>27881</v>
      </c>
      <c r="AC1414" s="1" t="s">
        <v>27882</v>
      </c>
      <c r="AD1414" s="1" t="s">
        <v>27883</v>
      </c>
      <c r="AE1414" s="1" t="s">
        <v>27884</v>
      </c>
      <c r="AF1414" s="1" t="s">
        <v>27861</v>
      </c>
      <c r="AG1414" s="1" t="s">
        <v>27885</v>
      </c>
      <c r="AH1414" s="1" t="s">
        <v>27886</v>
      </c>
      <c r="AI1414" s="1" t="s">
        <v>27887</v>
      </c>
      <c r="AJ1414" s="1" t="s">
        <v>132</v>
      </c>
      <c r="AK1414" s="1" t="s">
        <v>27888</v>
      </c>
      <c r="AL1414" s="1" t="s">
        <v>27889</v>
      </c>
      <c r="AM1414" s="1" t="s">
        <v>27890</v>
      </c>
      <c r="AN1414" s="1" t="s">
        <v>27890</v>
      </c>
    </row>
    <row r="1415" ht="15.75" customHeight="1">
      <c r="A1415" s="1" t="s">
        <v>38</v>
      </c>
      <c r="B1415" s="1" t="s">
        <v>27891</v>
      </c>
      <c r="C1415" s="1" t="s">
        <v>27892</v>
      </c>
      <c r="D1415" s="8" t="s">
        <v>27893</v>
      </c>
      <c r="E1415" s="1" t="s">
        <v>27894</v>
      </c>
      <c r="F1415" s="1" t="s">
        <v>27895</v>
      </c>
      <c r="G1415" s="1" t="s">
        <v>132</v>
      </c>
      <c r="H1415" s="1" t="s">
        <v>132</v>
      </c>
      <c r="I1415" s="1" t="s">
        <v>27896</v>
      </c>
      <c r="J1415" s="1" t="s">
        <v>132</v>
      </c>
      <c r="K1415" s="1" t="s">
        <v>27897</v>
      </c>
      <c r="L1415" s="1" t="s">
        <v>132</v>
      </c>
      <c r="M1415" s="1" t="s">
        <v>27898</v>
      </c>
      <c r="N1415" s="1" t="s">
        <v>27897</v>
      </c>
      <c r="O1415" s="1" t="s">
        <v>132</v>
      </c>
      <c r="P1415" s="1" t="s">
        <v>27899</v>
      </c>
      <c r="Q1415" s="1" t="s">
        <v>27900</v>
      </c>
      <c r="R1415" s="1" t="s">
        <v>132</v>
      </c>
      <c r="S1415" s="1" t="s">
        <v>27901</v>
      </c>
      <c r="T1415" s="1" t="s">
        <v>132</v>
      </c>
      <c r="U1415" s="1" t="s">
        <v>27902</v>
      </c>
      <c r="V1415" s="1" t="s">
        <v>27903</v>
      </c>
      <c r="W1415" s="1" t="s">
        <v>132</v>
      </c>
      <c r="X1415" s="1" t="s">
        <v>27904</v>
      </c>
      <c r="Y1415" s="1" t="s">
        <v>132</v>
      </c>
      <c r="Z1415" s="1" t="s">
        <v>27905</v>
      </c>
      <c r="AA1415" s="1" t="s">
        <v>27897</v>
      </c>
      <c r="AB1415" s="1" t="s">
        <v>132</v>
      </c>
      <c r="AC1415" s="1" t="s">
        <v>27906</v>
      </c>
      <c r="AD1415" s="1" t="s">
        <v>27907</v>
      </c>
      <c r="AE1415" s="1" t="s">
        <v>132</v>
      </c>
      <c r="AF1415" s="1" t="s">
        <v>27908</v>
      </c>
      <c r="AG1415" s="1" t="s">
        <v>27909</v>
      </c>
      <c r="AH1415" s="1" t="s">
        <v>132</v>
      </c>
      <c r="AI1415" s="1" t="s">
        <v>132</v>
      </c>
      <c r="AJ1415" s="1" t="s">
        <v>27910</v>
      </c>
      <c r="AK1415" s="1" t="s">
        <v>27911</v>
      </c>
      <c r="AL1415" s="1" t="s">
        <v>132</v>
      </c>
      <c r="AM1415" s="1" t="s">
        <v>27912</v>
      </c>
      <c r="AN1415" s="1" t="s">
        <v>27912</v>
      </c>
    </row>
    <row r="1416" ht="15.75" customHeight="1">
      <c r="A1416" s="1" t="s">
        <v>38</v>
      </c>
      <c r="B1416" s="1" t="s">
        <v>27913</v>
      </c>
      <c r="C1416" s="1" t="s">
        <v>27914</v>
      </c>
      <c r="D1416" s="8" t="s">
        <v>27915</v>
      </c>
      <c r="E1416" s="1" t="s">
        <v>27916</v>
      </c>
      <c r="F1416" s="1" t="s">
        <v>27917</v>
      </c>
      <c r="G1416" s="1" t="s">
        <v>132</v>
      </c>
      <c r="H1416" s="1" t="s">
        <v>132</v>
      </c>
      <c r="I1416" s="1" t="s">
        <v>27918</v>
      </c>
      <c r="J1416" s="1" t="s">
        <v>132</v>
      </c>
      <c r="K1416" s="1" t="s">
        <v>27919</v>
      </c>
      <c r="L1416" s="1" t="s">
        <v>132</v>
      </c>
      <c r="M1416" s="1" t="s">
        <v>27920</v>
      </c>
      <c r="N1416" s="1" t="s">
        <v>27921</v>
      </c>
      <c r="O1416" s="1" t="s">
        <v>132</v>
      </c>
      <c r="P1416" s="1" t="s">
        <v>27922</v>
      </c>
      <c r="Q1416" s="1" t="s">
        <v>132</v>
      </c>
      <c r="R1416" s="1" t="s">
        <v>132</v>
      </c>
      <c r="S1416" s="1" t="s">
        <v>27923</v>
      </c>
      <c r="T1416" s="1" t="s">
        <v>132</v>
      </c>
      <c r="U1416" s="1" t="s">
        <v>27924</v>
      </c>
      <c r="V1416" s="1" t="s">
        <v>27925</v>
      </c>
      <c r="W1416" s="1" t="s">
        <v>132</v>
      </c>
      <c r="X1416" s="1" t="s">
        <v>27926</v>
      </c>
      <c r="Y1416" s="1" t="s">
        <v>132</v>
      </c>
      <c r="Z1416" s="1" t="s">
        <v>27927</v>
      </c>
      <c r="AA1416" s="1" t="s">
        <v>27919</v>
      </c>
      <c r="AB1416" s="1" t="s">
        <v>132</v>
      </c>
      <c r="AC1416" s="1" t="s">
        <v>27928</v>
      </c>
      <c r="AD1416" s="1" t="s">
        <v>27929</v>
      </c>
      <c r="AE1416" s="1" t="s">
        <v>132</v>
      </c>
      <c r="AF1416" s="1" t="s">
        <v>27930</v>
      </c>
      <c r="AG1416" s="1" t="s">
        <v>27931</v>
      </c>
      <c r="AH1416" s="1" t="s">
        <v>132</v>
      </c>
      <c r="AI1416" s="1" t="s">
        <v>132</v>
      </c>
      <c r="AJ1416" s="1" t="s">
        <v>27932</v>
      </c>
      <c r="AK1416" s="1" t="s">
        <v>27933</v>
      </c>
      <c r="AL1416" s="1" t="s">
        <v>132</v>
      </c>
      <c r="AM1416" s="1" t="s">
        <v>27934</v>
      </c>
      <c r="AN1416" s="1" t="s">
        <v>27934</v>
      </c>
    </row>
    <row r="1417" ht="15.75" customHeight="1">
      <c r="A1417" s="1" t="s">
        <v>127</v>
      </c>
      <c r="B1417" s="1" t="s">
        <v>27935</v>
      </c>
      <c r="C1417" s="1" t="s">
        <v>22975</v>
      </c>
      <c r="D1417" s="8" t="s">
        <v>22976</v>
      </c>
      <c r="E1417" s="1" t="s">
        <v>22977</v>
      </c>
      <c r="F1417" s="1" t="s">
        <v>132</v>
      </c>
      <c r="G1417" s="1" t="s">
        <v>22978</v>
      </c>
      <c r="H1417" s="1" t="s">
        <v>22979</v>
      </c>
      <c r="I1417" s="1" t="s">
        <v>22980</v>
      </c>
      <c r="J1417" s="1" t="s">
        <v>22981</v>
      </c>
      <c r="K1417" s="1" t="s">
        <v>27936</v>
      </c>
      <c r="L1417" s="1" t="s">
        <v>22983</v>
      </c>
      <c r="M1417" s="1" t="s">
        <v>22984</v>
      </c>
      <c r="N1417" s="1" t="s">
        <v>132</v>
      </c>
      <c r="O1417" s="1" t="s">
        <v>22985</v>
      </c>
      <c r="P1417" s="1" t="s">
        <v>22986</v>
      </c>
      <c r="Q1417" s="1" t="s">
        <v>132</v>
      </c>
      <c r="R1417" s="1" t="s">
        <v>27937</v>
      </c>
      <c r="S1417" s="1" t="s">
        <v>22988</v>
      </c>
      <c r="T1417" s="8" t="s">
        <v>27938</v>
      </c>
      <c r="U1417" s="1" t="s">
        <v>16414</v>
      </c>
      <c r="V1417" s="1" t="s">
        <v>22991</v>
      </c>
      <c r="W1417" s="1" t="s">
        <v>27939</v>
      </c>
      <c r="X1417" s="1" t="s">
        <v>22993</v>
      </c>
      <c r="Y1417" s="1" t="s">
        <v>22994</v>
      </c>
      <c r="Z1417" s="1" t="s">
        <v>22995</v>
      </c>
      <c r="AA1417" s="1" t="s">
        <v>22996</v>
      </c>
      <c r="AB1417" s="1" t="s">
        <v>22997</v>
      </c>
      <c r="AC1417" s="1" t="s">
        <v>22998</v>
      </c>
      <c r="AD1417" s="1" t="s">
        <v>22999</v>
      </c>
      <c r="AE1417" s="1" t="s">
        <v>23000</v>
      </c>
      <c r="AF1417" s="1" t="s">
        <v>23001</v>
      </c>
      <c r="AG1417" s="1" t="s">
        <v>23002</v>
      </c>
      <c r="AH1417" s="1" t="s">
        <v>23003</v>
      </c>
      <c r="AI1417" s="1" t="s">
        <v>27940</v>
      </c>
      <c r="AJ1417" s="1" t="s">
        <v>132</v>
      </c>
      <c r="AK1417" s="1" t="s">
        <v>23005</v>
      </c>
      <c r="AL1417" s="1" t="s">
        <v>23006</v>
      </c>
      <c r="AM1417" s="1" t="s">
        <v>23007</v>
      </c>
      <c r="AN1417" s="1" t="s">
        <v>23007</v>
      </c>
    </row>
    <row r="1418" ht="15.75" customHeight="1">
      <c r="A1418" s="1" t="s">
        <v>127</v>
      </c>
      <c r="B1418" s="1" t="s">
        <v>27941</v>
      </c>
      <c r="C1418" s="1" t="s">
        <v>19187</v>
      </c>
      <c r="D1418" s="8" t="s">
        <v>19188</v>
      </c>
      <c r="E1418" s="1" t="s">
        <v>19189</v>
      </c>
      <c r="F1418" s="1" t="s">
        <v>132</v>
      </c>
      <c r="G1418" s="1" t="s">
        <v>19190</v>
      </c>
      <c r="H1418" s="1" t="s">
        <v>4014</v>
      </c>
      <c r="I1418" s="1" t="s">
        <v>19191</v>
      </c>
      <c r="J1418" s="1" t="s">
        <v>19192</v>
      </c>
      <c r="K1418" s="1" t="s">
        <v>19193</v>
      </c>
      <c r="L1418" s="1" t="s">
        <v>19194</v>
      </c>
      <c r="M1418" s="1" t="s">
        <v>19187</v>
      </c>
      <c r="N1418" s="1" t="s">
        <v>132</v>
      </c>
      <c r="O1418" s="1" t="s">
        <v>4019</v>
      </c>
      <c r="P1418" s="1" t="s">
        <v>19196</v>
      </c>
      <c r="Q1418" s="1" t="s">
        <v>132</v>
      </c>
      <c r="R1418" s="1" t="s">
        <v>4014</v>
      </c>
      <c r="S1418" s="1" t="s">
        <v>19197</v>
      </c>
      <c r="T1418" s="8" t="s">
        <v>19198</v>
      </c>
      <c r="U1418" s="1" t="s">
        <v>4027</v>
      </c>
      <c r="V1418" s="1" t="s">
        <v>4022</v>
      </c>
      <c r="W1418" s="1" t="s">
        <v>4014</v>
      </c>
      <c r="X1418" s="1" t="s">
        <v>19187</v>
      </c>
      <c r="Y1418" s="1" t="s">
        <v>19199</v>
      </c>
      <c r="Z1418" s="1" t="s">
        <v>19200</v>
      </c>
      <c r="AA1418" s="1" t="s">
        <v>19193</v>
      </c>
      <c r="AB1418" s="1" t="s">
        <v>19197</v>
      </c>
      <c r="AC1418" s="1" t="s">
        <v>19201</v>
      </c>
      <c r="AD1418" s="1" t="s">
        <v>19190</v>
      </c>
      <c r="AE1418" s="1" t="s">
        <v>4017</v>
      </c>
      <c r="AF1418" s="1" t="s">
        <v>4017</v>
      </c>
      <c r="AG1418" s="1" t="s">
        <v>4011</v>
      </c>
      <c r="AH1418" s="1" t="s">
        <v>4024</v>
      </c>
      <c r="AI1418" s="1" t="s">
        <v>19202</v>
      </c>
      <c r="AJ1418" s="1" t="s">
        <v>132</v>
      </c>
      <c r="AK1418" s="1" t="s">
        <v>4026</v>
      </c>
      <c r="AL1418" s="1" t="s">
        <v>4027</v>
      </c>
      <c r="AM1418" s="1" t="s">
        <v>4028</v>
      </c>
      <c r="AN1418" s="1" t="s">
        <v>4028</v>
      </c>
    </row>
    <row r="1419" ht="15.75" customHeight="1">
      <c r="A1419" s="1" t="s">
        <v>43182</v>
      </c>
      <c r="B1419" s="1" t="s">
        <v>43290</v>
      </c>
      <c r="C1419" s="1" t="s">
        <v>43291</v>
      </c>
      <c r="D1419" s="1" t="s">
        <v>132</v>
      </c>
      <c r="E1419" s="1" t="s">
        <v>132</v>
      </c>
      <c r="F1419" s="1" t="s">
        <v>132</v>
      </c>
      <c r="G1419" s="1" t="s">
        <v>132</v>
      </c>
      <c r="H1419" s="1" t="s">
        <v>132</v>
      </c>
      <c r="I1419" s="1" t="s">
        <v>132</v>
      </c>
      <c r="J1419" s="1" t="s">
        <v>132</v>
      </c>
      <c r="K1419" s="1" t="s">
        <v>132</v>
      </c>
      <c r="L1419" s="1" t="s">
        <v>132</v>
      </c>
      <c r="M1419" s="1" t="s">
        <v>132</v>
      </c>
      <c r="N1419" s="1" t="s">
        <v>132</v>
      </c>
      <c r="O1419" s="1" t="s">
        <v>132</v>
      </c>
      <c r="P1419" s="1" t="s">
        <v>132</v>
      </c>
      <c r="Q1419" s="1" t="s">
        <v>132</v>
      </c>
      <c r="R1419" s="1" t="s">
        <v>132</v>
      </c>
      <c r="S1419" s="1" t="s">
        <v>132</v>
      </c>
      <c r="T1419" s="1" t="s">
        <v>132</v>
      </c>
      <c r="U1419" s="1" t="s">
        <v>132</v>
      </c>
      <c r="V1419" s="1" t="s">
        <v>132</v>
      </c>
      <c r="W1419" s="1" t="s">
        <v>132</v>
      </c>
      <c r="X1419" s="1" t="s">
        <v>132</v>
      </c>
      <c r="Y1419" s="1" t="s">
        <v>132</v>
      </c>
      <c r="Z1419" s="1" t="s">
        <v>132</v>
      </c>
      <c r="AA1419" s="1" t="s">
        <v>132</v>
      </c>
      <c r="AB1419" s="1" t="s">
        <v>132</v>
      </c>
      <c r="AC1419" s="1" t="s">
        <v>132</v>
      </c>
      <c r="AD1419" s="1" t="s">
        <v>132</v>
      </c>
      <c r="AE1419" s="1" t="s">
        <v>132</v>
      </c>
      <c r="AF1419" s="1" t="s">
        <v>132</v>
      </c>
      <c r="AG1419" s="1" t="s">
        <v>132</v>
      </c>
      <c r="AH1419" s="1" t="s">
        <v>132</v>
      </c>
      <c r="AI1419" s="1" t="s">
        <v>132</v>
      </c>
      <c r="AJ1419" s="1" t="s">
        <v>132</v>
      </c>
      <c r="AK1419" s="1" t="s">
        <v>132</v>
      </c>
      <c r="AL1419" s="1" t="s">
        <v>132</v>
      </c>
      <c r="AM1419" s="1" t="s">
        <v>132</v>
      </c>
      <c r="AN1419" s="1" t="s">
        <v>132</v>
      </c>
    </row>
    <row r="1420" ht="15.75" customHeight="1">
      <c r="A1420" s="1" t="s">
        <v>127</v>
      </c>
      <c r="B1420" s="1" t="s">
        <v>27942</v>
      </c>
      <c r="C1420" s="1" t="s">
        <v>27943</v>
      </c>
      <c r="D1420" s="8" t="s">
        <v>27944</v>
      </c>
      <c r="E1420" s="1" t="s">
        <v>27945</v>
      </c>
      <c r="F1420" s="1" t="s">
        <v>132</v>
      </c>
      <c r="G1420" s="1" t="s">
        <v>27946</v>
      </c>
      <c r="H1420" s="1" t="s">
        <v>27947</v>
      </c>
      <c r="I1420" s="1" t="s">
        <v>27948</v>
      </c>
      <c r="J1420" s="1" t="s">
        <v>27949</v>
      </c>
      <c r="K1420" s="1" t="s">
        <v>27950</v>
      </c>
      <c r="L1420" s="1" t="s">
        <v>27951</v>
      </c>
      <c r="M1420" s="1" t="s">
        <v>27952</v>
      </c>
      <c r="N1420" s="1" t="s">
        <v>132</v>
      </c>
      <c r="O1420" s="1" t="s">
        <v>27953</v>
      </c>
      <c r="P1420" s="1" t="s">
        <v>27954</v>
      </c>
      <c r="Q1420" s="1" t="s">
        <v>132</v>
      </c>
      <c r="R1420" s="1" t="s">
        <v>27955</v>
      </c>
      <c r="S1420" s="1" t="s">
        <v>27956</v>
      </c>
      <c r="T1420" s="8" t="s">
        <v>27957</v>
      </c>
      <c r="U1420" s="1" t="s">
        <v>27958</v>
      </c>
      <c r="V1420" s="1" t="s">
        <v>27959</v>
      </c>
      <c r="W1420" s="1" t="s">
        <v>27960</v>
      </c>
      <c r="X1420" s="1" t="s">
        <v>27961</v>
      </c>
      <c r="Y1420" s="1" t="s">
        <v>27962</v>
      </c>
      <c r="Z1420" s="1" t="s">
        <v>27963</v>
      </c>
      <c r="AA1420" s="1" t="s">
        <v>27964</v>
      </c>
      <c r="AB1420" s="1" t="s">
        <v>27965</v>
      </c>
      <c r="AC1420" s="1" t="s">
        <v>27966</v>
      </c>
      <c r="AD1420" s="1" t="s">
        <v>27967</v>
      </c>
      <c r="AE1420" s="1" t="s">
        <v>27968</v>
      </c>
      <c r="AF1420" s="1" t="s">
        <v>27969</v>
      </c>
      <c r="AG1420" s="1" t="s">
        <v>27970</v>
      </c>
      <c r="AH1420" s="1" t="s">
        <v>27971</v>
      </c>
      <c r="AI1420" s="1" t="s">
        <v>27972</v>
      </c>
      <c r="AJ1420" s="1" t="s">
        <v>132</v>
      </c>
      <c r="AK1420" s="1" t="s">
        <v>27973</v>
      </c>
      <c r="AL1420" s="1" t="s">
        <v>27974</v>
      </c>
      <c r="AM1420" s="1" t="s">
        <v>27975</v>
      </c>
      <c r="AN1420" s="1" t="s">
        <v>27975</v>
      </c>
    </row>
    <row r="1421" ht="15.75" customHeight="1">
      <c r="A1421" s="1" t="s">
        <v>127</v>
      </c>
      <c r="B1421" s="1" t="s">
        <v>27976</v>
      </c>
      <c r="C1421" s="1" t="s">
        <v>27977</v>
      </c>
      <c r="D1421" s="8" t="s">
        <v>27978</v>
      </c>
      <c r="E1421" s="1" t="s">
        <v>507</v>
      </c>
      <c r="F1421" s="1" t="s">
        <v>132</v>
      </c>
      <c r="G1421" s="1" t="s">
        <v>27979</v>
      </c>
      <c r="H1421" s="1" t="s">
        <v>27980</v>
      </c>
      <c r="I1421" s="1" t="s">
        <v>27981</v>
      </c>
      <c r="J1421" s="1" t="s">
        <v>27982</v>
      </c>
      <c r="K1421" s="1" t="s">
        <v>27983</v>
      </c>
      <c r="L1421" s="1" t="s">
        <v>513</v>
      </c>
      <c r="M1421" s="1" t="s">
        <v>27984</v>
      </c>
      <c r="N1421" s="1" t="s">
        <v>132</v>
      </c>
      <c r="O1421" s="1" t="s">
        <v>27985</v>
      </c>
      <c r="P1421" s="1" t="s">
        <v>27986</v>
      </c>
      <c r="Q1421" s="1" t="s">
        <v>132</v>
      </c>
      <c r="R1421" s="1" t="s">
        <v>27987</v>
      </c>
      <c r="S1421" s="1" t="s">
        <v>27988</v>
      </c>
      <c r="T1421" s="8" t="s">
        <v>27989</v>
      </c>
      <c r="U1421" s="1" t="s">
        <v>520</v>
      </c>
      <c r="V1421" s="1" t="s">
        <v>27990</v>
      </c>
      <c r="W1421" s="1" t="s">
        <v>27987</v>
      </c>
      <c r="X1421" s="1" t="s">
        <v>27977</v>
      </c>
      <c r="Y1421" s="1" t="s">
        <v>27991</v>
      </c>
      <c r="Z1421" s="1" t="s">
        <v>27992</v>
      </c>
      <c r="AA1421" s="1" t="s">
        <v>27993</v>
      </c>
      <c r="AB1421" s="1" t="s">
        <v>27994</v>
      </c>
      <c r="AC1421" s="1" t="s">
        <v>27995</v>
      </c>
      <c r="AD1421" s="1" t="s">
        <v>27996</v>
      </c>
      <c r="AE1421" s="1" t="s">
        <v>27997</v>
      </c>
      <c r="AF1421" s="1" t="s">
        <v>23548</v>
      </c>
      <c r="AG1421" s="1" t="s">
        <v>27998</v>
      </c>
      <c r="AH1421" s="1" t="s">
        <v>27999</v>
      </c>
      <c r="AI1421" s="1" t="s">
        <v>28000</v>
      </c>
      <c r="AJ1421" s="1" t="s">
        <v>132</v>
      </c>
      <c r="AK1421" s="1" t="s">
        <v>28001</v>
      </c>
      <c r="AL1421" s="1" t="s">
        <v>28002</v>
      </c>
      <c r="AM1421" s="1" t="s">
        <v>28003</v>
      </c>
      <c r="AN1421" s="1" t="s">
        <v>28003</v>
      </c>
    </row>
    <row r="1422" ht="15.75" customHeight="1">
      <c r="A1422" s="1" t="s">
        <v>38</v>
      </c>
      <c r="B1422" s="1" t="s">
        <v>28004</v>
      </c>
      <c r="C1422" s="1" t="s">
        <v>28005</v>
      </c>
      <c r="D1422" s="8" t="s">
        <v>28006</v>
      </c>
      <c r="E1422" s="1" t="s">
        <v>28007</v>
      </c>
      <c r="F1422" s="1" t="s">
        <v>28008</v>
      </c>
      <c r="G1422" s="1" t="s">
        <v>132</v>
      </c>
      <c r="H1422" s="1" t="s">
        <v>132</v>
      </c>
      <c r="I1422" s="1" t="s">
        <v>28009</v>
      </c>
      <c r="J1422" s="1" t="s">
        <v>132</v>
      </c>
      <c r="K1422" s="1" t="s">
        <v>28010</v>
      </c>
      <c r="L1422" s="1" t="s">
        <v>132</v>
      </c>
      <c r="M1422" s="1" t="s">
        <v>28011</v>
      </c>
      <c r="N1422" s="1" t="s">
        <v>28012</v>
      </c>
      <c r="O1422" s="1" t="s">
        <v>132</v>
      </c>
      <c r="P1422" s="1" t="s">
        <v>28013</v>
      </c>
      <c r="Q1422" s="1" t="s">
        <v>132</v>
      </c>
      <c r="R1422" s="1" t="s">
        <v>132</v>
      </c>
      <c r="S1422" s="1" t="s">
        <v>28005</v>
      </c>
      <c r="T1422" s="1" t="s">
        <v>132</v>
      </c>
      <c r="U1422" s="1" t="s">
        <v>28014</v>
      </c>
      <c r="V1422" s="1" t="s">
        <v>28015</v>
      </c>
      <c r="W1422" s="1" t="s">
        <v>132</v>
      </c>
      <c r="X1422" s="1" t="s">
        <v>28005</v>
      </c>
      <c r="Y1422" s="1" t="s">
        <v>132</v>
      </c>
      <c r="Z1422" s="1" t="s">
        <v>28016</v>
      </c>
      <c r="AA1422" s="1" t="s">
        <v>28017</v>
      </c>
      <c r="AB1422" s="1" t="s">
        <v>132</v>
      </c>
      <c r="AC1422" s="1" t="s">
        <v>28018</v>
      </c>
      <c r="AD1422" s="1" t="s">
        <v>132</v>
      </c>
      <c r="AE1422" s="1" t="s">
        <v>132</v>
      </c>
      <c r="AF1422" s="1" t="s">
        <v>28019</v>
      </c>
      <c r="AG1422" s="1" t="s">
        <v>28020</v>
      </c>
      <c r="AH1422" s="1" t="s">
        <v>132</v>
      </c>
      <c r="AI1422" s="1" t="s">
        <v>132</v>
      </c>
      <c r="AJ1422" s="1" t="s">
        <v>28021</v>
      </c>
      <c r="AK1422" s="1" t="s">
        <v>132</v>
      </c>
      <c r="AL1422" s="1" t="s">
        <v>132</v>
      </c>
      <c r="AM1422" s="1" t="s">
        <v>28022</v>
      </c>
      <c r="AN1422" s="1" t="s">
        <v>28022</v>
      </c>
    </row>
    <row r="1423" ht="15.75" customHeight="1">
      <c r="A1423" s="1" t="s">
        <v>38</v>
      </c>
      <c r="B1423" s="1" t="s">
        <v>28023</v>
      </c>
      <c r="C1423" s="1" t="s">
        <v>28024</v>
      </c>
      <c r="D1423" s="8" t="s">
        <v>28025</v>
      </c>
      <c r="E1423" s="1" t="s">
        <v>28026</v>
      </c>
      <c r="F1423" s="1" t="s">
        <v>28027</v>
      </c>
      <c r="G1423" s="1" t="s">
        <v>132</v>
      </c>
      <c r="H1423" s="1" t="s">
        <v>132</v>
      </c>
      <c r="I1423" s="1" t="s">
        <v>28028</v>
      </c>
      <c r="J1423" s="1" t="s">
        <v>132</v>
      </c>
      <c r="K1423" s="1" t="s">
        <v>28029</v>
      </c>
      <c r="L1423" s="1" t="s">
        <v>132</v>
      </c>
      <c r="M1423" s="1" t="s">
        <v>28030</v>
      </c>
      <c r="N1423" s="1" t="s">
        <v>28029</v>
      </c>
      <c r="O1423" s="1" t="s">
        <v>132</v>
      </c>
      <c r="P1423" s="1" t="s">
        <v>28031</v>
      </c>
      <c r="Q1423" s="1" t="s">
        <v>28032</v>
      </c>
      <c r="R1423" s="1" t="s">
        <v>132</v>
      </c>
      <c r="S1423" s="1" t="s">
        <v>28027</v>
      </c>
      <c r="T1423" s="1" t="s">
        <v>132</v>
      </c>
      <c r="U1423" s="1" t="s">
        <v>28033</v>
      </c>
      <c r="V1423" s="1" t="s">
        <v>28034</v>
      </c>
      <c r="W1423" s="1" t="s">
        <v>132</v>
      </c>
      <c r="X1423" s="1" t="s">
        <v>28035</v>
      </c>
      <c r="Y1423" s="1" t="s">
        <v>132</v>
      </c>
      <c r="Z1423" s="1" t="s">
        <v>28036</v>
      </c>
      <c r="AA1423" s="1" t="s">
        <v>28029</v>
      </c>
      <c r="AB1423" s="1" t="s">
        <v>132</v>
      </c>
      <c r="AC1423" s="1" t="s">
        <v>28026</v>
      </c>
      <c r="AD1423" s="1" t="s">
        <v>28037</v>
      </c>
      <c r="AE1423" s="1" t="s">
        <v>132</v>
      </c>
      <c r="AF1423" s="1" t="s">
        <v>28038</v>
      </c>
      <c r="AG1423" s="1" t="s">
        <v>28039</v>
      </c>
      <c r="AH1423" s="1" t="s">
        <v>132</v>
      </c>
      <c r="AI1423" s="1" t="s">
        <v>132</v>
      </c>
      <c r="AJ1423" s="1" t="s">
        <v>28040</v>
      </c>
      <c r="AK1423" s="1" t="s">
        <v>28041</v>
      </c>
      <c r="AL1423" s="1" t="s">
        <v>132</v>
      </c>
      <c r="AM1423" s="1" t="s">
        <v>28042</v>
      </c>
      <c r="AN1423" s="1" t="s">
        <v>28042</v>
      </c>
    </row>
    <row r="1424" ht="15.75" customHeight="1">
      <c r="A1424" s="1" t="s">
        <v>38</v>
      </c>
      <c r="B1424" s="1" t="s">
        <v>28043</v>
      </c>
      <c r="C1424" s="1" t="s">
        <v>28044</v>
      </c>
      <c r="D1424" s="8" t="s">
        <v>28045</v>
      </c>
      <c r="E1424" s="1" t="s">
        <v>28046</v>
      </c>
      <c r="F1424" s="1" t="s">
        <v>28047</v>
      </c>
      <c r="G1424" s="1" t="s">
        <v>132</v>
      </c>
      <c r="H1424" s="1" t="s">
        <v>132</v>
      </c>
      <c r="I1424" s="1" t="s">
        <v>28048</v>
      </c>
      <c r="J1424" s="1" t="s">
        <v>132</v>
      </c>
      <c r="K1424" s="1" t="s">
        <v>28049</v>
      </c>
      <c r="L1424" s="1" t="s">
        <v>132</v>
      </c>
      <c r="M1424" s="1" t="s">
        <v>28050</v>
      </c>
      <c r="N1424" s="1" t="s">
        <v>28051</v>
      </c>
      <c r="O1424" s="1" t="s">
        <v>132</v>
      </c>
      <c r="P1424" s="1" t="s">
        <v>28052</v>
      </c>
      <c r="Q1424" s="1" t="s">
        <v>132</v>
      </c>
      <c r="R1424" s="1" t="s">
        <v>132</v>
      </c>
      <c r="S1424" s="1" t="s">
        <v>28053</v>
      </c>
      <c r="T1424" s="1" t="s">
        <v>132</v>
      </c>
      <c r="U1424" s="1" t="s">
        <v>28054</v>
      </c>
      <c r="V1424" s="1" t="s">
        <v>28055</v>
      </c>
      <c r="W1424" s="1" t="s">
        <v>132</v>
      </c>
      <c r="X1424" s="1" t="s">
        <v>28056</v>
      </c>
      <c r="Y1424" s="1" t="s">
        <v>132</v>
      </c>
      <c r="Z1424" s="1" t="s">
        <v>28057</v>
      </c>
      <c r="AA1424" s="1" t="s">
        <v>28058</v>
      </c>
      <c r="AB1424" s="1" t="s">
        <v>132</v>
      </c>
      <c r="AC1424" s="1" t="s">
        <v>28059</v>
      </c>
      <c r="AD1424" s="1" t="s">
        <v>132</v>
      </c>
      <c r="AE1424" s="1" t="s">
        <v>132</v>
      </c>
      <c r="AF1424" s="1" t="s">
        <v>28060</v>
      </c>
      <c r="AG1424" s="1" t="s">
        <v>28061</v>
      </c>
      <c r="AH1424" s="1" t="s">
        <v>132</v>
      </c>
      <c r="AI1424" s="1" t="s">
        <v>132</v>
      </c>
      <c r="AJ1424" s="1" t="s">
        <v>28062</v>
      </c>
      <c r="AK1424" s="1" t="s">
        <v>132</v>
      </c>
      <c r="AL1424" s="1" t="s">
        <v>132</v>
      </c>
      <c r="AM1424" s="1" t="s">
        <v>28063</v>
      </c>
      <c r="AN1424" s="1" t="s">
        <v>28063</v>
      </c>
    </row>
    <row r="1425" ht="15.75" customHeight="1">
      <c r="A1425" s="1" t="s">
        <v>38</v>
      </c>
      <c r="B1425" s="1" t="s">
        <v>28064</v>
      </c>
      <c r="C1425" s="1" t="s">
        <v>28065</v>
      </c>
      <c r="D1425" s="1" t="s">
        <v>132</v>
      </c>
      <c r="E1425" s="1" t="s">
        <v>132</v>
      </c>
      <c r="F1425" s="1" t="s">
        <v>132</v>
      </c>
      <c r="G1425" s="1" t="s">
        <v>132</v>
      </c>
      <c r="H1425" s="1" t="s">
        <v>132</v>
      </c>
      <c r="I1425" s="1" t="s">
        <v>28066</v>
      </c>
      <c r="J1425" s="1" t="s">
        <v>132</v>
      </c>
      <c r="K1425" s="1" t="s">
        <v>28065</v>
      </c>
      <c r="L1425" s="1" t="s">
        <v>132</v>
      </c>
      <c r="M1425" s="1" t="s">
        <v>28067</v>
      </c>
      <c r="N1425" s="1" t="s">
        <v>132</v>
      </c>
      <c r="O1425" s="1" t="s">
        <v>132</v>
      </c>
      <c r="P1425" s="1" t="s">
        <v>28065</v>
      </c>
      <c r="Q1425" s="1" t="s">
        <v>132</v>
      </c>
      <c r="R1425" s="1" t="s">
        <v>132</v>
      </c>
      <c r="S1425" s="1" t="s">
        <v>132</v>
      </c>
      <c r="T1425" s="1" t="s">
        <v>132</v>
      </c>
      <c r="U1425" s="1" t="s">
        <v>132</v>
      </c>
      <c r="V1425" s="1" t="s">
        <v>132</v>
      </c>
      <c r="W1425" s="1" t="s">
        <v>132</v>
      </c>
      <c r="X1425" s="1" t="s">
        <v>132</v>
      </c>
      <c r="Y1425" s="1" t="s">
        <v>132</v>
      </c>
      <c r="Z1425" s="1" t="s">
        <v>132</v>
      </c>
      <c r="AA1425" s="1" t="s">
        <v>132</v>
      </c>
      <c r="AB1425" s="1" t="s">
        <v>132</v>
      </c>
      <c r="AC1425" s="1" t="s">
        <v>28068</v>
      </c>
      <c r="AD1425" s="1" t="s">
        <v>132</v>
      </c>
      <c r="AE1425" s="1" t="s">
        <v>132</v>
      </c>
      <c r="AF1425" s="1" t="s">
        <v>28069</v>
      </c>
      <c r="AG1425" s="1" t="s">
        <v>132</v>
      </c>
      <c r="AH1425" s="1" t="s">
        <v>132</v>
      </c>
      <c r="AI1425" s="1" t="s">
        <v>132</v>
      </c>
      <c r="AJ1425" s="1" t="s">
        <v>132</v>
      </c>
      <c r="AK1425" s="1" t="s">
        <v>132</v>
      </c>
      <c r="AL1425" s="1" t="s">
        <v>132</v>
      </c>
      <c r="AM1425" s="1" t="s">
        <v>132</v>
      </c>
      <c r="AN1425" s="1" t="s">
        <v>132</v>
      </c>
    </row>
    <row r="1426" ht="15.75" customHeight="1">
      <c r="A1426" s="1" t="s">
        <v>127</v>
      </c>
      <c r="B1426" s="1" t="s">
        <v>28070</v>
      </c>
      <c r="C1426" s="1" t="s">
        <v>28071</v>
      </c>
      <c r="D1426" s="8" t="s">
        <v>28072</v>
      </c>
      <c r="E1426" s="1" t="s">
        <v>28073</v>
      </c>
      <c r="F1426" s="1" t="s">
        <v>132</v>
      </c>
      <c r="G1426" s="1" t="s">
        <v>28074</v>
      </c>
      <c r="H1426" s="1" t="s">
        <v>28075</v>
      </c>
      <c r="I1426" s="1" t="s">
        <v>28076</v>
      </c>
      <c r="J1426" s="1" t="s">
        <v>28077</v>
      </c>
      <c r="K1426" s="1" t="s">
        <v>28078</v>
      </c>
      <c r="L1426" s="1" t="s">
        <v>28079</v>
      </c>
      <c r="M1426" s="1" t="s">
        <v>28080</v>
      </c>
      <c r="N1426" s="1" t="s">
        <v>132</v>
      </c>
      <c r="O1426" s="1" t="s">
        <v>28081</v>
      </c>
      <c r="P1426" s="1" t="s">
        <v>28082</v>
      </c>
      <c r="Q1426" s="1" t="s">
        <v>132</v>
      </c>
      <c r="R1426" s="1" t="s">
        <v>28083</v>
      </c>
      <c r="S1426" s="1" t="s">
        <v>28084</v>
      </c>
      <c r="T1426" s="8" t="s">
        <v>28085</v>
      </c>
      <c r="U1426" s="1" t="s">
        <v>28086</v>
      </c>
      <c r="V1426" s="1" t="s">
        <v>28087</v>
      </c>
      <c r="W1426" s="1" t="s">
        <v>28083</v>
      </c>
      <c r="X1426" s="1" t="s">
        <v>28088</v>
      </c>
      <c r="Y1426" s="1" t="s">
        <v>28089</v>
      </c>
      <c r="Z1426" s="1" t="s">
        <v>28090</v>
      </c>
      <c r="AA1426" s="1" t="s">
        <v>28091</v>
      </c>
      <c r="AB1426" s="1" t="s">
        <v>28092</v>
      </c>
      <c r="AC1426" s="1" t="s">
        <v>28093</v>
      </c>
      <c r="AD1426" s="1" t="s">
        <v>28094</v>
      </c>
      <c r="AE1426" s="1" t="s">
        <v>28095</v>
      </c>
      <c r="AF1426" s="1" t="s">
        <v>28096</v>
      </c>
      <c r="AG1426" s="1" t="s">
        <v>28097</v>
      </c>
      <c r="AH1426" s="1" t="s">
        <v>28098</v>
      </c>
      <c r="AI1426" s="1" t="s">
        <v>28099</v>
      </c>
      <c r="AJ1426" s="1" t="s">
        <v>132</v>
      </c>
      <c r="AK1426" s="1" t="s">
        <v>28100</v>
      </c>
      <c r="AL1426" s="1" t="s">
        <v>28101</v>
      </c>
      <c r="AM1426" s="1" t="s">
        <v>28102</v>
      </c>
      <c r="AN1426" s="1" t="s">
        <v>28102</v>
      </c>
    </row>
    <row r="1427" ht="15.75" customHeight="1">
      <c r="A1427" s="1" t="s">
        <v>38</v>
      </c>
      <c r="B1427" s="1" t="s">
        <v>28103</v>
      </c>
      <c r="C1427" s="1" t="s">
        <v>28104</v>
      </c>
      <c r="D1427" s="1" t="s">
        <v>132</v>
      </c>
      <c r="E1427" s="1" t="s">
        <v>132</v>
      </c>
      <c r="F1427" s="1" t="s">
        <v>132</v>
      </c>
      <c r="G1427" s="1" t="s">
        <v>132</v>
      </c>
      <c r="H1427" s="1" t="s">
        <v>132</v>
      </c>
      <c r="I1427" s="1" t="s">
        <v>28105</v>
      </c>
      <c r="J1427" s="1" t="s">
        <v>132</v>
      </c>
      <c r="K1427" s="1" t="s">
        <v>28106</v>
      </c>
      <c r="L1427" s="1" t="s">
        <v>132</v>
      </c>
      <c r="M1427" s="1" t="s">
        <v>28104</v>
      </c>
      <c r="N1427" s="1" t="s">
        <v>132</v>
      </c>
      <c r="O1427" s="1" t="s">
        <v>132</v>
      </c>
      <c r="P1427" s="1" t="s">
        <v>28104</v>
      </c>
      <c r="Q1427" s="1" t="s">
        <v>132</v>
      </c>
      <c r="R1427" s="1" t="s">
        <v>132</v>
      </c>
      <c r="S1427" s="1" t="s">
        <v>132</v>
      </c>
      <c r="T1427" s="1" t="s">
        <v>132</v>
      </c>
      <c r="U1427" s="1" t="s">
        <v>132</v>
      </c>
      <c r="V1427" s="1" t="s">
        <v>132</v>
      </c>
      <c r="W1427" s="1" t="s">
        <v>132</v>
      </c>
      <c r="X1427" s="1" t="s">
        <v>132</v>
      </c>
      <c r="Y1427" s="1" t="s">
        <v>132</v>
      </c>
      <c r="Z1427" s="1" t="s">
        <v>132</v>
      </c>
      <c r="AA1427" s="1" t="s">
        <v>132</v>
      </c>
      <c r="AB1427" s="1" t="s">
        <v>132</v>
      </c>
      <c r="AC1427" s="1" t="s">
        <v>28107</v>
      </c>
      <c r="AD1427" s="1" t="s">
        <v>132</v>
      </c>
      <c r="AE1427" s="1" t="s">
        <v>132</v>
      </c>
      <c r="AF1427" s="1" t="s">
        <v>28108</v>
      </c>
      <c r="AG1427" s="1" t="s">
        <v>132</v>
      </c>
      <c r="AH1427" s="1" t="s">
        <v>132</v>
      </c>
      <c r="AI1427" s="1" t="s">
        <v>132</v>
      </c>
      <c r="AJ1427" s="1" t="s">
        <v>132</v>
      </c>
      <c r="AK1427" s="1" t="s">
        <v>132</v>
      </c>
      <c r="AL1427" s="1" t="s">
        <v>132</v>
      </c>
      <c r="AM1427" s="1" t="s">
        <v>132</v>
      </c>
      <c r="AN1427" s="1" t="s">
        <v>132</v>
      </c>
    </row>
    <row r="1428" ht="15.75" customHeight="1">
      <c r="A1428" s="1" t="s">
        <v>38</v>
      </c>
      <c r="B1428" s="1" t="s">
        <v>28109</v>
      </c>
      <c r="C1428" s="1" t="s">
        <v>28110</v>
      </c>
      <c r="D1428" s="8" t="s">
        <v>28111</v>
      </c>
      <c r="E1428" s="1" t="s">
        <v>28112</v>
      </c>
      <c r="F1428" s="1" t="s">
        <v>28113</v>
      </c>
      <c r="G1428" s="1" t="s">
        <v>132</v>
      </c>
      <c r="H1428" s="1" t="s">
        <v>132</v>
      </c>
      <c r="I1428" s="1" t="s">
        <v>28114</v>
      </c>
      <c r="J1428" s="1" t="s">
        <v>132</v>
      </c>
      <c r="K1428" s="1" t="s">
        <v>28115</v>
      </c>
      <c r="L1428" s="1" t="s">
        <v>132</v>
      </c>
      <c r="M1428" s="1" t="s">
        <v>28116</v>
      </c>
      <c r="N1428" s="1" t="s">
        <v>28117</v>
      </c>
      <c r="O1428" s="1" t="s">
        <v>132</v>
      </c>
      <c r="P1428" s="1" t="s">
        <v>28118</v>
      </c>
      <c r="Q1428" s="1" t="s">
        <v>132</v>
      </c>
      <c r="R1428" s="1" t="s">
        <v>132</v>
      </c>
      <c r="S1428" s="1" t="s">
        <v>28119</v>
      </c>
      <c r="T1428" s="1" t="s">
        <v>132</v>
      </c>
      <c r="U1428" s="1" t="s">
        <v>28120</v>
      </c>
      <c r="V1428" s="1" t="s">
        <v>28121</v>
      </c>
      <c r="W1428" s="1" t="s">
        <v>132</v>
      </c>
      <c r="X1428" s="1" t="s">
        <v>28122</v>
      </c>
      <c r="Y1428" s="1" t="s">
        <v>132</v>
      </c>
      <c r="Z1428" s="1" t="s">
        <v>28123</v>
      </c>
      <c r="AA1428" s="1" t="s">
        <v>28124</v>
      </c>
      <c r="AB1428" s="1" t="s">
        <v>132</v>
      </c>
      <c r="AC1428" s="1" t="s">
        <v>28125</v>
      </c>
      <c r="AD1428" s="1" t="s">
        <v>132</v>
      </c>
      <c r="AE1428" s="1" t="s">
        <v>132</v>
      </c>
      <c r="AF1428" s="1" t="s">
        <v>28126</v>
      </c>
      <c r="AG1428" s="1" t="s">
        <v>28127</v>
      </c>
      <c r="AH1428" s="1" t="s">
        <v>132</v>
      </c>
      <c r="AI1428" s="1" t="s">
        <v>132</v>
      </c>
      <c r="AJ1428" s="1" t="s">
        <v>28128</v>
      </c>
      <c r="AK1428" s="1" t="s">
        <v>28129</v>
      </c>
      <c r="AL1428" s="1" t="s">
        <v>132</v>
      </c>
      <c r="AM1428" s="1" t="s">
        <v>28130</v>
      </c>
      <c r="AN1428" s="1" t="s">
        <v>28130</v>
      </c>
    </row>
    <row r="1429" ht="15.75" customHeight="1">
      <c r="A1429" s="1" t="s">
        <v>38</v>
      </c>
      <c r="B1429" s="1" t="s">
        <v>28131</v>
      </c>
      <c r="C1429" s="1" t="s">
        <v>28132</v>
      </c>
      <c r="D1429" s="8" t="s">
        <v>28133</v>
      </c>
      <c r="E1429" s="1" t="s">
        <v>28134</v>
      </c>
      <c r="F1429" s="1" t="s">
        <v>28135</v>
      </c>
      <c r="G1429" s="1" t="s">
        <v>132</v>
      </c>
      <c r="H1429" s="1" t="s">
        <v>132</v>
      </c>
      <c r="I1429" s="1" t="s">
        <v>28136</v>
      </c>
      <c r="J1429" s="1" t="s">
        <v>132</v>
      </c>
      <c r="K1429" s="1" t="s">
        <v>28137</v>
      </c>
      <c r="L1429" s="1" t="s">
        <v>132</v>
      </c>
      <c r="M1429" s="1" t="s">
        <v>28138</v>
      </c>
      <c r="N1429" s="1" t="s">
        <v>28139</v>
      </c>
      <c r="O1429" s="1" t="s">
        <v>132</v>
      </c>
      <c r="P1429" s="1" t="s">
        <v>28140</v>
      </c>
      <c r="Q1429" s="1" t="s">
        <v>132</v>
      </c>
      <c r="R1429" s="1" t="s">
        <v>132</v>
      </c>
      <c r="S1429" s="1" t="s">
        <v>28141</v>
      </c>
      <c r="T1429" s="1" t="s">
        <v>132</v>
      </c>
      <c r="U1429" s="1" t="s">
        <v>28142</v>
      </c>
      <c r="V1429" s="1" t="s">
        <v>28143</v>
      </c>
      <c r="W1429" s="1" t="s">
        <v>132</v>
      </c>
      <c r="X1429" s="1" t="s">
        <v>28144</v>
      </c>
      <c r="Y1429" s="1" t="s">
        <v>132</v>
      </c>
      <c r="Z1429" s="1" t="s">
        <v>28145</v>
      </c>
      <c r="AA1429" s="1" t="s">
        <v>28146</v>
      </c>
      <c r="AB1429" s="1" t="s">
        <v>132</v>
      </c>
      <c r="AC1429" s="1" t="s">
        <v>28147</v>
      </c>
      <c r="AD1429" s="1" t="s">
        <v>132</v>
      </c>
      <c r="AE1429" s="1" t="s">
        <v>132</v>
      </c>
      <c r="AF1429" s="1" t="s">
        <v>28148</v>
      </c>
      <c r="AG1429" s="1" t="s">
        <v>28149</v>
      </c>
      <c r="AH1429" s="1" t="s">
        <v>132</v>
      </c>
      <c r="AI1429" s="1" t="s">
        <v>132</v>
      </c>
      <c r="AJ1429" s="1" t="s">
        <v>28150</v>
      </c>
      <c r="AK1429" s="1" t="s">
        <v>132</v>
      </c>
      <c r="AL1429" s="1" t="s">
        <v>132</v>
      </c>
      <c r="AM1429" s="1" t="s">
        <v>28151</v>
      </c>
      <c r="AN1429" s="1" t="s">
        <v>28151</v>
      </c>
    </row>
    <row r="1430" ht="15.75" customHeight="1">
      <c r="A1430" s="1" t="s">
        <v>127</v>
      </c>
      <c r="B1430" s="1" t="s">
        <v>28152</v>
      </c>
      <c r="C1430" s="1" t="s">
        <v>28153</v>
      </c>
      <c r="D1430" s="8" t="s">
        <v>28154</v>
      </c>
      <c r="E1430" s="1" t="s">
        <v>28155</v>
      </c>
      <c r="F1430" s="1" t="s">
        <v>132</v>
      </c>
      <c r="G1430" s="1" t="s">
        <v>28156</v>
      </c>
      <c r="H1430" s="1" t="s">
        <v>28157</v>
      </c>
      <c r="I1430" s="1" t="s">
        <v>28158</v>
      </c>
      <c r="J1430" s="1" t="s">
        <v>28159</v>
      </c>
      <c r="K1430" s="1" t="s">
        <v>28160</v>
      </c>
      <c r="L1430" s="1" t="s">
        <v>28161</v>
      </c>
      <c r="M1430" s="1" t="s">
        <v>28162</v>
      </c>
      <c r="N1430" s="1" t="s">
        <v>132</v>
      </c>
      <c r="O1430" s="1" t="s">
        <v>28163</v>
      </c>
      <c r="P1430" s="1" t="s">
        <v>28164</v>
      </c>
      <c r="Q1430" s="1" t="s">
        <v>132</v>
      </c>
      <c r="R1430" s="1" t="s">
        <v>28165</v>
      </c>
      <c r="S1430" s="1" t="s">
        <v>28166</v>
      </c>
      <c r="T1430" s="8" t="s">
        <v>28167</v>
      </c>
      <c r="U1430" s="1" t="s">
        <v>28168</v>
      </c>
      <c r="V1430" s="1" t="s">
        <v>28169</v>
      </c>
      <c r="W1430" s="1" t="s">
        <v>28170</v>
      </c>
      <c r="X1430" s="1" t="s">
        <v>28171</v>
      </c>
      <c r="Y1430" s="1" t="s">
        <v>28172</v>
      </c>
      <c r="Z1430" s="1" t="s">
        <v>28173</v>
      </c>
      <c r="AA1430" s="1" t="s">
        <v>28174</v>
      </c>
      <c r="AB1430" s="1" t="s">
        <v>28175</v>
      </c>
      <c r="AC1430" s="1" t="s">
        <v>28176</v>
      </c>
      <c r="AD1430" s="1" t="s">
        <v>28177</v>
      </c>
      <c r="AE1430" s="1" t="s">
        <v>28178</v>
      </c>
      <c r="AF1430" s="1" t="s">
        <v>28179</v>
      </c>
      <c r="AG1430" s="1" t="s">
        <v>28180</v>
      </c>
      <c r="AH1430" s="1" t="s">
        <v>28181</v>
      </c>
      <c r="AI1430" s="1" t="s">
        <v>28182</v>
      </c>
      <c r="AJ1430" s="1" t="s">
        <v>132</v>
      </c>
      <c r="AK1430" s="1" t="s">
        <v>28183</v>
      </c>
      <c r="AL1430" s="1" t="s">
        <v>28184</v>
      </c>
      <c r="AM1430" s="1" t="s">
        <v>28185</v>
      </c>
      <c r="AN1430" s="1" t="s">
        <v>28185</v>
      </c>
    </row>
    <row r="1431" ht="15.75" customHeight="1">
      <c r="A1431" s="1" t="s">
        <v>38</v>
      </c>
      <c r="B1431" s="1" t="s">
        <v>28186</v>
      </c>
      <c r="C1431" s="1" t="s">
        <v>28187</v>
      </c>
      <c r="D1431" s="1" t="s">
        <v>132</v>
      </c>
      <c r="E1431" s="1" t="s">
        <v>132</v>
      </c>
      <c r="F1431" s="1" t="s">
        <v>132</v>
      </c>
      <c r="G1431" s="1" t="s">
        <v>132</v>
      </c>
      <c r="H1431" s="1" t="s">
        <v>132</v>
      </c>
      <c r="I1431" s="1" t="s">
        <v>28187</v>
      </c>
      <c r="J1431" s="1" t="s">
        <v>132</v>
      </c>
      <c r="K1431" s="1" t="s">
        <v>28187</v>
      </c>
      <c r="L1431" s="1" t="s">
        <v>132</v>
      </c>
      <c r="M1431" s="1" t="s">
        <v>28187</v>
      </c>
      <c r="N1431" s="1" t="s">
        <v>132</v>
      </c>
      <c r="O1431" s="1" t="s">
        <v>132</v>
      </c>
      <c r="P1431" s="1" t="s">
        <v>28187</v>
      </c>
      <c r="Q1431" s="1" t="s">
        <v>132</v>
      </c>
      <c r="R1431" s="1" t="s">
        <v>132</v>
      </c>
      <c r="S1431" s="1" t="s">
        <v>132</v>
      </c>
      <c r="T1431" s="1" t="s">
        <v>132</v>
      </c>
      <c r="U1431" s="1" t="s">
        <v>132</v>
      </c>
      <c r="V1431" s="1" t="s">
        <v>132</v>
      </c>
      <c r="W1431" s="1" t="s">
        <v>132</v>
      </c>
      <c r="X1431" s="1" t="s">
        <v>132</v>
      </c>
      <c r="Y1431" s="1" t="s">
        <v>132</v>
      </c>
      <c r="Z1431" s="1" t="s">
        <v>132</v>
      </c>
      <c r="AA1431" s="1" t="s">
        <v>132</v>
      </c>
      <c r="AB1431" s="1" t="s">
        <v>132</v>
      </c>
      <c r="AC1431" s="1" t="s">
        <v>28188</v>
      </c>
      <c r="AD1431" s="1" t="s">
        <v>132</v>
      </c>
      <c r="AE1431" s="1" t="s">
        <v>132</v>
      </c>
      <c r="AF1431" s="1" t="s">
        <v>28189</v>
      </c>
      <c r="AG1431" s="1" t="s">
        <v>132</v>
      </c>
      <c r="AH1431" s="1" t="s">
        <v>132</v>
      </c>
      <c r="AI1431" s="1" t="s">
        <v>132</v>
      </c>
      <c r="AJ1431" s="1" t="s">
        <v>132</v>
      </c>
      <c r="AK1431" s="1" t="s">
        <v>132</v>
      </c>
      <c r="AL1431" s="1" t="s">
        <v>132</v>
      </c>
      <c r="AM1431" s="1" t="s">
        <v>132</v>
      </c>
      <c r="AN1431" s="1" t="s">
        <v>132</v>
      </c>
    </row>
    <row r="1432" ht="15.75" customHeight="1">
      <c r="A1432" s="1" t="s">
        <v>38</v>
      </c>
      <c r="B1432" s="1" t="s">
        <v>28190</v>
      </c>
      <c r="C1432" s="1" t="s">
        <v>28191</v>
      </c>
      <c r="D1432" s="8" t="s">
        <v>28192</v>
      </c>
      <c r="E1432" s="1" t="s">
        <v>28193</v>
      </c>
      <c r="F1432" s="1" t="s">
        <v>28194</v>
      </c>
      <c r="G1432" s="1" t="s">
        <v>132</v>
      </c>
      <c r="H1432" s="1" t="s">
        <v>132</v>
      </c>
      <c r="I1432" s="1" t="s">
        <v>28195</v>
      </c>
      <c r="J1432" s="1" t="s">
        <v>132</v>
      </c>
      <c r="K1432" s="1" t="s">
        <v>28196</v>
      </c>
      <c r="L1432" s="1" t="s">
        <v>132</v>
      </c>
      <c r="M1432" s="1" t="s">
        <v>28197</v>
      </c>
      <c r="N1432" s="1" t="s">
        <v>28198</v>
      </c>
      <c r="O1432" s="1" t="s">
        <v>132</v>
      </c>
      <c r="P1432" s="1" t="s">
        <v>28199</v>
      </c>
      <c r="Q1432" s="1" t="s">
        <v>28200</v>
      </c>
      <c r="R1432" s="1" t="s">
        <v>132</v>
      </c>
      <c r="S1432" s="1" t="s">
        <v>28201</v>
      </c>
      <c r="T1432" s="1" t="s">
        <v>132</v>
      </c>
      <c r="U1432" s="1" t="s">
        <v>28202</v>
      </c>
      <c r="V1432" s="1" t="s">
        <v>28203</v>
      </c>
      <c r="W1432" s="1" t="s">
        <v>132</v>
      </c>
      <c r="X1432" s="1" t="s">
        <v>28204</v>
      </c>
      <c r="Y1432" s="1" t="s">
        <v>132</v>
      </c>
      <c r="Z1432" s="1" t="s">
        <v>28205</v>
      </c>
      <c r="AA1432" s="1" t="s">
        <v>28198</v>
      </c>
      <c r="AB1432" s="1" t="s">
        <v>132</v>
      </c>
      <c r="AC1432" s="1" t="s">
        <v>28206</v>
      </c>
      <c r="AD1432" s="1" t="s">
        <v>132</v>
      </c>
      <c r="AE1432" s="1" t="s">
        <v>132</v>
      </c>
      <c r="AF1432" s="1" t="s">
        <v>28207</v>
      </c>
      <c r="AG1432" s="1" t="s">
        <v>28208</v>
      </c>
      <c r="AH1432" s="1" t="s">
        <v>132</v>
      </c>
      <c r="AI1432" s="1" t="s">
        <v>132</v>
      </c>
      <c r="AJ1432" s="1" t="s">
        <v>28209</v>
      </c>
      <c r="AK1432" s="1" t="s">
        <v>28210</v>
      </c>
      <c r="AL1432" s="1" t="s">
        <v>132</v>
      </c>
      <c r="AM1432" s="1" t="s">
        <v>28211</v>
      </c>
      <c r="AN1432" s="1" t="s">
        <v>28211</v>
      </c>
    </row>
    <row r="1433" ht="15.75" customHeight="1">
      <c r="A1433" s="1" t="s">
        <v>38</v>
      </c>
      <c r="B1433" s="1" t="s">
        <v>28212</v>
      </c>
      <c r="C1433" s="1" t="s">
        <v>28213</v>
      </c>
      <c r="D1433" s="8" t="s">
        <v>28214</v>
      </c>
      <c r="E1433" s="1" t="s">
        <v>28215</v>
      </c>
      <c r="F1433" s="1" t="s">
        <v>28216</v>
      </c>
      <c r="G1433" s="1" t="s">
        <v>132</v>
      </c>
      <c r="H1433" s="1" t="s">
        <v>132</v>
      </c>
      <c r="I1433" s="1" t="s">
        <v>28217</v>
      </c>
      <c r="J1433" s="1" t="s">
        <v>132</v>
      </c>
      <c r="K1433" s="1" t="s">
        <v>28218</v>
      </c>
      <c r="L1433" s="1" t="s">
        <v>132</v>
      </c>
      <c r="M1433" s="1" t="s">
        <v>28219</v>
      </c>
      <c r="N1433" s="1" t="s">
        <v>28220</v>
      </c>
      <c r="O1433" s="1" t="s">
        <v>132</v>
      </c>
      <c r="P1433" s="1" t="s">
        <v>28221</v>
      </c>
      <c r="Q1433" s="1" t="s">
        <v>132</v>
      </c>
      <c r="R1433" s="1" t="s">
        <v>132</v>
      </c>
      <c r="S1433" s="1" t="s">
        <v>28222</v>
      </c>
      <c r="T1433" s="1" t="s">
        <v>132</v>
      </c>
      <c r="U1433" s="1" t="s">
        <v>28223</v>
      </c>
      <c r="V1433" s="1" t="s">
        <v>132</v>
      </c>
      <c r="W1433" s="1" t="s">
        <v>132</v>
      </c>
      <c r="X1433" s="1" t="s">
        <v>28224</v>
      </c>
      <c r="Y1433" s="1" t="s">
        <v>132</v>
      </c>
      <c r="Z1433" s="1" t="s">
        <v>28225</v>
      </c>
      <c r="AA1433" s="1" t="s">
        <v>28226</v>
      </c>
      <c r="AB1433" s="1" t="s">
        <v>132</v>
      </c>
      <c r="AC1433" s="1" t="s">
        <v>28227</v>
      </c>
      <c r="AD1433" s="1" t="s">
        <v>132</v>
      </c>
      <c r="AE1433" s="1" t="s">
        <v>132</v>
      </c>
      <c r="AF1433" s="1" t="s">
        <v>28228</v>
      </c>
      <c r="AG1433" s="1" t="s">
        <v>132</v>
      </c>
      <c r="AH1433" s="1" t="s">
        <v>132</v>
      </c>
      <c r="AI1433" s="1" t="s">
        <v>132</v>
      </c>
      <c r="AJ1433" s="1" t="s">
        <v>132</v>
      </c>
      <c r="AK1433" s="1" t="s">
        <v>132</v>
      </c>
      <c r="AL1433" s="1" t="s">
        <v>132</v>
      </c>
      <c r="AM1433" s="1" t="s">
        <v>132</v>
      </c>
      <c r="AN1433" s="1" t="s">
        <v>132</v>
      </c>
    </row>
    <row r="1434" ht="15.75" customHeight="1">
      <c r="A1434" s="1" t="s">
        <v>127</v>
      </c>
      <c r="B1434" s="1" t="s">
        <v>28229</v>
      </c>
      <c r="C1434" s="1" t="s">
        <v>28230</v>
      </c>
      <c r="D1434" s="8" t="s">
        <v>28231</v>
      </c>
      <c r="E1434" s="1" t="s">
        <v>28232</v>
      </c>
      <c r="F1434" s="1" t="s">
        <v>132</v>
      </c>
      <c r="G1434" s="1" t="s">
        <v>28233</v>
      </c>
      <c r="H1434" s="1" t="s">
        <v>28234</v>
      </c>
      <c r="I1434" s="1" t="s">
        <v>28235</v>
      </c>
      <c r="J1434" s="1" t="s">
        <v>28236</v>
      </c>
      <c r="K1434" s="1" t="s">
        <v>28237</v>
      </c>
      <c r="L1434" s="1" t="s">
        <v>28238</v>
      </c>
      <c r="M1434" s="1" t="s">
        <v>28239</v>
      </c>
      <c r="N1434" s="1" t="s">
        <v>132</v>
      </c>
      <c r="O1434" s="1" t="s">
        <v>28240</v>
      </c>
      <c r="P1434" s="1" t="s">
        <v>28241</v>
      </c>
      <c r="Q1434" s="1" t="s">
        <v>132</v>
      </c>
      <c r="R1434" s="1" t="s">
        <v>28242</v>
      </c>
      <c r="S1434" s="1" t="s">
        <v>28243</v>
      </c>
      <c r="T1434" s="8" t="s">
        <v>28244</v>
      </c>
      <c r="U1434" s="1" t="s">
        <v>28245</v>
      </c>
      <c r="V1434" s="1" t="s">
        <v>28246</v>
      </c>
      <c r="W1434" s="1" t="s">
        <v>28247</v>
      </c>
      <c r="X1434" s="1" t="s">
        <v>4880</v>
      </c>
      <c r="Y1434" s="1" t="s">
        <v>28234</v>
      </c>
      <c r="Z1434" s="1" t="s">
        <v>28248</v>
      </c>
      <c r="AA1434" s="1" t="s">
        <v>28249</v>
      </c>
      <c r="AB1434" s="1" t="s">
        <v>28250</v>
      </c>
      <c r="AC1434" s="1" t="s">
        <v>28251</v>
      </c>
      <c r="AD1434" s="1" t="s">
        <v>28252</v>
      </c>
      <c r="AE1434" s="1" t="s">
        <v>28253</v>
      </c>
      <c r="AF1434" s="1" t="s">
        <v>4884</v>
      </c>
      <c r="AG1434" s="1" t="s">
        <v>28254</v>
      </c>
      <c r="AH1434" s="1" t="s">
        <v>28255</v>
      </c>
      <c r="AI1434" s="1" t="s">
        <v>28256</v>
      </c>
      <c r="AJ1434" s="1" t="s">
        <v>132</v>
      </c>
      <c r="AK1434" s="1" t="s">
        <v>28257</v>
      </c>
      <c r="AL1434" s="1" t="s">
        <v>28258</v>
      </c>
      <c r="AM1434" s="1" t="s">
        <v>28259</v>
      </c>
      <c r="AN1434" s="1" t="s">
        <v>28259</v>
      </c>
    </row>
    <row r="1435" ht="15.75" customHeight="1">
      <c r="A1435" s="1" t="s">
        <v>127</v>
      </c>
      <c r="B1435" s="1" t="s">
        <v>28260</v>
      </c>
      <c r="C1435" s="1" t="s">
        <v>28261</v>
      </c>
      <c r="D1435" s="8" t="s">
        <v>28262</v>
      </c>
      <c r="E1435" s="1" t="s">
        <v>28263</v>
      </c>
      <c r="F1435" s="1" t="s">
        <v>132</v>
      </c>
      <c r="G1435" s="1" t="s">
        <v>28264</v>
      </c>
      <c r="H1435" s="1" t="s">
        <v>28265</v>
      </c>
      <c r="I1435" s="1" t="s">
        <v>28266</v>
      </c>
      <c r="J1435" s="1" t="s">
        <v>28267</v>
      </c>
      <c r="K1435" s="1" t="s">
        <v>28268</v>
      </c>
      <c r="L1435" s="1" t="s">
        <v>28269</v>
      </c>
      <c r="M1435" s="1" t="s">
        <v>28270</v>
      </c>
      <c r="N1435" s="1" t="s">
        <v>132</v>
      </c>
      <c r="O1435" s="1" t="s">
        <v>28271</v>
      </c>
      <c r="P1435" s="1" t="s">
        <v>28272</v>
      </c>
      <c r="Q1435" s="1" t="s">
        <v>132</v>
      </c>
      <c r="R1435" s="1" t="s">
        <v>28273</v>
      </c>
      <c r="S1435" s="1" t="s">
        <v>23175</v>
      </c>
      <c r="T1435" s="8" t="s">
        <v>28274</v>
      </c>
      <c r="U1435" s="1" t="s">
        <v>28275</v>
      </c>
      <c r="V1435" s="1" t="s">
        <v>23178</v>
      </c>
      <c r="W1435" s="1" t="s">
        <v>28276</v>
      </c>
      <c r="X1435" s="1" t="s">
        <v>28277</v>
      </c>
      <c r="Y1435" s="1" t="s">
        <v>28278</v>
      </c>
      <c r="Z1435" s="1" t="s">
        <v>28279</v>
      </c>
      <c r="AA1435" s="1" t="s">
        <v>28280</v>
      </c>
      <c r="AB1435" s="1" t="s">
        <v>28281</v>
      </c>
      <c r="AC1435" s="1" t="s">
        <v>28282</v>
      </c>
      <c r="AD1435" s="1" t="s">
        <v>28283</v>
      </c>
      <c r="AE1435" s="1" t="s">
        <v>28284</v>
      </c>
      <c r="AF1435" s="1" t="s">
        <v>28285</v>
      </c>
      <c r="AG1435" s="1" t="s">
        <v>28286</v>
      </c>
      <c r="AH1435" s="1" t="s">
        <v>23190</v>
      </c>
      <c r="AI1435" s="1" t="s">
        <v>28287</v>
      </c>
      <c r="AJ1435" s="1" t="s">
        <v>132</v>
      </c>
      <c r="AK1435" s="1" t="s">
        <v>23192</v>
      </c>
      <c r="AL1435" s="1" t="s">
        <v>23193</v>
      </c>
      <c r="AM1435" s="1" t="s">
        <v>23194</v>
      </c>
      <c r="AN1435" s="1" t="s">
        <v>23194</v>
      </c>
    </row>
    <row r="1436" ht="15.75" customHeight="1">
      <c r="A1436" s="1" t="s">
        <v>38</v>
      </c>
      <c r="B1436" s="1" t="s">
        <v>28288</v>
      </c>
      <c r="C1436" s="1" t="s">
        <v>28289</v>
      </c>
      <c r="D1436" s="8" t="s">
        <v>28290</v>
      </c>
      <c r="E1436" s="1" t="s">
        <v>28291</v>
      </c>
      <c r="F1436" s="1" t="s">
        <v>28292</v>
      </c>
      <c r="G1436" s="1" t="s">
        <v>132</v>
      </c>
      <c r="H1436" s="1" t="s">
        <v>132</v>
      </c>
      <c r="I1436" s="1" t="s">
        <v>28293</v>
      </c>
      <c r="J1436" s="1" t="s">
        <v>132</v>
      </c>
      <c r="K1436" s="1" t="s">
        <v>28294</v>
      </c>
      <c r="L1436" s="1" t="s">
        <v>132</v>
      </c>
      <c r="M1436" s="1" t="s">
        <v>28295</v>
      </c>
      <c r="N1436" s="1" t="s">
        <v>28296</v>
      </c>
      <c r="O1436" s="1" t="s">
        <v>132</v>
      </c>
      <c r="P1436" s="1" t="s">
        <v>28297</v>
      </c>
      <c r="Q1436" s="1" t="s">
        <v>28298</v>
      </c>
      <c r="R1436" s="1" t="s">
        <v>132</v>
      </c>
      <c r="S1436" s="1" t="s">
        <v>28299</v>
      </c>
      <c r="T1436" s="1" t="s">
        <v>132</v>
      </c>
      <c r="U1436" s="1" t="s">
        <v>28300</v>
      </c>
      <c r="V1436" s="1" t="s">
        <v>28301</v>
      </c>
      <c r="W1436" s="1" t="s">
        <v>132</v>
      </c>
      <c r="X1436" s="1" t="s">
        <v>28302</v>
      </c>
      <c r="Y1436" s="1" t="s">
        <v>132</v>
      </c>
      <c r="Z1436" s="1" t="s">
        <v>28303</v>
      </c>
      <c r="AA1436" s="1" t="s">
        <v>28304</v>
      </c>
      <c r="AB1436" s="1" t="s">
        <v>132</v>
      </c>
      <c r="AC1436" s="1" t="s">
        <v>28305</v>
      </c>
      <c r="AD1436" s="1" t="s">
        <v>28306</v>
      </c>
      <c r="AE1436" s="1" t="s">
        <v>132</v>
      </c>
      <c r="AF1436" s="1" t="s">
        <v>28307</v>
      </c>
      <c r="AG1436" s="1" t="s">
        <v>28308</v>
      </c>
      <c r="AH1436" s="1" t="s">
        <v>132</v>
      </c>
      <c r="AI1436" s="1" t="s">
        <v>132</v>
      </c>
      <c r="AJ1436" s="1" t="s">
        <v>28309</v>
      </c>
      <c r="AK1436" s="1" t="s">
        <v>28310</v>
      </c>
      <c r="AL1436" s="1" t="s">
        <v>132</v>
      </c>
      <c r="AM1436" s="1" t="s">
        <v>28311</v>
      </c>
      <c r="AN1436" s="1" t="s">
        <v>28311</v>
      </c>
    </row>
    <row r="1437" ht="15.75" customHeight="1">
      <c r="A1437" s="1" t="s">
        <v>127</v>
      </c>
      <c r="B1437" s="1" t="s">
        <v>28312</v>
      </c>
      <c r="C1437" s="1" t="s">
        <v>28313</v>
      </c>
      <c r="D1437" s="8" t="s">
        <v>28314</v>
      </c>
      <c r="E1437" s="1" t="s">
        <v>28313</v>
      </c>
      <c r="F1437" s="1" t="s">
        <v>132</v>
      </c>
      <c r="G1437" s="1" t="s">
        <v>28315</v>
      </c>
      <c r="H1437" s="1" t="s">
        <v>28313</v>
      </c>
      <c r="I1437" s="1" t="s">
        <v>28313</v>
      </c>
      <c r="J1437" s="1" t="s">
        <v>28313</v>
      </c>
      <c r="K1437" s="1" t="s">
        <v>28313</v>
      </c>
      <c r="L1437" s="1" t="s">
        <v>28313</v>
      </c>
      <c r="M1437" s="1" t="s">
        <v>28313</v>
      </c>
      <c r="N1437" s="1" t="s">
        <v>132</v>
      </c>
      <c r="O1437" s="1" t="s">
        <v>28316</v>
      </c>
      <c r="P1437" s="1" t="s">
        <v>28313</v>
      </c>
      <c r="Q1437" s="1" t="s">
        <v>132</v>
      </c>
      <c r="R1437" s="1" t="s">
        <v>28313</v>
      </c>
      <c r="S1437" s="1" t="s">
        <v>28313</v>
      </c>
      <c r="T1437" s="1" t="s">
        <v>28313</v>
      </c>
      <c r="U1437" s="1" t="s">
        <v>28313</v>
      </c>
      <c r="V1437" s="1" t="s">
        <v>28317</v>
      </c>
      <c r="W1437" s="1" t="s">
        <v>28313</v>
      </c>
      <c r="X1437" s="1" t="s">
        <v>28313</v>
      </c>
      <c r="Y1437" s="1" t="s">
        <v>28318</v>
      </c>
      <c r="Z1437" s="1" t="s">
        <v>28313</v>
      </c>
      <c r="AA1437" s="1" t="s">
        <v>28313</v>
      </c>
      <c r="AB1437" s="1" t="s">
        <v>28319</v>
      </c>
      <c r="AC1437" s="1" t="s">
        <v>28320</v>
      </c>
      <c r="AD1437" s="1" t="s">
        <v>28313</v>
      </c>
      <c r="AE1437" s="1" t="s">
        <v>28313</v>
      </c>
      <c r="AF1437" s="1" t="s">
        <v>28313</v>
      </c>
      <c r="AG1437" s="1" t="s">
        <v>28313</v>
      </c>
      <c r="AH1437" s="1" t="s">
        <v>28313</v>
      </c>
      <c r="AI1437" s="1" t="s">
        <v>28321</v>
      </c>
      <c r="AJ1437" s="1" t="s">
        <v>132</v>
      </c>
      <c r="AK1437" s="1" t="s">
        <v>28313</v>
      </c>
      <c r="AL1437" s="1" t="s">
        <v>28322</v>
      </c>
      <c r="AM1437" s="1" t="s">
        <v>28323</v>
      </c>
      <c r="AN1437" s="1" t="s">
        <v>28323</v>
      </c>
    </row>
    <row r="1438" ht="15.75" customHeight="1">
      <c r="A1438" s="1" t="s">
        <v>38</v>
      </c>
      <c r="B1438" s="1" t="s">
        <v>28324</v>
      </c>
      <c r="C1438" s="1" t="s">
        <v>28325</v>
      </c>
      <c r="D1438" s="8" t="s">
        <v>28326</v>
      </c>
      <c r="E1438" s="1" t="s">
        <v>28327</v>
      </c>
      <c r="F1438" s="1" t="s">
        <v>28328</v>
      </c>
      <c r="G1438" s="1" t="s">
        <v>132</v>
      </c>
      <c r="H1438" s="1" t="s">
        <v>132</v>
      </c>
      <c r="I1438" s="1" t="s">
        <v>28329</v>
      </c>
      <c r="J1438" s="1" t="s">
        <v>132</v>
      </c>
      <c r="K1438" s="1" t="s">
        <v>28330</v>
      </c>
      <c r="L1438" s="1" t="s">
        <v>132</v>
      </c>
      <c r="M1438" s="1" t="s">
        <v>28331</v>
      </c>
      <c r="N1438" s="1" t="s">
        <v>28332</v>
      </c>
      <c r="O1438" s="1" t="s">
        <v>132</v>
      </c>
      <c r="P1438" s="1" t="s">
        <v>28333</v>
      </c>
      <c r="Q1438" s="1" t="s">
        <v>28334</v>
      </c>
      <c r="R1438" s="1" t="s">
        <v>132</v>
      </c>
      <c r="S1438" s="1" t="s">
        <v>28335</v>
      </c>
      <c r="T1438" s="1" t="s">
        <v>132</v>
      </c>
      <c r="U1438" s="1" t="s">
        <v>28336</v>
      </c>
      <c r="V1438" s="1" t="s">
        <v>28337</v>
      </c>
      <c r="W1438" s="1" t="s">
        <v>132</v>
      </c>
      <c r="X1438" s="1" t="s">
        <v>28338</v>
      </c>
      <c r="Y1438" s="1" t="s">
        <v>132</v>
      </c>
      <c r="Z1438" s="1" t="s">
        <v>28339</v>
      </c>
      <c r="AA1438" s="1" t="s">
        <v>28340</v>
      </c>
      <c r="AB1438" s="1" t="s">
        <v>132</v>
      </c>
      <c r="AC1438" s="1" t="s">
        <v>28341</v>
      </c>
      <c r="AD1438" s="1" t="s">
        <v>28342</v>
      </c>
      <c r="AE1438" s="1" t="s">
        <v>132</v>
      </c>
      <c r="AF1438" s="1" t="s">
        <v>28343</v>
      </c>
      <c r="AG1438" s="1" t="s">
        <v>28344</v>
      </c>
      <c r="AH1438" s="1" t="s">
        <v>132</v>
      </c>
      <c r="AI1438" s="1" t="s">
        <v>132</v>
      </c>
      <c r="AJ1438" s="1" t="s">
        <v>28345</v>
      </c>
      <c r="AK1438" s="1" t="s">
        <v>28346</v>
      </c>
      <c r="AL1438" s="1" t="s">
        <v>132</v>
      </c>
      <c r="AM1438" s="1" t="s">
        <v>28347</v>
      </c>
      <c r="AN1438" s="1" t="s">
        <v>28347</v>
      </c>
    </row>
    <row r="1439" ht="15.75" customHeight="1">
      <c r="A1439" s="1" t="s">
        <v>127</v>
      </c>
      <c r="B1439" s="1" t="s">
        <v>28348</v>
      </c>
      <c r="C1439" s="1" t="s">
        <v>28349</v>
      </c>
      <c r="D1439" s="8" t="s">
        <v>28350</v>
      </c>
      <c r="E1439" s="1" t="s">
        <v>28349</v>
      </c>
      <c r="F1439" s="1" t="s">
        <v>132</v>
      </c>
      <c r="G1439" s="1" t="s">
        <v>28351</v>
      </c>
      <c r="H1439" s="1" t="s">
        <v>28349</v>
      </c>
      <c r="I1439" s="1" t="s">
        <v>28349</v>
      </c>
      <c r="J1439" s="1" t="s">
        <v>28349</v>
      </c>
      <c r="K1439" s="1" t="s">
        <v>28349</v>
      </c>
      <c r="L1439" s="1" t="s">
        <v>28349</v>
      </c>
      <c r="M1439" s="1" t="s">
        <v>28349</v>
      </c>
      <c r="N1439" s="1" t="s">
        <v>132</v>
      </c>
      <c r="O1439" s="1" t="s">
        <v>28352</v>
      </c>
      <c r="P1439" s="1" t="s">
        <v>28349</v>
      </c>
      <c r="Q1439" s="1" t="s">
        <v>132</v>
      </c>
      <c r="R1439" s="1" t="s">
        <v>28349</v>
      </c>
      <c r="S1439" s="1" t="s">
        <v>28349</v>
      </c>
      <c r="T1439" s="1" t="s">
        <v>28349</v>
      </c>
      <c r="U1439" s="1" t="s">
        <v>28349</v>
      </c>
      <c r="V1439" s="1" t="s">
        <v>28353</v>
      </c>
      <c r="W1439" s="1" t="s">
        <v>28349</v>
      </c>
      <c r="X1439" s="1" t="s">
        <v>28349</v>
      </c>
      <c r="Y1439" s="1" t="s">
        <v>28354</v>
      </c>
      <c r="Z1439" s="1" t="s">
        <v>28349</v>
      </c>
      <c r="AA1439" s="1" t="s">
        <v>28349</v>
      </c>
      <c r="AB1439" s="1" t="s">
        <v>28355</v>
      </c>
      <c r="AC1439" s="1" t="s">
        <v>28356</v>
      </c>
      <c r="AD1439" s="1" t="s">
        <v>28349</v>
      </c>
      <c r="AE1439" s="1" t="s">
        <v>28349</v>
      </c>
      <c r="AF1439" s="1" t="s">
        <v>28349</v>
      </c>
      <c r="AG1439" s="1" t="s">
        <v>28349</v>
      </c>
      <c r="AH1439" s="1" t="s">
        <v>28349</v>
      </c>
      <c r="AI1439" s="1" t="s">
        <v>28357</v>
      </c>
      <c r="AJ1439" s="1" t="s">
        <v>132</v>
      </c>
      <c r="AK1439" s="1" t="s">
        <v>28349</v>
      </c>
      <c r="AL1439" s="1" t="s">
        <v>28358</v>
      </c>
      <c r="AM1439" s="1" t="s">
        <v>28359</v>
      </c>
      <c r="AN1439" s="1" t="s">
        <v>28359</v>
      </c>
    </row>
    <row r="1440" ht="15.75" customHeight="1">
      <c r="A1440" s="1" t="s">
        <v>127</v>
      </c>
      <c r="B1440" s="1" t="s">
        <v>28360</v>
      </c>
      <c r="C1440" s="1" t="s">
        <v>28361</v>
      </c>
      <c r="D1440" s="1" t="s">
        <v>132</v>
      </c>
      <c r="E1440" s="1" t="s">
        <v>132</v>
      </c>
      <c r="F1440" s="1" t="s">
        <v>132</v>
      </c>
      <c r="G1440" s="1" t="s">
        <v>132</v>
      </c>
      <c r="H1440" s="1" t="s">
        <v>28362</v>
      </c>
      <c r="I1440" s="1" t="s">
        <v>132</v>
      </c>
      <c r="J1440" s="1" t="s">
        <v>132</v>
      </c>
      <c r="K1440" s="1" t="s">
        <v>28363</v>
      </c>
      <c r="L1440" s="1" t="s">
        <v>28364</v>
      </c>
      <c r="M1440" s="1" t="s">
        <v>28365</v>
      </c>
      <c r="N1440" s="1" t="s">
        <v>132</v>
      </c>
      <c r="O1440" s="1" t="s">
        <v>132</v>
      </c>
      <c r="P1440" s="1" t="s">
        <v>28366</v>
      </c>
      <c r="Q1440" s="1" t="s">
        <v>132</v>
      </c>
      <c r="R1440" s="1" t="s">
        <v>28367</v>
      </c>
      <c r="S1440" s="1" t="s">
        <v>28368</v>
      </c>
      <c r="T1440" s="1" t="s">
        <v>132</v>
      </c>
      <c r="U1440" s="1" t="s">
        <v>28369</v>
      </c>
      <c r="V1440" s="1" t="s">
        <v>132</v>
      </c>
      <c r="W1440" s="1" t="s">
        <v>28370</v>
      </c>
      <c r="X1440" s="1" t="s">
        <v>28371</v>
      </c>
      <c r="Y1440" s="1" t="s">
        <v>28372</v>
      </c>
      <c r="Z1440" s="11" t="s">
        <v>28373</v>
      </c>
      <c r="AA1440" s="1" t="s">
        <v>25268</v>
      </c>
      <c r="AB1440" s="1" t="s">
        <v>132</v>
      </c>
      <c r="AC1440" s="1" t="s">
        <v>28374</v>
      </c>
      <c r="AD1440" s="1" t="s">
        <v>132</v>
      </c>
      <c r="AE1440" s="1" t="s">
        <v>132</v>
      </c>
      <c r="AF1440" s="1" t="s">
        <v>132</v>
      </c>
      <c r="AG1440" s="11" t="s">
        <v>28375</v>
      </c>
      <c r="AH1440" s="1" t="s">
        <v>132</v>
      </c>
      <c r="AI1440" s="1" t="s">
        <v>28376</v>
      </c>
      <c r="AJ1440" s="1" t="s">
        <v>132</v>
      </c>
      <c r="AK1440" s="1" t="s">
        <v>132</v>
      </c>
      <c r="AL1440" s="14" t="s">
        <v>28377</v>
      </c>
      <c r="AM1440" s="1" t="s">
        <v>132</v>
      </c>
      <c r="AN1440" s="1" t="s">
        <v>132</v>
      </c>
    </row>
    <row r="1441" ht="15.75" customHeight="1">
      <c r="A1441" s="1" t="s">
        <v>127</v>
      </c>
      <c r="B1441" s="1" t="s">
        <v>28378</v>
      </c>
      <c r="C1441" s="1" t="s">
        <v>28379</v>
      </c>
      <c r="D1441" s="8" t="s">
        <v>28380</v>
      </c>
      <c r="E1441" s="1" t="s">
        <v>28379</v>
      </c>
      <c r="F1441" s="1" t="s">
        <v>132</v>
      </c>
      <c r="G1441" s="1" t="s">
        <v>28381</v>
      </c>
      <c r="H1441" s="1" t="s">
        <v>28379</v>
      </c>
      <c r="I1441" s="1" t="s">
        <v>28379</v>
      </c>
      <c r="J1441" s="1" t="s">
        <v>28379</v>
      </c>
      <c r="K1441" s="1" t="s">
        <v>28379</v>
      </c>
      <c r="L1441" s="1" t="s">
        <v>28379</v>
      </c>
      <c r="M1441" s="1" t="s">
        <v>28349</v>
      </c>
      <c r="N1441" s="1" t="s">
        <v>132</v>
      </c>
      <c r="O1441" s="1" t="s">
        <v>28382</v>
      </c>
      <c r="P1441" s="1" t="s">
        <v>28379</v>
      </c>
      <c r="Q1441" s="1" t="s">
        <v>132</v>
      </c>
      <c r="R1441" s="1" t="s">
        <v>28379</v>
      </c>
      <c r="S1441" s="1" t="s">
        <v>28379</v>
      </c>
      <c r="T1441" s="1" t="s">
        <v>28379</v>
      </c>
      <c r="U1441" s="1" t="s">
        <v>28379</v>
      </c>
      <c r="V1441" s="1" t="s">
        <v>28383</v>
      </c>
      <c r="W1441" s="1" t="s">
        <v>28379</v>
      </c>
      <c r="X1441" s="1" t="s">
        <v>28379</v>
      </c>
      <c r="Y1441" s="1" t="s">
        <v>28384</v>
      </c>
      <c r="Z1441" s="1" t="s">
        <v>28379</v>
      </c>
      <c r="AA1441" s="1" t="s">
        <v>28379</v>
      </c>
      <c r="AB1441" s="1" t="s">
        <v>28385</v>
      </c>
      <c r="AC1441" s="1" t="s">
        <v>28386</v>
      </c>
      <c r="AD1441" s="1" t="s">
        <v>28379</v>
      </c>
      <c r="AE1441" s="1" t="s">
        <v>28379</v>
      </c>
      <c r="AF1441" s="1" t="s">
        <v>28379</v>
      </c>
      <c r="AG1441" s="1" t="s">
        <v>28379</v>
      </c>
      <c r="AH1441" s="1" t="s">
        <v>28379</v>
      </c>
      <c r="AI1441" s="1" t="s">
        <v>28387</v>
      </c>
      <c r="AJ1441" s="1" t="s">
        <v>132</v>
      </c>
      <c r="AK1441" s="1" t="s">
        <v>28379</v>
      </c>
      <c r="AL1441" s="1" t="s">
        <v>28388</v>
      </c>
      <c r="AM1441" s="1" t="s">
        <v>28389</v>
      </c>
      <c r="AN1441" s="1" t="s">
        <v>28389</v>
      </c>
    </row>
    <row r="1442" ht="15.75" customHeight="1">
      <c r="A1442" s="1" t="s">
        <v>38</v>
      </c>
      <c r="B1442" s="1" t="s">
        <v>28390</v>
      </c>
      <c r="C1442" s="1" t="s">
        <v>28391</v>
      </c>
      <c r="D1442" s="8" t="s">
        <v>28392</v>
      </c>
      <c r="E1442" s="1" t="s">
        <v>28393</v>
      </c>
      <c r="F1442" s="1" t="s">
        <v>28394</v>
      </c>
      <c r="G1442" s="1" t="s">
        <v>132</v>
      </c>
      <c r="H1442" s="1" t="s">
        <v>132</v>
      </c>
      <c r="I1442" s="1" t="s">
        <v>28395</v>
      </c>
      <c r="J1442" s="1" t="s">
        <v>132</v>
      </c>
      <c r="K1442" s="1" t="s">
        <v>28396</v>
      </c>
      <c r="L1442" s="1" t="s">
        <v>132</v>
      </c>
      <c r="M1442" s="1" t="s">
        <v>28397</v>
      </c>
      <c r="N1442" s="1" t="s">
        <v>28398</v>
      </c>
      <c r="O1442" s="1" t="s">
        <v>132</v>
      </c>
      <c r="P1442" s="1" t="s">
        <v>28399</v>
      </c>
      <c r="Q1442" s="1" t="s">
        <v>28400</v>
      </c>
      <c r="R1442" s="1" t="s">
        <v>132</v>
      </c>
      <c r="S1442" s="1" t="s">
        <v>28401</v>
      </c>
      <c r="T1442" s="1" t="s">
        <v>132</v>
      </c>
      <c r="U1442" s="1" t="s">
        <v>28402</v>
      </c>
      <c r="V1442" s="1" t="s">
        <v>28403</v>
      </c>
      <c r="W1442" s="1" t="s">
        <v>132</v>
      </c>
      <c r="X1442" s="1" t="s">
        <v>28404</v>
      </c>
      <c r="Y1442" s="1" t="s">
        <v>132</v>
      </c>
      <c r="Z1442" s="1" t="s">
        <v>28405</v>
      </c>
      <c r="AA1442" s="1" t="s">
        <v>28406</v>
      </c>
      <c r="AB1442" s="1" t="s">
        <v>132</v>
      </c>
      <c r="AC1442" s="1" t="s">
        <v>28407</v>
      </c>
      <c r="AD1442" s="1" t="s">
        <v>28408</v>
      </c>
      <c r="AE1442" s="1" t="s">
        <v>132</v>
      </c>
      <c r="AF1442" s="1" t="s">
        <v>28409</v>
      </c>
      <c r="AG1442" s="1" t="s">
        <v>28410</v>
      </c>
      <c r="AH1442" s="1" t="s">
        <v>132</v>
      </c>
      <c r="AI1442" s="1" t="s">
        <v>132</v>
      </c>
      <c r="AJ1442" s="1" t="s">
        <v>28411</v>
      </c>
      <c r="AK1442" s="1" t="s">
        <v>28412</v>
      </c>
      <c r="AL1442" s="1" t="s">
        <v>132</v>
      </c>
      <c r="AM1442" s="1" t="s">
        <v>28413</v>
      </c>
      <c r="AN1442" s="1" t="s">
        <v>28413</v>
      </c>
    </row>
    <row r="1443" ht="15.75" customHeight="1">
      <c r="A1443" s="1" t="s">
        <v>127</v>
      </c>
      <c r="B1443" s="1" t="s">
        <v>28414</v>
      </c>
      <c r="C1443" s="1" t="s">
        <v>28415</v>
      </c>
      <c r="D1443" s="8" t="s">
        <v>28416</v>
      </c>
      <c r="E1443" s="1" t="s">
        <v>28417</v>
      </c>
      <c r="F1443" s="1" t="s">
        <v>132</v>
      </c>
      <c r="G1443" s="1" t="s">
        <v>28418</v>
      </c>
      <c r="H1443" s="1" t="s">
        <v>28419</v>
      </c>
      <c r="I1443" s="1" t="s">
        <v>28420</v>
      </c>
      <c r="J1443" s="1" t="s">
        <v>28421</v>
      </c>
      <c r="K1443" s="1" t="s">
        <v>28422</v>
      </c>
      <c r="L1443" s="1" t="s">
        <v>28423</v>
      </c>
      <c r="M1443" s="1" t="s">
        <v>28424</v>
      </c>
      <c r="N1443" s="1" t="s">
        <v>132</v>
      </c>
      <c r="O1443" s="1" t="s">
        <v>28425</v>
      </c>
      <c r="P1443" s="1" t="s">
        <v>28426</v>
      </c>
      <c r="Q1443" s="1" t="s">
        <v>132</v>
      </c>
      <c r="R1443" s="1" t="s">
        <v>28427</v>
      </c>
      <c r="S1443" s="1" t="s">
        <v>28428</v>
      </c>
      <c r="T1443" s="8" t="s">
        <v>28429</v>
      </c>
      <c r="U1443" s="1" t="s">
        <v>28430</v>
      </c>
      <c r="V1443" s="1" t="s">
        <v>28431</v>
      </c>
      <c r="W1443" s="1" t="s">
        <v>28432</v>
      </c>
      <c r="X1443" s="1" t="s">
        <v>28433</v>
      </c>
      <c r="Y1443" s="1" t="s">
        <v>28434</v>
      </c>
      <c r="Z1443" s="1" t="s">
        <v>28435</v>
      </c>
      <c r="AA1443" s="1" t="s">
        <v>28436</v>
      </c>
      <c r="AB1443" s="1" t="s">
        <v>28437</v>
      </c>
      <c r="AC1443" s="1" t="s">
        <v>28438</v>
      </c>
      <c r="AD1443" s="1" t="s">
        <v>28439</v>
      </c>
      <c r="AE1443" s="1" t="s">
        <v>28440</v>
      </c>
      <c r="AF1443" s="1" t="s">
        <v>28415</v>
      </c>
      <c r="AG1443" s="1" t="s">
        <v>28441</v>
      </c>
      <c r="AH1443" s="1" t="s">
        <v>28442</v>
      </c>
      <c r="AI1443" s="1" t="s">
        <v>28443</v>
      </c>
      <c r="AJ1443" s="1" t="s">
        <v>132</v>
      </c>
      <c r="AK1443" s="1" t="s">
        <v>28444</v>
      </c>
      <c r="AL1443" s="1" t="s">
        <v>28445</v>
      </c>
      <c r="AM1443" s="1" t="s">
        <v>28446</v>
      </c>
      <c r="AN1443" s="1" t="s">
        <v>28446</v>
      </c>
    </row>
    <row r="1444" ht="15.75" customHeight="1">
      <c r="A1444" s="1" t="s">
        <v>38</v>
      </c>
      <c r="B1444" s="1" t="s">
        <v>28447</v>
      </c>
      <c r="C1444" s="1" t="s">
        <v>28448</v>
      </c>
      <c r="D1444" s="1" t="s">
        <v>132</v>
      </c>
      <c r="E1444" s="1" t="s">
        <v>28449</v>
      </c>
      <c r="F1444" s="1" t="s">
        <v>28450</v>
      </c>
      <c r="G1444" s="1" t="s">
        <v>132</v>
      </c>
      <c r="H1444" s="1" t="s">
        <v>132</v>
      </c>
      <c r="I1444" s="1" t="s">
        <v>28451</v>
      </c>
      <c r="J1444" s="1" t="s">
        <v>132</v>
      </c>
      <c r="K1444" s="1" t="s">
        <v>28452</v>
      </c>
      <c r="L1444" s="1" t="s">
        <v>132</v>
      </c>
      <c r="M1444" s="1" t="s">
        <v>28453</v>
      </c>
      <c r="N1444" s="1" t="s">
        <v>28454</v>
      </c>
      <c r="O1444" s="1" t="s">
        <v>132</v>
      </c>
      <c r="P1444" s="1" t="s">
        <v>28455</v>
      </c>
      <c r="Q1444" s="1" t="s">
        <v>132</v>
      </c>
      <c r="R1444" s="1" t="s">
        <v>132</v>
      </c>
      <c r="S1444" s="1" t="s">
        <v>28456</v>
      </c>
      <c r="T1444" s="1" t="s">
        <v>132</v>
      </c>
      <c r="U1444" s="1" t="s">
        <v>132</v>
      </c>
      <c r="V1444" s="1" t="s">
        <v>132</v>
      </c>
      <c r="W1444" s="1" t="s">
        <v>132</v>
      </c>
      <c r="X1444" s="1" t="s">
        <v>28457</v>
      </c>
      <c r="Y1444" s="1" t="s">
        <v>132</v>
      </c>
      <c r="Z1444" s="1" t="s">
        <v>28458</v>
      </c>
      <c r="AA1444" s="1" t="s">
        <v>132</v>
      </c>
      <c r="AB1444" s="1" t="s">
        <v>132</v>
      </c>
      <c r="AC1444" s="1" t="s">
        <v>132</v>
      </c>
      <c r="AD1444" s="1" t="s">
        <v>132</v>
      </c>
      <c r="AE1444" s="1" t="s">
        <v>132</v>
      </c>
      <c r="AF1444" s="1" t="s">
        <v>132</v>
      </c>
      <c r="AG1444" s="1" t="s">
        <v>132</v>
      </c>
      <c r="AH1444" s="1" t="s">
        <v>132</v>
      </c>
      <c r="AI1444" s="1" t="s">
        <v>132</v>
      </c>
      <c r="AJ1444" s="1" t="s">
        <v>132</v>
      </c>
      <c r="AK1444" s="1" t="s">
        <v>132</v>
      </c>
      <c r="AL1444" s="1" t="s">
        <v>132</v>
      </c>
      <c r="AM1444" s="1" t="s">
        <v>132</v>
      </c>
      <c r="AN1444" s="1" t="s">
        <v>132</v>
      </c>
    </row>
    <row r="1445" ht="15.75" customHeight="1">
      <c r="A1445" s="1" t="s">
        <v>38</v>
      </c>
      <c r="B1445" s="1" t="s">
        <v>28459</v>
      </c>
      <c r="C1445" s="1" t="s">
        <v>28460</v>
      </c>
      <c r="D1445" s="8" t="s">
        <v>28461</v>
      </c>
      <c r="E1445" s="1" t="s">
        <v>28462</v>
      </c>
      <c r="F1445" s="1" t="s">
        <v>28463</v>
      </c>
      <c r="G1445" s="1" t="s">
        <v>132</v>
      </c>
      <c r="H1445" s="1" t="s">
        <v>132</v>
      </c>
      <c r="I1445" s="1" t="s">
        <v>28464</v>
      </c>
      <c r="J1445" s="1" t="s">
        <v>132</v>
      </c>
      <c r="K1445" s="1" t="s">
        <v>28465</v>
      </c>
      <c r="L1445" s="1" t="s">
        <v>132</v>
      </c>
      <c r="M1445" s="1" t="s">
        <v>28466</v>
      </c>
      <c r="N1445" s="1" t="s">
        <v>28467</v>
      </c>
      <c r="O1445" s="1" t="s">
        <v>132</v>
      </c>
      <c r="P1445" s="1" t="s">
        <v>28468</v>
      </c>
      <c r="Q1445" s="1" t="s">
        <v>28469</v>
      </c>
      <c r="R1445" s="1" t="s">
        <v>132</v>
      </c>
      <c r="S1445" s="1" t="s">
        <v>28470</v>
      </c>
      <c r="T1445" s="1" t="s">
        <v>132</v>
      </c>
      <c r="U1445" s="1" t="s">
        <v>28471</v>
      </c>
      <c r="V1445" s="1" t="s">
        <v>28472</v>
      </c>
      <c r="W1445" s="1" t="s">
        <v>132</v>
      </c>
      <c r="X1445" s="1" t="s">
        <v>28473</v>
      </c>
      <c r="Y1445" s="1" t="s">
        <v>132</v>
      </c>
      <c r="Z1445" s="1" t="s">
        <v>28474</v>
      </c>
      <c r="AA1445" s="1" t="s">
        <v>28475</v>
      </c>
      <c r="AB1445" s="1" t="s">
        <v>132</v>
      </c>
      <c r="AC1445" s="1" t="s">
        <v>28476</v>
      </c>
      <c r="AD1445" s="1" t="s">
        <v>132</v>
      </c>
      <c r="AE1445" s="1" t="s">
        <v>132</v>
      </c>
      <c r="AF1445" s="1" t="s">
        <v>28477</v>
      </c>
      <c r="AG1445" s="1" t="s">
        <v>28478</v>
      </c>
      <c r="AH1445" s="1" t="s">
        <v>132</v>
      </c>
      <c r="AI1445" s="1" t="s">
        <v>132</v>
      </c>
      <c r="AJ1445" s="1" t="s">
        <v>28479</v>
      </c>
      <c r="AK1445" s="1" t="s">
        <v>132</v>
      </c>
      <c r="AL1445" s="1" t="s">
        <v>132</v>
      </c>
      <c r="AM1445" s="1" t="s">
        <v>28480</v>
      </c>
      <c r="AN1445" s="1" t="s">
        <v>28480</v>
      </c>
    </row>
    <row r="1446" ht="15.75" customHeight="1">
      <c r="A1446" s="1" t="s">
        <v>38</v>
      </c>
      <c r="B1446" s="1" t="s">
        <v>28481</v>
      </c>
      <c r="C1446" s="1" t="s">
        <v>28482</v>
      </c>
      <c r="D1446" s="1" t="s">
        <v>132</v>
      </c>
      <c r="E1446" s="1" t="s">
        <v>28483</v>
      </c>
      <c r="F1446" s="1" t="s">
        <v>28484</v>
      </c>
      <c r="G1446" s="1" t="s">
        <v>132</v>
      </c>
      <c r="H1446" s="1" t="s">
        <v>132</v>
      </c>
      <c r="I1446" s="1" t="s">
        <v>28485</v>
      </c>
      <c r="J1446" s="1" t="s">
        <v>132</v>
      </c>
      <c r="K1446" s="1" t="s">
        <v>28486</v>
      </c>
      <c r="L1446" s="1" t="s">
        <v>132</v>
      </c>
      <c r="M1446" s="1" t="s">
        <v>28487</v>
      </c>
      <c r="N1446" s="1" t="s">
        <v>28488</v>
      </c>
      <c r="O1446" s="1" t="s">
        <v>132</v>
      </c>
      <c r="P1446" s="1" t="s">
        <v>28489</v>
      </c>
      <c r="Q1446" s="1" t="s">
        <v>132</v>
      </c>
      <c r="R1446" s="1" t="s">
        <v>132</v>
      </c>
      <c r="S1446" s="1" t="s">
        <v>28490</v>
      </c>
      <c r="T1446" s="1" t="s">
        <v>132</v>
      </c>
      <c r="U1446" s="1" t="s">
        <v>28491</v>
      </c>
      <c r="V1446" s="1" t="s">
        <v>28492</v>
      </c>
      <c r="W1446" s="1" t="s">
        <v>132</v>
      </c>
      <c r="X1446" s="1" t="s">
        <v>28493</v>
      </c>
      <c r="Y1446" s="1" t="s">
        <v>132</v>
      </c>
      <c r="Z1446" s="1" t="s">
        <v>28494</v>
      </c>
      <c r="AA1446" s="1" t="s">
        <v>132</v>
      </c>
      <c r="AB1446" s="1" t="s">
        <v>132</v>
      </c>
      <c r="AC1446" s="1" t="s">
        <v>28495</v>
      </c>
      <c r="AD1446" s="1" t="s">
        <v>132</v>
      </c>
      <c r="AE1446" s="1" t="s">
        <v>132</v>
      </c>
      <c r="AF1446" s="1" t="s">
        <v>132</v>
      </c>
      <c r="AG1446" s="1" t="s">
        <v>28496</v>
      </c>
      <c r="AH1446" s="1" t="s">
        <v>132</v>
      </c>
      <c r="AI1446" s="1" t="s">
        <v>132</v>
      </c>
      <c r="AJ1446" s="1" t="s">
        <v>28497</v>
      </c>
      <c r="AK1446" s="1" t="s">
        <v>132</v>
      </c>
      <c r="AL1446" s="1" t="s">
        <v>132</v>
      </c>
      <c r="AM1446" s="1" t="s">
        <v>28498</v>
      </c>
      <c r="AN1446" s="1" t="s">
        <v>28498</v>
      </c>
    </row>
    <row r="1447" ht="15.75" customHeight="1">
      <c r="A1447" s="1" t="s">
        <v>38</v>
      </c>
      <c r="B1447" s="1" t="s">
        <v>28499</v>
      </c>
      <c r="C1447" s="1" t="s">
        <v>28500</v>
      </c>
      <c r="D1447" s="8" t="s">
        <v>28501</v>
      </c>
      <c r="E1447" s="1" t="s">
        <v>28502</v>
      </c>
      <c r="F1447" s="1" t="s">
        <v>28503</v>
      </c>
      <c r="G1447" s="1" t="s">
        <v>132</v>
      </c>
      <c r="H1447" s="1" t="s">
        <v>132</v>
      </c>
      <c r="I1447" s="1" t="s">
        <v>28504</v>
      </c>
      <c r="J1447" s="1" t="s">
        <v>132</v>
      </c>
      <c r="K1447" s="1" t="s">
        <v>28505</v>
      </c>
      <c r="L1447" s="1" t="s">
        <v>132</v>
      </c>
      <c r="M1447" s="1" t="s">
        <v>28506</v>
      </c>
      <c r="N1447" s="1" t="s">
        <v>28507</v>
      </c>
      <c r="O1447" s="1" t="s">
        <v>132</v>
      </c>
      <c r="P1447" s="1" t="s">
        <v>28508</v>
      </c>
      <c r="Q1447" s="1" t="s">
        <v>132</v>
      </c>
      <c r="R1447" s="1" t="s">
        <v>132</v>
      </c>
      <c r="S1447" s="1" t="s">
        <v>28509</v>
      </c>
      <c r="T1447" s="1" t="s">
        <v>132</v>
      </c>
      <c r="U1447" s="1" t="s">
        <v>28510</v>
      </c>
      <c r="V1447" s="1" t="s">
        <v>132</v>
      </c>
      <c r="W1447" s="1" t="s">
        <v>132</v>
      </c>
      <c r="X1447" s="1" t="s">
        <v>28511</v>
      </c>
      <c r="Y1447" s="1" t="s">
        <v>132</v>
      </c>
      <c r="Z1447" s="1" t="s">
        <v>28512</v>
      </c>
      <c r="AA1447" s="1" t="s">
        <v>28513</v>
      </c>
      <c r="AB1447" s="1" t="s">
        <v>132</v>
      </c>
      <c r="AC1447" s="1" t="s">
        <v>28514</v>
      </c>
      <c r="AD1447" s="1" t="s">
        <v>132</v>
      </c>
      <c r="AE1447" s="1" t="s">
        <v>132</v>
      </c>
      <c r="AF1447" s="1" t="s">
        <v>28515</v>
      </c>
      <c r="AG1447" s="1" t="s">
        <v>132</v>
      </c>
      <c r="AH1447" s="1" t="s">
        <v>132</v>
      </c>
      <c r="AI1447" s="1" t="s">
        <v>132</v>
      </c>
      <c r="AJ1447" s="1" t="s">
        <v>132</v>
      </c>
      <c r="AK1447" s="1" t="s">
        <v>132</v>
      </c>
      <c r="AL1447" s="1" t="s">
        <v>132</v>
      </c>
      <c r="AM1447" s="1" t="s">
        <v>132</v>
      </c>
      <c r="AN1447" s="1" t="s">
        <v>132</v>
      </c>
    </row>
    <row r="1448" ht="15.75" customHeight="1">
      <c r="A1448" s="1" t="s">
        <v>127</v>
      </c>
      <c r="B1448" s="1" t="s">
        <v>28516</v>
      </c>
      <c r="C1448" s="1" t="s">
        <v>28517</v>
      </c>
      <c r="D1448" s="8" t="s">
        <v>28518</v>
      </c>
      <c r="E1448" s="1" t="s">
        <v>28519</v>
      </c>
      <c r="F1448" s="1" t="s">
        <v>132</v>
      </c>
      <c r="G1448" s="1" t="s">
        <v>28520</v>
      </c>
      <c r="H1448" s="1" t="s">
        <v>28521</v>
      </c>
      <c r="I1448" s="1" t="s">
        <v>28522</v>
      </c>
      <c r="J1448" s="1" t="s">
        <v>28523</v>
      </c>
      <c r="K1448" s="1" t="s">
        <v>28524</v>
      </c>
      <c r="L1448" s="1" t="s">
        <v>28525</v>
      </c>
      <c r="M1448" s="1" t="s">
        <v>28526</v>
      </c>
      <c r="N1448" s="1" t="s">
        <v>132</v>
      </c>
      <c r="O1448" s="1" t="s">
        <v>28527</v>
      </c>
      <c r="P1448" s="1" t="s">
        <v>28528</v>
      </c>
      <c r="Q1448" s="1" t="s">
        <v>132</v>
      </c>
      <c r="R1448" s="1" t="s">
        <v>28529</v>
      </c>
      <c r="S1448" s="1" t="s">
        <v>28530</v>
      </c>
      <c r="T1448" s="8" t="s">
        <v>28531</v>
      </c>
      <c r="U1448" s="1" t="s">
        <v>28532</v>
      </c>
      <c r="V1448" s="1" t="s">
        <v>28533</v>
      </c>
      <c r="W1448" s="1" t="s">
        <v>28534</v>
      </c>
      <c r="X1448" s="1" t="s">
        <v>28535</v>
      </c>
      <c r="Y1448" s="1" t="s">
        <v>28536</v>
      </c>
      <c r="Z1448" s="1" t="s">
        <v>28537</v>
      </c>
      <c r="AA1448" s="1" t="s">
        <v>28538</v>
      </c>
      <c r="AB1448" s="1" t="s">
        <v>28539</v>
      </c>
      <c r="AC1448" s="1" t="s">
        <v>28540</v>
      </c>
      <c r="AD1448" s="1" t="s">
        <v>28541</v>
      </c>
      <c r="AE1448" s="1" t="s">
        <v>28542</v>
      </c>
      <c r="AF1448" s="1" t="s">
        <v>28543</v>
      </c>
      <c r="AG1448" s="1" t="s">
        <v>28544</v>
      </c>
      <c r="AH1448" s="1" t="s">
        <v>28545</v>
      </c>
      <c r="AI1448" s="1" t="s">
        <v>28546</v>
      </c>
      <c r="AJ1448" s="1" t="s">
        <v>132</v>
      </c>
      <c r="AK1448" s="1" t="s">
        <v>28547</v>
      </c>
      <c r="AL1448" s="1" t="s">
        <v>28548</v>
      </c>
      <c r="AM1448" s="1" t="s">
        <v>132</v>
      </c>
      <c r="AN1448" s="1" t="s">
        <v>132</v>
      </c>
    </row>
    <row r="1449" ht="15.75" customHeight="1">
      <c r="A1449" s="1" t="s">
        <v>127</v>
      </c>
      <c r="B1449" s="1" t="s">
        <v>28549</v>
      </c>
      <c r="C1449" s="1" t="s">
        <v>28550</v>
      </c>
      <c r="D1449" s="8" t="s">
        <v>28551</v>
      </c>
      <c r="E1449" s="1" t="s">
        <v>28552</v>
      </c>
      <c r="F1449" s="1" t="s">
        <v>132</v>
      </c>
      <c r="G1449" s="1" t="s">
        <v>28553</v>
      </c>
      <c r="H1449" s="1" t="s">
        <v>28554</v>
      </c>
      <c r="I1449" s="1" t="s">
        <v>28555</v>
      </c>
      <c r="J1449" s="1" t="s">
        <v>28556</v>
      </c>
      <c r="K1449" s="1" t="s">
        <v>28557</v>
      </c>
      <c r="L1449" s="1" t="s">
        <v>28558</v>
      </c>
      <c r="M1449" s="1" t="s">
        <v>28559</v>
      </c>
      <c r="N1449" s="1" t="s">
        <v>132</v>
      </c>
      <c r="O1449" s="1" t="s">
        <v>28560</v>
      </c>
      <c r="P1449" s="1" t="s">
        <v>28561</v>
      </c>
      <c r="Q1449" s="1" t="s">
        <v>132</v>
      </c>
      <c r="R1449" s="1" t="s">
        <v>28562</v>
      </c>
      <c r="S1449" s="1" t="s">
        <v>28563</v>
      </c>
      <c r="T1449" s="8" t="s">
        <v>28564</v>
      </c>
      <c r="U1449" s="1" t="s">
        <v>21421</v>
      </c>
      <c r="V1449" s="1" t="s">
        <v>28565</v>
      </c>
      <c r="W1449" s="1" t="s">
        <v>28562</v>
      </c>
      <c r="X1449" s="1" t="s">
        <v>28566</v>
      </c>
      <c r="Y1449" s="1" t="s">
        <v>28554</v>
      </c>
      <c r="Z1449" s="1" t="s">
        <v>28567</v>
      </c>
      <c r="AA1449" s="1" t="s">
        <v>28557</v>
      </c>
      <c r="AB1449" s="1" t="s">
        <v>28563</v>
      </c>
      <c r="AC1449" s="1" t="s">
        <v>28568</v>
      </c>
      <c r="AD1449" s="1" t="s">
        <v>28553</v>
      </c>
      <c r="AE1449" s="1" t="s">
        <v>28569</v>
      </c>
      <c r="AF1449" s="1" t="s">
        <v>28570</v>
      </c>
      <c r="AG1449" s="1" t="s">
        <v>28571</v>
      </c>
      <c r="AH1449" s="1" t="s">
        <v>28572</v>
      </c>
      <c r="AI1449" s="1" t="s">
        <v>28573</v>
      </c>
      <c r="AJ1449" s="1" t="s">
        <v>132</v>
      </c>
      <c r="AK1449" s="1" t="s">
        <v>28574</v>
      </c>
      <c r="AL1449" s="1" t="s">
        <v>28575</v>
      </c>
      <c r="AM1449" s="1" t="s">
        <v>28576</v>
      </c>
      <c r="AN1449" s="1" t="s">
        <v>28576</v>
      </c>
    </row>
    <row r="1450" ht="15.75" customHeight="1">
      <c r="A1450" s="1" t="s">
        <v>38</v>
      </c>
      <c r="B1450" s="1" t="s">
        <v>28577</v>
      </c>
      <c r="C1450" s="1" t="s">
        <v>28578</v>
      </c>
      <c r="D1450" s="8" t="s">
        <v>28579</v>
      </c>
      <c r="E1450" s="1" t="s">
        <v>28580</v>
      </c>
      <c r="F1450" s="1" t="s">
        <v>28581</v>
      </c>
      <c r="G1450" s="1" t="s">
        <v>132</v>
      </c>
      <c r="H1450" s="1" t="s">
        <v>132</v>
      </c>
      <c r="I1450" s="1" t="s">
        <v>28582</v>
      </c>
      <c r="J1450" s="1" t="s">
        <v>132</v>
      </c>
      <c r="K1450" s="1" t="s">
        <v>28583</v>
      </c>
      <c r="L1450" s="1" t="s">
        <v>132</v>
      </c>
      <c r="M1450" s="1" t="s">
        <v>28584</v>
      </c>
      <c r="N1450" s="1" t="s">
        <v>28585</v>
      </c>
      <c r="O1450" s="1" t="s">
        <v>132</v>
      </c>
      <c r="P1450" s="1" t="s">
        <v>28586</v>
      </c>
      <c r="Q1450" s="1" t="s">
        <v>132</v>
      </c>
      <c r="R1450" s="1" t="s">
        <v>132</v>
      </c>
      <c r="S1450" s="1" t="s">
        <v>28587</v>
      </c>
      <c r="T1450" s="1" t="s">
        <v>132</v>
      </c>
      <c r="U1450" s="1" t="s">
        <v>132</v>
      </c>
      <c r="V1450" s="1" t="s">
        <v>132</v>
      </c>
      <c r="W1450" s="1" t="s">
        <v>132</v>
      </c>
      <c r="X1450" s="1" t="s">
        <v>28588</v>
      </c>
      <c r="Y1450" s="1" t="s">
        <v>132</v>
      </c>
      <c r="Z1450" s="1" t="s">
        <v>28589</v>
      </c>
      <c r="AA1450" s="1" t="s">
        <v>132</v>
      </c>
      <c r="AB1450" s="1" t="s">
        <v>132</v>
      </c>
      <c r="AC1450" s="1" t="s">
        <v>28590</v>
      </c>
      <c r="AD1450" s="1" t="s">
        <v>132</v>
      </c>
      <c r="AE1450" s="1" t="s">
        <v>132</v>
      </c>
      <c r="AF1450" s="1" t="s">
        <v>28591</v>
      </c>
      <c r="AG1450" s="1" t="s">
        <v>132</v>
      </c>
      <c r="AH1450" s="1" t="s">
        <v>132</v>
      </c>
      <c r="AI1450" s="1" t="s">
        <v>132</v>
      </c>
      <c r="AJ1450" s="1" t="s">
        <v>132</v>
      </c>
      <c r="AK1450" s="1" t="s">
        <v>132</v>
      </c>
      <c r="AL1450" s="1" t="s">
        <v>132</v>
      </c>
      <c r="AM1450" s="1" t="s">
        <v>132</v>
      </c>
      <c r="AN1450" s="1" t="s">
        <v>132</v>
      </c>
    </row>
    <row r="1451" ht="15.75" customHeight="1">
      <c r="A1451" s="1" t="s">
        <v>127</v>
      </c>
      <c r="B1451" s="1" t="s">
        <v>28592</v>
      </c>
      <c r="C1451" s="1" t="s">
        <v>28593</v>
      </c>
      <c r="D1451" s="8" t="s">
        <v>28594</v>
      </c>
      <c r="E1451" s="1" t="s">
        <v>28595</v>
      </c>
      <c r="F1451" s="1" t="s">
        <v>132</v>
      </c>
      <c r="G1451" s="1" t="s">
        <v>28596</v>
      </c>
      <c r="H1451" s="1" t="s">
        <v>28597</v>
      </c>
      <c r="I1451" s="1" t="s">
        <v>28598</v>
      </c>
      <c r="J1451" s="1" t="s">
        <v>28599</v>
      </c>
      <c r="K1451" s="1" t="s">
        <v>28600</v>
      </c>
      <c r="L1451" s="1" t="s">
        <v>28601</v>
      </c>
      <c r="M1451" s="1" t="s">
        <v>28602</v>
      </c>
      <c r="N1451" s="1" t="s">
        <v>132</v>
      </c>
      <c r="O1451" s="1" t="s">
        <v>28603</v>
      </c>
      <c r="P1451" s="1" t="s">
        <v>28604</v>
      </c>
      <c r="Q1451" s="1" t="s">
        <v>132</v>
      </c>
      <c r="R1451" s="1" t="s">
        <v>28605</v>
      </c>
      <c r="S1451" s="1" t="s">
        <v>28606</v>
      </c>
      <c r="T1451" s="8" t="s">
        <v>28607</v>
      </c>
      <c r="U1451" s="1" t="s">
        <v>28608</v>
      </c>
      <c r="V1451" s="1" t="s">
        <v>28609</v>
      </c>
      <c r="W1451" s="1" t="s">
        <v>28610</v>
      </c>
      <c r="X1451" s="1" t="s">
        <v>28611</v>
      </c>
      <c r="Y1451" s="1" t="s">
        <v>28612</v>
      </c>
      <c r="Z1451" s="1" t="s">
        <v>28613</v>
      </c>
      <c r="AA1451" s="1" t="s">
        <v>28614</v>
      </c>
      <c r="AB1451" s="1" t="s">
        <v>28615</v>
      </c>
      <c r="AC1451" s="1" t="s">
        <v>28616</v>
      </c>
      <c r="AD1451" s="1" t="s">
        <v>28617</v>
      </c>
      <c r="AE1451" s="1" t="s">
        <v>28618</v>
      </c>
      <c r="AF1451" s="1" t="s">
        <v>28619</v>
      </c>
      <c r="AG1451" s="1" t="s">
        <v>28620</v>
      </c>
      <c r="AH1451" s="1" t="s">
        <v>28621</v>
      </c>
      <c r="AI1451" s="1" t="s">
        <v>28622</v>
      </c>
      <c r="AJ1451" s="1" t="s">
        <v>132</v>
      </c>
      <c r="AK1451" s="1" t="s">
        <v>28623</v>
      </c>
      <c r="AL1451" s="1" t="s">
        <v>28624</v>
      </c>
      <c r="AM1451" s="1" t="s">
        <v>28625</v>
      </c>
      <c r="AN1451" s="1" t="s">
        <v>28625</v>
      </c>
    </row>
    <row r="1452" ht="15.75" customHeight="1">
      <c r="A1452" s="1" t="s">
        <v>38</v>
      </c>
      <c r="B1452" s="1" t="s">
        <v>28626</v>
      </c>
      <c r="C1452" s="1" t="s">
        <v>28627</v>
      </c>
      <c r="D1452" s="1" t="s">
        <v>132</v>
      </c>
      <c r="E1452" s="1" t="s">
        <v>28628</v>
      </c>
      <c r="F1452" s="1" t="s">
        <v>28629</v>
      </c>
      <c r="G1452" s="1" t="s">
        <v>132</v>
      </c>
      <c r="H1452" s="1" t="s">
        <v>132</v>
      </c>
      <c r="I1452" s="1" t="s">
        <v>28630</v>
      </c>
      <c r="J1452" s="1" t="s">
        <v>132</v>
      </c>
      <c r="K1452" s="1" t="s">
        <v>28631</v>
      </c>
      <c r="L1452" s="1" t="s">
        <v>132</v>
      </c>
      <c r="M1452" s="1" t="s">
        <v>28632</v>
      </c>
      <c r="N1452" s="1" t="s">
        <v>28633</v>
      </c>
      <c r="O1452" s="1" t="s">
        <v>132</v>
      </c>
      <c r="P1452" s="1" t="s">
        <v>28634</v>
      </c>
      <c r="Q1452" s="1" t="s">
        <v>132</v>
      </c>
      <c r="R1452" s="1" t="s">
        <v>132</v>
      </c>
      <c r="S1452" s="1" t="s">
        <v>28635</v>
      </c>
      <c r="T1452" s="1" t="s">
        <v>132</v>
      </c>
      <c r="U1452" s="1" t="s">
        <v>132</v>
      </c>
      <c r="V1452" s="1" t="s">
        <v>132</v>
      </c>
      <c r="W1452" s="1" t="s">
        <v>132</v>
      </c>
      <c r="X1452" s="1" t="s">
        <v>28636</v>
      </c>
      <c r="Y1452" s="1" t="s">
        <v>132</v>
      </c>
      <c r="Z1452" s="1" t="s">
        <v>28637</v>
      </c>
      <c r="AA1452" s="1" t="s">
        <v>132</v>
      </c>
      <c r="AB1452" s="1" t="s">
        <v>132</v>
      </c>
      <c r="AC1452" s="1" t="s">
        <v>132</v>
      </c>
      <c r="AD1452" s="1" t="s">
        <v>132</v>
      </c>
      <c r="AE1452" s="1" t="s">
        <v>132</v>
      </c>
      <c r="AF1452" s="1" t="s">
        <v>132</v>
      </c>
      <c r="AG1452" s="1" t="s">
        <v>132</v>
      </c>
      <c r="AH1452" s="1" t="s">
        <v>132</v>
      </c>
      <c r="AI1452" s="1" t="s">
        <v>132</v>
      </c>
      <c r="AJ1452" s="1" t="s">
        <v>132</v>
      </c>
      <c r="AK1452" s="1" t="s">
        <v>132</v>
      </c>
      <c r="AL1452" s="1" t="s">
        <v>132</v>
      </c>
      <c r="AM1452" s="1" t="s">
        <v>132</v>
      </c>
      <c r="AN1452" s="1" t="s">
        <v>132</v>
      </c>
    </row>
    <row r="1453" ht="15.75" customHeight="1">
      <c r="A1453" s="1" t="s">
        <v>127</v>
      </c>
      <c r="B1453" s="1" t="s">
        <v>28638</v>
      </c>
      <c r="C1453" s="1" t="s">
        <v>28639</v>
      </c>
      <c r="D1453" s="8" t="s">
        <v>28640</v>
      </c>
      <c r="E1453" s="1" t="s">
        <v>28641</v>
      </c>
      <c r="F1453" s="1" t="s">
        <v>132</v>
      </c>
      <c r="G1453" s="1" t="s">
        <v>28642</v>
      </c>
      <c r="H1453" s="1" t="s">
        <v>28643</v>
      </c>
      <c r="I1453" s="1" t="s">
        <v>28639</v>
      </c>
      <c r="J1453" s="1" t="s">
        <v>28644</v>
      </c>
      <c r="K1453" s="1" t="s">
        <v>28645</v>
      </c>
      <c r="L1453" s="1" t="s">
        <v>28646</v>
      </c>
      <c r="M1453" s="1" t="s">
        <v>28647</v>
      </c>
      <c r="N1453" s="1" t="s">
        <v>132</v>
      </c>
      <c r="O1453" s="1" t="s">
        <v>28648</v>
      </c>
      <c r="P1453" s="1" t="s">
        <v>28649</v>
      </c>
      <c r="Q1453" s="1" t="s">
        <v>132</v>
      </c>
      <c r="R1453" s="1" t="s">
        <v>28650</v>
      </c>
      <c r="S1453" s="1" t="s">
        <v>28651</v>
      </c>
      <c r="T1453" s="8" t="s">
        <v>28652</v>
      </c>
      <c r="U1453" s="1" t="s">
        <v>28653</v>
      </c>
      <c r="V1453" s="1" t="s">
        <v>28654</v>
      </c>
      <c r="W1453" s="1" t="s">
        <v>28655</v>
      </c>
      <c r="X1453" s="1" t="s">
        <v>28656</v>
      </c>
      <c r="Y1453" s="1" t="s">
        <v>28657</v>
      </c>
      <c r="Z1453" s="1" t="s">
        <v>28658</v>
      </c>
      <c r="AA1453" s="1" t="s">
        <v>28645</v>
      </c>
      <c r="AB1453" s="1" t="s">
        <v>28639</v>
      </c>
      <c r="AC1453" s="1" t="s">
        <v>28659</v>
      </c>
      <c r="AD1453" s="1" t="s">
        <v>28660</v>
      </c>
      <c r="AE1453" s="1" t="s">
        <v>28661</v>
      </c>
      <c r="AF1453" s="1" t="s">
        <v>28662</v>
      </c>
      <c r="AG1453" s="1" t="s">
        <v>28639</v>
      </c>
      <c r="AH1453" s="1" t="s">
        <v>28663</v>
      </c>
      <c r="AI1453" s="1" t="s">
        <v>28664</v>
      </c>
      <c r="AJ1453" s="1" t="s">
        <v>132</v>
      </c>
      <c r="AK1453" s="1" t="s">
        <v>28665</v>
      </c>
      <c r="AL1453" s="1" t="s">
        <v>28666</v>
      </c>
      <c r="AM1453" s="1" t="s">
        <v>132</v>
      </c>
      <c r="AN1453" s="1" t="s">
        <v>132</v>
      </c>
    </row>
    <row r="1454" ht="15.75" customHeight="1">
      <c r="A1454" s="1" t="s">
        <v>127</v>
      </c>
      <c r="B1454" s="1" t="s">
        <v>28667</v>
      </c>
      <c r="C1454" s="1" t="s">
        <v>28668</v>
      </c>
      <c r="D1454" s="8" t="s">
        <v>28669</v>
      </c>
      <c r="E1454" s="1" t="s">
        <v>28670</v>
      </c>
      <c r="F1454" s="1" t="s">
        <v>132</v>
      </c>
      <c r="G1454" s="1" t="s">
        <v>28671</v>
      </c>
      <c r="H1454" s="1" t="s">
        <v>28672</v>
      </c>
      <c r="I1454" s="1" t="s">
        <v>28673</v>
      </c>
      <c r="J1454" s="1" t="s">
        <v>28674</v>
      </c>
      <c r="K1454" s="1" t="s">
        <v>28675</v>
      </c>
      <c r="L1454" s="1" t="s">
        <v>28676</v>
      </c>
      <c r="M1454" s="1" t="s">
        <v>28677</v>
      </c>
      <c r="N1454" s="1" t="s">
        <v>132</v>
      </c>
      <c r="O1454" s="1" t="s">
        <v>28678</v>
      </c>
      <c r="P1454" s="1" t="s">
        <v>28679</v>
      </c>
      <c r="Q1454" s="1" t="s">
        <v>132</v>
      </c>
      <c r="R1454" s="1" t="s">
        <v>28680</v>
      </c>
      <c r="S1454" s="1" t="s">
        <v>28681</v>
      </c>
      <c r="T1454" s="8" t="s">
        <v>28682</v>
      </c>
      <c r="U1454" s="1" t="s">
        <v>28683</v>
      </c>
      <c r="V1454" s="1" t="s">
        <v>28684</v>
      </c>
      <c r="W1454" s="1" t="s">
        <v>28685</v>
      </c>
      <c r="X1454" s="1" t="s">
        <v>28686</v>
      </c>
      <c r="Y1454" s="1" t="s">
        <v>28687</v>
      </c>
      <c r="Z1454" s="1" t="s">
        <v>28688</v>
      </c>
      <c r="AA1454" s="1" t="s">
        <v>28689</v>
      </c>
      <c r="AB1454" s="1" t="s">
        <v>28690</v>
      </c>
      <c r="AC1454" s="1" t="s">
        <v>28691</v>
      </c>
      <c r="AD1454" s="1" t="s">
        <v>28692</v>
      </c>
      <c r="AE1454" s="1" t="s">
        <v>28693</v>
      </c>
      <c r="AF1454" s="1" t="s">
        <v>28694</v>
      </c>
      <c r="AG1454" s="1" t="s">
        <v>28695</v>
      </c>
      <c r="AH1454" s="1" t="s">
        <v>28696</v>
      </c>
      <c r="AI1454" s="1" t="s">
        <v>28697</v>
      </c>
      <c r="AJ1454" s="1" t="s">
        <v>132</v>
      </c>
      <c r="AK1454" s="1" t="s">
        <v>28698</v>
      </c>
      <c r="AL1454" s="1" t="s">
        <v>28699</v>
      </c>
      <c r="AM1454" s="1" t="s">
        <v>132</v>
      </c>
      <c r="AN1454" s="1" t="s">
        <v>132</v>
      </c>
    </row>
    <row r="1455" ht="15.75" customHeight="1">
      <c r="A1455" s="1" t="s">
        <v>127</v>
      </c>
      <c r="B1455" s="1" t="s">
        <v>28700</v>
      </c>
      <c r="C1455" s="1" t="s">
        <v>28701</v>
      </c>
      <c r="D1455" s="8" t="s">
        <v>28702</v>
      </c>
      <c r="E1455" s="1" t="s">
        <v>28703</v>
      </c>
      <c r="F1455" s="1" t="s">
        <v>132</v>
      </c>
      <c r="G1455" s="1" t="s">
        <v>28704</v>
      </c>
      <c r="H1455" s="1" t="s">
        <v>6651</v>
      </c>
      <c r="I1455" s="1" t="s">
        <v>28705</v>
      </c>
      <c r="J1455" s="1" t="s">
        <v>8174</v>
      </c>
      <c r="K1455" s="1" t="s">
        <v>8175</v>
      </c>
      <c r="L1455" s="1" t="s">
        <v>28706</v>
      </c>
      <c r="M1455" s="1" t="s">
        <v>8184</v>
      </c>
      <c r="N1455" s="1" t="s">
        <v>132</v>
      </c>
      <c r="O1455" s="1" t="s">
        <v>28707</v>
      </c>
      <c r="P1455" s="1" t="s">
        <v>28708</v>
      </c>
      <c r="Q1455" s="1" t="s">
        <v>132</v>
      </c>
      <c r="R1455" s="1" t="s">
        <v>28709</v>
      </c>
      <c r="S1455" s="1" t="s">
        <v>8187</v>
      </c>
      <c r="T1455" s="8" t="s">
        <v>28710</v>
      </c>
      <c r="U1455" s="1" t="s">
        <v>25643</v>
      </c>
      <c r="V1455" s="1" t="s">
        <v>28711</v>
      </c>
      <c r="W1455" s="1" t="s">
        <v>28709</v>
      </c>
      <c r="X1455" s="1" t="s">
        <v>28712</v>
      </c>
      <c r="Y1455" s="1" t="s">
        <v>28713</v>
      </c>
      <c r="Z1455" s="1" t="s">
        <v>28714</v>
      </c>
      <c r="AA1455" s="1" t="s">
        <v>8187</v>
      </c>
      <c r="AB1455" s="1" t="s">
        <v>28715</v>
      </c>
      <c r="AC1455" s="1" t="s">
        <v>28716</v>
      </c>
      <c r="AD1455" s="1" t="s">
        <v>28717</v>
      </c>
      <c r="AE1455" s="1" t="s">
        <v>28718</v>
      </c>
      <c r="AF1455" s="1" t="s">
        <v>15351</v>
      </c>
      <c r="AG1455" s="1" t="s">
        <v>28713</v>
      </c>
      <c r="AH1455" s="1" t="s">
        <v>23304</v>
      </c>
      <c r="AI1455" s="1" t="s">
        <v>28719</v>
      </c>
      <c r="AJ1455" s="1" t="s">
        <v>132</v>
      </c>
      <c r="AK1455" s="1" t="s">
        <v>28720</v>
      </c>
      <c r="AL1455" s="1" t="s">
        <v>28721</v>
      </c>
      <c r="AM1455" s="1" t="s">
        <v>28722</v>
      </c>
      <c r="AN1455" s="1" t="s">
        <v>28722</v>
      </c>
    </row>
    <row r="1456" ht="15.75" customHeight="1">
      <c r="A1456" s="1" t="s">
        <v>127</v>
      </c>
      <c r="B1456" s="1" t="s">
        <v>28723</v>
      </c>
      <c r="C1456" s="1" t="s">
        <v>28724</v>
      </c>
      <c r="D1456" s="8" t="s">
        <v>28725</v>
      </c>
      <c r="E1456" s="1" t="s">
        <v>28726</v>
      </c>
      <c r="F1456" s="1" t="s">
        <v>132</v>
      </c>
      <c r="G1456" s="1" t="s">
        <v>28727</v>
      </c>
      <c r="H1456" s="1" t="s">
        <v>28728</v>
      </c>
      <c r="I1456" s="1" t="s">
        <v>28729</v>
      </c>
      <c r="J1456" s="1" t="s">
        <v>28730</v>
      </c>
      <c r="K1456" s="1" t="s">
        <v>28731</v>
      </c>
      <c r="L1456" s="1" t="s">
        <v>28732</v>
      </c>
      <c r="M1456" s="1" t="s">
        <v>28733</v>
      </c>
      <c r="N1456" s="1" t="s">
        <v>132</v>
      </c>
      <c r="O1456" s="1" t="s">
        <v>28734</v>
      </c>
      <c r="P1456" s="1" t="s">
        <v>28735</v>
      </c>
      <c r="Q1456" s="1" t="s">
        <v>132</v>
      </c>
      <c r="R1456" s="1" t="s">
        <v>28736</v>
      </c>
      <c r="S1456" s="1" t="s">
        <v>28737</v>
      </c>
      <c r="T1456" s="8" t="s">
        <v>28738</v>
      </c>
      <c r="U1456" s="1" t="s">
        <v>28739</v>
      </c>
      <c r="V1456" s="1" t="s">
        <v>28740</v>
      </c>
      <c r="W1456" s="1" t="s">
        <v>28741</v>
      </c>
      <c r="X1456" s="1" t="s">
        <v>28742</v>
      </c>
      <c r="Y1456" s="1" t="s">
        <v>28743</v>
      </c>
      <c r="Z1456" s="1" t="s">
        <v>28744</v>
      </c>
      <c r="AA1456" s="1" t="s">
        <v>28745</v>
      </c>
      <c r="AB1456" s="1" t="s">
        <v>28746</v>
      </c>
      <c r="AC1456" s="1" t="s">
        <v>28747</v>
      </c>
      <c r="AD1456" s="1" t="s">
        <v>28748</v>
      </c>
      <c r="AE1456" s="1" t="s">
        <v>28749</v>
      </c>
      <c r="AF1456" s="1" t="s">
        <v>28750</v>
      </c>
      <c r="AG1456" s="1" t="s">
        <v>28751</v>
      </c>
      <c r="AH1456" s="1" t="s">
        <v>28752</v>
      </c>
      <c r="AI1456" s="1" t="s">
        <v>28753</v>
      </c>
      <c r="AJ1456" s="1" t="s">
        <v>132</v>
      </c>
      <c r="AK1456" s="1" t="s">
        <v>28754</v>
      </c>
      <c r="AL1456" s="1" t="s">
        <v>28755</v>
      </c>
      <c r="AM1456" s="1" t="s">
        <v>132</v>
      </c>
      <c r="AN1456" s="1" t="s">
        <v>132</v>
      </c>
    </row>
    <row r="1457" ht="15.75" customHeight="1">
      <c r="A1457" s="1" t="s">
        <v>127</v>
      </c>
      <c r="B1457" s="1" t="s">
        <v>28756</v>
      </c>
      <c r="C1457" s="1" t="s">
        <v>28757</v>
      </c>
      <c r="D1457" s="8" t="s">
        <v>28758</v>
      </c>
      <c r="E1457" s="1" t="s">
        <v>28759</v>
      </c>
      <c r="F1457" s="1" t="s">
        <v>132</v>
      </c>
      <c r="G1457" s="1" t="s">
        <v>28760</v>
      </c>
      <c r="H1457" s="1" t="s">
        <v>28761</v>
      </c>
      <c r="I1457" s="1" t="s">
        <v>28762</v>
      </c>
      <c r="J1457" s="1" t="s">
        <v>28763</v>
      </c>
      <c r="K1457" s="1" t="s">
        <v>28764</v>
      </c>
      <c r="L1457" s="1" t="s">
        <v>28765</v>
      </c>
      <c r="M1457" s="1" t="s">
        <v>28766</v>
      </c>
      <c r="N1457" s="1" t="s">
        <v>132</v>
      </c>
      <c r="O1457" s="1" t="s">
        <v>28767</v>
      </c>
      <c r="P1457" s="1" t="s">
        <v>28768</v>
      </c>
      <c r="Q1457" s="1" t="s">
        <v>132</v>
      </c>
      <c r="R1457" s="1" t="s">
        <v>28769</v>
      </c>
      <c r="S1457" s="1" t="s">
        <v>28770</v>
      </c>
      <c r="T1457" s="8" t="s">
        <v>28771</v>
      </c>
      <c r="U1457" s="1" t="s">
        <v>28772</v>
      </c>
      <c r="V1457" s="1" t="s">
        <v>28773</v>
      </c>
      <c r="W1457" s="1" t="s">
        <v>28769</v>
      </c>
      <c r="X1457" s="1" t="s">
        <v>28774</v>
      </c>
      <c r="Y1457" s="1" t="s">
        <v>28775</v>
      </c>
      <c r="Z1457" s="1" t="s">
        <v>28776</v>
      </c>
      <c r="AA1457" s="1" t="s">
        <v>28777</v>
      </c>
      <c r="AB1457" s="1" t="s">
        <v>28778</v>
      </c>
      <c r="AC1457" s="1" t="s">
        <v>28779</v>
      </c>
      <c r="AD1457" s="1" t="s">
        <v>28780</v>
      </c>
      <c r="AE1457" s="1" t="s">
        <v>28781</v>
      </c>
      <c r="AF1457" s="1" t="s">
        <v>28782</v>
      </c>
      <c r="AG1457" s="1" t="s">
        <v>28783</v>
      </c>
      <c r="AH1457" s="1" t="s">
        <v>28784</v>
      </c>
      <c r="AI1457" s="1" t="s">
        <v>28785</v>
      </c>
      <c r="AJ1457" s="1" t="s">
        <v>132</v>
      </c>
      <c r="AK1457" s="1" t="s">
        <v>28786</v>
      </c>
      <c r="AL1457" s="1" t="s">
        <v>28787</v>
      </c>
      <c r="AM1457" s="1" t="s">
        <v>28788</v>
      </c>
      <c r="AN1457" s="1" t="s">
        <v>28788</v>
      </c>
    </row>
    <row r="1458" ht="15.75" customHeight="1">
      <c r="A1458" s="1" t="s">
        <v>127</v>
      </c>
      <c r="B1458" s="1" t="s">
        <v>28789</v>
      </c>
      <c r="C1458" s="1" t="s">
        <v>28790</v>
      </c>
      <c r="D1458" s="8" t="s">
        <v>28791</v>
      </c>
      <c r="E1458" s="1" t="s">
        <v>28792</v>
      </c>
      <c r="F1458" s="1" t="s">
        <v>132</v>
      </c>
      <c r="G1458" s="1" t="s">
        <v>28793</v>
      </c>
      <c r="H1458" s="1" t="s">
        <v>28794</v>
      </c>
      <c r="I1458" s="1" t="s">
        <v>28795</v>
      </c>
      <c r="J1458" s="1" t="s">
        <v>28796</v>
      </c>
      <c r="K1458" s="1" t="s">
        <v>28797</v>
      </c>
      <c r="L1458" s="1" t="s">
        <v>28798</v>
      </c>
      <c r="M1458" s="1" t="s">
        <v>28799</v>
      </c>
      <c r="N1458" s="1" t="s">
        <v>132</v>
      </c>
      <c r="O1458" s="1" t="s">
        <v>28800</v>
      </c>
      <c r="P1458" s="1" t="s">
        <v>28801</v>
      </c>
      <c r="Q1458" s="1" t="s">
        <v>132</v>
      </c>
      <c r="R1458" s="1" t="s">
        <v>28802</v>
      </c>
      <c r="S1458" s="1" t="s">
        <v>28803</v>
      </c>
      <c r="T1458" s="8" t="s">
        <v>28804</v>
      </c>
      <c r="U1458" s="1" t="s">
        <v>28805</v>
      </c>
      <c r="V1458" s="1" t="s">
        <v>28806</v>
      </c>
      <c r="W1458" s="1" t="s">
        <v>28802</v>
      </c>
      <c r="X1458" s="1" t="s">
        <v>28807</v>
      </c>
      <c r="Y1458" s="1" t="s">
        <v>28808</v>
      </c>
      <c r="Z1458" s="1" t="s">
        <v>28809</v>
      </c>
      <c r="AA1458" s="1" t="s">
        <v>28810</v>
      </c>
      <c r="AB1458" s="1" t="s">
        <v>28811</v>
      </c>
      <c r="AC1458" s="1" t="s">
        <v>28812</v>
      </c>
      <c r="AD1458" s="1" t="s">
        <v>28813</v>
      </c>
      <c r="AE1458" s="1" t="s">
        <v>28814</v>
      </c>
      <c r="AF1458" s="1" t="s">
        <v>28815</v>
      </c>
      <c r="AG1458" s="1" t="s">
        <v>28816</v>
      </c>
      <c r="AH1458" s="1" t="s">
        <v>28817</v>
      </c>
      <c r="AI1458" s="1" t="s">
        <v>28818</v>
      </c>
      <c r="AJ1458" s="1" t="s">
        <v>132</v>
      </c>
      <c r="AK1458" s="1" t="s">
        <v>28819</v>
      </c>
      <c r="AL1458" s="1" t="s">
        <v>28820</v>
      </c>
      <c r="AM1458" s="1" t="s">
        <v>132</v>
      </c>
      <c r="AN1458" s="1" t="s">
        <v>132</v>
      </c>
    </row>
    <row r="1459" ht="15.75" customHeight="1">
      <c r="A1459" s="1" t="s">
        <v>127</v>
      </c>
      <c r="B1459" s="1" t="s">
        <v>28821</v>
      </c>
      <c r="C1459" s="1" t="s">
        <v>28822</v>
      </c>
      <c r="D1459" s="8" t="s">
        <v>28823</v>
      </c>
      <c r="E1459" s="1" t="s">
        <v>28824</v>
      </c>
      <c r="F1459" s="1" t="s">
        <v>132</v>
      </c>
      <c r="G1459" s="1" t="s">
        <v>28825</v>
      </c>
      <c r="H1459" s="1" t="s">
        <v>28822</v>
      </c>
      <c r="I1459" s="1" t="s">
        <v>188</v>
      </c>
      <c r="J1459" s="1" t="s">
        <v>28826</v>
      </c>
      <c r="K1459" s="1" t="s">
        <v>28827</v>
      </c>
      <c r="L1459" s="1" t="s">
        <v>28828</v>
      </c>
      <c r="M1459" s="1" t="s">
        <v>28829</v>
      </c>
      <c r="N1459" s="1" t="s">
        <v>132</v>
      </c>
      <c r="O1459" s="1" t="s">
        <v>193</v>
      </c>
      <c r="P1459" s="1" t="s">
        <v>28830</v>
      </c>
      <c r="Q1459" s="1" t="s">
        <v>132</v>
      </c>
      <c r="R1459" s="1" t="s">
        <v>28831</v>
      </c>
      <c r="S1459" s="1" t="s">
        <v>28832</v>
      </c>
      <c r="T1459" s="8" t="s">
        <v>197</v>
      </c>
      <c r="U1459" s="1" t="s">
        <v>28833</v>
      </c>
      <c r="V1459" s="1" t="s">
        <v>28834</v>
      </c>
      <c r="W1459" s="1" t="s">
        <v>28835</v>
      </c>
      <c r="X1459" s="1" t="s">
        <v>201</v>
      </c>
      <c r="Y1459" s="1" t="s">
        <v>28836</v>
      </c>
      <c r="Z1459" s="1" t="s">
        <v>28837</v>
      </c>
      <c r="AA1459" s="1" t="s">
        <v>28838</v>
      </c>
      <c r="AB1459" s="1" t="s">
        <v>28839</v>
      </c>
      <c r="AC1459" s="1" t="s">
        <v>28840</v>
      </c>
      <c r="AD1459" s="1" t="s">
        <v>28841</v>
      </c>
      <c r="AE1459" s="1" t="s">
        <v>28842</v>
      </c>
      <c r="AF1459" s="1" t="s">
        <v>28843</v>
      </c>
      <c r="AG1459" s="1" t="s">
        <v>28844</v>
      </c>
      <c r="AH1459" s="1" t="s">
        <v>211</v>
      </c>
      <c r="AI1459" s="1" t="s">
        <v>28845</v>
      </c>
      <c r="AJ1459" s="1" t="s">
        <v>132</v>
      </c>
      <c r="AK1459" s="1" t="s">
        <v>28846</v>
      </c>
      <c r="AL1459" s="1" t="s">
        <v>28847</v>
      </c>
      <c r="AM1459" s="1" t="s">
        <v>132</v>
      </c>
      <c r="AN1459" s="1" t="s">
        <v>132</v>
      </c>
    </row>
    <row r="1460" ht="15.75" customHeight="1">
      <c r="A1460" s="1" t="s">
        <v>38</v>
      </c>
      <c r="B1460" s="1" t="s">
        <v>28848</v>
      </c>
      <c r="C1460" s="1" t="s">
        <v>28849</v>
      </c>
      <c r="D1460" s="1" t="s">
        <v>132</v>
      </c>
      <c r="E1460" s="1" t="s">
        <v>132</v>
      </c>
      <c r="F1460" s="1" t="s">
        <v>132</v>
      </c>
      <c r="G1460" s="1" t="s">
        <v>132</v>
      </c>
      <c r="H1460" s="1" t="s">
        <v>132</v>
      </c>
      <c r="I1460" s="1" t="s">
        <v>28850</v>
      </c>
      <c r="J1460" s="1" t="s">
        <v>132</v>
      </c>
      <c r="K1460" s="1" t="s">
        <v>28851</v>
      </c>
      <c r="L1460" s="1" t="s">
        <v>132</v>
      </c>
      <c r="M1460" s="1" t="s">
        <v>28852</v>
      </c>
      <c r="N1460" s="1" t="s">
        <v>132</v>
      </c>
      <c r="O1460" s="1" t="s">
        <v>132</v>
      </c>
      <c r="P1460" s="1" t="s">
        <v>28853</v>
      </c>
      <c r="Q1460" s="1" t="s">
        <v>132</v>
      </c>
      <c r="R1460" s="1" t="s">
        <v>132</v>
      </c>
      <c r="S1460" s="1" t="s">
        <v>132</v>
      </c>
      <c r="T1460" s="1" t="s">
        <v>132</v>
      </c>
      <c r="U1460" s="1" t="s">
        <v>132</v>
      </c>
      <c r="V1460" s="1" t="s">
        <v>132</v>
      </c>
      <c r="W1460" s="1" t="s">
        <v>132</v>
      </c>
      <c r="X1460" s="1" t="s">
        <v>132</v>
      </c>
      <c r="Y1460" s="1" t="s">
        <v>132</v>
      </c>
      <c r="Z1460" s="1" t="s">
        <v>132</v>
      </c>
      <c r="AA1460" s="1" t="s">
        <v>132</v>
      </c>
      <c r="AB1460" s="1" t="s">
        <v>132</v>
      </c>
      <c r="AC1460" s="1" t="s">
        <v>28854</v>
      </c>
      <c r="AD1460" s="1" t="s">
        <v>132</v>
      </c>
      <c r="AE1460" s="1" t="s">
        <v>132</v>
      </c>
      <c r="AF1460" s="1" t="s">
        <v>28855</v>
      </c>
      <c r="AG1460" s="1" t="s">
        <v>132</v>
      </c>
      <c r="AH1460" s="1" t="s">
        <v>132</v>
      </c>
      <c r="AI1460" s="1" t="s">
        <v>132</v>
      </c>
      <c r="AJ1460" s="1" t="s">
        <v>132</v>
      </c>
      <c r="AK1460" s="1" t="s">
        <v>132</v>
      </c>
      <c r="AL1460" s="1" t="s">
        <v>132</v>
      </c>
      <c r="AM1460" s="1" t="s">
        <v>132</v>
      </c>
      <c r="AN1460" s="1" t="s">
        <v>132</v>
      </c>
    </row>
    <row r="1461" ht="15.75" customHeight="1">
      <c r="A1461" s="1" t="s">
        <v>38</v>
      </c>
      <c r="B1461" s="1" t="s">
        <v>28856</v>
      </c>
      <c r="C1461" s="1" t="s">
        <v>28857</v>
      </c>
      <c r="D1461" s="1" t="s">
        <v>132</v>
      </c>
      <c r="E1461" s="1" t="s">
        <v>132</v>
      </c>
      <c r="F1461" s="1" t="s">
        <v>132</v>
      </c>
      <c r="G1461" s="1" t="s">
        <v>132</v>
      </c>
      <c r="H1461" s="1" t="s">
        <v>132</v>
      </c>
      <c r="I1461" s="1" t="s">
        <v>28858</v>
      </c>
      <c r="J1461" s="1" t="s">
        <v>132</v>
      </c>
      <c r="K1461" s="1" t="s">
        <v>28858</v>
      </c>
      <c r="L1461" s="1" t="s">
        <v>132</v>
      </c>
      <c r="M1461" s="1" t="s">
        <v>28859</v>
      </c>
      <c r="N1461" s="1" t="s">
        <v>132</v>
      </c>
      <c r="O1461" s="1" t="s">
        <v>132</v>
      </c>
      <c r="P1461" s="1" t="s">
        <v>28857</v>
      </c>
      <c r="Q1461" s="1" t="s">
        <v>132</v>
      </c>
      <c r="R1461" s="1" t="s">
        <v>132</v>
      </c>
      <c r="S1461" s="1" t="s">
        <v>132</v>
      </c>
      <c r="T1461" s="1" t="s">
        <v>132</v>
      </c>
      <c r="U1461" s="1" t="s">
        <v>132</v>
      </c>
      <c r="V1461" s="1" t="s">
        <v>132</v>
      </c>
      <c r="W1461" s="1" t="s">
        <v>132</v>
      </c>
      <c r="X1461" s="1" t="s">
        <v>132</v>
      </c>
      <c r="Y1461" s="1" t="s">
        <v>132</v>
      </c>
      <c r="Z1461" s="1" t="s">
        <v>132</v>
      </c>
      <c r="AA1461" s="1" t="s">
        <v>132</v>
      </c>
      <c r="AB1461" s="1" t="s">
        <v>132</v>
      </c>
      <c r="AC1461" s="1" t="s">
        <v>28860</v>
      </c>
      <c r="AD1461" s="1" t="s">
        <v>132</v>
      </c>
      <c r="AE1461" s="1" t="s">
        <v>132</v>
      </c>
      <c r="AF1461" s="1" t="s">
        <v>28858</v>
      </c>
      <c r="AG1461" s="1" t="s">
        <v>132</v>
      </c>
      <c r="AH1461" s="1" t="s">
        <v>132</v>
      </c>
      <c r="AI1461" s="1" t="s">
        <v>132</v>
      </c>
      <c r="AJ1461" s="1" t="s">
        <v>132</v>
      </c>
      <c r="AK1461" s="1" t="s">
        <v>132</v>
      </c>
      <c r="AL1461" s="1" t="s">
        <v>132</v>
      </c>
      <c r="AM1461" s="1" t="s">
        <v>132</v>
      </c>
      <c r="AN1461" s="1" t="s">
        <v>132</v>
      </c>
    </row>
    <row r="1462" ht="15.75" customHeight="1">
      <c r="A1462" s="1" t="s">
        <v>38</v>
      </c>
      <c r="B1462" s="1" t="s">
        <v>28861</v>
      </c>
      <c r="C1462" s="1" t="s">
        <v>28862</v>
      </c>
      <c r="D1462" s="8" t="s">
        <v>28863</v>
      </c>
      <c r="E1462" s="1" t="s">
        <v>28864</v>
      </c>
      <c r="F1462" s="1" t="s">
        <v>28865</v>
      </c>
      <c r="G1462" s="1" t="s">
        <v>132</v>
      </c>
      <c r="H1462" s="1" t="s">
        <v>132</v>
      </c>
      <c r="I1462" s="1" t="s">
        <v>28866</v>
      </c>
      <c r="J1462" s="1" t="s">
        <v>132</v>
      </c>
      <c r="K1462" s="1" t="s">
        <v>28867</v>
      </c>
      <c r="L1462" s="1" t="s">
        <v>132</v>
      </c>
      <c r="M1462" s="1" t="s">
        <v>28868</v>
      </c>
      <c r="N1462" s="1" t="s">
        <v>28867</v>
      </c>
      <c r="O1462" s="1" t="s">
        <v>132</v>
      </c>
      <c r="P1462" s="1" t="s">
        <v>28869</v>
      </c>
      <c r="Q1462" s="1" t="s">
        <v>28870</v>
      </c>
      <c r="R1462" s="1" t="s">
        <v>132</v>
      </c>
      <c r="S1462" s="1" t="s">
        <v>28871</v>
      </c>
      <c r="T1462" s="1" t="s">
        <v>132</v>
      </c>
      <c r="U1462" s="1" t="s">
        <v>28872</v>
      </c>
      <c r="V1462" s="1" t="s">
        <v>28873</v>
      </c>
      <c r="W1462" s="1" t="s">
        <v>132</v>
      </c>
      <c r="X1462" s="1" t="s">
        <v>28874</v>
      </c>
      <c r="Y1462" s="1" t="s">
        <v>132</v>
      </c>
      <c r="Z1462" s="1" t="s">
        <v>28875</v>
      </c>
      <c r="AA1462" s="1" t="s">
        <v>28867</v>
      </c>
      <c r="AB1462" s="1" t="s">
        <v>132</v>
      </c>
      <c r="AC1462" s="1" t="s">
        <v>28876</v>
      </c>
      <c r="AD1462" s="1" t="s">
        <v>28877</v>
      </c>
      <c r="AE1462" s="1" t="s">
        <v>132</v>
      </c>
      <c r="AF1462" s="1" t="s">
        <v>28878</v>
      </c>
      <c r="AG1462" s="1" t="s">
        <v>28879</v>
      </c>
      <c r="AH1462" s="1" t="s">
        <v>132</v>
      </c>
      <c r="AI1462" s="1" t="s">
        <v>132</v>
      </c>
      <c r="AJ1462" s="1" t="s">
        <v>28880</v>
      </c>
      <c r="AK1462" s="1" t="s">
        <v>28881</v>
      </c>
      <c r="AL1462" s="1" t="s">
        <v>132</v>
      </c>
      <c r="AM1462" s="1" t="s">
        <v>28882</v>
      </c>
      <c r="AN1462" s="1" t="s">
        <v>28882</v>
      </c>
    </row>
    <row r="1463" ht="15.75" customHeight="1">
      <c r="A1463" s="1" t="s">
        <v>38</v>
      </c>
      <c r="B1463" s="1" t="s">
        <v>28883</v>
      </c>
      <c r="C1463" s="1" t="s">
        <v>28884</v>
      </c>
      <c r="D1463" s="1" t="s">
        <v>132</v>
      </c>
      <c r="E1463" s="1" t="s">
        <v>28885</v>
      </c>
      <c r="F1463" s="1" t="s">
        <v>132</v>
      </c>
      <c r="G1463" s="1" t="s">
        <v>132</v>
      </c>
      <c r="H1463" s="1" t="s">
        <v>132</v>
      </c>
      <c r="I1463" s="1" t="s">
        <v>28886</v>
      </c>
      <c r="J1463" s="1" t="s">
        <v>132</v>
      </c>
      <c r="K1463" s="1" t="s">
        <v>28887</v>
      </c>
      <c r="L1463" s="1" t="s">
        <v>132</v>
      </c>
      <c r="M1463" s="1" t="s">
        <v>132</v>
      </c>
      <c r="N1463" s="1" t="s">
        <v>28888</v>
      </c>
      <c r="O1463" s="1" t="s">
        <v>132</v>
      </c>
      <c r="P1463" s="1" t="s">
        <v>28889</v>
      </c>
      <c r="Q1463" s="1" t="s">
        <v>132</v>
      </c>
      <c r="R1463" s="1" t="s">
        <v>132</v>
      </c>
      <c r="S1463" s="1" t="s">
        <v>28890</v>
      </c>
      <c r="T1463" s="1" t="s">
        <v>132</v>
      </c>
      <c r="U1463" s="1" t="s">
        <v>132</v>
      </c>
      <c r="V1463" s="1" t="s">
        <v>132</v>
      </c>
      <c r="W1463" s="1" t="s">
        <v>132</v>
      </c>
      <c r="X1463" s="1" t="s">
        <v>28891</v>
      </c>
      <c r="Y1463" s="1" t="s">
        <v>132</v>
      </c>
      <c r="Z1463" s="1" t="s">
        <v>28892</v>
      </c>
      <c r="AA1463" s="1" t="s">
        <v>132</v>
      </c>
      <c r="AB1463" s="1" t="s">
        <v>132</v>
      </c>
      <c r="AC1463" s="1" t="s">
        <v>132</v>
      </c>
      <c r="AD1463" s="1" t="s">
        <v>132</v>
      </c>
      <c r="AE1463" s="1" t="s">
        <v>132</v>
      </c>
      <c r="AF1463" s="1" t="s">
        <v>132</v>
      </c>
      <c r="AG1463" s="1" t="s">
        <v>132</v>
      </c>
      <c r="AH1463" s="1" t="s">
        <v>132</v>
      </c>
      <c r="AI1463" s="1" t="s">
        <v>132</v>
      </c>
      <c r="AJ1463" s="1" t="s">
        <v>132</v>
      </c>
      <c r="AK1463" s="1" t="s">
        <v>132</v>
      </c>
      <c r="AL1463" s="1" t="s">
        <v>132</v>
      </c>
      <c r="AM1463" s="1" t="s">
        <v>132</v>
      </c>
      <c r="AN1463" s="1" t="s">
        <v>132</v>
      </c>
    </row>
    <row r="1464" ht="15.75" customHeight="1">
      <c r="A1464" s="1" t="s">
        <v>127</v>
      </c>
      <c r="B1464" s="1" t="s">
        <v>28893</v>
      </c>
      <c r="C1464" s="1" t="s">
        <v>28894</v>
      </c>
      <c r="D1464" s="8" t="s">
        <v>28895</v>
      </c>
      <c r="E1464" s="1" t="s">
        <v>28896</v>
      </c>
      <c r="F1464" s="1" t="s">
        <v>132</v>
      </c>
      <c r="G1464" s="1" t="s">
        <v>28897</v>
      </c>
      <c r="H1464" s="1" t="s">
        <v>28898</v>
      </c>
      <c r="I1464" s="1" t="s">
        <v>28899</v>
      </c>
      <c r="J1464" s="1" t="s">
        <v>28900</v>
      </c>
      <c r="K1464" s="1" t="s">
        <v>28901</v>
      </c>
      <c r="L1464" s="1" t="s">
        <v>28902</v>
      </c>
      <c r="M1464" s="1" t="s">
        <v>28903</v>
      </c>
      <c r="N1464" s="1" t="s">
        <v>132</v>
      </c>
      <c r="O1464" s="1" t="s">
        <v>28904</v>
      </c>
      <c r="P1464" s="1" t="s">
        <v>28905</v>
      </c>
      <c r="Q1464" s="1" t="s">
        <v>132</v>
      </c>
      <c r="R1464" s="1" t="s">
        <v>28906</v>
      </c>
      <c r="S1464" s="1" t="s">
        <v>28907</v>
      </c>
      <c r="T1464" s="8" t="s">
        <v>28908</v>
      </c>
      <c r="U1464" s="1" t="s">
        <v>28909</v>
      </c>
      <c r="V1464" s="1" t="s">
        <v>28910</v>
      </c>
      <c r="W1464" s="1" t="s">
        <v>28906</v>
      </c>
      <c r="X1464" s="1" t="s">
        <v>28911</v>
      </c>
      <c r="Y1464" s="1" t="s">
        <v>28898</v>
      </c>
      <c r="Z1464" s="1" t="s">
        <v>28912</v>
      </c>
      <c r="AA1464" s="1" t="s">
        <v>28913</v>
      </c>
      <c r="AB1464" s="1" t="s">
        <v>28914</v>
      </c>
      <c r="AC1464" s="1" t="s">
        <v>28896</v>
      </c>
      <c r="AD1464" s="1" t="s">
        <v>28915</v>
      </c>
      <c r="AE1464" s="1" t="s">
        <v>28916</v>
      </c>
      <c r="AF1464" s="1" t="s">
        <v>28917</v>
      </c>
      <c r="AG1464" s="1" t="s">
        <v>28918</v>
      </c>
      <c r="AH1464" s="1" t="s">
        <v>28919</v>
      </c>
      <c r="AI1464" s="1" t="s">
        <v>28920</v>
      </c>
      <c r="AJ1464" s="1" t="s">
        <v>132</v>
      </c>
      <c r="AK1464" s="1" t="s">
        <v>28921</v>
      </c>
      <c r="AL1464" s="1" t="s">
        <v>28922</v>
      </c>
      <c r="AM1464" s="1" t="s">
        <v>28923</v>
      </c>
      <c r="AN1464" s="1" t="s">
        <v>28923</v>
      </c>
    </row>
    <row r="1465" ht="15.75" customHeight="1">
      <c r="A1465" s="1" t="s">
        <v>38</v>
      </c>
      <c r="B1465" s="1" t="s">
        <v>28924</v>
      </c>
      <c r="C1465" s="1" t="s">
        <v>28925</v>
      </c>
      <c r="D1465" s="1" t="s">
        <v>132</v>
      </c>
      <c r="E1465" s="1" t="s">
        <v>28926</v>
      </c>
      <c r="F1465" s="1" t="s">
        <v>28927</v>
      </c>
      <c r="G1465" s="1" t="s">
        <v>132</v>
      </c>
      <c r="H1465" s="1" t="s">
        <v>132</v>
      </c>
      <c r="I1465" s="1" t="s">
        <v>28929</v>
      </c>
      <c r="J1465" s="1" t="s">
        <v>132</v>
      </c>
      <c r="K1465" s="1" t="s">
        <v>28930</v>
      </c>
      <c r="L1465" s="1" t="s">
        <v>132</v>
      </c>
      <c r="M1465" s="1" t="s">
        <v>28932</v>
      </c>
      <c r="N1465" s="1" t="s">
        <v>28933</v>
      </c>
      <c r="O1465" s="1" t="s">
        <v>132</v>
      </c>
      <c r="P1465" s="1" t="s">
        <v>28934</v>
      </c>
      <c r="Q1465" s="1" t="s">
        <v>132</v>
      </c>
      <c r="R1465" s="1" t="s">
        <v>132</v>
      </c>
      <c r="S1465" s="1" t="s">
        <v>28936</v>
      </c>
      <c r="T1465" s="1" t="s">
        <v>132</v>
      </c>
      <c r="U1465" s="1" t="s">
        <v>132</v>
      </c>
      <c r="V1465" s="1" t="s">
        <v>132</v>
      </c>
      <c r="W1465" s="1" t="s">
        <v>132</v>
      </c>
      <c r="X1465" s="1" t="s">
        <v>28939</v>
      </c>
      <c r="Y1465" s="1" t="s">
        <v>132</v>
      </c>
      <c r="Z1465" s="1" t="s">
        <v>28941</v>
      </c>
      <c r="AA1465" s="1" t="s">
        <v>132</v>
      </c>
      <c r="AB1465" s="1" t="s">
        <v>132</v>
      </c>
      <c r="AC1465" s="1" t="s">
        <v>132</v>
      </c>
      <c r="AD1465" s="1" t="s">
        <v>132</v>
      </c>
      <c r="AE1465" s="1" t="s">
        <v>132</v>
      </c>
      <c r="AF1465" s="1" t="s">
        <v>132</v>
      </c>
      <c r="AG1465" s="1" t="s">
        <v>132</v>
      </c>
      <c r="AH1465" s="1" t="s">
        <v>132</v>
      </c>
      <c r="AI1465" s="1" t="s">
        <v>132</v>
      </c>
      <c r="AJ1465" s="1" t="s">
        <v>132</v>
      </c>
      <c r="AK1465" s="1" t="s">
        <v>132</v>
      </c>
      <c r="AL1465" s="1" t="s">
        <v>132</v>
      </c>
      <c r="AM1465" s="1" t="s">
        <v>132</v>
      </c>
      <c r="AN1465" s="1" t="s">
        <v>132</v>
      </c>
    </row>
    <row r="1466" ht="15.75" customHeight="1">
      <c r="A1466" s="1" t="s">
        <v>38</v>
      </c>
      <c r="B1466" s="1" t="s">
        <v>28945</v>
      </c>
      <c r="C1466" s="1" t="s">
        <v>28946</v>
      </c>
      <c r="D1466" s="8" t="s">
        <v>28947</v>
      </c>
      <c r="E1466" s="1" t="s">
        <v>28948</v>
      </c>
      <c r="F1466" s="1" t="s">
        <v>28949</v>
      </c>
      <c r="G1466" s="1" t="s">
        <v>132</v>
      </c>
      <c r="H1466" s="1" t="s">
        <v>132</v>
      </c>
      <c r="I1466" s="1" t="s">
        <v>28950</v>
      </c>
      <c r="J1466" s="1" t="s">
        <v>132</v>
      </c>
      <c r="K1466" s="1" t="s">
        <v>28951</v>
      </c>
      <c r="L1466" s="1" t="s">
        <v>132</v>
      </c>
      <c r="M1466" s="1" t="s">
        <v>28952</v>
      </c>
      <c r="N1466" s="1" t="s">
        <v>28953</v>
      </c>
      <c r="O1466" s="1" t="s">
        <v>132</v>
      </c>
      <c r="P1466" s="1" t="s">
        <v>28954</v>
      </c>
      <c r="Q1466" s="1" t="s">
        <v>28955</v>
      </c>
      <c r="R1466" s="1" t="s">
        <v>132</v>
      </c>
      <c r="S1466" s="1" t="s">
        <v>28956</v>
      </c>
      <c r="T1466" s="1" t="s">
        <v>132</v>
      </c>
      <c r="U1466" s="1" t="s">
        <v>28957</v>
      </c>
      <c r="V1466" s="1" t="s">
        <v>28958</v>
      </c>
      <c r="W1466" s="1" t="s">
        <v>132</v>
      </c>
      <c r="X1466" s="1" t="s">
        <v>28959</v>
      </c>
      <c r="Y1466" s="1" t="s">
        <v>132</v>
      </c>
      <c r="Z1466" s="1" t="s">
        <v>28960</v>
      </c>
      <c r="AA1466" s="1" t="s">
        <v>28961</v>
      </c>
      <c r="AB1466" s="1" t="s">
        <v>132</v>
      </c>
      <c r="AC1466" s="1" t="s">
        <v>28962</v>
      </c>
      <c r="AD1466" s="1" t="s">
        <v>28963</v>
      </c>
      <c r="AE1466" s="1" t="s">
        <v>132</v>
      </c>
      <c r="AF1466" s="1" t="s">
        <v>28964</v>
      </c>
      <c r="AG1466" s="1" t="s">
        <v>28965</v>
      </c>
      <c r="AH1466" s="1" t="s">
        <v>132</v>
      </c>
      <c r="AI1466" s="1" t="s">
        <v>132</v>
      </c>
      <c r="AJ1466" s="1" t="s">
        <v>28966</v>
      </c>
      <c r="AK1466" s="1" t="s">
        <v>28967</v>
      </c>
      <c r="AL1466" s="1" t="s">
        <v>132</v>
      </c>
      <c r="AM1466" s="1" t="s">
        <v>28968</v>
      </c>
      <c r="AN1466" s="1" t="s">
        <v>28968</v>
      </c>
    </row>
    <row r="1467" ht="15.75" customHeight="1">
      <c r="A1467" s="1" t="s">
        <v>127</v>
      </c>
      <c r="B1467" s="1" t="s">
        <v>28969</v>
      </c>
      <c r="C1467" s="1" t="s">
        <v>13028</v>
      </c>
      <c r="D1467" s="8" t="s">
        <v>13029</v>
      </c>
      <c r="E1467" s="1" t="s">
        <v>13030</v>
      </c>
      <c r="F1467" s="1" t="s">
        <v>132</v>
      </c>
      <c r="G1467" s="1" t="s">
        <v>13028</v>
      </c>
      <c r="H1467" s="1" t="s">
        <v>13028</v>
      </c>
      <c r="I1467" s="1" t="s">
        <v>13028</v>
      </c>
      <c r="J1467" s="1" t="s">
        <v>13028</v>
      </c>
      <c r="K1467" s="1" t="s">
        <v>13028</v>
      </c>
      <c r="L1467" s="1" t="s">
        <v>13028</v>
      </c>
      <c r="M1467" s="1" t="s">
        <v>13028</v>
      </c>
      <c r="N1467" s="1" t="s">
        <v>132</v>
      </c>
      <c r="O1467" s="1" t="s">
        <v>13031</v>
      </c>
      <c r="P1467" s="1" t="s">
        <v>13028</v>
      </c>
      <c r="Q1467" s="1" t="s">
        <v>132</v>
      </c>
      <c r="R1467" s="1" t="s">
        <v>13028</v>
      </c>
      <c r="S1467" s="1" t="s">
        <v>13028</v>
      </c>
      <c r="T1467" s="8" t="s">
        <v>28970</v>
      </c>
      <c r="U1467" s="1" t="s">
        <v>13032</v>
      </c>
      <c r="V1467" s="1" t="s">
        <v>13033</v>
      </c>
      <c r="W1467" s="1" t="s">
        <v>13028</v>
      </c>
      <c r="X1467" s="1" t="s">
        <v>13028</v>
      </c>
      <c r="Y1467" s="1" t="s">
        <v>13028</v>
      </c>
      <c r="Z1467" s="1" t="s">
        <v>13028</v>
      </c>
      <c r="AA1467" s="1" t="s">
        <v>13028</v>
      </c>
      <c r="AB1467" s="1" t="s">
        <v>13028</v>
      </c>
      <c r="AC1467" s="1" t="s">
        <v>13030</v>
      </c>
      <c r="AD1467" s="1" t="s">
        <v>13028</v>
      </c>
      <c r="AE1467" s="1" t="s">
        <v>13028</v>
      </c>
      <c r="AF1467" s="1" t="s">
        <v>13028</v>
      </c>
      <c r="AG1467" s="1" t="s">
        <v>13028</v>
      </c>
      <c r="AH1467" s="1" t="s">
        <v>13028</v>
      </c>
      <c r="AI1467" s="1" t="s">
        <v>13028</v>
      </c>
      <c r="AJ1467" s="1" t="s">
        <v>132</v>
      </c>
      <c r="AK1467" s="1" t="s">
        <v>13028</v>
      </c>
      <c r="AL1467" s="1" t="s">
        <v>13034</v>
      </c>
      <c r="AM1467" s="1" t="s">
        <v>28971</v>
      </c>
      <c r="AN1467" s="1" t="s">
        <v>28971</v>
      </c>
    </row>
    <row r="1468" ht="15.75" customHeight="1">
      <c r="A1468" s="1" t="s">
        <v>38</v>
      </c>
      <c r="B1468" s="1" t="s">
        <v>28972</v>
      </c>
      <c r="C1468" s="1" t="s">
        <v>28973</v>
      </c>
      <c r="D1468" s="1" t="s">
        <v>132</v>
      </c>
      <c r="E1468" s="1" t="s">
        <v>132</v>
      </c>
      <c r="F1468" s="1" t="s">
        <v>132</v>
      </c>
      <c r="G1468" s="1" t="s">
        <v>132</v>
      </c>
      <c r="H1468" s="1" t="s">
        <v>132</v>
      </c>
      <c r="I1468" s="1" t="s">
        <v>28973</v>
      </c>
      <c r="J1468" s="1" t="s">
        <v>132</v>
      </c>
      <c r="K1468" s="1" t="s">
        <v>28973</v>
      </c>
      <c r="L1468" s="1" t="s">
        <v>132</v>
      </c>
      <c r="M1468" s="1" t="s">
        <v>28973</v>
      </c>
      <c r="N1468" s="1" t="s">
        <v>132</v>
      </c>
      <c r="O1468" s="1" t="s">
        <v>132</v>
      </c>
      <c r="P1468" s="1" t="s">
        <v>28973</v>
      </c>
      <c r="Q1468" s="1" t="s">
        <v>132</v>
      </c>
      <c r="R1468" s="1" t="s">
        <v>132</v>
      </c>
      <c r="S1468" s="1" t="s">
        <v>132</v>
      </c>
      <c r="T1468" s="1" t="s">
        <v>132</v>
      </c>
      <c r="U1468" s="1" t="s">
        <v>132</v>
      </c>
      <c r="V1468" s="1" t="s">
        <v>132</v>
      </c>
      <c r="W1468" s="1" t="s">
        <v>132</v>
      </c>
      <c r="X1468" s="1" t="s">
        <v>132</v>
      </c>
      <c r="Y1468" s="1" t="s">
        <v>132</v>
      </c>
      <c r="Z1468" s="1" t="s">
        <v>132</v>
      </c>
      <c r="AA1468" s="1" t="s">
        <v>132</v>
      </c>
      <c r="AB1468" s="1" t="s">
        <v>132</v>
      </c>
      <c r="AC1468" s="1" t="s">
        <v>28974</v>
      </c>
      <c r="AD1468" s="1" t="s">
        <v>132</v>
      </c>
      <c r="AE1468" s="1" t="s">
        <v>132</v>
      </c>
      <c r="AF1468" s="1" t="s">
        <v>28973</v>
      </c>
      <c r="AG1468" s="1" t="s">
        <v>132</v>
      </c>
      <c r="AH1468" s="1" t="s">
        <v>132</v>
      </c>
      <c r="AI1468" s="1" t="s">
        <v>132</v>
      </c>
      <c r="AJ1468" s="1" t="s">
        <v>132</v>
      </c>
      <c r="AK1468" s="1" t="s">
        <v>132</v>
      </c>
      <c r="AL1468" s="1" t="s">
        <v>132</v>
      </c>
      <c r="AM1468" s="1" t="s">
        <v>132</v>
      </c>
      <c r="AN1468" s="1" t="s">
        <v>132</v>
      </c>
    </row>
    <row r="1469" ht="15.75" customHeight="1">
      <c r="A1469" s="1" t="s">
        <v>38</v>
      </c>
      <c r="B1469" s="1" t="s">
        <v>28975</v>
      </c>
      <c r="C1469" s="1" t="s">
        <v>28976</v>
      </c>
      <c r="D1469" s="1" t="s">
        <v>132</v>
      </c>
      <c r="E1469" s="1" t="s">
        <v>28977</v>
      </c>
      <c r="F1469" s="1" t="s">
        <v>132</v>
      </c>
      <c r="G1469" s="1" t="s">
        <v>132</v>
      </c>
      <c r="H1469" s="1" t="s">
        <v>132</v>
      </c>
      <c r="I1469" s="1" t="s">
        <v>28978</v>
      </c>
      <c r="J1469" s="1" t="s">
        <v>132</v>
      </c>
      <c r="K1469" s="1" t="s">
        <v>28979</v>
      </c>
      <c r="L1469" s="1" t="s">
        <v>132</v>
      </c>
      <c r="M1469" s="1" t="s">
        <v>28980</v>
      </c>
      <c r="N1469" s="1" t="s">
        <v>28981</v>
      </c>
      <c r="O1469" s="1" t="s">
        <v>132</v>
      </c>
      <c r="P1469" s="1" t="s">
        <v>28982</v>
      </c>
      <c r="Q1469" s="1" t="s">
        <v>132</v>
      </c>
      <c r="R1469" s="1" t="s">
        <v>132</v>
      </c>
      <c r="S1469" s="1" t="s">
        <v>28983</v>
      </c>
      <c r="T1469" s="1" t="s">
        <v>132</v>
      </c>
      <c r="U1469" s="1" t="s">
        <v>132</v>
      </c>
      <c r="V1469" s="1" t="s">
        <v>132</v>
      </c>
      <c r="W1469" s="1" t="s">
        <v>132</v>
      </c>
      <c r="X1469" s="1" t="s">
        <v>28984</v>
      </c>
      <c r="Y1469" s="1" t="s">
        <v>132</v>
      </c>
      <c r="Z1469" s="1" t="s">
        <v>28985</v>
      </c>
      <c r="AA1469" s="1" t="s">
        <v>132</v>
      </c>
      <c r="AB1469" s="1" t="s">
        <v>132</v>
      </c>
      <c r="AC1469" s="1" t="s">
        <v>132</v>
      </c>
      <c r="AD1469" s="1" t="s">
        <v>132</v>
      </c>
      <c r="AE1469" s="1" t="s">
        <v>132</v>
      </c>
      <c r="AF1469" s="1" t="s">
        <v>132</v>
      </c>
      <c r="AG1469" s="1" t="s">
        <v>132</v>
      </c>
      <c r="AH1469" s="1" t="s">
        <v>132</v>
      </c>
      <c r="AI1469" s="1" t="s">
        <v>132</v>
      </c>
      <c r="AJ1469" s="1" t="s">
        <v>132</v>
      </c>
      <c r="AK1469" s="1" t="s">
        <v>132</v>
      </c>
      <c r="AL1469" s="1" t="s">
        <v>132</v>
      </c>
      <c r="AM1469" s="1" t="s">
        <v>132</v>
      </c>
      <c r="AN1469" s="1" t="s">
        <v>132</v>
      </c>
    </row>
    <row r="1470" ht="15.75" customHeight="1">
      <c r="A1470" s="1" t="s">
        <v>38</v>
      </c>
      <c r="B1470" s="1" t="s">
        <v>28986</v>
      </c>
      <c r="C1470" s="1" t="s">
        <v>28987</v>
      </c>
      <c r="D1470" s="8" t="s">
        <v>28988</v>
      </c>
      <c r="E1470" s="1" t="s">
        <v>28989</v>
      </c>
      <c r="F1470" s="1" t="s">
        <v>28990</v>
      </c>
      <c r="G1470" s="1" t="s">
        <v>132</v>
      </c>
      <c r="H1470" s="1" t="s">
        <v>132</v>
      </c>
      <c r="I1470" s="1" t="s">
        <v>28991</v>
      </c>
      <c r="J1470" s="1" t="s">
        <v>132</v>
      </c>
      <c r="K1470" s="1" t="s">
        <v>28992</v>
      </c>
      <c r="L1470" s="1" t="s">
        <v>132</v>
      </c>
      <c r="M1470" s="1" t="s">
        <v>28993</v>
      </c>
      <c r="N1470" s="1" t="s">
        <v>28994</v>
      </c>
      <c r="O1470" s="1" t="s">
        <v>132</v>
      </c>
      <c r="P1470" s="1" t="s">
        <v>28995</v>
      </c>
      <c r="Q1470" s="1" t="s">
        <v>28996</v>
      </c>
      <c r="R1470" s="1" t="s">
        <v>132</v>
      </c>
      <c r="S1470" s="1" t="s">
        <v>28997</v>
      </c>
      <c r="T1470" s="1" t="s">
        <v>132</v>
      </c>
      <c r="U1470" s="1" t="s">
        <v>28998</v>
      </c>
      <c r="V1470" s="1" t="s">
        <v>28999</v>
      </c>
      <c r="W1470" s="1" t="s">
        <v>132</v>
      </c>
      <c r="X1470" s="1" t="s">
        <v>29000</v>
      </c>
      <c r="Y1470" s="1" t="s">
        <v>132</v>
      </c>
      <c r="Z1470" s="1" t="s">
        <v>29001</v>
      </c>
      <c r="AA1470" s="1" t="s">
        <v>29002</v>
      </c>
      <c r="AB1470" s="1" t="s">
        <v>132</v>
      </c>
      <c r="AC1470" s="1" t="s">
        <v>29003</v>
      </c>
      <c r="AD1470" s="1" t="s">
        <v>29004</v>
      </c>
      <c r="AE1470" s="1" t="s">
        <v>132</v>
      </c>
      <c r="AF1470" s="1" t="s">
        <v>29005</v>
      </c>
      <c r="AG1470" s="1" t="s">
        <v>29006</v>
      </c>
      <c r="AH1470" s="1" t="s">
        <v>132</v>
      </c>
      <c r="AI1470" s="1" t="s">
        <v>132</v>
      </c>
      <c r="AJ1470" s="1" t="s">
        <v>29007</v>
      </c>
      <c r="AK1470" s="1" t="s">
        <v>29008</v>
      </c>
      <c r="AL1470" s="1" t="s">
        <v>132</v>
      </c>
      <c r="AM1470" s="1" t="s">
        <v>29009</v>
      </c>
      <c r="AN1470" s="1" t="s">
        <v>29009</v>
      </c>
    </row>
    <row r="1471" ht="15.75" customHeight="1">
      <c r="A1471" s="1" t="s">
        <v>127</v>
      </c>
      <c r="B1471" s="1" t="s">
        <v>29010</v>
      </c>
      <c r="C1471" s="1" t="s">
        <v>3286</v>
      </c>
      <c r="D1471" s="8" t="s">
        <v>3287</v>
      </c>
      <c r="E1471" s="1" t="s">
        <v>3288</v>
      </c>
      <c r="F1471" s="1" t="s">
        <v>132</v>
      </c>
      <c r="G1471" s="1" t="s">
        <v>3289</v>
      </c>
      <c r="H1471" s="1" t="s">
        <v>3290</v>
      </c>
      <c r="I1471" s="1" t="s">
        <v>29011</v>
      </c>
      <c r="J1471" s="1" t="s">
        <v>3292</v>
      </c>
      <c r="K1471" s="1" t="s">
        <v>29012</v>
      </c>
      <c r="L1471" s="1" t="s">
        <v>3294</v>
      </c>
      <c r="M1471" s="1" t="s">
        <v>3295</v>
      </c>
      <c r="N1471" s="1" t="s">
        <v>132</v>
      </c>
      <c r="O1471" s="1" t="s">
        <v>3296</v>
      </c>
      <c r="P1471" s="1" t="s">
        <v>3286</v>
      </c>
      <c r="Q1471" s="1" t="s">
        <v>132</v>
      </c>
      <c r="R1471" s="1" t="s">
        <v>3298</v>
      </c>
      <c r="S1471" s="1" t="s">
        <v>3299</v>
      </c>
      <c r="T1471" s="8" t="s">
        <v>3300</v>
      </c>
      <c r="U1471" s="1" t="s">
        <v>3301</v>
      </c>
      <c r="V1471" s="1" t="s">
        <v>3302</v>
      </c>
      <c r="W1471" s="1" t="s">
        <v>3298</v>
      </c>
      <c r="X1471" s="1" t="s">
        <v>29013</v>
      </c>
      <c r="Y1471" s="1" t="s">
        <v>3304</v>
      </c>
      <c r="Z1471" s="1" t="s">
        <v>3305</v>
      </c>
      <c r="AA1471" s="1" t="s">
        <v>29014</v>
      </c>
      <c r="AB1471" s="1" t="s">
        <v>3307</v>
      </c>
      <c r="AC1471" s="1" t="s">
        <v>3308</v>
      </c>
      <c r="AD1471" s="1" t="s">
        <v>3309</v>
      </c>
      <c r="AE1471" s="1" t="s">
        <v>3310</v>
      </c>
      <c r="AF1471" s="1" t="s">
        <v>29015</v>
      </c>
      <c r="AG1471" s="1" t="s">
        <v>3312</v>
      </c>
      <c r="AH1471" s="1" t="s">
        <v>3313</v>
      </c>
      <c r="AI1471" s="1" t="s">
        <v>29016</v>
      </c>
      <c r="AJ1471" s="1" t="s">
        <v>132</v>
      </c>
      <c r="AK1471" s="1" t="s">
        <v>3315</v>
      </c>
      <c r="AL1471" s="1" t="s">
        <v>29017</v>
      </c>
      <c r="AM1471" s="1" t="s">
        <v>132</v>
      </c>
      <c r="AN1471" s="1" t="s">
        <v>132</v>
      </c>
    </row>
    <row r="1472" ht="15.75" customHeight="1">
      <c r="A1472" s="1" t="s">
        <v>127</v>
      </c>
      <c r="B1472" s="1" t="s">
        <v>29018</v>
      </c>
      <c r="C1472" s="1" t="s">
        <v>132</v>
      </c>
      <c r="D1472" s="8" t="s">
        <v>29019</v>
      </c>
      <c r="E1472" s="1" t="s">
        <v>132</v>
      </c>
      <c r="F1472" s="1" t="s">
        <v>132</v>
      </c>
      <c r="G1472" s="1" t="s">
        <v>132</v>
      </c>
      <c r="H1472" s="1" t="s">
        <v>132</v>
      </c>
      <c r="I1472" s="1" t="s">
        <v>132</v>
      </c>
      <c r="J1472" s="1" t="s">
        <v>132</v>
      </c>
      <c r="K1472" s="1" t="s">
        <v>132</v>
      </c>
      <c r="L1472" s="1" t="s">
        <v>132</v>
      </c>
      <c r="M1472" s="1" t="s">
        <v>132</v>
      </c>
      <c r="N1472" s="1" t="s">
        <v>132</v>
      </c>
      <c r="O1472" s="1" t="s">
        <v>132</v>
      </c>
      <c r="P1472" s="1" t="s">
        <v>132</v>
      </c>
      <c r="Q1472" s="1" t="s">
        <v>132</v>
      </c>
      <c r="R1472" s="1" t="s">
        <v>132</v>
      </c>
      <c r="S1472" s="1" t="s">
        <v>132</v>
      </c>
      <c r="T1472" s="1" t="s">
        <v>132</v>
      </c>
      <c r="U1472" s="1" t="s">
        <v>132</v>
      </c>
      <c r="V1472" s="1" t="s">
        <v>29020</v>
      </c>
      <c r="W1472" s="1" t="s">
        <v>147</v>
      </c>
      <c r="X1472" s="1" t="s">
        <v>132</v>
      </c>
      <c r="Y1472" s="1" t="s">
        <v>132</v>
      </c>
      <c r="Z1472" s="1" t="s">
        <v>132</v>
      </c>
      <c r="AA1472" s="1" t="s">
        <v>132</v>
      </c>
      <c r="AB1472" s="1" t="s">
        <v>132</v>
      </c>
      <c r="AC1472" s="1" t="s">
        <v>132</v>
      </c>
      <c r="AD1472" s="1" t="s">
        <v>132</v>
      </c>
      <c r="AE1472" s="1" t="s">
        <v>132</v>
      </c>
      <c r="AF1472" s="1" t="s">
        <v>132</v>
      </c>
      <c r="AG1472" s="1" t="s">
        <v>132</v>
      </c>
      <c r="AH1472" s="1" t="s">
        <v>132</v>
      </c>
      <c r="AI1472" s="1" t="s">
        <v>132</v>
      </c>
      <c r="AJ1472" s="1" t="s">
        <v>132</v>
      </c>
      <c r="AK1472" s="1" t="s">
        <v>132</v>
      </c>
      <c r="AL1472" s="1" t="s">
        <v>132</v>
      </c>
      <c r="AM1472" s="1" t="s">
        <v>132</v>
      </c>
      <c r="AN1472" s="1" t="s">
        <v>132</v>
      </c>
    </row>
    <row r="1473" ht="15.75" customHeight="1">
      <c r="A1473" s="1" t="s">
        <v>127</v>
      </c>
      <c r="B1473" s="1" t="s">
        <v>29021</v>
      </c>
      <c r="C1473" s="1" t="s">
        <v>22215</v>
      </c>
      <c r="D1473" s="8" t="s">
        <v>22216</v>
      </c>
      <c r="E1473" s="1" t="s">
        <v>16637</v>
      </c>
      <c r="F1473" s="1" t="s">
        <v>132</v>
      </c>
      <c r="G1473" s="1" t="s">
        <v>22217</v>
      </c>
      <c r="H1473" s="1" t="s">
        <v>22218</v>
      </c>
      <c r="I1473" s="1" t="s">
        <v>22219</v>
      </c>
      <c r="J1473" s="1" t="s">
        <v>22220</v>
      </c>
      <c r="K1473" s="1" t="s">
        <v>22221</v>
      </c>
      <c r="L1473" s="1" t="s">
        <v>22222</v>
      </c>
      <c r="M1473" s="1" t="s">
        <v>22223</v>
      </c>
      <c r="N1473" s="1" t="s">
        <v>132</v>
      </c>
      <c r="O1473" s="1" t="s">
        <v>22224</v>
      </c>
      <c r="P1473" s="1" t="s">
        <v>16646</v>
      </c>
      <c r="Q1473" s="1" t="s">
        <v>132</v>
      </c>
      <c r="R1473" s="1" t="s">
        <v>22225</v>
      </c>
      <c r="S1473" s="1" t="s">
        <v>29022</v>
      </c>
      <c r="T1473" s="8" t="s">
        <v>22227</v>
      </c>
      <c r="U1473" s="1" t="s">
        <v>29023</v>
      </c>
      <c r="V1473" s="1" t="s">
        <v>22229</v>
      </c>
      <c r="W1473" s="1" t="s">
        <v>22225</v>
      </c>
      <c r="X1473" s="1" t="s">
        <v>22230</v>
      </c>
      <c r="Y1473" s="1" t="s">
        <v>22231</v>
      </c>
      <c r="Z1473" s="1" t="s">
        <v>29024</v>
      </c>
      <c r="AA1473" s="1" t="s">
        <v>22221</v>
      </c>
      <c r="AB1473" s="1" t="s">
        <v>22233</v>
      </c>
      <c r="AC1473" s="1" t="s">
        <v>22234</v>
      </c>
      <c r="AD1473" s="1" t="s">
        <v>22235</v>
      </c>
      <c r="AE1473" s="1" t="s">
        <v>22236</v>
      </c>
      <c r="AF1473" s="1" t="s">
        <v>29025</v>
      </c>
      <c r="AG1473" s="1" t="s">
        <v>22238</v>
      </c>
      <c r="AH1473" s="1" t="s">
        <v>22239</v>
      </c>
      <c r="AI1473" s="1" t="s">
        <v>29026</v>
      </c>
      <c r="AJ1473" s="1" t="s">
        <v>132</v>
      </c>
      <c r="AK1473" s="1" t="s">
        <v>16660</v>
      </c>
      <c r="AL1473" s="1" t="s">
        <v>22241</v>
      </c>
      <c r="AM1473" s="1" t="s">
        <v>22242</v>
      </c>
      <c r="AN1473" s="1" t="s">
        <v>22242</v>
      </c>
    </row>
    <row r="1474" ht="15.75" customHeight="1">
      <c r="A1474" s="1" t="s">
        <v>127</v>
      </c>
      <c r="B1474" s="1" t="s">
        <v>29027</v>
      </c>
      <c r="C1474" s="1" t="s">
        <v>29028</v>
      </c>
      <c r="D1474" s="8" t="s">
        <v>29029</v>
      </c>
      <c r="E1474" s="1" t="s">
        <v>29030</v>
      </c>
      <c r="F1474" s="1" t="s">
        <v>132</v>
      </c>
      <c r="G1474" s="1" t="s">
        <v>29031</v>
      </c>
      <c r="H1474" s="1" t="s">
        <v>29032</v>
      </c>
      <c r="I1474" s="1" t="s">
        <v>29033</v>
      </c>
      <c r="J1474" s="1" t="s">
        <v>29034</v>
      </c>
      <c r="K1474" s="1" t="s">
        <v>29035</v>
      </c>
      <c r="L1474" s="1" t="s">
        <v>29036</v>
      </c>
      <c r="M1474" s="1" t="s">
        <v>29037</v>
      </c>
      <c r="N1474" s="1" t="s">
        <v>132</v>
      </c>
      <c r="O1474" s="1" t="s">
        <v>29038</v>
      </c>
      <c r="P1474" s="1" t="s">
        <v>29039</v>
      </c>
      <c r="Q1474" s="1" t="s">
        <v>132</v>
      </c>
      <c r="R1474" s="1" t="s">
        <v>29040</v>
      </c>
      <c r="S1474" s="1" t="s">
        <v>29041</v>
      </c>
      <c r="T1474" s="8" t="s">
        <v>29042</v>
      </c>
      <c r="U1474" s="1" t="s">
        <v>29043</v>
      </c>
      <c r="V1474" s="1" t="s">
        <v>29044</v>
      </c>
      <c r="W1474" s="1" t="s">
        <v>29045</v>
      </c>
      <c r="X1474" s="1" t="s">
        <v>29046</v>
      </c>
      <c r="Y1474" s="1" t="s">
        <v>29047</v>
      </c>
      <c r="Z1474" s="1" t="s">
        <v>29048</v>
      </c>
      <c r="AA1474" s="1" t="s">
        <v>29049</v>
      </c>
      <c r="AB1474" s="1" t="s">
        <v>29050</v>
      </c>
      <c r="AC1474" s="1" t="s">
        <v>29051</v>
      </c>
      <c r="AD1474" s="1" t="s">
        <v>29052</v>
      </c>
      <c r="AE1474" s="1" t="s">
        <v>29053</v>
      </c>
      <c r="AF1474" s="1" t="s">
        <v>29054</v>
      </c>
      <c r="AG1474" s="1" t="s">
        <v>29055</v>
      </c>
      <c r="AH1474" s="1" t="s">
        <v>29056</v>
      </c>
      <c r="AI1474" s="1" t="s">
        <v>29057</v>
      </c>
      <c r="AJ1474" s="1" t="s">
        <v>132</v>
      </c>
      <c r="AK1474" s="1" t="s">
        <v>29058</v>
      </c>
      <c r="AL1474" s="1" t="s">
        <v>29059</v>
      </c>
      <c r="AM1474" s="1" t="s">
        <v>29060</v>
      </c>
      <c r="AN1474" s="1" t="s">
        <v>29060</v>
      </c>
    </row>
    <row r="1475" ht="15.75" customHeight="1">
      <c r="A1475" s="1" t="s">
        <v>38</v>
      </c>
      <c r="B1475" s="1" t="s">
        <v>29061</v>
      </c>
      <c r="C1475" s="1" t="s">
        <v>28862</v>
      </c>
      <c r="D1475" s="8" t="s">
        <v>29062</v>
      </c>
      <c r="E1475" s="1" t="s">
        <v>29063</v>
      </c>
      <c r="F1475" s="1" t="s">
        <v>28865</v>
      </c>
      <c r="G1475" s="1" t="s">
        <v>132</v>
      </c>
      <c r="H1475" s="1" t="s">
        <v>132</v>
      </c>
      <c r="I1475" s="1" t="s">
        <v>28866</v>
      </c>
      <c r="J1475" s="1" t="s">
        <v>132</v>
      </c>
      <c r="K1475" s="1" t="s">
        <v>28867</v>
      </c>
      <c r="L1475" s="1" t="s">
        <v>132</v>
      </c>
      <c r="M1475" s="1" t="s">
        <v>28868</v>
      </c>
      <c r="N1475" s="1" t="s">
        <v>28867</v>
      </c>
      <c r="O1475" s="1" t="s">
        <v>132</v>
      </c>
      <c r="P1475" s="1" t="s">
        <v>28869</v>
      </c>
      <c r="Q1475" s="1" t="s">
        <v>28870</v>
      </c>
      <c r="R1475" s="1" t="s">
        <v>132</v>
      </c>
      <c r="S1475" s="1" t="s">
        <v>28871</v>
      </c>
      <c r="T1475" s="1" t="s">
        <v>132</v>
      </c>
      <c r="U1475" s="1" t="s">
        <v>28872</v>
      </c>
      <c r="V1475" s="1" t="s">
        <v>7200</v>
      </c>
      <c r="W1475" s="1" t="s">
        <v>132</v>
      </c>
      <c r="X1475" s="1" t="s">
        <v>28874</v>
      </c>
      <c r="Y1475" s="1" t="s">
        <v>132</v>
      </c>
      <c r="Z1475" s="1" t="s">
        <v>28875</v>
      </c>
      <c r="AA1475" s="1" t="s">
        <v>28867</v>
      </c>
      <c r="AB1475" s="1" t="s">
        <v>132</v>
      </c>
      <c r="AC1475" s="1" t="s">
        <v>28876</v>
      </c>
      <c r="AD1475" s="1" t="s">
        <v>28877</v>
      </c>
      <c r="AE1475" s="1" t="s">
        <v>132</v>
      </c>
      <c r="AF1475" s="1" t="s">
        <v>28878</v>
      </c>
      <c r="AG1475" s="1" t="s">
        <v>28879</v>
      </c>
      <c r="AH1475" s="1" t="s">
        <v>132</v>
      </c>
      <c r="AI1475" s="1" t="s">
        <v>132</v>
      </c>
      <c r="AJ1475" s="1" t="s">
        <v>28880</v>
      </c>
      <c r="AK1475" s="1" t="s">
        <v>28881</v>
      </c>
      <c r="AL1475" s="1" t="s">
        <v>132</v>
      </c>
      <c r="AM1475" s="1" t="s">
        <v>28882</v>
      </c>
      <c r="AN1475" s="1" t="s">
        <v>28882</v>
      </c>
    </row>
    <row r="1476" ht="15.75" customHeight="1">
      <c r="A1476" s="1" t="s">
        <v>127</v>
      </c>
      <c r="B1476" s="1" t="s">
        <v>29064</v>
      </c>
      <c r="C1476" s="1" t="s">
        <v>29065</v>
      </c>
      <c r="D1476" s="8" t="s">
        <v>29066</v>
      </c>
      <c r="E1476" s="1" t="s">
        <v>29067</v>
      </c>
      <c r="F1476" s="1" t="s">
        <v>132</v>
      </c>
      <c r="G1476" s="1" t="s">
        <v>29068</v>
      </c>
      <c r="H1476" s="1" t="s">
        <v>29069</v>
      </c>
      <c r="I1476" s="1" t="s">
        <v>4396</v>
      </c>
      <c r="J1476" s="1" t="s">
        <v>29070</v>
      </c>
      <c r="K1476" s="1" t="s">
        <v>29071</v>
      </c>
      <c r="L1476" s="1" t="s">
        <v>29072</v>
      </c>
      <c r="M1476" s="1" t="s">
        <v>29073</v>
      </c>
      <c r="N1476" s="1" t="s">
        <v>132</v>
      </c>
      <c r="O1476" s="1" t="s">
        <v>29074</v>
      </c>
      <c r="P1476" s="1" t="s">
        <v>29075</v>
      </c>
      <c r="Q1476" s="1" t="s">
        <v>132</v>
      </c>
      <c r="R1476" s="1" t="s">
        <v>29076</v>
      </c>
      <c r="S1476" s="1" t="s">
        <v>29077</v>
      </c>
      <c r="T1476" s="8" t="s">
        <v>29078</v>
      </c>
      <c r="U1476" s="1" t="s">
        <v>29065</v>
      </c>
      <c r="V1476" s="1" t="s">
        <v>29079</v>
      </c>
      <c r="W1476" s="1" t="s">
        <v>29076</v>
      </c>
      <c r="X1476" s="1" t="s">
        <v>29080</v>
      </c>
      <c r="Y1476" s="1" t="s">
        <v>29081</v>
      </c>
      <c r="Z1476" s="1" t="s">
        <v>29082</v>
      </c>
      <c r="AA1476" s="1" t="s">
        <v>29083</v>
      </c>
      <c r="AB1476" s="1" t="s">
        <v>29084</v>
      </c>
      <c r="AC1476" s="1" t="s">
        <v>29085</v>
      </c>
      <c r="AD1476" s="1" t="s">
        <v>29068</v>
      </c>
      <c r="AE1476" s="1" t="s">
        <v>29086</v>
      </c>
      <c r="AF1476" s="1" t="s">
        <v>29087</v>
      </c>
      <c r="AG1476" s="1" t="s">
        <v>29088</v>
      </c>
      <c r="AH1476" s="1" t="s">
        <v>29089</v>
      </c>
      <c r="AI1476" s="1" t="s">
        <v>29090</v>
      </c>
      <c r="AJ1476" s="1" t="s">
        <v>132</v>
      </c>
      <c r="AK1476" s="1" t="s">
        <v>29091</v>
      </c>
      <c r="AL1476" s="1" t="s">
        <v>29092</v>
      </c>
      <c r="AM1476" s="1" t="s">
        <v>132</v>
      </c>
      <c r="AN1476" s="1" t="s">
        <v>132</v>
      </c>
    </row>
    <row r="1477" ht="15.75" customHeight="1">
      <c r="A1477" s="1" t="s">
        <v>127</v>
      </c>
      <c r="B1477" s="1" t="s">
        <v>29093</v>
      </c>
      <c r="C1477" s="1" t="s">
        <v>7612</v>
      </c>
      <c r="D1477" s="8" t="s">
        <v>7613</v>
      </c>
      <c r="E1477" s="1" t="s">
        <v>7614</v>
      </c>
      <c r="F1477" s="1" t="s">
        <v>132</v>
      </c>
      <c r="G1477" s="1" t="s">
        <v>29094</v>
      </c>
      <c r="H1477" s="1" t="s">
        <v>7616</v>
      </c>
      <c r="I1477" s="1" t="s">
        <v>7617</v>
      </c>
      <c r="J1477" s="1" t="s">
        <v>7618</v>
      </c>
      <c r="K1477" s="1" t="s">
        <v>7619</v>
      </c>
      <c r="L1477" s="1" t="s">
        <v>7620</v>
      </c>
      <c r="M1477" s="1" t="s">
        <v>7621</v>
      </c>
      <c r="N1477" s="1" t="s">
        <v>132</v>
      </c>
      <c r="O1477" s="1" t="s">
        <v>7622</v>
      </c>
      <c r="P1477" s="1" t="s">
        <v>7623</v>
      </c>
      <c r="Q1477" s="1" t="s">
        <v>132</v>
      </c>
      <c r="R1477" s="1" t="s">
        <v>7624</v>
      </c>
      <c r="S1477" s="1" t="s">
        <v>7625</v>
      </c>
      <c r="T1477" s="8" t="s">
        <v>7626</v>
      </c>
      <c r="U1477" s="1" t="s">
        <v>7627</v>
      </c>
      <c r="V1477" s="1" t="s">
        <v>7628</v>
      </c>
      <c r="W1477" s="1" t="s">
        <v>7629</v>
      </c>
      <c r="X1477" s="1" t="s">
        <v>29095</v>
      </c>
      <c r="Y1477" s="1" t="s">
        <v>7631</v>
      </c>
      <c r="Z1477" s="1" t="s">
        <v>7632</v>
      </c>
      <c r="AA1477" s="1" t="s">
        <v>29096</v>
      </c>
      <c r="AB1477" s="1" t="s">
        <v>7634</v>
      </c>
      <c r="AC1477" s="1" t="s">
        <v>7635</v>
      </c>
      <c r="AD1477" s="1" t="s">
        <v>7636</v>
      </c>
      <c r="AE1477" s="1" t="s">
        <v>7637</v>
      </c>
      <c r="AF1477" s="1" t="s">
        <v>7638</v>
      </c>
      <c r="AG1477" s="1" t="s">
        <v>7639</v>
      </c>
      <c r="AH1477" s="1" t="s">
        <v>7640</v>
      </c>
      <c r="AI1477" s="1" t="s">
        <v>7641</v>
      </c>
      <c r="AJ1477" s="1" t="s">
        <v>132</v>
      </c>
      <c r="AK1477" s="1" t="s">
        <v>7642</v>
      </c>
      <c r="AL1477" s="1" t="s">
        <v>29097</v>
      </c>
      <c r="AM1477" s="1" t="s">
        <v>29098</v>
      </c>
      <c r="AN1477" s="1" t="s">
        <v>29098</v>
      </c>
    </row>
    <row r="1478" ht="15.75" customHeight="1">
      <c r="A1478" s="1" t="s">
        <v>38</v>
      </c>
      <c r="B1478" s="1" t="s">
        <v>29099</v>
      </c>
      <c r="C1478" s="1" t="s">
        <v>29100</v>
      </c>
      <c r="D1478" s="8" t="s">
        <v>29101</v>
      </c>
      <c r="E1478" s="1" t="s">
        <v>29102</v>
      </c>
      <c r="F1478" s="1" t="s">
        <v>29103</v>
      </c>
      <c r="G1478" s="1" t="s">
        <v>132</v>
      </c>
      <c r="H1478" s="1" t="s">
        <v>132</v>
      </c>
      <c r="I1478" s="1" t="s">
        <v>29104</v>
      </c>
      <c r="J1478" s="1" t="s">
        <v>132</v>
      </c>
      <c r="K1478" s="1" t="s">
        <v>29105</v>
      </c>
      <c r="L1478" s="1" t="s">
        <v>132</v>
      </c>
      <c r="M1478" s="1" t="s">
        <v>29106</v>
      </c>
      <c r="N1478" s="1" t="s">
        <v>29107</v>
      </c>
      <c r="O1478" s="1" t="s">
        <v>132</v>
      </c>
      <c r="P1478" s="1" t="s">
        <v>29108</v>
      </c>
      <c r="Q1478" s="1" t="s">
        <v>29109</v>
      </c>
      <c r="R1478" s="1" t="s">
        <v>132</v>
      </c>
      <c r="S1478" s="1" t="s">
        <v>29110</v>
      </c>
      <c r="T1478" s="1" t="s">
        <v>132</v>
      </c>
      <c r="U1478" s="1" t="s">
        <v>29111</v>
      </c>
      <c r="V1478" s="1" t="s">
        <v>29112</v>
      </c>
      <c r="W1478" s="1" t="s">
        <v>132</v>
      </c>
      <c r="X1478" s="1" t="s">
        <v>29113</v>
      </c>
      <c r="Y1478" s="1" t="s">
        <v>132</v>
      </c>
      <c r="Z1478" s="1" t="s">
        <v>29114</v>
      </c>
      <c r="AA1478" s="1" t="s">
        <v>29115</v>
      </c>
      <c r="AB1478" s="1" t="s">
        <v>132</v>
      </c>
      <c r="AC1478" s="1" t="s">
        <v>29116</v>
      </c>
      <c r="AD1478" s="1" t="s">
        <v>29117</v>
      </c>
      <c r="AE1478" s="1" t="s">
        <v>132</v>
      </c>
      <c r="AF1478" s="1" t="s">
        <v>29118</v>
      </c>
      <c r="AG1478" s="1" t="s">
        <v>29119</v>
      </c>
      <c r="AH1478" s="1" t="s">
        <v>132</v>
      </c>
      <c r="AI1478" s="1" t="s">
        <v>132</v>
      </c>
      <c r="AJ1478" s="1" t="s">
        <v>29120</v>
      </c>
      <c r="AK1478" s="1" t="s">
        <v>29121</v>
      </c>
      <c r="AL1478" s="1" t="s">
        <v>132</v>
      </c>
      <c r="AM1478" s="1" t="s">
        <v>29122</v>
      </c>
      <c r="AN1478" s="1" t="s">
        <v>29122</v>
      </c>
    </row>
    <row r="1479" ht="15.75" customHeight="1">
      <c r="A1479" s="1" t="s">
        <v>38</v>
      </c>
      <c r="B1479" s="1" t="s">
        <v>29123</v>
      </c>
      <c r="C1479" s="1" t="s">
        <v>29124</v>
      </c>
      <c r="D1479" s="8" t="s">
        <v>29125</v>
      </c>
      <c r="E1479" s="1" t="s">
        <v>29126</v>
      </c>
      <c r="F1479" s="1" t="s">
        <v>29127</v>
      </c>
      <c r="G1479" s="1" t="s">
        <v>132</v>
      </c>
      <c r="H1479" s="1" t="s">
        <v>132</v>
      </c>
      <c r="I1479" s="1" t="s">
        <v>29128</v>
      </c>
      <c r="J1479" s="1" t="s">
        <v>132</v>
      </c>
      <c r="K1479" s="1" t="s">
        <v>29129</v>
      </c>
      <c r="L1479" s="1" t="s">
        <v>132</v>
      </c>
      <c r="M1479" s="1" t="s">
        <v>29130</v>
      </c>
      <c r="N1479" s="1" t="s">
        <v>29129</v>
      </c>
      <c r="O1479" s="1" t="s">
        <v>132</v>
      </c>
      <c r="P1479" s="1" t="s">
        <v>29131</v>
      </c>
      <c r="Q1479" s="1" t="s">
        <v>29132</v>
      </c>
      <c r="R1479" s="1" t="s">
        <v>132</v>
      </c>
      <c r="S1479" s="1" t="s">
        <v>29133</v>
      </c>
      <c r="T1479" s="1" t="s">
        <v>132</v>
      </c>
      <c r="U1479" s="1" t="s">
        <v>29134</v>
      </c>
      <c r="V1479" s="1" t="s">
        <v>29135</v>
      </c>
      <c r="W1479" s="1" t="s">
        <v>132</v>
      </c>
      <c r="X1479" s="1" t="s">
        <v>29136</v>
      </c>
      <c r="Y1479" s="1" t="s">
        <v>132</v>
      </c>
      <c r="Z1479" s="1" t="s">
        <v>29137</v>
      </c>
      <c r="AA1479" s="1" t="s">
        <v>29129</v>
      </c>
      <c r="AB1479" s="1" t="s">
        <v>132</v>
      </c>
      <c r="AC1479" s="1" t="s">
        <v>24991</v>
      </c>
      <c r="AD1479" s="1" t="s">
        <v>29138</v>
      </c>
      <c r="AE1479" s="1" t="s">
        <v>132</v>
      </c>
      <c r="AF1479" s="1" t="s">
        <v>29139</v>
      </c>
      <c r="AG1479" s="1" t="s">
        <v>29140</v>
      </c>
      <c r="AH1479" s="1" t="s">
        <v>132</v>
      </c>
      <c r="AI1479" s="1" t="s">
        <v>132</v>
      </c>
      <c r="AJ1479" s="1" t="s">
        <v>29141</v>
      </c>
      <c r="AK1479" s="1" t="s">
        <v>29142</v>
      </c>
      <c r="AL1479" s="1" t="s">
        <v>132</v>
      </c>
      <c r="AM1479" s="1" t="s">
        <v>29143</v>
      </c>
      <c r="AN1479" s="1" t="s">
        <v>29143</v>
      </c>
    </row>
    <row r="1480" ht="15.75" customHeight="1">
      <c r="A1480" s="1" t="s">
        <v>38</v>
      </c>
      <c r="B1480" s="1" t="s">
        <v>29144</v>
      </c>
      <c r="C1480" s="1" t="s">
        <v>29145</v>
      </c>
      <c r="D1480" s="8" t="s">
        <v>29146</v>
      </c>
      <c r="E1480" s="1" t="s">
        <v>29147</v>
      </c>
      <c r="F1480" s="1" t="s">
        <v>29148</v>
      </c>
      <c r="G1480" s="1" t="s">
        <v>132</v>
      </c>
      <c r="H1480" s="1" t="s">
        <v>132</v>
      </c>
      <c r="I1480" s="1" t="s">
        <v>29149</v>
      </c>
      <c r="J1480" s="1" t="s">
        <v>132</v>
      </c>
      <c r="K1480" s="1" t="s">
        <v>29150</v>
      </c>
      <c r="L1480" s="1" t="s">
        <v>132</v>
      </c>
      <c r="M1480" s="1" t="s">
        <v>29151</v>
      </c>
      <c r="N1480" s="1" t="s">
        <v>29152</v>
      </c>
      <c r="O1480" s="1" t="s">
        <v>132</v>
      </c>
      <c r="P1480" s="1" t="s">
        <v>29153</v>
      </c>
      <c r="Q1480" s="1" t="s">
        <v>132</v>
      </c>
      <c r="R1480" s="1" t="s">
        <v>132</v>
      </c>
      <c r="S1480" s="1" t="s">
        <v>29154</v>
      </c>
      <c r="T1480" s="1" t="s">
        <v>132</v>
      </c>
      <c r="U1480" s="1" t="s">
        <v>29155</v>
      </c>
      <c r="V1480" s="1" t="s">
        <v>29156</v>
      </c>
      <c r="W1480" s="1" t="s">
        <v>132</v>
      </c>
      <c r="X1480" s="1" t="s">
        <v>29157</v>
      </c>
      <c r="Y1480" s="1" t="s">
        <v>132</v>
      </c>
      <c r="Z1480" s="1" t="s">
        <v>29158</v>
      </c>
      <c r="AA1480" s="1" t="s">
        <v>29159</v>
      </c>
      <c r="AB1480" s="1" t="s">
        <v>132</v>
      </c>
      <c r="AC1480" s="1" t="s">
        <v>29160</v>
      </c>
      <c r="AD1480" s="1" t="s">
        <v>132</v>
      </c>
      <c r="AE1480" s="1" t="s">
        <v>132</v>
      </c>
      <c r="AF1480" s="1" t="s">
        <v>29161</v>
      </c>
      <c r="AG1480" s="1" t="s">
        <v>29162</v>
      </c>
      <c r="AH1480" s="1" t="s">
        <v>132</v>
      </c>
      <c r="AI1480" s="1" t="s">
        <v>132</v>
      </c>
      <c r="AJ1480" s="1" t="s">
        <v>29163</v>
      </c>
      <c r="AK1480" s="1" t="s">
        <v>132</v>
      </c>
      <c r="AL1480" s="1" t="s">
        <v>132</v>
      </c>
      <c r="AM1480" s="1" t="s">
        <v>29164</v>
      </c>
      <c r="AN1480" s="1" t="s">
        <v>29164</v>
      </c>
    </row>
    <row r="1481" ht="15.75" customHeight="1">
      <c r="A1481" s="1" t="s">
        <v>127</v>
      </c>
      <c r="B1481" s="1" t="s">
        <v>29165</v>
      </c>
      <c r="C1481" s="1" t="s">
        <v>29166</v>
      </c>
      <c r="D1481" s="8" t="s">
        <v>29167</v>
      </c>
      <c r="E1481" s="1" t="s">
        <v>29168</v>
      </c>
      <c r="F1481" s="1" t="s">
        <v>132</v>
      </c>
      <c r="G1481" s="1" t="s">
        <v>29169</v>
      </c>
      <c r="H1481" s="1" t="s">
        <v>29170</v>
      </c>
      <c r="I1481" s="1" t="s">
        <v>29171</v>
      </c>
      <c r="J1481" s="1" t="s">
        <v>29172</v>
      </c>
      <c r="K1481" s="1" t="s">
        <v>29173</v>
      </c>
      <c r="L1481" s="1" t="s">
        <v>29174</v>
      </c>
      <c r="M1481" s="1" t="s">
        <v>29175</v>
      </c>
      <c r="N1481" s="1" t="s">
        <v>132</v>
      </c>
      <c r="O1481" s="1" t="s">
        <v>29176</v>
      </c>
      <c r="P1481" s="1" t="s">
        <v>29177</v>
      </c>
      <c r="Q1481" s="1" t="s">
        <v>132</v>
      </c>
      <c r="R1481" s="1" t="s">
        <v>12368</v>
      </c>
      <c r="S1481" s="1" t="s">
        <v>29178</v>
      </c>
      <c r="T1481" s="8" t="s">
        <v>29179</v>
      </c>
      <c r="U1481" s="1" t="s">
        <v>29180</v>
      </c>
      <c r="V1481" s="1" t="s">
        <v>29181</v>
      </c>
      <c r="W1481" s="1" t="s">
        <v>12368</v>
      </c>
      <c r="X1481" s="1" t="s">
        <v>29182</v>
      </c>
      <c r="Y1481" s="1" t="s">
        <v>29183</v>
      </c>
      <c r="Z1481" s="1" t="s">
        <v>29184</v>
      </c>
      <c r="AA1481" s="1" t="s">
        <v>29185</v>
      </c>
      <c r="AB1481" s="1" t="s">
        <v>29186</v>
      </c>
      <c r="AC1481" s="1" t="s">
        <v>29187</v>
      </c>
      <c r="AD1481" s="1" t="s">
        <v>29188</v>
      </c>
      <c r="AE1481" s="1" t="s">
        <v>29189</v>
      </c>
      <c r="AF1481" s="1" t="s">
        <v>29190</v>
      </c>
      <c r="AG1481" s="1" t="s">
        <v>29191</v>
      </c>
      <c r="AH1481" s="1" t="s">
        <v>29192</v>
      </c>
      <c r="AI1481" s="1" t="s">
        <v>29193</v>
      </c>
      <c r="AJ1481" s="1" t="s">
        <v>132</v>
      </c>
      <c r="AK1481" s="1" t="s">
        <v>29194</v>
      </c>
      <c r="AL1481" s="1" t="s">
        <v>29195</v>
      </c>
      <c r="AM1481" s="1" t="s">
        <v>29196</v>
      </c>
      <c r="AN1481" s="1" t="s">
        <v>29196</v>
      </c>
    </row>
    <row r="1482" ht="15.75" customHeight="1">
      <c r="A1482" s="1" t="s">
        <v>38</v>
      </c>
      <c r="B1482" s="1" t="s">
        <v>29197</v>
      </c>
      <c r="C1482" s="1" t="s">
        <v>29198</v>
      </c>
      <c r="D1482" s="1" t="s">
        <v>132</v>
      </c>
      <c r="E1482" s="1" t="s">
        <v>29198</v>
      </c>
      <c r="F1482" s="1" t="s">
        <v>29198</v>
      </c>
      <c r="G1482" s="1" t="s">
        <v>132</v>
      </c>
      <c r="H1482" s="1" t="s">
        <v>132</v>
      </c>
      <c r="I1482" s="1" t="s">
        <v>29198</v>
      </c>
      <c r="J1482" s="1" t="s">
        <v>132</v>
      </c>
      <c r="K1482" s="1" t="s">
        <v>29198</v>
      </c>
      <c r="L1482" s="1" t="s">
        <v>132</v>
      </c>
      <c r="M1482" s="1" t="s">
        <v>29198</v>
      </c>
      <c r="N1482" s="1" t="s">
        <v>29198</v>
      </c>
      <c r="O1482" s="1" t="s">
        <v>132</v>
      </c>
      <c r="P1482" s="1" t="s">
        <v>29198</v>
      </c>
      <c r="Q1482" s="1" t="s">
        <v>132</v>
      </c>
      <c r="R1482" s="1" t="s">
        <v>132</v>
      </c>
      <c r="S1482" s="1" t="s">
        <v>29198</v>
      </c>
      <c r="T1482" s="1" t="s">
        <v>132</v>
      </c>
      <c r="U1482" s="1" t="s">
        <v>29198</v>
      </c>
      <c r="V1482" s="1" t="s">
        <v>132</v>
      </c>
      <c r="W1482" s="1" t="s">
        <v>132</v>
      </c>
      <c r="X1482" s="1" t="s">
        <v>29198</v>
      </c>
      <c r="Y1482" s="1" t="s">
        <v>132</v>
      </c>
      <c r="Z1482" s="1" t="s">
        <v>29198</v>
      </c>
      <c r="AA1482" s="1" t="s">
        <v>132</v>
      </c>
      <c r="AB1482" s="1" t="s">
        <v>132</v>
      </c>
      <c r="AC1482" s="1" t="s">
        <v>132</v>
      </c>
      <c r="AD1482" s="1" t="s">
        <v>132</v>
      </c>
      <c r="AE1482" s="1" t="s">
        <v>132</v>
      </c>
      <c r="AF1482" s="1" t="s">
        <v>132</v>
      </c>
      <c r="AG1482" s="1" t="s">
        <v>132</v>
      </c>
      <c r="AH1482" s="1" t="s">
        <v>132</v>
      </c>
      <c r="AI1482" s="1" t="s">
        <v>132</v>
      </c>
      <c r="AJ1482" s="1" t="s">
        <v>132</v>
      </c>
      <c r="AK1482" s="1" t="s">
        <v>132</v>
      </c>
      <c r="AL1482" s="1" t="s">
        <v>132</v>
      </c>
      <c r="AM1482" s="1" t="s">
        <v>132</v>
      </c>
      <c r="AN1482" s="1" t="s">
        <v>132</v>
      </c>
    </row>
    <row r="1483" ht="15.75" customHeight="1">
      <c r="A1483" s="1" t="s">
        <v>38</v>
      </c>
      <c r="B1483" s="1" t="s">
        <v>29199</v>
      </c>
      <c r="C1483" s="1" t="s">
        <v>29200</v>
      </c>
      <c r="D1483" s="8" t="s">
        <v>29201</v>
      </c>
      <c r="E1483" s="1" t="s">
        <v>29202</v>
      </c>
      <c r="F1483" s="1" t="s">
        <v>29203</v>
      </c>
      <c r="G1483" s="1" t="s">
        <v>132</v>
      </c>
      <c r="H1483" s="1" t="s">
        <v>132</v>
      </c>
      <c r="I1483" s="1" t="s">
        <v>29204</v>
      </c>
      <c r="J1483" s="1" t="s">
        <v>132</v>
      </c>
      <c r="K1483" s="1" t="s">
        <v>29205</v>
      </c>
      <c r="L1483" s="1" t="s">
        <v>132</v>
      </c>
      <c r="M1483" s="1" t="s">
        <v>29206</v>
      </c>
      <c r="N1483" s="1" t="s">
        <v>29207</v>
      </c>
      <c r="O1483" s="1" t="s">
        <v>132</v>
      </c>
      <c r="P1483" s="1" t="s">
        <v>29208</v>
      </c>
      <c r="Q1483" s="1" t="s">
        <v>29209</v>
      </c>
      <c r="R1483" s="1" t="s">
        <v>132</v>
      </c>
      <c r="S1483" s="1" t="s">
        <v>29210</v>
      </c>
      <c r="T1483" s="1" t="s">
        <v>132</v>
      </c>
      <c r="U1483" s="1" t="s">
        <v>29211</v>
      </c>
      <c r="V1483" s="1" t="s">
        <v>29212</v>
      </c>
      <c r="W1483" s="1" t="s">
        <v>132</v>
      </c>
      <c r="X1483" s="1" t="s">
        <v>29213</v>
      </c>
      <c r="Y1483" s="1" t="s">
        <v>132</v>
      </c>
      <c r="Z1483" s="1" t="s">
        <v>29214</v>
      </c>
      <c r="AA1483" s="1" t="s">
        <v>29215</v>
      </c>
      <c r="AB1483" s="1" t="s">
        <v>132</v>
      </c>
      <c r="AC1483" s="1" t="s">
        <v>29216</v>
      </c>
      <c r="AD1483" s="1" t="s">
        <v>29217</v>
      </c>
      <c r="AE1483" s="1" t="s">
        <v>132</v>
      </c>
      <c r="AF1483" s="1" t="s">
        <v>29218</v>
      </c>
      <c r="AG1483" s="1" t="s">
        <v>29219</v>
      </c>
      <c r="AH1483" s="1" t="s">
        <v>132</v>
      </c>
      <c r="AI1483" s="1" t="s">
        <v>132</v>
      </c>
      <c r="AJ1483" s="1" t="s">
        <v>29221</v>
      </c>
      <c r="AK1483" s="1" t="s">
        <v>29222</v>
      </c>
      <c r="AL1483" s="1" t="s">
        <v>132</v>
      </c>
      <c r="AM1483" s="1" t="s">
        <v>29223</v>
      </c>
      <c r="AN1483" s="1" t="s">
        <v>29223</v>
      </c>
    </row>
    <row r="1484" ht="15.75" customHeight="1">
      <c r="A1484" s="1" t="s">
        <v>38</v>
      </c>
      <c r="B1484" s="1" t="s">
        <v>29224</v>
      </c>
      <c r="C1484" s="1" t="s">
        <v>29225</v>
      </c>
      <c r="D1484" s="1" t="s">
        <v>132</v>
      </c>
      <c r="E1484" s="1" t="s">
        <v>132</v>
      </c>
      <c r="F1484" s="1" t="s">
        <v>132</v>
      </c>
      <c r="G1484" s="1" t="s">
        <v>132</v>
      </c>
      <c r="H1484" s="1" t="s">
        <v>132</v>
      </c>
      <c r="I1484" s="1" t="s">
        <v>29226</v>
      </c>
      <c r="J1484" s="1" t="s">
        <v>132</v>
      </c>
      <c r="K1484" s="1" t="s">
        <v>29227</v>
      </c>
      <c r="L1484" s="1" t="s">
        <v>132</v>
      </c>
      <c r="M1484" s="1" t="s">
        <v>29228</v>
      </c>
      <c r="N1484" s="1" t="s">
        <v>132</v>
      </c>
      <c r="O1484" s="1" t="s">
        <v>132</v>
      </c>
      <c r="P1484" s="1" t="s">
        <v>29229</v>
      </c>
      <c r="Q1484" s="1" t="s">
        <v>132</v>
      </c>
      <c r="R1484" s="1" t="s">
        <v>132</v>
      </c>
      <c r="S1484" s="1" t="s">
        <v>132</v>
      </c>
      <c r="T1484" s="1" t="s">
        <v>132</v>
      </c>
      <c r="U1484" s="1" t="s">
        <v>132</v>
      </c>
      <c r="V1484" s="1" t="s">
        <v>132</v>
      </c>
      <c r="W1484" s="1" t="s">
        <v>132</v>
      </c>
      <c r="X1484" s="1" t="s">
        <v>132</v>
      </c>
      <c r="Y1484" s="1" t="s">
        <v>132</v>
      </c>
      <c r="Z1484" s="1" t="s">
        <v>132</v>
      </c>
      <c r="AA1484" s="1" t="s">
        <v>132</v>
      </c>
      <c r="AB1484" s="1" t="s">
        <v>132</v>
      </c>
      <c r="AC1484" s="1" t="s">
        <v>29230</v>
      </c>
      <c r="AD1484" s="1" t="s">
        <v>132</v>
      </c>
      <c r="AE1484" s="1" t="s">
        <v>132</v>
      </c>
      <c r="AF1484" s="1" t="s">
        <v>29231</v>
      </c>
      <c r="AG1484" s="1" t="s">
        <v>132</v>
      </c>
      <c r="AH1484" s="1" t="s">
        <v>132</v>
      </c>
      <c r="AI1484" s="1" t="s">
        <v>132</v>
      </c>
      <c r="AJ1484" s="1" t="s">
        <v>132</v>
      </c>
      <c r="AK1484" s="1" t="s">
        <v>132</v>
      </c>
      <c r="AL1484" s="1" t="s">
        <v>132</v>
      </c>
      <c r="AM1484" s="1" t="s">
        <v>132</v>
      </c>
      <c r="AN1484" s="1" t="s">
        <v>132</v>
      </c>
    </row>
    <row r="1485" ht="15.75" customHeight="1">
      <c r="A1485" s="1" t="s">
        <v>38</v>
      </c>
      <c r="B1485" s="1" t="s">
        <v>29232</v>
      </c>
      <c r="C1485" s="1" t="s">
        <v>29233</v>
      </c>
      <c r="D1485" s="1" t="s">
        <v>132</v>
      </c>
      <c r="E1485" s="1" t="s">
        <v>29234</v>
      </c>
      <c r="F1485" s="1" t="s">
        <v>132</v>
      </c>
      <c r="G1485" s="1" t="s">
        <v>132</v>
      </c>
      <c r="H1485" s="1" t="s">
        <v>132</v>
      </c>
      <c r="I1485" s="1" t="s">
        <v>29235</v>
      </c>
      <c r="J1485" s="1" t="s">
        <v>132</v>
      </c>
      <c r="K1485" s="1" t="s">
        <v>132</v>
      </c>
      <c r="L1485" s="1" t="s">
        <v>132</v>
      </c>
      <c r="M1485" s="1" t="s">
        <v>132</v>
      </c>
      <c r="N1485" s="1" t="s">
        <v>29236</v>
      </c>
      <c r="O1485" s="1" t="s">
        <v>132</v>
      </c>
      <c r="P1485" s="1" t="s">
        <v>29237</v>
      </c>
      <c r="Q1485" s="1" t="s">
        <v>132</v>
      </c>
      <c r="R1485" s="1" t="s">
        <v>132</v>
      </c>
      <c r="S1485" s="1" t="s">
        <v>29238</v>
      </c>
      <c r="T1485" s="1" t="s">
        <v>132</v>
      </c>
      <c r="U1485" s="1" t="s">
        <v>29239</v>
      </c>
      <c r="V1485" s="1" t="s">
        <v>132</v>
      </c>
      <c r="W1485" s="1" t="s">
        <v>132</v>
      </c>
      <c r="X1485" s="1" t="s">
        <v>29240</v>
      </c>
      <c r="Y1485" s="1" t="s">
        <v>132</v>
      </c>
      <c r="Z1485" s="1" t="s">
        <v>29241</v>
      </c>
      <c r="AA1485" s="1" t="s">
        <v>132</v>
      </c>
      <c r="AB1485" s="1" t="s">
        <v>132</v>
      </c>
      <c r="AC1485" s="1" t="s">
        <v>132</v>
      </c>
      <c r="AD1485" s="1" t="s">
        <v>132</v>
      </c>
      <c r="AE1485" s="1" t="s">
        <v>132</v>
      </c>
      <c r="AF1485" s="1" t="s">
        <v>132</v>
      </c>
      <c r="AG1485" s="1" t="s">
        <v>132</v>
      </c>
      <c r="AH1485" s="1" t="s">
        <v>132</v>
      </c>
      <c r="AI1485" s="1" t="s">
        <v>132</v>
      </c>
      <c r="AJ1485" s="1" t="s">
        <v>132</v>
      </c>
      <c r="AK1485" s="1" t="s">
        <v>132</v>
      </c>
      <c r="AL1485" s="1" t="s">
        <v>132</v>
      </c>
      <c r="AM1485" s="1" t="s">
        <v>132</v>
      </c>
      <c r="AN1485" s="1" t="s">
        <v>132</v>
      </c>
    </row>
    <row r="1486" ht="15.75" customHeight="1">
      <c r="A1486" s="1" t="s">
        <v>38</v>
      </c>
      <c r="B1486" s="1" t="s">
        <v>29242</v>
      </c>
      <c r="C1486" s="1" t="s">
        <v>29243</v>
      </c>
      <c r="D1486" s="1" t="s">
        <v>132</v>
      </c>
      <c r="E1486" s="1" t="s">
        <v>29244</v>
      </c>
      <c r="F1486" s="1" t="s">
        <v>29245</v>
      </c>
      <c r="G1486" s="1" t="s">
        <v>132</v>
      </c>
      <c r="H1486" s="1" t="s">
        <v>132</v>
      </c>
      <c r="I1486" s="1" t="s">
        <v>29246</v>
      </c>
      <c r="J1486" s="1" t="s">
        <v>132</v>
      </c>
      <c r="K1486" s="1" t="s">
        <v>29247</v>
      </c>
      <c r="L1486" s="1" t="s">
        <v>132</v>
      </c>
      <c r="M1486" s="1" t="s">
        <v>29248</v>
      </c>
      <c r="N1486" s="1" t="s">
        <v>29249</v>
      </c>
      <c r="O1486" s="1" t="s">
        <v>132</v>
      </c>
      <c r="P1486" s="1" t="s">
        <v>29250</v>
      </c>
      <c r="Q1486" s="1" t="s">
        <v>132</v>
      </c>
      <c r="R1486" s="1" t="s">
        <v>132</v>
      </c>
      <c r="S1486" s="1" t="s">
        <v>29251</v>
      </c>
      <c r="T1486" s="1" t="s">
        <v>132</v>
      </c>
      <c r="U1486" s="1" t="s">
        <v>132</v>
      </c>
      <c r="V1486" s="1" t="s">
        <v>132</v>
      </c>
      <c r="W1486" s="1" t="s">
        <v>132</v>
      </c>
      <c r="X1486" s="1" t="s">
        <v>29252</v>
      </c>
      <c r="Y1486" s="1" t="s">
        <v>132</v>
      </c>
      <c r="Z1486" s="1" t="s">
        <v>29253</v>
      </c>
      <c r="AA1486" s="1" t="s">
        <v>29254</v>
      </c>
      <c r="AB1486" s="1" t="s">
        <v>132</v>
      </c>
      <c r="AC1486" s="1" t="s">
        <v>29255</v>
      </c>
      <c r="AD1486" s="1" t="s">
        <v>132</v>
      </c>
      <c r="AE1486" s="1" t="s">
        <v>132</v>
      </c>
      <c r="AF1486" s="1" t="s">
        <v>29256</v>
      </c>
      <c r="AG1486" s="1" t="s">
        <v>132</v>
      </c>
      <c r="AH1486" s="1" t="s">
        <v>132</v>
      </c>
      <c r="AI1486" s="1" t="s">
        <v>132</v>
      </c>
      <c r="AJ1486" s="1" t="s">
        <v>132</v>
      </c>
      <c r="AK1486" s="1" t="s">
        <v>132</v>
      </c>
      <c r="AL1486" s="1" t="s">
        <v>132</v>
      </c>
      <c r="AM1486" s="1" t="s">
        <v>132</v>
      </c>
      <c r="AN1486" s="1" t="s">
        <v>132</v>
      </c>
    </row>
    <row r="1487" ht="15.75" customHeight="1">
      <c r="A1487" s="1" t="s">
        <v>38</v>
      </c>
      <c r="B1487" s="1" t="s">
        <v>29257</v>
      </c>
      <c r="C1487" s="1" t="s">
        <v>29258</v>
      </c>
      <c r="D1487" s="1" t="s">
        <v>132</v>
      </c>
      <c r="E1487" s="1" t="s">
        <v>29259</v>
      </c>
      <c r="F1487" s="1" t="s">
        <v>132</v>
      </c>
      <c r="G1487" s="1" t="s">
        <v>132</v>
      </c>
      <c r="H1487" s="1" t="s">
        <v>132</v>
      </c>
      <c r="I1487" s="1" t="s">
        <v>29260</v>
      </c>
      <c r="J1487" s="1" t="s">
        <v>132</v>
      </c>
      <c r="K1487" s="1" t="s">
        <v>29261</v>
      </c>
      <c r="L1487" s="1" t="s">
        <v>132</v>
      </c>
      <c r="M1487" s="1" t="s">
        <v>29262</v>
      </c>
      <c r="N1487" s="1" t="s">
        <v>29261</v>
      </c>
      <c r="O1487" s="1" t="s">
        <v>132</v>
      </c>
      <c r="P1487" s="1" t="s">
        <v>29263</v>
      </c>
      <c r="Q1487" s="1" t="s">
        <v>132</v>
      </c>
      <c r="R1487" s="1" t="s">
        <v>132</v>
      </c>
      <c r="S1487" s="1" t="s">
        <v>29264</v>
      </c>
      <c r="T1487" s="1" t="s">
        <v>132</v>
      </c>
      <c r="U1487" s="1" t="s">
        <v>132</v>
      </c>
      <c r="V1487" s="1" t="s">
        <v>132</v>
      </c>
      <c r="W1487" s="1" t="s">
        <v>132</v>
      </c>
      <c r="X1487" s="1" t="s">
        <v>29265</v>
      </c>
      <c r="Y1487" s="1" t="s">
        <v>132</v>
      </c>
      <c r="Z1487" s="1" t="s">
        <v>29266</v>
      </c>
      <c r="AA1487" s="1" t="s">
        <v>132</v>
      </c>
      <c r="AB1487" s="1" t="s">
        <v>132</v>
      </c>
      <c r="AC1487" s="1" t="s">
        <v>132</v>
      </c>
      <c r="AD1487" s="1" t="s">
        <v>132</v>
      </c>
      <c r="AE1487" s="1" t="s">
        <v>132</v>
      </c>
      <c r="AF1487" s="1" t="s">
        <v>132</v>
      </c>
      <c r="AG1487" s="1" t="s">
        <v>132</v>
      </c>
      <c r="AH1487" s="1" t="s">
        <v>132</v>
      </c>
      <c r="AI1487" s="1" t="s">
        <v>132</v>
      </c>
      <c r="AJ1487" s="1" t="s">
        <v>132</v>
      </c>
      <c r="AK1487" s="1" t="s">
        <v>132</v>
      </c>
      <c r="AL1487" s="1" t="s">
        <v>132</v>
      </c>
      <c r="AM1487" s="1" t="s">
        <v>132</v>
      </c>
      <c r="AN1487" s="1" t="s">
        <v>132</v>
      </c>
    </row>
    <row r="1488" ht="15.75" customHeight="1">
      <c r="A1488" s="1" t="s">
        <v>38</v>
      </c>
      <c r="B1488" s="1" t="s">
        <v>29267</v>
      </c>
      <c r="C1488" s="1" t="s">
        <v>29268</v>
      </c>
      <c r="D1488" s="8" t="s">
        <v>29269</v>
      </c>
      <c r="E1488" s="1" t="s">
        <v>29270</v>
      </c>
      <c r="F1488" s="1" t="s">
        <v>29271</v>
      </c>
      <c r="G1488" s="1" t="s">
        <v>132</v>
      </c>
      <c r="H1488" s="1" t="s">
        <v>132</v>
      </c>
      <c r="I1488" s="1" t="s">
        <v>29272</v>
      </c>
      <c r="J1488" s="1" t="s">
        <v>132</v>
      </c>
      <c r="K1488" s="1" t="s">
        <v>29273</v>
      </c>
      <c r="L1488" s="1" t="s">
        <v>132</v>
      </c>
      <c r="M1488" s="1" t="s">
        <v>29274</v>
      </c>
      <c r="N1488" s="1" t="s">
        <v>29275</v>
      </c>
      <c r="O1488" s="1" t="s">
        <v>132</v>
      </c>
      <c r="P1488" s="1" t="s">
        <v>29276</v>
      </c>
      <c r="Q1488" s="1" t="s">
        <v>132</v>
      </c>
      <c r="R1488" s="1" t="s">
        <v>132</v>
      </c>
      <c r="S1488" s="1" t="s">
        <v>29277</v>
      </c>
      <c r="T1488" s="1" t="s">
        <v>132</v>
      </c>
      <c r="U1488" s="1" t="s">
        <v>29278</v>
      </c>
      <c r="V1488" s="1" t="s">
        <v>29279</v>
      </c>
      <c r="W1488" s="1" t="s">
        <v>132</v>
      </c>
      <c r="X1488" s="1" t="s">
        <v>29280</v>
      </c>
      <c r="Y1488" s="1" t="s">
        <v>132</v>
      </c>
      <c r="Z1488" s="1" t="s">
        <v>29281</v>
      </c>
      <c r="AA1488" s="1" t="s">
        <v>132</v>
      </c>
      <c r="AB1488" s="1" t="s">
        <v>132</v>
      </c>
      <c r="AC1488" s="1" t="s">
        <v>29282</v>
      </c>
      <c r="AD1488" s="1" t="s">
        <v>132</v>
      </c>
      <c r="AE1488" s="1" t="s">
        <v>132</v>
      </c>
      <c r="AF1488" s="1" t="s">
        <v>29283</v>
      </c>
      <c r="AG1488" s="1" t="s">
        <v>29284</v>
      </c>
      <c r="AH1488" s="1" t="s">
        <v>132</v>
      </c>
      <c r="AI1488" s="1" t="s">
        <v>132</v>
      </c>
      <c r="AJ1488" s="1" t="s">
        <v>29285</v>
      </c>
      <c r="AK1488" s="1" t="s">
        <v>29286</v>
      </c>
      <c r="AL1488" s="1" t="s">
        <v>132</v>
      </c>
      <c r="AM1488" s="1" t="s">
        <v>29287</v>
      </c>
      <c r="AN1488" s="1" t="s">
        <v>29287</v>
      </c>
    </row>
    <row r="1489" ht="15.75" customHeight="1">
      <c r="A1489" s="1" t="s">
        <v>43182</v>
      </c>
      <c r="B1489" s="1" t="s">
        <v>43292</v>
      </c>
      <c r="C1489" s="1" t="s">
        <v>43293</v>
      </c>
      <c r="D1489" s="1" t="s">
        <v>132</v>
      </c>
      <c r="E1489" s="1" t="s">
        <v>132</v>
      </c>
      <c r="F1489" s="1" t="s">
        <v>132</v>
      </c>
      <c r="G1489" s="1" t="s">
        <v>132</v>
      </c>
      <c r="H1489" s="1" t="s">
        <v>132</v>
      </c>
      <c r="I1489" s="1" t="s">
        <v>132</v>
      </c>
      <c r="J1489" s="1" t="s">
        <v>132</v>
      </c>
      <c r="K1489" s="1" t="s">
        <v>132</v>
      </c>
      <c r="L1489" s="1" t="s">
        <v>132</v>
      </c>
      <c r="M1489" s="1" t="s">
        <v>132</v>
      </c>
      <c r="N1489" s="1" t="s">
        <v>132</v>
      </c>
      <c r="O1489" s="1" t="s">
        <v>132</v>
      </c>
      <c r="P1489" s="1" t="s">
        <v>132</v>
      </c>
      <c r="Q1489" s="1" t="s">
        <v>132</v>
      </c>
      <c r="R1489" s="1" t="s">
        <v>132</v>
      </c>
      <c r="S1489" s="1" t="s">
        <v>132</v>
      </c>
      <c r="T1489" s="1" t="s">
        <v>132</v>
      </c>
      <c r="U1489" s="1" t="s">
        <v>132</v>
      </c>
      <c r="V1489" s="1" t="s">
        <v>132</v>
      </c>
      <c r="W1489" s="1" t="s">
        <v>132</v>
      </c>
      <c r="X1489" s="1" t="s">
        <v>132</v>
      </c>
      <c r="Y1489" s="1" t="s">
        <v>132</v>
      </c>
      <c r="Z1489" s="1" t="s">
        <v>132</v>
      </c>
      <c r="AA1489" s="1" t="s">
        <v>132</v>
      </c>
      <c r="AB1489" s="1" t="s">
        <v>132</v>
      </c>
      <c r="AC1489" s="1" t="s">
        <v>132</v>
      </c>
      <c r="AD1489" s="1" t="s">
        <v>132</v>
      </c>
      <c r="AE1489" s="1" t="s">
        <v>132</v>
      </c>
      <c r="AF1489" s="1" t="s">
        <v>132</v>
      </c>
      <c r="AG1489" s="1" t="s">
        <v>132</v>
      </c>
      <c r="AH1489" s="1" t="s">
        <v>132</v>
      </c>
      <c r="AI1489" s="1" t="s">
        <v>132</v>
      </c>
      <c r="AJ1489" s="1" t="s">
        <v>132</v>
      </c>
      <c r="AK1489" s="1" t="s">
        <v>132</v>
      </c>
      <c r="AL1489" s="1" t="s">
        <v>132</v>
      </c>
      <c r="AM1489" s="1" t="s">
        <v>132</v>
      </c>
      <c r="AN1489" s="1" t="s">
        <v>132</v>
      </c>
    </row>
    <row r="1490" ht="15.75" customHeight="1">
      <c r="A1490" s="1" t="s">
        <v>38</v>
      </c>
      <c r="B1490" s="1" t="s">
        <v>29288</v>
      </c>
      <c r="C1490" s="1" t="s">
        <v>29289</v>
      </c>
      <c r="D1490" s="1" t="s">
        <v>132</v>
      </c>
      <c r="E1490" s="1" t="s">
        <v>29290</v>
      </c>
      <c r="F1490" s="1" t="s">
        <v>29291</v>
      </c>
      <c r="G1490" s="1" t="s">
        <v>132</v>
      </c>
      <c r="H1490" s="1" t="s">
        <v>132</v>
      </c>
      <c r="I1490" s="1" t="s">
        <v>29292</v>
      </c>
      <c r="J1490" s="1" t="s">
        <v>132</v>
      </c>
      <c r="K1490" s="1" t="s">
        <v>29293</v>
      </c>
      <c r="L1490" s="1" t="s">
        <v>132</v>
      </c>
      <c r="M1490" s="1" t="s">
        <v>29294</v>
      </c>
      <c r="N1490" s="1" t="s">
        <v>29295</v>
      </c>
      <c r="O1490" s="1" t="s">
        <v>132</v>
      </c>
      <c r="P1490" s="1" t="s">
        <v>29296</v>
      </c>
      <c r="Q1490" s="1" t="s">
        <v>132</v>
      </c>
      <c r="R1490" s="1" t="s">
        <v>132</v>
      </c>
      <c r="S1490" s="1" t="s">
        <v>29297</v>
      </c>
      <c r="T1490" s="1" t="s">
        <v>132</v>
      </c>
      <c r="U1490" s="1" t="s">
        <v>7403</v>
      </c>
      <c r="V1490" s="1" t="s">
        <v>29298</v>
      </c>
      <c r="W1490" s="1" t="s">
        <v>132</v>
      </c>
      <c r="X1490" s="1" t="s">
        <v>29299</v>
      </c>
      <c r="Y1490" s="1" t="s">
        <v>132</v>
      </c>
      <c r="Z1490" s="1" t="s">
        <v>29300</v>
      </c>
      <c r="AA1490" s="1" t="s">
        <v>29301</v>
      </c>
      <c r="AB1490" s="1" t="s">
        <v>132</v>
      </c>
      <c r="AC1490" s="1" t="s">
        <v>29302</v>
      </c>
      <c r="AD1490" s="1" t="s">
        <v>132</v>
      </c>
      <c r="AE1490" s="1" t="s">
        <v>132</v>
      </c>
      <c r="AF1490" s="1" t="s">
        <v>29303</v>
      </c>
      <c r="AG1490" s="1" t="s">
        <v>29304</v>
      </c>
      <c r="AH1490" s="1" t="s">
        <v>132</v>
      </c>
      <c r="AI1490" s="1" t="s">
        <v>132</v>
      </c>
      <c r="AJ1490" s="1" t="s">
        <v>29305</v>
      </c>
      <c r="AK1490" s="1" t="s">
        <v>29306</v>
      </c>
      <c r="AL1490" s="1" t="s">
        <v>132</v>
      </c>
      <c r="AM1490" s="1" t="s">
        <v>29307</v>
      </c>
      <c r="AN1490" s="1" t="s">
        <v>29307</v>
      </c>
    </row>
    <row r="1491" ht="15.75" customHeight="1">
      <c r="A1491" s="1" t="s">
        <v>127</v>
      </c>
      <c r="B1491" s="1" t="s">
        <v>29308</v>
      </c>
      <c r="C1491" s="1" t="s">
        <v>29309</v>
      </c>
      <c r="D1491" s="8" t="s">
        <v>21683</v>
      </c>
      <c r="E1491" s="1" t="s">
        <v>29310</v>
      </c>
      <c r="F1491" s="1" t="s">
        <v>132</v>
      </c>
      <c r="G1491" s="1" t="s">
        <v>29311</v>
      </c>
      <c r="H1491" s="1" t="s">
        <v>29312</v>
      </c>
      <c r="I1491" s="1" t="s">
        <v>29313</v>
      </c>
      <c r="J1491" s="1" t="s">
        <v>29314</v>
      </c>
      <c r="K1491" s="1" t="s">
        <v>29315</v>
      </c>
      <c r="L1491" s="1" t="s">
        <v>21690</v>
      </c>
      <c r="M1491" s="1" t="s">
        <v>29309</v>
      </c>
      <c r="N1491" s="1" t="s">
        <v>132</v>
      </c>
      <c r="O1491" s="1" t="s">
        <v>29316</v>
      </c>
      <c r="P1491" s="1" t="s">
        <v>29317</v>
      </c>
      <c r="Q1491" s="1" t="s">
        <v>132</v>
      </c>
      <c r="R1491" s="1" t="s">
        <v>29318</v>
      </c>
      <c r="S1491" s="1" t="s">
        <v>21692</v>
      </c>
      <c r="T1491" s="8" t="s">
        <v>29319</v>
      </c>
      <c r="U1491" s="1" t="s">
        <v>29320</v>
      </c>
      <c r="V1491" s="1" t="s">
        <v>15584</v>
      </c>
      <c r="W1491" s="1" t="s">
        <v>29321</v>
      </c>
      <c r="X1491" s="1" t="s">
        <v>29322</v>
      </c>
      <c r="Y1491" s="1" t="s">
        <v>29323</v>
      </c>
      <c r="Z1491" s="1" t="s">
        <v>29324</v>
      </c>
      <c r="AA1491" s="1" t="s">
        <v>29325</v>
      </c>
      <c r="AB1491" s="1" t="s">
        <v>29326</v>
      </c>
      <c r="AC1491" s="1" t="s">
        <v>15591</v>
      </c>
      <c r="AD1491" s="1" t="s">
        <v>29327</v>
      </c>
      <c r="AE1491" s="1" t="s">
        <v>21701</v>
      </c>
      <c r="AF1491" s="1" t="s">
        <v>29328</v>
      </c>
      <c r="AG1491" s="1" t="s">
        <v>29329</v>
      </c>
      <c r="AH1491" s="1" t="s">
        <v>21703</v>
      </c>
      <c r="AI1491" s="1" t="s">
        <v>29330</v>
      </c>
      <c r="AJ1491" s="1" t="s">
        <v>132</v>
      </c>
      <c r="AK1491" s="1" t="s">
        <v>29331</v>
      </c>
      <c r="AL1491" s="1" t="s">
        <v>21706</v>
      </c>
      <c r="AM1491" s="1" t="s">
        <v>29332</v>
      </c>
      <c r="AN1491" s="1" t="s">
        <v>29332</v>
      </c>
    </row>
    <row r="1492" ht="15.75" customHeight="1">
      <c r="A1492" s="1" t="s">
        <v>127</v>
      </c>
      <c r="B1492" s="1" t="s">
        <v>29333</v>
      </c>
      <c r="C1492" s="1" t="s">
        <v>29334</v>
      </c>
      <c r="D1492" s="8" t="s">
        <v>29335</v>
      </c>
      <c r="E1492" s="1" t="s">
        <v>29336</v>
      </c>
      <c r="F1492" s="1" t="s">
        <v>132</v>
      </c>
      <c r="G1492" s="1" t="s">
        <v>29337</v>
      </c>
      <c r="H1492" s="1" t="s">
        <v>29338</v>
      </c>
      <c r="I1492" s="1" t="s">
        <v>29339</v>
      </c>
      <c r="J1492" s="1" t="s">
        <v>29340</v>
      </c>
      <c r="K1492" s="1" t="s">
        <v>29339</v>
      </c>
      <c r="L1492" s="1" t="s">
        <v>29341</v>
      </c>
      <c r="M1492" s="1" t="s">
        <v>29334</v>
      </c>
      <c r="N1492" s="1" t="s">
        <v>132</v>
      </c>
      <c r="O1492" s="1" t="s">
        <v>29342</v>
      </c>
      <c r="P1492" s="1" t="s">
        <v>29343</v>
      </c>
      <c r="Q1492" s="1" t="s">
        <v>132</v>
      </c>
      <c r="R1492" s="1" t="s">
        <v>29344</v>
      </c>
      <c r="S1492" s="1" t="s">
        <v>29334</v>
      </c>
      <c r="T1492" s="8" t="s">
        <v>29345</v>
      </c>
      <c r="U1492" s="1" t="s">
        <v>29346</v>
      </c>
      <c r="V1492" s="1" t="s">
        <v>29347</v>
      </c>
      <c r="W1492" s="1" t="s">
        <v>29344</v>
      </c>
      <c r="X1492" s="1" t="s">
        <v>29334</v>
      </c>
      <c r="Y1492" s="1" t="s">
        <v>29348</v>
      </c>
      <c r="Z1492" s="1" t="s">
        <v>29349</v>
      </c>
      <c r="AA1492" s="1" t="s">
        <v>29334</v>
      </c>
      <c r="AB1492" s="1" t="s">
        <v>29348</v>
      </c>
      <c r="AC1492" s="1" t="s">
        <v>29350</v>
      </c>
      <c r="AD1492" s="1" t="s">
        <v>29337</v>
      </c>
      <c r="AE1492" s="1" t="s">
        <v>29351</v>
      </c>
      <c r="AF1492" s="1" t="s">
        <v>29339</v>
      </c>
      <c r="AG1492" s="1" t="s">
        <v>29352</v>
      </c>
      <c r="AH1492" s="1" t="s">
        <v>29353</v>
      </c>
      <c r="AI1492" s="1" t="s">
        <v>29354</v>
      </c>
      <c r="AJ1492" s="1" t="s">
        <v>132</v>
      </c>
      <c r="AK1492" s="1" t="s">
        <v>29355</v>
      </c>
      <c r="AL1492" s="1" t="s">
        <v>29356</v>
      </c>
      <c r="AM1492" s="1" t="s">
        <v>29357</v>
      </c>
      <c r="AN1492" s="1" t="s">
        <v>29357</v>
      </c>
    </row>
    <row r="1493" ht="15.75" customHeight="1">
      <c r="A1493" s="1" t="s">
        <v>127</v>
      </c>
      <c r="B1493" s="1" t="s">
        <v>29358</v>
      </c>
      <c r="C1493" s="1" t="s">
        <v>29359</v>
      </c>
      <c r="D1493" s="8" t="s">
        <v>27471</v>
      </c>
      <c r="E1493" s="1" t="s">
        <v>29360</v>
      </c>
      <c r="F1493" s="1" t="s">
        <v>132</v>
      </c>
      <c r="G1493" s="1" t="s">
        <v>29361</v>
      </c>
      <c r="H1493" s="1" t="s">
        <v>29362</v>
      </c>
      <c r="I1493" s="1" t="s">
        <v>29363</v>
      </c>
      <c r="J1493" s="1" t="s">
        <v>29364</v>
      </c>
      <c r="K1493" s="1" t="s">
        <v>29365</v>
      </c>
      <c r="L1493" s="1" t="s">
        <v>29366</v>
      </c>
      <c r="M1493" s="1" t="s">
        <v>29367</v>
      </c>
      <c r="N1493" s="1" t="s">
        <v>132</v>
      </c>
      <c r="O1493" s="1" t="s">
        <v>27480</v>
      </c>
      <c r="P1493" s="1" t="s">
        <v>27481</v>
      </c>
      <c r="Q1493" s="1" t="s">
        <v>132</v>
      </c>
      <c r="R1493" s="1" t="s">
        <v>29368</v>
      </c>
      <c r="S1493" s="1" t="s">
        <v>29369</v>
      </c>
      <c r="T1493" s="8" t="s">
        <v>27484</v>
      </c>
      <c r="U1493" s="1" t="s">
        <v>29370</v>
      </c>
      <c r="V1493" s="1" t="s">
        <v>27485</v>
      </c>
      <c r="W1493" s="1" t="s">
        <v>29368</v>
      </c>
      <c r="X1493" s="1" t="s">
        <v>29371</v>
      </c>
      <c r="Y1493" s="1" t="s">
        <v>29362</v>
      </c>
      <c r="Z1493" s="1" t="s">
        <v>29372</v>
      </c>
      <c r="AA1493" s="1" t="s">
        <v>29373</v>
      </c>
      <c r="AB1493" s="1" t="s">
        <v>29374</v>
      </c>
      <c r="AC1493" s="1" t="s">
        <v>29375</v>
      </c>
      <c r="AD1493" s="1" t="s">
        <v>29376</v>
      </c>
      <c r="AE1493" s="1" t="s">
        <v>29377</v>
      </c>
      <c r="AF1493" s="1" t="s">
        <v>29377</v>
      </c>
      <c r="AG1493" s="1" t="s">
        <v>29378</v>
      </c>
      <c r="AH1493" s="1" t="s">
        <v>27493</v>
      </c>
      <c r="AI1493" s="1" t="s">
        <v>29379</v>
      </c>
      <c r="AJ1493" s="1" t="s">
        <v>132</v>
      </c>
      <c r="AK1493" s="1" t="s">
        <v>29380</v>
      </c>
      <c r="AL1493" s="1" t="s">
        <v>27496</v>
      </c>
      <c r="AM1493" s="1" t="s">
        <v>132</v>
      </c>
      <c r="AN1493" s="1" t="s">
        <v>132</v>
      </c>
    </row>
    <row r="1494" ht="15.75" customHeight="1">
      <c r="A1494" s="1" t="s">
        <v>127</v>
      </c>
      <c r="B1494" s="1" t="s">
        <v>29381</v>
      </c>
      <c r="C1494" s="1" t="s">
        <v>29382</v>
      </c>
      <c r="D1494" s="8" t="s">
        <v>29383</v>
      </c>
      <c r="E1494" s="1" t="s">
        <v>29384</v>
      </c>
      <c r="F1494" s="1" t="s">
        <v>132</v>
      </c>
      <c r="G1494" s="1" t="s">
        <v>29385</v>
      </c>
      <c r="H1494" s="1" t="s">
        <v>29386</v>
      </c>
      <c r="I1494" s="1" t="s">
        <v>29387</v>
      </c>
      <c r="J1494" s="1" t="s">
        <v>29388</v>
      </c>
      <c r="K1494" s="1" t="s">
        <v>29389</v>
      </c>
      <c r="L1494" s="1" t="s">
        <v>29390</v>
      </c>
      <c r="M1494" s="1" t="s">
        <v>29391</v>
      </c>
      <c r="N1494" s="1" t="s">
        <v>132</v>
      </c>
      <c r="O1494" s="1" t="s">
        <v>29392</v>
      </c>
      <c r="P1494" s="1" t="s">
        <v>29393</v>
      </c>
      <c r="Q1494" s="1" t="s">
        <v>132</v>
      </c>
      <c r="R1494" s="1" t="s">
        <v>29394</v>
      </c>
      <c r="S1494" s="1" t="s">
        <v>29395</v>
      </c>
      <c r="T1494" s="8" t="s">
        <v>29396</v>
      </c>
      <c r="U1494" s="1" t="s">
        <v>29397</v>
      </c>
      <c r="V1494" s="1" t="s">
        <v>29398</v>
      </c>
      <c r="W1494" s="1" t="s">
        <v>29394</v>
      </c>
      <c r="X1494" s="1" t="s">
        <v>29399</v>
      </c>
      <c r="Y1494" s="1" t="s">
        <v>29400</v>
      </c>
      <c r="Z1494" s="1" t="s">
        <v>29382</v>
      </c>
      <c r="AA1494" s="1" t="s">
        <v>29401</v>
      </c>
      <c r="AB1494" s="1" t="s">
        <v>29402</v>
      </c>
      <c r="AC1494" s="1" t="s">
        <v>29403</v>
      </c>
      <c r="AD1494" s="1" t="s">
        <v>29404</v>
      </c>
      <c r="AE1494" s="1" t="s">
        <v>29405</v>
      </c>
      <c r="AF1494" s="1" t="s">
        <v>29406</v>
      </c>
      <c r="AG1494" s="1" t="s">
        <v>29407</v>
      </c>
      <c r="AH1494" s="1" t="s">
        <v>29408</v>
      </c>
      <c r="AI1494" s="1" t="s">
        <v>29409</v>
      </c>
      <c r="AJ1494" s="1" t="s">
        <v>132</v>
      </c>
      <c r="AK1494" s="1" t="s">
        <v>29410</v>
      </c>
      <c r="AL1494" s="1" t="s">
        <v>29411</v>
      </c>
      <c r="AM1494" s="1" t="s">
        <v>29412</v>
      </c>
      <c r="AN1494" s="1" t="s">
        <v>29412</v>
      </c>
    </row>
    <row r="1495" ht="15.75" customHeight="1">
      <c r="A1495" s="1" t="s">
        <v>38</v>
      </c>
      <c r="B1495" s="1" t="s">
        <v>29413</v>
      </c>
      <c r="C1495" s="1" t="s">
        <v>29414</v>
      </c>
      <c r="D1495" s="1" t="s">
        <v>132</v>
      </c>
      <c r="E1495" s="1" t="s">
        <v>132</v>
      </c>
      <c r="F1495" s="1" t="s">
        <v>132</v>
      </c>
      <c r="G1495" s="1" t="s">
        <v>132</v>
      </c>
      <c r="H1495" s="1" t="s">
        <v>132</v>
      </c>
      <c r="I1495" s="1" t="s">
        <v>29415</v>
      </c>
      <c r="J1495" s="1" t="s">
        <v>132</v>
      </c>
      <c r="K1495" s="1" t="s">
        <v>29416</v>
      </c>
      <c r="L1495" s="1" t="s">
        <v>132</v>
      </c>
      <c r="M1495" s="1" t="s">
        <v>29417</v>
      </c>
      <c r="N1495" s="1" t="s">
        <v>132</v>
      </c>
      <c r="O1495" s="1" t="s">
        <v>132</v>
      </c>
      <c r="P1495" s="1" t="s">
        <v>29418</v>
      </c>
      <c r="Q1495" s="1" t="s">
        <v>132</v>
      </c>
      <c r="R1495" s="1" t="s">
        <v>132</v>
      </c>
      <c r="S1495" s="1" t="s">
        <v>132</v>
      </c>
      <c r="T1495" s="1" t="s">
        <v>132</v>
      </c>
      <c r="U1495" s="1" t="s">
        <v>132</v>
      </c>
      <c r="V1495" s="1" t="s">
        <v>132</v>
      </c>
      <c r="W1495" s="1" t="s">
        <v>132</v>
      </c>
      <c r="X1495" s="1" t="s">
        <v>132</v>
      </c>
      <c r="Y1495" s="1" t="s">
        <v>132</v>
      </c>
      <c r="Z1495" s="1" t="s">
        <v>132</v>
      </c>
      <c r="AA1495" s="1" t="s">
        <v>132</v>
      </c>
      <c r="AB1495" s="1" t="s">
        <v>132</v>
      </c>
      <c r="AC1495" s="1" t="s">
        <v>29419</v>
      </c>
      <c r="AD1495" s="1" t="s">
        <v>132</v>
      </c>
      <c r="AE1495" s="1" t="s">
        <v>132</v>
      </c>
      <c r="AF1495" s="1" t="s">
        <v>29420</v>
      </c>
      <c r="AG1495" s="1" t="s">
        <v>132</v>
      </c>
      <c r="AH1495" s="1" t="s">
        <v>132</v>
      </c>
      <c r="AI1495" s="1" t="s">
        <v>132</v>
      </c>
      <c r="AJ1495" s="1" t="s">
        <v>132</v>
      </c>
      <c r="AK1495" s="1" t="s">
        <v>132</v>
      </c>
      <c r="AL1495" s="1" t="s">
        <v>132</v>
      </c>
      <c r="AM1495" s="1" t="s">
        <v>132</v>
      </c>
      <c r="AN1495" s="1" t="s">
        <v>132</v>
      </c>
    </row>
    <row r="1496" ht="15.75" customHeight="1">
      <c r="A1496" s="1" t="s">
        <v>127</v>
      </c>
      <c r="B1496" s="1" t="s">
        <v>29421</v>
      </c>
      <c r="C1496" s="1" t="s">
        <v>3562</v>
      </c>
      <c r="D1496" s="8" t="s">
        <v>3563</v>
      </c>
      <c r="E1496" s="1" t="s">
        <v>3564</v>
      </c>
      <c r="F1496" s="1" t="s">
        <v>132</v>
      </c>
      <c r="G1496" s="1" t="s">
        <v>3565</v>
      </c>
      <c r="H1496" s="1" t="s">
        <v>3566</v>
      </c>
      <c r="I1496" s="1" t="s">
        <v>3567</v>
      </c>
      <c r="J1496" s="1" t="s">
        <v>29422</v>
      </c>
      <c r="K1496" s="1" t="s">
        <v>3569</v>
      </c>
      <c r="L1496" s="1" t="s">
        <v>3570</v>
      </c>
      <c r="M1496" s="1" t="s">
        <v>29423</v>
      </c>
      <c r="N1496" s="1" t="s">
        <v>132</v>
      </c>
      <c r="O1496" s="1" t="s">
        <v>3572</v>
      </c>
      <c r="P1496" s="1" t="s">
        <v>3573</v>
      </c>
      <c r="Q1496" s="1" t="s">
        <v>132</v>
      </c>
      <c r="R1496" s="1" t="s">
        <v>3579</v>
      </c>
      <c r="S1496" s="1" t="s">
        <v>3562</v>
      </c>
      <c r="T1496" s="8" t="s">
        <v>29424</v>
      </c>
      <c r="U1496" s="1" t="s">
        <v>3577</v>
      </c>
      <c r="V1496" s="1" t="s">
        <v>3578</v>
      </c>
      <c r="W1496" s="1" t="s">
        <v>3579</v>
      </c>
      <c r="X1496" s="1" t="s">
        <v>29425</v>
      </c>
      <c r="Y1496" s="1" t="s">
        <v>3581</v>
      </c>
      <c r="Z1496" s="1" t="s">
        <v>3582</v>
      </c>
      <c r="AA1496" s="1" t="s">
        <v>29426</v>
      </c>
      <c r="AB1496" s="1" t="s">
        <v>3584</v>
      </c>
      <c r="AC1496" s="1" t="s">
        <v>3585</v>
      </c>
      <c r="AD1496" s="1" t="s">
        <v>3586</v>
      </c>
      <c r="AE1496" s="1" t="s">
        <v>3587</v>
      </c>
      <c r="AF1496" s="1" t="s">
        <v>3588</v>
      </c>
      <c r="AG1496" s="1" t="s">
        <v>3589</v>
      </c>
      <c r="AH1496" s="1" t="s">
        <v>3590</v>
      </c>
      <c r="AI1496" s="1" t="s">
        <v>3591</v>
      </c>
      <c r="AJ1496" s="1" t="s">
        <v>132</v>
      </c>
      <c r="AK1496" s="1" t="s">
        <v>3592</v>
      </c>
      <c r="AL1496" s="1" t="s">
        <v>29427</v>
      </c>
      <c r="AM1496" s="1" t="s">
        <v>29428</v>
      </c>
      <c r="AN1496" s="1" t="s">
        <v>29428</v>
      </c>
    </row>
    <row r="1497" ht="15.75" customHeight="1">
      <c r="A1497" s="1" t="s">
        <v>38</v>
      </c>
      <c r="B1497" s="1" t="s">
        <v>29429</v>
      </c>
      <c r="C1497" s="1" t="s">
        <v>29430</v>
      </c>
      <c r="D1497" s="1" t="s">
        <v>132</v>
      </c>
      <c r="E1497" s="1" t="s">
        <v>29431</v>
      </c>
      <c r="F1497" s="1" t="s">
        <v>29432</v>
      </c>
      <c r="G1497" s="1" t="s">
        <v>132</v>
      </c>
      <c r="H1497" s="1" t="s">
        <v>132</v>
      </c>
      <c r="I1497" s="1" t="s">
        <v>29433</v>
      </c>
      <c r="J1497" s="1" t="s">
        <v>132</v>
      </c>
      <c r="K1497" s="1" t="s">
        <v>29434</v>
      </c>
      <c r="L1497" s="1" t="s">
        <v>132</v>
      </c>
      <c r="M1497" s="1" t="s">
        <v>29435</v>
      </c>
      <c r="N1497" s="1" t="s">
        <v>29436</v>
      </c>
      <c r="O1497" s="1" t="s">
        <v>132</v>
      </c>
      <c r="P1497" s="1" t="s">
        <v>29437</v>
      </c>
      <c r="Q1497" s="1" t="s">
        <v>132</v>
      </c>
      <c r="R1497" s="1" t="s">
        <v>132</v>
      </c>
      <c r="S1497" s="1" t="s">
        <v>29438</v>
      </c>
      <c r="T1497" s="1" t="s">
        <v>132</v>
      </c>
      <c r="U1497" s="1" t="s">
        <v>29439</v>
      </c>
      <c r="V1497" s="1" t="s">
        <v>132</v>
      </c>
      <c r="W1497" s="1" t="s">
        <v>132</v>
      </c>
      <c r="X1497" s="1" t="s">
        <v>29440</v>
      </c>
      <c r="Y1497" s="1" t="s">
        <v>132</v>
      </c>
      <c r="Z1497" s="1" t="s">
        <v>29441</v>
      </c>
      <c r="AA1497" s="1" t="s">
        <v>132</v>
      </c>
      <c r="AB1497" s="1" t="s">
        <v>132</v>
      </c>
      <c r="AC1497" s="1" t="s">
        <v>132</v>
      </c>
      <c r="AD1497" s="1" t="s">
        <v>132</v>
      </c>
      <c r="AE1497" s="1" t="s">
        <v>132</v>
      </c>
      <c r="AF1497" s="1" t="s">
        <v>29442</v>
      </c>
      <c r="AG1497" s="1" t="s">
        <v>132</v>
      </c>
      <c r="AH1497" s="1" t="s">
        <v>132</v>
      </c>
      <c r="AI1497" s="1" t="s">
        <v>132</v>
      </c>
      <c r="AJ1497" s="1" t="s">
        <v>132</v>
      </c>
      <c r="AK1497" s="1" t="s">
        <v>132</v>
      </c>
      <c r="AL1497" s="1" t="s">
        <v>132</v>
      </c>
      <c r="AM1497" s="1" t="s">
        <v>29443</v>
      </c>
      <c r="AN1497" s="1" t="s">
        <v>29443</v>
      </c>
    </row>
    <row r="1498" ht="15.75" customHeight="1">
      <c r="A1498" s="1" t="s">
        <v>4051</v>
      </c>
      <c r="B1498" s="1" t="s">
        <v>29444</v>
      </c>
      <c r="C1498" s="1" t="s">
        <v>29445</v>
      </c>
      <c r="D1498" s="8" t="s">
        <v>11817</v>
      </c>
      <c r="E1498" s="1" t="s">
        <v>29446</v>
      </c>
      <c r="F1498" s="1" t="s">
        <v>132</v>
      </c>
      <c r="G1498" s="1" t="s">
        <v>29447</v>
      </c>
      <c r="H1498" s="1" t="s">
        <v>29448</v>
      </c>
      <c r="I1498" s="1" t="s">
        <v>132</v>
      </c>
      <c r="J1498" s="1" t="s">
        <v>29449</v>
      </c>
      <c r="K1498" s="1" t="s">
        <v>29450</v>
      </c>
      <c r="L1498" s="1" t="s">
        <v>29451</v>
      </c>
      <c r="M1498" s="1" t="s">
        <v>43294</v>
      </c>
      <c r="N1498" s="1" t="s">
        <v>132</v>
      </c>
      <c r="O1498" s="1" t="s">
        <v>29453</v>
      </c>
      <c r="P1498" s="1" t="s">
        <v>29454</v>
      </c>
      <c r="Q1498" s="1" t="s">
        <v>132</v>
      </c>
      <c r="R1498" s="1" t="s">
        <v>29455</v>
      </c>
      <c r="S1498" s="1" t="s">
        <v>43295</v>
      </c>
      <c r="T1498" s="8" t="s">
        <v>29457</v>
      </c>
      <c r="U1498" s="1" t="s">
        <v>29458</v>
      </c>
      <c r="V1498" s="1" t="s">
        <v>29459</v>
      </c>
      <c r="W1498" s="1" t="s">
        <v>29460</v>
      </c>
      <c r="X1498" s="1" t="s">
        <v>29461</v>
      </c>
      <c r="Y1498" s="1" t="s">
        <v>29462</v>
      </c>
      <c r="Z1498" s="11" t="s">
        <v>29463</v>
      </c>
      <c r="AA1498" s="1" t="s">
        <v>29464</v>
      </c>
      <c r="AB1498" s="1" t="s">
        <v>29465</v>
      </c>
      <c r="AC1498" s="1" t="s">
        <v>29466</v>
      </c>
      <c r="AD1498" s="1" t="s">
        <v>29467</v>
      </c>
      <c r="AE1498" s="1" t="s">
        <v>29468</v>
      </c>
      <c r="AF1498" s="1" t="s">
        <v>132</v>
      </c>
      <c r="AG1498" s="1" t="s">
        <v>29469</v>
      </c>
      <c r="AH1498" s="1" t="s">
        <v>29470</v>
      </c>
      <c r="AI1498" s="1" t="s">
        <v>29471</v>
      </c>
      <c r="AJ1498" s="1" t="s">
        <v>132</v>
      </c>
      <c r="AK1498" s="1" t="s">
        <v>29472</v>
      </c>
      <c r="AL1498" s="14" t="s">
        <v>29473</v>
      </c>
      <c r="AM1498" s="1" t="s">
        <v>132</v>
      </c>
      <c r="AN1498" s="1" t="s">
        <v>132</v>
      </c>
    </row>
    <row r="1499" ht="15.75" customHeight="1">
      <c r="A1499" s="1" t="s">
        <v>38</v>
      </c>
      <c r="B1499" s="1" t="s">
        <v>29474</v>
      </c>
      <c r="C1499" s="1" t="s">
        <v>29475</v>
      </c>
      <c r="D1499" s="8" t="s">
        <v>29476</v>
      </c>
      <c r="E1499" s="1" t="s">
        <v>29477</v>
      </c>
      <c r="F1499" s="1" t="s">
        <v>29478</v>
      </c>
      <c r="G1499" s="1" t="s">
        <v>132</v>
      </c>
      <c r="H1499" s="1" t="s">
        <v>132</v>
      </c>
      <c r="I1499" s="1" t="s">
        <v>29479</v>
      </c>
      <c r="J1499" s="1" t="s">
        <v>132</v>
      </c>
      <c r="K1499" s="1" t="s">
        <v>29480</v>
      </c>
      <c r="L1499" s="1" t="s">
        <v>132</v>
      </c>
      <c r="M1499" s="1" t="s">
        <v>29481</v>
      </c>
      <c r="N1499" s="1" t="s">
        <v>29482</v>
      </c>
      <c r="O1499" s="1" t="s">
        <v>132</v>
      </c>
      <c r="P1499" s="1" t="s">
        <v>29483</v>
      </c>
      <c r="Q1499" s="1" t="s">
        <v>132</v>
      </c>
      <c r="R1499" s="1" t="s">
        <v>132</v>
      </c>
      <c r="S1499" s="1" t="s">
        <v>29484</v>
      </c>
      <c r="T1499" s="1" t="s">
        <v>132</v>
      </c>
      <c r="U1499" s="1" t="s">
        <v>132</v>
      </c>
      <c r="V1499" s="1" t="s">
        <v>132</v>
      </c>
      <c r="W1499" s="1" t="s">
        <v>132</v>
      </c>
      <c r="X1499" s="1" t="s">
        <v>29485</v>
      </c>
      <c r="Y1499" s="1" t="s">
        <v>132</v>
      </c>
      <c r="Z1499" s="1" t="s">
        <v>29486</v>
      </c>
      <c r="AA1499" s="1" t="s">
        <v>132</v>
      </c>
      <c r="AB1499" s="1" t="s">
        <v>132</v>
      </c>
      <c r="AC1499" s="1" t="s">
        <v>132</v>
      </c>
      <c r="AD1499" s="1" t="s">
        <v>132</v>
      </c>
      <c r="AE1499" s="1" t="s">
        <v>132</v>
      </c>
      <c r="AF1499" s="1" t="s">
        <v>132</v>
      </c>
      <c r="AG1499" s="1" t="s">
        <v>132</v>
      </c>
      <c r="AH1499" s="1" t="s">
        <v>132</v>
      </c>
      <c r="AI1499" s="1" t="s">
        <v>132</v>
      </c>
      <c r="AJ1499" s="1" t="s">
        <v>132</v>
      </c>
      <c r="AK1499" s="1" t="s">
        <v>132</v>
      </c>
      <c r="AL1499" s="1" t="s">
        <v>132</v>
      </c>
      <c r="AM1499" s="1" t="s">
        <v>132</v>
      </c>
      <c r="AN1499" s="1" t="s">
        <v>132</v>
      </c>
    </row>
    <row r="1500" ht="15.75" customHeight="1">
      <c r="A1500" s="1" t="s">
        <v>38</v>
      </c>
      <c r="B1500" s="1" t="s">
        <v>29487</v>
      </c>
      <c r="C1500" s="1" t="s">
        <v>29488</v>
      </c>
      <c r="D1500" s="1" t="s">
        <v>132</v>
      </c>
      <c r="E1500" s="1" t="s">
        <v>132</v>
      </c>
      <c r="F1500" s="1" t="s">
        <v>132</v>
      </c>
      <c r="G1500" s="1" t="s">
        <v>132</v>
      </c>
      <c r="H1500" s="1" t="s">
        <v>132</v>
      </c>
      <c r="I1500" s="1" t="s">
        <v>29489</v>
      </c>
      <c r="J1500" s="1" t="s">
        <v>132</v>
      </c>
      <c r="K1500" s="1" t="s">
        <v>29488</v>
      </c>
      <c r="L1500" s="1" t="s">
        <v>132</v>
      </c>
      <c r="M1500" s="1" t="s">
        <v>29490</v>
      </c>
      <c r="N1500" s="1" t="s">
        <v>132</v>
      </c>
      <c r="O1500" s="1" t="s">
        <v>132</v>
      </c>
      <c r="P1500" s="1" t="s">
        <v>29488</v>
      </c>
      <c r="Q1500" s="1" t="s">
        <v>132</v>
      </c>
      <c r="R1500" s="1" t="s">
        <v>132</v>
      </c>
      <c r="S1500" s="1" t="s">
        <v>132</v>
      </c>
      <c r="T1500" s="1" t="s">
        <v>132</v>
      </c>
      <c r="U1500" s="1" t="s">
        <v>132</v>
      </c>
      <c r="V1500" s="1" t="s">
        <v>132</v>
      </c>
      <c r="W1500" s="1" t="s">
        <v>132</v>
      </c>
      <c r="X1500" s="1" t="s">
        <v>132</v>
      </c>
      <c r="Y1500" s="1" t="s">
        <v>132</v>
      </c>
      <c r="Z1500" s="1" t="s">
        <v>132</v>
      </c>
      <c r="AA1500" s="1" t="s">
        <v>132</v>
      </c>
      <c r="AB1500" s="1" t="s">
        <v>132</v>
      </c>
      <c r="AC1500" s="1" t="s">
        <v>29491</v>
      </c>
      <c r="AD1500" s="1" t="s">
        <v>132</v>
      </c>
      <c r="AE1500" s="1" t="s">
        <v>132</v>
      </c>
      <c r="AF1500" s="1" t="s">
        <v>29492</v>
      </c>
      <c r="AG1500" s="1" t="s">
        <v>132</v>
      </c>
      <c r="AH1500" s="1" t="s">
        <v>132</v>
      </c>
      <c r="AI1500" s="1" t="s">
        <v>132</v>
      </c>
      <c r="AJ1500" s="1" t="s">
        <v>132</v>
      </c>
      <c r="AK1500" s="1" t="s">
        <v>132</v>
      </c>
      <c r="AL1500" s="1" t="s">
        <v>132</v>
      </c>
      <c r="AM1500" s="1" t="s">
        <v>132</v>
      </c>
      <c r="AN1500" s="1" t="s">
        <v>132</v>
      </c>
    </row>
    <row r="1501" ht="15.75" customHeight="1">
      <c r="A1501" s="1" t="s">
        <v>38</v>
      </c>
      <c r="B1501" s="1" t="s">
        <v>29493</v>
      </c>
      <c r="C1501" s="1" t="s">
        <v>29494</v>
      </c>
      <c r="D1501" s="1" t="s">
        <v>132</v>
      </c>
      <c r="E1501" s="1" t="s">
        <v>29495</v>
      </c>
      <c r="F1501" s="1" t="s">
        <v>29496</v>
      </c>
      <c r="G1501" s="1" t="s">
        <v>132</v>
      </c>
      <c r="H1501" s="1" t="s">
        <v>132</v>
      </c>
      <c r="I1501" s="1" t="s">
        <v>29497</v>
      </c>
      <c r="J1501" s="1" t="s">
        <v>132</v>
      </c>
      <c r="K1501" s="1" t="s">
        <v>29498</v>
      </c>
      <c r="L1501" s="1" t="s">
        <v>132</v>
      </c>
      <c r="M1501" s="1" t="s">
        <v>29499</v>
      </c>
      <c r="N1501" s="1" t="s">
        <v>29500</v>
      </c>
      <c r="O1501" s="1" t="s">
        <v>132</v>
      </c>
      <c r="P1501" s="1" t="s">
        <v>29501</v>
      </c>
      <c r="Q1501" s="1" t="s">
        <v>132</v>
      </c>
      <c r="R1501" s="1" t="s">
        <v>132</v>
      </c>
      <c r="S1501" s="1" t="s">
        <v>29502</v>
      </c>
      <c r="T1501" s="1" t="s">
        <v>132</v>
      </c>
      <c r="U1501" s="1" t="s">
        <v>132</v>
      </c>
      <c r="V1501" s="1" t="s">
        <v>132</v>
      </c>
      <c r="W1501" s="1" t="s">
        <v>132</v>
      </c>
      <c r="X1501" s="1" t="s">
        <v>29503</v>
      </c>
      <c r="Y1501" s="1" t="s">
        <v>132</v>
      </c>
      <c r="Z1501" s="1" t="s">
        <v>29504</v>
      </c>
      <c r="AA1501" s="1" t="s">
        <v>132</v>
      </c>
      <c r="AB1501" s="1" t="s">
        <v>132</v>
      </c>
      <c r="AC1501" s="1" t="s">
        <v>29505</v>
      </c>
      <c r="AD1501" s="1" t="s">
        <v>132</v>
      </c>
      <c r="AE1501" s="1" t="s">
        <v>132</v>
      </c>
      <c r="AF1501" s="1" t="s">
        <v>29506</v>
      </c>
      <c r="AG1501" s="1" t="s">
        <v>132</v>
      </c>
      <c r="AH1501" s="1" t="s">
        <v>132</v>
      </c>
      <c r="AI1501" s="1" t="s">
        <v>132</v>
      </c>
      <c r="AJ1501" s="1" t="s">
        <v>132</v>
      </c>
      <c r="AK1501" s="1" t="s">
        <v>132</v>
      </c>
      <c r="AL1501" s="1" t="s">
        <v>132</v>
      </c>
      <c r="AM1501" s="1" t="s">
        <v>132</v>
      </c>
      <c r="AN1501" s="1" t="s">
        <v>132</v>
      </c>
    </row>
    <row r="1502" ht="15.75" customHeight="1">
      <c r="A1502" s="1" t="s">
        <v>127</v>
      </c>
      <c r="B1502" s="1" t="s">
        <v>29507</v>
      </c>
      <c r="C1502" s="1" t="s">
        <v>29508</v>
      </c>
      <c r="D1502" s="8" t="s">
        <v>29509</v>
      </c>
      <c r="E1502" s="1" t="s">
        <v>29510</v>
      </c>
      <c r="F1502" s="1" t="s">
        <v>132</v>
      </c>
      <c r="G1502" s="1" t="s">
        <v>29511</v>
      </c>
      <c r="H1502" s="1" t="s">
        <v>29512</v>
      </c>
      <c r="I1502" s="1" t="s">
        <v>29513</v>
      </c>
      <c r="J1502" s="1" t="s">
        <v>29514</v>
      </c>
      <c r="K1502" s="1" t="s">
        <v>29515</v>
      </c>
      <c r="L1502" s="1" t="s">
        <v>29516</v>
      </c>
      <c r="M1502" s="1" t="s">
        <v>29517</v>
      </c>
      <c r="N1502" s="1" t="s">
        <v>132</v>
      </c>
      <c r="O1502" s="1" t="s">
        <v>29518</v>
      </c>
      <c r="P1502" s="1" t="s">
        <v>29519</v>
      </c>
      <c r="Q1502" s="1" t="s">
        <v>132</v>
      </c>
      <c r="R1502" s="1" t="s">
        <v>29520</v>
      </c>
      <c r="S1502" s="1" t="s">
        <v>29521</v>
      </c>
      <c r="T1502" s="8" t="s">
        <v>29522</v>
      </c>
      <c r="U1502" s="1" t="s">
        <v>29523</v>
      </c>
      <c r="V1502" s="1" t="s">
        <v>29524</v>
      </c>
      <c r="W1502" s="1" t="s">
        <v>29520</v>
      </c>
      <c r="X1502" s="1" t="s">
        <v>29525</v>
      </c>
      <c r="Y1502" s="1" t="s">
        <v>29526</v>
      </c>
      <c r="Z1502" s="1" t="s">
        <v>29527</v>
      </c>
      <c r="AA1502" s="1" t="s">
        <v>29528</v>
      </c>
      <c r="AB1502" s="1" t="s">
        <v>29529</v>
      </c>
      <c r="AC1502" s="1" t="s">
        <v>29530</v>
      </c>
      <c r="AD1502" s="1" t="s">
        <v>29531</v>
      </c>
      <c r="AE1502" s="1" t="s">
        <v>29532</v>
      </c>
      <c r="AF1502" s="1" t="s">
        <v>29533</v>
      </c>
      <c r="AG1502" s="1" t="s">
        <v>29534</v>
      </c>
      <c r="AH1502" s="1" t="s">
        <v>29535</v>
      </c>
      <c r="AI1502" s="1" t="s">
        <v>29536</v>
      </c>
      <c r="AJ1502" s="1" t="s">
        <v>132</v>
      </c>
      <c r="AK1502" s="1" t="s">
        <v>29537</v>
      </c>
      <c r="AL1502" s="1" t="s">
        <v>29523</v>
      </c>
      <c r="AM1502" s="1" t="s">
        <v>132</v>
      </c>
      <c r="AN1502" s="1" t="s">
        <v>132</v>
      </c>
    </row>
    <row r="1503" ht="15.75" customHeight="1">
      <c r="A1503" s="1" t="s">
        <v>38</v>
      </c>
      <c r="B1503" s="1" t="s">
        <v>29538</v>
      </c>
      <c r="C1503" s="1" t="s">
        <v>29539</v>
      </c>
      <c r="D1503" s="8" t="s">
        <v>29540</v>
      </c>
      <c r="E1503" s="1" t="s">
        <v>29541</v>
      </c>
      <c r="F1503" s="1" t="s">
        <v>29542</v>
      </c>
      <c r="G1503" s="1" t="s">
        <v>132</v>
      </c>
      <c r="H1503" s="1" t="s">
        <v>132</v>
      </c>
      <c r="I1503" s="1" t="s">
        <v>29543</v>
      </c>
      <c r="J1503" s="1" t="s">
        <v>132</v>
      </c>
      <c r="K1503" s="1" t="s">
        <v>29544</v>
      </c>
      <c r="L1503" s="1" t="s">
        <v>132</v>
      </c>
      <c r="M1503" s="1" t="s">
        <v>29545</v>
      </c>
      <c r="N1503" s="1" t="s">
        <v>29546</v>
      </c>
      <c r="O1503" s="1" t="s">
        <v>132</v>
      </c>
      <c r="P1503" s="1" t="s">
        <v>29547</v>
      </c>
      <c r="Q1503" s="1" t="s">
        <v>132</v>
      </c>
      <c r="R1503" s="1" t="s">
        <v>132</v>
      </c>
      <c r="S1503" s="1" t="s">
        <v>29548</v>
      </c>
      <c r="T1503" s="1" t="s">
        <v>132</v>
      </c>
      <c r="U1503" s="1" t="s">
        <v>29549</v>
      </c>
      <c r="V1503" s="1" t="s">
        <v>132</v>
      </c>
      <c r="W1503" s="1" t="s">
        <v>132</v>
      </c>
      <c r="X1503" s="1" t="s">
        <v>29550</v>
      </c>
      <c r="Y1503" s="1" t="s">
        <v>132</v>
      </c>
      <c r="Z1503" s="1" t="s">
        <v>29551</v>
      </c>
      <c r="AA1503" s="1" t="s">
        <v>132</v>
      </c>
      <c r="AB1503" s="1" t="s">
        <v>132</v>
      </c>
      <c r="AC1503" s="1" t="s">
        <v>29552</v>
      </c>
      <c r="AD1503" s="1" t="s">
        <v>132</v>
      </c>
      <c r="AE1503" s="1" t="s">
        <v>132</v>
      </c>
      <c r="AF1503" s="1" t="s">
        <v>132</v>
      </c>
      <c r="AG1503" s="1" t="s">
        <v>29553</v>
      </c>
      <c r="AH1503" s="1" t="s">
        <v>132</v>
      </c>
      <c r="AI1503" s="1" t="s">
        <v>132</v>
      </c>
      <c r="AJ1503" s="1" t="s">
        <v>29554</v>
      </c>
      <c r="AK1503" s="1" t="s">
        <v>132</v>
      </c>
      <c r="AL1503" s="1" t="s">
        <v>132</v>
      </c>
      <c r="AM1503" s="1" t="s">
        <v>29555</v>
      </c>
      <c r="AN1503" s="1" t="s">
        <v>29555</v>
      </c>
    </row>
    <row r="1504" ht="15.75" customHeight="1">
      <c r="A1504" s="1" t="s">
        <v>127</v>
      </c>
      <c r="B1504" s="1" t="s">
        <v>29556</v>
      </c>
      <c r="C1504" s="1" t="s">
        <v>107</v>
      </c>
      <c r="D1504" s="8" t="s">
        <v>29557</v>
      </c>
      <c r="E1504" s="1" t="s">
        <v>109</v>
      </c>
      <c r="F1504" s="1" t="s">
        <v>132</v>
      </c>
      <c r="G1504" s="1" t="s">
        <v>29558</v>
      </c>
      <c r="H1504" s="1" t="s">
        <v>29559</v>
      </c>
      <c r="I1504" s="1" t="s">
        <v>111</v>
      </c>
      <c r="J1504" s="1" t="s">
        <v>8785</v>
      </c>
      <c r="K1504" s="1" t="s">
        <v>112</v>
      </c>
      <c r="L1504" s="1" t="s">
        <v>29560</v>
      </c>
      <c r="M1504" s="1" t="s">
        <v>29561</v>
      </c>
      <c r="N1504" s="1" t="s">
        <v>132</v>
      </c>
      <c r="O1504" s="1" t="s">
        <v>29562</v>
      </c>
      <c r="P1504" s="1" t="s">
        <v>29563</v>
      </c>
      <c r="Q1504" s="1" t="s">
        <v>132</v>
      </c>
      <c r="R1504" s="1" t="s">
        <v>29564</v>
      </c>
      <c r="S1504" s="1" t="s">
        <v>116</v>
      </c>
      <c r="T1504" s="8" t="s">
        <v>29565</v>
      </c>
      <c r="U1504" s="1" t="s">
        <v>117</v>
      </c>
      <c r="V1504" s="1" t="s">
        <v>118</v>
      </c>
      <c r="W1504" s="1" t="s">
        <v>29564</v>
      </c>
      <c r="X1504" s="1" t="s">
        <v>29566</v>
      </c>
      <c r="Y1504" s="1" t="s">
        <v>29567</v>
      </c>
      <c r="Z1504" s="1" t="s">
        <v>120</v>
      </c>
      <c r="AA1504" s="1" t="s">
        <v>29568</v>
      </c>
      <c r="AB1504" s="1" t="s">
        <v>29569</v>
      </c>
      <c r="AC1504" s="1" t="s">
        <v>29570</v>
      </c>
      <c r="AD1504" s="1" t="s">
        <v>29571</v>
      </c>
      <c r="AE1504" s="1" t="s">
        <v>29572</v>
      </c>
      <c r="AF1504" s="1" t="s">
        <v>29573</v>
      </c>
      <c r="AG1504" s="1" t="s">
        <v>124</v>
      </c>
      <c r="AH1504" s="1" t="s">
        <v>29574</v>
      </c>
      <c r="AI1504" s="1" t="s">
        <v>29575</v>
      </c>
      <c r="AJ1504" s="1" t="s">
        <v>132</v>
      </c>
      <c r="AK1504" s="1" t="s">
        <v>18277</v>
      </c>
      <c r="AL1504" s="1" t="s">
        <v>29576</v>
      </c>
      <c r="AM1504" s="1" t="s">
        <v>132</v>
      </c>
      <c r="AN1504" s="1" t="s">
        <v>132</v>
      </c>
    </row>
    <row r="1505" ht="15.75" customHeight="1">
      <c r="A1505" s="1" t="s">
        <v>127</v>
      </c>
      <c r="B1505" s="1" t="s">
        <v>29577</v>
      </c>
      <c r="C1505" s="1" t="s">
        <v>29578</v>
      </c>
      <c r="D1505" s="8" t="s">
        <v>29579</v>
      </c>
      <c r="E1505" s="1" t="s">
        <v>29580</v>
      </c>
      <c r="F1505" s="1" t="s">
        <v>132</v>
      </c>
      <c r="G1505" s="1" t="s">
        <v>29581</v>
      </c>
      <c r="H1505" s="1" t="s">
        <v>29582</v>
      </c>
      <c r="I1505" s="1" t="s">
        <v>29583</v>
      </c>
      <c r="J1505" s="1" t="s">
        <v>29584</v>
      </c>
      <c r="K1505" s="1" t="s">
        <v>29585</v>
      </c>
      <c r="L1505" s="1" t="s">
        <v>29586</v>
      </c>
      <c r="M1505" s="1" t="s">
        <v>29587</v>
      </c>
      <c r="N1505" s="1" t="s">
        <v>132</v>
      </c>
      <c r="O1505" s="1" t="s">
        <v>29588</v>
      </c>
      <c r="P1505" s="1" t="s">
        <v>29589</v>
      </c>
      <c r="Q1505" s="1" t="s">
        <v>132</v>
      </c>
      <c r="R1505" s="1" t="s">
        <v>29590</v>
      </c>
      <c r="S1505" s="1" t="s">
        <v>29591</v>
      </c>
      <c r="T1505" s="8" t="s">
        <v>29592</v>
      </c>
      <c r="U1505" s="1" t="s">
        <v>29593</v>
      </c>
      <c r="V1505" s="1" t="s">
        <v>29594</v>
      </c>
      <c r="W1505" s="1" t="s">
        <v>29595</v>
      </c>
      <c r="X1505" s="1" t="s">
        <v>29596</v>
      </c>
      <c r="Y1505" s="1" t="s">
        <v>29597</v>
      </c>
      <c r="Z1505" s="1" t="s">
        <v>29598</v>
      </c>
      <c r="AA1505" s="1" t="s">
        <v>29599</v>
      </c>
      <c r="AB1505" s="1" t="s">
        <v>29600</v>
      </c>
      <c r="AC1505" s="1" t="s">
        <v>29601</v>
      </c>
      <c r="AD1505" s="1" t="s">
        <v>29602</v>
      </c>
      <c r="AE1505" s="1" t="s">
        <v>29603</v>
      </c>
      <c r="AF1505" s="1" t="s">
        <v>29604</v>
      </c>
      <c r="AG1505" s="1" t="s">
        <v>29605</v>
      </c>
      <c r="AH1505" s="1" t="s">
        <v>29606</v>
      </c>
      <c r="AI1505" s="1" t="s">
        <v>29607</v>
      </c>
      <c r="AJ1505" s="1" t="s">
        <v>132</v>
      </c>
      <c r="AK1505" s="1" t="s">
        <v>29608</v>
      </c>
      <c r="AL1505" s="1" t="s">
        <v>29609</v>
      </c>
      <c r="AM1505" s="1" t="s">
        <v>29610</v>
      </c>
      <c r="AN1505" s="1" t="s">
        <v>29610</v>
      </c>
    </row>
    <row r="1506" ht="15.75" customHeight="1">
      <c r="A1506" s="1" t="s">
        <v>127</v>
      </c>
      <c r="B1506" s="1" t="s">
        <v>29611</v>
      </c>
      <c r="C1506" s="1" t="s">
        <v>4554</v>
      </c>
      <c r="D1506" s="8" t="s">
        <v>4555</v>
      </c>
      <c r="E1506" s="1" t="s">
        <v>4556</v>
      </c>
      <c r="F1506" s="1" t="s">
        <v>132</v>
      </c>
      <c r="G1506" s="1" t="s">
        <v>4557</v>
      </c>
      <c r="H1506" s="1" t="s">
        <v>4558</v>
      </c>
      <c r="I1506" s="1" t="s">
        <v>4559</v>
      </c>
      <c r="J1506" s="1" t="s">
        <v>4560</v>
      </c>
      <c r="K1506" s="1" t="s">
        <v>29612</v>
      </c>
      <c r="L1506" s="1" t="s">
        <v>4562</v>
      </c>
      <c r="M1506" s="1" t="s">
        <v>4563</v>
      </c>
      <c r="N1506" s="1" t="s">
        <v>132</v>
      </c>
      <c r="O1506" s="1" t="s">
        <v>4564</v>
      </c>
      <c r="P1506" s="1" t="s">
        <v>4565</v>
      </c>
      <c r="Q1506" s="1" t="s">
        <v>132</v>
      </c>
      <c r="R1506" s="1" t="s">
        <v>4566</v>
      </c>
      <c r="S1506" s="1" t="s">
        <v>4567</v>
      </c>
      <c r="T1506" s="8" t="s">
        <v>4568</v>
      </c>
      <c r="U1506" s="1" t="s">
        <v>4569</v>
      </c>
      <c r="V1506" s="1" t="s">
        <v>4570</v>
      </c>
      <c r="W1506" s="1" t="s">
        <v>4566</v>
      </c>
      <c r="X1506" s="1" t="s">
        <v>4571</v>
      </c>
      <c r="Y1506" s="1" t="s">
        <v>4572</v>
      </c>
      <c r="Z1506" s="1" t="s">
        <v>24501</v>
      </c>
      <c r="AA1506" s="1" t="s">
        <v>29613</v>
      </c>
      <c r="AB1506" s="1" t="s">
        <v>4575</v>
      </c>
      <c r="AC1506" s="1" t="s">
        <v>4576</v>
      </c>
      <c r="AD1506" s="1" t="s">
        <v>4577</v>
      </c>
      <c r="AE1506" s="1" t="s">
        <v>4578</v>
      </c>
      <c r="AF1506" s="1" t="s">
        <v>4579</v>
      </c>
      <c r="AG1506" s="1" t="s">
        <v>4580</v>
      </c>
      <c r="AH1506" s="1" t="s">
        <v>4581</v>
      </c>
      <c r="AI1506" s="1" t="s">
        <v>4582</v>
      </c>
      <c r="AJ1506" s="1" t="s">
        <v>132</v>
      </c>
      <c r="AK1506" s="1" t="s">
        <v>4583</v>
      </c>
      <c r="AL1506" s="1" t="s">
        <v>4584</v>
      </c>
      <c r="AM1506" s="1" t="s">
        <v>4585</v>
      </c>
      <c r="AN1506" s="1" t="s">
        <v>4585</v>
      </c>
    </row>
    <row r="1507" ht="15.75" customHeight="1">
      <c r="A1507" s="1" t="s">
        <v>127</v>
      </c>
      <c r="B1507" s="1" t="s">
        <v>29614</v>
      </c>
      <c r="C1507" s="1" t="s">
        <v>29615</v>
      </c>
      <c r="D1507" s="8" t="s">
        <v>29616</v>
      </c>
      <c r="E1507" s="1" t="s">
        <v>29617</v>
      </c>
      <c r="F1507" s="1" t="s">
        <v>132</v>
      </c>
      <c r="G1507" s="1" t="s">
        <v>29618</v>
      </c>
      <c r="H1507" s="1" t="s">
        <v>29619</v>
      </c>
      <c r="I1507" s="1" t="s">
        <v>29619</v>
      </c>
      <c r="J1507" s="1" t="s">
        <v>29620</v>
      </c>
      <c r="K1507" s="1" t="s">
        <v>29621</v>
      </c>
      <c r="L1507" s="1" t="s">
        <v>29622</v>
      </c>
      <c r="M1507" s="1" t="s">
        <v>29615</v>
      </c>
      <c r="N1507" s="1" t="s">
        <v>132</v>
      </c>
      <c r="O1507" s="1" t="s">
        <v>29623</v>
      </c>
      <c r="P1507" s="1" t="s">
        <v>29624</v>
      </c>
      <c r="Q1507" s="1" t="s">
        <v>132</v>
      </c>
      <c r="R1507" s="1" t="s">
        <v>29625</v>
      </c>
      <c r="S1507" s="1" t="s">
        <v>29619</v>
      </c>
      <c r="T1507" s="8" t="s">
        <v>29626</v>
      </c>
      <c r="U1507" s="1" t="s">
        <v>29627</v>
      </c>
      <c r="V1507" s="1" t="s">
        <v>29628</v>
      </c>
      <c r="W1507" s="1" t="s">
        <v>29629</v>
      </c>
      <c r="X1507" s="1" t="s">
        <v>29630</v>
      </c>
      <c r="Y1507" s="1" t="s">
        <v>29631</v>
      </c>
      <c r="Z1507" s="1" t="s">
        <v>29619</v>
      </c>
      <c r="AA1507" s="1" t="s">
        <v>29632</v>
      </c>
      <c r="AB1507" s="1" t="s">
        <v>29619</v>
      </c>
      <c r="AC1507" s="1" t="s">
        <v>29633</v>
      </c>
      <c r="AD1507" s="1" t="s">
        <v>29634</v>
      </c>
      <c r="AE1507" s="1" t="s">
        <v>29634</v>
      </c>
      <c r="AF1507" s="1" t="s">
        <v>29619</v>
      </c>
      <c r="AG1507" s="1" t="s">
        <v>29619</v>
      </c>
      <c r="AH1507" s="1" t="s">
        <v>29635</v>
      </c>
      <c r="AI1507" s="1" t="s">
        <v>29636</v>
      </c>
      <c r="AJ1507" s="1" t="s">
        <v>132</v>
      </c>
      <c r="AK1507" s="1" t="s">
        <v>29637</v>
      </c>
      <c r="AL1507" s="1" t="s">
        <v>29638</v>
      </c>
      <c r="AM1507" s="1" t="s">
        <v>29639</v>
      </c>
      <c r="AN1507" s="1" t="s">
        <v>29639</v>
      </c>
    </row>
    <row r="1508" ht="15.75" customHeight="1">
      <c r="A1508" s="1" t="s">
        <v>127</v>
      </c>
      <c r="B1508" s="1" t="s">
        <v>29640</v>
      </c>
      <c r="C1508" s="1" t="s">
        <v>29641</v>
      </c>
      <c r="D1508" s="8" t="s">
        <v>29642</v>
      </c>
      <c r="E1508" s="1" t="s">
        <v>29643</v>
      </c>
      <c r="F1508" s="1" t="s">
        <v>132</v>
      </c>
      <c r="G1508" s="1" t="s">
        <v>29644</v>
      </c>
      <c r="H1508" s="1" t="s">
        <v>29645</v>
      </c>
      <c r="I1508" s="1" t="s">
        <v>29646</v>
      </c>
      <c r="J1508" s="1" t="s">
        <v>29647</v>
      </c>
      <c r="K1508" s="1" t="s">
        <v>29648</v>
      </c>
      <c r="L1508" s="1" t="s">
        <v>29649</v>
      </c>
      <c r="M1508" s="1" t="s">
        <v>29650</v>
      </c>
      <c r="N1508" s="1" t="s">
        <v>132</v>
      </c>
      <c r="O1508" s="1" t="s">
        <v>29651</v>
      </c>
      <c r="P1508" s="1" t="s">
        <v>11639</v>
      </c>
      <c r="Q1508" s="1" t="s">
        <v>132</v>
      </c>
      <c r="R1508" s="1" t="s">
        <v>864</v>
      </c>
      <c r="S1508" s="1" t="s">
        <v>29645</v>
      </c>
      <c r="T1508" s="8" t="s">
        <v>29652</v>
      </c>
      <c r="U1508" s="1" t="s">
        <v>867</v>
      </c>
      <c r="V1508" s="1" t="s">
        <v>868</v>
      </c>
      <c r="W1508" s="1" t="s">
        <v>869</v>
      </c>
      <c r="X1508" s="1" t="s">
        <v>29645</v>
      </c>
      <c r="Y1508" s="1" t="s">
        <v>29645</v>
      </c>
      <c r="Z1508" s="1" t="s">
        <v>29653</v>
      </c>
      <c r="AA1508" s="1" t="s">
        <v>29654</v>
      </c>
      <c r="AB1508" s="1" t="s">
        <v>29655</v>
      </c>
      <c r="AC1508" s="1" t="s">
        <v>29656</v>
      </c>
      <c r="AD1508" s="1" t="s">
        <v>29657</v>
      </c>
      <c r="AE1508" s="1" t="s">
        <v>29645</v>
      </c>
      <c r="AF1508" s="1" t="s">
        <v>29645</v>
      </c>
      <c r="AG1508" s="1" t="s">
        <v>29645</v>
      </c>
      <c r="AH1508" s="1" t="s">
        <v>876</v>
      </c>
      <c r="AI1508" s="1" t="s">
        <v>29658</v>
      </c>
      <c r="AJ1508" s="1" t="s">
        <v>132</v>
      </c>
      <c r="AK1508" s="1" t="s">
        <v>878</v>
      </c>
      <c r="AL1508" s="1" t="s">
        <v>879</v>
      </c>
      <c r="AM1508" s="1" t="s">
        <v>29659</v>
      </c>
      <c r="AN1508" s="1" t="s">
        <v>29659</v>
      </c>
    </row>
    <row r="1509" ht="15.75" customHeight="1">
      <c r="A1509" s="1" t="s">
        <v>127</v>
      </c>
      <c r="B1509" s="1" t="s">
        <v>29660</v>
      </c>
      <c r="C1509" s="1" t="s">
        <v>29661</v>
      </c>
      <c r="D1509" s="8" t="s">
        <v>29662</v>
      </c>
      <c r="E1509" s="1" t="s">
        <v>29663</v>
      </c>
      <c r="F1509" s="1" t="s">
        <v>132</v>
      </c>
      <c r="G1509" s="1" t="s">
        <v>29664</v>
      </c>
      <c r="H1509" s="1" t="s">
        <v>29665</v>
      </c>
      <c r="I1509" s="1" t="s">
        <v>29666</v>
      </c>
      <c r="J1509" s="1" t="s">
        <v>29667</v>
      </c>
      <c r="K1509" s="1" t="s">
        <v>29668</v>
      </c>
      <c r="L1509" s="1" t="s">
        <v>29669</v>
      </c>
      <c r="M1509" s="1" t="s">
        <v>29670</v>
      </c>
      <c r="N1509" s="1" t="s">
        <v>132</v>
      </c>
      <c r="O1509" s="1" t="s">
        <v>29671</v>
      </c>
      <c r="P1509" s="1" t="s">
        <v>29672</v>
      </c>
      <c r="Q1509" s="1" t="s">
        <v>132</v>
      </c>
      <c r="R1509" s="1" t="s">
        <v>29673</v>
      </c>
      <c r="S1509" s="1" t="s">
        <v>29674</v>
      </c>
      <c r="T1509" s="8" t="s">
        <v>29675</v>
      </c>
      <c r="U1509" s="1" t="s">
        <v>29676</v>
      </c>
      <c r="V1509" s="1" t="s">
        <v>29677</v>
      </c>
      <c r="W1509" s="1" t="s">
        <v>29673</v>
      </c>
      <c r="X1509" s="1" t="s">
        <v>29678</v>
      </c>
      <c r="Y1509" s="1" t="s">
        <v>29665</v>
      </c>
      <c r="Z1509" s="1" t="s">
        <v>29679</v>
      </c>
      <c r="AA1509" s="1" t="s">
        <v>29680</v>
      </c>
      <c r="AB1509" s="1" t="s">
        <v>29681</v>
      </c>
      <c r="AC1509" s="1" t="s">
        <v>29682</v>
      </c>
      <c r="AD1509" s="1" t="s">
        <v>29683</v>
      </c>
      <c r="AE1509" s="1" t="s">
        <v>29684</v>
      </c>
      <c r="AF1509" s="1" t="s">
        <v>29685</v>
      </c>
      <c r="AG1509" s="1" t="s">
        <v>29686</v>
      </c>
      <c r="AH1509" s="1" t="s">
        <v>29687</v>
      </c>
      <c r="AI1509" s="1" t="s">
        <v>29688</v>
      </c>
      <c r="AJ1509" s="1" t="s">
        <v>132</v>
      </c>
      <c r="AK1509" s="1" t="s">
        <v>29689</v>
      </c>
      <c r="AL1509" s="1" t="s">
        <v>29690</v>
      </c>
      <c r="AM1509" s="1" t="s">
        <v>29691</v>
      </c>
      <c r="AN1509" s="1" t="s">
        <v>29691</v>
      </c>
    </row>
    <row r="1510" ht="15.75" customHeight="1">
      <c r="A1510" s="1" t="s">
        <v>127</v>
      </c>
      <c r="B1510" s="1" t="s">
        <v>29692</v>
      </c>
      <c r="C1510" s="1" t="s">
        <v>29693</v>
      </c>
      <c r="D1510" s="8" t="s">
        <v>29694</v>
      </c>
      <c r="E1510" s="1" t="s">
        <v>29695</v>
      </c>
      <c r="F1510" s="1" t="s">
        <v>132</v>
      </c>
      <c r="G1510" s="1" t="s">
        <v>29696</v>
      </c>
      <c r="H1510" s="1" t="s">
        <v>29697</v>
      </c>
      <c r="I1510" s="1" t="s">
        <v>29698</v>
      </c>
      <c r="J1510" s="1" t="s">
        <v>29699</v>
      </c>
      <c r="K1510" s="1" t="s">
        <v>29700</v>
      </c>
      <c r="L1510" s="1" t="s">
        <v>29701</v>
      </c>
      <c r="M1510" s="1" t="s">
        <v>29702</v>
      </c>
      <c r="N1510" s="1" t="s">
        <v>132</v>
      </c>
      <c r="O1510" s="1" t="s">
        <v>29703</v>
      </c>
      <c r="P1510" s="1" t="s">
        <v>29704</v>
      </c>
      <c r="Q1510" s="1" t="s">
        <v>132</v>
      </c>
      <c r="R1510" s="1" t="s">
        <v>29705</v>
      </c>
      <c r="S1510" s="1" t="s">
        <v>29706</v>
      </c>
      <c r="T1510" s="8" t="s">
        <v>29707</v>
      </c>
      <c r="U1510" s="1" t="s">
        <v>753</v>
      </c>
      <c r="V1510" s="1" t="s">
        <v>29708</v>
      </c>
      <c r="W1510" s="1" t="s">
        <v>29705</v>
      </c>
      <c r="X1510" s="1" t="s">
        <v>29709</v>
      </c>
      <c r="Y1510" s="1" t="s">
        <v>29710</v>
      </c>
      <c r="Z1510" s="1" t="s">
        <v>29711</v>
      </c>
      <c r="AA1510" s="1" t="s">
        <v>29712</v>
      </c>
      <c r="AB1510" s="1" t="s">
        <v>29713</v>
      </c>
      <c r="AC1510" s="1" t="s">
        <v>29714</v>
      </c>
      <c r="AD1510" s="1" t="s">
        <v>29715</v>
      </c>
      <c r="AE1510" s="1" t="s">
        <v>29693</v>
      </c>
      <c r="AF1510" s="1" t="s">
        <v>29716</v>
      </c>
      <c r="AG1510" s="1" t="s">
        <v>29702</v>
      </c>
      <c r="AH1510" s="1" t="s">
        <v>29717</v>
      </c>
      <c r="AI1510" s="1" t="s">
        <v>29718</v>
      </c>
      <c r="AJ1510" s="1" t="s">
        <v>132</v>
      </c>
      <c r="AK1510" s="1" t="s">
        <v>29719</v>
      </c>
      <c r="AL1510" s="1" t="s">
        <v>29720</v>
      </c>
      <c r="AM1510" s="1" t="s">
        <v>29721</v>
      </c>
      <c r="AN1510" s="1" t="s">
        <v>29721</v>
      </c>
    </row>
    <row r="1511" ht="15.75" customHeight="1">
      <c r="A1511" s="1" t="s">
        <v>127</v>
      </c>
      <c r="B1511" s="1" t="s">
        <v>29722</v>
      </c>
      <c r="C1511" s="1" t="s">
        <v>29723</v>
      </c>
      <c r="D1511" s="8" t="s">
        <v>29724</v>
      </c>
      <c r="E1511" s="1" t="s">
        <v>29725</v>
      </c>
      <c r="F1511" s="1" t="s">
        <v>132</v>
      </c>
      <c r="G1511" s="1" t="s">
        <v>29726</v>
      </c>
      <c r="H1511" s="1" t="s">
        <v>29723</v>
      </c>
      <c r="I1511" s="1" t="s">
        <v>29723</v>
      </c>
      <c r="J1511" s="1" t="s">
        <v>29727</v>
      </c>
      <c r="K1511" s="1" t="s">
        <v>29728</v>
      </c>
      <c r="L1511" s="1" t="s">
        <v>29729</v>
      </c>
      <c r="M1511" s="1" t="s">
        <v>29723</v>
      </c>
      <c r="N1511" s="1" t="s">
        <v>132</v>
      </c>
      <c r="O1511" s="1" t="s">
        <v>29730</v>
      </c>
      <c r="P1511" s="1" t="s">
        <v>29731</v>
      </c>
      <c r="Q1511" s="1" t="s">
        <v>132</v>
      </c>
      <c r="R1511" s="1" t="s">
        <v>29732</v>
      </c>
      <c r="S1511" s="1" t="s">
        <v>29733</v>
      </c>
      <c r="T1511" s="8" t="s">
        <v>29734</v>
      </c>
      <c r="U1511" s="1" t="s">
        <v>29735</v>
      </c>
      <c r="V1511" s="1" t="s">
        <v>29736</v>
      </c>
      <c r="W1511" s="1" t="s">
        <v>29737</v>
      </c>
      <c r="X1511" s="1" t="s">
        <v>29723</v>
      </c>
      <c r="Y1511" s="1" t="s">
        <v>29738</v>
      </c>
      <c r="Z1511" s="1" t="s">
        <v>29739</v>
      </c>
      <c r="AA1511" s="1" t="s">
        <v>29728</v>
      </c>
      <c r="AB1511" s="1" t="s">
        <v>29740</v>
      </c>
      <c r="AC1511" s="1" t="s">
        <v>29741</v>
      </c>
      <c r="AD1511" s="1" t="s">
        <v>29726</v>
      </c>
      <c r="AE1511" s="1" t="s">
        <v>29742</v>
      </c>
      <c r="AF1511" s="1" t="s">
        <v>29743</v>
      </c>
      <c r="AG1511" s="1" t="s">
        <v>29738</v>
      </c>
      <c r="AH1511" s="1" t="s">
        <v>29744</v>
      </c>
      <c r="AI1511" s="1" t="s">
        <v>29745</v>
      </c>
      <c r="AJ1511" s="1" t="s">
        <v>132</v>
      </c>
      <c r="AK1511" s="1" t="s">
        <v>29746</v>
      </c>
      <c r="AL1511" s="1" t="s">
        <v>29747</v>
      </c>
      <c r="AM1511" s="1" t="s">
        <v>29748</v>
      </c>
      <c r="AN1511" s="1" t="s">
        <v>29748</v>
      </c>
    </row>
    <row r="1512" ht="15.75" customHeight="1">
      <c r="A1512" s="1" t="s">
        <v>127</v>
      </c>
      <c r="B1512" s="1" t="s">
        <v>29749</v>
      </c>
      <c r="C1512" s="1" t="s">
        <v>1426</v>
      </c>
      <c r="D1512" s="8" t="s">
        <v>29750</v>
      </c>
      <c r="E1512" s="1" t="s">
        <v>1428</v>
      </c>
      <c r="F1512" s="1" t="s">
        <v>132</v>
      </c>
      <c r="G1512" s="1" t="s">
        <v>1429</v>
      </c>
      <c r="H1512" s="1" t="s">
        <v>1430</v>
      </c>
      <c r="I1512" s="1" t="s">
        <v>1426</v>
      </c>
      <c r="J1512" s="1" t="s">
        <v>29751</v>
      </c>
      <c r="K1512" s="1" t="s">
        <v>29752</v>
      </c>
      <c r="L1512" s="1" t="s">
        <v>1433</v>
      </c>
      <c r="M1512" s="1" t="s">
        <v>1426</v>
      </c>
      <c r="N1512" s="1" t="s">
        <v>132</v>
      </c>
      <c r="O1512" s="1" t="s">
        <v>1434</v>
      </c>
      <c r="P1512" s="1" t="s">
        <v>1435</v>
      </c>
      <c r="Q1512" s="1" t="s">
        <v>132</v>
      </c>
      <c r="R1512" s="1" t="s">
        <v>1441</v>
      </c>
      <c r="S1512" s="1" t="s">
        <v>29753</v>
      </c>
      <c r="T1512" s="8" t="s">
        <v>29754</v>
      </c>
      <c r="U1512" s="1" t="s">
        <v>1439</v>
      </c>
      <c r="V1512" s="1" t="s">
        <v>1440</v>
      </c>
      <c r="W1512" s="1" t="s">
        <v>1441</v>
      </c>
      <c r="X1512" s="1" t="s">
        <v>1442</v>
      </c>
      <c r="Y1512" s="1" t="s">
        <v>1443</v>
      </c>
      <c r="Z1512" s="1" t="s">
        <v>1444</v>
      </c>
      <c r="AA1512" s="1" t="s">
        <v>1445</v>
      </c>
      <c r="AB1512" s="1" t="s">
        <v>1446</v>
      </c>
      <c r="AC1512" s="1" t="s">
        <v>1447</v>
      </c>
      <c r="AD1512" s="1" t="s">
        <v>1448</v>
      </c>
      <c r="AE1512" s="1" t="s">
        <v>1449</v>
      </c>
      <c r="AF1512" s="1" t="s">
        <v>1450</v>
      </c>
      <c r="AG1512" s="1" t="s">
        <v>1451</v>
      </c>
      <c r="AH1512" s="1" t="s">
        <v>1452</v>
      </c>
      <c r="AI1512" s="1" t="s">
        <v>29755</v>
      </c>
      <c r="AJ1512" s="1" t="s">
        <v>132</v>
      </c>
      <c r="AK1512" s="1" t="s">
        <v>1454</v>
      </c>
      <c r="AL1512" s="1" t="s">
        <v>1455</v>
      </c>
      <c r="AM1512" s="1" t="s">
        <v>1456</v>
      </c>
      <c r="AN1512" s="1" t="s">
        <v>1456</v>
      </c>
    </row>
    <row r="1513" ht="15.75" customHeight="1">
      <c r="A1513" s="1" t="s">
        <v>127</v>
      </c>
      <c r="B1513" s="1" t="s">
        <v>29756</v>
      </c>
      <c r="C1513" s="1" t="s">
        <v>29757</v>
      </c>
      <c r="D1513" s="8" t="s">
        <v>29758</v>
      </c>
      <c r="E1513" s="1" t="s">
        <v>29759</v>
      </c>
      <c r="F1513" s="1" t="s">
        <v>132</v>
      </c>
      <c r="G1513" s="1" t="s">
        <v>29760</v>
      </c>
      <c r="H1513" s="1" t="s">
        <v>29761</v>
      </c>
      <c r="I1513" s="1" t="s">
        <v>29762</v>
      </c>
      <c r="J1513" s="1" t="s">
        <v>29763</v>
      </c>
      <c r="K1513" s="1" t="s">
        <v>29764</v>
      </c>
      <c r="L1513" s="1" t="s">
        <v>29765</v>
      </c>
      <c r="M1513" s="1" t="s">
        <v>29766</v>
      </c>
      <c r="N1513" s="1" t="s">
        <v>132</v>
      </c>
      <c r="O1513" s="1" t="s">
        <v>29767</v>
      </c>
      <c r="P1513" s="1" t="s">
        <v>29768</v>
      </c>
      <c r="Q1513" s="1" t="s">
        <v>132</v>
      </c>
      <c r="R1513" s="1" t="s">
        <v>29769</v>
      </c>
      <c r="S1513" s="1" t="s">
        <v>29770</v>
      </c>
      <c r="T1513" s="8" t="s">
        <v>29771</v>
      </c>
      <c r="U1513" s="1" t="s">
        <v>29772</v>
      </c>
      <c r="V1513" s="1" t="s">
        <v>29773</v>
      </c>
      <c r="W1513" s="1" t="s">
        <v>29774</v>
      </c>
      <c r="X1513" s="1" t="s">
        <v>29775</v>
      </c>
      <c r="Y1513" s="1" t="s">
        <v>29761</v>
      </c>
      <c r="Z1513" s="1" t="s">
        <v>29776</v>
      </c>
      <c r="AA1513" s="1" t="s">
        <v>29777</v>
      </c>
      <c r="AB1513" s="1" t="s">
        <v>29778</v>
      </c>
      <c r="AC1513" s="1" t="s">
        <v>13428</v>
      </c>
      <c r="AD1513" s="1" t="s">
        <v>29779</v>
      </c>
      <c r="AE1513" s="1" t="s">
        <v>29780</v>
      </c>
      <c r="AF1513" s="1" t="s">
        <v>29781</v>
      </c>
      <c r="AG1513" s="1" t="s">
        <v>29782</v>
      </c>
      <c r="AH1513" s="1" t="s">
        <v>29783</v>
      </c>
      <c r="AI1513" s="1" t="s">
        <v>29784</v>
      </c>
      <c r="AJ1513" s="1" t="s">
        <v>132</v>
      </c>
      <c r="AK1513" s="1" t="s">
        <v>29785</v>
      </c>
      <c r="AL1513" s="1" t="s">
        <v>29786</v>
      </c>
      <c r="AM1513" s="1" t="s">
        <v>29787</v>
      </c>
      <c r="AN1513" s="1" t="s">
        <v>29787</v>
      </c>
    </row>
    <row r="1514" ht="15.75" customHeight="1">
      <c r="A1514" s="1" t="s">
        <v>127</v>
      </c>
      <c r="B1514" s="1" t="s">
        <v>29788</v>
      </c>
      <c r="C1514" s="1" t="s">
        <v>29789</v>
      </c>
      <c r="D1514" s="8" t="s">
        <v>29790</v>
      </c>
      <c r="E1514" s="1" t="s">
        <v>29791</v>
      </c>
      <c r="F1514" s="1" t="s">
        <v>132</v>
      </c>
      <c r="G1514" s="1" t="s">
        <v>29792</v>
      </c>
      <c r="H1514" s="1" t="s">
        <v>29793</v>
      </c>
      <c r="I1514" s="1" t="s">
        <v>29789</v>
      </c>
      <c r="J1514" s="1" t="s">
        <v>29794</v>
      </c>
      <c r="K1514" s="1" t="s">
        <v>29795</v>
      </c>
      <c r="L1514" s="1" t="s">
        <v>29796</v>
      </c>
      <c r="M1514" s="1" t="s">
        <v>29789</v>
      </c>
      <c r="N1514" s="1" t="s">
        <v>132</v>
      </c>
      <c r="O1514" s="1" t="s">
        <v>29797</v>
      </c>
      <c r="P1514" s="1" t="s">
        <v>29798</v>
      </c>
      <c r="Q1514" s="1" t="s">
        <v>132</v>
      </c>
      <c r="R1514" s="1" t="s">
        <v>29799</v>
      </c>
      <c r="S1514" s="1" t="s">
        <v>29800</v>
      </c>
      <c r="T1514" s="8" t="s">
        <v>29801</v>
      </c>
      <c r="U1514" s="1" t="s">
        <v>29802</v>
      </c>
      <c r="V1514" s="1" t="s">
        <v>29803</v>
      </c>
      <c r="W1514" s="1" t="s">
        <v>29799</v>
      </c>
      <c r="X1514" s="1" t="s">
        <v>29804</v>
      </c>
      <c r="Y1514" s="1" t="s">
        <v>29805</v>
      </c>
      <c r="Z1514" s="1" t="s">
        <v>29806</v>
      </c>
      <c r="AA1514" s="1" t="s">
        <v>29807</v>
      </c>
      <c r="AB1514" s="1" t="s">
        <v>29808</v>
      </c>
      <c r="AC1514" s="1" t="s">
        <v>29809</v>
      </c>
      <c r="AD1514" s="1" t="s">
        <v>29810</v>
      </c>
      <c r="AE1514" s="1" t="s">
        <v>29811</v>
      </c>
      <c r="AF1514" s="1" t="s">
        <v>29812</v>
      </c>
      <c r="AG1514" s="1" t="s">
        <v>29813</v>
      </c>
      <c r="AH1514" s="1" t="s">
        <v>29814</v>
      </c>
      <c r="AI1514" s="1" t="s">
        <v>29815</v>
      </c>
      <c r="AJ1514" s="1" t="s">
        <v>132</v>
      </c>
      <c r="AK1514" s="1" t="s">
        <v>29816</v>
      </c>
      <c r="AL1514" s="1" t="s">
        <v>29817</v>
      </c>
      <c r="AM1514" s="1" t="s">
        <v>29818</v>
      </c>
      <c r="AN1514" s="1" t="s">
        <v>29818</v>
      </c>
    </row>
    <row r="1515" ht="15.75" customHeight="1">
      <c r="A1515" s="1" t="s">
        <v>127</v>
      </c>
      <c r="B1515" s="1" t="s">
        <v>29819</v>
      </c>
      <c r="C1515" s="1" t="s">
        <v>29820</v>
      </c>
      <c r="D1515" s="8" t="s">
        <v>29821</v>
      </c>
      <c r="E1515" s="1" t="s">
        <v>29822</v>
      </c>
      <c r="F1515" s="1" t="s">
        <v>132</v>
      </c>
      <c r="G1515" s="1" t="s">
        <v>29820</v>
      </c>
      <c r="H1515" s="1" t="s">
        <v>29823</v>
      </c>
      <c r="I1515" s="1" t="s">
        <v>29824</v>
      </c>
      <c r="J1515" s="1" t="s">
        <v>29825</v>
      </c>
      <c r="K1515" s="1" t="s">
        <v>29820</v>
      </c>
      <c r="L1515" s="1" t="s">
        <v>29826</v>
      </c>
      <c r="M1515" s="1" t="s">
        <v>29827</v>
      </c>
      <c r="N1515" s="1" t="s">
        <v>132</v>
      </c>
      <c r="O1515" s="1" t="s">
        <v>29828</v>
      </c>
      <c r="P1515" s="1" t="s">
        <v>29829</v>
      </c>
      <c r="Q1515" s="1" t="s">
        <v>132</v>
      </c>
      <c r="R1515" s="1" t="s">
        <v>29830</v>
      </c>
      <c r="S1515" s="1" t="s">
        <v>29831</v>
      </c>
      <c r="T1515" s="8" t="s">
        <v>29832</v>
      </c>
      <c r="U1515" s="1" t="s">
        <v>29833</v>
      </c>
      <c r="V1515" s="1" t="s">
        <v>29834</v>
      </c>
      <c r="W1515" s="1" t="s">
        <v>29830</v>
      </c>
      <c r="X1515" s="1" t="s">
        <v>29835</v>
      </c>
      <c r="Y1515" s="1" t="s">
        <v>29836</v>
      </c>
      <c r="Z1515" s="1" t="s">
        <v>29820</v>
      </c>
      <c r="AA1515" s="1" t="s">
        <v>29837</v>
      </c>
      <c r="AB1515" s="1" t="s">
        <v>29838</v>
      </c>
      <c r="AC1515" s="1" t="s">
        <v>29839</v>
      </c>
      <c r="AD1515" s="1" t="s">
        <v>29840</v>
      </c>
      <c r="AE1515" s="1" t="s">
        <v>29841</v>
      </c>
      <c r="AF1515" s="1" t="s">
        <v>29820</v>
      </c>
      <c r="AG1515" s="1" t="s">
        <v>29836</v>
      </c>
      <c r="AH1515" s="1" t="s">
        <v>29842</v>
      </c>
      <c r="AI1515" s="1" t="s">
        <v>29843</v>
      </c>
      <c r="AJ1515" s="1" t="s">
        <v>132</v>
      </c>
      <c r="AK1515" s="1" t="s">
        <v>29844</v>
      </c>
      <c r="AL1515" s="1" t="s">
        <v>29845</v>
      </c>
      <c r="AM1515" s="1" t="s">
        <v>29846</v>
      </c>
      <c r="AN1515" s="1" t="s">
        <v>29846</v>
      </c>
    </row>
    <row r="1516" ht="15.75" customHeight="1">
      <c r="A1516" s="1" t="s">
        <v>127</v>
      </c>
      <c r="B1516" s="1" t="s">
        <v>29847</v>
      </c>
      <c r="C1516" s="1" t="s">
        <v>29848</v>
      </c>
      <c r="D1516" s="8" t="s">
        <v>29849</v>
      </c>
      <c r="E1516" s="1" t="s">
        <v>29850</v>
      </c>
      <c r="F1516" s="1" t="s">
        <v>132</v>
      </c>
      <c r="G1516" s="1" t="s">
        <v>29851</v>
      </c>
      <c r="H1516" s="1" t="s">
        <v>29852</v>
      </c>
      <c r="I1516" s="1" t="s">
        <v>29853</v>
      </c>
      <c r="J1516" s="1" t="s">
        <v>29854</v>
      </c>
      <c r="K1516" s="1" t="s">
        <v>29855</v>
      </c>
      <c r="L1516" s="1" t="s">
        <v>29856</v>
      </c>
      <c r="M1516" s="1" t="s">
        <v>29857</v>
      </c>
      <c r="N1516" s="1" t="s">
        <v>132</v>
      </c>
      <c r="O1516" s="1" t="s">
        <v>29858</v>
      </c>
      <c r="P1516" s="1" t="s">
        <v>29859</v>
      </c>
      <c r="Q1516" s="1" t="s">
        <v>132</v>
      </c>
      <c r="R1516" s="1" t="s">
        <v>29860</v>
      </c>
      <c r="S1516" s="1" t="s">
        <v>29861</v>
      </c>
      <c r="T1516" s="8" t="s">
        <v>29862</v>
      </c>
      <c r="U1516" s="1" t="s">
        <v>29863</v>
      </c>
      <c r="V1516" s="1" t="s">
        <v>29864</v>
      </c>
      <c r="W1516" s="1" t="s">
        <v>29865</v>
      </c>
      <c r="X1516" s="1" t="s">
        <v>29866</v>
      </c>
      <c r="Y1516" s="1" t="s">
        <v>29867</v>
      </c>
      <c r="Z1516" s="1" t="s">
        <v>29868</v>
      </c>
      <c r="AA1516" s="1" t="s">
        <v>29869</v>
      </c>
      <c r="AB1516" s="1" t="s">
        <v>29870</v>
      </c>
      <c r="AC1516" s="1" t="s">
        <v>29871</v>
      </c>
      <c r="AD1516" s="1" t="s">
        <v>29872</v>
      </c>
      <c r="AE1516" s="1" t="s">
        <v>29873</v>
      </c>
      <c r="AF1516" s="1" t="s">
        <v>29874</v>
      </c>
      <c r="AG1516" s="1" t="s">
        <v>29875</v>
      </c>
      <c r="AH1516" s="1" t="s">
        <v>29876</v>
      </c>
      <c r="AI1516" s="1" t="s">
        <v>29877</v>
      </c>
      <c r="AJ1516" s="1" t="s">
        <v>132</v>
      </c>
      <c r="AK1516" s="1" t="s">
        <v>29878</v>
      </c>
      <c r="AL1516" s="1" t="s">
        <v>29879</v>
      </c>
      <c r="AM1516" s="1" t="s">
        <v>29880</v>
      </c>
      <c r="AN1516" s="1" t="s">
        <v>29880</v>
      </c>
    </row>
    <row r="1517" ht="15.75" customHeight="1">
      <c r="A1517" s="1" t="s">
        <v>38</v>
      </c>
      <c r="B1517" s="1" t="s">
        <v>29881</v>
      </c>
      <c r="C1517" s="1" t="s">
        <v>29882</v>
      </c>
      <c r="D1517" s="8" t="s">
        <v>29883</v>
      </c>
      <c r="E1517" s="1" t="s">
        <v>29884</v>
      </c>
      <c r="F1517" s="1" t="s">
        <v>29885</v>
      </c>
      <c r="G1517" s="1" t="s">
        <v>132</v>
      </c>
      <c r="H1517" s="1" t="s">
        <v>132</v>
      </c>
      <c r="I1517" s="1" t="s">
        <v>29886</v>
      </c>
      <c r="J1517" s="1" t="s">
        <v>132</v>
      </c>
      <c r="K1517" s="1" t="s">
        <v>29887</v>
      </c>
      <c r="L1517" s="1" t="s">
        <v>132</v>
      </c>
      <c r="M1517" s="1" t="s">
        <v>29888</v>
      </c>
      <c r="N1517" s="1" t="s">
        <v>29889</v>
      </c>
      <c r="O1517" s="1" t="s">
        <v>132</v>
      </c>
      <c r="P1517" s="1" t="s">
        <v>29890</v>
      </c>
      <c r="Q1517" s="1" t="s">
        <v>132</v>
      </c>
      <c r="R1517" s="1" t="s">
        <v>132</v>
      </c>
      <c r="S1517" s="1" t="s">
        <v>29891</v>
      </c>
      <c r="T1517" s="1" t="s">
        <v>132</v>
      </c>
      <c r="U1517" s="1" t="s">
        <v>132</v>
      </c>
      <c r="V1517" s="1" t="s">
        <v>132</v>
      </c>
      <c r="W1517" s="1" t="s">
        <v>132</v>
      </c>
      <c r="X1517" s="1" t="s">
        <v>29892</v>
      </c>
      <c r="Y1517" s="1" t="s">
        <v>132</v>
      </c>
      <c r="Z1517" s="1" t="s">
        <v>29893</v>
      </c>
      <c r="AA1517" s="1" t="s">
        <v>29894</v>
      </c>
      <c r="AB1517" s="1" t="s">
        <v>132</v>
      </c>
      <c r="AC1517" s="1" t="s">
        <v>29895</v>
      </c>
      <c r="AD1517" s="1" t="s">
        <v>132</v>
      </c>
      <c r="AE1517" s="1" t="s">
        <v>132</v>
      </c>
      <c r="AF1517" s="1" t="s">
        <v>29896</v>
      </c>
      <c r="AG1517" s="1" t="s">
        <v>132</v>
      </c>
      <c r="AH1517" s="1" t="s">
        <v>132</v>
      </c>
      <c r="AI1517" s="1" t="s">
        <v>132</v>
      </c>
      <c r="AJ1517" s="1" t="s">
        <v>132</v>
      </c>
      <c r="AK1517" s="1" t="s">
        <v>132</v>
      </c>
      <c r="AL1517" s="1" t="s">
        <v>132</v>
      </c>
      <c r="AM1517" s="1" t="s">
        <v>132</v>
      </c>
      <c r="AN1517" s="1" t="s">
        <v>132</v>
      </c>
    </row>
    <row r="1518" ht="15.75" customHeight="1">
      <c r="A1518" s="1" t="s">
        <v>127</v>
      </c>
      <c r="B1518" s="1" t="s">
        <v>29897</v>
      </c>
      <c r="C1518" s="1" t="s">
        <v>29898</v>
      </c>
      <c r="D1518" s="8" t="s">
        <v>29899</v>
      </c>
      <c r="E1518" s="1" t="s">
        <v>29900</v>
      </c>
      <c r="F1518" s="1" t="s">
        <v>132</v>
      </c>
      <c r="G1518" s="1" t="s">
        <v>29901</v>
      </c>
      <c r="H1518" s="1" t="s">
        <v>29902</v>
      </c>
      <c r="I1518" s="1" t="s">
        <v>29903</v>
      </c>
      <c r="J1518" s="1" t="s">
        <v>29904</v>
      </c>
      <c r="K1518" s="1" t="s">
        <v>29905</v>
      </c>
      <c r="L1518" s="1" t="s">
        <v>29906</v>
      </c>
      <c r="M1518" s="1" t="s">
        <v>29907</v>
      </c>
      <c r="N1518" s="1" t="s">
        <v>132</v>
      </c>
      <c r="O1518" s="1" t="s">
        <v>29908</v>
      </c>
      <c r="P1518" s="1" t="s">
        <v>29909</v>
      </c>
      <c r="Q1518" s="1" t="s">
        <v>132</v>
      </c>
      <c r="R1518" s="1" t="s">
        <v>29910</v>
      </c>
      <c r="S1518" s="1" t="s">
        <v>29911</v>
      </c>
      <c r="T1518" s="8" t="s">
        <v>29912</v>
      </c>
      <c r="U1518" s="1" t="s">
        <v>29913</v>
      </c>
      <c r="V1518" s="1" t="s">
        <v>29914</v>
      </c>
      <c r="W1518" s="1" t="s">
        <v>29915</v>
      </c>
      <c r="X1518" s="1" t="s">
        <v>29916</v>
      </c>
      <c r="Y1518" s="1" t="s">
        <v>29902</v>
      </c>
      <c r="Z1518" s="1" t="s">
        <v>29917</v>
      </c>
      <c r="AA1518" s="1" t="s">
        <v>29918</v>
      </c>
      <c r="AB1518" s="1" t="s">
        <v>29919</v>
      </c>
      <c r="AC1518" s="1" t="s">
        <v>29920</v>
      </c>
      <c r="AD1518" s="1" t="s">
        <v>29921</v>
      </c>
      <c r="AE1518" s="1" t="s">
        <v>29922</v>
      </c>
      <c r="AF1518" s="1" t="s">
        <v>29923</v>
      </c>
      <c r="AG1518" s="1" t="s">
        <v>29924</v>
      </c>
      <c r="AH1518" s="1" t="s">
        <v>29925</v>
      </c>
      <c r="AI1518" s="1" t="s">
        <v>29926</v>
      </c>
      <c r="AJ1518" s="1" t="s">
        <v>132</v>
      </c>
      <c r="AK1518" s="1" t="s">
        <v>29927</v>
      </c>
      <c r="AL1518" s="1" t="s">
        <v>29913</v>
      </c>
      <c r="AM1518" s="1" t="s">
        <v>132</v>
      </c>
      <c r="AN1518" s="1" t="s">
        <v>132</v>
      </c>
    </row>
    <row r="1519" ht="15.75" customHeight="1">
      <c r="A1519" s="1" t="s">
        <v>127</v>
      </c>
      <c r="B1519" s="1" t="s">
        <v>29928</v>
      </c>
      <c r="C1519" s="1" t="s">
        <v>29929</v>
      </c>
      <c r="D1519" s="8" t="s">
        <v>29930</v>
      </c>
      <c r="E1519" s="1" t="s">
        <v>29931</v>
      </c>
      <c r="F1519" s="1" t="s">
        <v>132</v>
      </c>
      <c r="G1519" s="1" t="s">
        <v>29932</v>
      </c>
      <c r="H1519" s="1" t="s">
        <v>29933</v>
      </c>
      <c r="I1519" s="1" t="s">
        <v>29934</v>
      </c>
      <c r="J1519" s="1" t="s">
        <v>29935</v>
      </c>
      <c r="K1519" s="1" t="s">
        <v>29936</v>
      </c>
      <c r="L1519" s="1" t="s">
        <v>29937</v>
      </c>
      <c r="M1519" s="1" t="s">
        <v>29938</v>
      </c>
      <c r="N1519" s="1" t="s">
        <v>132</v>
      </c>
      <c r="O1519" s="1" t="s">
        <v>29939</v>
      </c>
      <c r="P1519" s="1" t="s">
        <v>29940</v>
      </c>
      <c r="Q1519" s="1" t="s">
        <v>132</v>
      </c>
      <c r="R1519" s="1" t="s">
        <v>29941</v>
      </c>
      <c r="S1519" s="1" t="s">
        <v>29942</v>
      </c>
      <c r="T1519" s="8" t="s">
        <v>29943</v>
      </c>
      <c r="U1519" s="1" t="s">
        <v>29944</v>
      </c>
      <c r="V1519" s="1" t="s">
        <v>29945</v>
      </c>
      <c r="W1519" s="1" t="s">
        <v>29946</v>
      </c>
      <c r="X1519" s="1" t="s">
        <v>29947</v>
      </c>
      <c r="Y1519" s="1" t="s">
        <v>29948</v>
      </c>
      <c r="Z1519" s="1" t="s">
        <v>29949</v>
      </c>
      <c r="AA1519" s="1" t="s">
        <v>29950</v>
      </c>
      <c r="AB1519" s="1" t="s">
        <v>29951</v>
      </c>
      <c r="AC1519" s="1" t="s">
        <v>29952</v>
      </c>
      <c r="AD1519" s="1" t="s">
        <v>29953</v>
      </c>
      <c r="AE1519" s="1" t="s">
        <v>29954</v>
      </c>
      <c r="AF1519" s="1" t="s">
        <v>29955</v>
      </c>
      <c r="AG1519" s="1" t="s">
        <v>29956</v>
      </c>
      <c r="AH1519" s="1" t="s">
        <v>29957</v>
      </c>
      <c r="AI1519" s="1" t="s">
        <v>29958</v>
      </c>
      <c r="AJ1519" s="1" t="s">
        <v>132</v>
      </c>
      <c r="AK1519" s="1" t="s">
        <v>29959</v>
      </c>
      <c r="AL1519" s="1" t="s">
        <v>29960</v>
      </c>
      <c r="AM1519" s="1" t="s">
        <v>29961</v>
      </c>
      <c r="AN1519" s="1" t="s">
        <v>29961</v>
      </c>
    </row>
    <row r="1520" ht="15.75" customHeight="1">
      <c r="A1520" s="1" t="s">
        <v>127</v>
      </c>
      <c r="B1520" s="1" t="s">
        <v>29962</v>
      </c>
      <c r="C1520" s="1" t="s">
        <v>906</v>
      </c>
      <c r="D1520" s="8" t="s">
        <v>907</v>
      </c>
      <c r="E1520" s="1" t="s">
        <v>908</v>
      </c>
      <c r="F1520" s="1" t="s">
        <v>132</v>
      </c>
      <c r="G1520" s="1" t="s">
        <v>29963</v>
      </c>
      <c r="H1520" s="1" t="s">
        <v>910</v>
      </c>
      <c r="I1520" s="1" t="s">
        <v>906</v>
      </c>
      <c r="J1520" s="1" t="s">
        <v>911</v>
      </c>
      <c r="K1520" s="1" t="s">
        <v>912</v>
      </c>
      <c r="L1520" s="1" t="s">
        <v>913</v>
      </c>
      <c r="M1520" s="1" t="s">
        <v>906</v>
      </c>
      <c r="N1520" s="1" t="s">
        <v>132</v>
      </c>
      <c r="O1520" s="1" t="s">
        <v>914</v>
      </c>
      <c r="P1520" s="1" t="s">
        <v>915</v>
      </c>
      <c r="Q1520" s="1" t="s">
        <v>132</v>
      </c>
      <c r="R1520" s="1" t="s">
        <v>916</v>
      </c>
      <c r="S1520" s="1" t="s">
        <v>917</v>
      </c>
      <c r="T1520" s="8" t="s">
        <v>29964</v>
      </c>
      <c r="U1520" s="1" t="s">
        <v>919</v>
      </c>
      <c r="V1520" s="1" t="s">
        <v>920</v>
      </c>
      <c r="W1520" s="1" t="s">
        <v>916</v>
      </c>
      <c r="X1520" s="1" t="s">
        <v>921</v>
      </c>
      <c r="Y1520" s="1" t="s">
        <v>922</v>
      </c>
      <c r="Z1520" s="1" t="s">
        <v>923</v>
      </c>
      <c r="AA1520" s="1" t="s">
        <v>29599</v>
      </c>
      <c r="AB1520" s="1" t="s">
        <v>925</v>
      </c>
      <c r="AC1520" s="1" t="s">
        <v>926</v>
      </c>
      <c r="AD1520" s="1" t="s">
        <v>927</v>
      </c>
      <c r="AE1520" s="1" t="s">
        <v>29965</v>
      </c>
      <c r="AF1520" s="1" t="s">
        <v>928</v>
      </c>
      <c r="AG1520" s="1" t="s">
        <v>922</v>
      </c>
      <c r="AH1520" s="1" t="s">
        <v>29966</v>
      </c>
      <c r="AI1520" s="1" t="s">
        <v>930</v>
      </c>
      <c r="AJ1520" s="1" t="s">
        <v>132</v>
      </c>
      <c r="AK1520" s="1" t="s">
        <v>931</v>
      </c>
      <c r="AL1520" s="1" t="s">
        <v>29967</v>
      </c>
      <c r="AM1520" s="1" t="s">
        <v>29968</v>
      </c>
      <c r="AN1520" s="1" t="s">
        <v>29968</v>
      </c>
    </row>
    <row r="1521" ht="15.75" customHeight="1">
      <c r="A1521" s="1" t="s">
        <v>127</v>
      </c>
      <c r="B1521" s="1" t="s">
        <v>29969</v>
      </c>
      <c r="C1521" s="1" t="s">
        <v>29970</v>
      </c>
      <c r="D1521" s="8" t="s">
        <v>29971</v>
      </c>
      <c r="E1521" s="1" t="s">
        <v>29972</v>
      </c>
      <c r="F1521" s="1" t="s">
        <v>132</v>
      </c>
      <c r="G1521" s="1" t="s">
        <v>29973</v>
      </c>
      <c r="H1521" s="1" t="s">
        <v>29974</v>
      </c>
      <c r="I1521" s="1" t="s">
        <v>29975</v>
      </c>
      <c r="J1521" s="1" t="s">
        <v>29976</v>
      </c>
      <c r="K1521" s="1" t="s">
        <v>29977</v>
      </c>
      <c r="L1521" s="1" t="s">
        <v>29978</v>
      </c>
      <c r="M1521" s="1" t="s">
        <v>29979</v>
      </c>
      <c r="N1521" s="1" t="s">
        <v>132</v>
      </c>
      <c r="O1521" s="1" t="s">
        <v>29980</v>
      </c>
      <c r="P1521" s="1" t="s">
        <v>29981</v>
      </c>
      <c r="Q1521" s="1" t="s">
        <v>132</v>
      </c>
      <c r="R1521" s="1" t="s">
        <v>29982</v>
      </c>
      <c r="S1521" s="1" t="s">
        <v>29983</v>
      </c>
      <c r="T1521" s="8" t="s">
        <v>29984</v>
      </c>
      <c r="U1521" s="1" t="s">
        <v>29985</v>
      </c>
      <c r="V1521" s="1" t="s">
        <v>29986</v>
      </c>
      <c r="W1521" s="1" t="s">
        <v>29987</v>
      </c>
      <c r="X1521" s="1" t="s">
        <v>29988</v>
      </c>
      <c r="Y1521" s="1" t="s">
        <v>29989</v>
      </c>
      <c r="Z1521" s="1" t="s">
        <v>29990</v>
      </c>
      <c r="AA1521" s="1" t="s">
        <v>29991</v>
      </c>
      <c r="AB1521" s="1" t="s">
        <v>29992</v>
      </c>
      <c r="AC1521" s="1" t="s">
        <v>29993</v>
      </c>
      <c r="AD1521" s="1" t="s">
        <v>29994</v>
      </c>
      <c r="AE1521" s="1" t="s">
        <v>29995</v>
      </c>
      <c r="AF1521" s="1" t="s">
        <v>29996</v>
      </c>
      <c r="AG1521" s="1" t="s">
        <v>29997</v>
      </c>
      <c r="AH1521" s="1" t="s">
        <v>29998</v>
      </c>
      <c r="AI1521" s="1" t="s">
        <v>29999</v>
      </c>
      <c r="AJ1521" s="1" t="s">
        <v>132</v>
      </c>
      <c r="AK1521" s="1" t="s">
        <v>30000</v>
      </c>
      <c r="AL1521" s="1" t="s">
        <v>30001</v>
      </c>
      <c r="AM1521" s="1" t="s">
        <v>30002</v>
      </c>
      <c r="AN1521" s="1" t="s">
        <v>30002</v>
      </c>
    </row>
    <row r="1522" ht="15.75" customHeight="1">
      <c r="A1522" s="1" t="s">
        <v>127</v>
      </c>
      <c r="B1522" s="1" t="s">
        <v>30003</v>
      </c>
      <c r="C1522" s="1" t="s">
        <v>30004</v>
      </c>
      <c r="D1522" s="8" t="s">
        <v>30005</v>
      </c>
      <c r="E1522" s="1" t="s">
        <v>30006</v>
      </c>
      <c r="F1522" s="1" t="s">
        <v>132</v>
      </c>
      <c r="G1522" s="1" t="s">
        <v>30004</v>
      </c>
      <c r="H1522" s="1" t="s">
        <v>30007</v>
      </c>
      <c r="I1522" s="1" t="s">
        <v>30004</v>
      </c>
      <c r="J1522" s="1" t="s">
        <v>30008</v>
      </c>
      <c r="K1522" s="1" t="s">
        <v>30009</v>
      </c>
      <c r="L1522" s="1" t="s">
        <v>30010</v>
      </c>
      <c r="M1522" s="1" t="s">
        <v>30004</v>
      </c>
      <c r="N1522" s="1" t="s">
        <v>132</v>
      </c>
      <c r="O1522" s="1" t="s">
        <v>30011</v>
      </c>
      <c r="P1522" s="1" t="s">
        <v>30012</v>
      </c>
      <c r="Q1522" s="1" t="s">
        <v>132</v>
      </c>
      <c r="R1522" s="1" t="s">
        <v>30013</v>
      </c>
      <c r="S1522" s="1" t="s">
        <v>30014</v>
      </c>
      <c r="T1522" s="8" t="s">
        <v>30015</v>
      </c>
      <c r="U1522" s="1" t="s">
        <v>30016</v>
      </c>
      <c r="V1522" s="1" t="s">
        <v>30017</v>
      </c>
      <c r="W1522" s="1" t="s">
        <v>30018</v>
      </c>
      <c r="X1522" s="1" t="s">
        <v>30019</v>
      </c>
      <c r="Y1522" s="1" t="s">
        <v>30004</v>
      </c>
      <c r="Z1522" s="1" t="s">
        <v>30020</v>
      </c>
      <c r="AA1522" s="1" t="s">
        <v>30009</v>
      </c>
      <c r="AB1522" s="1" t="s">
        <v>30004</v>
      </c>
      <c r="AC1522" s="1" t="s">
        <v>30021</v>
      </c>
      <c r="AD1522" s="1" t="s">
        <v>30022</v>
      </c>
      <c r="AE1522" s="1" t="s">
        <v>30023</v>
      </c>
      <c r="AF1522" s="1" t="s">
        <v>30024</v>
      </c>
      <c r="AG1522" s="1" t="s">
        <v>30025</v>
      </c>
      <c r="AH1522" s="1" t="s">
        <v>30026</v>
      </c>
      <c r="AI1522" s="1" t="s">
        <v>30027</v>
      </c>
      <c r="AJ1522" s="1" t="s">
        <v>132</v>
      </c>
      <c r="AK1522" s="1" t="s">
        <v>30028</v>
      </c>
      <c r="AL1522" s="1" t="s">
        <v>30029</v>
      </c>
      <c r="AM1522" s="1" t="s">
        <v>30030</v>
      </c>
      <c r="AN1522" s="1" t="s">
        <v>30030</v>
      </c>
    </row>
    <row r="1523" ht="15.75" customHeight="1">
      <c r="A1523" s="1" t="s">
        <v>127</v>
      </c>
      <c r="B1523" s="1" t="s">
        <v>30031</v>
      </c>
      <c r="C1523" s="1" t="s">
        <v>30032</v>
      </c>
      <c r="D1523" s="8" t="s">
        <v>30033</v>
      </c>
      <c r="E1523" s="1" t="s">
        <v>30032</v>
      </c>
      <c r="F1523" s="1" t="s">
        <v>132</v>
      </c>
      <c r="G1523" s="1" t="s">
        <v>30032</v>
      </c>
      <c r="H1523" s="1" t="s">
        <v>30032</v>
      </c>
      <c r="I1523" s="1" t="s">
        <v>30032</v>
      </c>
      <c r="J1523" s="1" t="s">
        <v>30032</v>
      </c>
      <c r="K1523" s="1" t="s">
        <v>30032</v>
      </c>
      <c r="L1523" s="1" t="s">
        <v>30032</v>
      </c>
      <c r="M1523" s="1" t="s">
        <v>30032</v>
      </c>
      <c r="N1523" s="1" t="s">
        <v>132</v>
      </c>
      <c r="O1523" s="1" t="s">
        <v>30034</v>
      </c>
      <c r="P1523" s="1" t="s">
        <v>30035</v>
      </c>
      <c r="Q1523" s="1" t="s">
        <v>132</v>
      </c>
      <c r="R1523" s="1" t="s">
        <v>30036</v>
      </c>
      <c r="S1523" s="1" t="s">
        <v>30032</v>
      </c>
      <c r="T1523" s="8" t="s">
        <v>30037</v>
      </c>
      <c r="U1523" s="1" t="s">
        <v>30032</v>
      </c>
      <c r="V1523" s="1" t="s">
        <v>30038</v>
      </c>
      <c r="W1523" s="1" t="s">
        <v>30036</v>
      </c>
      <c r="X1523" s="1" t="s">
        <v>30032</v>
      </c>
      <c r="Y1523" s="1" t="s">
        <v>30039</v>
      </c>
      <c r="Z1523" s="1" t="s">
        <v>30032</v>
      </c>
      <c r="AA1523" s="1" t="s">
        <v>30032</v>
      </c>
      <c r="AB1523" s="1" t="s">
        <v>30032</v>
      </c>
      <c r="AC1523" s="1" t="s">
        <v>30032</v>
      </c>
      <c r="AD1523" s="1" t="s">
        <v>30040</v>
      </c>
      <c r="AE1523" s="1" t="s">
        <v>30039</v>
      </c>
      <c r="AF1523" s="1" t="s">
        <v>30032</v>
      </c>
      <c r="AG1523" s="1" t="s">
        <v>30032</v>
      </c>
      <c r="AH1523" s="1" t="s">
        <v>30032</v>
      </c>
      <c r="AI1523" s="1" t="s">
        <v>30041</v>
      </c>
      <c r="AJ1523" s="1" t="s">
        <v>132</v>
      </c>
      <c r="AK1523" s="1" t="s">
        <v>30042</v>
      </c>
      <c r="AL1523" s="1" t="s">
        <v>30043</v>
      </c>
      <c r="AM1523" s="1" t="s">
        <v>30044</v>
      </c>
      <c r="AN1523" s="1" t="s">
        <v>30044</v>
      </c>
    </row>
    <row r="1524" ht="15.75" customHeight="1">
      <c r="A1524" s="1" t="s">
        <v>127</v>
      </c>
      <c r="B1524" s="1" t="s">
        <v>30045</v>
      </c>
      <c r="C1524" s="1" t="s">
        <v>30046</v>
      </c>
      <c r="D1524" s="8" t="s">
        <v>30047</v>
      </c>
      <c r="E1524" s="1" t="s">
        <v>24730</v>
      </c>
      <c r="F1524" s="1" t="s">
        <v>132</v>
      </c>
      <c r="G1524" s="1" t="s">
        <v>24750</v>
      </c>
      <c r="H1524" s="1" t="s">
        <v>30048</v>
      </c>
      <c r="I1524" s="1" t="s">
        <v>30048</v>
      </c>
      <c r="J1524" s="1" t="s">
        <v>30049</v>
      </c>
      <c r="K1524" s="1" t="s">
        <v>30050</v>
      </c>
      <c r="L1524" s="1" t="s">
        <v>30051</v>
      </c>
      <c r="M1524" s="1" t="s">
        <v>30052</v>
      </c>
      <c r="N1524" s="1" t="s">
        <v>132</v>
      </c>
      <c r="O1524" s="1" t="s">
        <v>30053</v>
      </c>
      <c r="P1524" s="1" t="s">
        <v>30054</v>
      </c>
      <c r="Q1524" s="1" t="s">
        <v>132</v>
      </c>
      <c r="R1524" s="1" t="s">
        <v>24740</v>
      </c>
      <c r="S1524" s="1" t="s">
        <v>30055</v>
      </c>
      <c r="T1524" s="8" t="s">
        <v>30056</v>
      </c>
      <c r="U1524" s="1" t="s">
        <v>24743</v>
      </c>
      <c r="V1524" s="1" t="s">
        <v>24744</v>
      </c>
      <c r="W1524" s="1" t="s">
        <v>24740</v>
      </c>
      <c r="X1524" s="1" t="s">
        <v>30057</v>
      </c>
      <c r="Y1524" s="1" t="s">
        <v>30058</v>
      </c>
      <c r="Z1524" s="1" t="s">
        <v>24747</v>
      </c>
      <c r="AA1524" s="1" t="s">
        <v>30059</v>
      </c>
      <c r="AB1524" s="1" t="s">
        <v>30060</v>
      </c>
      <c r="AC1524" s="1" t="s">
        <v>30061</v>
      </c>
      <c r="AD1524" s="1" t="s">
        <v>30062</v>
      </c>
      <c r="AE1524" s="1" t="s">
        <v>30063</v>
      </c>
      <c r="AF1524" s="1" t="s">
        <v>30064</v>
      </c>
      <c r="AG1524" s="1" t="s">
        <v>30048</v>
      </c>
      <c r="AH1524" s="1" t="s">
        <v>24753</v>
      </c>
      <c r="AI1524" s="1" t="s">
        <v>30065</v>
      </c>
      <c r="AJ1524" s="1" t="s">
        <v>132</v>
      </c>
      <c r="AK1524" s="1" t="s">
        <v>24755</v>
      </c>
      <c r="AL1524" s="1" t="s">
        <v>26449</v>
      </c>
      <c r="AM1524" s="1" t="s">
        <v>26450</v>
      </c>
      <c r="AN1524" s="1" t="s">
        <v>26450</v>
      </c>
    </row>
    <row r="1525" ht="15.75" customHeight="1">
      <c r="A1525" s="1" t="s">
        <v>127</v>
      </c>
      <c r="B1525" s="1" t="s">
        <v>30066</v>
      </c>
      <c r="C1525" s="1" t="s">
        <v>4011</v>
      </c>
      <c r="D1525" s="8" t="s">
        <v>4012</v>
      </c>
      <c r="E1525" s="1" t="s">
        <v>4013</v>
      </c>
      <c r="F1525" s="1" t="s">
        <v>132</v>
      </c>
      <c r="G1525" s="1" t="s">
        <v>4011</v>
      </c>
      <c r="H1525" s="1" t="s">
        <v>4014</v>
      </c>
      <c r="I1525" s="1" t="s">
        <v>4011</v>
      </c>
      <c r="J1525" s="1" t="s">
        <v>4015</v>
      </c>
      <c r="K1525" s="1" t="s">
        <v>4016</v>
      </c>
      <c r="L1525" s="1" t="s">
        <v>4017</v>
      </c>
      <c r="M1525" s="1" t="s">
        <v>4018</v>
      </c>
      <c r="N1525" s="1" t="s">
        <v>132</v>
      </c>
      <c r="O1525" s="1" t="s">
        <v>4019</v>
      </c>
      <c r="P1525" s="1" t="s">
        <v>4011</v>
      </c>
      <c r="Q1525" s="1" t="s">
        <v>132</v>
      </c>
      <c r="R1525" s="1" t="s">
        <v>4014</v>
      </c>
      <c r="S1525" s="1" t="s">
        <v>4018</v>
      </c>
      <c r="T1525" s="8" t="s">
        <v>4020</v>
      </c>
      <c r="U1525" s="1" t="s">
        <v>4021</v>
      </c>
      <c r="V1525" s="1" t="s">
        <v>4022</v>
      </c>
      <c r="W1525" s="1" t="s">
        <v>4014</v>
      </c>
      <c r="X1525" s="1" t="s">
        <v>4011</v>
      </c>
      <c r="Y1525" s="1" t="s">
        <v>4014</v>
      </c>
      <c r="Z1525" s="1" t="s">
        <v>4014</v>
      </c>
      <c r="AA1525" s="1" t="s">
        <v>4016</v>
      </c>
      <c r="AB1525" s="1" t="s">
        <v>4011</v>
      </c>
      <c r="AC1525" s="1" t="s">
        <v>4013</v>
      </c>
      <c r="AD1525" s="1" t="s">
        <v>4011</v>
      </c>
      <c r="AE1525" s="1" t="s">
        <v>30067</v>
      </c>
      <c r="AF1525" s="1" t="s">
        <v>4014</v>
      </c>
      <c r="AG1525" s="1" t="s">
        <v>4011</v>
      </c>
      <c r="AH1525" s="1" t="s">
        <v>4024</v>
      </c>
      <c r="AI1525" s="1" t="s">
        <v>4025</v>
      </c>
      <c r="AJ1525" s="1" t="s">
        <v>132</v>
      </c>
      <c r="AK1525" s="1" t="s">
        <v>4026</v>
      </c>
      <c r="AL1525" s="1" t="s">
        <v>4027</v>
      </c>
      <c r="AM1525" s="1" t="s">
        <v>4028</v>
      </c>
      <c r="AN1525" s="1" t="s">
        <v>4028</v>
      </c>
    </row>
    <row r="1526" ht="15.75" customHeight="1">
      <c r="A1526" s="1" t="s">
        <v>127</v>
      </c>
      <c r="B1526" s="1" t="s">
        <v>30068</v>
      </c>
      <c r="C1526" s="1" t="s">
        <v>23701</v>
      </c>
      <c r="D1526" s="8" t="s">
        <v>23702</v>
      </c>
      <c r="E1526" s="1" t="s">
        <v>23703</v>
      </c>
      <c r="F1526" s="1" t="s">
        <v>132</v>
      </c>
      <c r="G1526" s="1" t="s">
        <v>23704</v>
      </c>
      <c r="H1526" s="1" t="s">
        <v>23705</v>
      </c>
      <c r="I1526" s="1" t="s">
        <v>23701</v>
      </c>
      <c r="J1526" s="1" t="s">
        <v>23706</v>
      </c>
      <c r="K1526" s="1" t="s">
        <v>23701</v>
      </c>
      <c r="L1526" s="1" t="s">
        <v>23707</v>
      </c>
      <c r="M1526" s="1" t="s">
        <v>23708</v>
      </c>
      <c r="N1526" s="1" t="s">
        <v>132</v>
      </c>
      <c r="O1526" s="1" t="s">
        <v>23709</v>
      </c>
      <c r="P1526" s="1" t="s">
        <v>23701</v>
      </c>
      <c r="Q1526" s="1" t="s">
        <v>132</v>
      </c>
      <c r="R1526" s="1" t="s">
        <v>23710</v>
      </c>
      <c r="S1526" s="1" t="s">
        <v>23701</v>
      </c>
      <c r="T1526" s="8" t="s">
        <v>23711</v>
      </c>
      <c r="U1526" s="1" t="s">
        <v>23712</v>
      </c>
      <c r="V1526" s="1" t="s">
        <v>23713</v>
      </c>
      <c r="W1526" s="1" t="s">
        <v>23710</v>
      </c>
      <c r="X1526" s="1" t="s">
        <v>23701</v>
      </c>
      <c r="Y1526" s="1" t="s">
        <v>23715</v>
      </c>
      <c r="Z1526" s="1" t="s">
        <v>30069</v>
      </c>
      <c r="AA1526" s="1" t="s">
        <v>30070</v>
      </c>
      <c r="AB1526" s="1" t="s">
        <v>30071</v>
      </c>
      <c r="AC1526" s="1" t="s">
        <v>23717</v>
      </c>
      <c r="AD1526" s="1" t="s">
        <v>23718</v>
      </c>
      <c r="AE1526" s="1" t="s">
        <v>23719</v>
      </c>
      <c r="AF1526" s="1" t="s">
        <v>23701</v>
      </c>
      <c r="AG1526" s="1" t="s">
        <v>23720</v>
      </c>
      <c r="AH1526" s="1" t="s">
        <v>23721</v>
      </c>
      <c r="AI1526" s="1" t="s">
        <v>23722</v>
      </c>
      <c r="AJ1526" s="1" t="s">
        <v>132</v>
      </c>
      <c r="AK1526" s="1" t="s">
        <v>23723</v>
      </c>
      <c r="AL1526" s="1" t="s">
        <v>30072</v>
      </c>
      <c r="AM1526" s="1" t="s">
        <v>30073</v>
      </c>
      <c r="AN1526" s="1" t="s">
        <v>30073</v>
      </c>
    </row>
    <row r="1527" ht="15.75" customHeight="1">
      <c r="A1527" s="1" t="s">
        <v>38</v>
      </c>
      <c r="B1527" s="1" t="s">
        <v>30074</v>
      </c>
      <c r="C1527" s="1" t="s">
        <v>30075</v>
      </c>
      <c r="D1527" s="1" t="s">
        <v>132</v>
      </c>
      <c r="E1527" s="1" t="s">
        <v>132</v>
      </c>
      <c r="F1527" s="1" t="s">
        <v>132</v>
      </c>
      <c r="G1527" s="1" t="s">
        <v>132</v>
      </c>
      <c r="H1527" s="1" t="s">
        <v>132</v>
      </c>
      <c r="I1527" s="1" t="s">
        <v>30075</v>
      </c>
      <c r="J1527" s="1" t="s">
        <v>132</v>
      </c>
      <c r="K1527" s="1" t="s">
        <v>30075</v>
      </c>
      <c r="L1527" s="1" t="s">
        <v>132</v>
      </c>
      <c r="M1527" s="1" t="s">
        <v>30076</v>
      </c>
      <c r="N1527" s="1" t="s">
        <v>132</v>
      </c>
      <c r="O1527" s="1" t="s">
        <v>132</v>
      </c>
      <c r="P1527" s="1" t="s">
        <v>30075</v>
      </c>
      <c r="Q1527" s="1" t="s">
        <v>132</v>
      </c>
      <c r="R1527" s="1" t="s">
        <v>132</v>
      </c>
      <c r="S1527" s="1" t="s">
        <v>132</v>
      </c>
      <c r="T1527" s="1" t="s">
        <v>132</v>
      </c>
      <c r="U1527" s="1" t="s">
        <v>132</v>
      </c>
      <c r="V1527" s="1" t="s">
        <v>132</v>
      </c>
      <c r="W1527" s="1" t="s">
        <v>132</v>
      </c>
      <c r="X1527" s="1" t="s">
        <v>132</v>
      </c>
      <c r="Y1527" s="1" t="s">
        <v>132</v>
      </c>
      <c r="Z1527" s="1" t="s">
        <v>132</v>
      </c>
      <c r="AA1527" s="1" t="s">
        <v>132</v>
      </c>
      <c r="AB1527" s="1" t="s">
        <v>132</v>
      </c>
      <c r="AC1527" s="1" t="s">
        <v>30077</v>
      </c>
      <c r="AD1527" s="1" t="s">
        <v>132</v>
      </c>
      <c r="AE1527" s="1" t="s">
        <v>132</v>
      </c>
      <c r="AF1527" s="1" t="s">
        <v>30078</v>
      </c>
      <c r="AG1527" s="1" t="s">
        <v>132</v>
      </c>
      <c r="AH1527" s="1" t="s">
        <v>132</v>
      </c>
      <c r="AI1527" s="1" t="s">
        <v>132</v>
      </c>
      <c r="AJ1527" s="1" t="s">
        <v>132</v>
      </c>
      <c r="AK1527" s="1" t="s">
        <v>132</v>
      </c>
      <c r="AL1527" s="1" t="s">
        <v>132</v>
      </c>
      <c r="AM1527" s="1" t="s">
        <v>132</v>
      </c>
      <c r="AN1527" s="1" t="s">
        <v>132</v>
      </c>
    </row>
    <row r="1528" ht="15.75" customHeight="1">
      <c r="A1528" s="1" t="s">
        <v>38</v>
      </c>
      <c r="B1528" s="1" t="s">
        <v>30079</v>
      </c>
      <c r="C1528" s="1" t="s">
        <v>3604</v>
      </c>
      <c r="D1528" s="8" t="s">
        <v>30080</v>
      </c>
      <c r="E1528" s="1" t="s">
        <v>30081</v>
      </c>
      <c r="F1528" s="1" t="s">
        <v>3612</v>
      </c>
      <c r="G1528" s="1" t="s">
        <v>132</v>
      </c>
      <c r="H1528" s="1" t="s">
        <v>132</v>
      </c>
      <c r="I1528" s="1" t="s">
        <v>3606</v>
      </c>
      <c r="J1528" s="1" t="s">
        <v>132</v>
      </c>
      <c r="K1528" s="1" t="s">
        <v>3607</v>
      </c>
      <c r="L1528" s="1" t="s">
        <v>132</v>
      </c>
      <c r="M1528" s="1" t="s">
        <v>3609</v>
      </c>
      <c r="N1528" s="1" t="s">
        <v>3607</v>
      </c>
      <c r="O1528" s="1" t="s">
        <v>132</v>
      </c>
      <c r="P1528" s="1" t="s">
        <v>3610</v>
      </c>
      <c r="Q1528" s="1" t="s">
        <v>3611</v>
      </c>
      <c r="R1528" s="1" t="s">
        <v>132</v>
      </c>
      <c r="S1528" s="1" t="s">
        <v>3612</v>
      </c>
      <c r="T1528" s="1" t="s">
        <v>132</v>
      </c>
      <c r="U1528" s="1" t="s">
        <v>1936</v>
      </c>
      <c r="V1528" s="1" t="s">
        <v>30082</v>
      </c>
      <c r="W1528" s="1" t="s">
        <v>132</v>
      </c>
      <c r="X1528" s="1" t="s">
        <v>3616</v>
      </c>
      <c r="Y1528" s="1" t="s">
        <v>132</v>
      </c>
      <c r="Z1528" s="1" t="s">
        <v>3618</v>
      </c>
      <c r="AA1528" s="1" t="s">
        <v>3607</v>
      </c>
      <c r="AB1528" s="1" t="s">
        <v>132</v>
      </c>
      <c r="AC1528" s="1" t="s">
        <v>3619</v>
      </c>
      <c r="AD1528" s="1" t="s">
        <v>30083</v>
      </c>
      <c r="AE1528" s="1" t="s">
        <v>132</v>
      </c>
      <c r="AF1528" s="1" t="s">
        <v>30084</v>
      </c>
      <c r="AG1528" s="1" t="s">
        <v>3605</v>
      </c>
      <c r="AH1528" s="1" t="s">
        <v>132</v>
      </c>
      <c r="AI1528" s="1" t="s">
        <v>132</v>
      </c>
      <c r="AJ1528" s="1" t="s">
        <v>30085</v>
      </c>
      <c r="AK1528" s="1" t="s">
        <v>30086</v>
      </c>
      <c r="AL1528" s="1" t="s">
        <v>132</v>
      </c>
      <c r="AM1528" s="1" t="s">
        <v>30087</v>
      </c>
      <c r="AN1528" s="1" t="s">
        <v>30087</v>
      </c>
    </row>
    <row r="1529" ht="15.75" customHeight="1">
      <c r="A1529" s="1" t="s">
        <v>38</v>
      </c>
      <c r="B1529" s="1" t="s">
        <v>30088</v>
      </c>
      <c r="C1529" s="1" t="s">
        <v>30089</v>
      </c>
      <c r="D1529" s="1" t="s">
        <v>132</v>
      </c>
      <c r="E1529" s="1" t="s">
        <v>30090</v>
      </c>
      <c r="F1529" s="1" t="s">
        <v>30091</v>
      </c>
      <c r="G1529" s="1" t="s">
        <v>132</v>
      </c>
      <c r="H1529" s="1" t="s">
        <v>132</v>
      </c>
      <c r="I1529" s="1" t="s">
        <v>30092</v>
      </c>
      <c r="J1529" s="1" t="s">
        <v>132</v>
      </c>
      <c r="K1529" s="1" t="s">
        <v>30093</v>
      </c>
      <c r="L1529" s="1" t="s">
        <v>132</v>
      </c>
      <c r="M1529" s="1" t="s">
        <v>30094</v>
      </c>
      <c r="N1529" s="1" t="s">
        <v>30095</v>
      </c>
      <c r="O1529" s="1" t="s">
        <v>132</v>
      </c>
      <c r="P1529" s="1" t="s">
        <v>30096</v>
      </c>
      <c r="Q1529" s="1" t="s">
        <v>132</v>
      </c>
      <c r="R1529" s="1" t="s">
        <v>132</v>
      </c>
      <c r="S1529" s="1" t="s">
        <v>30097</v>
      </c>
      <c r="T1529" s="1" t="s">
        <v>132</v>
      </c>
      <c r="U1529" s="1" t="s">
        <v>30098</v>
      </c>
      <c r="V1529" s="1" t="s">
        <v>132</v>
      </c>
      <c r="W1529" s="1" t="s">
        <v>132</v>
      </c>
      <c r="X1529" s="1" t="s">
        <v>30099</v>
      </c>
      <c r="Y1529" s="1" t="s">
        <v>132</v>
      </c>
      <c r="Z1529" s="1" t="s">
        <v>30100</v>
      </c>
      <c r="AA1529" s="1" t="s">
        <v>132</v>
      </c>
      <c r="AB1529" s="1" t="s">
        <v>132</v>
      </c>
      <c r="AC1529" s="1" t="s">
        <v>30101</v>
      </c>
      <c r="AD1529" s="1" t="s">
        <v>132</v>
      </c>
      <c r="AE1529" s="1" t="s">
        <v>132</v>
      </c>
      <c r="AF1529" s="1" t="s">
        <v>30102</v>
      </c>
      <c r="AG1529" s="1" t="s">
        <v>30103</v>
      </c>
      <c r="AH1529" s="1" t="s">
        <v>132</v>
      </c>
      <c r="AI1529" s="1" t="s">
        <v>132</v>
      </c>
      <c r="AJ1529" s="1" t="s">
        <v>30104</v>
      </c>
      <c r="AK1529" s="1" t="s">
        <v>132</v>
      </c>
      <c r="AL1529" s="1" t="s">
        <v>132</v>
      </c>
      <c r="AM1529" s="1" t="s">
        <v>30105</v>
      </c>
      <c r="AN1529" s="1" t="s">
        <v>30105</v>
      </c>
    </row>
    <row r="1530" ht="15.75" customHeight="1">
      <c r="A1530" s="1" t="s">
        <v>127</v>
      </c>
      <c r="B1530" s="1" t="s">
        <v>30106</v>
      </c>
      <c r="C1530" s="1" t="s">
        <v>30107</v>
      </c>
      <c r="D1530" s="8" t="s">
        <v>30108</v>
      </c>
      <c r="E1530" s="1" t="s">
        <v>30109</v>
      </c>
      <c r="F1530" s="1" t="s">
        <v>132</v>
      </c>
      <c r="G1530" s="1" t="s">
        <v>30110</v>
      </c>
      <c r="H1530" s="1" t="s">
        <v>30111</v>
      </c>
      <c r="I1530" s="1" t="s">
        <v>30112</v>
      </c>
      <c r="J1530" s="1" t="s">
        <v>30113</v>
      </c>
      <c r="K1530" s="1" t="s">
        <v>30114</v>
      </c>
      <c r="L1530" s="1" t="s">
        <v>30115</v>
      </c>
      <c r="M1530" s="1" t="s">
        <v>30116</v>
      </c>
      <c r="N1530" s="1" t="s">
        <v>132</v>
      </c>
      <c r="O1530" s="1" t="s">
        <v>30117</v>
      </c>
      <c r="P1530" s="1" t="s">
        <v>30118</v>
      </c>
      <c r="Q1530" s="1" t="s">
        <v>132</v>
      </c>
      <c r="R1530" s="1" t="s">
        <v>30119</v>
      </c>
      <c r="S1530" s="1" t="s">
        <v>30120</v>
      </c>
      <c r="T1530" s="8" t="s">
        <v>30121</v>
      </c>
      <c r="U1530" s="1" t="s">
        <v>30122</v>
      </c>
      <c r="V1530" s="1" t="s">
        <v>30123</v>
      </c>
      <c r="W1530" s="1" t="s">
        <v>30124</v>
      </c>
      <c r="X1530" s="1" t="s">
        <v>30125</v>
      </c>
      <c r="Y1530" s="1" t="s">
        <v>30126</v>
      </c>
      <c r="Z1530" s="1" t="s">
        <v>30127</v>
      </c>
      <c r="AA1530" s="1" t="s">
        <v>30128</v>
      </c>
      <c r="AB1530" s="1" t="s">
        <v>30129</v>
      </c>
      <c r="AC1530" s="1" t="s">
        <v>30130</v>
      </c>
      <c r="AD1530" s="1" t="s">
        <v>30131</v>
      </c>
      <c r="AE1530" s="1" t="s">
        <v>30132</v>
      </c>
      <c r="AF1530" s="1" t="s">
        <v>30133</v>
      </c>
      <c r="AG1530" s="1" t="s">
        <v>30134</v>
      </c>
      <c r="AH1530" s="1" t="s">
        <v>30135</v>
      </c>
      <c r="AI1530" s="1" t="s">
        <v>30136</v>
      </c>
      <c r="AJ1530" s="1" t="s">
        <v>132</v>
      </c>
      <c r="AK1530" s="1" t="s">
        <v>30137</v>
      </c>
      <c r="AL1530" s="1" t="s">
        <v>30138</v>
      </c>
      <c r="AM1530" s="1" t="s">
        <v>132</v>
      </c>
      <c r="AN1530" s="1" t="s">
        <v>132</v>
      </c>
    </row>
    <row r="1531" ht="15.75" customHeight="1">
      <c r="A1531" s="1" t="s">
        <v>2265</v>
      </c>
      <c r="B1531" s="1" t="s">
        <v>30139</v>
      </c>
      <c r="C1531" s="1" t="s">
        <v>30140</v>
      </c>
      <c r="D1531" s="8" t="s">
        <v>30141</v>
      </c>
      <c r="E1531" s="1" t="s">
        <v>30142</v>
      </c>
      <c r="F1531" s="1" t="s">
        <v>132</v>
      </c>
      <c r="G1531" s="1" t="s">
        <v>30143</v>
      </c>
      <c r="H1531" s="1" t="s">
        <v>30144</v>
      </c>
      <c r="I1531" s="1" t="s">
        <v>30145</v>
      </c>
      <c r="J1531" s="1" t="s">
        <v>30146</v>
      </c>
      <c r="K1531" s="1" t="s">
        <v>30147</v>
      </c>
      <c r="L1531" s="1" t="s">
        <v>30148</v>
      </c>
      <c r="M1531" s="1" t="s">
        <v>30149</v>
      </c>
      <c r="N1531" s="1" t="s">
        <v>132</v>
      </c>
      <c r="O1531" s="1" t="s">
        <v>30150</v>
      </c>
      <c r="P1531" s="1" t="s">
        <v>30151</v>
      </c>
      <c r="Q1531" s="1" t="s">
        <v>132</v>
      </c>
      <c r="R1531" s="1" t="s">
        <v>30152</v>
      </c>
      <c r="S1531" s="1" t="s">
        <v>30153</v>
      </c>
      <c r="T1531" s="8" t="s">
        <v>30154</v>
      </c>
      <c r="U1531" s="1" t="s">
        <v>30155</v>
      </c>
      <c r="V1531" s="1" t="s">
        <v>30156</v>
      </c>
      <c r="W1531" s="1" t="s">
        <v>30157</v>
      </c>
      <c r="X1531" s="1" t="s">
        <v>30158</v>
      </c>
      <c r="Y1531" s="1" t="s">
        <v>30159</v>
      </c>
      <c r="Z1531" s="1" t="s">
        <v>30160</v>
      </c>
      <c r="AA1531" s="1" t="s">
        <v>30161</v>
      </c>
      <c r="AB1531" s="1" t="s">
        <v>30162</v>
      </c>
      <c r="AC1531" s="1" t="s">
        <v>30163</v>
      </c>
      <c r="AD1531" s="1" t="s">
        <v>30164</v>
      </c>
      <c r="AE1531" s="1" t="s">
        <v>30165</v>
      </c>
      <c r="AF1531" s="1" t="s">
        <v>30166</v>
      </c>
      <c r="AG1531" s="1" t="s">
        <v>30167</v>
      </c>
      <c r="AH1531" s="1" t="s">
        <v>30168</v>
      </c>
      <c r="AI1531" s="1" t="s">
        <v>30169</v>
      </c>
      <c r="AJ1531" s="1" t="s">
        <v>132</v>
      </c>
      <c r="AK1531" s="1" t="s">
        <v>30170</v>
      </c>
      <c r="AL1531" s="14" t="s">
        <v>30171</v>
      </c>
      <c r="AM1531" s="1" t="s">
        <v>132</v>
      </c>
      <c r="AN1531" s="1" t="s">
        <v>132</v>
      </c>
    </row>
    <row r="1532" ht="15.75" customHeight="1">
      <c r="A1532" s="1" t="s">
        <v>127</v>
      </c>
      <c r="B1532" s="1" t="s">
        <v>30172</v>
      </c>
      <c r="C1532" s="1" t="s">
        <v>30173</v>
      </c>
      <c r="D1532" s="8" t="s">
        <v>30174</v>
      </c>
      <c r="E1532" s="1" t="s">
        <v>30175</v>
      </c>
      <c r="F1532" s="1" t="s">
        <v>132</v>
      </c>
      <c r="G1532" s="1" t="s">
        <v>30176</v>
      </c>
      <c r="H1532" s="1" t="s">
        <v>30177</v>
      </c>
      <c r="I1532" s="1" t="s">
        <v>30178</v>
      </c>
      <c r="J1532" s="1" t="s">
        <v>30179</v>
      </c>
      <c r="K1532" s="1" t="s">
        <v>30180</v>
      </c>
      <c r="L1532" s="1" t="s">
        <v>30181</v>
      </c>
      <c r="M1532" s="1" t="s">
        <v>30182</v>
      </c>
      <c r="N1532" s="1" t="s">
        <v>132</v>
      </c>
      <c r="O1532" s="1" t="s">
        <v>30183</v>
      </c>
      <c r="P1532" s="1" t="s">
        <v>30184</v>
      </c>
      <c r="Q1532" s="1" t="s">
        <v>132</v>
      </c>
      <c r="R1532" s="1" t="s">
        <v>30185</v>
      </c>
      <c r="S1532" s="1" t="s">
        <v>30186</v>
      </c>
      <c r="T1532" s="8" t="s">
        <v>30187</v>
      </c>
      <c r="U1532" s="1" t="s">
        <v>30188</v>
      </c>
      <c r="V1532" s="1" t="s">
        <v>30189</v>
      </c>
      <c r="W1532" s="1" t="s">
        <v>30190</v>
      </c>
      <c r="X1532" s="1" t="s">
        <v>30191</v>
      </c>
      <c r="Y1532" s="1" t="s">
        <v>30192</v>
      </c>
      <c r="Z1532" s="1" t="s">
        <v>30193</v>
      </c>
      <c r="AA1532" s="1" t="s">
        <v>30194</v>
      </c>
      <c r="AB1532" s="1" t="s">
        <v>30195</v>
      </c>
      <c r="AC1532" s="1" t="s">
        <v>30196</v>
      </c>
      <c r="AD1532" s="1" t="s">
        <v>30197</v>
      </c>
      <c r="AE1532" s="1" t="s">
        <v>30198</v>
      </c>
      <c r="AF1532" s="1" t="s">
        <v>30199</v>
      </c>
      <c r="AG1532" s="1" t="s">
        <v>30200</v>
      </c>
      <c r="AH1532" s="1" t="s">
        <v>30201</v>
      </c>
      <c r="AI1532" s="1" t="s">
        <v>30202</v>
      </c>
      <c r="AJ1532" s="1" t="s">
        <v>132</v>
      </c>
      <c r="AK1532" s="1" t="s">
        <v>30203</v>
      </c>
      <c r="AL1532" s="1" t="s">
        <v>30204</v>
      </c>
      <c r="AM1532" s="1" t="s">
        <v>30205</v>
      </c>
      <c r="AN1532" s="1" t="s">
        <v>30205</v>
      </c>
    </row>
    <row r="1533" ht="15.75" customHeight="1">
      <c r="A1533" s="1" t="s">
        <v>38</v>
      </c>
      <c r="B1533" s="1" t="s">
        <v>30206</v>
      </c>
      <c r="C1533" s="1" t="s">
        <v>30207</v>
      </c>
      <c r="D1533" s="8" t="s">
        <v>30208</v>
      </c>
      <c r="E1533" s="1" t="s">
        <v>30209</v>
      </c>
      <c r="F1533" s="1" t="s">
        <v>30210</v>
      </c>
      <c r="G1533" s="1" t="s">
        <v>132</v>
      </c>
      <c r="H1533" s="1" t="s">
        <v>132</v>
      </c>
      <c r="I1533" s="1" t="s">
        <v>30211</v>
      </c>
      <c r="J1533" s="1" t="s">
        <v>132</v>
      </c>
      <c r="K1533" s="1" t="s">
        <v>30212</v>
      </c>
      <c r="L1533" s="1" t="s">
        <v>132</v>
      </c>
      <c r="M1533" s="1" t="s">
        <v>30213</v>
      </c>
      <c r="N1533" s="1" t="s">
        <v>30214</v>
      </c>
      <c r="O1533" s="1" t="s">
        <v>132</v>
      </c>
      <c r="P1533" s="1" t="s">
        <v>30215</v>
      </c>
      <c r="Q1533" s="1" t="s">
        <v>30216</v>
      </c>
      <c r="R1533" s="1" t="s">
        <v>132</v>
      </c>
      <c r="S1533" s="1" t="s">
        <v>30217</v>
      </c>
      <c r="T1533" s="1" t="s">
        <v>132</v>
      </c>
      <c r="U1533" s="1" t="s">
        <v>30218</v>
      </c>
      <c r="V1533" s="1" t="s">
        <v>30219</v>
      </c>
      <c r="W1533" s="1" t="s">
        <v>132</v>
      </c>
      <c r="X1533" s="1" t="s">
        <v>30220</v>
      </c>
      <c r="Y1533" s="1" t="s">
        <v>132</v>
      </c>
      <c r="Z1533" s="1" t="s">
        <v>30221</v>
      </c>
      <c r="AA1533" s="1" t="s">
        <v>30222</v>
      </c>
      <c r="AB1533" s="1" t="s">
        <v>132</v>
      </c>
      <c r="AC1533" s="1" t="s">
        <v>30223</v>
      </c>
      <c r="AD1533" s="1" t="s">
        <v>30224</v>
      </c>
      <c r="AE1533" s="1" t="s">
        <v>132</v>
      </c>
      <c r="AF1533" s="1" t="s">
        <v>30225</v>
      </c>
      <c r="AG1533" s="1" t="s">
        <v>30226</v>
      </c>
      <c r="AH1533" s="1" t="s">
        <v>132</v>
      </c>
      <c r="AI1533" s="1" t="s">
        <v>132</v>
      </c>
      <c r="AJ1533" s="1" t="s">
        <v>30227</v>
      </c>
      <c r="AK1533" s="1" t="s">
        <v>30228</v>
      </c>
      <c r="AL1533" s="1" t="s">
        <v>132</v>
      </c>
      <c r="AM1533" s="1" t="s">
        <v>30229</v>
      </c>
      <c r="AN1533" s="1" t="s">
        <v>30229</v>
      </c>
    </row>
    <row r="1534" ht="15.75" customHeight="1">
      <c r="A1534" s="1" t="s">
        <v>38</v>
      </c>
      <c r="B1534" s="1" t="s">
        <v>30230</v>
      </c>
      <c r="C1534" s="1" t="s">
        <v>30231</v>
      </c>
      <c r="D1534" s="1" t="s">
        <v>132</v>
      </c>
      <c r="E1534" s="1" t="s">
        <v>132</v>
      </c>
      <c r="F1534" s="1" t="s">
        <v>132</v>
      </c>
      <c r="G1534" s="1" t="s">
        <v>132</v>
      </c>
      <c r="H1534" s="1" t="s">
        <v>132</v>
      </c>
      <c r="I1534" s="1" t="s">
        <v>30232</v>
      </c>
      <c r="J1534" s="1" t="s">
        <v>132</v>
      </c>
      <c r="K1534" s="1" t="s">
        <v>30233</v>
      </c>
      <c r="L1534" s="1" t="s">
        <v>132</v>
      </c>
      <c r="M1534" s="1" t="s">
        <v>30234</v>
      </c>
      <c r="N1534" s="1" t="s">
        <v>132</v>
      </c>
      <c r="O1534" s="1" t="s">
        <v>132</v>
      </c>
      <c r="P1534" s="1" t="s">
        <v>30231</v>
      </c>
      <c r="Q1534" s="1" t="s">
        <v>132</v>
      </c>
      <c r="R1534" s="1" t="s">
        <v>132</v>
      </c>
      <c r="S1534" s="1" t="s">
        <v>132</v>
      </c>
      <c r="T1534" s="1" t="s">
        <v>132</v>
      </c>
      <c r="U1534" s="1" t="s">
        <v>132</v>
      </c>
      <c r="V1534" s="1" t="s">
        <v>132</v>
      </c>
      <c r="W1534" s="1" t="s">
        <v>132</v>
      </c>
      <c r="X1534" s="1" t="s">
        <v>132</v>
      </c>
      <c r="Y1534" s="1" t="s">
        <v>132</v>
      </c>
      <c r="Z1534" s="1" t="s">
        <v>132</v>
      </c>
      <c r="AA1534" s="1" t="s">
        <v>132</v>
      </c>
      <c r="AB1534" s="1" t="s">
        <v>132</v>
      </c>
      <c r="AC1534" s="1" t="s">
        <v>30235</v>
      </c>
      <c r="AD1534" s="1" t="s">
        <v>132</v>
      </c>
      <c r="AE1534" s="1" t="s">
        <v>132</v>
      </c>
      <c r="AF1534" s="1" t="s">
        <v>30236</v>
      </c>
      <c r="AG1534" s="1" t="s">
        <v>132</v>
      </c>
      <c r="AH1534" s="1" t="s">
        <v>132</v>
      </c>
      <c r="AI1534" s="1" t="s">
        <v>132</v>
      </c>
      <c r="AJ1534" s="1" t="s">
        <v>132</v>
      </c>
      <c r="AK1534" s="1" t="s">
        <v>132</v>
      </c>
      <c r="AL1534" s="1" t="s">
        <v>132</v>
      </c>
      <c r="AM1534" s="1" t="s">
        <v>132</v>
      </c>
      <c r="AN1534" s="1" t="s">
        <v>132</v>
      </c>
    </row>
    <row r="1535" ht="15.75" customHeight="1">
      <c r="A1535" s="1" t="s">
        <v>38</v>
      </c>
      <c r="B1535" s="1" t="s">
        <v>30237</v>
      </c>
      <c r="C1535" s="1" t="s">
        <v>30238</v>
      </c>
      <c r="D1535" s="8" t="s">
        <v>30239</v>
      </c>
      <c r="E1535" s="1" t="s">
        <v>30240</v>
      </c>
      <c r="F1535" s="1" t="s">
        <v>30241</v>
      </c>
      <c r="G1535" s="1" t="s">
        <v>132</v>
      </c>
      <c r="H1535" s="1" t="s">
        <v>132</v>
      </c>
      <c r="I1535" s="1" t="s">
        <v>30242</v>
      </c>
      <c r="J1535" s="1" t="s">
        <v>132</v>
      </c>
      <c r="K1535" s="1" t="s">
        <v>30243</v>
      </c>
      <c r="L1535" s="1" t="s">
        <v>132</v>
      </c>
      <c r="M1535" s="1" t="s">
        <v>30244</v>
      </c>
      <c r="N1535" s="1" t="s">
        <v>30245</v>
      </c>
      <c r="O1535" s="1" t="s">
        <v>132</v>
      </c>
      <c r="P1535" s="1" t="s">
        <v>30246</v>
      </c>
      <c r="Q1535" s="1" t="s">
        <v>24066</v>
      </c>
      <c r="R1535" s="1" t="s">
        <v>132</v>
      </c>
      <c r="S1535" s="1" t="s">
        <v>30247</v>
      </c>
      <c r="T1535" s="1" t="s">
        <v>132</v>
      </c>
      <c r="U1535" s="1" t="s">
        <v>30248</v>
      </c>
      <c r="V1535" s="1" t="s">
        <v>30249</v>
      </c>
      <c r="W1535" s="1" t="s">
        <v>132</v>
      </c>
      <c r="X1535" s="1" t="s">
        <v>30250</v>
      </c>
      <c r="Y1535" s="1" t="s">
        <v>132</v>
      </c>
      <c r="Z1535" s="1" t="s">
        <v>24066</v>
      </c>
      <c r="AA1535" s="1" t="s">
        <v>30251</v>
      </c>
      <c r="AB1535" s="1" t="s">
        <v>132</v>
      </c>
      <c r="AC1535" s="1" t="s">
        <v>30252</v>
      </c>
      <c r="AD1535" s="1" t="s">
        <v>132</v>
      </c>
      <c r="AE1535" s="1" t="s">
        <v>132</v>
      </c>
      <c r="AF1535" s="1" t="s">
        <v>30253</v>
      </c>
      <c r="AG1535" s="1" t="s">
        <v>30254</v>
      </c>
      <c r="AH1535" s="1" t="s">
        <v>132</v>
      </c>
      <c r="AI1535" s="1" t="s">
        <v>132</v>
      </c>
      <c r="AJ1535" s="1" t="s">
        <v>30255</v>
      </c>
      <c r="AK1535" s="1" t="s">
        <v>132</v>
      </c>
      <c r="AL1535" s="1" t="s">
        <v>132</v>
      </c>
      <c r="AM1535" s="1" t="s">
        <v>30256</v>
      </c>
      <c r="AN1535" s="1" t="s">
        <v>30256</v>
      </c>
    </row>
    <row r="1536" ht="15.75" customHeight="1">
      <c r="A1536" s="1" t="s">
        <v>38</v>
      </c>
      <c r="B1536" s="1" t="s">
        <v>30257</v>
      </c>
      <c r="C1536" s="1" t="s">
        <v>30258</v>
      </c>
      <c r="D1536" s="8" t="s">
        <v>30259</v>
      </c>
      <c r="E1536" s="1" t="s">
        <v>30260</v>
      </c>
      <c r="F1536" s="1" t="s">
        <v>30261</v>
      </c>
      <c r="G1536" s="1" t="s">
        <v>132</v>
      </c>
      <c r="H1536" s="1" t="s">
        <v>132</v>
      </c>
      <c r="I1536" s="1" t="s">
        <v>30262</v>
      </c>
      <c r="J1536" s="1" t="s">
        <v>132</v>
      </c>
      <c r="K1536" s="1" t="s">
        <v>30263</v>
      </c>
      <c r="L1536" s="1" t="s">
        <v>132</v>
      </c>
      <c r="M1536" s="1" t="s">
        <v>30264</v>
      </c>
      <c r="N1536" s="1" t="s">
        <v>30265</v>
      </c>
      <c r="O1536" s="1" t="s">
        <v>132</v>
      </c>
      <c r="P1536" s="1" t="s">
        <v>30266</v>
      </c>
      <c r="Q1536" s="1" t="s">
        <v>132</v>
      </c>
      <c r="R1536" s="1" t="s">
        <v>132</v>
      </c>
      <c r="S1536" s="1" t="s">
        <v>30267</v>
      </c>
      <c r="T1536" s="1" t="s">
        <v>132</v>
      </c>
      <c r="U1536" s="1" t="s">
        <v>132</v>
      </c>
      <c r="V1536" s="1" t="s">
        <v>132</v>
      </c>
      <c r="W1536" s="1" t="s">
        <v>132</v>
      </c>
      <c r="X1536" s="1" t="s">
        <v>30268</v>
      </c>
      <c r="Y1536" s="1" t="s">
        <v>132</v>
      </c>
      <c r="Z1536" s="1" t="s">
        <v>30269</v>
      </c>
      <c r="AA1536" s="1" t="s">
        <v>132</v>
      </c>
      <c r="AB1536" s="1" t="s">
        <v>132</v>
      </c>
      <c r="AC1536" s="1" t="s">
        <v>132</v>
      </c>
      <c r="AD1536" s="1" t="s">
        <v>132</v>
      </c>
      <c r="AE1536" s="1" t="s">
        <v>132</v>
      </c>
      <c r="AF1536" s="1" t="s">
        <v>30270</v>
      </c>
      <c r="AG1536" s="1" t="s">
        <v>132</v>
      </c>
      <c r="AH1536" s="1" t="s">
        <v>132</v>
      </c>
      <c r="AI1536" s="1" t="s">
        <v>132</v>
      </c>
      <c r="AJ1536" s="1" t="s">
        <v>132</v>
      </c>
      <c r="AK1536" s="1" t="s">
        <v>132</v>
      </c>
      <c r="AL1536" s="1" t="s">
        <v>132</v>
      </c>
      <c r="AM1536" s="1" t="s">
        <v>132</v>
      </c>
      <c r="AN1536" s="1" t="s">
        <v>132</v>
      </c>
    </row>
    <row r="1537" ht="15.75" customHeight="1">
      <c r="A1537" s="1" t="s">
        <v>127</v>
      </c>
      <c r="B1537" s="1" t="s">
        <v>30271</v>
      </c>
      <c r="C1537" s="1" t="s">
        <v>30272</v>
      </c>
      <c r="D1537" s="8" t="s">
        <v>21683</v>
      </c>
      <c r="E1537" s="1" t="s">
        <v>30273</v>
      </c>
      <c r="F1537" s="1" t="s">
        <v>132</v>
      </c>
      <c r="G1537" s="1" t="s">
        <v>30274</v>
      </c>
      <c r="H1537" s="1" t="s">
        <v>30275</v>
      </c>
      <c r="I1537" s="1" t="s">
        <v>15942</v>
      </c>
      <c r="J1537" s="1" t="s">
        <v>30276</v>
      </c>
      <c r="K1537" s="1" t="s">
        <v>30272</v>
      </c>
      <c r="L1537" s="1" t="s">
        <v>30277</v>
      </c>
      <c r="M1537" s="1" t="s">
        <v>30278</v>
      </c>
      <c r="N1537" s="1" t="s">
        <v>132</v>
      </c>
      <c r="O1537" s="1" t="s">
        <v>30279</v>
      </c>
      <c r="P1537" s="1" t="s">
        <v>30280</v>
      </c>
      <c r="Q1537" s="1" t="s">
        <v>132</v>
      </c>
      <c r="R1537" s="1" t="s">
        <v>30281</v>
      </c>
      <c r="S1537" s="1" t="s">
        <v>21692</v>
      </c>
      <c r="T1537" s="8" t="s">
        <v>30282</v>
      </c>
      <c r="U1537" s="1" t="s">
        <v>30283</v>
      </c>
      <c r="V1537" s="1" t="s">
        <v>30284</v>
      </c>
      <c r="W1537" s="1" t="s">
        <v>30285</v>
      </c>
      <c r="X1537" s="1" t="s">
        <v>30272</v>
      </c>
      <c r="Y1537" s="1" t="s">
        <v>30275</v>
      </c>
      <c r="Z1537" s="1" t="s">
        <v>30286</v>
      </c>
      <c r="AA1537" s="1" t="s">
        <v>30272</v>
      </c>
      <c r="AB1537" s="1" t="s">
        <v>30287</v>
      </c>
      <c r="AC1537" s="1" t="s">
        <v>30288</v>
      </c>
      <c r="AD1537" s="1" t="s">
        <v>30289</v>
      </c>
      <c r="AE1537" s="1" t="s">
        <v>30290</v>
      </c>
      <c r="AF1537" s="1" t="s">
        <v>30291</v>
      </c>
      <c r="AG1537" s="1" t="s">
        <v>30292</v>
      </c>
      <c r="AH1537" s="1" t="s">
        <v>30293</v>
      </c>
      <c r="AI1537" s="1" t="s">
        <v>30294</v>
      </c>
      <c r="AJ1537" s="1" t="s">
        <v>132</v>
      </c>
      <c r="AK1537" s="1" t="s">
        <v>30295</v>
      </c>
      <c r="AL1537" s="1" t="s">
        <v>30296</v>
      </c>
      <c r="AM1537" s="1" t="s">
        <v>30297</v>
      </c>
      <c r="AN1537" s="1" t="s">
        <v>30297</v>
      </c>
    </row>
    <row r="1538" ht="15.75" customHeight="1">
      <c r="A1538" s="1" t="s">
        <v>38</v>
      </c>
      <c r="B1538" s="1" t="s">
        <v>30298</v>
      </c>
      <c r="C1538" s="1" t="s">
        <v>30299</v>
      </c>
      <c r="D1538" s="1" t="s">
        <v>132</v>
      </c>
      <c r="E1538" s="1" t="s">
        <v>30300</v>
      </c>
      <c r="F1538" s="1" t="s">
        <v>132</v>
      </c>
      <c r="G1538" s="1" t="s">
        <v>132</v>
      </c>
      <c r="H1538" s="1" t="s">
        <v>132</v>
      </c>
      <c r="I1538" s="1" t="s">
        <v>30303</v>
      </c>
      <c r="J1538" s="1" t="s">
        <v>132</v>
      </c>
      <c r="K1538" s="1" t="s">
        <v>30304</v>
      </c>
      <c r="L1538" s="1" t="s">
        <v>132</v>
      </c>
      <c r="M1538" s="1" t="s">
        <v>132</v>
      </c>
      <c r="N1538" s="1" t="s">
        <v>30304</v>
      </c>
      <c r="O1538" s="1" t="s">
        <v>132</v>
      </c>
      <c r="P1538" s="1" t="s">
        <v>30307</v>
      </c>
      <c r="Q1538" s="1" t="s">
        <v>132</v>
      </c>
      <c r="R1538" s="1" t="s">
        <v>132</v>
      </c>
      <c r="S1538" s="1" t="s">
        <v>30309</v>
      </c>
      <c r="T1538" s="1" t="s">
        <v>132</v>
      </c>
      <c r="U1538" s="1" t="s">
        <v>132</v>
      </c>
      <c r="V1538" s="1" t="s">
        <v>132</v>
      </c>
      <c r="W1538" s="1" t="s">
        <v>132</v>
      </c>
      <c r="X1538" s="1" t="s">
        <v>30311</v>
      </c>
      <c r="Y1538" s="1" t="s">
        <v>132</v>
      </c>
      <c r="Z1538" s="1" t="s">
        <v>30313</v>
      </c>
      <c r="AA1538" s="1" t="s">
        <v>132</v>
      </c>
      <c r="AB1538" s="1" t="s">
        <v>132</v>
      </c>
      <c r="AC1538" s="1" t="s">
        <v>132</v>
      </c>
      <c r="AD1538" s="1" t="s">
        <v>132</v>
      </c>
      <c r="AE1538" s="1" t="s">
        <v>132</v>
      </c>
      <c r="AF1538" s="1" t="s">
        <v>132</v>
      </c>
      <c r="AG1538" s="1" t="s">
        <v>132</v>
      </c>
      <c r="AH1538" s="1" t="s">
        <v>132</v>
      </c>
      <c r="AI1538" s="1" t="s">
        <v>132</v>
      </c>
      <c r="AJ1538" s="1" t="s">
        <v>132</v>
      </c>
      <c r="AK1538" s="1" t="s">
        <v>132</v>
      </c>
      <c r="AL1538" s="1" t="s">
        <v>132</v>
      </c>
      <c r="AM1538" s="1" t="s">
        <v>132</v>
      </c>
      <c r="AN1538" s="1" t="s">
        <v>132</v>
      </c>
    </row>
    <row r="1539" ht="15.75" customHeight="1">
      <c r="A1539" s="1" t="s">
        <v>38</v>
      </c>
      <c r="B1539" s="1" t="s">
        <v>30316</v>
      </c>
      <c r="C1539" s="1" t="s">
        <v>30317</v>
      </c>
      <c r="D1539" s="8" t="s">
        <v>30318</v>
      </c>
      <c r="E1539" s="1" t="s">
        <v>30319</v>
      </c>
      <c r="F1539" s="1" t="s">
        <v>30320</v>
      </c>
      <c r="G1539" s="1" t="s">
        <v>132</v>
      </c>
      <c r="H1539" s="1" t="s">
        <v>132</v>
      </c>
      <c r="I1539" s="1" t="s">
        <v>30321</v>
      </c>
      <c r="J1539" s="1" t="s">
        <v>132</v>
      </c>
      <c r="K1539" s="1" t="s">
        <v>30322</v>
      </c>
      <c r="L1539" s="1" t="s">
        <v>132</v>
      </c>
      <c r="M1539" s="1" t="s">
        <v>30323</v>
      </c>
      <c r="N1539" s="1" t="s">
        <v>30324</v>
      </c>
      <c r="O1539" s="1" t="s">
        <v>132</v>
      </c>
      <c r="P1539" s="1" t="s">
        <v>30325</v>
      </c>
      <c r="Q1539" s="1" t="s">
        <v>132</v>
      </c>
      <c r="R1539" s="1" t="s">
        <v>132</v>
      </c>
      <c r="S1539" s="1" t="s">
        <v>30326</v>
      </c>
      <c r="T1539" s="1" t="s">
        <v>132</v>
      </c>
      <c r="U1539" s="1" t="s">
        <v>30327</v>
      </c>
      <c r="V1539" s="1" t="s">
        <v>30328</v>
      </c>
      <c r="W1539" s="1" t="s">
        <v>132</v>
      </c>
      <c r="X1539" s="1" t="s">
        <v>30329</v>
      </c>
      <c r="Y1539" s="1" t="s">
        <v>132</v>
      </c>
      <c r="Z1539" s="1" t="s">
        <v>30330</v>
      </c>
      <c r="AA1539" s="1" t="s">
        <v>30331</v>
      </c>
      <c r="AB1539" s="1" t="s">
        <v>132</v>
      </c>
      <c r="AC1539" s="1" t="s">
        <v>30332</v>
      </c>
      <c r="AD1539" s="1" t="s">
        <v>132</v>
      </c>
      <c r="AE1539" s="1" t="s">
        <v>132</v>
      </c>
      <c r="AF1539" s="1" t="s">
        <v>30333</v>
      </c>
      <c r="AG1539" s="1" t="s">
        <v>30334</v>
      </c>
      <c r="AH1539" s="1" t="s">
        <v>132</v>
      </c>
      <c r="AI1539" s="1" t="s">
        <v>132</v>
      </c>
      <c r="AJ1539" s="1" t="s">
        <v>30335</v>
      </c>
      <c r="AK1539" s="1" t="s">
        <v>30336</v>
      </c>
      <c r="AL1539" s="1" t="s">
        <v>132</v>
      </c>
      <c r="AM1539" s="1" t="s">
        <v>30337</v>
      </c>
      <c r="AN1539" s="1" t="s">
        <v>30337</v>
      </c>
    </row>
    <row r="1540" ht="15.75" customHeight="1">
      <c r="A1540" s="1" t="s">
        <v>127</v>
      </c>
      <c r="B1540" s="1" t="s">
        <v>30338</v>
      </c>
      <c r="C1540" s="1" t="s">
        <v>21133</v>
      </c>
      <c r="D1540" s="8" t="s">
        <v>21134</v>
      </c>
      <c r="E1540" s="1" t="s">
        <v>21135</v>
      </c>
      <c r="F1540" s="1" t="s">
        <v>132</v>
      </c>
      <c r="G1540" s="1" t="s">
        <v>21136</v>
      </c>
      <c r="H1540" s="1" t="s">
        <v>21137</v>
      </c>
      <c r="I1540" s="1" t="s">
        <v>21138</v>
      </c>
      <c r="J1540" s="1" t="s">
        <v>21139</v>
      </c>
      <c r="K1540" s="1" t="s">
        <v>30339</v>
      </c>
      <c r="L1540" s="1" t="s">
        <v>21141</v>
      </c>
      <c r="M1540" s="1" t="s">
        <v>21142</v>
      </c>
      <c r="N1540" s="1" t="s">
        <v>132</v>
      </c>
      <c r="O1540" s="1" t="s">
        <v>21143</v>
      </c>
      <c r="P1540" s="1" t="s">
        <v>21144</v>
      </c>
      <c r="Q1540" s="1" t="s">
        <v>132</v>
      </c>
      <c r="R1540" s="1" t="s">
        <v>21150</v>
      </c>
      <c r="S1540" s="1" t="s">
        <v>30340</v>
      </c>
      <c r="T1540" s="8" t="s">
        <v>21147</v>
      </c>
      <c r="U1540" s="1" t="s">
        <v>21148</v>
      </c>
      <c r="V1540" s="1" t="s">
        <v>21149</v>
      </c>
      <c r="W1540" s="1" t="s">
        <v>21150</v>
      </c>
      <c r="X1540" s="1" t="s">
        <v>21151</v>
      </c>
      <c r="Y1540" s="1" t="s">
        <v>21152</v>
      </c>
      <c r="Z1540" s="1" t="s">
        <v>21153</v>
      </c>
      <c r="AA1540" s="1" t="s">
        <v>30341</v>
      </c>
      <c r="AB1540" s="1" t="s">
        <v>21155</v>
      </c>
      <c r="AC1540" s="1" t="s">
        <v>21156</v>
      </c>
      <c r="AD1540" s="1" t="s">
        <v>21157</v>
      </c>
      <c r="AE1540" s="1" t="s">
        <v>21158</v>
      </c>
      <c r="AF1540" s="1" t="s">
        <v>30342</v>
      </c>
      <c r="AG1540" s="1" t="s">
        <v>21160</v>
      </c>
      <c r="AH1540" s="1" t="s">
        <v>21161</v>
      </c>
      <c r="AI1540" s="1" t="s">
        <v>21162</v>
      </c>
      <c r="AJ1540" s="1" t="s">
        <v>132</v>
      </c>
      <c r="AK1540" s="1" t="s">
        <v>21163</v>
      </c>
      <c r="AL1540" s="1" t="s">
        <v>17040</v>
      </c>
      <c r="AM1540" s="1" t="s">
        <v>132</v>
      </c>
      <c r="AN1540" s="1" t="s">
        <v>132</v>
      </c>
    </row>
    <row r="1541" ht="15.75" customHeight="1">
      <c r="A1541" s="1" t="s">
        <v>38</v>
      </c>
      <c r="B1541" s="1" t="s">
        <v>30343</v>
      </c>
      <c r="C1541" s="1" t="s">
        <v>30344</v>
      </c>
      <c r="D1541" s="1" t="s">
        <v>132</v>
      </c>
      <c r="E1541" s="1" t="s">
        <v>30345</v>
      </c>
      <c r="F1541" s="1" t="s">
        <v>30346</v>
      </c>
      <c r="G1541" s="1" t="s">
        <v>132</v>
      </c>
      <c r="H1541" s="1" t="s">
        <v>132</v>
      </c>
      <c r="I1541" s="1" t="s">
        <v>30347</v>
      </c>
      <c r="J1541" s="1" t="s">
        <v>132</v>
      </c>
      <c r="K1541" s="1" t="s">
        <v>30348</v>
      </c>
      <c r="L1541" s="1" t="s">
        <v>132</v>
      </c>
      <c r="M1541" s="1" t="s">
        <v>30349</v>
      </c>
      <c r="N1541" s="1" t="s">
        <v>30348</v>
      </c>
      <c r="O1541" s="1" t="s">
        <v>132</v>
      </c>
      <c r="P1541" s="1" t="s">
        <v>30350</v>
      </c>
      <c r="Q1541" s="1" t="s">
        <v>132</v>
      </c>
      <c r="R1541" s="1" t="s">
        <v>132</v>
      </c>
      <c r="S1541" s="1" t="s">
        <v>30351</v>
      </c>
      <c r="T1541" s="1" t="s">
        <v>132</v>
      </c>
      <c r="U1541" s="1" t="s">
        <v>132</v>
      </c>
      <c r="V1541" s="1" t="s">
        <v>132</v>
      </c>
      <c r="W1541" s="1" t="s">
        <v>132</v>
      </c>
      <c r="X1541" s="1" t="s">
        <v>30352</v>
      </c>
      <c r="Y1541" s="1" t="s">
        <v>132</v>
      </c>
      <c r="Z1541" s="1" t="s">
        <v>30353</v>
      </c>
      <c r="AA1541" s="1" t="s">
        <v>132</v>
      </c>
      <c r="AB1541" s="1" t="s">
        <v>132</v>
      </c>
      <c r="AC1541" s="1" t="s">
        <v>30354</v>
      </c>
      <c r="AD1541" s="1" t="s">
        <v>132</v>
      </c>
      <c r="AE1541" s="1" t="s">
        <v>132</v>
      </c>
      <c r="AF1541" s="1" t="s">
        <v>30355</v>
      </c>
      <c r="AG1541" s="1" t="s">
        <v>132</v>
      </c>
      <c r="AH1541" s="1" t="s">
        <v>132</v>
      </c>
      <c r="AI1541" s="1" t="s">
        <v>132</v>
      </c>
      <c r="AJ1541" s="1" t="s">
        <v>132</v>
      </c>
      <c r="AK1541" s="1" t="s">
        <v>132</v>
      </c>
      <c r="AL1541" s="1" t="s">
        <v>132</v>
      </c>
      <c r="AM1541" s="1" t="s">
        <v>132</v>
      </c>
      <c r="AN1541" s="1" t="s">
        <v>132</v>
      </c>
    </row>
    <row r="1542" ht="15.75" customHeight="1">
      <c r="A1542" s="1" t="s">
        <v>127</v>
      </c>
      <c r="B1542" s="1" t="s">
        <v>30356</v>
      </c>
      <c r="C1542" s="1" t="s">
        <v>30357</v>
      </c>
      <c r="D1542" s="8" t="s">
        <v>30358</v>
      </c>
      <c r="E1542" s="1" t="s">
        <v>30359</v>
      </c>
      <c r="F1542" s="1" t="s">
        <v>132</v>
      </c>
      <c r="G1542" s="1" t="s">
        <v>30360</v>
      </c>
      <c r="H1542" s="1" t="s">
        <v>30361</v>
      </c>
      <c r="I1542" s="1" t="s">
        <v>30362</v>
      </c>
      <c r="J1542" s="1" t="s">
        <v>30363</v>
      </c>
      <c r="K1542" s="1" t="s">
        <v>30364</v>
      </c>
      <c r="L1542" s="1" t="s">
        <v>30365</v>
      </c>
      <c r="M1542" s="1" t="s">
        <v>30366</v>
      </c>
      <c r="N1542" s="1" t="s">
        <v>132</v>
      </c>
      <c r="O1542" s="1" t="s">
        <v>30367</v>
      </c>
      <c r="P1542" s="1" t="s">
        <v>30368</v>
      </c>
      <c r="Q1542" s="1" t="s">
        <v>132</v>
      </c>
      <c r="R1542" s="1" t="s">
        <v>30369</v>
      </c>
      <c r="S1542" s="1" t="s">
        <v>30370</v>
      </c>
      <c r="T1542" s="8" t="s">
        <v>30371</v>
      </c>
      <c r="U1542" s="1" t="s">
        <v>30372</v>
      </c>
      <c r="V1542" s="1" t="s">
        <v>30373</v>
      </c>
      <c r="W1542" s="1" t="s">
        <v>30369</v>
      </c>
      <c r="X1542" s="1" t="s">
        <v>30374</v>
      </c>
      <c r="Y1542" s="1" t="s">
        <v>30375</v>
      </c>
      <c r="Z1542" s="1" t="s">
        <v>30376</v>
      </c>
      <c r="AA1542" s="1" t="s">
        <v>6268</v>
      </c>
      <c r="AB1542" s="1" t="s">
        <v>30377</v>
      </c>
      <c r="AC1542" s="1" t="s">
        <v>30378</v>
      </c>
      <c r="AD1542" s="1" t="s">
        <v>30379</v>
      </c>
      <c r="AE1542" s="1" t="s">
        <v>30380</v>
      </c>
      <c r="AF1542" s="1" t="s">
        <v>30381</v>
      </c>
      <c r="AG1542" s="1" t="s">
        <v>30382</v>
      </c>
      <c r="AH1542" s="1" t="s">
        <v>30383</v>
      </c>
      <c r="AI1542" s="1" t="s">
        <v>30384</v>
      </c>
      <c r="AJ1542" s="1" t="s">
        <v>132</v>
      </c>
      <c r="AK1542" s="1" t="s">
        <v>30385</v>
      </c>
      <c r="AL1542" s="1" t="s">
        <v>30386</v>
      </c>
      <c r="AM1542" s="1" t="s">
        <v>30387</v>
      </c>
      <c r="AN1542" s="1" t="s">
        <v>30387</v>
      </c>
    </row>
    <row r="1543" ht="15.75" customHeight="1">
      <c r="A1543" s="1" t="s">
        <v>38</v>
      </c>
      <c r="B1543" s="1" t="s">
        <v>30388</v>
      </c>
      <c r="C1543" s="1" t="s">
        <v>30389</v>
      </c>
      <c r="D1543" s="1" t="s">
        <v>132</v>
      </c>
      <c r="E1543" s="1" t="s">
        <v>30390</v>
      </c>
      <c r="F1543" s="1" t="s">
        <v>30391</v>
      </c>
      <c r="G1543" s="1" t="s">
        <v>132</v>
      </c>
      <c r="H1543" s="1" t="s">
        <v>132</v>
      </c>
      <c r="I1543" s="1" t="s">
        <v>30392</v>
      </c>
      <c r="J1543" s="1" t="s">
        <v>132</v>
      </c>
      <c r="K1543" s="1" t="s">
        <v>30393</v>
      </c>
      <c r="L1543" s="1" t="s">
        <v>132</v>
      </c>
      <c r="M1543" s="1" t="s">
        <v>30394</v>
      </c>
      <c r="N1543" s="1" t="s">
        <v>30395</v>
      </c>
      <c r="O1543" s="1" t="s">
        <v>132</v>
      </c>
      <c r="P1543" s="1" t="s">
        <v>30396</v>
      </c>
      <c r="Q1543" s="1" t="s">
        <v>132</v>
      </c>
      <c r="R1543" s="1" t="s">
        <v>132</v>
      </c>
      <c r="S1543" s="1" t="s">
        <v>30397</v>
      </c>
      <c r="T1543" s="1" t="s">
        <v>132</v>
      </c>
      <c r="U1543" s="1" t="s">
        <v>30398</v>
      </c>
      <c r="V1543" s="1" t="s">
        <v>30399</v>
      </c>
      <c r="W1543" s="1" t="s">
        <v>132</v>
      </c>
      <c r="X1543" s="1" t="s">
        <v>30400</v>
      </c>
      <c r="Y1543" s="1" t="s">
        <v>132</v>
      </c>
      <c r="Z1543" s="1" t="s">
        <v>30401</v>
      </c>
      <c r="AA1543" s="1" t="s">
        <v>132</v>
      </c>
      <c r="AB1543" s="1" t="s">
        <v>132</v>
      </c>
      <c r="AC1543" s="1" t="s">
        <v>30402</v>
      </c>
      <c r="AD1543" s="1" t="s">
        <v>132</v>
      </c>
      <c r="AE1543" s="1" t="s">
        <v>132</v>
      </c>
      <c r="AF1543" s="1" t="s">
        <v>30403</v>
      </c>
      <c r="AG1543" s="1" t="s">
        <v>30404</v>
      </c>
      <c r="AH1543" s="1" t="s">
        <v>132</v>
      </c>
      <c r="AI1543" s="1" t="s">
        <v>132</v>
      </c>
      <c r="AJ1543" s="1" t="s">
        <v>30406</v>
      </c>
      <c r="AK1543" s="1" t="s">
        <v>132</v>
      </c>
      <c r="AL1543" s="1" t="s">
        <v>132</v>
      </c>
      <c r="AM1543" s="1" t="s">
        <v>30407</v>
      </c>
      <c r="AN1543" s="1" t="s">
        <v>30407</v>
      </c>
    </row>
    <row r="1544" ht="15.75" customHeight="1">
      <c r="A1544" s="1" t="s">
        <v>127</v>
      </c>
      <c r="B1544" s="1" t="s">
        <v>30408</v>
      </c>
      <c r="C1544" s="1" t="s">
        <v>30409</v>
      </c>
      <c r="D1544" s="8" t="s">
        <v>30410</v>
      </c>
      <c r="E1544" s="1" t="s">
        <v>30411</v>
      </c>
      <c r="F1544" s="1" t="s">
        <v>132</v>
      </c>
      <c r="G1544" s="1" t="s">
        <v>30412</v>
      </c>
      <c r="H1544" s="1" t="s">
        <v>30413</v>
      </c>
      <c r="I1544" s="1" t="s">
        <v>30414</v>
      </c>
      <c r="J1544" s="1" t="s">
        <v>30415</v>
      </c>
      <c r="K1544" s="1" t="s">
        <v>30416</v>
      </c>
      <c r="L1544" s="1" t="s">
        <v>30417</v>
      </c>
      <c r="M1544" s="1" t="s">
        <v>30418</v>
      </c>
      <c r="N1544" s="1" t="s">
        <v>132</v>
      </c>
      <c r="O1544" s="1" t="s">
        <v>30419</v>
      </c>
      <c r="P1544" s="1" t="s">
        <v>30420</v>
      </c>
      <c r="Q1544" s="1" t="s">
        <v>132</v>
      </c>
      <c r="R1544" s="1" t="s">
        <v>30421</v>
      </c>
      <c r="S1544" s="1" t="s">
        <v>30422</v>
      </c>
      <c r="T1544" s="8" t="s">
        <v>30423</v>
      </c>
      <c r="U1544" s="1" t="s">
        <v>30424</v>
      </c>
      <c r="V1544" s="1" t="s">
        <v>30425</v>
      </c>
      <c r="W1544" s="1" t="s">
        <v>30426</v>
      </c>
      <c r="X1544" s="1" t="s">
        <v>30427</v>
      </c>
      <c r="Y1544" s="1" t="s">
        <v>30428</v>
      </c>
      <c r="Z1544" s="1" t="s">
        <v>30429</v>
      </c>
      <c r="AA1544" s="1" t="s">
        <v>30430</v>
      </c>
      <c r="AB1544" s="1" t="s">
        <v>30431</v>
      </c>
      <c r="AC1544" s="1" t="s">
        <v>30432</v>
      </c>
      <c r="AD1544" s="1" t="s">
        <v>30433</v>
      </c>
      <c r="AE1544" s="1" t="s">
        <v>30434</v>
      </c>
      <c r="AF1544" s="1" t="s">
        <v>30435</v>
      </c>
      <c r="AG1544" s="1" t="s">
        <v>30436</v>
      </c>
      <c r="AH1544" s="1" t="s">
        <v>30437</v>
      </c>
      <c r="AI1544" s="1" t="s">
        <v>30438</v>
      </c>
      <c r="AJ1544" s="1" t="s">
        <v>132</v>
      </c>
      <c r="AK1544" s="1" t="s">
        <v>30439</v>
      </c>
      <c r="AL1544" s="1" t="s">
        <v>30440</v>
      </c>
      <c r="AM1544" s="1" t="s">
        <v>30441</v>
      </c>
      <c r="AN1544" s="1" t="s">
        <v>30441</v>
      </c>
    </row>
    <row r="1545" ht="15.75" customHeight="1">
      <c r="A1545" s="1" t="s">
        <v>38</v>
      </c>
      <c r="B1545" s="1" t="s">
        <v>30442</v>
      </c>
      <c r="C1545" s="1" t="s">
        <v>30443</v>
      </c>
      <c r="D1545" s="8" t="s">
        <v>30444</v>
      </c>
      <c r="E1545" s="1" t="s">
        <v>30445</v>
      </c>
      <c r="F1545" s="1" t="s">
        <v>30443</v>
      </c>
      <c r="G1545" s="1" t="s">
        <v>132</v>
      </c>
      <c r="H1545" s="1" t="s">
        <v>132</v>
      </c>
      <c r="I1545" s="1" t="s">
        <v>30446</v>
      </c>
      <c r="J1545" s="1" t="s">
        <v>132</v>
      </c>
      <c r="K1545" s="1" t="s">
        <v>30447</v>
      </c>
      <c r="L1545" s="1" t="s">
        <v>132</v>
      </c>
      <c r="M1545" s="1" t="s">
        <v>30448</v>
      </c>
      <c r="N1545" s="1" t="s">
        <v>30443</v>
      </c>
      <c r="O1545" s="1" t="s">
        <v>132</v>
      </c>
      <c r="P1545" s="1" t="s">
        <v>30449</v>
      </c>
      <c r="Q1545" s="1" t="s">
        <v>30450</v>
      </c>
      <c r="R1545" s="1" t="s">
        <v>132</v>
      </c>
      <c r="S1545" s="1" t="s">
        <v>30451</v>
      </c>
      <c r="T1545" s="1" t="s">
        <v>132</v>
      </c>
      <c r="U1545" s="1" t="s">
        <v>30452</v>
      </c>
      <c r="V1545" s="1" t="s">
        <v>30453</v>
      </c>
      <c r="W1545" s="1" t="s">
        <v>132</v>
      </c>
      <c r="X1545" s="1" t="s">
        <v>30454</v>
      </c>
      <c r="Y1545" s="1" t="s">
        <v>132</v>
      </c>
      <c r="Z1545" s="1" t="s">
        <v>30455</v>
      </c>
      <c r="AA1545" s="1" t="s">
        <v>30456</v>
      </c>
      <c r="AB1545" s="1" t="s">
        <v>132</v>
      </c>
      <c r="AC1545" s="1" t="s">
        <v>30457</v>
      </c>
      <c r="AD1545" s="1" t="s">
        <v>30458</v>
      </c>
      <c r="AE1545" s="1" t="s">
        <v>132</v>
      </c>
      <c r="AF1545" s="1" t="s">
        <v>30459</v>
      </c>
      <c r="AG1545" s="1" t="s">
        <v>30460</v>
      </c>
      <c r="AH1545" s="1" t="s">
        <v>132</v>
      </c>
      <c r="AI1545" s="1" t="s">
        <v>132</v>
      </c>
      <c r="AJ1545" s="1" t="s">
        <v>30461</v>
      </c>
      <c r="AK1545" s="1" t="s">
        <v>30462</v>
      </c>
      <c r="AL1545" s="1" t="s">
        <v>132</v>
      </c>
      <c r="AM1545" s="1" t="s">
        <v>30463</v>
      </c>
      <c r="AN1545" s="1" t="s">
        <v>30463</v>
      </c>
    </row>
    <row r="1546" ht="15.75" customHeight="1">
      <c r="A1546" s="1" t="s">
        <v>127</v>
      </c>
      <c r="B1546" s="1" t="s">
        <v>30464</v>
      </c>
      <c r="C1546" s="1" t="s">
        <v>30465</v>
      </c>
      <c r="D1546" s="8" t="s">
        <v>30466</v>
      </c>
      <c r="E1546" s="1" t="s">
        <v>30467</v>
      </c>
      <c r="F1546" s="1" t="s">
        <v>132</v>
      </c>
      <c r="G1546" s="1" t="s">
        <v>30468</v>
      </c>
      <c r="H1546" s="1" t="s">
        <v>30469</v>
      </c>
      <c r="I1546" s="1" t="s">
        <v>30470</v>
      </c>
      <c r="J1546" s="1" t="s">
        <v>30471</v>
      </c>
      <c r="K1546" s="1" t="s">
        <v>30472</v>
      </c>
      <c r="L1546" s="1" t="s">
        <v>30473</v>
      </c>
      <c r="M1546" s="1" t="s">
        <v>30474</v>
      </c>
      <c r="N1546" s="1" t="s">
        <v>132</v>
      </c>
      <c r="O1546" s="1" t="s">
        <v>30475</v>
      </c>
      <c r="P1546" s="1" t="s">
        <v>30476</v>
      </c>
      <c r="Q1546" s="1" t="s">
        <v>132</v>
      </c>
      <c r="R1546" s="1" t="s">
        <v>30477</v>
      </c>
      <c r="S1546" s="1" t="s">
        <v>30478</v>
      </c>
      <c r="T1546" s="8" t="s">
        <v>30479</v>
      </c>
      <c r="U1546" s="1" t="s">
        <v>30480</v>
      </c>
      <c r="V1546" s="1" t="s">
        <v>30481</v>
      </c>
      <c r="W1546" s="1" t="s">
        <v>30482</v>
      </c>
      <c r="X1546" s="1" t="s">
        <v>30483</v>
      </c>
      <c r="Y1546" s="1" t="s">
        <v>30484</v>
      </c>
      <c r="Z1546" s="1" t="s">
        <v>30485</v>
      </c>
      <c r="AA1546" s="1" t="s">
        <v>30486</v>
      </c>
      <c r="AB1546" s="1" t="s">
        <v>30487</v>
      </c>
      <c r="AC1546" s="1" t="s">
        <v>30488</v>
      </c>
      <c r="AD1546" s="1" t="s">
        <v>30489</v>
      </c>
      <c r="AE1546" s="1" t="s">
        <v>30490</v>
      </c>
      <c r="AF1546" s="1" t="s">
        <v>30491</v>
      </c>
      <c r="AG1546" s="1" t="s">
        <v>30492</v>
      </c>
      <c r="AH1546" s="1" t="s">
        <v>30493</v>
      </c>
      <c r="AI1546" s="1" t="s">
        <v>30494</v>
      </c>
      <c r="AJ1546" s="1" t="s">
        <v>132</v>
      </c>
      <c r="AK1546" s="1" t="s">
        <v>30495</v>
      </c>
      <c r="AL1546" s="1" t="s">
        <v>30496</v>
      </c>
      <c r="AM1546" s="1" t="s">
        <v>132</v>
      </c>
      <c r="AN1546" s="1" t="s">
        <v>132</v>
      </c>
    </row>
    <row r="1547" ht="15.75" customHeight="1">
      <c r="A1547" s="1" t="s">
        <v>127</v>
      </c>
      <c r="B1547" s="1" t="s">
        <v>30497</v>
      </c>
      <c r="C1547" s="1" t="s">
        <v>30498</v>
      </c>
      <c r="D1547" s="8" t="s">
        <v>30499</v>
      </c>
      <c r="E1547" s="1" t="s">
        <v>30500</v>
      </c>
      <c r="F1547" s="1" t="s">
        <v>132</v>
      </c>
      <c r="G1547" s="1" t="s">
        <v>30501</v>
      </c>
      <c r="H1547" s="1" t="s">
        <v>30502</v>
      </c>
      <c r="I1547" s="1" t="s">
        <v>30503</v>
      </c>
      <c r="J1547" s="1" t="s">
        <v>30504</v>
      </c>
      <c r="K1547" s="1" t="s">
        <v>30505</v>
      </c>
      <c r="L1547" s="1" t="s">
        <v>30506</v>
      </c>
      <c r="M1547" s="1" t="s">
        <v>30507</v>
      </c>
      <c r="N1547" s="1" t="s">
        <v>132</v>
      </c>
      <c r="O1547" s="1" t="s">
        <v>30508</v>
      </c>
      <c r="P1547" s="1" t="s">
        <v>30509</v>
      </c>
      <c r="Q1547" s="1" t="s">
        <v>132</v>
      </c>
      <c r="R1547" s="1" t="s">
        <v>30510</v>
      </c>
      <c r="S1547" s="1" t="s">
        <v>30511</v>
      </c>
      <c r="T1547" s="8" t="s">
        <v>30512</v>
      </c>
      <c r="U1547" s="1" t="s">
        <v>30513</v>
      </c>
      <c r="V1547" s="1" t="s">
        <v>30514</v>
      </c>
      <c r="W1547" s="1" t="s">
        <v>30515</v>
      </c>
      <c r="X1547" s="1" t="s">
        <v>30516</v>
      </c>
      <c r="Y1547" s="1" t="s">
        <v>30517</v>
      </c>
      <c r="Z1547" s="1" t="s">
        <v>30518</v>
      </c>
      <c r="AA1547" s="1" t="s">
        <v>30519</v>
      </c>
      <c r="AB1547" s="1" t="s">
        <v>30520</v>
      </c>
      <c r="AC1547" s="1" t="s">
        <v>30521</v>
      </c>
      <c r="AD1547" s="1" t="s">
        <v>30522</v>
      </c>
      <c r="AE1547" s="1" t="s">
        <v>30523</v>
      </c>
      <c r="AF1547" s="1" t="s">
        <v>30524</v>
      </c>
      <c r="AG1547" s="1" t="s">
        <v>30525</v>
      </c>
      <c r="AH1547" s="1" t="s">
        <v>30526</v>
      </c>
      <c r="AI1547" s="1" t="s">
        <v>30527</v>
      </c>
      <c r="AJ1547" s="1" t="s">
        <v>132</v>
      </c>
      <c r="AK1547" s="1" t="s">
        <v>30528</v>
      </c>
      <c r="AL1547" s="1" t="s">
        <v>30529</v>
      </c>
      <c r="AM1547" s="1" t="s">
        <v>132</v>
      </c>
      <c r="AN1547" s="1" t="s">
        <v>132</v>
      </c>
    </row>
    <row r="1548" ht="15.75" customHeight="1">
      <c r="A1548" s="1" t="s">
        <v>127</v>
      </c>
      <c r="B1548" s="1" t="s">
        <v>30530</v>
      </c>
      <c r="C1548" s="1" t="s">
        <v>30531</v>
      </c>
      <c r="D1548" s="8" t="s">
        <v>30532</v>
      </c>
      <c r="E1548" s="1" t="s">
        <v>30533</v>
      </c>
      <c r="F1548" s="1" t="s">
        <v>132</v>
      </c>
      <c r="G1548" s="1" t="s">
        <v>30534</v>
      </c>
      <c r="H1548" s="1" t="s">
        <v>30535</v>
      </c>
      <c r="I1548" s="1" t="s">
        <v>30536</v>
      </c>
      <c r="J1548" s="1" t="s">
        <v>30537</v>
      </c>
      <c r="K1548" s="1" t="s">
        <v>30538</v>
      </c>
      <c r="L1548" s="1" t="s">
        <v>30539</v>
      </c>
      <c r="M1548" s="1" t="s">
        <v>30540</v>
      </c>
      <c r="N1548" s="1" t="s">
        <v>132</v>
      </c>
      <c r="O1548" s="1" t="s">
        <v>30541</v>
      </c>
      <c r="P1548" s="1" t="s">
        <v>30542</v>
      </c>
      <c r="Q1548" s="1" t="s">
        <v>132</v>
      </c>
      <c r="R1548" s="1" t="s">
        <v>30543</v>
      </c>
      <c r="S1548" s="1" t="s">
        <v>30544</v>
      </c>
      <c r="T1548" s="8" t="s">
        <v>30545</v>
      </c>
      <c r="U1548" s="1" t="s">
        <v>30546</v>
      </c>
      <c r="V1548" s="1" t="s">
        <v>30547</v>
      </c>
      <c r="W1548" s="1" t="s">
        <v>30548</v>
      </c>
      <c r="X1548" s="1" t="s">
        <v>30549</v>
      </c>
      <c r="Y1548" s="1" t="s">
        <v>30550</v>
      </c>
      <c r="Z1548" s="1" t="s">
        <v>30551</v>
      </c>
      <c r="AA1548" s="1" t="s">
        <v>30552</v>
      </c>
      <c r="AB1548" s="1" t="s">
        <v>30553</v>
      </c>
      <c r="AC1548" s="1" t="s">
        <v>30554</v>
      </c>
      <c r="AD1548" s="1" t="s">
        <v>30555</v>
      </c>
      <c r="AE1548" s="1" t="s">
        <v>30556</v>
      </c>
      <c r="AF1548" s="1" t="s">
        <v>30557</v>
      </c>
      <c r="AG1548" s="1" t="s">
        <v>30558</v>
      </c>
      <c r="AH1548" s="1" t="s">
        <v>30559</v>
      </c>
      <c r="AI1548" s="1" t="s">
        <v>30560</v>
      </c>
      <c r="AJ1548" s="1" t="s">
        <v>132</v>
      </c>
      <c r="AK1548" s="1" t="s">
        <v>30561</v>
      </c>
      <c r="AL1548" s="1" t="s">
        <v>30562</v>
      </c>
      <c r="AM1548" s="1" t="s">
        <v>132</v>
      </c>
      <c r="AN1548" s="1" t="s">
        <v>132</v>
      </c>
    </row>
    <row r="1549" ht="15.75" customHeight="1">
      <c r="A1549" s="1" t="s">
        <v>127</v>
      </c>
      <c r="B1549" s="1" t="s">
        <v>30563</v>
      </c>
      <c r="C1549" s="1" t="s">
        <v>30564</v>
      </c>
      <c r="D1549" s="8" t="s">
        <v>30565</v>
      </c>
      <c r="E1549" s="1" t="s">
        <v>30566</v>
      </c>
      <c r="F1549" s="1" t="s">
        <v>132</v>
      </c>
      <c r="G1549" s="1" t="s">
        <v>30567</v>
      </c>
      <c r="H1549" s="1" t="s">
        <v>30568</v>
      </c>
      <c r="I1549" s="1" t="s">
        <v>30569</v>
      </c>
      <c r="J1549" s="1" t="s">
        <v>30570</v>
      </c>
      <c r="K1549" s="1" t="s">
        <v>30571</v>
      </c>
      <c r="L1549" s="1" t="s">
        <v>30572</v>
      </c>
      <c r="M1549" s="1" t="s">
        <v>30573</v>
      </c>
      <c r="N1549" s="1" t="s">
        <v>132</v>
      </c>
      <c r="O1549" s="1" t="s">
        <v>30574</v>
      </c>
      <c r="P1549" s="1" t="s">
        <v>30575</v>
      </c>
      <c r="Q1549" s="1" t="s">
        <v>132</v>
      </c>
      <c r="R1549" s="1" t="s">
        <v>30576</v>
      </c>
      <c r="S1549" s="1" t="s">
        <v>30577</v>
      </c>
      <c r="T1549" s="8" t="s">
        <v>30578</v>
      </c>
      <c r="U1549" s="1" t="s">
        <v>30579</v>
      </c>
      <c r="V1549" s="1" t="s">
        <v>30580</v>
      </c>
      <c r="W1549" s="1" t="s">
        <v>30581</v>
      </c>
      <c r="X1549" s="1" t="s">
        <v>30582</v>
      </c>
      <c r="Y1549" s="1" t="s">
        <v>30583</v>
      </c>
      <c r="Z1549" s="1" t="s">
        <v>30584</v>
      </c>
      <c r="AA1549" s="1" t="s">
        <v>30585</v>
      </c>
      <c r="AB1549" s="1" t="s">
        <v>30586</v>
      </c>
      <c r="AC1549" s="1" t="s">
        <v>30587</v>
      </c>
      <c r="AD1549" s="1" t="s">
        <v>30588</v>
      </c>
      <c r="AE1549" s="1" t="s">
        <v>30589</v>
      </c>
      <c r="AF1549" s="1" t="s">
        <v>30590</v>
      </c>
      <c r="AG1549" s="1" t="s">
        <v>30591</v>
      </c>
      <c r="AH1549" s="1" t="s">
        <v>30592</v>
      </c>
      <c r="AI1549" s="1" t="s">
        <v>30593</v>
      </c>
      <c r="AJ1549" s="1" t="s">
        <v>132</v>
      </c>
      <c r="AK1549" s="1" t="s">
        <v>30594</v>
      </c>
      <c r="AL1549" s="1" t="s">
        <v>30595</v>
      </c>
      <c r="AM1549" s="1" t="s">
        <v>132</v>
      </c>
      <c r="AN1549" s="1" t="s">
        <v>132</v>
      </c>
    </row>
    <row r="1550" ht="15.75" customHeight="1">
      <c r="A1550" s="1" t="s">
        <v>127</v>
      </c>
      <c r="B1550" s="1" t="s">
        <v>30596</v>
      </c>
      <c r="C1550" s="1" t="s">
        <v>30597</v>
      </c>
      <c r="D1550" s="8" t="s">
        <v>30598</v>
      </c>
      <c r="E1550" s="1" t="s">
        <v>30599</v>
      </c>
      <c r="F1550" s="1" t="s">
        <v>132</v>
      </c>
      <c r="G1550" s="1" t="s">
        <v>30600</v>
      </c>
      <c r="H1550" s="1" t="s">
        <v>30601</v>
      </c>
      <c r="I1550" s="1" t="s">
        <v>30602</v>
      </c>
      <c r="J1550" s="1" t="s">
        <v>30603</v>
      </c>
      <c r="K1550" s="1" t="s">
        <v>30604</v>
      </c>
      <c r="L1550" s="1" t="s">
        <v>30605</v>
      </c>
      <c r="M1550" s="1" t="s">
        <v>30606</v>
      </c>
      <c r="N1550" s="1" t="s">
        <v>132</v>
      </c>
      <c r="O1550" s="1" t="s">
        <v>30607</v>
      </c>
      <c r="P1550" s="1" t="s">
        <v>30608</v>
      </c>
      <c r="Q1550" s="1" t="s">
        <v>132</v>
      </c>
      <c r="R1550" s="1" t="s">
        <v>30609</v>
      </c>
      <c r="S1550" s="1" t="s">
        <v>30610</v>
      </c>
      <c r="T1550" s="8" t="s">
        <v>30611</v>
      </c>
      <c r="U1550" s="1" t="s">
        <v>30612</v>
      </c>
      <c r="V1550" s="1" t="s">
        <v>30613</v>
      </c>
      <c r="W1550" s="1" t="s">
        <v>30614</v>
      </c>
      <c r="X1550" s="1" t="s">
        <v>30615</v>
      </c>
      <c r="Y1550" s="1" t="s">
        <v>30616</v>
      </c>
      <c r="Z1550" s="1" t="s">
        <v>30617</v>
      </c>
      <c r="AA1550" s="1" t="s">
        <v>30618</v>
      </c>
      <c r="AB1550" s="1" t="s">
        <v>30619</v>
      </c>
      <c r="AC1550" s="1" t="s">
        <v>30620</v>
      </c>
      <c r="AD1550" s="1" t="s">
        <v>30621</v>
      </c>
      <c r="AE1550" s="1" t="s">
        <v>30622</v>
      </c>
      <c r="AF1550" s="1" t="s">
        <v>30623</v>
      </c>
      <c r="AG1550" s="1" t="s">
        <v>30624</v>
      </c>
      <c r="AH1550" s="1" t="s">
        <v>30625</v>
      </c>
      <c r="AI1550" s="1" t="s">
        <v>30626</v>
      </c>
      <c r="AJ1550" s="1" t="s">
        <v>132</v>
      </c>
      <c r="AK1550" s="1" t="s">
        <v>30627</v>
      </c>
      <c r="AL1550" s="1" t="s">
        <v>30628</v>
      </c>
      <c r="AM1550" s="1" t="s">
        <v>132</v>
      </c>
      <c r="AN1550" s="1" t="s">
        <v>132</v>
      </c>
    </row>
    <row r="1551" ht="15.75" customHeight="1">
      <c r="A1551" s="1" t="s">
        <v>127</v>
      </c>
      <c r="B1551" s="1" t="s">
        <v>30629</v>
      </c>
      <c r="C1551" s="1" t="s">
        <v>30630</v>
      </c>
      <c r="D1551" s="8" t="s">
        <v>30631</v>
      </c>
      <c r="E1551" s="1" t="s">
        <v>30632</v>
      </c>
      <c r="F1551" s="1" t="s">
        <v>132</v>
      </c>
      <c r="G1551" s="1" t="s">
        <v>30633</v>
      </c>
      <c r="H1551" s="1" t="s">
        <v>30630</v>
      </c>
      <c r="I1551" s="1" t="s">
        <v>30630</v>
      </c>
      <c r="J1551" s="1" t="s">
        <v>30634</v>
      </c>
      <c r="K1551" s="1" t="s">
        <v>30635</v>
      </c>
      <c r="L1551" s="1" t="s">
        <v>30636</v>
      </c>
      <c r="M1551" s="1" t="s">
        <v>30630</v>
      </c>
      <c r="N1551" s="1" t="s">
        <v>132</v>
      </c>
      <c r="O1551" s="1" t="s">
        <v>30637</v>
      </c>
      <c r="P1551" s="1" t="s">
        <v>30638</v>
      </c>
      <c r="Q1551" s="1" t="s">
        <v>132</v>
      </c>
      <c r="R1551" s="1" t="s">
        <v>30639</v>
      </c>
      <c r="S1551" s="1" t="s">
        <v>30640</v>
      </c>
      <c r="T1551" s="8" t="s">
        <v>30641</v>
      </c>
      <c r="U1551" s="1" t="s">
        <v>30642</v>
      </c>
      <c r="V1551" s="1" t="s">
        <v>30643</v>
      </c>
      <c r="W1551" s="1" t="s">
        <v>30644</v>
      </c>
      <c r="X1551" s="1" t="s">
        <v>30645</v>
      </c>
      <c r="Y1551" s="1" t="s">
        <v>30646</v>
      </c>
      <c r="Z1551" s="1" t="s">
        <v>30647</v>
      </c>
      <c r="AA1551" s="1" t="s">
        <v>30648</v>
      </c>
      <c r="AB1551" s="1" t="s">
        <v>30649</v>
      </c>
      <c r="AC1551" s="1" t="s">
        <v>30632</v>
      </c>
      <c r="AD1551" s="1" t="s">
        <v>30650</v>
      </c>
      <c r="AE1551" s="1" t="s">
        <v>30651</v>
      </c>
      <c r="AF1551" s="1" t="s">
        <v>30651</v>
      </c>
      <c r="AG1551" s="1" t="s">
        <v>30630</v>
      </c>
      <c r="AH1551" s="1" t="s">
        <v>15896</v>
      </c>
      <c r="AI1551" s="1" t="s">
        <v>30652</v>
      </c>
      <c r="AJ1551" s="1" t="s">
        <v>132</v>
      </c>
      <c r="AK1551" s="1" t="s">
        <v>30653</v>
      </c>
      <c r="AL1551" s="1" t="s">
        <v>30654</v>
      </c>
      <c r="AM1551" s="1" t="s">
        <v>30655</v>
      </c>
      <c r="AN1551" s="1" t="s">
        <v>30655</v>
      </c>
    </row>
    <row r="1552" ht="15.75" customHeight="1">
      <c r="A1552" s="1" t="s">
        <v>127</v>
      </c>
      <c r="B1552" s="1" t="s">
        <v>30656</v>
      </c>
      <c r="C1552" s="1" t="s">
        <v>30657</v>
      </c>
      <c r="D1552" s="8" t="s">
        <v>30658</v>
      </c>
      <c r="E1552" s="1" t="s">
        <v>30659</v>
      </c>
      <c r="F1552" s="1" t="s">
        <v>132</v>
      </c>
      <c r="G1552" s="1" t="s">
        <v>30660</v>
      </c>
      <c r="H1552" s="1" t="s">
        <v>30661</v>
      </c>
      <c r="I1552" s="1" t="s">
        <v>30662</v>
      </c>
      <c r="J1552" s="1" t="s">
        <v>30663</v>
      </c>
      <c r="K1552" s="1" t="s">
        <v>30664</v>
      </c>
      <c r="L1552" s="1" t="s">
        <v>30665</v>
      </c>
      <c r="M1552" s="1" t="s">
        <v>30666</v>
      </c>
      <c r="N1552" s="1" t="s">
        <v>132</v>
      </c>
      <c r="O1552" s="1" t="s">
        <v>30667</v>
      </c>
      <c r="P1552" s="1" t="s">
        <v>30668</v>
      </c>
      <c r="Q1552" s="1" t="s">
        <v>132</v>
      </c>
      <c r="R1552" s="1" t="s">
        <v>30669</v>
      </c>
      <c r="S1552" s="1" t="s">
        <v>30670</v>
      </c>
      <c r="T1552" s="8" t="s">
        <v>30671</v>
      </c>
      <c r="U1552" s="1" t="s">
        <v>30672</v>
      </c>
      <c r="V1552" s="1" t="s">
        <v>30673</v>
      </c>
      <c r="W1552" s="1" t="s">
        <v>30674</v>
      </c>
      <c r="X1552" s="1" t="s">
        <v>30675</v>
      </c>
      <c r="Y1552" s="1" t="s">
        <v>30676</v>
      </c>
      <c r="Z1552" s="1" t="s">
        <v>30677</v>
      </c>
      <c r="AA1552" s="1" t="s">
        <v>30678</v>
      </c>
      <c r="AB1552" s="1" t="s">
        <v>30679</v>
      </c>
      <c r="AC1552" s="1" t="s">
        <v>30680</v>
      </c>
      <c r="AD1552" s="1" t="s">
        <v>30681</v>
      </c>
      <c r="AE1552" s="1" t="s">
        <v>30682</v>
      </c>
      <c r="AF1552" s="1" t="s">
        <v>30683</v>
      </c>
      <c r="AG1552" s="1" t="s">
        <v>30684</v>
      </c>
      <c r="AH1552" s="1" t="s">
        <v>30685</v>
      </c>
      <c r="AI1552" s="1" t="s">
        <v>30686</v>
      </c>
      <c r="AJ1552" s="1" t="s">
        <v>132</v>
      </c>
      <c r="AK1552" s="1" t="s">
        <v>30687</v>
      </c>
      <c r="AL1552" s="1" t="s">
        <v>30688</v>
      </c>
      <c r="AM1552" s="1" t="s">
        <v>132</v>
      </c>
      <c r="AN1552" s="1" t="s">
        <v>132</v>
      </c>
    </row>
    <row r="1553" ht="15.75" customHeight="1">
      <c r="A1553" s="1" t="s">
        <v>127</v>
      </c>
      <c r="B1553" s="1" t="s">
        <v>30689</v>
      </c>
      <c r="C1553" s="1" t="s">
        <v>30690</v>
      </c>
      <c r="D1553" s="8" t="s">
        <v>30691</v>
      </c>
      <c r="E1553" s="1" t="s">
        <v>30692</v>
      </c>
      <c r="F1553" s="1" t="s">
        <v>132</v>
      </c>
      <c r="G1553" s="1" t="s">
        <v>30693</v>
      </c>
      <c r="H1553" s="1" t="s">
        <v>30694</v>
      </c>
      <c r="I1553" s="1" t="s">
        <v>19877</v>
      </c>
      <c r="J1553" s="1" t="s">
        <v>30695</v>
      </c>
      <c r="K1553" s="1" t="s">
        <v>30696</v>
      </c>
      <c r="L1553" s="1" t="s">
        <v>30697</v>
      </c>
      <c r="M1553" s="1" t="s">
        <v>30698</v>
      </c>
      <c r="N1553" s="1" t="s">
        <v>132</v>
      </c>
      <c r="O1553" s="1" t="s">
        <v>30699</v>
      </c>
      <c r="P1553" s="1" t="s">
        <v>30690</v>
      </c>
      <c r="Q1553" s="1" t="s">
        <v>132</v>
      </c>
      <c r="R1553" s="1" t="s">
        <v>30700</v>
      </c>
      <c r="S1553" s="1" t="s">
        <v>30701</v>
      </c>
      <c r="T1553" s="8" t="s">
        <v>30702</v>
      </c>
      <c r="U1553" s="1" t="s">
        <v>30703</v>
      </c>
      <c r="V1553" s="1" t="s">
        <v>30704</v>
      </c>
      <c r="W1553" s="1" t="s">
        <v>30705</v>
      </c>
      <c r="X1553" s="1" t="s">
        <v>30706</v>
      </c>
      <c r="Y1553" s="1" t="s">
        <v>30707</v>
      </c>
      <c r="Z1553" s="1" t="s">
        <v>30708</v>
      </c>
      <c r="AA1553" s="1" t="s">
        <v>30709</v>
      </c>
      <c r="AB1553" s="1" t="s">
        <v>30710</v>
      </c>
      <c r="AC1553" s="1" t="s">
        <v>30711</v>
      </c>
      <c r="AD1553" s="1" t="s">
        <v>30712</v>
      </c>
      <c r="AE1553" s="1" t="s">
        <v>30713</v>
      </c>
      <c r="AF1553" s="1" t="s">
        <v>30714</v>
      </c>
      <c r="AG1553" s="1" t="s">
        <v>9844</v>
      </c>
      <c r="AH1553" s="1" t="s">
        <v>30715</v>
      </c>
      <c r="AI1553" s="1" t="s">
        <v>30716</v>
      </c>
      <c r="AJ1553" s="1" t="s">
        <v>132</v>
      </c>
      <c r="AK1553" s="1" t="s">
        <v>30717</v>
      </c>
      <c r="AL1553" s="1" t="s">
        <v>30718</v>
      </c>
      <c r="AM1553" s="1" t="s">
        <v>30719</v>
      </c>
      <c r="AN1553" s="1" t="s">
        <v>30719</v>
      </c>
    </row>
    <row r="1554" ht="15.75" customHeight="1">
      <c r="A1554" s="1" t="s">
        <v>38</v>
      </c>
      <c r="B1554" s="1" t="s">
        <v>30720</v>
      </c>
      <c r="C1554" s="1" t="s">
        <v>30721</v>
      </c>
      <c r="D1554" s="1" t="s">
        <v>132</v>
      </c>
      <c r="E1554" s="1" t="s">
        <v>132</v>
      </c>
      <c r="F1554" s="1" t="s">
        <v>132</v>
      </c>
      <c r="G1554" s="1" t="s">
        <v>132</v>
      </c>
      <c r="H1554" s="1" t="s">
        <v>132</v>
      </c>
      <c r="I1554" s="1" t="s">
        <v>30721</v>
      </c>
      <c r="J1554" s="1" t="s">
        <v>132</v>
      </c>
      <c r="K1554" s="1" t="s">
        <v>30721</v>
      </c>
      <c r="L1554" s="1" t="s">
        <v>132</v>
      </c>
      <c r="M1554" s="1" t="s">
        <v>30721</v>
      </c>
      <c r="N1554" s="1" t="s">
        <v>132</v>
      </c>
      <c r="O1554" s="1" t="s">
        <v>132</v>
      </c>
      <c r="P1554" s="1" t="s">
        <v>30721</v>
      </c>
      <c r="Q1554" s="1" t="s">
        <v>132</v>
      </c>
      <c r="R1554" s="1" t="s">
        <v>132</v>
      </c>
      <c r="S1554" s="1" t="s">
        <v>132</v>
      </c>
      <c r="T1554" s="1" t="s">
        <v>132</v>
      </c>
      <c r="U1554" s="1" t="s">
        <v>132</v>
      </c>
      <c r="V1554" s="1" t="s">
        <v>132</v>
      </c>
      <c r="W1554" s="1" t="s">
        <v>132</v>
      </c>
      <c r="X1554" s="1" t="s">
        <v>132</v>
      </c>
      <c r="Y1554" s="1" t="s">
        <v>132</v>
      </c>
      <c r="Z1554" s="1" t="s">
        <v>132</v>
      </c>
      <c r="AA1554" s="1" t="s">
        <v>132</v>
      </c>
      <c r="AB1554" s="1" t="s">
        <v>132</v>
      </c>
      <c r="AC1554" s="1" t="s">
        <v>30722</v>
      </c>
      <c r="AD1554" s="1" t="s">
        <v>132</v>
      </c>
      <c r="AE1554" s="1" t="s">
        <v>132</v>
      </c>
      <c r="AF1554" s="1" t="s">
        <v>30723</v>
      </c>
      <c r="AG1554" s="1" t="s">
        <v>132</v>
      </c>
      <c r="AH1554" s="1" t="s">
        <v>132</v>
      </c>
      <c r="AI1554" s="1" t="s">
        <v>132</v>
      </c>
      <c r="AJ1554" s="1" t="s">
        <v>132</v>
      </c>
      <c r="AK1554" s="1" t="s">
        <v>132</v>
      </c>
      <c r="AL1554" s="1" t="s">
        <v>132</v>
      </c>
      <c r="AM1554" s="1" t="s">
        <v>132</v>
      </c>
      <c r="AN1554" s="1" t="s">
        <v>132</v>
      </c>
    </row>
    <row r="1555" ht="15.75" customHeight="1">
      <c r="A1555" s="1" t="s">
        <v>127</v>
      </c>
      <c r="B1555" s="1" t="s">
        <v>30724</v>
      </c>
      <c r="C1555" s="1" t="s">
        <v>30725</v>
      </c>
      <c r="D1555" s="8" t="s">
        <v>30726</v>
      </c>
      <c r="E1555" s="1" t="s">
        <v>30727</v>
      </c>
      <c r="F1555" s="1" t="s">
        <v>132</v>
      </c>
      <c r="G1555" s="1" t="s">
        <v>30728</v>
      </c>
      <c r="H1555" s="1" t="s">
        <v>30729</v>
      </c>
      <c r="I1555" s="1" t="s">
        <v>30730</v>
      </c>
      <c r="J1555" s="1" t="s">
        <v>30731</v>
      </c>
      <c r="K1555" s="1" t="s">
        <v>30732</v>
      </c>
      <c r="L1555" s="1" t="s">
        <v>30733</v>
      </c>
      <c r="M1555" s="1" t="s">
        <v>30734</v>
      </c>
      <c r="N1555" s="1" t="s">
        <v>132</v>
      </c>
      <c r="O1555" s="1" t="s">
        <v>30735</v>
      </c>
      <c r="P1555" s="1" t="s">
        <v>30736</v>
      </c>
      <c r="Q1555" s="1" t="s">
        <v>132</v>
      </c>
      <c r="R1555" s="1" t="s">
        <v>30737</v>
      </c>
      <c r="S1555" s="1" t="s">
        <v>30738</v>
      </c>
      <c r="T1555" s="8" t="s">
        <v>30739</v>
      </c>
      <c r="U1555" s="1" t="s">
        <v>30740</v>
      </c>
      <c r="V1555" s="1" t="s">
        <v>30741</v>
      </c>
      <c r="W1555" s="1" t="s">
        <v>30742</v>
      </c>
      <c r="X1555" s="1" t="s">
        <v>30743</v>
      </c>
      <c r="Y1555" s="1" t="s">
        <v>30744</v>
      </c>
      <c r="Z1555" s="1" t="s">
        <v>30745</v>
      </c>
      <c r="AA1555" s="1" t="s">
        <v>30746</v>
      </c>
      <c r="AB1555" s="1" t="s">
        <v>30747</v>
      </c>
      <c r="AC1555" s="1" t="s">
        <v>30748</v>
      </c>
      <c r="AD1555" s="1" t="s">
        <v>30749</v>
      </c>
      <c r="AE1555" s="1" t="s">
        <v>30750</v>
      </c>
      <c r="AF1555" s="1" t="s">
        <v>30751</v>
      </c>
      <c r="AG1555" s="1" t="s">
        <v>30752</v>
      </c>
      <c r="AH1555" s="1" t="s">
        <v>30753</v>
      </c>
      <c r="AI1555" s="1" t="s">
        <v>30754</v>
      </c>
      <c r="AJ1555" s="1" t="s">
        <v>132</v>
      </c>
      <c r="AK1555" s="1" t="s">
        <v>30755</v>
      </c>
      <c r="AL1555" s="1" t="s">
        <v>30756</v>
      </c>
      <c r="AM1555" s="1" t="s">
        <v>132</v>
      </c>
      <c r="AN1555" s="1" t="s">
        <v>132</v>
      </c>
    </row>
    <row r="1556" ht="15.75" customHeight="1">
      <c r="A1556" s="1" t="s">
        <v>127</v>
      </c>
      <c r="B1556" s="1" t="s">
        <v>30757</v>
      </c>
      <c r="C1556" s="1" t="s">
        <v>30758</v>
      </c>
      <c r="D1556" s="8" t="s">
        <v>30759</v>
      </c>
      <c r="E1556" s="1" t="s">
        <v>30760</v>
      </c>
      <c r="F1556" s="1" t="s">
        <v>132</v>
      </c>
      <c r="G1556" s="1" t="s">
        <v>30761</v>
      </c>
      <c r="H1556" s="1" t="s">
        <v>30762</v>
      </c>
      <c r="I1556" s="1" t="s">
        <v>30763</v>
      </c>
      <c r="J1556" s="1" t="s">
        <v>30764</v>
      </c>
      <c r="K1556" s="1" t="s">
        <v>30765</v>
      </c>
      <c r="L1556" s="1" t="s">
        <v>30766</v>
      </c>
      <c r="M1556" s="1" t="s">
        <v>30767</v>
      </c>
      <c r="N1556" s="1" t="s">
        <v>132</v>
      </c>
      <c r="O1556" s="1" t="s">
        <v>30768</v>
      </c>
      <c r="P1556" s="1" t="s">
        <v>30769</v>
      </c>
      <c r="Q1556" s="1" t="s">
        <v>132</v>
      </c>
      <c r="R1556" s="1" t="s">
        <v>30770</v>
      </c>
      <c r="S1556" s="1" t="s">
        <v>30771</v>
      </c>
      <c r="T1556" s="8" t="s">
        <v>30772</v>
      </c>
      <c r="U1556" s="1" t="s">
        <v>30773</v>
      </c>
      <c r="V1556" s="1" t="s">
        <v>30774</v>
      </c>
      <c r="W1556" s="1" t="s">
        <v>30775</v>
      </c>
      <c r="X1556" s="1" t="s">
        <v>30776</v>
      </c>
      <c r="Y1556" s="1" t="s">
        <v>30777</v>
      </c>
      <c r="Z1556" s="1" t="s">
        <v>30778</v>
      </c>
      <c r="AA1556" s="1" t="s">
        <v>30765</v>
      </c>
      <c r="AB1556" s="1" t="s">
        <v>30779</v>
      </c>
      <c r="AC1556" s="1" t="s">
        <v>30780</v>
      </c>
      <c r="AD1556" s="1" t="s">
        <v>30781</v>
      </c>
      <c r="AE1556" s="1" t="s">
        <v>30782</v>
      </c>
      <c r="AF1556" s="1" t="s">
        <v>30783</v>
      </c>
      <c r="AG1556" s="1" t="s">
        <v>30784</v>
      </c>
      <c r="AH1556" s="1" t="s">
        <v>30785</v>
      </c>
      <c r="AI1556" s="1" t="s">
        <v>30786</v>
      </c>
      <c r="AJ1556" s="1" t="s">
        <v>132</v>
      </c>
      <c r="AK1556" s="1" t="s">
        <v>30787</v>
      </c>
      <c r="AL1556" s="1" t="s">
        <v>30788</v>
      </c>
      <c r="AM1556" s="1" t="s">
        <v>30789</v>
      </c>
      <c r="AN1556" s="1" t="s">
        <v>30789</v>
      </c>
    </row>
    <row r="1557" ht="15.75" customHeight="1">
      <c r="A1557" s="1" t="s">
        <v>38</v>
      </c>
      <c r="B1557" s="1" t="s">
        <v>30790</v>
      </c>
      <c r="C1557" s="1" t="s">
        <v>30791</v>
      </c>
      <c r="D1557" s="1" t="s">
        <v>132</v>
      </c>
      <c r="E1557" s="1" t="s">
        <v>132</v>
      </c>
      <c r="F1557" s="1" t="s">
        <v>132</v>
      </c>
      <c r="G1557" s="1" t="s">
        <v>132</v>
      </c>
      <c r="H1557" s="1" t="s">
        <v>132</v>
      </c>
      <c r="I1557" s="1" t="s">
        <v>30791</v>
      </c>
      <c r="J1557" s="1" t="s">
        <v>132</v>
      </c>
      <c r="K1557" s="1" t="s">
        <v>30792</v>
      </c>
      <c r="L1557" s="1" t="s">
        <v>132</v>
      </c>
      <c r="M1557" s="1" t="s">
        <v>30793</v>
      </c>
      <c r="N1557" s="1" t="s">
        <v>132</v>
      </c>
      <c r="O1557" s="1" t="s">
        <v>132</v>
      </c>
      <c r="P1557" s="1" t="s">
        <v>30794</v>
      </c>
      <c r="Q1557" s="1" t="s">
        <v>132</v>
      </c>
      <c r="R1557" s="1" t="s">
        <v>132</v>
      </c>
      <c r="S1557" s="1" t="s">
        <v>132</v>
      </c>
      <c r="T1557" s="1" t="s">
        <v>132</v>
      </c>
      <c r="U1557" s="1" t="s">
        <v>132</v>
      </c>
      <c r="V1557" s="1" t="s">
        <v>132</v>
      </c>
      <c r="W1557" s="1" t="s">
        <v>132</v>
      </c>
      <c r="X1557" s="1" t="s">
        <v>132</v>
      </c>
      <c r="Y1557" s="1" t="s">
        <v>132</v>
      </c>
      <c r="Z1557" s="1" t="s">
        <v>132</v>
      </c>
      <c r="AA1557" s="1" t="s">
        <v>132</v>
      </c>
      <c r="AB1557" s="1" t="s">
        <v>132</v>
      </c>
      <c r="AC1557" s="1" t="s">
        <v>30795</v>
      </c>
      <c r="AD1557" s="1" t="s">
        <v>132</v>
      </c>
      <c r="AE1557" s="1" t="s">
        <v>132</v>
      </c>
      <c r="AF1557" s="1" t="s">
        <v>22341</v>
      </c>
      <c r="AG1557" s="1" t="s">
        <v>132</v>
      </c>
      <c r="AH1557" s="1" t="s">
        <v>132</v>
      </c>
      <c r="AI1557" s="1" t="s">
        <v>132</v>
      </c>
      <c r="AJ1557" s="1" t="s">
        <v>132</v>
      </c>
      <c r="AK1557" s="1" t="s">
        <v>132</v>
      </c>
      <c r="AL1557" s="1" t="s">
        <v>132</v>
      </c>
      <c r="AM1557" s="1" t="s">
        <v>132</v>
      </c>
      <c r="AN1557" s="1" t="s">
        <v>132</v>
      </c>
    </row>
    <row r="1558" ht="15.75" customHeight="1">
      <c r="A1558" s="1" t="s">
        <v>127</v>
      </c>
      <c r="B1558" s="1" t="s">
        <v>30796</v>
      </c>
      <c r="C1558" s="1" t="s">
        <v>30797</v>
      </c>
      <c r="D1558" s="8" t="s">
        <v>11103</v>
      </c>
      <c r="E1558" s="1" t="s">
        <v>30798</v>
      </c>
      <c r="F1558" s="1" t="s">
        <v>132</v>
      </c>
      <c r="G1558" s="1" t="s">
        <v>30799</v>
      </c>
      <c r="H1558" s="1" t="s">
        <v>30800</v>
      </c>
      <c r="I1558" s="1" t="s">
        <v>30801</v>
      </c>
      <c r="J1558" s="1" t="s">
        <v>30802</v>
      </c>
      <c r="K1558" s="1" t="s">
        <v>30797</v>
      </c>
      <c r="L1558" s="1" t="s">
        <v>30803</v>
      </c>
      <c r="M1558" s="1" t="s">
        <v>30797</v>
      </c>
      <c r="N1558" s="1" t="s">
        <v>132</v>
      </c>
      <c r="O1558" s="1" t="s">
        <v>30804</v>
      </c>
      <c r="P1558" s="1" t="s">
        <v>30797</v>
      </c>
      <c r="Q1558" s="1" t="s">
        <v>132</v>
      </c>
      <c r="R1558" s="1" t="s">
        <v>30805</v>
      </c>
      <c r="S1558" s="1" t="s">
        <v>30806</v>
      </c>
      <c r="T1558" s="8" t="s">
        <v>30807</v>
      </c>
      <c r="U1558" s="1" t="s">
        <v>11109</v>
      </c>
      <c r="V1558" s="1" t="s">
        <v>11110</v>
      </c>
      <c r="W1558" s="1" t="s">
        <v>30808</v>
      </c>
      <c r="X1558" s="1" t="s">
        <v>30809</v>
      </c>
      <c r="Y1558" s="1" t="s">
        <v>30810</v>
      </c>
      <c r="Z1558" s="1" t="s">
        <v>30811</v>
      </c>
      <c r="AA1558" s="1" t="s">
        <v>30812</v>
      </c>
      <c r="AB1558" s="1" t="s">
        <v>30813</v>
      </c>
      <c r="AC1558" s="1" t="s">
        <v>30814</v>
      </c>
      <c r="AD1558" s="1" t="s">
        <v>30815</v>
      </c>
      <c r="AE1558" s="1" t="s">
        <v>30799</v>
      </c>
      <c r="AF1558" s="1" t="s">
        <v>30797</v>
      </c>
      <c r="AG1558" s="1" t="s">
        <v>30816</v>
      </c>
      <c r="AH1558" s="1" t="s">
        <v>11114</v>
      </c>
      <c r="AI1558" s="1" t="s">
        <v>30817</v>
      </c>
      <c r="AJ1558" s="1" t="s">
        <v>132</v>
      </c>
      <c r="AK1558" s="1" t="s">
        <v>11116</v>
      </c>
      <c r="AL1558" s="1" t="s">
        <v>11117</v>
      </c>
      <c r="AM1558" s="1" t="s">
        <v>11118</v>
      </c>
      <c r="AN1558" s="1" t="s">
        <v>11118</v>
      </c>
    </row>
    <row r="1559" ht="15.75" customHeight="1">
      <c r="A1559" s="1" t="s">
        <v>38</v>
      </c>
      <c r="B1559" s="1" t="s">
        <v>30818</v>
      </c>
      <c r="C1559" s="1" t="s">
        <v>30819</v>
      </c>
      <c r="D1559" s="8" t="s">
        <v>30820</v>
      </c>
      <c r="E1559" s="1" t="s">
        <v>30821</v>
      </c>
      <c r="F1559" s="1" t="s">
        <v>30822</v>
      </c>
      <c r="G1559" s="1" t="s">
        <v>132</v>
      </c>
      <c r="H1559" s="1" t="s">
        <v>132</v>
      </c>
      <c r="I1559" s="1" t="s">
        <v>30823</v>
      </c>
      <c r="J1559" s="1" t="s">
        <v>132</v>
      </c>
      <c r="K1559" s="1" t="s">
        <v>30824</v>
      </c>
      <c r="L1559" s="1" t="s">
        <v>132</v>
      </c>
      <c r="M1559" s="1" t="s">
        <v>30825</v>
      </c>
      <c r="N1559" s="1" t="s">
        <v>30824</v>
      </c>
      <c r="O1559" s="1" t="s">
        <v>132</v>
      </c>
      <c r="P1559" s="1" t="s">
        <v>30826</v>
      </c>
      <c r="Q1559" s="1" t="s">
        <v>30827</v>
      </c>
      <c r="R1559" s="1" t="s">
        <v>132</v>
      </c>
      <c r="S1559" s="1" t="s">
        <v>30828</v>
      </c>
      <c r="T1559" s="1" t="s">
        <v>132</v>
      </c>
      <c r="U1559" s="1" t="s">
        <v>30829</v>
      </c>
      <c r="V1559" s="1" t="s">
        <v>30830</v>
      </c>
      <c r="W1559" s="1" t="s">
        <v>132</v>
      </c>
      <c r="X1559" s="1" t="s">
        <v>30831</v>
      </c>
      <c r="Y1559" s="1" t="s">
        <v>132</v>
      </c>
      <c r="Z1559" s="1" t="s">
        <v>30832</v>
      </c>
      <c r="AA1559" s="1" t="s">
        <v>30824</v>
      </c>
      <c r="AB1559" s="1" t="s">
        <v>132</v>
      </c>
      <c r="AC1559" s="1" t="s">
        <v>30833</v>
      </c>
      <c r="AD1559" s="1" t="s">
        <v>30834</v>
      </c>
      <c r="AE1559" s="1" t="s">
        <v>132</v>
      </c>
      <c r="AF1559" s="1" t="s">
        <v>30835</v>
      </c>
      <c r="AG1559" s="1" t="s">
        <v>30836</v>
      </c>
      <c r="AH1559" s="1" t="s">
        <v>132</v>
      </c>
      <c r="AI1559" s="1" t="s">
        <v>132</v>
      </c>
      <c r="AJ1559" s="1" t="s">
        <v>30837</v>
      </c>
      <c r="AK1559" s="1" t="s">
        <v>3033</v>
      </c>
      <c r="AL1559" s="1" t="s">
        <v>132</v>
      </c>
      <c r="AM1559" s="1" t="s">
        <v>30838</v>
      </c>
      <c r="AN1559" s="1" t="s">
        <v>30838</v>
      </c>
    </row>
    <row r="1560" ht="15.75" customHeight="1">
      <c r="A1560" s="1" t="s">
        <v>127</v>
      </c>
      <c r="B1560" s="1" t="s">
        <v>30839</v>
      </c>
      <c r="C1560" s="1" t="s">
        <v>23497</v>
      </c>
      <c r="D1560" s="8" t="s">
        <v>23498</v>
      </c>
      <c r="E1560" s="1" t="s">
        <v>23499</v>
      </c>
      <c r="F1560" s="1" t="s">
        <v>132</v>
      </c>
      <c r="G1560" s="1" t="s">
        <v>23500</v>
      </c>
      <c r="H1560" s="1" t="s">
        <v>23497</v>
      </c>
      <c r="I1560" s="1" t="s">
        <v>23497</v>
      </c>
      <c r="J1560" s="1" t="s">
        <v>23501</v>
      </c>
      <c r="K1560" s="1" t="s">
        <v>30840</v>
      </c>
      <c r="L1560" s="1" t="s">
        <v>23497</v>
      </c>
      <c r="M1560" s="1" t="s">
        <v>23497</v>
      </c>
      <c r="N1560" s="1" t="s">
        <v>132</v>
      </c>
      <c r="O1560" s="1" t="s">
        <v>23503</v>
      </c>
      <c r="P1560" s="1" t="s">
        <v>23497</v>
      </c>
      <c r="Q1560" s="1" t="s">
        <v>132</v>
      </c>
      <c r="R1560" s="1" t="s">
        <v>23497</v>
      </c>
      <c r="S1560" s="1" t="s">
        <v>23497</v>
      </c>
      <c r="T1560" s="8" t="s">
        <v>23504</v>
      </c>
      <c r="U1560" s="1" t="s">
        <v>23505</v>
      </c>
      <c r="V1560" s="1" t="s">
        <v>23506</v>
      </c>
      <c r="W1560" s="1" t="s">
        <v>23497</v>
      </c>
      <c r="X1560" s="1" t="s">
        <v>23497</v>
      </c>
      <c r="Y1560" s="1" t="s">
        <v>23497</v>
      </c>
      <c r="Z1560" s="1" t="s">
        <v>23497</v>
      </c>
      <c r="AA1560" s="1" t="s">
        <v>23497</v>
      </c>
      <c r="AB1560" s="1" t="s">
        <v>23497</v>
      </c>
      <c r="AC1560" s="1" t="s">
        <v>23508</v>
      </c>
      <c r="AD1560" s="1" t="s">
        <v>23509</v>
      </c>
      <c r="AE1560" s="1" t="s">
        <v>23510</v>
      </c>
      <c r="AF1560" s="1" t="s">
        <v>23497</v>
      </c>
      <c r="AG1560" s="1" t="s">
        <v>23497</v>
      </c>
      <c r="AH1560" s="1" t="s">
        <v>23511</v>
      </c>
      <c r="AI1560" s="1" t="s">
        <v>23497</v>
      </c>
      <c r="AJ1560" s="1" t="s">
        <v>132</v>
      </c>
      <c r="AK1560" s="1" t="s">
        <v>23512</v>
      </c>
      <c r="AL1560" s="1" t="s">
        <v>23513</v>
      </c>
      <c r="AM1560" s="1" t="s">
        <v>23514</v>
      </c>
      <c r="AN1560" s="1" t="s">
        <v>23514</v>
      </c>
    </row>
    <row r="1561" ht="15.75" customHeight="1">
      <c r="A1561" s="1" t="s">
        <v>38</v>
      </c>
      <c r="B1561" s="1" t="s">
        <v>30841</v>
      </c>
      <c r="C1561" s="1" t="s">
        <v>30842</v>
      </c>
      <c r="D1561" s="1" t="s">
        <v>132</v>
      </c>
      <c r="E1561" s="1" t="s">
        <v>30843</v>
      </c>
      <c r="F1561" s="1" t="s">
        <v>132</v>
      </c>
      <c r="G1561" s="1" t="s">
        <v>132</v>
      </c>
      <c r="H1561" s="1" t="s">
        <v>132</v>
      </c>
      <c r="I1561" s="1" t="s">
        <v>30844</v>
      </c>
      <c r="J1561" s="1" t="s">
        <v>132</v>
      </c>
      <c r="K1561" s="1" t="s">
        <v>30845</v>
      </c>
      <c r="L1561" s="1" t="s">
        <v>132</v>
      </c>
      <c r="M1561" s="1" t="s">
        <v>30846</v>
      </c>
      <c r="N1561" s="1" t="s">
        <v>30847</v>
      </c>
      <c r="O1561" s="1" t="s">
        <v>132</v>
      </c>
      <c r="P1561" s="1" t="s">
        <v>30848</v>
      </c>
      <c r="Q1561" s="1" t="s">
        <v>132</v>
      </c>
      <c r="R1561" s="1" t="s">
        <v>132</v>
      </c>
      <c r="S1561" s="1" t="s">
        <v>30849</v>
      </c>
      <c r="T1561" s="1" t="s">
        <v>132</v>
      </c>
      <c r="U1561" s="1" t="s">
        <v>132</v>
      </c>
      <c r="V1561" s="1" t="s">
        <v>132</v>
      </c>
      <c r="W1561" s="1" t="s">
        <v>132</v>
      </c>
      <c r="X1561" s="1" t="s">
        <v>30850</v>
      </c>
      <c r="Y1561" s="1" t="s">
        <v>132</v>
      </c>
      <c r="Z1561" s="1" t="s">
        <v>30851</v>
      </c>
      <c r="AA1561" s="1" t="s">
        <v>132</v>
      </c>
      <c r="AB1561" s="1" t="s">
        <v>132</v>
      </c>
      <c r="AC1561" s="1" t="s">
        <v>132</v>
      </c>
      <c r="AD1561" s="1" t="s">
        <v>132</v>
      </c>
      <c r="AE1561" s="1" t="s">
        <v>132</v>
      </c>
      <c r="AF1561" s="1" t="s">
        <v>132</v>
      </c>
      <c r="AG1561" s="1" t="s">
        <v>132</v>
      </c>
      <c r="AH1561" s="1" t="s">
        <v>132</v>
      </c>
      <c r="AI1561" s="1" t="s">
        <v>132</v>
      </c>
      <c r="AJ1561" s="1" t="s">
        <v>132</v>
      </c>
      <c r="AK1561" s="1" t="s">
        <v>132</v>
      </c>
      <c r="AL1561" s="1" t="s">
        <v>132</v>
      </c>
      <c r="AM1561" s="1" t="s">
        <v>132</v>
      </c>
      <c r="AN1561" s="1" t="s">
        <v>132</v>
      </c>
    </row>
    <row r="1562" ht="15.75" customHeight="1">
      <c r="A1562" s="1" t="s">
        <v>127</v>
      </c>
      <c r="B1562" s="1" t="s">
        <v>30852</v>
      </c>
      <c r="C1562" s="1" t="s">
        <v>30853</v>
      </c>
      <c r="D1562" s="8" t="s">
        <v>30854</v>
      </c>
      <c r="E1562" s="1" t="s">
        <v>30855</v>
      </c>
      <c r="F1562" s="1" t="s">
        <v>132</v>
      </c>
      <c r="G1562" s="1" t="s">
        <v>30856</v>
      </c>
      <c r="H1562" s="1" t="s">
        <v>30857</v>
      </c>
      <c r="I1562" s="1" t="s">
        <v>30858</v>
      </c>
      <c r="J1562" s="1" t="s">
        <v>30859</v>
      </c>
      <c r="K1562" s="1" t="s">
        <v>30860</v>
      </c>
      <c r="L1562" s="1" t="s">
        <v>30861</v>
      </c>
      <c r="M1562" s="1" t="s">
        <v>30862</v>
      </c>
      <c r="N1562" s="1" t="s">
        <v>132</v>
      </c>
      <c r="O1562" s="1" t="s">
        <v>30863</v>
      </c>
      <c r="P1562" s="1" t="s">
        <v>30864</v>
      </c>
      <c r="Q1562" s="1" t="s">
        <v>132</v>
      </c>
      <c r="R1562" s="1" t="s">
        <v>30865</v>
      </c>
      <c r="S1562" s="1" t="s">
        <v>30866</v>
      </c>
      <c r="T1562" s="8" t="s">
        <v>30867</v>
      </c>
      <c r="U1562" s="1" t="s">
        <v>30868</v>
      </c>
      <c r="V1562" s="1" t="s">
        <v>30869</v>
      </c>
      <c r="W1562" s="1" t="s">
        <v>30865</v>
      </c>
      <c r="X1562" s="1" t="s">
        <v>30870</v>
      </c>
      <c r="Y1562" s="1" t="s">
        <v>30871</v>
      </c>
      <c r="Z1562" s="1" t="s">
        <v>30872</v>
      </c>
      <c r="AA1562" s="1" t="s">
        <v>30873</v>
      </c>
      <c r="AB1562" s="1" t="s">
        <v>30874</v>
      </c>
      <c r="AC1562" s="1" t="s">
        <v>30875</v>
      </c>
      <c r="AD1562" s="1" t="s">
        <v>30876</v>
      </c>
      <c r="AE1562" s="1" t="s">
        <v>30877</v>
      </c>
      <c r="AF1562" s="1" t="s">
        <v>30878</v>
      </c>
      <c r="AG1562" s="1" t="s">
        <v>30879</v>
      </c>
      <c r="AH1562" s="1" t="s">
        <v>30880</v>
      </c>
      <c r="AI1562" s="1" t="s">
        <v>30881</v>
      </c>
      <c r="AJ1562" s="1" t="s">
        <v>132</v>
      </c>
      <c r="AK1562" s="1" t="s">
        <v>30882</v>
      </c>
      <c r="AL1562" s="1" t="s">
        <v>30883</v>
      </c>
      <c r="AM1562" s="1" t="s">
        <v>30884</v>
      </c>
      <c r="AN1562" s="1" t="s">
        <v>30884</v>
      </c>
    </row>
    <row r="1563" ht="15.75" customHeight="1">
      <c r="A1563" s="1" t="s">
        <v>127</v>
      </c>
      <c r="B1563" s="1" t="s">
        <v>30885</v>
      </c>
      <c r="C1563" s="1" t="s">
        <v>11620</v>
      </c>
      <c r="D1563" s="8" t="s">
        <v>30886</v>
      </c>
      <c r="E1563" s="1" t="s">
        <v>22164</v>
      </c>
      <c r="F1563" s="1" t="s">
        <v>132</v>
      </c>
      <c r="G1563" s="1" t="s">
        <v>30887</v>
      </c>
      <c r="H1563" s="1" t="s">
        <v>30888</v>
      </c>
      <c r="I1563" s="1" t="s">
        <v>22165</v>
      </c>
      <c r="J1563" s="1" t="s">
        <v>30889</v>
      </c>
      <c r="K1563" s="1" t="s">
        <v>11620</v>
      </c>
      <c r="L1563" s="1" t="s">
        <v>30890</v>
      </c>
      <c r="M1563" s="1" t="s">
        <v>22166</v>
      </c>
      <c r="N1563" s="1" t="s">
        <v>132</v>
      </c>
      <c r="O1563" s="1" t="s">
        <v>30891</v>
      </c>
      <c r="P1563" s="1" t="s">
        <v>22168</v>
      </c>
      <c r="Q1563" s="1" t="s">
        <v>132</v>
      </c>
      <c r="R1563" s="1" t="s">
        <v>30892</v>
      </c>
      <c r="S1563" s="1" t="s">
        <v>22169</v>
      </c>
      <c r="T1563" s="8" t="s">
        <v>30893</v>
      </c>
      <c r="U1563" s="1" t="s">
        <v>30894</v>
      </c>
      <c r="V1563" s="1" t="s">
        <v>30895</v>
      </c>
      <c r="W1563" s="1" t="s">
        <v>30892</v>
      </c>
      <c r="X1563" s="1" t="s">
        <v>22170</v>
      </c>
      <c r="Y1563" s="1" t="s">
        <v>30896</v>
      </c>
      <c r="Z1563" s="1" t="s">
        <v>22171</v>
      </c>
      <c r="AA1563" s="1" t="s">
        <v>22172</v>
      </c>
      <c r="AB1563" s="1" t="s">
        <v>30897</v>
      </c>
      <c r="AC1563" s="1" t="s">
        <v>22173</v>
      </c>
      <c r="AD1563" s="1" t="s">
        <v>30887</v>
      </c>
      <c r="AE1563" s="1" t="s">
        <v>30898</v>
      </c>
      <c r="AF1563" s="1" t="s">
        <v>30899</v>
      </c>
      <c r="AG1563" s="1" t="s">
        <v>30900</v>
      </c>
      <c r="AH1563" s="1" t="s">
        <v>30901</v>
      </c>
      <c r="AI1563" s="1" t="s">
        <v>30902</v>
      </c>
      <c r="AJ1563" s="1" t="s">
        <v>132</v>
      </c>
      <c r="AK1563" s="1" t="s">
        <v>30903</v>
      </c>
      <c r="AL1563" s="1" t="s">
        <v>30904</v>
      </c>
      <c r="AM1563" s="1" t="s">
        <v>30905</v>
      </c>
      <c r="AN1563" s="1" t="s">
        <v>30905</v>
      </c>
    </row>
    <row r="1564" ht="15.75" customHeight="1">
      <c r="A1564" s="1" t="s">
        <v>127</v>
      </c>
      <c r="B1564" s="1" t="s">
        <v>30906</v>
      </c>
      <c r="C1564" s="1" t="s">
        <v>30907</v>
      </c>
      <c r="D1564" s="8" t="s">
        <v>11138</v>
      </c>
      <c r="E1564" s="1" t="s">
        <v>11139</v>
      </c>
      <c r="F1564" s="1" t="s">
        <v>132</v>
      </c>
      <c r="G1564" s="1" t="s">
        <v>30908</v>
      </c>
      <c r="H1564" s="1" t="s">
        <v>30909</v>
      </c>
      <c r="I1564" s="1" t="s">
        <v>30907</v>
      </c>
      <c r="J1564" s="1" t="s">
        <v>11140</v>
      </c>
      <c r="K1564" s="1" t="s">
        <v>30907</v>
      </c>
      <c r="L1564" s="1" t="s">
        <v>11141</v>
      </c>
      <c r="M1564" s="1" t="s">
        <v>30907</v>
      </c>
      <c r="N1564" s="1" t="s">
        <v>132</v>
      </c>
      <c r="O1564" s="1" t="s">
        <v>11142</v>
      </c>
      <c r="P1564" s="1" t="s">
        <v>30907</v>
      </c>
      <c r="Q1564" s="1" t="s">
        <v>132</v>
      </c>
      <c r="R1564" s="1" t="s">
        <v>11143</v>
      </c>
      <c r="S1564" s="1" t="s">
        <v>30910</v>
      </c>
      <c r="T1564" s="8" t="s">
        <v>11144</v>
      </c>
      <c r="U1564" s="1" t="s">
        <v>11145</v>
      </c>
      <c r="V1564" s="1" t="s">
        <v>11146</v>
      </c>
      <c r="W1564" s="1" t="s">
        <v>11147</v>
      </c>
      <c r="X1564" s="1" t="s">
        <v>30911</v>
      </c>
      <c r="Y1564" s="1" t="s">
        <v>30912</v>
      </c>
      <c r="Z1564" s="1" t="s">
        <v>30908</v>
      </c>
      <c r="AA1564" s="1" t="s">
        <v>30910</v>
      </c>
      <c r="AB1564" s="1" t="s">
        <v>30913</v>
      </c>
      <c r="AC1564" s="1" t="s">
        <v>11139</v>
      </c>
      <c r="AD1564" s="1" t="s">
        <v>11149</v>
      </c>
      <c r="AE1564" s="1" t="s">
        <v>30908</v>
      </c>
      <c r="AF1564" s="1" t="s">
        <v>30907</v>
      </c>
      <c r="AG1564" s="1" t="s">
        <v>30909</v>
      </c>
      <c r="AH1564" s="1" t="s">
        <v>11150</v>
      </c>
      <c r="AI1564" s="1" t="s">
        <v>30914</v>
      </c>
      <c r="AJ1564" s="1" t="s">
        <v>132</v>
      </c>
      <c r="AK1564" s="1" t="s">
        <v>11152</v>
      </c>
      <c r="AL1564" s="1" t="s">
        <v>11153</v>
      </c>
      <c r="AM1564" s="1" t="s">
        <v>11154</v>
      </c>
      <c r="AN1564" s="1" t="s">
        <v>11154</v>
      </c>
    </row>
    <row r="1565" ht="15.75" customHeight="1">
      <c r="A1565" s="1" t="s">
        <v>127</v>
      </c>
      <c r="B1565" s="1" t="s">
        <v>30915</v>
      </c>
      <c r="C1565" s="1" t="s">
        <v>30916</v>
      </c>
      <c r="D1565" s="8" t="s">
        <v>30917</v>
      </c>
      <c r="E1565" s="1" t="s">
        <v>30918</v>
      </c>
      <c r="F1565" s="1" t="s">
        <v>132</v>
      </c>
      <c r="G1565" s="1" t="s">
        <v>30919</v>
      </c>
      <c r="H1565" s="1" t="s">
        <v>30920</v>
      </c>
      <c r="I1565" s="1" t="s">
        <v>30921</v>
      </c>
      <c r="J1565" s="1" t="s">
        <v>30922</v>
      </c>
      <c r="K1565" s="1" t="s">
        <v>30923</v>
      </c>
      <c r="L1565" s="1" t="s">
        <v>30924</v>
      </c>
      <c r="M1565" s="1" t="s">
        <v>30925</v>
      </c>
      <c r="N1565" s="1" t="s">
        <v>132</v>
      </c>
      <c r="O1565" s="1" t="s">
        <v>30926</v>
      </c>
      <c r="P1565" s="1" t="s">
        <v>30916</v>
      </c>
      <c r="Q1565" s="1" t="s">
        <v>132</v>
      </c>
      <c r="R1565" s="1" t="s">
        <v>30927</v>
      </c>
      <c r="S1565" s="1" t="s">
        <v>30928</v>
      </c>
      <c r="T1565" s="8" t="s">
        <v>30929</v>
      </c>
      <c r="U1565" s="1" t="s">
        <v>30930</v>
      </c>
      <c r="V1565" s="1" t="s">
        <v>30931</v>
      </c>
      <c r="W1565" s="1" t="s">
        <v>30932</v>
      </c>
      <c r="X1565" s="1" t="s">
        <v>30933</v>
      </c>
      <c r="Y1565" s="1" t="s">
        <v>30934</v>
      </c>
      <c r="Z1565" s="1" t="s">
        <v>30935</v>
      </c>
      <c r="AA1565" s="1" t="s">
        <v>30936</v>
      </c>
      <c r="AB1565" s="1" t="s">
        <v>30937</v>
      </c>
      <c r="AC1565" s="1" t="s">
        <v>30938</v>
      </c>
      <c r="AD1565" s="1" t="s">
        <v>30939</v>
      </c>
      <c r="AE1565" s="1" t="s">
        <v>30940</v>
      </c>
      <c r="AF1565" s="1" t="s">
        <v>30941</v>
      </c>
      <c r="AG1565" s="1" t="s">
        <v>30942</v>
      </c>
      <c r="AH1565" s="1" t="s">
        <v>30943</v>
      </c>
      <c r="AI1565" s="1" t="s">
        <v>30944</v>
      </c>
      <c r="AJ1565" s="1" t="s">
        <v>132</v>
      </c>
      <c r="AK1565" s="1" t="s">
        <v>30945</v>
      </c>
      <c r="AL1565" s="1" t="s">
        <v>30946</v>
      </c>
      <c r="AM1565" s="1" t="s">
        <v>30947</v>
      </c>
      <c r="AN1565" s="1" t="s">
        <v>30947</v>
      </c>
    </row>
    <row r="1566" ht="15.75" customHeight="1">
      <c r="A1566" s="1" t="s">
        <v>38</v>
      </c>
      <c r="B1566" s="1" t="s">
        <v>30948</v>
      </c>
      <c r="C1566" s="1" t="s">
        <v>30949</v>
      </c>
      <c r="D1566" s="8" t="s">
        <v>30950</v>
      </c>
      <c r="E1566" s="1" t="s">
        <v>30951</v>
      </c>
      <c r="F1566" s="1" t="s">
        <v>30952</v>
      </c>
      <c r="G1566" s="1" t="s">
        <v>132</v>
      </c>
      <c r="H1566" s="1" t="s">
        <v>132</v>
      </c>
      <c r="I1566" s="1" t="s">
        <v>30953</v>
      </c>
      <c r="J1566" s="1" t="s">
        <v>132</v>
      </c>
      <c r="K1566" s="1" t="s">
        <v>30954</v>
      </c>
      <c r="L1566" s="1" t="s">
        <v>132</v>
      </c>
      <c r="M1566" s="1" t="s">
        <v>30955</v>
      </c>
      <c r="N1566" s="1" t="s">
        <v>30956</v>
      </c>
      <c r="O1566" s="1" t="s">
        <v>132</v>
      </c>
      <c r="P1566" s="1" t="s">
        <v>30957</v>
      </c>
      <c r="Q1566" s="1" t="s">
        <v>30958</v>
      </c>
      <c r="R1566" s="1" t="s">
        <v>132</v>
      </c>
      <c r="S1566" s="1" t="s">
        <v>30959</v>
      </c>
      <c r="T1566" s="1" t="s">
        <v>132</v>
      </c>
      <c r="U1566" s="1" t="s">
        <v>30960</v>
      </c>
      <c r="V1566" s="1" t="s">
        <v>30961</v>
      </c>
      <c r="W1566" s="1" t="s">
        <v>132</v>
      </c>
      <c r="X1566" s="1" t="s">
        <v>30962</v>
      </c>
      <c r="Y1566" s="1" t="s">
        <v>132</v>
      </c>
      <c r="Z1566" s="1" t="s">
        <v>30963</v>
      </c>
      <c r="AA1566" s="1" t="s">
        <v>30964</v>
      </c>
      <c r="AB1566" s="1" t="s">
        <v>132</v>
      </c>
      <c r="AC1566" s="1" t="s">
        <v>30965</v>
      </c>
      <c r="AD1566" s="1" t="s">
        <v>30966</v>
      </c>
      <c r="AE1566" s="1" t="s">
        <v>132</v>
      </c>
      <c r="AF1566" s="1" t="s">
        <v>30967</v>
      </c>
      <c r="AG1566" s="1" t="s">
        <v>30968</v>
      </c>
      <c r="AH1566" s="1" t="s">
        <v>132</v>
      </c>
      <c r="AI1566" s="1" t="s">
        <v>132</v>
      </c>
      <c r="AJ1566" s="1" t="s">
        <v>30969</v>
      </c>
      <c r="AK1566" s="1" t="s">
        <v>30970</v>
      </c>
      <c r="AL1566" s="1" t="s">
        <v>132</v>
      </c>
      <c r="AM1566" s="1" t="s">
        <v>30971</v>
      </c>
      <c r="AN1566" s="1" t="s">
        <v>30971</v>
      </c>
    </row>
    <row r="1567" ht="15.75" customHeight="1">
      <c r="A1567" s="1" t="s">
        <v>38</v>
      </c>
      <c r="B1567" s="1" t="s">
        <v>30972</v>
      </c>
      <c r="C1567" s="1" t="s">
        <v>30973</v>
      </c>
      <c r="D1567" s="8" t="s">
        <v>30974</v>
      </c>
      <c r="E1567" s="1" t="s">
        <v>30975</v>
      </c>
      <c r="F1567" s="1" t="s">
        <v>30976</v>
      </c>
      <c r="G1567" s="1" t="s">
        <v>132</v>
      </c>
      <c r="H1567" s="1" t="s">
        <v>132</v>
      </c>
      <c r="I1567" s="1" t="s">
        <v>30977</v>
      </c>
      <c r="J1567" s="1" t="s">
        <v>132</v>
      </c>
      <c r="K1567" s="1" t="s">
        <v>30978</v>
      </c>
      <c r="L1567" s="1" t="s">
        <v>132</v>
      </c>
      <c r="M1567" s="1" t="s">
        <v>30979</v>
      </c>
      <c r="N1567" s="1" t="s">
        <v>30980</v>
      </c>
      <c r="O1567" s="1" t="s">
        <v>132</v>
      </c>
      <c r="P1567" s="1" t="s">
        <v>30981</v>
      </c>
      <c r="Q1567" s="1" t="s">
        <v>30982</v>
      </c>
      <c r="R1567" s="1" t="s">
        <v>132</v>
      </c>
      <c r="S1567" s="1" t="s">
        <v>30983</v>
      </c>
      <c r="T1567" s="1" t="s">
        <v>132</v>
      </c>
      <c r="U1567" s="1" t="s">
        <v>30984</v>
      </c>
      <c r="V1567" s="1" t="s">
        <v>30985</v>
      </c>
      <c r="W1567" s="1" t="s">
        <v>132</v>
      </c>
      <c r="X1567" s="1" t="s">
        <v>30986</v>
      </c>
      <c r="Y1567" s="1" t="s">
        <v>132</v>
      </c>
      <c r="Z1567" s="1" t="s">
        <v>30987</v>
      </c>
      <c r="AA1567" s="1" t="s">
        <v>30988</v>
      </c>
      <c r="AB1567" s="1" t="s">
        <v>132</v>
      </c>
      <c r="AC1567" s="1" t="s">
        <v>30989</v>
      </c>
      <c r="AD1567" s="1" t="s">
        <v>30990</v>
      </c>
      <c r="AE1567" s="1" t="s">
        <v>132</v>
      </c>
      <c r="AF1567" s="1" t="s">
        <v>30991</v>
      </c>
      <c r="AG1567" s="1" t="s">
        <v>30992</v>
      </c>
      <c r="AH1567" s="1" t="s">
        <v>132</v>
      </c>
      <c r="AI1567" s="1" t="s">
        <v>132</v>
      </c>
      <c r="AJ1567" s="1" t="s">
        <v>30993</v>
      </c>
      <c r="AK1567" s="1" t="s">
        <v>30994</v>
      </c>
      <c r="AL1567" s="1" t="s">
        <v>132</v>
      </c>
      <c r="AM1567" s="1" t="s">
        <v>30995</v>
      </c>
      <c r="AN1567" s="1" t="s">
        <v>30995</v>
      </c>
    </row>
    <row r="1568" ht="15.75" customHeight="1">
      <c r="A1568" s="1" t="s">
        <v>127</v>
      </c>
      <c r="B1568" s="1" t="s">
        <v>30996</v>
      </c>
      <c r="C1568" s="1" t="s">
        <v>30997</v>
      </c>
      <c r="D1568" s="8" t="s">
        <v>30998</v>
      </c>
      <c r="E1568" s="1" t="s">
        <v>30999</v>
      </c>
      <c r="F1568" s="1" t="s">
        <v>132</v>
      </c>
      <c r="G1568" s="1" t="s">
        <v>31000</v>
      </c>
      <c r="H1568" s="1" t="s">
        <v>31001</v>
      </c>
      <c r="I1568" s="1" t="s">
        <v>31002</v>
      </c>
      <c r="J1568" s="1" t="s">
        <v>31003</v>
      </c>
      <c r="K1568" s="1" t="s">
        <v>31004</v>
      </c>
      <c r="L1568" s="1" t="s">
        <v>31005</v>
      </c>
      <c r="M1568" s="1" t="s">
        <v>31006</v>
      </c>
      <c r="N1568" s="1" t="s">
        <v>132</v>
      </c>
      <c r="O1568" s="1" t="s">
        <v>31007</v>
      </c>
      <c r="P1568" s="1" t="s">
        <v>23612</v>
      </c>
      <c r="Q1568" s="1" t="s">
        <v>132</v>
      </c>
      <c r="R1568" s="1" t="s">
        <v>31008</v>
      </c>
      <c r="S1568" s="1" t="s">
        <v>31009</v>
      </c>
      <c r="T1568" s="8" t="s">
        <v>31010</v>
      </c>
      <c r="U1568" s="1" t="s">
        <v>10923</v>
      </c>
      <c r="V1568" s="1" t="s">
        <v>31011</v>
      </c>
      <c r="W1568" s="1" t="s">
        <v>31008</v>
      </c>
      <c r="X1568" s="1" t="s">
        <v>31012</v>
      </c>
      <c r="Y1568" s="1" t="s">
        <v>31013</v>
      </c>
      <c r="Z1568" s="1" t="s">
        <v>31014</v>
      </c>
      <c r="AA1568" s="1" t="s">
        <v>31015</v>
      </c>
      <c r="AB1568" s="1" t="s">
        <v>31016</v>
      </c>
      <c r="AC1568" s="1" t="s">
        <v>30999</v>
      </c>
      <c r="AD1568" s="1" t="s">
        <v>31017</v>
      </c>
      <c r="AE1568" s="1" t="s">
        <v>31018</v>
      </c>
      <c r="AF1568" s="1" t="s">
        <v>31019</v>
      </c>
      <c r="AG1568" s="1" t="s">
        <v>31020</v>
      </c>
      <c r="AH1568" s="1" t="s">
        <v>23627</v>
      </c>
      <c r="AI1568" s="1" t="s">
        <v>31021</v>
      </c>
      <c r="AJ1568" s="1" t="s">
        <v>132</v>
      </c>
      <c r="AK1568" s="1" t="s">
        <v>31022</v>
      </c>
      <c r="AL1568" s="1" t="s">
        <v>31023</v>
      </c>
      <c r="AM1568" s="1" t="s">
        <v>31024</v>
      </c>
      <c r="AN1568" s="1" t="s">
        <v>31024</v>
      </c>
    </row>
    <row r="1569" ht="15.75" customHeight="1">
      <c r="A1569" s="1" t="s">
        <v>38</v>
      </c>
      <c r="B1569" s="1" t="s">
        <v>31025</v>
      </c>
      <c r="C1569" s="1" t="s">
        <v>31026</v>
      </c>
      <c r="D1569" s="8" t="s">
        <v>31027</v>
      </c>
      <c r="E1569" s="1" t="s">
        <v>31028</v>
      </c>
      <c r="F1569" s="1" t="s">
        <v>31029</v>
      </c>
      <c r="G1569" s="1" t="s">
        <v>132</v>
      </c>
      <c r="H1569" s="1" t="s">
        <v>132</v>
      </c>
      <c r="I1569" s="1" t="s">
        <v>31030</v>
      </c>
      <c r="J1569" s="1" t="s">
        <v>132</v>
      </c>
      <c r="K1569" s="1" t="s">
        <v>31031</v>
      </c>
      <c r="L1569" s="1" t="s">
        <v>132</v>
      </c>
      <c r="M1569" s="1" t="s">
        <v>31032</v>
      </c>
      <c r="N1569" s="1" t="s">
        <v>31033</v>
      </c>
      <c r="O1569" s="1" t="s">
        <v>132</v>
      </c>
      <c r="P1569" s="1" t="s">
        <v>31034</v>
      </c>
      <c r="Q1569" s="1" t="s">
        <v>31035</v>
      </c>
      <c r="R1569" s="1" t="s">
        <v>132</v>
      </c>
      <c r="S1569" s="1" t="s">
        <v>31036</v>
      </c>
      <c r="T1569" s="1" t="s">
        <v>132</v>
      </c>
      <c r="U1569" s="1" t="s">
        <v>31037</v>
      </c>
      <c r="V1569" s="1" t="s">
        <v>31038</v>
      </c>
      <c r="W1569" s="1" t="s">
        <v>132</v>
      </c>
      <c r="X1569" s="1" t="s">
        <v>31039</v>
      </c>
      <c r="Y1569" s="1" t="s">
        <v>132</v>
      </c>
      <c r="Z1569" s="1" t="s">
        <v>31040</v>
      </c>
      <c r="AA1569" s="1" t="s">
        <v>31041</v>
      </c>
      <c r="AB1569" s="1" t="s">
        <v>132</v>
      </c>
      <c r="AC1569" s="1" t="s">
        <v>31042</v>
      </c>
      <c r="AD1569" s="1" t="s">
        <v>31043</v>
      </c>
      <c r="AE1569" s="1" t="s">
        <v>132</v>
      </c>
      <c r="AF1569" s="1" t="s">
        <v>31044</v>
      </c>
      <c r="AG1569" s="1" t="s">
        <v>31045</v>
      </c>
      <c r="AH1569" s="1" t="s">
        <v>132</v>
      </c>
      <c r="AI1569" s="1" t="s">
        <v>132</v>
      </c>
      <c r="AJ1569" s="1" t="s">
        <v>31046</v>
      </c>
      <c r="AK1569" s="1" t="s">
        <v>31047</v>
      </c>
      <c r="AL1569" s="1" t="s">
        <v>132</v>
      </c>
      <c r="AM1569" s="1" t="s">
        <v>31048</v>
      </c>
      <c r="AN1569" s="1" t="s">
        <v>31048</v>
      </c>
    </row>
    <row r="1570" ht="15.75" customHeight="1">
      <c r="A1570" s="1" t="s">
        <v>127</v>
      </c>
      <c r="B1570" s="1" t="s">
        <v>31049</v>
      </c>
      <c r="C1570" s="1" t="s">
        <v>31050</v>
      </c>
      <c r="D1570" s="8" t="s">
        <v>31051</v>
      </c>
      <c r="E1570" s="1" t="s">
        <v>31052</v>
      </c>
      <c r="F1570" s="1" t="s">
        <v>132</v>
      </c>
      <c r="G1570" s="1" t="s">
        <v>31053</v>
      </c>
      <c r="H1570" s="1" t="s">
        <v>31054</v>
      </c>
      <c r="I1570" s="1" t="s">
        <v>31055</v>
      </c>
      <c r="J1570" s="1" t="s">
        <v>31056</v>
      </c>
      <c r="K1570" s="1" t="s">
        <v>31057</v>
      </c>
      <c r="L1570" s="1" t="s">
        <v>31058</v>
      </c>
      <c r="M1570" s="1" t="s">
        <v>31059</v>
      </c>
      <c r="N1570" s="1" t="s">
        <v>132</v>
      </c>
      <c r="O1570" s="1" t="s">
        <v>31060</v>
      </c>
      <c r="P1570" s="1" t="s">
        <v>31061</v>
      </c>
      <c r="Q1570" s="1" t="s">
        <v>132</v>
      </c>
      <c r="R1570" s="1" t="s">
        <v>31062</v>
      </c>
      <c r="S1570" s="1" t="s">
        <v>31063</v>
      </c>
      <c r="T1570" s="8" t="s">
        <v>31064</v>
      </c>
      <c r="U1570" s="1" t="s">
        <v>31065</v>
      </c>
      <c r="V1570" s="1" t="s">
        <v>31066</v>
      </c>
      <c r="W1570" s="1" t="s">
        <v>31067</v>
      </c>
      <c r="X1570" s="1" t="s">
        <v>31068</v>
      </c>
      <c r="Y1570" s="1" t="s">
        <v>31069</v>
      </c>
      <c r="Z1570" s="1" t="s">
        <v>31070</v>
      </c>
      <c r="AA1570" s="1" t="s">
        <v>31071</v>
      </c>
      <c r="AB1570" s="1" t="s">
        <v>31072</v>
      </c>
      <c r="AC1570" s="1" t="s">
        <v>31073</v>
      </c>
      <c r="AD1570" s="1" t="s">
        <v>31074</v>
      </c>
      <c r="AE1570" s="1" t="s">
        <v>31075</v>
      </c>
      <c r="AF1570" s="1" t="s">
        <v>31076</v>
      </c>
      <c r="AG1570" s="1" t="s">
        <v>31077</v>
      </c>
      <c r="AH1570" s="1" t="s">
        <v>31078</v>
      </c>
      <c r="AI1570" s="1" t="s">
        <v>31079</v>
      </c>
      <c r="AJ1570" s="1" t="s">
        <v>132</v>
      </c>
      <c r="AK1570" s="1" t="s">
        <v>31080</v>
      </c>
      <c r="AL1570" s="1" t="s">
        <v>31081</v>
      </c>
      <c r="AM1570" s="1" t="s">
        <v>132</v>
      </c>
      <c r="AN1570" s="1" t="s">
        <v>132</v>
      </c>
    </row>
    <row r="1571" ht="15.75" customHeight="1">
      <c r="A1571" s="1" t="s">
        <v>38</v>
      </c>
      <c r="B1571" s="1" t="s">
        <v>31082</v>
      </c>
      <c r="C1571" s="1" t="s">
        <v>31083</v>
      </c>
      <c r="D1571" s="8" t="s">
        <v>31084</v>
      </c>
      <c r="E1571" s="1" t="s">
        <v>31085</v>
      </c>
      <c r="F1571" s="1" t="s">
        <v>31086</v>
      </c>
      <c r="G1571" s="1" t="s">
        <v>132</v>
      </c>
      <c r="H1571" s="1" t="s">
        <v>132</v>
      </c>
      <c r="I1571" s="1" t="s">
        <v>31083</v>
      </c>
      <c r="J1571" s="1" t="s">
        <v>132</v>
      </c>
      <c r="K1571" s="1" t="s">
        <v>31087</v>
      </c>
      <c r="L1571" s="1" t="s">
        <v>132</v>
      </c>
      <c r="M1571" s="1" t="s">
        <v>31088</v>
      </c>
      <c r="N1571" s="1" t="s">
        <v>31089</v>
      </c>
      <c r="O1571" s="1" t="s">
        <v>132</v>
      </c>
      <c r="P1571" s="1" t="s">
        <v>31090</v>
      </c>
      <c r="Q1571" s="1" t="s">
        <v>132</v>
      </c>
      <c r="R1571" s="1" t="s">
        <v>132</v>
      </c>
      <c r="S1571" s="1" t="s">
        <v>31083</v>
      </c>
      <c r="T1571" s="1" t="s">
        <v>132</v>
      </c>
      <c r="U1571" s="1" t="s">
        <v>31091</v>
      </c>
      <c r="V1571" s="1" t="s">
        <v>31092</v>
      </c>
      <c r="W1571" s="1" t="s">
        <v>132</v>
      </c>
      <c r="X1571" s="1" t="s">
        <v>31083</v>
      </c>
      <c r="Y1571" s="1" t="s">
        <v>132</v>
      </c>
      <c r="Z1571" s="1" t="s">
        <v>31093</v>
      </c>
      <c r="AA1571" s="1" t="s">
        <v>31094</v>
      </c>
      <c r="AB1571" s="1" t="s">
        <v>132</v>
      </c>
      <c r="AC1571" s="1" t="s">
        <v>31095</v>
      </c>
      <c r="AD1571" s="1" t="s">
        <v>132</v>
      </c>
      <c r="AE1571" s="1" t="s">
        <v>132</v>
      </c>
      <c r="AF1571" s="1" t="s">
        <v>31096</v>
      </c>
      <c r="AG1571" s="1" t="s">
        <v>31097</v>
      </c>
      <c r="AH1571" s="1" t="s">
        <v>132</v>
      </c>
      <c r="AI1571" s="1" t="s">
        <v>132</v>
      </c>
      <c r="AJ1571" s="1" t="s">
        <v>31098</v>
      </c>
      <c r="AK1571" s="1" t="s">
        <v>132</v>
      </c>
      <c r="AL1571" s="1" t="s">
        <v>132</v>
      </c>
      <c r="AM1571" s="1" t="s">
        <v>31099</v>
      </c>
      <c r="AN1571" s="1" t="s">
        <v>31099</v>
      </c>
    </row>
    <row r="1572" ht="15.75" customHeight="1">
      <c r="A1572" s="1" t="s">
        <v>38</v>
      </c>
      <c r="B1572" s="1" t="s">
        <v>31100</v>
      </c>
      <c r="C1572" s="1" t="s">
        <v>31101</v>
      </c>
      <c r="D1572" s="8" t="s">
        <v>31102</v>
      </c>
      <c r="E1572" s="1" t="s">
        <v>31103</v>
      </c>
      <c r="F1572" s="1" t="s">
        <v>31104</v>
      </c>
      <c r="G1572" s="1" t="s">
        <v>132</v>
      </c>
      <c r="H1572" s="1" t="s">
        <v>132</v>
      </c>
      <c r="I1572" s="1" t="s">
        <v>31105</v>
      </c>
      <c r="J1572" s="1" t="s">
        <v>132</v>
      </c>
      <c r="K1572" s="1" t="s">
        <v>31106</v>
      </c>
      <c r="L1572" s="1" t="s">
        <v>132</v>
      </c>
      <c r="M1572" s="1" t="s">
        <v>31107</v>
      </c>
      <c r="N1572" s="1" t="s">
        <v>31106</v>
      </c>
      <c r="O1572" s="1" t="s">
        <v>132</v>
      </c>
      <c r="P1572" s="1" t="s">
        <v>31108</v>
      </c>
      <c r="Q1572" s="1" t="s">
        <v>31109</v>
      </c>
      <c r="R1572" s="1" t="s">
        <v>132</v>
      </c>
      <c r="S1572" s="1" t="s">
        <v>31110</v>
      </c>
      <c r="T1572" s="1" t="s">
        <v>132</v>
      </c>
      <c r="U1572" s="1" t="s">
        <v>31111</v>
      </c>
      <c r="V1572" s="1" t="s">
        <v>31112</v>
      </c>
      <c r="W1572" s="1" t="s">
        <v>132</v>
      </c>
      <c r="X1572" s="1" t="s">
        <v>31113</v>
      </c>
      <c r="Y1572" s="1" t="s">
        <v>132</v>
      </c>
      <c r="Z1572" s="1" t="s">
        <v>31114</v>
      </c>
      <c r="AA1572" s="1" t="s">
        <v>31110</v>
      </c>
      <c r="AB1572" s="1" t="s">
        <v>132</v>
      </c>
      <c r="AC1572" s="1" t="s">
        <v>31115</v>
      </c>
      <c r="AD1572" s="1" t="s">
        <v>31116</v>
      </c>
      <c r="AE1572" s="1" t="s">
        <v>132</v>
      </c>
      <c r="AF1572" s="1" t="s">
        <v>31117</v>
      </c>
      <c r="AG1572" s="1" t="s">
        <v>31118</v>
      </c>
      <c r="AH1572" s="1" t="s">
        <v>132</v>
      </c>
      <c r="AI1572" s="1" t="s">
        <v>132</v>
      </c>
      <c r="AJ1572" s="1" t="s">
        <v>31103</v>
      </c>
      <c r="AK1572" s="1" t="s">
        <v>31119</v>
      </c>
      <c r="AL1572" s="1" t="s">
        <v>132</v>
      </c>
      <c r="AM1572" s="1" t="s">
        <v>31120</v>
      </c>
      <c r="AN1572" s="1" t="s">
        <v>31120</v>
      </c>
    </row>
    <row r="1573" ht="15.75" customHeight="1">
      <c r="A1573" s="1" t="s">
        <v>38</v>
      </c>
      <c r="B1573" s="1" t="s">
        <v>31121</v>
      </c>
      <c r="C1573" s="1" t="s">
        <v>31122</v>
      </c>
      <c r="D1573" s="8" t="s">
        <v>31123</v>
      </c>
      <c r="E1573" s="1" t="s">
        <v>31124</v>
      </c>
      <c r="F1573" s="1" t="s">
        <v>31125</v>
      </c>
      <c r="G1573" s="1" t="s">
        <v>132</v>
      </c>
      <c r="H1573" s="1" t="s">
        <v>132</v>
      </c>
      <c r="I1573" s="1" t="s">
        <v>31126</v>
      </c>
      <c r="J1573" s="1" t="s">
        <v>132</v>
      </c>
      <c r="K1573" s="1" t="s">
        <v>31127</v>
      </c>
      <c r="L1573" s="1" t="s">
        <v>132</v>
      </c>
      <c r="M1573" s="1" t="s">
        <v>31128</v>
      </c>
      <c r="N1573" s="1" t="s">
        <v>31127</v>
      </c>
      <c r="O1573" s="1" t="s">
        <v>132</v>
      </c>
      <c r="P1573" s="1" t="s">
        <v>31129</v>
      </c>
      <c r="Q1573" s="1" t="s">
        <v>31130</v>
      </c>
      <c r="R1573" s="1" t="s">
        <v>132</v>
      </c>
      <c r="S1573" s="1" t="s">
        <v>31131</v>
      </c>
      <c r="T1573" s="1" t="s">
        <v>132</v>
      </c>
      <c r="U1573" s="1" t="s">
        <v>31132</v>
      </c>
      <c r="V1573" s="1" t="s">
        <v>31133</v>
      </c>
      <c r="W1573" s="1" t="s">
        <v>132</v>
      </c>
      <c r="X1573" s="1" t="s">
        <v>31126</v>
      </c>
      <c r="Y1573" s="1" t="s">
        <v>132</v>
      </c>
      <c r="Z1573" s="1" t="s">
        <v>31134</v>
      </c>
      <c r="AA1573" s="1" t="s">
        <v>31131</v>
      </c>
      <c r="AB1573" s="1" t="s">
        <v>132</v>
      </c>
      <c r="AC1573" s="1" t="s">
        <v>31135</v>
      </c>
      <c r="AD1573" s="1" t="s">
        <v>132</v>
      </c>
      <c r="AE1573" s="1" t="s">
        <v>132</v>
      </c>
      <c r="AF1573" s="1" t="s">
        <v>31136</v>
      </c>
      <c r="AG1573" s="1" t="s">
        <v>31137</v>
      </c>
      <c r="AH1573" s="1" t="s">
        <v>132</v>
      </c>
      <c r="AI1573" s="1" t="s">
        <v>132</v>
      </c>
      <c r="AJ1573" s="1" t="s">
        <v>31124</v>
      </c>
      <c r="AK1573" s="1" t="s">
        <v>31138</v>
      </c>
      <c r="AL1573" s="1" t="s">
        <v>132</v>
      </c>
      <c r="AM1573" s="1" t="s">
        <v>31132</v>
      </c>
      <c r="AN1573" s="1" t="s">
        <v>31132</v>
      </c>
    </row>
    <row r="1574" ht="15.75" customHeight="1">
      <c r="A1574" s="1" t="s">
        <v>127</v>
      </c>
      <c r="B1574" s="1" t="s">
        <v>31139</v>
      </c>
      <c r="C1574" s="1" t="s">
        <v>31140</v>
      </c>
      <c r="D1574" s="8" t="s">
        <v>31141</v>
      </c>
      <c r="E1574" s="1" t="s">
        <v>31142</v>
      </c>
      <c r="F1574" s="1" t="s">
        <v>132</v>
      </c>
      <c r="G1574" s="1" t="s">
        <v>31143</v>
      </c>
      <c r="H1574" s="1" t="s">
        <v>31144</v>
      </c>
      <c r="I1574" s="1" t="s">
        <v>31145</v>
      </c>
      <c r="J1574" s="1" t="s">
        <v>31146</v>
      </c>
      <c r="K1574" s="1" t="s">
        <v>31147</v>
      </c>
      <c r="L1574" s="1" t="s">
        <v>31148</v>
      </c>
      <c r="M1574" s="1" t="s">
        <v>31149</v>
      </c>
      <c r="N1574" s="1" t="s">
        <v>132</v>
      </c>
      <c r="O1574" s="1" t="s">
        <v>31150</v>
      </c>
      <c r="P1574" s="1" t="s">
        <v>31151</v>
      </c>
      <c r="Q1574" s="1" t="s">
        <v>132</v>
      </c>
      <c r="R1574" s="1" t="s">
        <v>31152</v>
      </c>
      <c r="S1574" s="1" t="s">
        <v>31153</v>
      </c>
      <c r="T1574" s="8" t="s">
        <v>31154</v>
      </c>
      <c r="U1574" s="1" t="s">
        <v>31155</v>
      </c>
      <c r="V1574" s="1" t="s">
        <v>31156</v>
      </c>
      <c r="W1574" s="1" t="s">
        <v>31152</v>
      </c>
      <c r="X1574" s="1" t="s">
        <v>31157</v>
      </c>
      <c r="Y1574" s="1" t="s">
        <v>31158</v>
      </c>
      <c r="Z1574" s="1" t="s">
        <v>31159</v>
      </c>
      <c r="AA1574" s="1" t="s">
        <v>31160</v>
      </c>
      <c r="AB1574" s="1" t="s">
        <v>31161</v>
      </c>
      <c r="AC1574" s="1" t="s">
        <v>31162</v>
      </c>
      <c r="AD1574" s="1" t="s">
        <v>31143</v>
      </c>
      <c r="AE1574" s="1" t="s">
        <v>31163</v>
      </c>
      <c r="AF1574" s="1" t="s">
        <v>31164</v>
      </c>
      <c r="AG1574" s="1" t="s">
        <v>31165</v>
      </c>
      <c r="AH1574" s="1" t="s">
        <v>31166</v>
      </c>
      <c r="AI1574" s="1" t="s">
        <v>31167</v>
      </c>
      <c r="AJ1574" s="1" t="s">
        <v>132</v>
      </c>
      <c r="AK1574" s="1" t="s">
        <v>31168</v>
      </c>
      <c r="AL1574" s="1" t="s">
        <v>31169</v>
      </c>
      <c r="AM1574" s="1" t="s">
        <v>31170</v>
      </c>
      <c r="AN1574" s="1" t="s">
        <v>31170</v>
      </c>
    </row>
    <row r="1575" ht="15.75" customHeight="1">
      <c r="A1575" s="1" t="s">
        <v>38</v>
      </c>
      <c r="B1575" s="1" t="s">
        <v>31171</v>
      </c>
      <c r="C1575" s="1" t="s">
        <v>31172</v>
      </c>
      <c r="D1575" s="1" t="s">
        <v>132</v>
      </c>
      <c r="E1575" s="1" t="s">
        <v>132</v>
      </c>
      <c r="F1575" s="1" t="s">
        <v>132</v>
      </c>
      <c r="G1575" s="1" t="s">
        <v>132</v>
      </c>
      <c r="H1575" s="1" t="s">
        <v>132</v>
      </c>
      <c r="I1575" s="1" t="s">
        <v>31173</v>
      </c>
      <c r="J1575" s="1" t="s">
        <v>132</v>
      </c>
      <c r="K1575" s="1" t="s">
        <v>31174</v>
      </c>
      <c r="L1575" s="1" t="s">
        <v>132</v>
      </c>
      <c r="M1575" s="1" t="s">
        <v>31175</v>
      </c>
      <c r="N1575" s="1" t="s">
        <v>132</v>
      </c>
      <c r="O1575" s="1" t="s">
        <v>132</v>
      </c>
      <c r="P1575" s="1" t="s">
        <v>31172</v>
      </c>
      <c r="Q1575" s="1" t="s">
        <v>132</v>
      </c>
      <c r="R1575" s="1" t="s">
        <v>132</v>
      </c>
      <c r="S1575" s="1" t="s">
        <v>132</v>
      </c>
      <c r="T1575" s="1" t="s">
        <v>132</v>
      </c>
      <c r="U1575" s="1" t="s">
        <v>132</v>
      </c>
      <c r="V1575" s="1" t="s">
        <v>132</v>
      </c>
      <c r="W1575" s="1" t="s">
        <v>132</v>
      </c>
      <c r="X1575" s="1" t="s">
        <v>132</v>
      </c>
      <c r="Y1575" s="1" t="s">
        <v>132</v>
      </c>
      <c r="Z1575" s="1" t="s">
        <v>132</v>
      </c>
      <c r="AA1575" s="1" t="s">
        <v>132</v>
      </c>
      <c r="AB1575" s="1" t="s">
        <v>132</v>
      </c>
      <c r="AC1575" s="1" t="s">
        <v>31176</v>
      </c>
      <c r="AD1575" s="1" t="s">
        <v>132</v>
      </c>
      <c r="AE1575" s="1" t="s">
        <v>132</v>
      </c>
      <c r="AF1575" s="1" t="s">
        <v>31177</v>
      </c>
      <c r="AG1575" s="1" t="s">
        <v>132</v>
      </c>
      <c r="AH1575" s="1" t="s">
        <v>132</v>
      </c>
      <c r="AI1575" s="1" t="s">
        <v>132</v>
      </c>
      <c r="AJ1575" s="1" t="s">
        <v>132</v>
      </c>
      <c r="AK1575" s="1" t="s">
        <v>132</v>
      </c>
      <c r="AL1575" s="1" t="s">
        <v>132</v>
      </c>
      <c r="AM1575" s="1" t="s">
        <v>132</v>
      </c>
      <c r="AN1575" s="1" t="s">
        <v>132</v>
      </c>
    </row>
    <row r="1576" ht="15.75" customHeight="1">
      <c r="A1576" s="1" t="s">
        <v>127</v>
      </c>
      <c r="B1576" s="1" t="s">
        <v>31178</v>
      </c>
      <c r="C1576" s="1" t="s">
        <v>31179</v>
      </c>
      <c r="D1576" s="8" t="s">
        <v>31180</v>
      </c>
      <c r="E1576" s="1" t="s">
        <v>31181</v>
      </c>
      <c r="F1576" s="1" t="s">
        <v>132</v>
      </c>
      <c r="G1576" s="1" t="s">
        <v>31182</v>
      </c>
      <c r="H1576" s="1" t="s">
        <v>31179</v>
      </c>
      <c r="I1576" s="1" t="s">
        <v>31179</v>
      </c>
      <c r="J1576" s="1" t="s">
        <v>31183</v>
      </c>
      <c r="K1576" s="1" t="s">
        <v>31179</v>
      </c>
      <c r="L1576" s="1" t="s">
        <v>31184</v>
      </c>
      <c r="M1576" s="1" t="s">
        <v>31185</v>
      </c>
      <c r="N1576" s="1" t="s">
        <v>132</v>
      </c>
      <c r="O1576" s="1" t="s">
        <v>31186</v>
      </c>
      <c r="P1576" s="1" t="s">
        <v>31187</v>
      </c>
      <c r="Q1576" s="1" t="s">
        <v>132</v>
      </c>
      <c r="R1576" s="1" t="s">
        <v>31188</v>
      </c>
      <c r="S1576" s="1" t="s">
        <v>31189</v>
      </c>
      <c r="T1576" s="8" t="s">
        <v>31190</v>
      </c>
      <c r="U1576" s="1" t="s">
        <v>31191</v>
      </c>
      <c r="V1576" s="1" t="s">
        <v>31192</v>
      </c>
      <c r="W1576" s="1" t="s">
        <v>31188</v>
      </c>
      <c r="X1576" s="1" t="s">
        <v>31179</v>
      </c>
      <c r="Y1576" s="1" t="s">
        <v>31193</v>
      </c>
      <c r="Z1576" s="1" t="s">
        <v>31194</v>
      </c>
      <c r="AA1576" s="1" t="s">
        <v>31195</v>
      </c>
      <c r="AB1576" s="1" t="s">
        <v>31196</v>
      </c>
      <c r="AC1576" s="1" t="s">
        <v>31197</v>
      </c>
      <c r="AD1576" s="1" t="s">
        <v>31198</v>
      </c>
      <c r="AE1576" s="1" t="s">
        <v>31199</v>
      </c>
      <c r="AF1576" s="1" t="s">
        <v>31200</v>
      </c>
      <c r="AG1576" s="1" t="s">
        <v>31201</v>
      </c>
      <c r="AH1576" s="1" t="s">
        <v>31202</v>
      </c>
      <c r="AI1576" s="1" t="s">
        <v>31203</v>
      </c>
      <c r="AJ1576" s="1" t="s">
        <v>132</v>
      </c>
      <c r="AK1576" s="1" t="s">
        <v>31204</v>
      </c>
      <c r="AL1576" s="1" t="s">
        <v>31205</v>
      </c>
      <c r="AM1576" s="1" t="s">
        <v>31206</v>
      </c>
      <c r="AN1576" s="1" t="s">
        <v>31206</v>
      </c>
    </row>
    <row r="1577" ht="15.75" customHeight="1">
      <c r="A1577" s="1" t="s">
        <v>127</v>
      </c>
      <c r="B1577" s="1" t="s">
        <v>31207</v>
      </c>
      <c r="C1577" s="1" t="s">
        <v>31208</v>
      </c>
      <c r="D1577" s="8" t="s">
        <v>31209</v>
      </c>
      <c r="E1577" s="1" t="s">
        <v>31210</v>
      </c>
      <c r="F1577" s="1" t="s">
        <v>132</v>
      </c>
      <c r="G1577" s="1" t="s">
        <v>31211</v>
      </c>
      <c r="H1577" s="1" t="s">
        <v>31212</v>
      </c>
      <c r="I1577" s="1" t="s">
        <v>31213</v>
      </c>
      <c r="J1577" s="1" t="s">
        <v>31214</v>
      </c>
      <c r="K1577" s="1" t="s">
        <v>31215</v>
      </c>
      <c r="L1577" s="1" t="s">
        <v>31216</v>
      </c>
      <c r="M1577" s="1" t="s">
        <v>31217</v>
      </c>
      <c r="N1577" s="1" t="s">
        <v>132</v>
      </c>
      <c r="O1577" s="1" t="s">
        <v>31218</v>
      </c>
      <c r="P1577" s="1" t="s">
        <v>31219</v>
      </c>
      <c r="Q1577" s="1" t="s">
        <v>132</v>
      </c>
      <c r="R1577" s="1" t="s">
        <v>31220</v>
      </c>
      <c r="S1577" s="1" t="s">
        <v>31221</v>
      </c>
      <c r="T1577" s="8" t="s">
        <v>31222</v>
      </c>
      <c r="U1577" s="1" t="s">
        <v>31223</v>
      </c>
      <c r="V1577" s="1" t="s">
        <v>31224</v>
      </c>
      <c r="W1577" s="1" t="s">
        <v>31225</v>
      </c>
      <c r="X1577" s="1" t="s">
        <v>31226</v>
      </c>
      <c r="Y1577" s="1" t="s">
        <v>31227</v>
      </c>
      <c r="Z1577" s="1" t="s">
        <v>31228</v>
      </c>
      <c r="AA1577" s="1" t="s">
        <v>31229</v>
      </c>
      <c r="AB1577" s="1" t="s">
        <v>31230</v>
      </c>
      <c r="AC1577" s="1" t="s">
        <v>31231</v>
      </c>
      <c r="AD1577" s="1" t="s">
        <v>31232</v>
      </c>
      <c r="AE1577" s="1" t="s">
        <v>31233</v>
      </c>
      <c r="AF1577" s="1" t="s">
        <v>31234</v>
      </c>
      <c r="AG1577" s="1" t="s">
        <v>31235</v>
      </c>
      <c r="AH1577" s="1" t="s">
        <v>31236</v>
      </c>
      <c r="AI1577" s="1" t="s">
        <v>31237</v>
      </c>
      <c r="AJ1577" s="1" t="s">
        <v>132</v>
      </c>
      <c r="AK1577" s="1" t="s">
        <v>31238</v>
      </c>
      <c r="AL1577" s="1" t="s">
        <v>31239</v>
      </c>
      <c r="AM1577" s="1" t="s">
        <v>31240</v>
      </c>
      <c r="AN1577" s="1" t="s">
        <v>31240</v>
      </c>
    </row>
    <row r="1578" ht="15.75" customHeight="1">
      <c r="A1578" s="1" t="s">
        <v>127</v>
      </c>
      <c r="B1578" s="1" t="s">
        <v>31241</v>
      </c>
      <c r="C1578" s="1" t="s">
        <v>31242</v>
      </c>
      <c r="D1578" s="8" t="s">
        <v>31243</v>
      </c>
      <c r="E1578" s="1" t="s">
        <v>7713</v>
      </c>
      <c r="F1578" s="1" t="s">
        <v>132</v>
      </c>
      <c r="G1578" s="1" t="s">
        <v>31244</v>
      </c>
      <c r="H1578" s="1" t="s">
        <v>31244</v>
      </c>
      <c r="I1578" s="1" t="s">
        <v>31244</v>
      </c>
      <c r="J1578" s="1" t="s">
        <v>31245</v>
      </c>
      <c r="K1578" s="1" t="s">
        <v>31246</v>
      </c>
      <c r="L1578" s="1" t="s">
        <v>31247</v>
      </c>
      <c r="M1578" s="1" t="s">
        <v>31248</v>
      </c>
      <c r="N1578" s="1" t="s">
        <v>132</v>
      </c>
      <c r="O1578" s="1" t="s">
        <v>31249</v>
      </c>
      <c r="P1578" s="1" t="s">
        <v>31244</v>
      </c>
      <c r="Q1578" s="1" t="s">
        <v>132</v>
      </c>
      <c r="R1578" s="1" t="s">
        <v>31244</v>
      </c>
      <c r="S1578" s="1" t="s">
        <v>31250</v>
      </c>
      <c r="T1578" s="8" t="s">
        <v>31251</v>
      </c>
      <c r="U1578" s="1" t="s">
        <v>31252</v>
      </c>
      <c r="V1578" s="1" t="s">
        <v>31253</v>
      </c>
      <c r="W1578" s="1" t="s">
        <v>31244</v>
      </c>
      <c r="X1578" s="1" t="s">
        <v>31254</v>
      </c>
      <c r="Y1578" s="1" t="s">
        <v>31244</v>
      </c>
      <c r="Z1578" s="1" t="s">
        <v>31244</v>
      </c>
      <c r="AA1578" s="1" t="s">
        <v>31255</v>
      </c>
      <c r="AB1578" s="1" t="s">
        <v>31244</v>
      </c>
      <c r="AC1578" s="1" t="s">
        <v>31256</v>
      </c>
      <c r="AD1578" s="1" t="s">
        <v>31257</v>
      </c>
      <c r="AE1578" s="1" t="s">
        <v>31244</v>
      </c>
      <c r="AF1578" s="1" t="s">
        <v>31244</v>
      </c>
      <c r="AG1578" s="1" t="s">
        <v>31244</v>
      </c>
      <c r="AH1578" s="1" t="s">
        <v>31258</v>
      </c>
      <c r="AI1578" s="1" t="s">
        <v>31244</v>
      </c>
      <c r="AJ1578" s="1" t="s">
        <v>132</v>
      </c>
      <c r="AK1578" s="1" t="s">
        <v>31259</v>
      </c>
      <c r="AL1578" s="1" t="s">
        <v>31260</v>
      </c>
      <c r="AM1578" s="1" t="s">
        <v>31261</v>
      </c>
      <c r="AN1578" s="1" t="s">
        <v>31261</v>
      </c>
    </row>
    <row r="1579" ht="15.75" customHeight="1">
      <c r="A1579" s="1" t="s">
        <v>38</v>
      </c>
      <c r="B1579" s="1" t="s">
        <v>31262</v>
      </c>
      <c r="C1579" s="1" t="s">
        <v>31263</v>
      </c>
      <c r="D1579" s="8" t="s">
        <v>31264</v>
      </c>
      <c r="E1579" s="1" t="s">
        <v>31265</v>
      </c>
      <c r="F1579" s="1" t="s">
        <v>31266</v>
      </c>
      <c r="G1579" s="1" t="s">
        <v>132</v>
      </c>
      <c r="H1579" s="1" t="s">
        <v>132</v>
      </c>
      <c r="I1579" s="1" t="s">
        <v>31267</v>
      </c>
      <c r="J1579" s="1" t="s">
        <v>132</v>
      </c>
      <c r="K1579" s="1" t="s">
        <v>31268</v>
      </c>
      <c r="L1579" s="1" t="s">
        <v>132</v>
      </c>
      <c r="M1579" s="1" t="s">
        <v>31269</v>
      </c>
      <c r="N1579" s="1" t="s">
        <v>31270</v>
      </c>
      <c r="O1579" s="1" t="s">
        <v>132</v>
      </c>
      <c r="P1579" s="1" t="s">
        <v>31271</v>
      </c>
      <c r="Q1579" s="1" t="s">
        <v>31272</v>
      </c>
      <c r="R1579" s="1" t="s">
        <v>132</v>
      </c>
      <c r="S1579" s="1" t="s">
        <v>31273</v>
      </c>
      <c r="T1579" s="1" t="s">
        <v>132</v>
      </c>
      <c r="U1579" s="1" t="s">
        <v>31274</v>
      </c>
      <c r="V1579" s="1" t="s">
        <v>31275</v>
      </c>
      <c r="W1579" s="1" t="s">
        <v>132</v>
      </c>
      <c r="X1579" s="1" t="s">
        <v>31276</v>
      </c>
      <c r="Y1579" s="1" t="s">
        <v>132</v>
      </c>
      <c r="Z1579" s="1" t="s">
        <v>31277</v>
      </c>
      <c r="AA1579" s="1" t="s">
        <v>31278</v>
      </c>
      <c r="AB1579" s="1" t="s">
        <v>132</v>
      </c>
      <c r="AC1579" s="1" t="s">
        <v>31279</v>
      </c>
      <c r="AD1579" s="1" t="s">
        <v>31280</v>
      </c>
      <c r="AE1579" s="1" t="s">
        <v>132</v>
      </c>
      <c r="AF1579" s="1" t="s">
        <v>31281</v>
      </c>
      <c r="AG1579" s="1" t="s">
        <v>31282</v>
      </c>
      <c r="AH1579" s="1" t="s">
        <v>132</v>
      </c>
      <c r="AI1579" s="1" t="s">
        <v>132</v>
      </c>
      <c r="AJ1579" s="1" t="s">
        <v>31284</v>
      </c>
      <c r="AK1579" s="1" t="s">
        <v>31285</v>
      </c>
      <c r="AL1579" s="1" t="s">
        <v>132</v>
      </c>
      <c r="AM1579" s="1" t="s">
        <v>31286</v>
      </c>
      <c r="AN1579" s="1" t="s">
        <v>31286</v>
      </c>
    </row>
    <row r="1580" ht="15.75" customHeight="1">
      <c r="A1580" s="1" t="s">
        <v>38</v>
      </c>
      <c r="B1580" s="1" t="s">
        <v>31287</v>
      </c>
      <c r="C1580" s="1" t="s">
        <v>31288</v>
      </c>
      <c r="D1580" s="8" t="s">
        <v>31289</v>
      </c>
      <c r="E1580" s="1" t="s">
        <v>31290</v>
      </c>
      <c r="F1580" s="1" t="s">
        <v>31291</v>
      </c>
      <c r="G1580" s="1" t="s">
        <v>132</v>
      </c>
      <c r="H1580" s="1" t="s">
        <v>132</v>
      </c>
      <c r="I1580" s="1" t="s">
        <v>31292</v>
      </c>
      <c r="J1580" s="1" t="s">
        <v>132</v>
      </c>
      <c r="K1580" s="1" t="s">
        <v>31293</v>
      </c>
      <c r="L1580" s="1" t="s">
        <v>132</v>
      </c>
      <c r="M1580" s="1" t="s">
        <v>31294</v>
      </c>
      <c r="N1580" s="1" t="s">
        <v>31295</v>
      </c>
      <c r="O1580" s="1" t="s">
        <v>132</v>
      </c>
      <c r="P1580" s="1" t="s">
        <v>31296</v>
      </c>
      <c r="Q1580" s="1" t="s">
        <v>132</v>
      </c>
      <c r="R1580" s="1" t="s">
        <v>132</v>
      </c>
      <c r="S1580" s="1" t="s">
        <v>31297</v>
      </c>
      <c r="T1580" s="1" t="s">
        <v>132</v>
      </c>
      <c r="U1580" s="1" t="s">
        <v>31298</v>
      </c>
      <c r="V1580" s="1" t="s">
        <v>132</v>
      </c>
      <c r="W1580" s="1" t="s">
        <v>132</v>
      </c>
      <c r="X1580" s="1" t="s">
        <v>31299</v>
      </c>
      <c r="Y1580" s="1" t="s">
        <v>132</v>
      </c>
      <c r="Z1580" s="1" t="s">
        <v>31300</v>
      </c>
      <c r="AA1580" s="1" t="s">
        <v>31301</v>
      </c>
      <c r="AB1580" s="1" t="s">
        <v>132</v>
      </c>
      <c r="AC1580" s="1" t="s">
        <v>31302</v>
      </c>
      <c r="AD1580" s="1" t="s">
        <v>132</v>
      </c>
      <c r="AE1580" s="1" t="s">
        <v>132</v>
      </c>
      <c r="AF1580" s="1" t="s">
        <v>31303</v>
      </c>
      <c r="AG1580" s="1" t="s">
        <v>132</v>
      </c>
      <c r="AH1580" s="1" t="s">
        <v>132</v>
      </c>
      <c r="AI1580" s="1" t="s">
        <v>132</v>
      </c>
      <c r="AJ1580" s="1" t="s">
        <v>132</v>
      </c>
      <c r="AK1580" s="1" t="s">
        <v>132</v>
      </c>
      <c r="AL1580" s="1" t="s">
        <v>132</v>
      </c>
      <c r="AM1580" s="1" t="s">
        <v>132</v>
      </c>
      <c r="AN1580" s="1" t="s">
        <v>132</v>
      </c>
    </row>
    <row r="1581" ht="15.75" customHeight="1">
      <c r="A1581" s="1" t="s">
        <v>38</v>
      </c>
      <c r="B1581" s="1" t="s">
        <v>31304</v>
      </c>
      <c r="C1581" s="1" t="s">
        <v>31305</v>
      </c>
      <c r="D1581" s="8" t="s">
        <v>31306</v>
      </c>
      <c r="E1581" s="1" t="s">
        <v>31307</v>
      </c>
      <c r="F1581" s="1" t="s">
        <v>31308</v>
      </c>
      <c r="G1581" s="1" t="s">
        <v>132</v>
      </c>
      <c r="H1581" s="1" t="s">
        <v>132</v>
      </c>
      <c r="I1581" s="1" t="s">
        <v>31309</v>
      </c>
      <c r="J1581" s="1" t="s">
        <v>132</v>
      </c>
      <c r="K1581" s="1" t="s">
        <v>31310</v>
      </c>
      <c r="L1581" s="1" t="s">
        <v>132</v>
      </c>
      <c r="M1581" s="1" t="s">
        <v>31311</v>
      </c>
      <c r="N1581" s="1" t="s">
        <v>31312</v>
      </c>
      <c r="O1581" s="1" t="s">
        <v>132</v>
      </c>
      <c r="P1581" s="1" t="s">
        <v>31313</v>
      </c>
      <c r="Q1581" s="1" t="s">
        <v>31314</v>
      </c>
      <c r="R1581" s="1" t="s">
        <v>132</v>
      </c>
      <c r="S1581" s="1" t="s">
        <v>31315</v>
      </c>
      <c r="T1581" s="1" t="s">
        <v>132</v>
      </c>
      <c r="U1581" s="1" t="s">
        <v>31316</v>
      </c>
      <c r="V1581" s="1" t="s">
        <v>31317</v>
      </c>
      <c r="W1581" s="1" t="s">
        <v>132</v>
      </c>
      <c r="X1581" s="1" t="s">
        <v>31318</v>
      </c>
      <c r="Y1581" s="1" t="s">
        <v>132</v>
      </c>
      <c r="Z1581" s="1" t="s">
        <v>31319</v>
      </c>
      <c r="AA1581" s="1" t="s">
        <v>31320</v>
      </c>
      <c r="AB1581" s="1" t="s">
        <v>132</v>
      </c>
      <c r="AC1581" s="1" t="s">
        <v>31321</v>
      </c>
      <c r="AD1581" s="1" t="s">
        <v>31322</v>
      </c>
      <c r="AE1581" s="1" t="s">
        <v>132</v>
      </c>
      <c r="AF1581" s="1" t="s">
        <v>31323</v>
      </c>
      <c r="AG1581" s="1" t="s">
        <v>31324</v>
      </c>
      <c r="AH1581" s="1" t="s">
        <v>132</v>
      </c>
      <c r="AI1581" s="1" t="s">
        <v>132</v>
      </c>
      <c r="AJ1581" s="1" t="s">
        <v>31325</v>
      </c>
      <c r="AK1581" s="1" t="s">
        <v>31326</v>
      </c>
      <c r="AL1581" s="1" t="s">
        <v>132</v>
      </c>
      <c r="AM1581" s="1" t="s">
        <v>31327</v>
      </c>
      <c r="AN1581" s="1" t="s">
        <v>31327</v>
      </c>
    </row>
    <row r="1582" ht="15.75" customHeight="1">
      <c r="A1582" s="1" t="s">
        <v>38</v>
      </c>
      <c r="B1582" s="1" t="s">
        <v>31328</v>
      </c>
      <c r="C1582" s="1" t="s">
        <v>31329</v>
      </c>
      <c r="D1582" s="8" t="s">
        <v>31330</v>
      </c>
      <c r="E1582" s="1" t="s">
        <v>31331</v>
      </c>
      <c r="F1582" s="1" t="s">
        <v>31332</v>
      </c>
      <c r="G1582" s="1" t="s">
        <v>132</v>
      </c>
      <c r="H1582" s="1" t="s">
        <v>132</v>
      </c>
      <c r="I1582" s="1" t="s">
        <v>31333</v>
      </c>
      <c r="J1582" s="1" t="s">
        <v>132</v>
      </c>
      <c r="K1582" s="1" t="s">
        <v>31334</v>
      </c>
      <c r="L1582" s="1" t="s">
        <v>132</v>
      </c>
      <c r="M1582" s="1" t="s">
        <v>31335</v>
      </c>
      <c r="N1582" s="1" t="s">
        <v>31336</v>
      </c>
      <c r="O1582" s="1" t="s">
        <v>132</v>
      </c>
      <c r="P1582" s="1" t="s">
        <v>31337</v>
      </c>
      <c r="Q1582" s="1" t="s">
        <v>31338</v>
      </c>
      <c r="R1582" s="1" t="s">
        <v>132</v>
      </c>
      <c r="S1582" s="1" t="s">
        <v>31339</v>
      </c>
      <c r="T1582" s="1" t="s">
        <v>132</v>
      </c>
      <c r="U1582" s="1" t="s">
        <v>31340</v>
      </c>
      <c r="V1582" s="1" t="s">
        <v>31341</v>
      </c>
      <c r="W1582" s="1" t="s">
        <v>132</v>
      </c>
      <c r="X1582" s="1" t="s">
        <v>31342</v>
      </c>
      <c r="Y1582" s="1" t="s">
        <v>132</v>
      </c>
      <c r="Z1582" s="1" t="s">
        <v>31343</v>
      </c>
      <c r="AA1582" s="1" t="s">
        <v>31344</v>
      </c>
      <c r="AB1582" s="1" t="s">
        <v>132</v>
      </c>
      <c r="AC1582" s="1" t="s">
        <v>31345</v>
      </c>
      <c r="AD1582" s="1" t="s">
        <v>132</v>
      </c>
      <c r="AE1582" s="1" t="s">
        <v>132</v>
      </c>
      <c r="AF1582" s="1" t="s">
        <v>31346</v>
      </c>
      <c r="AG1582" s="1" t="s">
        <v>31347</v>
      </c>
      <c r="AH1582" s="1" t="s">
        <v>132</v>
      </c>
      <c r="AI1582" s="1" t="s">
        <v>132</v>
      </c>
      <c r="AJ1582" s="1" t="s">
        <v>31348</v>
      </c>
      <c r="AK1582" s="1" t="s">
        <v>132</v>
      </c>
      <c r="AL1582" s="1" t="s">
        <v>132</v>
      </c>
      <c r="AM1582" s="1" t="s">
        <v>31349</v>
      </c>
      <c r="AN1582" s="1" t="s">
        <v>31349</v>
      </c>
    </row>
    <row r="1583" ht="15.75" customHeight="1">
      <c r="A1583" s="1" t="s">
        <v>127</v>
      </c>
      <c r="B1583" s="1" t="s">
        <v>31350</v>
      </c>
      <c r="C1583" s="1" t="s">
        <v>31351</v>
      </c>
      <c r="D1583" s="8" t="s">
        <v>31352</v>
      </c>
      <c r="E1583" s="1" t="s">
        <v>31353</v>
      </c>
      <c r="F1583" s="1" t="s">
        <v>132</v>
      </c>
      <c r="G1583" s="1" t="s">
        <v>31354</v>
      </c>
      <c r="H1583" s="1" t="s">
        <v>31355</v>
      </c>
      <c r="I1583" s="1" t="s">
        <v>31356</v>
      </c>
      <c r="J1583" s="1" t="s">
        <v>31357</v>
      </c>
      <c r="K1583" s="1" t="s">
        <v>31358</v>
      </c>
      <c r="L1583" s="1" t="s">
        <v>31359</v>
      </c>
      <c r="M1583" s="1" t="s">
        <v>31360</v>
      </c>
      <c r="N1583" s="1" t="s">
        <v>132</v>
      </c>
      <c r="O1583" s="1" t="s">
        <v>31361</v>
      </c>
      <c r="P1583" s="1" t="s">
        <v>31351</v>
      </c>
      <c r="Q1583" s="1" t="s">
        <v>132</v>
      </c>
      <c r="R1583" s="1" t="s">
        <v>31362</v>
      </c>
      <c r="S1583" s="1" t="s">
        <v>31363</v>
      </c>
      <c r="T1583" s="8" t="s">
        <v>31364</v>
      </c>
      <c r="U1583" s="1" t="s">
        <v>31365</v>
      </c>
      <c r="V1583" s="1" t="s">
        <v>31366</v>
      </c>
      <c r="W1583" s="1" t="s">
        <v>31362</v>
      </c>
      <c r="X1583" s="1" t="s">
        <v>31367</v>
      </c>
      <c r="Y1583" s="1" t="s">
        <v>31368</v>
      </c>
      <c r="Z1583" s="11" t="s">
        <v>31369</v>
      </c>
      <c r="AA1583" s="1" t="s">
        <v>31370</v>
      </c>
      <c r="AB1583" s="1" t="s">
        <v>31371</v>
      </c>
      <c r="AC1583" s="1" t="s">
        <v>31372</v>
      </c>
      <c r="AD1583" s="1" t="s">
        <v>31373</v>
      </c>
      <c r="AE1583" s="1" t="s">
        <v>31374</v>
      </c>
      <c r="AF1583" s="1" t="s">
        <v>31351</v>
      </c>
      <c r="AG1583" s="1" t="s">
        <v>31375</v>
      </c>
      <c r="AH1583" s="1" t="s">
        <v>31376</v>
      </c>
      <c r="AI1583" s="1" t="s">
        <v>31377</v>
      </c>
      <c r="AJ1583" s="1" t="s">
        <v>132</v>
      </c>
      <c r="AK1583" s="1" t="s">
        <v>31378</v>
      </c>
      <c r="AL1583" s="1" t="s">
        <v>31379</v>
      </c>
      <c r="AM1583" s="1" t="s">
        <v>132</v>
      </c>
      <c r="AN1583" s="1" t="s">
        <v>132</v>
      </c>
    </row>
    <row r="1584" ht="15.75" customHeight="1">
      <c r="A1584" s="1" t="s">
        <v>127</v>
      </c>
      <c r="B1584" s="1" t="s">
        <v>31380</v>
      </c>
      <c r="C1584" s="1" t="s">
        <v>31381</v>
      </c>
      <c r="D1584" s="8" t="s">
        <v>31382</v>
      </c>
      <c r="E1584" s="1" t="s">
        <v>31383</v>
      </c>
      <c r="F1584" s="1" t="s">
        <v>132</v>
      </c>
      <c r="G1584" s="1" t="s">
        <v>31384</v>
      </c>
      <c r="H1584" s="1" t="s">
        <v>31385</v>
      </c>
      <c r="I1584" s="1" t="s">
        <v>31386</v>
      </c>
      <c r="J1584" s="1" t="s">
        <v>31387</v>
      </c>
      <c r="K1584" s="1" t="s">
        <v>31388</v>
      </c>
      <c r="L1584" s="1" t="s">
        <v>31389</v>
      </c>
      <c r="M1584" s="1" t="s">
        <v>31390</v>
      </c>
      <c r="N1584" s="1" t="s">
        <v>132</v>
      </c>
      <c r="O1584" s="1" t="s">
        <v>31391</v>
      </c>
      <c r="P1584" s="1" t="s">
        <v>31392</v>
      </c>
      <c r="Q1584" s="1" t="s">
        <v>132</v>
      </c>
      <c r="R1584" s="1" t="s">
        <v>31393</v>
      </c>
      <c r="S1584" s="1" t="s">
        <v>31394</v>
      </c>
      <c r="T1584" s="8" t="s">
        <v>31395</v>
      </c>
      <c r="U1584" s="1" t="s">
        <v>31396</v>
      </c>
      <c r="V1584" s="1" t="s">
        <v>31397</v>
      </c>
      <c r="W1584" s="1" t="s">
        <v>31398</v>
      </c>
      <c r="X1584" s="1" t="s">
        <v>31399</v>
      </c>
      <c r="Y1584" s="1" t="s">
        <v>31400</v>
      </c>
      <c r="Z1584" s="1" t="s">
        <v>31401</v>
      </c>
      <c r="AA1584" s="1" t="s">
        <v>31402</v>
      </c>
      <c r="AB1584" s="1" t="s">
        <v>31403</v>
      </c>
      <c r="AC1584" s="1" t="s">
        <v>31404</v>
      </c>
      <c r="AD1584" s="1" t="s">
        <v>31405</v>
      </c>
      <c r="AE1584" s="1" t="s">
        <v>31406</v>
      </c>
      <c r="AF1584" s="1" t="s">
        <v>31407</v>
      </c>
      <c r="AG1584" s="1" t="s">
        <v>31408</v>
      </c>
      <c r="AH1584" s="1" t="s">
        <v>31409</v>
      </c>
      <c r="AI1584" s="1" t="s">
        <v>31410</v>
      </c>
      <c r="AJ1584" s="1" t="s">
        <v>132</v>
      </c>
      <c r="AK1584" s="1" t="s">
        <v>31411</v>
      </c>
      <c r="AL1584" s="1" t="s">
        <v>31412</v>
      </c>
      <c r="AM1584" s="1" t="s">
        <v>31413</v>
      </c>
      <c r="AN1584" s="1" t="s">
        <v>31413</v>
      </c>
    </row>
    <row r="1585" ht="15.75" customHeight="1">
      <c r="A1585" s="1" t="s">
        <v>38</v>
      </c>
      <c r="B1585" s="1" t="s">
        <v>31414</v>
      </c>
      <c r="C1585" s="1" t="s">
        <v>31415</v>
      </c>
      <c r="D1585" s="1" t="s">
        <v>132</v>
      </c>
      <c r="E1585" s="1" t="s">
        <v>132</v>
      </c>
      <c r="F1585" s="1" t="s">
        <v>132</v>
      </c>
      <c r="G1585" s="1" t="s">
        <v>132</v>
      </c>
      <c r="H1585" s="1" t="s">
        <v>132</v>
      </c>
      <c r="I1585" s="1" t="s">
        <v>31416</v>
      </c>
      <c r="J1585" s="1" t="s">
        <v>132</v>
      </c>
      <c r="K1585" s="1" t="s">
        <v>31417</v>
      </c>
      <c r="L1585" s="1" t="s">
        <v>132</v>
      </c>
      <c r="M1585" s="1" t="s">
        <v>31415</v>
      </c>
      <c r="N1585" s="1" t="s">
        <v>132</v>
      </c>
      <c r="O1585" s="1" t="s">
        <v>132</v>
      </c>
      <c r="P1585" s="1" t="s">
        <v>31415</v>
      </c>
      <c r="Q1585" s="1" t="s">
        <v>132</v>
      </c>
      <c r="R1585" s="1" t="s">
        <v>132</v>
      </c>
      <c r="S1585" s="1" t="s">
        <v>132</v>
      </c>
      <c r="T1585" s="1" t="s">
        <v>132</v>
      </c>
      <c r="U1585" s="1" t="s">
        <v>132</v>
      </c>
      <c r="V1585" s="1" t="s">
        <v>132</v>
      </c>
      <c r="W1585" s="1" t="s">
        <v>132</v>
      </c>
      <c r="X1585" s="1" t="s">
        <v>132</v>
      </c>
      <c r="Y1585" s="1" t="s">
        <v>132</v>
      </c>
      <c r="Z1585" s="1" t="s">
        <v>132</v>
      </c>
      <c r="AA1585" s="1" t="s">
        <v>132</v>
      </c>
      <c r="AB1585" s="1" t="s">
        <v>132</v>
      </c>
      <c r="AC1585" s="1" t="s">
        <v>31418</v>
      </c>
      <c r="AD1585" s="1" t="s">
        <v>132</v>
      </c>
      <c r="AE1585" s="1" t="s">
        <v>132</v>
      </c>
      <c r="AF1585" s="1" t="s">
        <v>31415</v>
      </c>
      <c r="AG1585" s="1" t="s">
        <v>132</v>
      </c>
      <c r="AH1585" s="1" t="s">
        <v>132</v>
      </c>
      <c r="AI1585" s="1" t="s">
        <v>132</v>
      </c>
      <c r="AJ1585" s="1" t="s">
        <v>132</v>
      </c>
      <c r="AK1585" s="1" t="s">
        <v>132</v>
      </c>
      <c r="AL1585" s="1" t="s">
        <v>132</v>
      </c>
      <c r="AM1585" s="1" t="s">
        <v>132</v>
      </c>
      <c r="AN1585" s="1" t="s">
        <v>132</v>
      </c>
    </row>
    <row r="1586" ht="15.75" customHeight="1">
      <c r="A1586" s="1" t="s">
        <v>127</v>
      </c>
      <c r="B1586" s="1" t="s">
        <v>31419</v>
      </c>
      <c r="C1586" s="1" t="s">
        <v>31420</v>
      </c>
      <c r="D1586" s="1" t="s">
        <v>132</v>
      </c>
      <c r="E1586" s="1" t="s">
        <v>132</v>
      </c>
      <c r="F1586" s="1" t="s">
        <v>132</v>
      </c>
      <c r="G1586" s="1" t="s">
        <v>132</v>
      </c>
      <c r="H1586" s="1" t="s">
        <v>31421</v>
      </c>
      <c r="I1586" s="1" t="s">
        <v>31422</v>
      </c>
      <c r="J1586" s="1" t="s">
        <v>132</v>
      </c>
      <c r="K1586" s="1" t="s">
        <v>31423</v>
      </c>
      <c r="L1586" s="1" t="s">
        <v>31424</v>
      </c>
      <c r="M1586" s="1" t="s">
        <v>31425</v>
      </c>
      <c r="N1586" s="1" t="s">
        <v>132</v>
      </c>
      <c r="O1586" s="1" t="s">
        <v>132</v>
      </c>
      <c r="P1586" s="1" t="s">
        <v>31426</v>
      </c>
      <c r="Q1586" s="1" t="s">
        <v>132</v>
      </c>
      <c r="R1586" s="1" t="s">
        <v>31427</v>
      </c>
      <c r="S1586" s="1" t="s">
        <v>31428</v>
      </c>
      <c r="T1586" s="1" t="s">
        <v>132</v>
      </c>
      <c r="U1586" s="1" t="s">
        <v>31429</v>
      </c>
      <c r="V1586" s="1" t="s">
        <v>31430</v>
      </c>
      <c r="W1586" s="1" t="s">
        <v>31431</v>
      </c>
      <c r="X1586" s="1" t="s">
        <v>31432</v>
      </c>
      <c r="Y1586" s="1" t="s">
        <v>31433</v>
      </c>
      <c r="Z1586" s="1" t="s">
        <v>31434</v>
      </c>
      <c r="AA1586" s="1" t="s">
        <v>31435</v>
      </c>
      <c r="AB1586" s="1" t="s">
        <v>132</v>
      </c>
      <c r="AC1586" s="1" t="s">
        <v>31436</v>
      </c>
      <c r="AD1586" s="1" t="s">
        <v>132</v>
      </c>
      <c r="AE1586" s="1" t="s">
        <v>132</v>
      </c>
      <c r="AF1586" s="1" t="s">
        <v>31437</v>
      </c>
      <c r="AG1586" s="1" t="s">
        <v>31438</v>
      </c>
      <c r="AH1586" s="1" t="s">
        <v>132</v>
      </c>
      <c r="AI1586" s="1" t="s">
        <v>31439</v>
      </c>
      <c r="AJ1586" s="1" t="s">
        <v>132</v>
      </c>
      <c r="AK1586" s="1" t="s">
        <v>132</v>
      </c>
      <c r="AL1586" s="1" t="s">
        <v>31440</v>
      </c>
      <c r="AM1586" s="1" t="s">
        <v>132</v>
      </c>
      <c r="AN1586" s="1" t="s">
        <v>132</v>
      </c>
    </row>
    <row r="1587" ht="15.75" customHeight="1">
      <c r="A1587" s="1" t="s">
        <v>127</v>
      </c>
      <c r="B1587" s="1" t="s">
        <v>31441</v>
      </c>
      <c r="C1587" s="1" t="s">
        <v>31442</v>
      </c>
      <c r="D1587" s="8" t="s">
        <v>31443</v>
      </c>
      <c r="E1587" s="1" t="s">
        <v>31444</v>
      </c>
      <c r="F1587" s="1" t="s">
        <v>132</v>
      </c>
      <c r="G1587" s="1" t="s">
        <v>31445</v>
      </c>
      <c r="H1587" s="1" t="s">
        <v>31446</v>
      </c>
      <c r="I1587" s="1" t="s">
        <v>31447</v>
      </c>
      <c r="J1587" s="1" t="s">
        <v>31448</v>
      </c>
      <c r="K1587" s="1" t="s">
        <v>31449</v>
      </c>
      <c r="L1587" s="1" t="s">
        <v>31450</v>
      </c>
      <c r="M1587" s="1" t="s">
        <v>31451</v>
      </c>
      <c r="N1587" s="1" t="s">
        <v>132</v>
      </c>
      <c r="O1587" s="1" t="s">
        <v>31452</v>
      </c>
      <c r="P1587" s="1" t="s">
        <v>31453</v>
      </c>
      <c r="Q1587" s="1" t="s">
        <v>132</v>
      </c>
      <c r="R1587" s="1" t="s">
        <v>31454</v>
      </c>
      <c r="S1587" s="1" t="s">
        <v>31455</v>
      </c>
      <c r="T1587" s="8" t="s">
        <v>31456</v>
      </c>
      <c r="U1587" s="1" t="s">
        <v>31457</v>
      </c>
      <c r="V1587" s="1" t="s">
        <v>31458</v>
      </c>
      <c r="W1587" s="1" t="s">
        <v>31454</v>
      </c>
      <c r="X1587" s="1" t="s">
        <v>31459</v>
      </c>
      <c r="Y1587" s="1" t="s">
        <v>31446</v>
      </c>
      <c r="Z1587" s="1" t="s">
        <v>31460</v>
      </c>
      <c r="AA1587" s="1" t="s">
        <v>31461</v>
      </c>
      <c r="AB1587" s="1" t="s">
        <v>31462</v>
      </c>
      <c r="AC1587" s="1" t="s">
        <v>31463</v>
      </c>
      <c r="AD1587" s="1" t="s">
        <v>31464</v>
      </c>
      <c r="AE1587" s="1" t="s">
        <v>31465</v>
      </c>
      <c r="AF1587" s="1" t="s">
        <v>31466</v>
      </c>
      <c r="AG1587" s="1" t="s">
        <v>31467</v>
      </c>
      <c r="AH1587" s="1" t="s">
        <v>31468</v>
      </c>
      <c r="AI1587" s="1" t="s">
        <v>31469</v>
      </c>
      <c r="AJ1587" s="1" t="s">
        <v>132</v>
      </c>
      <c r="AK1587" s="1" t="s">
        <v>31470</v>
      </c>
      <c r="AL1587" s="1" t="s">
        <v>31457</v>
      </c>
      <c r="AM1587" s="1" t="s">
        <v>31471</v>
      </c>
      <c r="AN1587" s="1" t="s">
        <v>31471</v>
      </c>
    </row>
    <row r="1588" ht="15.75" customHeight="1">
      <c r="A1588" s="1" t="s">
        <v>127</v>
      </c>
      <c r="B1588" s="1" t="s">
        <v>31472</v>
      </c>
      <c r="C1588" s="1" t="s">
        <v>31473</v>
      </c>
      <c r="D1588" s="8" t="s">
        <v>31474</v>
      </c>
      <c r="E1588" s="1" t="s">
        <v>31475</v>
      </c>
      <c r="F1588" s="1" t="s">
        <v>132</v>
      </c>
      <c r="G1588" s="1" t="s">
        <v>31476</v>
      </c>
      <c r="H1588" s="1" t="s">
        <v>31477</v>
      </c>
      <c r="I1588" s="1" t="s">
        <v>31478</v>
      </c>
      <c r="J1588" s="1" t="s">
        <v>31479</v>
      </c>
      <c r="K1588" s="1" t="s">
        <v>31480</v>
      </c>
      <c r="L1588" s="1" t="s">
        <v>31481</v>
      </c>
      <c r="M1588" s="1" t="s">
        <v>31482</v>
      </c>
      <c r="N1588" s="1" t="s">
        <v>132</v>
      </c>
      <c r="O1588" s="1" t="s">
        <v>31483</v>
      </c>
      <c r="P1588" s="1" t="s">
        <v>31484</v>
      </c>
      <c r="Q1588" s="1" t="s">
        <v>132</v>
      </c>
      <c r="R1588" s="1" t="s">
        <v>31485</v>
      </c>
      <c r="S1588" s="1" t="s">
        <v>31486</v>
      </c>
      <c r="T1588" s="8" t="s">
        <v>31487</v>
      </c>
      <c r="U1588" s="1" t="s">
        <v>31488</v>
      </c>
      <c r="V1588" s="1" t="s">
        <v>31489</v>
      </c>
      <c r="W1588" s="1" t="s">
        <v>31490</v>
      </c>
      <c r="X1588" s="1" t="s">
        <v>31491</v>
      </c>
      <c r="Y1588" s="1" t="s">
        <v>31492</v>
      </c>
      <c r="Z1588" s="1" t="s">
        <v>31493</v>
      </c>
      <c r="AA1588" s="1" t="s">
        <v>31494</v>
      </c>
      <c r="AB1588" s="1" t="s">
        <v>31495</v>
      </c>
      <c r="AC1588" s="1" t="s">
        <v>31496</v>
      </c>
      <c r="AD1588" s="1" t="s">
        <v>31497</v>
      </c>
      <c r="AE1588" s="1" t="s">
        <v>31498</v>
      </c>
      <c r="AF1588" s="1" t="s">
        <v>31499</v>
      </c>
      <c r="AG1588" s="1" t="s">
        <v>31500</v>
      </c>
      <c r="AH1588" s="1" t="s">
        <v>31501</v>
      </c>
      <c r="AI1588" s="1" t="s">
        <v>31502</v>
      </c>
      <c r="AJ1588" s="1" t="s">
        <v>132</v>
      </c>
      <c r="AK1588" s="1" t="s">
        <v>31503</v>
      </c>
      <c r="AL1588" s="1" t="s">
        <v>31504</v>
      </c>
      <c r="AM1588" s="1" t="s">
        <v>31505</v>
      </c>
      <c r="AN1588" s="1" t="s">
        <v>31505</v>
      </c>
    </row>
    <row r="1589" ht="15.75" customHeight="1">
      <c r="A1589" s="1" t="s">
        <v>38</v>
      </c>
      <c r="B1589" s="1" t="s">
        <v>31506</v>
      </c>
      <c r="C1589" s="1" t="s">
        <v>31507</v>
      </c>
      <c r="D1589" s="8" t="s">
        <v>31508</v>
      </c>
      <c r="E1589" s="1" t="s">
        <v>31509</v>
      </c>
      <c r="F1589" s="1" t="s">
        <v>31510</v>
      </c>
      <c r="G1589" s="1" t="s">
        <v>132</v>
      </c>
      <c r="H1589" s="1" t="s">
        <v>132</v>
      </c>
      <c r="I1589" s="1" t="s">
        <v>31511</v>
      </c>
      <c r="J1589" s="1" t="s">
        <v>132</v>
      </c>
      <c r="K1589" s="1" t="s">
        <v>31512</v>
      </c>
      <c r="L1589" s="1" t="s">
        <v>132</v>
      </c>
      <c r="M1589" s="1" t="s">
        <v>31513</v>
      </c>
      <c r="N1589" s="1" t="s">
        <v>31514</v>
      </c>
      <c r="O1589" s="1" t="s">
        <v>132</v>
      </c>
      <c r="P1589" s="1" t="s">
        <v>31515</v>
      </c>
      <c r="Q1589" s="1" t="s">
        <v>31516</v>
      </c>
      <c r="R1589" s="1" t="s">
        <v>132</v>
      </c>
      <c r="S1589" s="1" t="s">
        <v>31517</v>
      </c>
      <c r="T1589" s="1" t="s">
        <v>132</v>
      </c>
      <c r="U1589" s="1" t="s">
        <v>31518</v>
      </c>
      <c r="V1589" s="1" t="s">
        <v>31519</v>
      </c>
      <c r="W1589" s="1" t="s">
        <v>132</v>
      </c>
      <c r="X1589" s="1" t="s">
        <v>31520</v>
      </c>
      <c r="Y1589" s="1" t="s">
        <v>132</v>
      </c>
      <c r="Z1589" s="1" t="s">
        <v>31521</v>
      </c>
      <c r="AA1589" s="1" t="s">
        <v>31522</v>
      </c>
      <c r="AB1589" s="1" t="s">
        <v>132</v>
      </c>
      <c r="AC1589" s="1" t="s">
        <v>31523</v>
      </c>
      <c r="AD1589" s="1" t="s">
        <v>132</v>
      </c>
      <c r="AE1589" s="1" t="s">
        <v>132</v>
      </c>
      <c r="AF1589" s="1" t="s">
        <v>31524</v>
      </c>
      <c r="AG1589" s="1" t="s">
        <v>31525</v>
      </c>
      <c r="AH1589" s="1" t="s">
        <v>132</v>
      </c>
      <c r="AI1589" s="1" t="s">
        <v>132</v>
      </c>
      <c r="AJ1589" s="1" t="s">
        <v>31526</v>
      </c>
      <c r="AK1589" s="1" t="s">
        <v>31527</v>
      </c>
      <c r="AL1589" s="1" t="s">
        <v>132</v>
      </c>
      <c r="AM1589" s="1" t="s">
        <v>31528</v>
      </c>
      <c r="AN1589" s="1" t="s">
        <v>31528</v>
      </c>
    </row>
    <row r="1590" ht="15.75" customHeight="1">
      <c r="A1590" s="1" t="s">
        <v>38</v>
      </c>
      <c r="B1590" s="1" t="s">
        <v>31529</v>
      </c>
      <c r="C1590" s="1" t="s">
        <v>31530</v>
      </c>
      <c r="D1590" s="8" t="s">
        <v>31531</v>
      </c>
      <c r="E1590" s="1" t="s">
        <v>31532</v>
      </c>
      <c r="F1590" s="1" t="s">
        <v>31533</v>
      </c>
      <c r="G1590" s="1" t="s">
        <v>132</v>
      </c>
      <c r="H1590" s="1" t="s">
        <v>132</v>
      </c>
      <c r="I1590" s="1" t="s">
        <v>31534</v>
      </c>
      <c r="J1590" s="1" t="s">
        <v>132</v>
      </c>
      <c r="K1590" s="1" t="s">
        <v>31535</v>
      </c>
      <c r="L1590" s="1" t="s">
        <v>132</v>
      </c>
      <c r="M1590" s="1" t="s">
        <v>31536</v>
      </c>
      <c r="N1590" s="1" t="s">
        <v>31535</v>
      </c>
      <c r="O1590" s="1" t="s">
        <v>132</v>
      </c>
      <c r="P1590" s="1" t="s">
        <v>31537</v>
      </c>
      <c r="Q1590" s="1" t="s">
        <v>31538</v>
      </c>
      <c r="R1590" s="1" t="s">
        <v>132</v>
      </c>
      <c r="S1590" s="1" t="s">
        <v>31539</v>
      </c>
      <c r="T1590" s="1" t="s">
        <v>132</v>
      </c>
      <c r="U1590" s="1" t="s">
        <v>31540</v>
      </c>
      <c r="V1590" s="1" t="s">
        <v>31541</v>
      </c>
      <c r="W1590" s="1" t="s">
        <v>132</v>
      </c>
      <c r="X1590" s="1" t="s">
        <v>31542</v>
      </c>
      <c r="Y1590" s="1" t="s">
        <v>132</v>
      </c>
      <c r="Z1590" s="1" t="s">
        <v>31543</v>
      </c>
      <c r="AA1590" s="1" t="s">
        <v>31544</v>
      </c>
      <c r="AB1590" s="1" t="s">
        <v>132</v>
      </c>
      <c r="AC1590" s="1" t="s">
        <v>31545</v>
      </c>
      <c r="AD1590" s="1" t="s">
        <v>31546</v>
      </c>
      <c r="AE1590" s="1" t="s">
        <v>132</v>
      </c>
      <c r="AF1590" s="1" t="s">
        <v>31547</v>
      </c>
      <c r="AG1590" s="1" t="s">
        <v>31548</v>
      </c>
      <c r="AH1590" s="1" t="s">
        <v>132</v>
      </c>
      <c r="AI1590" s="1" t="s">
        <v>132</v>
      </c>
      <c r="AJ1590" s="1" t="s">
        <v>31549</v>
      </c>
      <c r="AK1590" s="1" t="s">
        <v>31550</v>
      </c>
      <c r="AL1590" s="1" t="s">
        <v>132</v>
      </c>
      <c r="AM1590" s="1" t="s">
        <v>31551</v>
      </c>
      <c r="AN1590" s="1" t="s">
        <v>31551</v>
      </c>
    </row>
    <row r="1591" ht="15.75" customHeight="1">
      <c r="A1591" s="1" t="s">
        <v>38</v>
      </c>
      <c r="B1591" s="1" t="s">
        <v>31552</v>
      </c>
      <c r="C1591" s="1" t="s">
        <v>31553</v>
      </c>
      <c r="D1591" s="8" t="s">
        <v>31554</v>
      </c>
      <c r="E1591" s="1" t="s">
        <v>31555</v>
      </c>
      <c r="F1591" s="1" t="s">
        <v>31556</v>
      </c>
      <c r="G1591" s="1" t="s">
        <v>132</v>
      </c>
      <c r="H1591" s="1" t="s">
        <v>132</v>
      </c>
      <c r="I1591" s="1" t="s">
        <v>31557</v>
      </c>
      <c r="J1591" s="1" t="s">
        <v>132</v>
      </c>
      <c r="K1591" s="1" t="s">
        <v>31558</v>
      </c>
      <c r="L1591" s="1" t="s">
        <v>132</v>
      </c>
      <c r="M1591" s="1" t="s">
        <v>31559</v>
      </c>
      <c r="N1591" s="1" t="s">
        <v>31560</v>
      </c>
      <c r="O1591" s="1" t="s">
        <v>132</v>
      </c>
      <c r="P1591" s="1" t="s">
        <v>31561</v>
      </c>
      <c r="Q1591" s="1" t="s">
        <v>132</v>
      </c>
      <c r="R1591" s="1" t="s">
        <v>132</v>
      </c>
      <c r="S1591" s="1" t="s">
        <v>31562</v>
      </c>
      <c r="T1591" s="1" t="s">
        <v>132</v>
      </c>
      <c r="U1591" s="1" t="s">
        <v>31563</v>
      </c>
      <c r="V1591" s="1" t="s">
        <v>132</v>
      </c>
      <c r="W1591" s="1" t="s">
        <v>132</v>
      </c>
      <c r="X1591" s="1" t="s">
        <v>31564</v>
      </c>
      <c r="Y1591" s="1" t="s">
        <v>132</v>
      </c>
      <c r="Z1591" s="1" t="s">
        <v>31565</v>
      </c>
      <c r="AA1591" s="1" t="s">
        <v>132</v>
      </c>
      <c r="AB1591" s="1" t="s">
        <v>132</v>
      </c>
      <c r="AC1591" s="1" t="s">
        <v>31566</v>
      </c>
      <c r="AD1591" s="1" t="s">
        <v>132</v>
      </c>
      <c r="AE1591" s="1" t="s">
        <v>132</v>
      </c>
      <c r="AF1591" s="1" t="s">
        <v>31567</v>
      </c>
      <c r="AG1591" s="1" t="s">
        <v>31568</v>
      </c>
      <c r="AH1591" s="1" t="s">
        <v>132</v>
      </c>
      <c r="AI1591" s="1" t="s">
        <v>132</v>
      </c>
      <c r="AJ1591" s="1" t="s">
        <v>31569</v>
      </c>
      <c r="AK1591" s="1" t="s">
        <v>132</v>
      </c>
      <c r="AL1591" s="1" t="s">
        <v>132</v>
      </c>
      <c r="AM1591" s="1" t="s">
        <v>31570</v>
      </c>
      <c r="AN1591" s="1" t="s">
        <v>31570</v>
      </c>
    </row>
    <row r="1592" ht="15.75" customHeight="1">
      <c r="A1592" s="1" t="s">
        <v>127</v>
      </c>
      <c r="B1592" s="1" t="s">
        <v>31571</v>
      </c>
      <c r="C1592" s="1" t="s">
        <v>31572</v>
      </c>
      <c r="D1592" s="8" t="s">
        <v>31573</v>
      </c>
      <c r="E1592" s="1" t="s">
        <v>31574</v>
      </c>
      <c r="F1592" s="1" t="s">
        <v>132</v>
      </c>
      <c r="G1592" s="1" t="s">
        <v>31575</v>
      </c>
      <c r="H1592" s="1" t="s">
        <v>31576</v>
      </c>
      <c r="I1592" s="1" t="s">
        <v>31572</v>
      </c>
      <c r="J1592" s="1" t="s">
        <v>31577</v>
      </c>
      <c r="K1592" s="1" t="s">
        <v>31578</v>
      </c>
      <c r="L1592" s="1" t="s">
        <v>31579</v>
      </c>
      <c r="M1592" s="1" t="s">
        <v>31580</v>
      </c>
      <c r="N1592" s="1" t="s">
        <v>132</v>
      </c>
      <c r="O1592" s="1" t="s">
        <v>31581</v>
      </c>
      <c r="P1592" s="1" t="s">
        <v>31572</v>
      </c>
      <c r="Q1592" s="1" t="s">
        <v>132</v>
      </c>
      <c r="R1592" s="1" t="s">
        <v>31582</v>
      </c>
      <c r="S1592" s="1" t="s">
        <v>31572</v>
      </c>
      <c r="T1592" s="8" t="s">
        <v>31583</v>
      </c>
      <c r="U1592" s="1" t="s">
        <v>31584</v>
      </c>
      <c r="V1592" s="1" t="s">
        <v>31585</v>
      </c>
      <c r="W1592" s="1" t="s">
        <v>31582</v>
      </c>
      <c r="X1592" s="1" t="s">
        <v>31572</v>
      </c>
      <c r="Y1592" s="1" t="s">
        <v>31586</v>
      </c>
      <c r="Z1592" s="1" t="s">
        <v>31587</v>
      </c>
      <c r="AA1592" s="1" t="s">
        <v>31588</v>
      </c>
      <c r="AB1592" s="1" t="s">
        <v>31589</v>
      </c>
      <c r="AC1592" s="1" t="s">
        <v>31590</v>
      </c>
      <c r="AD1592" s="1" t="s">
        <v>31591</v>
      </c>
      <c r="AE1592" s="1" t="s">
        <v>31592</v>
      </c>
      <c r="AF1592" s="1" t="s">
        <v>31572</v>
      </c>
      <c r="AG1592" s="1" t="s">
        <v>31593</v>
      </c>
      <c r="AH1592" s="1" t="s">
        <v>31594</v>
      </c>
      <c r="AI1592" s="1" t="s">
        <v>31595</v>
      </c>
      <c r="AJ1592" s="1" t="s">
        <v>132</v>
      </c>
      <c r="AK1592" s="1" t="s">
        <v>31596</v>
      </c>
      <c r="AL1592" s="1" t="s">
        <v>31597</v>
      </c>
      <c r="AM1592" s="1" t="s">
        <v>132</v>
      </c>
      <c r="AN1592" s="1" t="s">
        <v>132</v>
      </c>
    </row>
    <row r="1593" ht="15.75" customHeight="1">
      <c r="A1593" s="1" t="s">
        <v>38</v>
      </c>
      <c r="B1593" s="1" t="s">
        <v>31598</v>
      </c>
      <c r="C1593" s="1" t="s">
        <v>31599</v>
      </c>
      <c r="D1593" s="8" t="s">
        <v>31600</v>
      </c>
      <c r="E1593" s="1" t="s">
        <v>31601</v>
      </c>
      <c r="F1593" s="1" t="s">
        <v>31602</v>
      </c>
      <c r="G1593" s="1" t="s">
        <v>132</v>
      </c>
      <c r="H1593" s="1" t="s">
        <v>132</v>
      </c>
      <c r="I1593" s="1" t="s">
        <v>31603</v>
      </c>
      <c r="J1593" s="1" t="s">
        <v>132</v>
      </c>
      <c r="K1593" s="1" t="s">
        <v>31604</v>
      </c>
      <c r="L1593" s="1" t="s">
        <v>132</v>
      </c>
      <c r="M1593" s="1" t="s">
        <v>31605</v>
      </c>
      <c r="N1593" s="1" t="s">
        <v>31606</v>
      </c>
      <c r="O1593" s="1" t="s">
        <v>132</v>
      </c>
      <c r="P1593" s="1" t="s">
        <v>31607</v>
      </c>
      <c r="Q1593" s="1" t="s">
        <v>31608</v>
      </c>
      <c r="R1593" s="1" t="s">
        <v>132</v>
      </c>
      <c r="S1593" s="1" t="s">
        <v>31609</v>
      </c>
      <c r="T1593" s="1" t="s">
        <v>132</v>
      </c>
      <c r="U1593" s="1" t="s">
        <v>31610</v>
      </c>
      <c r="V1593" s="1" t="s">
        <v>31611</v>
      </c>
      <c r="W1593" s="1" t="s">
        <v>132</v>
      </c>
      <c r="X1593" s="1" t="s">
        <v>31612</v>
      </c>
      <c r="Y1593" s="1" t="s">
        <v>132</v>
      </c>
      <c r="Z1593" s="1" t="s">
        <v>31613</v>
      </c>
      <c r="AA1593" s="1" t="s">
        <v>31614</v>
      </c>
      <c r="AB1593" s="1" t="s">
        <v>132</v>
      </c>
      <c r="AC1593" s="1" t="s">
        <v>31615</v>
      </c>
      <c r="AD1593" s="1" t="s">
        <v>31616</v>
      </c>
      <c r="AE1593" s="1" t="s">
        <v>132</v>
      </c>
      <c r="AF1593" s="1" t="s">
        <v>31617</v>
      </c>
      <c r="AG1593" s="1" t="s">
        <v>31618</v>
      </c>
      <c r="AH1593" s="1" t="s">
        <v>132</v>
      </c>
      <c r="AI1593" s="1" t="s">
        <v>132</v>
      </c>
      <c r="AJ1593" s="1" t="s">
        <v>31619</v>
      </c>
      <c r="AK1593" s="1" t="s">
        <v>31620</v>
      </c>
      <c r="AL1593" s="1" t="s">
        <v>132</v>
      </c>
      <c r="AM1593" s="1" t="s">
        <v>31621</v>
      </c>
      <c r="AN1593" s="1" t="s">
        <v>31621</v>
      </c>
    </row>
    <row r="1594" ht="15.75" customHeight="1">
      <c r="A1594" s="1" t="s">
        <v>38</v>
      </c>
      <c r="B1594" s="1" t="s">
        <v>31622</v>
      </c>
      <c r="C1594" s="1" t="s">
        <v>31623</v>
      </c>
      <c r="D1594" s="8" t="s">
        <v>31624</v>
      </c>
      <c r="E1594" s="1" t="s">
        <v>31625</v>
      </c>
      <c r="F1594" s="1" t="s">
        <v>31626</v>
      </c>
      <c r="G1594" s="1" t="s">
        <v>132</v>
      </c>
      <c r="H1594" s="1" t="s">
        <v>132</v>
      </c>
      <c r="I1594" s="1" t="s">
        <v>17407</v>
      </c>
      <c r="J1594" s="1" t="s">
        <v>132</v>
      </c>
      <c r="K1594" s="1" t="s">
        <v>31627</v>
      </c>
      <c r="L1594" s="1" t="s">
        <v>132</v>
      </c>
      <c r="M1594" s="1" t="s">
        <v>2802</v>
      </c>
      <c r="N1594" s="1" t="s">
        <v>31628</v>
      </c>
      <c r="O1594" s="1" t="s">
        <v>132</v>
      </c>
      <c r="P1594" s="1" t="s">
        <v>31629</v>
      </c>
      <c r="Q1594" s="1" t="s">
        <v>31630</v>
      </c>
      <c r="R1594" s="1" t="s">
        <v>132</v>
      </c>
      <c r="S1594" s="1" t="s">
        <v>31631</v>
      </c>
      <c r="T1594" s="1" t="s">
        <v>132</v>
      </c>
      <c r="U1594" s="1" t="s">
        <v>31632</v>
      </c>
      <c r="V1594" s="1" t="s">
        <v>31633</v>
      </c>
      <c r="W1594" s="1" t="s">
        <v>132</v>
      </c>
      <c r="X1594" s="1" t="s">
        <v>31634</v>
      </c>
      <c r="Y1594" s="1" t="s">
        <v>132</v>
      </c>
      <c r="Z1594" s="1" t="s">
        <v>31635</v>
      </c>
      <c r="AA1594" s="1" t="s">
        <v>31636</v>
      </c>
      <c r="AB1594" s="1" t="s">
        <v>132</v>
      </c>
      <c r="AC1594" s="1" t="s">
        <v>31637</v>
      </c>
      <c r="AD1594" s="1" t="s">
        <v>31638</v>
      </c>
      <c r="AE1594" s="1" t="s">
        <v>132</v>
      </c>
      <c r="AF1594" s="1" t="s">
        <v>31639</v>
      </c>
      <c r="AG1594" s="1" t="s">
        <v>31640</v>
      </c>
      <c r="AH1594" s="1" t="s">
        <v>132</v>
      </c>
      <c r="AI1594" s="1" t="s">
        <v>132</v>
      </c>
      <c r="AJ1594" s="1" t="s">
        <v>31641</v>
      </c>
      <c r="AK1594" s="1" t="s">
        <v>31642</v>
      </c>
      <c r="AL1594" s="1" t="s">
        <v>132</v>
      </c>
      <c r="AM1594" s="1" t="s">
        <v>31643</v>
      </c>
      <c r="AN1594" s="1" t="s">
        <v>31643</v>
      </c>
    </row>
    <row r="1595" ht="15.75" customHeight="1">
      <c r="A1595" s="1" t="s">
        <v>127</v>
      </c>
      <c r="B1595" s="1" t="s">
        <v>31644</v>
      </c>
      <c r="C1595" s="1" t="s">
        <v>31645</v>
      </c>
      <c r="D1595" s="8" t="s">
        <v>31646</v>
      </c>
      <c r="E1595" s="1" t="s">
        <v>31647</v>
      </c>
      <c r="F1595" s="1" t="s">
        <v>132</v>
      </c>
      <c r="G1595" s="1" t="s">
        <v>31648</v>
      </c>
      <c r="H1595" s="1" t="s">
        <v>31649</v>
      </c>
      <c r="I1595" s="1" t="s">
        <v>31650</v>
      </c>
      <c r="J1595" s="1" t="s">
        <v>31651</v>
      </c>
      <c r="K1595" s="1" t="s">
        <v>31652</v>
      </c>
      <c r="L1595" s="1" t="s">
        <v>31653</v>
      </c>
      <c r="M1595" s="1" t="s">
        <v>31654</v>
      </c>
      <c r="N1595" s="1" t="s">
        <v>132</v>
      </c>
      <c r="O1595" s="1" t="s">
        <v>31655</v>
      </c>
      <c r="P1595" s="1" t="s">
        <v>31656</v>
      </c>
      <c r="Q1595" s="1" t="s">
        <v>132</v>
      </c>
      <c r="R1595" s="1" t="s">
        <v>31657</v>
      </c>
      <c r="S1595" s="1" t="s">
        <v>31658</v>
      </c>
      <c r="T1595" s="8" t="s">
        <v>31659</v>
      </c>
      <c r="U1595" s="1" t="s">
        <v>31660</v>
      </c>
      <c r="V1595" s="1" t="s">
        <v>31661</v>
      </c>
      <c r="W1595" s="1" t="s">
        <v>31662</v>
      </c>
      <c r="X1595" s="1" t="s">
        <v>31663</v>
      </c>
      <c r="Y1595" s="1" t="s">
        <v>31664</v>
      </c>
      <c r="Z1595" s="1" t="s">
        <v>31665</v>
      </c>
      <c r="AA1595" s="1" t="s">
        <v>31666</v>
      </c>
      <c r="AB1595" s="1" t="s">
        <v>31667</v>
      </c>
      <c r="AC1595" s="1" t="s">
        <v>31668</v>
      </c>
      <c r="AD1595" s="1" t="s">
        <v>31669</v>
      </c>
      <c r="AE1595" s="1" t="s">
        <v>31670</v>
      </c>
      <c r="AF1595" s="1" t="s">
        <v>31671</v>
      </c>
      <c r="AG1595" s="1" t="s">
        <v>31672</v>
      </c>
      <c r="AH1595" s="1" t="s">
        <v>31673</v>
      </c>
      <c r="AI1595" s="1" t="s">
        <v>31674</v>
      </c>
      <c r="AJ1595" s="1" t="s">
        <v>132</v>
      </c>
      <c r="AK1595" s="1" t="s">
        <v>31675</v>
      </c>
      <c r="AL1595" s="1" t="s">
        <v>31676</v>
      </c>
      <c r="AM1595" s="1" t="s">
        <v>132</v>
      </c>
      <c r="AN1595" s="1" t="s">
        <v>132</v>
      </c>
    </row>
    <row r="1596" ht="15.75" customHeight="1">
      <c r="A1596" s="1" t="s">
        <v>127</v>
      </c>
      <c r="B1596" s="1" t="s">
        <v>31677</v>
      </c>
      <c r="C1596" s="1" t="s">
        <v>31678</v>
      </c>
      <c r="D1596" s="8" t="s">
        <v>31679</v>
      </c>
      <c r="E1596" s="1" t="s">
        <v>31680</v>
      </c>
      <c r="F1596" s="1" t="s">
        <v>132</v>
      </c>
      <c r="G1596" s="1" t="s">
        <v>31681</v>
      </c>
      <c r="H1596" s="1" t="s">
        <v>31682</v>
      </c>
      <c r="I1596" s="1" t="s">
        <v>31683</v>
      </c>
      <c r="J1596" s="1" t="s">
        <v>31684</v>
      </c>
      <c r="K1596" s="1" t="s">
        <v>31685</v>
      </c>
      <c r="L1596" s="1" t="s">
        <v>31686</v>
      </c>
      <c r="M1596" s="1" t="s">
        <v>31687</v>
      </c>
      <c r="N1596" s="1" t="s">
        <v>132</v>
      </c>
      <c r="O1596" s="1" t="s">
        <v>31688</v>
      </c>
      <c r="P1596" s="1" t="s">
        <v>31689</v>
      </c>
      <c r="Q1596" s="1" t="s">
        <v>132</v>
      </c>
      <c r="R1596" s="1" t="s">
        <v>31690</v>
      </c>
      <c r="S1596" s="1" t="s">
        <v>31691</v>
      </c>
      <c r="T1596" s="8" t="s">
        <v>31692</v>
      </c>
      <c r="U1596" s="1" t="s">
        <v>31693</v>
      </c>
      <c r="V1596" s="1" t="s">
        <v>31694</v>
      </c>
      <c r="W1596" s="1" t="s">
        <v>31690</v>
      </c>
      <c r="X1596" s="1" t="s">
        <v>31695</v>
      </c>
      <c r="Y1596" s="1" t="s">
        <v>31696</v>
      </c>
      <c r="Z1596" s="1" t="s">
        <v>31697</v>
      </c>
      <c r="AA1596" s="1" t="s">
        <v>31698</v>
      </c>
      <c r="AB1596" s="1" t="s">
        <v>31699</v>
      </c>
      <c r="AC1596" s="1" t="s">
        <v>31700</v>
      </c>
      <c r="AD1596" s="1" t="s">
        <v>31701</v>
      </c>
      <c r="AE1596" s="1" t="s">
        <v>31702</v>
      </c>
      <c r="AF1596" s="1" t="s">
        <v>31703</v>
      </c>
      <c r="AG1596" s="1" t="s">
        <v>31704</v>
      </c>
      <c r="AH1596" s="1" t="s">
        <v>31705</v>
      </c>
      <c r="AI1596" s="1" t="s">
        <v>31706</v>
      </c>
      <c r="AJ1596" s="1" t="s">
        <v>132</v>
      </c>
      <c r="AK1596" s="1" t="s">
        <v>31707</v>
      </c>
      <c r="AL1596" s="1" t="s">
        <v>31708</v>
      </c>
      <c r="AM1596" s="1" t="s">
        <v>132</v>
      </c>
      <c r="AN1596" s="1" t="s">
        <v>132</v>
      </c>
    </row>
    <row r="1597" ht="15.75" customHeight="1">
      <c r="A1597" s="1" t="s">
        <v>38</v>
      </c>
      <c r="B1597" s="1" t="s">
        <v>31709</v>
      </c>
      <c r="C1597" s="1" t="s">
        <v>31710</v>
      </c>
      <c r="D1597" s="1" t="s">
        <v>132</v>
      </c>
      <c r="E1597" s="1" t="s">
        <v>132</v>
      </c>
      <c r="F1597" s="1" t="s">
        <v>132</v>
      </c>
      <c r="G1597" s="1" t="s">
        <v>132</v>
      </c>
      <c r="H1597" s="1" t="s">
        <v>132</v>
      </c>
      <c r="I1597" s="1" t="s">
        <v>31711</v>
      </c>
      <c r="J1597" s="1" t="s">
        <v>132</v>
      </c>
      <c r="K1597" s="1" t="s">
        <v>31712</v>
      </c>
      <c r="L1597" s="1" t="s">
        <v>132</v>
      </c>
      <c r="M1597" s="1" t="s">
        <v>31713</v>
      </c>
      <c r="N1597" s="1" t="s">
        <v>132</v>
      </c>
      <c r="O1597" s="1" t="s">
        <v>132</v>
      </c>
      <c r="P1597" s="1" t="s">
        <v>31714</v>
      </c>
      <c r="Q1597" s="1" t="s">
        <v>132</v>
      </c>
      <c r="R1597" s="1" t="s">
        <v>132</v>
      </c>
      <c r="S1597" s="1" t="s">
        <v>132</v>
      </c>
      <c r="T1597" s="1" t="s">
        <v>132</v>
      </c>
      <c r="U1597" s="1" t="s">
        <v>132</v>
      </c>
      <c r="V1597" s="1" t="s">
        <v>132</v>
      </c>
      <c r="W1597" s="1" t="s">
        <v>132</v>
      </c>
      <c r="X1597" s="1" t="s">
        <v>132</v>
      </c>
      <c r="Y1597" s="1" t="s">
        <v>132</v>
      </c>
      <c r="Z1597" s="1" t="s">
        <v>132</v>
      </c>
      <c r="AA1597" s="1" t="s">
        <v>132</v>
      </c>
      <c r="AB1597" s="1" t="s">
        <v>132</v>
      </c>
      <c r="AC1597" s="1" t="s">
        <v>31715</v>
      </c>
      <c r="AD1597" s="1" t="s">
        <v>132</v>
      </c>
      <c r="AE1597" s="1" t="s">
        <v>132</v>
      </c>
      <c r="AF1597" s="1" t="s">
        <v>31716</v>
      </c>
      <c r="AG1597" s="1" t="s">
        <v>132</v>
      </c>
      <c r="AH1597" s="1" t="s">
        <v>132</v>
      </c>
      <c r="AI1597" s="1" t="s">
        <v>132</v>
      </c>
      <c r="AJ1597" s="1" t="s">
        <v>132</v>
      </c>
      <c r="AK1597" s="1" t="s">
        <v>132</v>
      </c>
      <c r="AL1597" s="1" t="s">
        <v>132</v>
      </c>
      <c r="AM1597" s="1" t="s">
        <v>132</v>
      </c>
      <c r="AN1597" s="1" t="s">
        <v>132</v>
      </c>
    </row>
    <row r="1598" ht="15.75" customHeight="1">
      <c r="A1598" s="1" t="s">
        <v>127</v>
      </c>
      <c r="B1598" s="1" t="s">
        <v>31717</v>
      </c>
      <c r="C1598" s="1" t="s">
        <v>31718</v>
      </c>
      <c r="D1598" s="8" t="s">
        <v>31719</v>
      </c>
      <c r="E1598" s="1" t="s">
        <v>31720</v>
      </c>
      <c r="F1598" s="1" t="s">
        <v>132</v>
      </c>
      <c r="G1598" s="1" t="s">
        <v>31721</v>
      </c>
      <c r="H1598" s="1" t="s">
        <v>31722</v>
      </c>
      <c r="I1598" s="1" t="s">
        <v>31723</v>
      </c>
      <c r="J1598" s="1" t="s">
        <v>31724</v>
      </c>
      <c r="K1598" s="1" t="s">
        <v>31725</v>
      </c>
      <c r="L1598" s="1" t="s">
        <v>31726</v>
      </c>
      <c r="M1598" s="1" t="s">
        <v>31727</v>
      </c>
      <c r="N1598" s="1" t="s">
        <v>132</v>
      </c>
      <c r="O1598" s="1" t="s">
        <v>31728</v>
      </c>
      <c r="P1598" s="1" t="s">
        <v>31729</v>
      </c>
      <c r="Q1598" s="1" t="s">
        <v>132</v>
      </c>
      <c r="R1598" s="1" t="s">
        <v>31730</v>
      </c>
      <c r="S1598" s="1" t="s">
        <v>31731</v>
      </c>
      <c r="T1598" s="8" t="s">
        <v>31732</v>
      </c>
      <c r="U1598" s="1" t="s">
        <v>31733</v>
      </c>
      <c r="V1598" s="1" t="s">
        <v>31734</v>
      </c>
      <c r="W1598" s="1" t="s">
        <v>31730</v>
      </c>
      <c r="X1598" s="1" t="s">
        <v>31735</v>
      </c>
      <c r="Y1598" s="1" t="s">
        <v>31736</v>
      </c>
      <c r="Z1598" s="1" t="s">
        <v>31737</v>
      </c>
      <c r="AA1598" s="1" t="s">
        <v>31738</v>
      </c>
      <c r="AB1598" s="1" t="s">
        <v>31739</v>
      </c>
      <c r="AC1598" s="1" t="s">
        <v>31740</v>
      </c>
      <c r="AD1598" s="1" t="s">
        <v>31741</v>
      </c>
      <c r="AE1598" s="1" t="s">
        <v>31742</v>
      </c>
      <c r="AF1598" s="1" t="s">
        <v>31743</v>
      </c>
      <c r="AG1598" s="1" t="s">
        <v>31744</v>
      </c>
      <c r="AH1598" s="1" t="s">
        <v>31745</v>
      </c>
      <c r="AI1598" s="1" t="s">
        <v>31746</v>
      </c>
      <c r="AJ1598" s="1" t="s">
        <v>132</v>
      </c>
      <c r="AK1598" s="1" t="s">
        <v>31747</v>
      </c>
      <c r="AL1598" s="1" t="s">
        <v>31748</v>
      </c>
      <c r="AM1598" s="1" t="s">
        <v>132</v>
      </c>
      <c r="AN1598" s="1" t="s">
        <v>132</v>
      </c>
    </row>
    <row r="1599" ht="15.75" customHeight="1">
      <c r="A1599" s="1" t="s">
        <v>127</v>
      </c>
      <c r="B1599" s="1" t="s">
        <v>31749</v>
      </c>
      <c r="C1599" s="1" t="s">
        <v>31750</v>
      </c>
      <c r="D1599" s="8" t="s">
        <v>31751</v>
      </c>
      <c r="E1599" s="1" t="s">
        <v>31752</v>
      </c>
      <c r="F1599" s="1" t="s">
        <v>132</v>
      </c>
      <c r="G1599" s="1" t="s">
        <v>31753</v>
      </c>
      <c r="H1599" s="1" t="s">
        <v>31754</v>
      </c>
      <c r="I1599" s="1" t="s">
        <v>31755</v>
      </c>
      <c r="J1599" s="1" t="s">
        <v>31756</v>
      </c>
      <c r="K1599" s="1" t="s">
        <v>31757</v>
      </c>
      <c r="L1599" s="1" t="s">
        <v>31758</v>
      </c>
      <c r="M1599" s="1" t="s">
        <v>31759</v>
      </c>
      <c r="N1599" s="1" t="s">
        <v>132</v>
      </c>
      <c r="O1599" s="1" t="s">
        <v>31760</v>
      </c>
      <c r="P1599" s="1" t="s">
        <v>31750</v>
      </c>
      <c r="Q1599" s="1" t="s">
        <v>132</v>
      </c>
      <c r="R1599" s="1" t="s">
        <v>31761</v>
      </c>
      <c r="S1599" s="1" t="s">
        <v>31762</v>
      </c>
      <c r="T1599" s="8" t="s">
        <v>31763</v>
      </c>
      <c r="U1599" s="1" t="s">
        <v>31764</v>
      </c>
      <c r="V1599" s="1" t="s">
        <v>31765</v>
      </c>
      <c r="W1599" s="1" t="s">
        <v>31766</v>
      </c>
      <c r="X1599" s="1" t="s">
        <v>31767</v>
      </c>
      <c r="Y1599" s="1" t="s">
        <v>31768</v>
      </c>
      <c r="Z1599" s="1" t="s">
        <v>30286</v>
      </c>
      <c r="AA1599" s="1" t="s">
        <v>31769</v>
      </c>
      <c r="AB1599" s="1" t="s">
        <v>31770</v>
      </c>
      <c r="AC1599" s="1" t="s">
        <v>31771</v>
      </c>
      <c r="AD1599" s="1" t="s">
        <v>31772</v>
      </c>
      <c r="AE1599" s="1" t="s">
        <v>31773</v>
      </c>
      <c r="AF1599" s="1" t="s">
        <v>31774</v>
      </c>
      <c r="AG1599" s="1" t="s">
        <v>31775</v>
      </c>
      <c r="AH1599" s="1" t="s">
        <v>31776</v>
      </c>
      <c r="AI1599" s="1" t="s">
        <v>31777</v>
      </c>
      <c r="AJ1599" s="1" t="s">
        <v>132</v>
      </c>
      <c r="AK1599" s="1" t="s">
        <v>31778</v>
      </c>
      <c r="AL1599" s="1" t="s">
        <v>31779</v>
      </c>
      <c r="AM1599" s="1" t="s">
        <v>132</v>
      </c>
      <c r="AN1599" s="1" t="s">
        <v>132</v>
      </c>
    </row>
    <row r="1600" ht="15.75" customHeight="1">
      <c r="A1600" s="1" t="s">
        <v>38</v>
      </c>
      <c r="B1600" s="1" t="s">
        <v>31780</v>
      </c>
      <c r="C1600" s="1" t="s">
        <v>31781</v>
      </c>
      <c r="D1600" s="1" t="s">
        <v>132</v>
      </c>
      <c r="E1600" s="1" t="s">
        <v>31782</v>
      </c>
      <c r="F1600" s="1" t="s">
        <v>31783</v>
      </c>
      <c r="G1600" s="1" t="s">
        <v>132</v>
      </c>
      <c r="H1600" s="1" t="s">
        <v>132</v>
      </c>
      <c r="I1600" s="1" t="s">
        <v>31784</v>
      </c>
      <c r="J1600" s="1" t="s">
        <v>132</v>
      </c>
      <c r="K1600" s="1" t="s">
        <v>31785</v>
      </c>
      <c r="L1600" s="1" t="s">
        <v>132</v>
      </c>
      <c r="M1600" s="1" t="s">
        <v>31786</v>
      </c>
      <c r="N1600" s="1" t="s">
        <v>31787</v>
      </c>
      <c r="O1600" s="1" t="s">
        <v>132</v>
      </c>
      <c r="P1600" s="1" t="s">
        <v>31788</v>
      </c>
      <c r="Q1600" s="1" t="s">
        <v>132</v>
      </c>
      <c r="R1600" s="1" t="s">
        <v>132</v>
      </c>
      <c r="S1600" s="1" t="s">
        <v>31789</v>
      </c>
      <c r="T1600" s="1" t="s">
        <v>132</v>
      </c>
      <c r="U1600" s="1" t="s">
        <v>31790</v>
      </c>
      <c r="V1600" s="1" t="s">
        <v>31791</v>
      </c>
      <c r="W1600" s="1" t="s">
        <v>132</v>
      </c>
      <c r="X1600" s="1" t="s">
        <v>31792</v>
      </c>
      <c r="Y1600" s="1" t="s">
        <v>132</v>
      </c>
      <c r="Z1600" s="1" t="s">
        <v>31793</v>
      </c>
      <c r="AA1600" s="1" t="s">
        <v>132</v>
      </c>
      <c r="AB1600" s="1" t="s">
        <v>132</v>
      </c>
      <c r="AC1600" s="1" t="s">
        <v>31794</v>
      </c>
      <c r="AD1600" s="1" t="s">
        <v>132</v>
      </c>
      <c r="AE1600" s="1" t="s">
        <v>132</v>
      </c>
      <c r="AF1600" s="1" t="s">
        <v>31795</v>
      </c>
      <c r="AG1600" s="1" t="s">
        <v>31796</v>
      </c>
      <c r="AH1600" s="1" t="s">
        <v>132</v>
      </c>
      <c r="AI1600" s="1" t="s">
        <v>132</v>
      </c>
      <c r="AJ1600" s="1" t="s">
        <v>31797</v>
      </c>
      <c r="AK1600" s="1" t="s">
        <v>132</v>
      </c>
      <c r="AL1600" s="1" t="s">
        <v>132</v>
      </c>
      <c r="AM1600" s="1" t="s">
        <v>31798</v>
      </c>
      <c r="AN1600" s="1" t="s">
        <v>31798</v>
      </c>
    </row>
    <row r="1601" ht="15.75" customHeight="1">
      <c r="A1601" s="1" t="s">
        <v>38</v>
      </c>
      <c r="B1601" s="1" t="s">
        <v>31799</v>
      </c>
      <c r="C1601" s="1" t="s">
        <v>31800</v>
      </c>
      <c r="D1601" s="8" t="s">
        <v>16776</v>
      </c>
      <c r="E1601" s="1" t="s">
        <v>31801</v>
      </c>
      <c r="F1601" s="1" t="s">
        <v>31802</v>
      </c>
      <c r="G1601" s="1" t="s">
        <v>132</v>
      </c>
      <c r="H1601" s="1" t="s">
        <v>132</v>
      </c>
      <c r="I1601" s="1" t="s">
        <v>31803</v>
      </c>
      <c r="J1601" s="1" t="s">
        <v>132</v>
      </c>
      <c r="K1601" s="1" t="s">
        <v>31804</v>
      </c>
      <c r="L1601" s="1" t="s">
        <v>132</v>
      </c>
      <c r="M1601" s="1" t="s">
        <v>31805</v>
      </c>
      <c r="N1601" s="1" t="s">
        <v>31806</v>
      </c>
      <c r="O1601" s="1" t="s">
        <v>132</v>
      </c>
      <c r="P1601" s="1" t="s">
        <v>31807</v>
      </c>
      <c r="Q1601" s="1" t="s">
        <v>31808</v>
      </c>
      <c r="R1601" s="1" t="s">
        <v>132</v>
      </c>
      <c r="S1601" s="1" t="s">
        <v>31809</v>
      </c>
      <c r="T1601" s="1" t="s">
        <v>132</v>
      </c>
      <c r="U1601" s="1" t="s">
        <v>16786</v>
      </c>
      <c r="V1601" s="1" t="s">
        <v>16787</v>
      </c>
      <c r="W1601" s="1" t="s">
        <v>132</v>
      </c>
      <c r="X1601" s="1" t="s">
        <v>31810</v>
      </c>
      <c r="Y1601" s="1" t="s">
        <v>132</v>
      </c>
      <c r="Z1601" s="1" t="s">
        <v>31811</v>
      </c>
      <c r="AA1601" s="1" t="s">
        <v>31812</v>
      </c>
      <c r="AB1601" s="1" t="s">
        <v>132</v>
      </c>
      <c r="AC1601" s="1" t="s">
        <v>31813</v>
      </c>
      <c r="AD1601" s="1" t="s">
        <v>31814</v>
      </c>
      <c r="AE1601" s="1" t="s">
        <v>132</v>
      </c>
      <c r="AF1601" s="1" t="s">
        <v>31815</v>
      </c>
      <c r="AG1601" s="1" t="s">
        <v>16794</v>
      </c>
      <c r="AH1601" s="1" t="s">
        <v>132</v>
      </c>
      <c r="AI1601" s="1" t="s">
        <v>132</v>
      </c>
      <c r="AJ1601" s="1" t="s">
        <v>16796</v>
      </c>
      <c r="AK1601" s="1" t="s">
        <v>31816</v>
      </c>
      <c r="AL1601" s="1" t="s">
        <v>132</v>
      </c>
      <c r="AM1601" s="1" t="s">
        <v>31817</v>
      </c>
      <c r="AN1601" s="1" t="s">
        <v>31817</v>
      </c>
    </row>
    <row r="1602" ht="15.75" customHeight="1">
      <c r="A1602" s="1" t="s">
        <v>127</v>
      </c>
      <c r="B1602" s="1" t="s">
        <v>31818</v>
      </c>
      <c r="C1602" s="1" t="s">
        <v>31819</v>
      </c>
      <c r="D1602" s="8" t="s">
        <v>31820</v>
      </c>
      <c r="E1602" s="1" t="s">
        <v>31821</v>
      </c>
      <c r="F1602" s="1" t="s">
        <v>132</v>
      </c>
      <c r="G1602" s="1" t="s">
        <v>31822</v>
      </c>
      <c r="H1602" s="1" t="s">
        <v>31823</v>
      </c>
      <c r="I1602" s="1" t="s">
        <v>31824</v>
      </c>
      <c r="J1602" s="1" t="s">
        <v>31825</v>
      </c>
      <c r="K1602" s="1" t="s">
        <v>31826</v>
      </c>
      <c r="L1602" s="1" t="s">
        <v>31827</v>
      </c>
      <c r="M1602" s="1" t="s">
        <v>31828</v>
      </c>
      <c r="N1602" s="1" t="s">
        <v>132</v>
      </c>
      <c r="O1602" s="1" t="s">
        <v>31829</v>
      </c>
      <c r="P1602" s="1" t="s">
        <v>31830</v>
      </c>
      <c r="Q1602" s="1" t="s">
        <v>132</v>
      </c>
      <c r="R1602" s="1" t="s">
        <v>31831</v>
      </c>
      <c r="S1602" s="1" t="s">
        <v>31832</v>
      </c>
      <c r="T1602" s="8" t="s">
        <v>31833</v>
      </c>
      <c r="U1602" s="1" t="s">
        <v>31834</v>
      </c>
      <c r="V1602" s="1" t="s">
        <v>31835</v>
      </c>
      <c r="W1602" s="1" t="s">
        <v>31836</v>
      </c>
      <c r="X1602" s="1" t="s">
        <v>31837</v>
      </c>
      <c r="Y1602" s="1" t="s">
        <v>31838</v>
      </c>
      <c r="Z1602" s="1" t="s">
        <v>31839</v>
      </c>
      <c r="AA1602" s="1" t="s">
        <v>31840</v>
      </c>
      <c r="AB1602" s="1" t="s">
        <v>31841</v>
      </c>
      <c r="AC1602" s="1" t="s">
        <v>31842</v>
      </c>
      <c r="AD1602" s="1" t="s">
        <v>31843</v>
      </c>
      <c r="AE1602" s="1" t="s">
        <v>31844</v>
      </c>
      <c r="AF1602" s="1" t="s">
        <v>31845</v>
      </c>
      <c r="AG1602" s="1" t="s">
        <v>31846</v>
      </c>
      <c r="AH1602" s="1" t="s">
        <v>31847</v>
      </c>
      <c r="AI1602" s="1" t="s">
        <v>31848</v>
      </c>
      <c r="AJ1602" s="1" t="s">
        <v>132</v>
      </c>
      <c r="AK1602" s="1" t="s">
        <v>31849</v>
      </c>
      <c r="AL1602" s="1" t="s">
        <v>31850</v>
      </c>
      <c r="AM1602" s="1" t="s">
        <v>132</v>
      </c>
      <c r="AN1602" s="1" t="s">
        <v>132</v>
      </c>
    </row>
    <row r="1603" ht="15.75" customHeight="1">
      <c r="A1603" s="1" t="s">
        <v>127</v>
      </c>
      <c r="B1603" s="1" t="s">
        <v>31851</v>
      </c>
      <c r="C1603" s="1" t="s">
        <v>31852</v>
      </c>
      <c r="D1603" s="8" t="s">
        <v>5008</v>
      </c>
      <c r="E1603" s="1" t="s">
        <v>5009</v>
      </c>
      <c r="F1603" s="1" t="s">
        <v>132</v>
      </c>
      <c r="G1603" s="1" t="s">
        <v>31853</v>
      </c>
      <c r="H1603" s="1" t="s">
        <v>31852</v>
      </c>
      <c r="I1603" s="1" t="s">
        <v>31854</v>
      </c>
      <c r="J1603" s="1" t="s">
        <v>31855</v>
      </c>
      <c r="K1603" s="1" t="s">
        <v>31856</v>
      </c>
      <c r="L1603" s="1" t="s">
        <v>31857</v>
      </c>
      <c r="M1603" s="1" t="s">
        <v>31856</v>
      </c>
      <c r="N1603" s="1" t="s">
        <v>132</v>
      </c>
      <c r="O1603" s="1" t="s">
        <v>31858</v>
      </c>
      <c r="P1603" s="1" t="s">
        <v>31859</v>
      </c>
      <c r="Q1603" s="1" t="s">
        <v>132</v>
      </c>
      <c r="R1603" s="1" t="s">
        <v>31860</v>
      </c>
      <c r="S1603" s="1" t="s">
        <v>31852</v>
      </c>
      <c r="T1603" s="8" t="s">
        <v>5021</v>
      </c>
      <c r="U1603" s="1" t="s">
        <v>31852</v>
      </c>
      <c r="V1603" s="1" t="s">
        <v>5023</v>
      </c>
      <c r="W1603" s="1" t="s">
        <v>31860</v>
      </c>
      <c r="X1603" s="1" t="s">
        <v>31852</v>
      </c>
      <c r="Y1603" s="1" t="s">
        <v>31861</v>
      </c>
      <c r="Z1603" s="1" t="s">
        <v>31862</v>
      </c>
      <c r="AA1603" s="1" t="s">
        <v>5027</v>
      </c>
      <c r="AB1603" s="1" t="s">
        <v>31856</v>
      </c>
      <c r="AC1603" s="1" t="s">
        <v>31863</v>
      </c>
      <c r="AD1603" s="1" t="s">
        <v>31852</v>
      </c>
      <c r="AE1603" s="1" t="s">
        <v>31852</v>
      </c>
      <c r="AF1603" s="1" t="s">
        <v>31864</v>
      </c>
      <c r="AG1603" s="1" t="s">
        <v>31861</v>
      </c>
      <c r="AH1603" s="1" t="s">
        <v>5032</v>
      </c>
      <c r="AI1603" s="1" t="s">
        <v>26195</v>
      </c>
      <c r="AJ1603" s="1" t="s">
        <v>132</v>
      </c>
      <c r="AK1603" s="1" t="s">
        <v>31865</v>
      </c>
      <c r="AL1603" s="1" t="s">
        <v>5035</v>
      </c>
      <c r="AM1603" s="1" t="s">
        <v>5036</v>
      </c>
      <c r="AN1603" s="1" t="s">
        <v>5036</v>
      </c>
    </row>
    <row r="1604" ht="15.75" customHeight="1">
      <c r="A1604" s="1" t="s">
        <v>38</v>
      </c>
      <c r="B1604" s="1" t="s">
        <v>31866</v>
      </c>
      <c r="C1604" s="1" t="s">
        <v>31867</v>
      </c>
      <c r="D1604" s="8" t="s">
        <v>31868</v>
      </c>
      <c r="E1604" s="1" t="s">
        <v>17175</v>
      </c>
      <c r="F1604" s="1" t="s">
        <v>31867</v>
      </c>
      <c r="G1604" s="1" t="s">
        <v>132</v>
      </c>
      <c r="H1604" s="1" t="s">
        <v>132</v>
      </c>
      <c r="I1604" s="1" t="s">
        <v>31869</v>
      </c>
      <c r="J1604" s="1" t="s">
        <v>132</v>
      </c>
      <c r="K1604" s="1" t="s">
        <v>31870</v>
      </c>
      <c r="L1604" s="1" t="s">
        <v>132</v>
      </c>
      <c r="M1604" s="1" t="s">
        <v>31867</v>
      </c>
      <c r="N1604" s="1" t="s">
        <v>31870</v>
      </c>
      <c r="O1604" s="1" t="s">
        <v>132</v>
      </c>
      <c r="P1604" s="1" t="s">
        <v>31871</v>
      </c>
      <c r="Q1604" s="1" t="s">
        <v>31872</v>
      </c>
      <c r="R1604" s="1" t="s">
        <v>132</v>
      </c>
      <c r="S1604" s="1" t="s">
        <v>31873</v>
      </c>
      <c r="T1604" s="1" t="s">
        <v>132</v>
      </c>
      <c r="U1604" s="1" t="s">
        <v>31874</v>
      </c>
      <c r="V1604" s="1" t="s">
        <v>31875</v>
      </c>
      <c r="W1604" s="1" t="s">
        <v>132</v>
      </c>
      <c r="X1604" s="1" t="s">
        <v>31876</v>
      </c>
      <c r="Y1604" s="1" t="s">
        <v>132</v>
      </c>
      <c r="Z1604" s="1" t="s">
        <v>31877</v>
      </c>
      <c r="AA1604" s="1" t="s">
        <v>31870</v>
      </c>
      <c r="AB1604" s="1" t="s">
        <v>132</v>
      </c>
      <c r="AC1604" s="1" t="s">
        <v>17175</v>
      </c>
      <c r="AD1604" s="1" t="s">
        <v>31878</v>
      </c>
      <c r="AE1604" s="1" t="s">
        <v>132</v>
      </c>
      <c r="AF1604" s="1" t="s">
        <v>31879</v>
      </c>
      <c r="AG1604" s="1" t="s">
        <v>31880</v>
      </c>
      <c r="AH1604" s="1" t="s">
        <v>132</v>
      </c>
      <c r="AI1604" s="1" t="s">
        <v>132</v>
      </c>
      <c r="AJ1604" s="1" t="s">
        <v>17179</v>
      </c>
      <c r="AK1604" s="1" t="s">
        <v>17180</v>
      </c>
      <c r="AL1604" s="1" t="s">
        <v>132</v>
      </c>
      <c r="AM1604" s="1" t="s">
        <v>31881</v>
      </c>
      <c r="AN1604" s="1" t="s">
        <v>31881</v>
      </c>
    </row>
    <row r="1605" ht="15.75" customHeight="1">
      <c r="A1605" s="1" t="s">
        <v>38</v>
      </c>
      <c r="B1605" s="1" t="s">
        <v>31882</v>
      </c>
      <c r="C1605" s="1" t="s">
        <v>31883</v>
      </c>
      <c r="D1605" s="1" t="s">
        <v>132</v>
      </c>
      <c r="E1605" s="1" t="s">
        <v>132</v>
      </c>
      <c r="F1605" s="1" t="s">
        <v>132</v>
      </c>
      <c r="G1605" s="1" t="s">
        <v>132</v>
      </c>
      <c r="H1605" s="1" t="s">
        <v>132</v>
      </c>
      <c r="I1605" s="1" t="s">
        <v>31883</v>
      </c>
      <c r="J1605" s="1" t="s">
        <v>132</v>
      </c>
      <c r="K1605" s="1" t="s">
        <v>31883</v>
      </c>
      <c r="L1605" s="1" t="s">
        <v>132</v>
      </c>
      <c r="M1605" s="1" t="s">
        <v>31883</v>
      </c>
      <c r="N1605" s="1" t="s">
        <v>132</v>
      </c>
      <c r="O1605" s="1" t="s">
        <v>132</v>
      </c>
      <c r="P1605" s="1" t="s">
        <v>31883</v>
      </c>
      <c r="Q1605" s="1" t="s">
        <v>132</v>
      </c>
      <c r="R1605" s="1" t="s">
        <v>132</v>
      </c>
      <c r="S1605" s="1" t="s">
        <v>132</v>
      </c>
      <c r="T1605" s="1" t="s">
        <v>132</v>
      </c>
      <c r="U1605" s="1" t="s">
        <v>132</v>
      </c>
      <c r="V1605" s="1" t="s">
        <v>132</v>
      </c>
      <c r="W1605" s="1" t="s">
        <v>132</v>
      </c>
      <c r="X1605" s="1" t="s">
        <v>132</v>
      </c>
      <c r="Y1605" s="1" t="s">
        <v>132</v>
      </c>
      <c r="Z1605" s="1" t="s">
        <v>132</v>
      </c>
      <c r="AA1605" s="1" t="s">
        <v>132</v>
      </c>
      <c r="AB1605" s="1" t="s">
        <v>132</v>
      </c>
      <c r="AC1605" s="1" t="s">
        <v>31884</v>
      </c>
      <c r="AD1605" s="1" t="s">
        <v>132</v>
      </c>
      <c r="AE1605" s="1" t="s">
        <v>132</v>
      </c>
      <c r="AF1605" s="1" t="s">
        <v>31885</v>
      </c>
      <c r="AG1605" s="1" t="s">
        <v>132</v>
      </c>
      <c r="AH1605" s="1" t="s">
        <v>132</v>
      </c>
      <c r="AI1605" s="1" t="s">
        <v>132</v>
      </c>
      <c r="AJ1605" s="1" t="s">
        <v>132</v>
      </c>
      <c r="AK1605" s="1" t="s">
        <v>132</v>
      </c>
      <c r="AL1605" s="1" t="s">
        <v>132</v>
      </c>
      <c r="AM1605" s="1" t="s">
        <v>132</v>
      </c>
      <c r="AN1605" s="1" t="s">
        <v>132</v>
      </c>
    </row>
    <row r="1606" ht="15.75" customHeight="1">
      <c r="A1606" s="1" t="s">
        <v>127</v>
      </c>
      <c r="B1606" s="1" t="s">
        <v>31886</v>
      </c>
      <c r="C1606" s="1" t="s">
        <v>31887</v>
      </c>
      <c r="D1606" s="8" t="s">
        <v>31888</v>
      </c>
      <c r="E1606" s="1" t="s">
        <v>31889</v>
      </c>
      <c r="F1606" s="1" t="s">
        <v>132</v>
      </c>
      <c r="G1606" s="1" t="s">
        <v>31890</v>
      </c>
      <c r="H1606" s="1" t="s">
        <v>31891</v>
      </c>
      <c r="I1606" s="1" t="s">
        <v>31892</v>
      </c>
      <c r="J1606" s="1" t="s">
        <v>31893</v>
      </c>
      <c r="K1606" s="1" t="s">
        <v>31894</v>
      </c>
      <c r="L1606" s="1" t="s">
        <v>31895</v>
      </c>
      <c r="M1606" s="1" t="s">
        <v>31896</v>
      </c>
      <c r="N1606" s="1" t="s">
        <v>132</v>
      </c>
      <c r="O1606" s="1" t="s">
        <v>31897</v>
      </c>
      <c r="P1606" s="1" t="s">
        <v>31898</v>
      </c>
      <c r="Q1606" s="1" t="s">
        <v>132</v>
      </c>
      <c r="R1606" s="1" t="s">
        <v>31899</v>
      </c>
      <c r="S1606" s="1" t="s">
        <v>31900</v>
      </c>
      <c r="T1606" s="8" t="s">
        <v>31901</v>
      </c>
      <c r="U1606" s="1" t="s">
        <v>31902</v>
      </c>
      <c r="V1606" s="1" t="s">
        <v>31903</v>
      </c>
      <c r="W1606" s="1" t="s">
        <v>31904</v>
      </c>
      <c r="X1606" s="1" t="s">
        <v>31905</v>
      </c>
      <c r="Y1606" s="1" t="s">
        <v>31906</v>
      </c>
      <c r="Z1606" s="1" t="s">
        <v>31907</v>
      </c>
      <c r="AA1606" s="1" t="s">
        <v>31908</v>
      </c>
      <c r="AB1606" s="1" t="s">
        <v>31909</v>
      </c>
      <c r="AC1606" s="1" t="s">
        <v>31910</v>
      </c>
      <c r="AD1606" s="1" t="s">
        <v>31911</v>
      </c>
      <c r="AE1606" s="1" t="s">
        <v>31912</v>
      </c>
      <c r="AF1606" s="1" t="s">
        <v>31913</v>
      </c>
      <c r="AG1606" s="1" t="s">
        <v>31914</v>
      </c>
      <c r="AH1606" s="1" t="s">
        <v>31915</v>
      </c>
      <c r="AI1606" s="1" t="s">
        <v>31916</v>
      </c>
      <c r="AJ1606" s="1" t="s">
        <v>132</v>
      </c>
      <c r="AK1606" s="1" t="s">
        <v>31917</v>
      </c>
      <c r="AL1606" s="1" t="s">
        <v>31918</v>
      </c>
      <c r="AM1606" s="1" t="s">
        <v>132</v>
      </c>
      <c r="AN1606" s="1" t="s">
        <v>132</v>
      </c>
    </row>
    <row r="1607" ht="15.75" customHeight="1">
      <c r="A1607" s="1" t="s">
        <v>127</v>
      </c>
      <c r="B1607" s="1" t="s">
        <v>31919</v>
      </c>
      <c r="C1607" s="1" t="s">
        <v>11752</v>
      </c>
      <c r="D1607" s="8" t="s">
        <v>31920</v>
      </c>
      <c r="E1607" s="1" t="s">
        <v>11754</v>
      </c>
      <c r="F1607" s="1" t="s">
        <v>132</v>
      </c>
      <c r="G1607" s="1" t="s">
        <v>11755</v>
      </c>
      <c r="H1607" s="1" t="s">
        <v>11756</v>
      </c>
      <c r="I1607" s="1" t="s">
        <v>11752</v>
      </c>
      <c r="J1607" s="1" t="s">
        <v>11752</v>
      </c>
      <c r="K1607" s="1" t="s">
        <v>11752</v>
      </c>
      <c r="L1607" s="1" t="s">
        <v>11757</v>
      </c>
      <c r="M1607" s="1" t="s">
        <v>11752</v>
      </c>
      <c r="N1607" s="1" t="s">
        <v>132</v>
      </c>
      <c r="O1607" s="1" t="s">
        <v>11758</v>
      </c>
      <c r="P1607" s="1" t="s">
        <v>11752</v>
      </c>
      <c r="Q1607" s="1" t="s">
        <v>132</v>
      </c>
      <c r="R1607" s="1" t="s">
        <v>31921</v>
      </c>
      <c r="S1607" s="1" t="s">
        <v>11752</v>
      </c>
      <c r="T1607" s="8" t="s">
        <v>11760</v>
      </c>
      <c r="U1607" s="1" t="s">
        <v>11761</v>
      </c>
      <c r="V1607" s="1" t="s">
        <v>11762</v>
      </c>
      <c r="W1607" s="1" t="s">
        <v>11759</v>
      </c>
      <c r="X1607" s="1" t="s">
        <v>11752</v>
      </c>
      <c r="Y1607" s="1" t="s">
        <v>11763</v>
      </c>
      <c r="Z1607" s="1" t="s">
        <v>11752</v>
      </c>
      <c r="AA1607" s="1" t="s">
        <v>11764</v>
      </c>
      <c r="AB1607" s="1" t="s">
        <v>132</v>
      </c>
      <c r="AC1607" s="1" t="s">
        <v>11766</v>
      </c>
      <c r="AD1607" s="1" t="s">
        <v>11767</v>
      </c>
      <c r="AE1607" s="1" t="s">
        <v>11768</v>
      </c>
      <c r="AF1607" s="1" t="s">
        <v>11752</v>
      </c>
      <c r="AG1607" s="1" t="s">
        <v>11752</v>
      </c>
      <c r="AH1607" s="1" t="s">
        <v>11769</v>
      </c>
      <c r="AI1607" s="1" t="s">
        <v>31922</v>
      </c>
      <c r="AJ1607" s="1" t="s">
        <v>132</v>
      </c>
      <c r="AK1607" s="1" t="s">
        <v>11771</v>
      </c>
      <c r="AL1607" s="1" t="s">
        <v>31923</v>
      </c>
      <c r="AM1607" s="1" t="s">
        <v>31924</v>
      </c>
      <c r="AN1607" s="1" t="s">
        <v>31924</v>
      </c>
    </row>
    <row r="1608" ht="15.75" customHeight="1">
      <c r="A1608" s="1" t="s">
        <v>127</v>
      </c>
      <c r="B1608" s="1" t="s">
        <v>31925</v>
      </c>
      <c r="C1608" s="1" t="s">
        <v>31926</v>
      </c>
      <c r="D1608" s="8" t="s">
        <v>31927</v>
      </c>
      <c r="E1608" s="1" t="s">
        <v>31928</v>
      </c>
      <c r="F1608" s="1" t="s">
        <v>132</v>
      </c>
      <c r="G1608" s="1" t="s">
        <v>31929</v>
      </c>
      <c r="H1608" s="1" t="s">
        <v>31930</v>
      </c>
      <c r="I1608" s="1" t="s">
        <v>31931</v>
      </c>
      <c r="J1608" s="1" t="s">
        <v>31932</v>
      </c>
      <c r="K1608" s="1" t="s">
        <v>31933</v>
      </c>
      <c r="L1608" s="1" t="s">
        <v>31934</v>
      </c>
      <c r="M1608" s="1" t="s">
        <v>31935</v>
      </c>
      <c r="N1608" s="1" t="s">
        <v>132</v>
      </c>
      <c r="O1608" s="1" t="s">
        <v>31936</v>
      </c>
      <c r="P1608" s="1" t="s">
        <v>31937</v>
      </c>
      <c r="Q1608" s="1" t="s">
        <v>132</v>
      </c>
      <c r="R1608" s="1" t="s">
        <v>31938</v>
      </c>
      <c r="S1608" s="1" t="s">
        <v>31939</v>
      </c>
      <c r="T1608" s="8" t="s">
        <v>31940</v>
      </c>
      <c r="U1608" s="1" t="s">
        <v>31941</v>
      </c>
      <c r="V1608" s="1" t="s">
        <v>31942</v>
      </c>
      <c r="W1608" s="1" t="s">
        <v>31938</v>
      </c>
      <c r="X1608" s="1" t="s">
        <v>31943</v>
      </c>
      <c r="Y1608" s="1" t="s">
        <v>31944</v>
      </c>
      <c r="Z1608" s="1" t="s">
        <v>31945</v>
      </c>
      <c r="AA1608" s="1" t="s">
        <v>31946</v>
      </c>
      <c r="AB1608" s="1" t="s">
        <v>132</v>
      </c>
      <c r="AC1608" s="1" t="s">
        <v>31947</v>
      </c>
      <c r="AD1608" s="1" t="s">
        <v>31948</v>
      </c>
      <c r="AE1608" s="1" t="s">
        <v>31949</v>
      </c>
      <c r="AF1608" s="1" t="s">
        <v>31950</v>
      </c>
      <c r="AG1608" s="1" t="s">
        <v>31951</v>
      </c>
      <c r="AH1608" s="1" t="s">
        <v>31952</v>
      </c>
      <c r="AI1608" s="1" t="s">
        <v>31953</v>
      </c>
      <c r="AJ1608" s="1" t="s">
        <v>132</v>
      </c>
      <c r="AK1608" s="1" t="s">
        <v>31954</v>
      </c>
      <c r="AL1608" s="1" t="s">
        <v>31955</v>
      </c>
      <c r="AM1608" s="1" t="s">
        <v>132</v>
      </c>
      <c r="AN1608" s="1" t="s">
        <v>132</v>
      </c>
    </row>
    <row r="1609" ht="15.75" customHeight="1">
      <c r="A1609" s="1" t="s">
        <v>38</v>
      </c>
      <c r="B1609" s="1" t="s">
        <v>31956</v>
      </c>
      <c r="C1609" s="1" t="s">
        <v>31957</v>
      </c>
      <c r="D1609" s="1" t="s">
        <v>132</v>
      </c>
      <c r="E1609" s="1" t="s">
        <v>132</v>
      </c>
      <c r="F1609" s="1" t="s">
        <v>132</v>
      </c>
      <c r="G1609" s="1" t="s">
        <v>132</v>
      </c>
      <c r="H1609" s="1" t="s">
        <v>132</v>
      </c>
      <c r="I1609" s="1" t="s">
        <v>31957</v>
      </c>
      <c r="J1609" s="1" t="s">
        <v>132</v>
      </c>
      <c r="K1609" s="1" t="s">
        <v>31958</v>
      </c>
      <c r="L1609" s="1" t="s">
        <v>132</v>
      </c>
      <c r="M1609" s="1" t="s">
        <v>31959</v>
      </c>
      <c r="N1609" s="1" t="s">
        <v>132</v>
      </c>
      <c r="O1609" s="1" t="s">
        <v>132</v>
      </c>
      <c r="P1609" s="1" t="s">
        <v>31957</v>
      </c>
      <c r="Q1609" s="1" t="s">
        <v>132</v>
      </c>
      <c r="R1609" s="1" t="s">
        <v>132</v>
      </c>
      <c r="S1609" s="1" t="s">
        <v>132</v>
      </c>
      <c r="T1609" s="1" t="s">
        <v>132</v>
      </c>
      <c r="U1609" s="1" t="s">
        <v>132</v>
      </c>
      <c r="V1609" s="1" t="s">
        <v>132</v>
      </c>
      <c r="W1609" s="1" t="s">
        <v>132</v>
      </c>
      <c r="X1609" s="1" t="s">
        <v>132</v>
      </c>
      <c r="Y1609" s="1" t="s">
        <v>132</v>
      </c>
      <c r="Z1609" s="1" t="s">
        <v>132</v>
      </c>
      <c r="AA1609" s="1" t="s">
        <v>132</v>
      </c>
      <c r="AB1609" s="1" t="s">
        <v>132</v>
      </c>
      <c r="AC1609" s="1" t="s">
        <v>31960</v>
      </c>
      <c r="AD1609" s="1" t="s">
        <v>132</v>
      </c>
      <c r="AE1609" s="1" t="s">
        <v>132</v>
      </c>
      <c r="AF1609" s="1" t="s">
        <v>31957</v>
      </c>
      <c r="AG1609" s="1" t="s">
        <v>132</v>
      </c>
      <c r="AH1609" s="1" t="s">
        <v>132</v>
      </c>
      <c r="AI1609" s="1" t="s">
        <v>132</v>
      </c>
      <c r="AJ1609" s="1" t="s">
        <v>132</v>
      </c>
      <c r="AK1609" s="1" t="s">
        <v>132</v>
      </c>
      <c r="AL1609" s="1" t="s">
        <v>132</v>
      </c>
      <c r="AM1609" s="1" t="s">
        <v>132</v>
      </c>
      <c r="AN1609" s="1" t="s">
        <v>132</v>
      </c>
    </row>
    <row r="1610" ht="15.75" customHeight="1">
      <c r="A1610" s="1" t="s">
        <v>127</v>
      </c>
      <c r="B1610" s="1" t="s">
        <v>31961</v>
      </c>
      <c r="C1610" s="1" t="s">
        <v>31962</v>
      </c>
      <c r="D1610" s="8" t="s">
        <v>30631</v>
      </c>
      <c r="E1610" s="1" t="s">
        <v>30632</v>
      </c>
      <c r="F1610" s="1" t="s">
        <v>132</v>
      </c>
      <c r="G1610" s="1" t="s">
        <v>31962</v>
      </c>
      <c r="H1610" s="1" t="s">
        <v>31962</v>
      </c>
      <c r="I1610" s="1" t="s">
        <v>31962</v>
      </c>
      <c r="J1610" s="1" t="s">
        <v>30634</v>
      </c>
      <c r="K1610" s="1" t="s">
        <v>31962</v>
      </c>
      <c r="L1610" s="1" t="s">
        <v>15882</v>
      </c>
      <c r="M1610" s="1" t="s">
        <v>31962</v>
      </c>
      <c r="N1610" s="1" t="s">
        <v>132</v>
      </c>
      <c r="O1610" s="1" t="s">
        <v>30637</v>
      </c>
      <c r="P1610" s="1" t="s">
        <v>31962</v>
      </c>
      <c r="Q1610" s="1" t="s">
        <v>132</v>
      </c>
      <c r="R1610" s="1" t="s">
        <v>30639</v>
      </c>
      <c r="S1610" s="1" t="s">
        <v>31962</v>
      </c>
      <c r="T1610" s="8" t="s">
        <v>30641</v>
      </c>
      <c r="U1610" s="1" t="s">
        <v>30642</v>
      </c>
      <c r="V1610" s="1" t="s">
        <v>30643</v>
      </c>
      <c r="W1610" s="1" t="s">
        <v>30644</v>
      </c>
      <c r="X1610" s="1" t="s">
        <v>30645</v>
      </c>
      <c r="Y1610" s="1" t="s">
        <v>31962</v>
      </c>
      <c r="Z1610" s="1" t="s">
        <v>31962</v>
      </c>
      <c r="AA1610" s="1" t="s">
        <v>31963</v>
      </c>
      <c r="AB1610" s="1" t="s">
        <v>132</v>
      </c>
      <c r="AC1610" s="1" t="s">
        <v>30632</v>
      </c>
      <c r="AD1610" s="1" t="s">
        <v>30650</v>
      </c>
      <c r="AE1610" s="1" t="s">
        <v>30651</v>
      </c>
      <c r="AF1610" s="1" t="s">
        <v>31962</v>
      </c>
      <c r="AG1610" s="1" t="s">
        <v>31962</v>
      </c>
      <c r="AH1610" s="1" t="s">
        <v>15896</v>
      </c>
      <c r="AI1610" s="1" t="s">
        <v>30652</v>
      </c>
      <c r="AJ1610" s="1" t="s">
        <v>132</v>
      </c>
      <c r="AK1610" s="1" t="s">
        <v>30653</v>
      </c>
      <c r="AL1610" s="1" t="s">
        <v>31964</v>
      </c>
      <c r="AM1610" s="1" t="s">
        <v>31965</v>
      </c>
      <c r="AN1610" s="1" t="s">
        <v>31965</v>
      </c>
    </row>
    <row r="1611" ht="15.75" customHeight="1">
      <c r="A1611" s="1" t="s">
        <v>127</v>
      </c>
      <c r="B1611" s="1" t="s">
        <v>31966</v>
      </c>
      <c r="C1611" s="1" t="s">
        <v>5686</v>
      </c>
      <c r="D1611" s="8" t="s">
        <v>5687</v>
      </c>
      <c r="E1611" s="1" t="s">
        <v>5688</v>
      </c>
      <c r="F1611" s="1" t="s">
        <v>132</v>
      </c>
      <c r="G1611" s="1" t="s">
        <v>5689</v>
      </c>
      <c r="H1611" s="1" t="s">
        <v>5690</v>
      </c>
      <c r="I1611" s="1" t="s">
        <v>5691</v>
      </c>
      <c r="J1611" s="1" t="s">
        <v>5692</v>
      </c>
      <c r="K1611" s="1" t="s">
        <v>5693</v>
      </c>
      <c r="L1611" s="1" t="s">
        <v>5694</v>
      </c>
      <c r="M1611" s="1" t="s">
        <v>5695</v>
      </c>
      <c r="N1611" s="1" t="s">
        <v>132</v>
      </c>
      <c r="O1611" s="1" t="s">
        <v>5696</v>
      </c>
      <c r="P1611" s="1" t="s">
        <v>5697</v>
      </c>
      <c r="Q1611" s="1" t="s">
        <v>132</v>
      </c>
      <c r="R1611" s="1" t="s">
        <v>5698</v>
      </c>
      <c r="S1611" s="1" t="s">
        <v>5699</v>
      </c>
      <c r="T1611" s="8" t="s">
        <v>5700</v>
      </c>
      <c r="U1611" s="1" t="s">
        <v>5701</v>
      </c>
      <c r="V1611" s="1" t="s">
        <v>5702</v>
      </c>
      <c r="W1611" s="1" t="s">
        <v>5703</v>
      </c>
      <c r="X1611" s="1" t="s">
        <v>5704</v>
      </c>
      <c r="Y1611" s="1" t="s">
        <v>5705</v>
      </c>
      <c r="Z1611" s="1" t="s">
        <v>5706</v>
      </c>
      <c r="AA1611" s="1" t="s">
        <v>5707</v>
      </c>
      <c r="AB1611" s="1" t="s">
        <v>132</v>
      </c>
      <c r="AC1611" s="1" t="s">
        <v>5709</v>
      </c>
      <c r="AD1611" s="1" t="s">
        <v>5689</v>
      </c>
      <c r="AE1611" s="1" t="s">
        <v>5710</v>
      </c>
      <c r="AF1611" s="1" t="s">
        <v>5711</v>
      </c>
      <c r="AG1611" s="1" t="s">
        <v>5712</v>
      </c>
      <c r="AH1611" s="1" t="s">
        <v>5713</v>
      </c>
      <c r="AI1611" s="1" t="s">
        <v>5714</v>
      </c>
      <c r="AJ1611" s="1" t="s">
        <v>132</v>
      </c>
      <c r="AK1611" s="1" t="s">
        <v>5715</v>
      </c>
      <c r="AL1611" s="1" t="s">
        <v>5716</v>
      </c>
      <c r="AM1611" s="1" t="s">
        <v>5717</v>
      </c>
      <c r="AN1611" s="1" t="s">
        <v>5717</v>
      </c>
    </row>
    <row r="1612" ht="15.75" customHeight="1">
      <c r="A1612" s="1" t="s">
        <v>127</v>
      </c>
      <c r="B1612" s="1" t="s">
        <v>31967</v>
      </c>
      <c r="C1612" s="1" t="s">
        <v>31968</v>
      </c>
      <c r="D1612" s="8" t="s">
        <v>31969</v>
      </c>
      <c r="E1612" s="1" t="s">
        <v>31968</v>
      </c>
      <c r="F1612" s="1" t="s">
        <v>132</v>
      </c>
      <c r="G1612" s="1" t="s">
        <v>31968</v>
      </c>
      <c r="H1612" s="1" t="s">
        <v>31970</v>
      </c>
      <c r="I1612" s="1" t="s">
        <v>31968</v>
      </c>
      <c r="J1612" s="1" t="s">
        <v>31968</v>
      </c>
      <c r="K1612" s="1" t="s">
        <v>31968</v>
      </c>
      <c r="L1612" s="1" t="s">
        <v>31971</v>
      </c>
      <c r="M1612" s="1" t="s">
        <v>31968</v>
      </c>
      <c r="N1612" s="1" t="s">
        <v>132</v>
      </c>
      <c r="O1612" s="1" t="s">
        <v>31972</v>
      </c>
      <c r="P1612" s="1" t="s">
        <v>31968</v>
      </c>
      <c r="Q1612" s="1" t="s">
        <v>132</v>
      </c>
      <c r="R1612" s="1" t="s">
        <v>31973</v>
      </c>
      <c r="S1612" s="1" t="s">
        <v>31968</v>
      </c>
      <c r="T1612" s="1" t="s">
        <v>31968</v>
      </c>
      <c r="U1612" s="1" t="s">
        <v>31968</v>
      </c>
      <c r="V1612" s="1" t="s">
        <v>31974</v>
      </c>
      <c r="W1612" s="1" t="s">
        <v>31973</v>
      </c>
      <c r="X1612" s="1" t="s">
        <v>31970</v>
      </c>
      <c r="Y1612" s="1" t="s">
        <v>31975</v>
      </c>
      <c r="Z1612" s="1" t="s">
        <v>31968</v>
      </c>
      <c r="AA1612" s="1" t="s">
        <v>31976</v>
      </c>
      <c r="AB1612" s="1" t="s">
        <v>132</v>
      </c>
      <c r="AC1612" s="1" t="s">
        <v>31977</v>
      </c>
      <c r="AD1612" s="1" t="s">
        <v>31978</v>
      </c>
      <c r="AE1612" s="1" t="s">
        <v>31968</v>
      </c>
      <c r="AF1612" s="1" t="s">
        <v>31968</v>
      </c>
      <c r="AG1612" s="1" t="s">
        <v>31968</v>
      </c>
      <c r="AH1612" s="1" t="s">
        <v>31979</v>
      </c>
      <c r="AI1612" s="1" t="s">
        <v>31980</v>
      </c>
      <c r="AJ1612" s="1" t="s">
        <v>132</v>
      </c>
      <c r="AK1612" s="1" t="s">
        <v>31968</v>
      </c>
      <c r="AL1612" s="1" t="s">
        <v>31981</v>
      </c>
      <c r="AM1612" s="1" t="s">
        <v>31982</v>
      </c>
      <c r="AN1612" s="1" t="s">
        <v>31982</v>
      </c>
    </row>
    <row r="1613" ht="15.75" customHeight="1">
      <c r="A1613" s="1" t="s">
        <v>38</v>
      </c>
      <c r="B1613" s="1" t="s">
        <v>31983</v>
      </c>
      <c r="C1613" s="1" t="s">
        <v>31984</v>
      </c>
      <c r="D1613" s="1" t="s">
        <v>132</v>
      </c>
      <c r="E1613" s="1" t="s">
        <v>31985</v>
      </c>
      <c r="F1613" s="1" t="s">
        <v>31986</v>
      </c>
      <c r="G1613" s="1" t="s">
        <v>132</v>
      </c>
      <c r="H1613" s="1" t="s">
        <v>132</v>
      </c>
      <c r="I1613" s="1" t="s">
        <v>31987</v>
      </c>
      <c r="J1613" s="1" t="s">
        <v>132</v>
      </c>
      <c r="K1613" s="1" t="s">
        <v>31988</v>
      </c>
      <c r="L1613" s="1" t="s">
        <v>132</v>
      </c>
      <c r="M1613" s="1" t="s">
        <v>31989</v>
      </c>
      <c r="N1613" s="1" t="s">
        <v>31990</v>
      </c>
      <c r="O1613" s="1" t="s">
        <v>132</v>
      </c>
      <c r="P1613" s="1" t="s">
        <v>31991</v>
      </c>
      <c r="Q1613" s="1" t="s">
        <v>132</v>
      </c>
      <c r="R1613" s="1" t="s">
        <v>132</v>
      </c>
      <c r="S1613" s="1" t="s">
        <v>31992</v>
      </c>
      <c r="T1613" s="1" t="s">
        <v>132</v>
      </c>
      <c r="U1613" s="1" t="s">
        <v>31993</v>
      </c>
      <c r="V1613" s="1" t="s">
        <v>132</v>
      </c>
      <c r="W1613" s="1" t="s">
        <v>132</v>
      </c>
      <c r="X1613" s="1" t="s">
        <v>31994</v>
      </c>
      <c r="Y1613" s="1" t="s">
        <v>132</v>
      </c>
      <c r="Z1613" s="1" t="s">
        <v>31995</v>
      </c>
      <c r="AA1613" s="1" t="s">
        <v>31996</v>
      </c>
      <c r="AB1613" s="1" t="s">
        <v>132</v>
      </c>
      <c r="AC1613" s="1" t="s">
        <v>31998</v>
      </c>
      <c r="AD1613" s="1" t="s">
        <v>132</v>
      </c>
      <c r="AE1613" s="1" t="s">
        <v>132</v>
      </c>
      <c r="AF1613" s="1" t="s">
        <v>132</v>
      </c>
      <c r="AG1613" s="1" t="s">
        <v>132</v>
      </c>
      <c r="AH1613" s="1" t="s">
        <v>132</v>
      </c>
      <c r="AI1613" s="1" t="s">
        <v>132</v>
      </c>
      <c r="AJ1613" s="1" t="s">
        <v>132</v>
      </c>
      <c r="AK1613" s="1" t="s">
        <v>132</v>
      </c>
      <c r="AL1613" s="1" t="s">
        <v>132</v>
      </c>
      <c r="AM1613" s="1" t="s">
        <v>132</v>
      </c>
      <c r="AN1613" s="1" t="s">
        <v>132</v>
      </c>
    </row>
    <row r="1614" ht="15.75" customHeight="1">
      <c r="A1614" s="1" t="s">
        <v>38</v>
      </c>
      <c r="B1614" s="1" t="s">
        <v>32000</v>
      </c>
      <c r="C1614" s="1" t="s">
        <v>2258</v>
      </c>
      <c r="D1614" s="1" t="s">
        <v>132</v>
      </c>
      <c r="E1614" s="1" t="s">
        <v>132</v>
      </c>
      <c r="F1614" s="1" t="s">
        <v>132</v>
      </c>
      <c r="G1614" s="1" t="s">
        <v>132</v>
      </c>
      <c r="H1614" s="1" t="s">
        <v>132</v>
      </c>
      <c r="I1614" s="1" t="s">
        <v>2259</v>
      </c>
      <c r="J1614" s="1" t="s">
        <v>132</v>
      </c>
      <c r="K1614" s="1" t="s">
        <v>2260</v>
      </c>
      <c r="L1614" s="1" t="s">
        <v>132</v>
      </c>
      <c r="M1614" s="1" t="s">
        <v>2261</v>
      </c>
      <c r="N1614" s="1" t="s">
        <v>132</v>
      </c>
      <c r="O1614" s="1" t="s">
        <v>132</v>
      </c>
      <c r="P1614" s="1" t="s">
        <v>2262</v>
      </c>
      <c r="Q1614" s="1" t="s">
        <v>132</v>
      </c>
      <c r="R1614" s="1" t="s">
        <v>132</v>
      </c>
      <c r="S1614" s="1" t="s">
        <v>132</v>
      </c>
      <c r="T1614" s="1" t="s">
        <v>132</v>
      </c>
      <c r="U1614" s="1" t="s">
        <v>132</v>
      </c>
      <c r="V1614" s="1" t="s">
        <v>132</v>
      </c>
      <c r="W1614" s="1" t="s">
        <v>132</v>
      </c>
      <c r="X1614" s="1" t="s">
        <v>132</v>
      </c>
      <c r="Y1614" s="1" t="s">
        <v>132</v>
      </c>
      <c r="Z1614" s="1" t="s">
        <v>132</v>
      </c>
      <c r="AA1614" s="1" t="s">
        <v>132</v>
      </c>
      <c r="AB1614" s="1" t="s">
        <v>132</v>
      </c>
      <c r="AC1614" s="1" t="s">
        <v>2263</v>
      </c>
      <c r="AD1614" s="1" t="s">
        <v>132</v>
      </c>
      <c r="AE1614" s="1" t="s">
        <v>132</v>
      </c>
      <c r="AF1614" s="1" t="s">
        <v>2264</v>
      </c>
      <c r="AG1614" s="1" t="s">
        <v>132</v>
      </c>
      <c r="AH1614" s="1" t="s">
        <v>132</v>
      </c>
      <c r="AI1614" s="1" t="s">
        <v>132</v>
      </c>
      <c r="AJ1614" s="1" t="s">
        <v>132</v>
      </c>
      <c r="AK1614" s="1" t="s">
        <v>132</v>
      </c>
      <c r="AL1614" s="1" t="s">
        <v>132</v>
      </c>
      <c r="AM1614" s="1" t="s">
        <v>132</v>
      </c>
      <c r="AN1614" s="1" t="s">
        <v>132</v>
      </c>
    </row>
    <row r="1615" ht="15.75" customHeight="1">
      <c r="A1615" s="1" t="s">
        <v>127</v>
      </c>
      <c r="B1615" s="1" t="s">
        <v>32001</v>
      </c>
      <c r="C1615" s="1" t="s">
        <v>32002</v>
      </c>
      <c r="D1615" s="8" t="s">
        <v>32003</v>
      </c>
      <c r="E1615" s="1" t="s">
        <v>32002</v>
      </c>
      <c r="F1615" s="1" t="s">
        <v>132</v>
      </c>
      <c r="G1615" s="1" t="s">
        <v>32002</v>
      </c>
      <c r="H1615" s="1" t="s">
        <v>32002</v>
      </c>
      <c r="I1615" s="1" t="s">
        <v>32002</v>
      </c>
      <c r="J1615" s="1" t="s">
        <v>32002</v>
      </c>
      <c r="K1615" s="1" t="s">
        <v>32002</v>
      </c>
      <c r="L1615" s="1" t="s">
        <v>32002</v>
      </c>
      <c r="M1615" s="1" t="s">
        <v>32002</v>
      </c>
      <c r="N1615" s="1" t="s">
        <v>132</v>
      </c>
      <c r="O1615" s="1" t="s">
        <v>32004</v>
      </c>
      <c r="P1615" s="1" t="s">
        <v>32002</v>
      </c>
      <c r="Q1615" s="1" t="s">
        <v>132</v>
      </c>
      <c r="R1615" s="1" t="s">
        <v>32002</v>
      </c>
      <c r="S1615" s="1" t="s">
        <v>32002</v>
      </c>
      <c r="T1615" s="1" t="s">
        <v>32002</v>
      </c>
      <c r="U1615" s="1" t="s">
        <v>32002</v>
      </c>
      <c r="V1615" s="1" t="s">
        <v>32002</v>
      </c>
      <c r="W1615" s="1" t="s">
        <v>32002</v>
      </c>
      <c r="X1615" s="1" t="s">
        <v>32002</v>
      </c>
      <c r="Y1615" s="1" t="s">
        <v>32002</v>
      </c>
      <c r="Z1615" s="1" t="s">
        <v>32002</v>
      </c>
      <c r="AA1615" s="1" t="s">
        <v>32002</v>
      </c>
      <c r="AB1615" s="1" t="s">
        <v>132</v>
      </c>
      <c r="AC1615" s="1" t="s">
        <v>32005</v>
      </c>
      <c r="AD1615" s="1" t="s">
        <v>32002</v>
      </c>
      <c r="AE1615" s="1" t="s">
        <v>32002</v>
      </c>
      <c r="AF1615" s="1" t="s">
        <v>32002</v>
      </c>
      <c r="AG1615" s="1" t="s">
        <v>32002</v>
      </c>
      <c r="AH1615" s="1" t="s">
        <v>32006</v>
      </c>
      <c r="AI1615" s="1" t="s">
        <v>32007</v>
      </c>
      <c r="AJ1615" s="1" t="s">
        <v>132</v>
      </c>
      <c r="AK1615" s="1" t="s">
        <v>32002</v>
      </c>
      <c r="AL1615" s="1" t="s">
        <v>32008</v>
      </c>
      <c r="AM1615" s="1" t="s">
        <v>32009</v>
      </c>
      <c r="AN1615" s="1" t="s">
        <v>32009</v>
      </c>
    </row>
    <row r="1616" ht="15.75" customHeight="1">
      <c r="A1616" s="1" t="s">
        <v>127</v>
      </c>
      <c r="B1616" s="1" t="s">
        <v>32010</v>
      </c>
      <c r="C1616" s="1" t="s">
        <v>32011</v>
      </c>
      <c r="D1616" s="8" t="s">
        <v>32012</v>
      </c>
      <c r="E1616" s="1" t="s">
        <v>32013</v>
      </c>
      <c r="F1616" s="1" t="s">
        <v>132</v>
      </c>
      <c r="G1616" s="1" t="s">
        <v>32014</v>
      </c>
      <c r="H1616" s="1" t="s">
        <v>32015</v>
      </c>
      <c r="I1616" s="1" t="s">
        <v>32016</v>
      </c>
      <c r="J1616" s="1" t="s">
        <v>32017</v>
      </c>
      <c r="K1616" s="1" t="s">
        <v>32018</v>
      </c>
      <c r="L1616" s="1" t="s">
        <v>32019</v>
      </c>
      <c r="M1616" s="1" t="s">
        <v>32020</v>
      </c>
      <c r="N1616" s="1" t="s">
        <v>132</v>
      </c>
      <c r="O1616" s="1" t="s">
        <v>32021</v>
      </c>
      <c r="P1616" s="1" t="s">
        <v>32011</v>
      </c>
      <c r="Q1616" s="1" t="s">
        <v>132</v>
      </c>
      <c r="R1616" s="1" t="s">
        <v>32022</v>
      </c>
      <c r="S1616" s="1" t="s">
        <v>32023</v>
      </c>
      <c r="T1616" s="8" t="s">
        <v>32024</v>
      </c>
      <c r="U1616" s="1" t="s">
        <v>32025</v>
      </c>
      <c r="V1616" s="1" t="s">
        <v>32026</v>
      </c>
      <c r="W1616" s="1" t="s">
        <v>32027</v>
      </c>
      <c r="X1616" s="1" t="s">
        <v>32028</v>
      </c>
      <c r="Y1616" s="1" t="s">
        <v>32029</v>
      </c>
      <c r="Z1616" s="1" t="s">
        <v>32030</v>
      </c>
      <c r="AA1616" s="1" t="s">
        <v>32031</v>
      </c>
      <c r="AB1616" s="1" t="s">
        <v>132</v>
      </c>
      <c r="AC1616" s="1" t="s">
        <v>32032</v>
      </c>
      <c r="AD1616" s="1" t="s">
        <v>32033</v>
      </c>
      <c r="AE1616" s="1" t="s">
        <v>32034</v>
      </c>
      <c r="AF1616" s="1" t="s">
        <v>32035</v>
      </c>
      <c r="AG1616" s="1" t="s">
        <v>32036</v>
      </c>
      <c r="AH1616" s="1" t="s">
        <v>32037</v>
      </c>
      <c r="AI1616" s="1" t="s">
        <v>32038</v>
      </c>
      <c r="AJ1616" s="1" t="s">
        <v>132</v>
      </c>
      <c r="AK1616" s="1" t="s">
        <v>32039</v>
      </c>
      <c r="AL1616" s="1" t="s">
        <v>32040</v>
      </c>
      <c r="AM1616" s="1" t="s">
        <v>132</v>
      </c>
      <c r="AN1616" s="1" t="s">
        <v>132</v>
      </c>
    </row>
    <row r="1617" ht="15.75" customHeight="1">
      <c r="A1617" s="1" t="s">
        <v>127</v>
      </c>
      <c r="B1617" s="1" t="s">
        <v>32041</v>
      </c>
      <c r="C1617" s="1" t="s">
        <v>24728</v>
      </c>
      <c r="D1617" s="8" t="s">
        <v>24729</v>
      </c>
      <c r="E1617" s="1" t="s">
        <v>24730</v>
      </c>
      <c r="F1617" s="1" t="s">
        <v>132</v>
      </c>
      <c r="G1617" s="1" t="s">
        <v>24731</v>
      </c>
      <c r="H1617" s="1" t="s">
        <v>24732</v>
      </c>
      <c r="I1617" s="1" t="s">
        <v>32042</v>
      </c>
      <c r="J1617" s="1" t="s">
        <v>24734</v>
      </c>
      <c r="K1617" s="1" t="s">
        <v>24735</v>
      </c>
      <c r="L1617" s="1" t="s">
        <v>24736</v>
      </c>
      <c r="M1617" s="1" t="s">
        <v>24737</v>
      </c>
      <c r="N1617" s="1" t="s">
        <v>132</v>
      </c>
      <c r="O1617" s="1" t="s">
        <v>24738</v>
      </c>
      <c r="P1617" s="1" t="s">
        <v>24739</v>
      </c>
      <c r="Q1617" s="1" t="s">
        <v>132</v>
      </c>
      <c r="R1617" s="1" t="s">
        <v>24740</v>
      </c>
      <c r="S1617" s="1" t="s">
        <v>32043</v>
      </c>
      <c r="T1617" s="8" t="s">
        <v>24742</v>
      </c>
      <c r="U1617" s="1" t="s">
        <v>24743</v>
      </c>
      <c r="V1617" s="1" t="s">
        <v>24744</v>
      </c>
      <c r="W1617" s="1" t="s">
        <v>24740</v>
      </c>
      <c r="X1617" s="1" t="s">
        <v>24745</v>
      </c>
      <c r="Y1617" s="1" t="s">
        <v>24746</v>
      </c>
      <c r="Z1617" s="1" t="s">
        <v>32044</v>
      </c>
      <c r="AA1617" s="1" t="s">
        <v>24748</v>
      </c>
      <c r="AB1617" s="1" t="s">
        <v>132</v>
      </c>
      <c r="AC1617" s="1" t="s">
        <v>24730</v>
      </c>
      <c r="AD1617" s="1" t="s">
        <v>24750</v>
      </c>
      <c r="AE1617" s="1" t="s">
        <v>24751</v>
      </c>
      <c r="AF1617" s="1" t="s">
        <v>32045</v>
      </c>
      <c r="AG1617" s="1" t="s">
        <v>24732</v>
      </c>
      <c r="AH1617" s="1" t="s">
        <v>24753</v>
      </c>
      <c r="AI1617" s="1" t="s">
        <v>32046</v>
      </c>
      <c r="AJ1617" s="1" t="s">
        <v>132</v>
      </c>
      <c r="AK1617" s="1" t="s">
        <v>24755</v>
      </c>
      <c r="AL1617" s="1" t="s">
        <v>26449</v>
      </c>
      <c r="AM1617" s="1" t="s">
        <v>132</v>
      </c>
      <c r="AN1617" s="1" t="s">
        <v>132</v>
      </c>
    </row>
    <row r="1618" ht="15.75" customHeight="1">
      <c r="A1618" s="1" t="s">
        <v>127</v>
      </c>
      <c r="B1618" s="1" t="s">
        <v>32047</v>
      </c>
      <c r="C1618" s="1" t="s">
        <v>132</v>
      </c>
      <c r="D1618" s="8" t="s">
        <v>32048</v>
      </c>
      <c r="E1618" s="1" t="s">
        <v>132</v>
      </c>
      <c r="F1618" s="1" t="s">
        <v>132</v>
      </c>
      <c r="G1618" s="1" t="s">
        <v>132</v>
      </c>
      <c r="H1618" s="1" t="s">
        <v>132</v>
      </c>
      <c r="I1618" s="1" t="s">
        <v>132</v>
      </c>
      <c r="J1618" s="1" t="s">
        <v>132</v>
      </c>
      <c r="K1618" s="1" t="s">
        <v>132</v>
      </c>
      <c r="L1618" s="1" t="s">
        <v>132</v>
      </c>
      <c r="M1618" s="1" t="s">
        <v>132</v>
      </c>
      <c r="N1618" s="1" t="s">
        <v>132</v>
      </c>
      <c r="O1618" s="1" t="s">
        <v>132</v>
      </c>
      <c r="P1618" s="1" t="s">
        <v>132</v>
      </c>
      <c r="Q1618" s="1" t="s">
        <v>132</v>
      </c>
      <c r="R1618" s="1" t="s">
        <v>132</v>
      </c>
      <c r="S1618" s="1" t="s">
        <v>132</v>
      </c>
      <c r="T1618" s="1" t="s">
        <v>132</v>
      </c>
      <c r="U1618" s="1" t="s">
        <v>132</v>
      </c>
      <c r="V1618" s="1" t="s">
        <v>7047</v>
      </c>
      <c r="W1618" s="1" t="s">
        <v>132</v>
      </c>
      <c r="X1618" s="1" t="s">
        <v>132</v>
      </c>
      <c r="Y1618" s="1" t="s">
        <v>132</v>
      </c>
      <c r="Z1618" s="1" t="s">
        <v>132</v>
      </c>
      <c r="AA1618" s="1" t="s">
        <v>132</v>
      </c>
      <c r="AB1618" s="1" t="s">
        <v>132</v>
      </c>
      <c r="AC1618" s="1" t="s">
        <v>132</v>
      </c>
      <c r="AD1618" s="1" t="s">
        <v>132</v>
      </c>
      <c r="AE1618" s="1" t="s">
        <v>132</v>
      </c>
      <c r="AF1618" s="1" t="s">
        <v>132</v>
      </c>
      <c r="AG1618" s="1" t="s">
        <v>132</v>
      </c>
      <c r="AH1618" s="1" t="s">
        <v>132</v>
      </c>
      <c r="AI1618" s="1" t="s">
        <v>132</v>
      </c>
      <c r="AJ1618" s="1" t="s">
        <v>132</v>
      </c>
      <c r="AK1618" s="1" t="s">
        <v>132</v>
      </c>
      <c r="AL1618" s="1" t="s">
        <v>132</v>
      </c>
      <c r="AM1618" s="1" t="s">
        <v>132</v>
      </c>
      <c r="AN1618" s="1" t="s">
        <v>132</v>
      </c>
    </row>
    <row r="1619" ht="15.75" customHeight="1">
      <c r="A1619" s="1" t="s">
        <v>38</v>
      </c>
      <c r="B1619" s="1" t="s">
        <v>32049</v>
      </c>
      <c r="C1619" s="1" t="s">
        <v>32050</v>
      </c>
      <c r="D1619" s="1" t="s">
        <v>132</v>
      </c>
      <c r="E1619" s="1" t="s">
        <v>32051</v>
      </c>
      <c r="F1619" s="1" t="s">
        <v>132</v>
      </c>
      <c r="G1619" s="1" t="s">
        <v>132</v>
      </c>
      <c r="H1619" s="1" t="s">
        <v>132</v>
      </c>
      <c r="I1619" s="1" t="s">
        <v>32052</v>
      </c>
      <c r="J1619" s="1" t="s">
        <v>132</v>
      </c>
      <c r="K1619" s="1" t="s">
        <v>32053</v>
      </c>
      <c r="L1619" s="1" t="s">
        <v>132</v>
      </c>
      <c r="M1619" s="1" t="s">
        <v>32054</v>
      </c>
      <c r="N1619" s="1" t="s">
        <v>32055</v>
      </c>
      <c r="O1619" s="1" t="s">
        <v>132</v>
      </c>
      <c r="P1619" s="1" t="s">
        <v>32056</v>
      </c>
      <c r="Q1619" s="1" t="s">
        <v>132</v>
      </c>
      <c r="R1619" s="1" t="s">
        <v>132</v>
      </c>
      <c r="S1619" s="1" t="s">
        <v>32057</v>
      </c>
      <c r="T1619" s="1" t="s">
        <v>132</v>
      </c>
      <c r="U1619" s="1" t="s">
        <v>132</v>
      </c>
      <c r="V1619" s="1" t="s">
        <v>132</v>
      </c>
      <c r="W1619" s="1" t="s">
        <v>132</v>
      </c>
      <c r="X1619" s="1" t="s">
        <v>32058</v>
      </c>
      <c r="Y1619" s="1" t="s">
        <v>132</v>
      </c>
      <c r="Z1619" s="1" t="s">
        <v>32059</v>
      </c>
      <c r="AA1619" s="1" t="s">
        <v>132</v>
      </c>
      <c r="AB1619" s="1" t="s">
        <v>132</v>
      </c>
      <c r="AC1619" s="1" t="s">
        <v>132</v>
      </c>
      <c r="AD1619" s="1" t="s">
        <v>132</v>
      </c>
      <c r="AE1619" s="1" t="s">
        <v>132</v>
      </c>
      <c r="AF1619" s="1" t="s">
        <v>132</v>
      </c>
      <c r="AG1619" s="1" t="s">
        <v>132</v>
      </c>
      <c r="AH1619" s="1" t="s">
        <v>132</v>
      </c>
      <c r="AI1619" s="1" t="s">
        <v>132</v>
      </c>
      <c r="AJ1619" s="1" t="s">
        <v>132</v>
      </c>
      <c r="AK1619" s="1" t="s">
        <v>132</v>
      </c>
      <c r="AL1619" s="1" t="s">
        <v>132</v>
      </c>
      <c r="AM1619" s="1" t="s">
        <v>132</v>
      </c>
      <c r="AN1619" s="1" t="s">
        <v>132</v>
      </c>
    </row>
    <row r="1620" ht="15.75" customHeight="1">
      <c r="A1620" s="1" t="s">
        <v>127</v>
      </c>
      <c r="B1620" s="1" t="s">
        <v>32060</v>
      </c>
      <c r="C1620" s="1" t="s">
        <v>32061</v>
      </c>
      <c r="D1620" s="8" t="s">
        <v>32062</v>
      </c>
      <c r="E1620" s="1" t="s">
        <v>32063</v>
      </c>
      <c r="F1620" s="1" t="s">
        <v>132</v>
      </c>
      <c r="G1620" s="1" t="s">
        <v>32064</v>
      </c>
      <c r="H1620" s="1" t="s">
        <v>32065</v>
      </c>
      <c r="I1620" s="1" t="s">
        <v>32066</v>
      </c>
      <c r="J1620" s="1" t="s">
        <v>32067</v>
      </c>
      <c r="K1620" s="1" t="s">
        <v>32068</v>
      </c>
      <c r="L1620" s="1" t="s">
        <v>32069</v>
      </c>
      <c r="M1620" s="1" t="s">
        <v>32070</v>
      </c>
      <c r="N1620" s="1" t="s">
        <v>132</v>
      </c>
      <c r="O1620" s="1" t="s">
        <v>32071</v>
      </c>
      <c r="P1620" s="1" t="s">
        <v>32072</v>
      </c>
      <c r="Q1620" s="1" t="s">
        <v>132</v>
      </c>
      <c r="R1620" s="1" t="s">
        <v>32073</v>
      </c>
      <c r="S1620" s="1" t="s">
        <v>32074</v>
      </c>
      <c r="T1620" s="8" t="s">
        <v>32075</v>
      </c>
      <c r="U1620" s="1" t="s">
        <v>32076</v>
      </c>
      <c r="V1620" s="1" t="s">
        <v>32077</v>
      </c>
      <c r="W1620" s="1" t="s">
        <v>32078</v>
      </c>
      <c r="X1620" s="1" t="s">
        <v>32079</v>
      </c>
      <c r="Y1620" s="1" t="s">
        <v>32080</v>
      </c>
      <c r="Z1620" s="1" t="s">
        <v>32081</v>
      </c>
      <c r="AA1620" s="1" t="s">
        <v>32082</v>
      </c>
      <c r="AB1620" s="1" t="s">
        <v>132</v>
      </c>
      <c r="AC1620" s="1" t="s">
        <v>32083</v>
      </c>
      <c r="AD1620" s="1" t="s">
        <v>32084</v>
      </c>
      <c r="AE1620" s="1" t="s">
        <v>32085</v>
      </c>
      <c r="AF1620" s="1" t="s">
        <v>32086</v>
      </c>
      <c r="AG1620" s="1" t="s">
        <v>32087</v>
      </c>
      <c r="AH1620" s="1" t="s">
        <v>32088</v>
      </c>
      <c r="AI1620" s="1" t="s">
        <v>32089</v>
      </c>
      <c r="AJ1620" s="1" t="s">
        <v>132</v>
      </c>
      <c r="AK1620" s="1" t="s">
        <v>32090</v>
      </c>
      <c r="AL1620" s="1" t="s">
        <v>32091</v>
      </c>
      <c r="AM1620" s="1" t="s">
        <v>32092</v>
      </c>
      <c r="AN1620" s="1" t="s">
        <v>32092</v>
      </c>
    </row>
    <row r="1621" ht="15.75" customHeight="1">
      <c r="A1621" s="1" t="s">
        <v>127</v>
      </c>
      <c r="B1621" s="1" t="s">
        <v>32093</v>
      </c>
      <c r="C1621" s="1" t="s">
        <v>32094</v>
      </c>
      <c r="D1621" s="8" t="s">
        <v>32095</v>
      </c>
      <c r="E1621" s="1" t="s">
        <v>32096</v>
      </c>
      <c r="F1621" s="1" t="s">
        <v>132</v>
      </c>
      <c r="G1621" s="1" t="s">
        <v>32097</v>
      </c>
      <c r="H1621" s="1" t="s">
        <v>32098</v>
      </c>
      <c r="I1621" s="1" t="s">
        <v>32099</v>
      </c>
      <c r="J1621" s="1" t="s">
        <v>32100</v>
      </c>
      <c r="K1621" s="1" t="s">
        <v>32101</v>
      </c>
      <c r="L1621" s="1" t="s">
        <v>32102</v>
      </c>
      <c r="M1621" s="1" t="s">
        <v>32103</v>
      </c>
      <c r="N1621" s="1" t="s">
        <v>132</v>
      </c>
      <c r="O1621" s="1" t="s">
        <v>32104</v>
      </c>
      <c r="P1621" s="1" t="s">
        <v>32105</v>
      </c>
      <c r="Q1621" s="1" t="s">
        <v>132</v>
      </c>
      <c r="R1621" s="1" t="s">
        <v>32106</v>
      </c>
      <c r="S1621" s="1" t="s">
        <v>32107</v>
      </c>
      <c r="T1621" s="8" t="s">
        <v>32108</v>
      </c>
      <c r="U1621" s="1" t="s">
        <v>32109</v>
      </c>
      <c r="V1621" s="1" t="s">
        <v>32110</v>
      </c>
      <c r="W1621" s="1" t="s">
        <v>32111</v>
      </c>
      <c r="X1621" s="1" t="s">
        <v>32112</v>
      </c>
      <c r="Y1621" s="1" t="s">
        <v>32113</v>
      </c>
      <c r="Z1621" s="1" t="s">
        <v>32114</v>
      </c>
      <c r="AA1621" s="1" t="s">
        <v>32115</v>
      </c>
      <c r="AB1621" s="1" t="s">
        <v>132</v>
      </c>
      <c r="AC1621" s="1" t="s">
        <v>32116</v>
      </c>
      <c r="AD1621" s="1" t="s">
        <v>32117</v>
      </c>
      <c r="AE1621" s="1" t="s">
        <v>32118</v>
      </c>
      <c r="AF1621" s="1" t="s">
        <v>32119</v>
      </c>
      <c r="AG1621" s="1" t="s">
        <v>32120</v>
      </c>
      <c r="AH1621" s="1" t="s">
        <v>32121</v>
      </c>
      <c r="AI1621" s="1" t="s">
        <v>32122</v>
      </c>
      <c r="AJ1621" s="1" t="s">
        <v>132</v>
      </c>
      <c r="AK1621" s="1" t="s">
        <v>32123</v>
      </c>
      <c r="AL1621" s="1" t="s">
        <v>32124</v>
      </c>
      <c r="AM1621" s="1" t="s">
        <v>32125</v>
      </c>
      <c r="AN1621" s="1" t="s">
        <v>32125</v>
      </c>
    </row>
    <row r="1622" ht="15.75" customHeight="1">
      <c r="A1622" s="1" t="s">
        <v>127</v>
      </c>
      <c r="B1622" s="1" t="s">
        <v>32126</v>
      </c>
      <c r="C1622" s="1" t="s">
        <v>32127</v>
      </c>
      <c r="D1622" s="8" t="s">
        <v>5556</v>
      </c>
      <c r="E1622" s="1" t="s">
        <v>5557</v>
      </c>
      <c r="F1622" s="1" t="s">
        <v>132</v>
      </c>
      <c r="G1622" s="1" t="s">
        <v>32127</v>
      </c>
      <c r="H1622" s="1" t="s">
        <v>32127</v>
      </c>
      <c r="I1622" s="1" t="s">
        <v>32127</v>
      </c>
      <c r="J1622" s="1" t="s">
        <v>32127</v>
      </c>
      <c r="K1622" s="1" t="s">
        <v>32127</v>
      </c>
      <c r="L1622" s="1" t="s">
        <v>32128</v>
      </c>
      <c r="M1622" s="1" t="s">
        <v>32127</v>
      </c>
      <c r="N1622" s="1" t="s">
        <v>132</v>
      </c>
      <c r="O1622" s="1" t="s">
        <v>32129</v>
      </c>
      <c r="P1622" s="1" t="s">
        <v>32130</v>
      </c>
      <c r="Q1622" s="1" t="s">
        <v>132</v>
      </c>
      <c r="R1622" s="1" t="s">
        <v>32131</v>
      </c>
      <c r="S1622" s="1" t="s">
        <v>32127</v>
      </c>
      <c r="T1622" s="8" t="s">
        <v>5569</v>
      </c>
      <c r="U1622" s="1" t="s">
        <v>32127</v>
      </c>
      <c r="V1622" s="1" t="s">
        <v>5571</v>
      </c>
      <c r="W1622" s="1" t="s">
        <v>32131</v>
      </c>
      <c r="X1622" s="1" t="s">
        <v>32127</v>
      </c>
      <c r="Y1622" s="1" t="s">
        <v>32127</v>
      </c>
      <c r="Z1622" s="1" t="s">
        <v>32127</v>
      </c>
      <c r="AA1622" s="1" t="s">
        <v>5574</v>
      </c>
      <c r="AB1622" s="1" t="s">
        <v>132</v>
      </c>
      <c r="AC1622" s="1" t="s">
        <v>32132</v>
      </c>
      <c r="AD1622" s="1" t="s">
        <v>32127</v>
      </c>
      <c r="AE1622" s="1" t="s">
        <v>32127</v>
      </c>
      <c r="AF1622" s="1" t="s">
        <v>32127</v>
      </c>
      <c r="AG1622" s="1" t="s">
        <v>32127</v>
      </c>
      <c r="AH1622" s="1" t="s">
        <v>5580</v>
      </c>
      <c r="AI1622" s="1" t="s">
        <v>22963</v>
      </c>
      <c r="AJ1622" s="1" t="s">
        <v>132</v>
      </c>
      <c r="AK1622" s="1" t="s">
        <v>32133</v>
      </c>
      <c r="AL1622" s="1" t="s">
        <v>5583</v>
      </c>
      <c r="AM1622" s="1" t="s">
        <v>5584</v>
      </c>
      <c r="AN1622" s="1" t="s">
        <v>5584</v>
      </c>
    </row>
    <row r="1623" ht="15.75" customHeight="1">
      <c r="A1623" s="1" t="s">
        <v>127</v>
      </c>
      <c r="B1623" s="1" t="s">
        <v>32134</v>
      </c>
      <c r="C1623" s="1" t="s">
        <v>32135</v>
      </c>
      <c r="D1623" s="8" t="s">
        <v>32136</v>
      </c>
      <c r="E1623" s="1" t="s">
        <v>32137</v>
      </c>
      <c r="F1623" s="1" t="s">
        <v>132</v>
      </c>
      <c r="G1623" s="1" t="s">
        <v>32138</v>
      </c>
      <c r="H1623" s="1" t="s">
        <v>32139</v>
      </c>
      <c r="I1623" s="1" t="s">
        <v>32140</v>
      </c>
      <c r="J1623" s="1" t="s">
        <v>32141</v>
      </c>
      <c r="K1623" s="1" t="s">
        <v>32142</v>
      </c>
      <c r="L1623" s="1" t="s">
        <v>32143</v>
      </c>
      <c r="M1623" s="1" t="s">
        <v>32144</v>
      </c>
      <c r="N1623" s="1" t="s">
        <v>132</v>
      </c>
      <c r="O1623" s="1" t="s">
        <v>32145</v>
      </c>
      <c r="P1623" s="1" t="s">
        <v>32146</v>
      </c>
      <c r="Q1623" s="1" t="s">
        <v>132</v>
      </c>
      <c r="R1623" s="1" t="s">
        <v>32147</v>
      </c>
      <c r="S1623" s="1" t="s">
        <v>20117</v>
      </c>
      <c r="T1623" s="8" t="s">
        <v>32148</v>
      </c>
      <c r="U1623" s="1" t="s">
        <v>32149</v>
      </c>
      <c r="V1623" s="1" t="s">
        <v>32150</v>
      </c>
      <c r="W1623" s="1" t="s">
        <v>32147</v>
      </c>
      <c r="X1623" s="1" t="s">
        <v>32151</v>
      </c>
      <c r="Y1623" s="1" t="s">
        <v>32152</v>
      </c>
      <c r="Z1623" s="1" t="s">
        <v>32153</v>
      </c>
      <c r="AA1623" s="1" t="s">
        <v>32154</v>
      </c>
      <c r="AB1623" s="1" t="s">
        <v>132</v>
      </c>
      <c r="AC1623" s="1" t="s">
        <v>32155</v>
      </c>
      <c r="AD1623" s="1" t="s">
        <v>32156</v>
      </c>
      <c r="AE1623" s="1" t="s">
        <v>32157</v>
      </c>
      <c r="AF1623" s="1" t="s">
        <v>32158</v>
      </c>
      <c r="AG1623" s="1" t="s">
        <v>32159</v>
      </c>
      <c r="AH1623" s="1" t="s">
        <v>32160</v>
      </c>
      <c r="AI1623" s="1" t="s">
        <v>32161</v>
      </c>
      <c r="AJ1623" s="1" t="s">
        <v>132</v>
      </c>
      <c r="AK1623" s="1" t="s">
        <v>32162</v>
      </c>
      <c r="AL1623" s="1" t="s">
        <v>32163</v>
      </c>
      <c r="AM1623" s="1" t="s">
        <v>32164</v>
      </c>
      <c r="AN1623" s="1" t="s">
        <v>32164</v>
      </c>
    </row>
    <row r="1624" ht="15.75" customHeight="1">
      <c r="A1624" s="1" t="s">
        <v>127</v>
      </c>
      <c r="B1624" s="1" t="s">
        <v>32165</v>
      </c>
      <c r="C1624" s="1" t="s">
        <v>32166</v>
      </c>
      <c r="D1624" s="8" t="s">
        <v>32167</v>
      </c>
      <c r="E1624" s="1" t="s">
        <v>32168</v>
      </c>
      <c r="F1624" s="1" t="s">
        <v>132</v>
      </c>
      <c r="G1624" s="1" t="s">
        <v>32169</v>
      </c>
      <c r="H1624" s="1" t="s">
        <v>32170</v>
      </c>
      <c r="I1624" s="1" t="s">
        <v>32171</v>
      </c>
      <c r="J1624" s="1" t="s">
        <v>32172</v>
      </c>
      <c r="K1624" s="1" t="s">
        <v>32173</v>
      </c>
      <c r="L1624" s="1" t="s">
        <v>32174</v>
      </c>
      <c r="M1624" s="1" t="s">
        <v>32175</v>
      </c>
      <c r="N1624" s="1" t="s">
        <v>132</v>
      </c>
      <c r="O1624" s="1" t="s">
        <v>32176</v>
      </c>
      <c r="P1624" s="1" t="s">
        <v>32177</v>
      </c>
      <c r="Q1624" s="1" t="s">
        <v>132</v>
      </c>
      <c r="R1624" s="1" t="s">
        <v>32178</v>
      </c>
      <c r="S1624" s="1" t="s">
        <v>32179</v>
      </c>
      <c r="T1624" s="8" t="s">
        <v>32180</v>
      </c>
      <c r="U1624" s="1" t="s">
        <v>32181</v>
      </c>
      <c r="V1624" s="1" t="s">
        <v>32182</v>
      </c>
      <c r="W1624" s="1" t="s">
        <v>32183</v>
      </c>
      <c r="X1624" s="1" t="s">
        <v>32184</v>
      </c>
      <c r="Y1624" s="1" t="s">
        <v>32185</v>
      </c>
      <c r="Z1624" s="1" t="s">
        <v>32186</v>
      </c>
      <c r="AA1624" s="1" t="s">
        <v>32187</v>
      </c>
      <c r="AB1624" s="1" t="s">
        <v>132</v>
      </c>
      <c r="AC1624" s="1" t="s">
        <v>32188</v>
      </c>
      <c r="AD1624" s="1" t="s">
        <v>32169</v>
      </c>
      <c r="AE1624" s="1" t="s">
        <v>32189</v>
      </c>
      <c r="AF1624" s="1" t="s">
        <v>32190</v>
      </c>
      <c r="AG1624" s="1" t="s">
        <v>32191</v>
      </c>
      <c r="AH1624" s="1" t="s">
        <v>32192</v>
      </c>
      <c r="AI1624" s="1" t="s">
        <v>32193</v>
      </c>
      <c r="AJ1624" s="1" t="s">
        <v>132</v>
      </c>
      <c r="AK1624" s="1" t="s">
        <v>32194</v>
      </c>
      <c r="AL1624" s="1" t="s">
        <v>32195</v>
      </c>
      <c r="AM1624" s="1" t="s">
        <v>32196</v>
      </c>
      <c r="AN1624" s="1" t="s">
        <v>32196</v>
      </c>
    </row>
    <row r="1625" ht="15.75" customHeight="1">
      <c r="A1625" s="1" t="s">
        <v>38</v>
      </c>
      <c r="B1625" s="1" t="s">
        <v>32197</v>
      </c>
      <c r="C1625" s="1" t="s">
        <v>32198</v>
      </c>
      <c r="D1625" s="1" t="s">
        <v>132</v>
      </c>
      <c r="E1625" s="1" t="s">
        <v>32199</v>
      </c>
      <c r="F1625" s="1" t="s">
        <v>132</v>
      </c>
      <c r="G1625" s="1" t="s">
        <v>132</v>
      </c>
      <c r="H1625" s="1" t="s">
        <v>132</v>
      </c>
      <c r="I1625" s="1" t="s">
        <v>32200</v>
      </c>
      <c r="J1625" s="1" t="s">
        <v>132</v>
      </c>
      <c r="K1625" s="1" t="s">
        <v>32201</v>
      </c>
      <c r="L1625" s="1" t="s">
        <v>132</v>
      </c>
      <c r="M1625" s="1" t="s">
        <v>32202</v>
      </c>
      <c r="N1625" s="1" t="s">
        <v>32203</v>
      </c>
      <c r="O1625" s="1" t="s">
        <v>132</v>
      </c>
      <c r="P1625" s="1" t="s">
        <v>32204</v>
      </c>
      <c r="Q1625" s="1" t="s">
        <v>132</v>
      </c>
      <c r="R1625" s="1" t="s">
        <v>132</v>
      </c>
      <c r="S1625" s="1" t="s">
        <v>32205</v>
      </c>
      <c r="T1625" s="1" t="s">
        <v>132</v>
      </c>
      <c r="U1625" s="1" t="s">
        <v>132</v>
      </c>
      <c r="V1625" s="1" t="s">
        <v>132</v>
      </c>
      <c r="W1625" s="1" t="s">
        <v>132</v>
      </c>
      <c r="X1625" s="1" t="s">
        <v>32206</v>
      </c>
      <c r="Y1625" s="1" t="s">
        <v>132</v>
      </c>
      <c r="Z1625" s="1" t="s">
        <v>32207</v>
      </c>
      <c r="AA1625" s="1" t="s">
        <v>132</v>
      </c>
      <c r="AB1625" s="1" t="s">
        <v>132</v>
      </c>
      <c r="AC1625" s="1" t="s">
        <v>132</v>
      </c>
      <c r="AD1625" s="1" t="s">
        <v>132</v>
      </c>
      <c r="AE1625" s="1" t="s">
        <v>132</v>
      </c>
      <c r="AF1625" s="1" t="s">
        <v>132</v>
      </c>
      <c r="AG1625" s="1" t="s">
        <v>132</v>
      </c>
      <c r="AH1625" s="1" t="s">
        <v>132</v>
      </c>
      <c r="AI1625" s="1" t="s">
        <v>132</v>
      </c>
      <c r="AJ1625" s="1" t="s">
        <v>132</v>
      </c>
      <c r="AK1625" s="1" t="s">
        <v>132</v>
      </c>
      <c r="AL1625" s="1" t="s">
        <v>132</v>
      </c>
      <c r="AM1625" s="1" t="s">
        <v>132</v>
      </c>
      <c r="AN1625" s="1" t="s">
        <v>132</v>
      </c>
    </row>
    <row r="1626" ht="15.75" customHeight="1">
      <c r="A1626" s="1" t="s">
        <v>2265</v>
      </c>
      <c r="B1626" s="1" t="s">
        <v>32208</v>
      </c>
      <c r="C1626" s="1" t="s">
        <v>32209</v>
      </c>
      <c r="D1626" s="8" t="s">
        <v>32210</v>
      </c>
      <c r="E1626" s="1" t="s">
        <v>32211</v>
      </c>
      <c r="F1626" s="1" t="s">
        <v>132</v>
      </c>
      <c r="G1626" s="1" t="s">
        <v>32212</v>
      </c>
      <c r="H1626" s="1" t="s">
        <v>32213</v>
      </c>
      <c r="I1626" s="1" t="s">
        <v>32214</v>
      </c>
      <c r="J1626" s="1" t="s">
        <v>32215</v>
      </c>
      <c r="K1626" s="1" t="s">
        <v>32216</v>
      </c>
      <c r="L1626" s="1" t="s">
        <v>32217</v>
      </c>
      <c r="M1626" s="1" t="s">
        <v>32218</v>
      </c>
      <c r="N1626" s="1" t="s">
        <v>132</v>
      </c>
      <c r="O1626" s="1" t="s">
        <v>32219</v>
      </c>
      <c r="P1626" s="1" t="s">
        <v>32220</v>
      </c>
      <c r="Q1626" s="1" t="s">
        <v>132</v>
      </c>
      <c r="R1626" s="1" t="s">
        <v>32221</v>
      </c>
      <c r="S1626" s="1" t="s">
        <v>32222</v>
      </c>
      <c r="T1626" s="8" t="s">
        <v>32223</v>
      </c>
      <c r="U1626" s="1" t="s">
        <v>32224</v>
      </c>
      <c r="V1626" s="1" t="s">
        <v>32225</v>
      </c>
      <c r="W1626" s="1" t="s">
        <v>32226</v>
      </c>
      <c r="X1626" s="1" t="s">
        <v>32227</v>
      </c>
      <c r="Y1626" s="1" t="s">
        <v>32228</v>
      </c>
      <c r="Z1626" s="1" t="s">
        <v>32229</v>
      </c>
      <c r="AA1626" s="1" t="s">
        <v>32230</v>
      </c>
      <c r="AB1626" s="1" t="s">
        <v>132</v>
      </c>
      <c r="AC1626" s="1" t="s">
        <v>32231</v>
      </c>
      <c r="AD1626" s="1" t="s">
        <v>32232</v>
      </c>
      <c r="AE1626" s="1" t="s">
        <v>32233</v>
      </c>
      <c r="AF1626" s="1" t="s">
        <v>32234</v>
      </c>
      <c r="AG1626" s="1" t="s">
        <v>32235</v>
      </c>
      <c r="AH1626" s="1" t="s">
        <v>32236</v>
      </c>
      <c r="AI1626" s="1" t="s">
        <v>32237</v>
      </c>
      <c r="AJ1626" s="1" t="s">
        <v>132</v>
      </c>
      <c r="AK1626" s="1" t="s">
        <v>32238</v>
      </c>
      <c r="AL1626" s="14" t="s">
        <v>32239</v>
      </c>
      <c r="AM1626" s="1" t="s">
        <v>132</v>
      </c>
      <c r="AN1626" s="1" t="s">
        <v>132</v>
      </c>
    </row>
    <row r="1627" ht="15.75" customHeight="1">
      <c r="A1627" s="1" t="s">
        <v>38</v>
      </c>
      <c r="B1627" s="1" t="s">
        <v>32240</v>
      </c>
      <c r="C1627" s="1" t="s">
        <v>32241</v>
      </c>
      <c r="D1627" s="8" t="s">
        <v>32242</v>
      </c>
      <c r="E1627" s="1" t="s">
        <v>32243</v>
      </c>
      <c r="F1627" s="1" t="s">
        <v>32244</v>
      </c>
      <c r="G1627" s="1" t="s">
        <v>132</v>
      </c>
      <c r="H1627" s="1" t="s">
        <v>132</v>
      </c>
      <c r="I1627" s="1" t="s">
        <v>32245</v>
      </c>
      <c r="J1627" s="1" t="s">
        <v>132</v>
      </c>
      <c r="K1627" s="1" t="s">
        <v>32246</v>
      </c>
      <c r="L1627" s="1" t="s">
        <v>132</v>
      </c>
      <c r="M1627" s="1" t="s">
        <v>32247</v>
      </c>
      <c r="N1627" s="1" t="s">
        <v>32248</v>
      </c>
      <c r="O1627" s="1" t="s">
        <v>132</v>
      </c>
      <c r="P1627" s="1" t="s">
        <v>32249</v>
      </c>
      <c r="Q1627" s="1" t="s">
        <v>32250</v>
      </c>
      <c r="R1627" s="1" t="s">
        <v>132</v>
      </c>
      <c r="S1627" s="1" t="s">
        <v>32251</v>
      </c>
      <c r="T1627" s="1" t="s">
        <v>132</v>
      </c>
      <c r="U1627" s="1" t="s">
        <v>32252</v>
      </c>
      <c r="V1627" s="1" t="s">
        <v>32253</v>
      </c>
      <c r="W1627" s="1" t="s">
        <v>132</v>
      </c>
      <c r="X1627" s="1" t="s">
        <v>32254</v>
      </c>
      <c r="Y1627" s="1" t="s">
        <v>132</v>
      </c>
      <c r="Z1627" s="1" t="s">
        <v>32255</v>
      </c>
      <c r="AA1627" s="1" t="s">
        <v>32256</v>
      </c>
      <c r="AB1627" s="1" t="s">
        <v>132</v>
      </c>
      <c r="AC1627" s="1" t="s">
        <v>32257</v>
      </c>
      <c r="AD1627" s="1" t="s">
        <v>132</v>
      </c>
      <c r="AE1627" s="1" t="s">
        <v>132</v>
      </c>
      <c r="AF1627" s="1" t="s">
        <v>32258</v>
      </c>
      <c r="AG1627" s="1" t="s">
        <v>32259</v>
      </c>
      <c r="AH1627" s="1" t="s">
        <v>132</v>
      </c>
      <c r="AI1627" s="1" t="s">
        <v>132</v>
      </c>
      <c r="AJ1627" s="1" t="s">
        <v>32260</v>
      </c>
      <c r="AK1627" s="1" t="s">
        <v>132</v>
      </c>
      <c r="AL1627" s="1" t="s">
        <v>132</v>
      </c>
      <c r="AM1627" s="1" t="s">
        <v>32261</v>
      </c>
      <c r="AN1627" s="1" t="s">
        <v>32261</v>
      </c>
    </row>
    <row r="1628" ht="15.75" customHeight="1">
      <c r="A1628" s="1" t="s">
        <v>127</v>
      </c>
      <c r="B1628" s="1" t="s">
        <v>32262</v>
      </c>
      <c r="C1628" s="1" t="s">
        <v>19316</v>
      </c>
      <c r="D1628" s="8" t="s">
        <v>19317</v>
      </c>
      <c r="E1628" s="1" t="s">
        <v>19318</v>
      </c>
      <c r="F1628" s="1" t="s">
        <v>132</v>
      </c>
      <c r="G1628" s="1" t="s">
        <v>19319</v>
      </c>
      <c r="H1628" s="1" t="s">
        <v>19320</v>
      </c>
      <c r="I1628" s="1" t="s">
        <v>19321</v>
      </c>
      <c r="J1628" s="1" t="s">
        <v>19322</v>
      </c>
      <c r="K1628" s="1" t="s">
        <v>32263</v>
      </c>
      <c r="L1628" s="1" t="s">
        <v>19324</v>
      </c>
      <c r="M1628" s="1" t="s">
        <v>32264</v>
      </c>
      <c r="N1628" s="1" t="s">
        <v>132</v>
      </c>
      <c r="O1628" s="1" t="s">
        <v>19326</v>
      </c>
      <c r="P1628" s="1" t="s">
        <v>32265</v>
      </c>
      <c r="Q1628" s="1" t="s">
        <v>132</v>
      </c>
      <c r="R1628" s="1" t="s">
        <v>19328</v>
      </c>
      <c r="S1628" s="1" t="s">
        <v>19329</v>
      </c>
      <c r="T1628" s="8" t="s">
        <v>19330</v>
      </c>
      <c r="U1628" s="1" t="s">
        <v>32266</v>
      </c>
      <c r="V1628" s="1" t="s">
        <v>19332</v>
      </c>
      <c r="W1628" s="1" t="s">
        <v>19328</v>
      </c>
      <c r="X1628" s="1" t="s">
        <v>19333</v>
      </c>
      <c r="Y1628" s="1" t="s">
        <v>19334</v>
      </c>
      <c r="Z1628" s="1" t="s">
        <v>17260</v>
      </c>
      <c r="AA1628" s="1" t="s">
        <v>32267</v>
      </c>
      <c r="AB1628" s="1" t="s">
        <v>132</v>
      </c>
      <c r="AC1628" s="1" t="s">
        <v>32268</v>
      </c>
      <c r="AD1628" s="1" t="s">
        <v>19339</v>
      </c>
      <c r="AE1628" s="1" t="s">
        <v>19340</v>
      </c>
      <c r="AF1628" s="1" t="s">
        <v>19341</v>
      </c>
      <c r="AG1628" s="1" t="s">
        <v>19342</v>
      </c>
      <c r="AH1628" s="1" t="s">
        <v>19343</v>
      </c>
      <c r="AI1628" s="1" t="s">
        <v>19344</v>
      </c>
      <c r="AJ1628" s="1" t="s">
        <v>132</v>
      </c>
      <c r="AK1628" s="1" t="s">
        <v>19345</v>
      </c>
      <c r="AL1628" s="1" t="s">
        <v>19346</v>
      </c>
      <c r="AM1628" s="1" t="s">
        <v>132</v>
      </c>
      <c r="AN1628" s="1" t="s">
        <v>132</v>
      </c>
    </row>
    <row r="1629" ht="15.75" customHeight="1">
      <c r="A1629" s="1" t="s">
        <v>38</v>
      </c>
      <c r="B1629" s="1" t="s">
        <v>32269</v>
      </c>
      <c r="C1629" s="1" t="s">
        <v>32270</v>
      </c>
      <c r="D1629" s="1" t="s">
        <v>132</v>
      </c>
      <c r="E1629" s="1" t="s">
        <v>32271</v>
      </c>
      <c r="F1629" s="1" t="s">
        <v>32272</v>
      </c>
      <c r="G1629" s="1" t="s">
        <v>132</v>
      </c>
      <c r="H1629" s="1" t="s">
        <v>132</v>
      </c>
      <c r="I1629" s="1" t="s">
        <v>32273</v>
      </c>
      <c r="J1629" s="1" t="s">
        <v>132</v>
      </c>
      <c r="K1629" s="1" t="s">
        <v>32274</v>
      </c>
      <c r="L1629" s="1" t="s">
        <v>132</v>
      </c>
      <c r="M1629" s="1" t="s">
        <v>32275</v>
      </c>
      <c r="N1629" s="1" t="s">
        <v>32276</v>
      </c>
      <c r="O1629" s="1" t="s">
        <v>132</v>
      </c>
      <c r="P1629" s="1" t="s">
        <v>32277</v>
      </c>
      <c r="Q1629" s="1" t="s">
        <v>132</v>
      </c>
      <c r="R1629" s="1" t="s">
        <v>132</v>
      </c>
      <c r="S1629" s="1" t="s">
        <v>32278</v>
      </c>
      <c r="T1629" s="1" t="s">
        <v>132</v>
      </c>
      <c r="U1629" s="1" t="s">
        <v>32279</v>
      </c>
      <c r="V1629" s="1" t="s">
        <v>32280</v>
      </c>
      <c r="W1629" s="1" t="s">
        <v>132</v>
      </c>
      <c r="X1629" s="1" t="s">
        <v>32281</v>
      </c>
      <c r="Y1629" s="1" t="s">
        <v>132</v>
      </c>
      <c r="Z1629" s="1" t="s">
        <v>32282</v>
      </c>
      <c r="AA1629" s="1" t="s">
        <v>132</v>
      </c>
      <c r="AB1629" s="1" t="s">
        <v>132</v>
      </c>
      <c r="AC1629" s="1" t="s">
        <v>32283</v>
      </c>
      <c r="AD1629" s="1" t="s">
        <v>132</v>
      </c>
      <c r="AE1629" s="1" t="s">
        <v>132</v>
      </c>
      <c r="AF1629" s="1" t="s">
        <v>32284</v>
      </c>
      <c r="AG1629" s="1" t="s">
        <v>32285</v>
      </c>
      <c r="AH1629" s="1" t="s">
        <v>132</v>
      </c>
      <c r="AI1629" s="1" t="s">
        <v>132</v>
      </c>
      <c r="AJ1629" s="1" t="s">
        <v>32286</v>
      </c>
      <c r="AK1629" s="1" t="s">
        <v>132</v>
      </c>
      <c r="AL1629" s="1" t="s">
        <v>132</v>
      </c>
      <c r="AM1629" s="1" t="s">
        <v>32287</v>
      </c>
      <c r="AN1629" s="1" t="s">
        <v>32287</v>
      </c>
    </row>
    <row r="1630" ht="15.75" customHeight="1">
      <c r="A1630" s="1" t="s">
        <v>38</v>
      </c>
      <c r="B1630" s="1" t="s">
        <v>32288</v>
      </c>
      <c r="C1630" s="1" t="s">
        <v>32289</v>
      </c>
      <c r="D1630" s="8" t="s">
        <v>32290</v>
      </c>
      <c r="E1630" s="1" t="s">
        <v>32291</v>
      </c>
      <c r="F1630" s="1" t="s">
        <v>32292</v>
      </c>
      <c r="G1630" s="1" t="s">
        <v>132</v>
      </c>
      <c r="H1630" s="1" t="s">
        <v>132</v>
      </c>
      <c r="I1630" s="1" t="s">
        <v>32293</v>
      </c>
      <c r="J1630" s="1" t="s">
        <v>132</v>
      </c>
      <c r="K1630" s="1" t="s">
        <v>32294</v>
      </c>
      <c r="L1630" s="1" t="s">
        <v>132</v>
      </c>
      <c r="M1630" s="1" t="s">
        <v>32295</v>
      </c>
      <c r="N1630" s="1" t="s">
        <v>32296</v>
      </c>
      <c r="O1630" s="1" t="s">
        <v>132</v>
      </c>
      <c r="P1630" s="1" t="s">
        <v>32297</v>
      </c>
      <c r="Q1630" s="1" t="s">
        <v>132</v>
      </c>
      <c r="R1630" s="1" t="s">
        <v>132</v>
      </c>
      <c r="S1630" s="1" t="s">
        <v>32298</v>
      </c>
      <c r="T1630" s="1" t="s">
        <v>132</v>
      </c>
      <c r="U1630" s="1" t="s">
        <v>32299</v>
      </c>
      <c r="V1630" s="1" t="s">
        <v>132</v>
      </c>
      <c r="W1630" s="1" t="s">
        <v>132</v>
      </c>
      <c r="X1630" s="1" t="s">
        <v>32300</v>
      </c>
      <c r="Y1630" s="1" t="s">
        <v>132</v>
      </c>
      <c r="Z1630" s="1" t="s">
        <v>32301</v>
      </c>
      <c r="AA1630" s="1" t="s">
        <v>132</v>
      </c>
      <c r="AB1630" s="1" t="s">
        <v>132</v>
      </c>
      <c r="AC1630" s="1" t="s">
        <v>32302</v>
      </c>
      <c r="AD1630" s="1" t="s">
        <v>132</v>
      </c>
      <c r="AE1630" s="1" t="s">
        <v>132</v>
      </c>
      <c r="AF1630" s="1" t="s">
        <v>32303</v>
      </c>
      <c r="AG1630" s="1" t="s">
        <v>32304</v>
      </c>
      <c r="AH1630" s="1" t="s">
        <v>132</v>
      </c>
      <c r="AI1630" s="1" t="s">
        <v>132</v>
      </c>
      <c r="AJ1630" s="1" t="s">
        <v>32305</v>
      </c>
      <c r="AK1630" s="1" t="s">
        <v>132</v>
      </c>
      <c r="AL1630" s="1" t="s">
        <v>132</v>
      </c>
      <c r="AM1630" s="1" t="s">
        <v>32306</v>
      </c>
      <c r="AN1630" s="1" t="s">
        <v>32306</v>
      </c>
    </row>
    <row r="1631" ht="15.75" customHeight="1">
      <c r="A1631" s="1" t="s">
        <v>127</v>
      </c>
      <c r="B1631" s="1" t="s">
        <v>32307</v>
      </c>
      <c r="C1631" s="1" t="s">
        <v>4471</v>
      </c>
      <c r="D1631" s="8" t="s">
        <v>4472</v>
      </c>
      <c r="E1631" s="1" t="s">
        <v>4473</v>
      </c>
      <c r="F1631" s="1" t="s">
        <v>132</v>
      </c>
      <c r="G1631" s="1" t="s">
        <v>4474</v>
      </c>
      <c r="H1631" s="1" t="s">
        <v>4475</v>
      </c>
      <c r="I1631" s="1" t="s">
        <v>4471</v>
      </c>
      <c r="J1631" s="1" t="s">
        <v>4476</v>
      </c>
      <c r="K1631" s="1" t="s">
        <v>4477</v>
      </c>
      <c r="L1631" s="1" t="s">
        <v>4478</v>
      </c>
      <c r="M1631" s="1" t="s">
        <v>4479</v>
      </c>
      <c r="N1631" s="1" t="s">
        <v>132</v>
      </c>
      <c r="O1631" s="1" t="s">
        <v>4480</v>
      </c>
      <c r="P1631" s="1" t="s">
        <v>4481</v>
      </c>
      <c r="Q1631" s="1" t="s">
        <v>132</v>
      </c>
      <c r="R1631" s="1" t="s">
        <v>4482</v>
      </c>
      <c r="S1631" s="1" t="s">
        <v>4477</v>
      </c>
      <c r="T1631" s="8" t="s">
        <v>4483</v>
      </c>
      <c r="U1631" s="1" t="s">
        <v>4484</v>
      </c>
      <c r="V1631" s="1" t="s">
        <v>4485</v>
      </c>
      <c r="W1631" s="1" t="s">
        <v>4482</v>
      </c>
      <c r="X1631" s="1" t="s">
        <v>4486</v>
      </c>
      <c r="Y1631" s="1" t="s">
        <v>4487</v>
      </c>
      <c r="Z1631" s="1" t="s">
        <v>4488</v>
      </c>
      <c r="AA1631" s="1" t="s">
        <v>4489</v>
      </c>
      <c r="AB1631" s="1" t="s">
        <v>132</v>
      </c>
      <c r="AC1631" s="1" t="s">
        <v>4491</v>
      </c>
      <c r="AD1631" s="1" t="s">
        <v>4474</v>
      </c>
      <c r="AE1631" s="1" t="s">
        <v>4474</v>
      </c>
      <c r="AF1631" s="1" t="s">
        <v>4474</v>
      </c>
      <c r="AG1631" s="1" t="s">
        <v>4475</v>
      </c>
      <c r="AH1631" s="1" t="s">
        <v>4492</v>
      </c>
      <c r="AI1631" s="1" t="s">
        <v>4493</v>
      </c>
      <c r="AJ1631" s="1" t="s">
        <v>132</v>
      </c>
      <c r="AK1631" s="1" t="s">
        <v>4494</v>
      </c>
      <c r="AL1631" s="1" t="s">
        <v>4495</v>
      </c>
      <c r="AM1631" s="1" t="s">
        <v>4496</v>
      </c>
      <c r="AN1631" s="1" t="s">
        <v>4496</v>
      </c>
    </row>
    <row r="1632" ht="15.75" customHeight="1">
      <c r="A1632" s="1" t="s">
        <v>38</v>
      </c>
      <c r="B1632" s="1" t="s">
        <v>32308</v>
      </c>
      <c r="C1632" s="1" t="s">
        <v>32309</v>
      </c>
      <c r="D1632" s="1" t="s">
        <v>132</v>
      </c>
      <c r="E1632" s="1" t="s">
        <v>32310</v>
      </c>
      <c r="F1632" s="1" t="s">
        <v>132</v>
      </c>
      <c r="G1632" s="1" t="s">
        <v>132</v>
      </c>
      <c r="H1632" s="1" t="s">
        <v>132</v>
      </c>
      <c r="I1632" s="1" t="s">
        <v>32311</v>
      </c>
      <c r="J1632" s="1" t="s">
        <v>132</v>
      </c>
      <c r="K1632" s="1" t="s">
        <v>32312</v>
      </c>
      <c r="L1632" s="1" t="s">
        <v>132</v>
      </c>
      <c r="M1632" s="1" t="s">
        <v>132</v>
      </c>
      <c r="N1632" s="1" t="s">
        <v>32313</v>
      </c>
      <c r="O1632" s="1" t="s">
        <v>132</v>
      </c>
      <c r="P1632" s="1" t="s">
        <v>32314</v>
      </c>
      <c r="Q1632" s="1" t="s">
        <v>132</v>
      </c>
      <c r="R1632" s="1" t="s">
        <v>132</v>
      </c>
      <c r="S1632" s="1" t="s">
        <v>32315</v>
      </c>
      <c r="T1632" s="1" t="s">
        <v>132</v>
      </c>
      <c r="U1632" s="1" t="s">
        <v>32316</v>
      </c>
      <c r="V1632" s="1" t="s">
        <v>132</v>
      </c>
      <c r="W1632" s="1" t="s">
        <v>132</v>
      </c>
      <c r="X1632" s="1" t="s">
        <v>32317</v>
      </c>
      <c r="Y1632" s="1" t="s">
        <v>132</v>
      </c>
      <c r="Z1632" s="1" t="s">
        <v>32318</v>
      </c>
      <c r="AA1632" s="1" t="s">
        <v>132</v>
      </c>
      <c r="AB1632" s="1" t="s">
        <v>132</v>
      </c>
      <c r="AC1632" s="1" t="s">
        <v>132</v>
      </c>
      <c r="AD1632" s="1" t="s">
        <v>132</v>
      </c>
      <c r="AE1632" s="1" t="s">
        <v>132</v>
      </c>
      <c r="AF1632" s="1" t="s">
        <v>132</v>
      </c>
      <c r="AG1632" s="1" t="s">
        <v>132</v>
      </c>
      <c r="AH1632" s="1" t="s">
        <v>132</v>
      </c>
      <c r="AI1632" s="1" t="s">
        <v>132</v>
      </c>
      <c r="AJ1632" s="1" t="s">
        <v>132</v>
      </c>
      <c r="AK1632" s="1" t="s">
        <v>132</v>
      </c>
      <c r="AL1632" s="1" t="s">
        <v>132</v>
      </c>
      <c r="AM1632" s="1" t="s">
        <v>132</v>
      </c>
      <c r="AN1632" s="1" t="s">
        <v>132</v>
      </c>
    </row>
    <row r="1633" ht="15.75" customHeight="1">
      <c r="A1633" s="1" t="s">
        <v>38</v>
      </c>
      <c r="B1633" s="1" t="s">
        <v>32319</v>
      </c>
      <c r="C1633" s="1" t="s">
        <v>32320</v>
      </c>
      <c r="D1633" s="1" t="s">
        <v>132</v>
      </c>
      <c r="E1633" s="1" t="s">
        <v>132</v>
      </c>
      <c r="F1633" s="1" t="s">
        <v>132</v>
      </c>
      <c r="G1633" s="1" t="s">
        <v>132</v>
      </c>
      <c r="H1633" s="1" t="s">
        <v>132</v>
      </c>
      <c r="I1633" s="1" t="s">
        <v>32321</v>
      </c>
      <c r="J1633" s="1" t="s">
        <v>132</v>
      </c>
      <c r="K1633" s="1" t="s">
        <v>32320</v>
      </c>
      <c r="L1633" s="1" t="s">
        <v>132</v>
      </c>
      <c r="M1633" s="1" t="s">
        <v>32321</v>
      </c>
      <c r="N1633" s="1" t="s">
        <v>132</v>
      </c>
      <c r="O1633" s="1" t="s">
        <v>132</v>
      </c>
      <c r="P1633" s="1" t="s">
        <v>32320</v>
      </c>
      <c r="Q1633" s="1" t="s">
        <v>132</v>
      </c>
      <c r="R1633" s="1" t="s">
        <v>132</v>
      </c>
      <c r="S1633" s="1" t="s">
        <v>132</v>
      </c>
      <c r="T1633" s="1" t="s">
        <v>132</v>
      </c>
      <c r="U1633" s="1" t="s">
        <v>132</v>
      </c>
      <c r="V1633" s="1" t="s">
        <v>132</v>
      </c>
      <c r="W1633" s="1" t="s">
        <v>132</v>
      </c>
      <c r="X1633" s="1" t="s">
        <v>132</v>
      </c>
      <c r="Y1633" s="1" t="s">
        <v>132</v>
      </c>
      <c r="Z1633" s="1" t="s">
        <v>132</v>
      </c>
      <c r="AA1633" s="1" t="s">
        <v>132</v>
      </c>
      <c r="AB1633" s="1" t="s">
        <v>132</v>
      </c>
      <c r="AC1633" s="1" t="s">
        <v>32322</v>
      </c>
      <c r="AD1633" s="1" t="s">
        <v>132</v>
      </c>
      <c r="AE1633" s="1" t="s">
        <v>132</v>
      </c>
      <c r="AF1633" s="1" t="s">
        <v>32321</v>
      </c>
      <c r="AG1633" s="1" t="s">
        <v>132</v>
      </c>
      <c r="AH1633" s="1" t="s">
        <v>132</v>
      </c>
      <c r="AI1633" s="1" t="s">
        <v>132</v>
      </c>
      <c r="AJ1633" s="1" t="s">
        <v>132</v>
      </c>
      <c r="AK1633" s="1" t="s">
        <v>132</v>
      </c>
      <c r="AL1633" s="1" t="s">
        <v>132</v>
      </c>
      <c r="AM1633" s="1" t="s">
        <v>132</v>
      </c>
      <c r="AN1633" s="1" t="s">
        <v>132</v>
      </c>
    </row>
    <row r="1634" ht="15.75" customHeight="1">
      <c r="A1634" s="1" t="s">
        <v>38</v>
      </c>
      <c r="B1634" s="1" t="s">
        <v>32323</v>
      </c>
      <c r="C1634" s="1" t="s">
        <v>32324</v>
      </c>
      <c r="D1634" s="8" t="s">
        <v>32325</v>
      </c>
      <c r="E1634" s="1" t="s">
        <v>32326</v>
      </c>
      <c r="F1634" s="1" t="s">
        <v>32327</v>
      </c>
      <c r="G1634" s="1" t="s">
        <v>132</v>
      </c>
      <c r="H1634" s="1" t="s">
        <v>132</v>
      </c>
      <c r="I1634" s="1" t="s">
        <v>32328</v>
      </c>
      <c r="J1634" s="1" t="s">
        <v>132</v>
      </c>
      <c r="K1634" s="1" t="s">
        <v>32329</v>
      </c>
      <c r="L1634" s="1" t="s">
        <v>132</v>
      </c>
      <c r="M1634" s="1" t="s">
        <v>32330</v>
      </c>
      <c r="N1634" s="1" t="s">
        <v>32329</v>
      </c>
      <c r="O1634" s="1" t="s">
        <v>132</v>
      </c>
      <c r="P1634" s="1" t="s">
        <v>32331</v>
      </c>
      <c r="Q1634" s="1" t="s">
        <v>32332</v>
      </c>
      <c r="R1634" s="1" t="s">
        <v>132</v>
      </c>
      <c r="S1634" s="1" t="s">
        <v>32327</v>
      </c>
      <c r="T1634" s="1" t="s">
        <v>132</v>
      </c>
      <c r="U1634" s="1" t="s">
        <v>32333</v>
      </c>
      <c r="V1634" s="1" t="s">
        <v>32334</v>
      </c>
      <c r="W1634" s="1" t="s">
        <v>132</v>
      </c>
      <c r="X1634" s="1" t="s">
        <v>32335</v>
      </c>
      <c r="Y1634" s="1" t="s">
        <v>132</v>
      </c>
      <c r="Z1634" s="1" t="s">
        <v>32336</v>
      </c>
      <c r="AA1634" s="1" t="s">
        <v>32329</v>
      </c>
      <c r="AB1634" s="1" t="s">
        <v>132</v>
      </c>
      <c r="AC1634" s="1" t="s">
        <v>32337</v>
      </c>
      <c r="AD1634" s="1" t="s">
        <v>32338</v>
      </c>
      <c r="AE1634" s="1" t="s">
        <v>132</v>
      </c>
      <c r="AF1634" s="1" t="s">
        <v>32339</v>
      </c>
      <c r="AG1634" s="1" t="s">
        <v>32340</v>
      </c>
      <c r="AH1634" s="1" t="s">
        <v>132</v>
      </c>
      <c r="AI1634" s="1" t="s">
        <v>132</v>
      </c>
      <c r="AJ1634" s="1" t="s">
        <v>32341</v>
      </c>
      <c r="AK1634" s="1" t="s">
        <v>24261</v>
      </c>
      <c r="AL1634" s="1" t="s">
        <v>132</v>
      </c>
      <c r="AM1634" s="1" t="s">
        <v>32342</v>
      </c>
      <c r="AN1634" s="1" t="s">
        <v>32342</v>
      </c>
    </row>
    <row r="1635" ht="15.75" customHeight="1">
      <c r="A1635" s="1" t="s">
        <v>127</v>
      </c>
      <c r="B1635" s="1" t="s">
        <v>32343</v>
      </c>
      <c r="C1635" s="1" t="s">
        <v>10058</v>
      </c>
      <c r="D1635" s="8" t="s">
        <v>10059</v>
      </c>
      <c r="E1635" s="1" t="s">
        <v>10060</v>
      </c>
      <c r="F1635" s="1" t="s">
        <v>132</v>
      </c>
      <c r="G1635" s="1" t="s">
        <v>10061</v>
      </c>
      <c r="H1635" s="1" t="s">
        <v>10062</v>
      </c>
      <c r="I1635" s="1" t="s">
        <v>32344</v>
      </c>
      <c r="J1635" s="1" t="s">
        <v>10064</v>
      </c>
      <c r="K1635" s="1" t="s">
        <v>10065</v>
      </c>
      <c r="L1635" s="1" t="s">
        <v>10066</v>
      </c>
      <c r="M1635" s="1" t="s">
        <v>10067</v>
      </c>
      <c r="N1635" s="1" t="s">
        <v>132</v>
      </c>
      <c r="O1635" s="1" t="s">
        <v>10068</v>
      </c>
      <c r="P1635" s="1" t="s">
        <v>10069</v>
      </c>
      <c r="Q1635" s="1" t="s">
        <v>132</v>
      </c>
      <c r="R1635" s="1" t="s">
        <v>10070</v>
      </c>
      <c r="S1635" s="1" t="s">
        <v>10071</v>
      </c>
      <c r="T1635" s="8" t="s">
        <v>10072</v>
      </c>
      <c r="U1635" s="1" t="s">
        <v>10073</v>
      </c>
      <c r="V1635" s="1" t="s">
        <v>10074</v>
      </c>
      <c r="W1635" s="1" t="s">
        <v>10070</v>
      </c>
      <c r="X1635" s="1" t="s">
        <v>10075</v>
      </c>
      <c r="Y1635" s="1" t="s">
        <v>10076</v>
      </c>
      <c r="Z1635" s="1" t="s">
        <v>32345</v>
      </c>
      <c r="AA1635" s="1" t="s">
        <v>10065</v>
      </c>
      <c r="AB1635" s="1" t="s">
        <v>132</v>
      </c>
      <c r="AC1635" s="1" t="s">
        <v>10079</v>
      </c>
      <c r="AD1635" s="1" t="s">
        <v>10080</v>
      </c>
      <c r="AE1635" s="1" t="s">
        <v>10081</v>
      </c>
      <c r="AF1635" s="1" t="s">
        <v>10081</v>
      </c>
      <c r="AG1635" s="1" t="s">
        <v>10083</v>
      </c>
      <c r="AH1635" s="1" t="s">
        <v>10084</v>
      </c>
      <c r="AI1635" s="1" t="s">
        <v>10085</v>
      </c>
      <c r="AJ1635" s="1" t="s">
        <v>132</v>
      </c>
      <c r="AK1635" s="1" t="s">
        <v>10086</v>
      </c>
      <c r="AL1635" s="1" t="s">
        <v>10087</v>
      </c>
      <c r="AM1635" s="1" t="s">
        <v>10088</v>
      </c>
      <c r="AN1635" s="1" t="s">
        <v>10088</v>
      </c>
    </row>
    <row r="1636" ht="15.75" customHeight="1">
      <c r="A1636" s="1" t="s">
        <v>38</v>
      </c>
      <c r="B1636" s="1" t="s">
        <v>32346</v>
      </c>
      <c r="C1636" s="1" t="s">
        <v>32347</v>
      </c>
      <c r="D1636" s="1" t="s">
        <v>132</v>
      </c>
      <c r="E1636" s="1" t="s">
        <v>132</v>
      </c>
      <c r="F1636" s="1" t="s">
        <v>132</v>
      </c>
      <c r="G1636" s="1" t="s">
        <v>132</v>
      </c>
      <c r="H1636" s="1" t="s">
        <v>132</v>
      </c>
      <c r="I1636" s="1" t="s">
        <v>32348</v>
      </c>
      <c r="J1636" s="1" t="s">
        <v>132</v>
      </c>
      <c r="K1636" s="1" t="s">
        <v>32349</v>
      </c>
      <c r="L1636" s="1" t="s">
        <v>132</v>
      </c>
      <c r="M1636" s="1" t="s">
        <v>32350</v>
      </c>
      <c r="N1636" s="1" t="s">
        <v>132</v>
      </c>
      <c r="O1636" s="1" t="s">
        <v>132</v>
      </c>
      <c r="P1636" s="1" t="s">
        <v>32347</v>
      </c>
      <c r="Q1636" s="1" t="s">
        <v>132</v>
      </c>
      <c r="R1636" s="1" t="s">
        <v>132</v>
      </c>
      <c r="S1636" s="1" t="s">
        <v>132</v>
      </c>
      <c r="T1636" s="1" t="s">
        <v>132</v>
      </c>
      <c r="U1636" s="1" t="s">
        <v>132</v>
      </c>
      <c r="V1636" s="1" t="s">
        <v>132</v>
      </c>
      <c r="W1636" s="1" t="s">
        <v>132</v>
      </c>
      <c r="X1636" s="1" t="s">
        <v>132</v>
      </c>
      <c r="Y1636" s="1" t="s">
        <v>132</v>
      </c>
      <c r="Z1636" s="1" t="s">
        <v>132</v>
      </c>
      <c r="AA1636" s="1" t="s">
        <v>132</v>
      </c>
      <c r="AB1636" s="1" t="s">
        <v>132</v>
      </c>
      <c r="AC1636" s="1" t="s">
        <v>32351</v>
      </c>
      <c r="AD1636" s="1" t="s">
        <v>132</v>
      </c>
      <c r="AE1636" s="1" t="s">
        <v>132</v>
      </c>
      <c r="AF1636" s="1" t="s">
        <v>32348</v>
      </c>
      <c r="AG1636" s="1" t="s">
        <v>132</v>
      </c>
      <c r="AH1636" s="1" t="s">
        <v>132</v>
      </c>
      <c r="AI1636" s="1" t="s">
        <v>132</v>
      </c>
      <c r="AJ1636" s="1" t="s">
        <v>132</v>
      </c>
      <c r="AK1636" s="1" t="s">
        <v>132</v>
      </c>
      <c r="AL1636" s="1" t="s">
        <v>132</v>
      </c>
      <c r="AM1636" s="1" t="s">
        <v>132</v>
      </c>
      <c r="AN1636" s="1" t="s">
        <v>132</v>
      </c>
    </row>
    <row r="1637" ht="15.75" customHeight="1">
      <c r="A1637" s="1" t="s">
        <v>38</v>
      </c>
      <c r="B1637" s="1" t="s">
        <v>32352</v>
      </c>
      <c r="C1637" s="1" t="s">
        <v>32353</v>
      </c>
      <c r="D1637" s="8" t="s">
        <v>3927</v>
      </c>
      <c r="E1637" s="1" t="s">
        <v>32354</v>
      </c>
      <c r="F1637" s="1" t="s">
        <v>32355</v>
      </c>
      <c r="G1637" s="1" t="s">
        <v>132</v>
      </c>
      <c r="H1637" s="1" t="s">
        <v>132</v>
      </c>
      <c r="I1637" s="1" t="s">
        <v>32356</v>
      </c>
      <c r="J1637" s="1" t="s">
        <v>132</v>
      </c>
      <c r="K1637" s="1" t="s">
        <v>32357</v>
      </c>
      <c r="L1637" s="1" t="s">
        <v>132</v>
      </c>
      <c r="M1637" s="1" t="s">
        <v>32358</v>
      </c>
      <c r="N1637" s="1" t="s">
        <v>32359</v>
      </c>
      <c r="O1637" s="1" t="s">
        <v>132</v>
      </c>
      <c r="P1637" s="1" t="s">
        <v>32360</v>
      </c>
      <c r="Q1637" s="1" t="s">
        <v>32361</v>
      </c>
      <c r="R1637" s="1" t="s">
        <v>132</v>
      </c>
      <c r="S1637" s="1" t="s">
        <v>32362</v>
      </c>
      <c r="T1637" s="1" t="s">
        <v>132</v>
      </c>
      <c r="U1637" s="1" t="s">
        <v>32363</v>
      </c>
      <c r="V1637" s="1" t="s">
        <v>32364</v>
      </c>
      <c r="W1637" s="1" t="s">
        <v>132</v>
      </c>
      <c r="X1637" s="1" t="s">
        <v>32365</v>
      </c>
      <c r="Y1637" s="1" t="s">
        <v>132</v>
      </c>
      <c r="Z1637" s="1" t="s">
        <v>32366</v>
      </c>
      <c r="AA1637" s="1" t="s">
        <v>32357</v>
      </c>
      <c r="AB1637" s="1" t="s">
        <v>132</v>
      </c>
      <c r="AC1637" s="1" t="s">
        <v>32367</v>
      </c>
      <c r="AD1637" s="1" t="s">
        <v>132</v>
      </c>
      <c r="AE1637" s="1" t="s">
        <v>132</v>
      </c>
      <c r="AF1637" s="1" t="s">
        <v>32368</v>
      </c>
      <c r="AG1637" s="1" t="s">
        <v>32369</v>
      </c>
      <c r="AH1637" s="1" t="s">
        <v>132</v>
      </c>
      <c r="AI1637" s="1" t="s">
        <v>132</v>
      </c>
      <c r="AJ1637" s="1" t="s">
        <v>32370</v>
      </c>
      <c r="AK1637" s="1" t="s">
        <v>132</v>
      </c>
      <c r="AL1637" s="1" t="s">
        <v>132</v>
      </c>
      <c r="AM1637" s="1" t="s">
        <v>32371</v>
      </c>
      <c r="AN1637" s="1" t="s">
        <v>32371</v>
      </c>
    </row>
    <row r="1638" ht="15.75" customHeight="1">
      <c r="A1638" s="1" t="s">
        <v>38</v>
      </c>
      <c r="B1638" s="1" t="s">
        <v>32372</v>
      </c>
      <c r="C1638" s="1" t="s">
        <v>132</v>
      </c>
      <c r="D1638" s="1" t="s">
        <v>132</v>
      </c>
      <c r="E1638" s="1" t="s">
        <v>132</v>
      </c>
      <c r="F1638" s="1" t="s">
        <v>132</v>
      </c>
      <c r="G1638" s="1" t="s">
        <v>132</v>
      </c>
      <c r="H1638" s="1" t="s">
        <v>132</v>
      </c>
      <c r="I1638" s="1" t="s">
        <v>132</v>
      </c>
      <c r="J1638" s="1" t="s">
        <v>132</v>
      </c>
      <c r="K1638" s="1" t="s">
        <v>132</v>
      </c>
      <c r="L1638" s="1" t="s">
        <v>132</v>
      </c>
      <c r="M1638" s="1" t="s">
        <v>132</v>
      </c>
      <c r="N1638" s="1" t="s">
        <v>132</v>
      </c>
      <c r="O1638" s="1" t="s">
        <v>132</v>
      </c>
      <c r="P1638" s="1" t="s">
        <v>132</v>
      </c>
      <c r="Q1638" s="1" t="s">
        <v>132</v>
      </c>
      <c r="R1638" s="1" t="s">
        <v>132</v>
      </c>
      <c r="S1638" s="1" t="s">
        <v>132</v>
      </c>
      <c r="T1638" s="1" t="s">
        <v>132</v>
      </c>
      <c r="U1638" s="1" t="s">
        <v>132</v>
      </c>
      <c r="V1638" s="1" t="s">
        <v>32373</v>
      </c>
      <c r="W1638" s="1" t="s">
        <v>132</v>
      </c>
      <c r="X1638" s="1" t="s">
        <v>132</v>
      </c>
      <c r="Y1638" s="1" t="s">
        <v>132</v>
      </c>
      <c r="Z1638" s="1" t="s">
        <v>132</v>
      </c>
      <c r="AA1638" s="1" t="s">
        <v>132</v>
      </c>
      <c r="AB1638" s="1" t="s">
        <v>132</v>
      </c>
      <c r="AC1638" s="1" t="s">
        <v>132</v>
      </c>
      <c r="AD1638" s="1" t="s">
        <v>132</v>
      </c>
      <c r="AE1638" s="1" t="s">
        <v>132</v>
      </c>
      <c r="AF1638" s="1" t="s">
        <v>132</v>
      </c>
      <c r="AG1638" s="1" t="s">
        <v>132</v>
      </c>
      <c r="AH1638" s="1" t="s">
        <v>132</v>
      </c>
      <c r="AI1638" s="1" t="s">
        <v>132</v>
      </c>
      <c r="AJ1638" s="1" t="s">
        <v>132</v>
      </c>
      <c r="AK1638" s="1" t="s">
        <v>132</v>
      </c>
      <c r="AL1638" s="1" t="s">
        <v>132</v>
      </c>
      <c r="AM1638" s="1" t="s">
        <v>32374</v>
      </c>
      <c r="AN1638" s="1" t="s">
        <v>32374</v>
      </c>
    </row>
    <row r="1639" ht="15.75" customHeight="1">
      <c r="A1639" s="1" t="s">
        <v>43182</v>
      </c>
      <c r="B1639" s="1" t="s">
        <v>43296</v>
      </c>
      <c r="C1639" s="1" t="s">
        <v>43297</v>
      </c>
      <c r="D1639" s="1" t="s">
        <v>132</v>
      </c>
      <c r="E1639" s="1" t="s">
        <v>132</v>
      </c>
      <c r="F1639" s="1" t="s">
        <v>132</v>
      </c>
      <c r="G1639" s="1" t="s">
        <v>132</v>
      </c>
      <c r="H1639" s="1" t="s">
        <v>132</v>
      </c>
      <c r="I1639" s="1" t="s">
        <v>132</v>
      </c>
      <c r="J1639" s="1" t="s">
        <v>132</v>
      </c>
      <c r="K1639" s="1" t="s">
        <v>132</v>
      </c>
      <c r="L1639" s="1" t="s">
        <v>132</v>
      </c>
      <c r="M1639" s="1" t="s">
        <v>132</v>
      </c>
      <c r="N1639" s="1" t="s">
        <v>132</v>
      </c>
      <c r="O1639" s="1" t="s">
        <v>132</v>
      </c>
      <c r="P1639" s="1" t="s">
        <v>132</v>
      </c>
      <c r="Q1639" s="1" t="s">
        <v>132</v>
      </c>
      <c r="R1639" s="1" t="s">
        <v>132</v>
      </c>
      <c r="S1639" s="1" t="s">
        <v>132</v>
      </c>
      <c r="T1639" s="1" t="s">
        <v>132</v>
      </c>
      <c r="U1639" s="1" t="s">
        <v>132</v>
      </c>
      <c r="V1639" s="1" t="s">
        <v>132</v>
      </c>
      <c r="W1639" s="1" t="s">
        <v>132</v>
      </c>
      <c r="X1639" s="1" t="s">
        <v>132</v>
      </c>
      <c r="Y1639" s="1" t="s">
        <v>132</v>
      </c>
      <c r="Z1639" s="1" t="s">
        <v>132</v>
      </c>
      <c r="AA1639" s="1" t="s">
        <v>132</v>
      </c>
      <c r="AB1639" s="1" t="s">
        <v>132</v>
      </c>
      <c r="AC1639" s="1" t="s">
        <v>132</v>
      </c>
      <c r="AD1639" s="1" t="s">
        <v>132</v>
      </c>
      <c r="AE1639" s="1" t="s">
        <v>132</v>
      </c>
      <c r="AF1639" s="1" t="s">
        <v>132</v>
      </c>
      <c r="AG1639" s="1" t="s">
        <v>132</v>
      </c>
      <c r="AH1639" s="1" t="s">
        <v>132</v>
      </c>
      <c r="AI1639" s="1" t="s">
        <v>132</v>
      </c>
      <c r="AJ1639" s="1" t="s">
        <v>132</v>
      </c>
      <c r="AK1639" s="1" t="s">
        <v>132</v>
      </c>
      <c r="AL1639" s="1" t="s">
        <v>132</v>
      </c>
      <c r="AM1639" s="1" t="s">
        <v>132</v>
      </c>
      <c r="AN1639" s="1" t="s">
        <v>132</v>
      </c>
    </row>
    <row r="1640" ht="15.75" customHeight="1">
      <c r="A1640" s="1" t="s">
        <v>38</v>
      </c>
      <c r="B1640" s="1" t="s">
        <v>32375</v>
      </c>
      <c r="C1640" s="1" t="s">
        <v>32375</v>
      </c>
      <c r="D1640" s="8" t="s">
        <v>32376</v>
      </c>
      <c r="E1640" s="1" t="s">
        <v>32377</v>
      </c>
      <c r="F1640" s="1" t="s">
        <v>32375</v>
      </c>
      <c r="G1640" s="1" t="s">
        <v>132</v>
      </c>
      <c r="H1640" s="1" t="s">
        <v>132</v>
      </c>
      <c r="I1640" s="1" t="s">
        <v>32378</v>
      </c>
      <c r="J1640" s="1" t="s">
        <v>132</v>
      </c>
      <c r="K1640" s="1" t="s">
        <v>32379</v>
      </c>
      <c r="L1640" s="1" t="s">
        <v>132</v>
      </c>
      <c r="M1640" s="1" t="s">
        <v>32380</v>
      </c>
      <c r="N1640" s="1" t="s">
        <v>32375</v>
      </c>
      <c r="O1640" s="1" t="s">
        <v>132</v>
      </c>
      <c r="P1640" s="1" t="s">
        <v>32381</v>
      </c>
      <c r="Q1640" s="1" t="s">
        <v>32375</v>
      </c>
      <c r="R1640" s="1" t="s">
        <v>132</v>
      </c>
      <c r="S1640" s="1" t="s">
        <v>32375</v>
      </c>
      <c r="T1640" s="1" t="s">
        <v>132</v>
      </c>
      <c r="U1640" s="1" t="s">
        <v>32382</v>
      </c>
      <c r="V1640" s="1" t="s">
        <v>32383</v>
      </c>
      <c r="W1640" s="1" t="s">
        <v>132</v>
      </c>
      <c r="X1640" s="1" t="s">
        <v>32375</v>
      </c>
      <c r="Y1640" s="1" t="s">
        <v>132</v>
      </c>
      <c r="Z1640" s="1" t="s">
        <v>32384</v>
      </c>
      <c r="AA1640" s="1" t="s">
        <v>32379</v>
      </c>
      <c r="AB1640" s="1" t="s">
        <v>132</v>
      </c>
      <c r="AC1640" s="1" t="s">
        <v>20711</v>
      </c>
      <c r="AD1640" s="1" t="s">
        <v>32375</v>
      </c>
      <c r="AE1640" s="1" t="s">
        <v>132</v>
      </c>
      <c r="AF1640" s="1" t="s">
        <v>32377</v>
      </c>
      <c r="AG1640" s="1" t="s">
        <v>32375</v>
      </c>
      <c r="AH1640" s="1" t="s">
        <v>132</v>
      </c>
      <c r="AI1640" s="1" t="s">
        <v>132</v>
      </c>
      <c r="AJ1640" s="1" t="s">
        <v>32385</v>
      </c>
      <c r="AK1640" s="1" t="s">
        <v>32375</v>
      </c>
      <c r="AL1640" s="1" t="s">
        <v>132</v>
      </c>
      <c r="AM1640" s="1" t="s">
        <v>32386</v>
      </c>
      <c r="AN1640" s="1" t="s">
        <v>32386</v>
      </c>
    </row>
    <row r="1641" ht="15.75" customHeight="1">
      <c r="A1641" s="1" t="s">
        <v>127</v>
      </c>
      <c r="B1641" s="1" t="s">
        <v>32387</v>
      </c>
      <c r="C1641" s="1" t="s">
        <v>14769</v>
      </c>
      <c r="D1641" s="8" t="s">
        <v>14770</v>
      </c>
      <c r="E1641" s="1" t="s">
        <v>14771</v>
      </c>
      <c r="F1641" s="1" t="s">
        <v>132</v>
      </c>
      <c r="G1641" s="1" t="s">
        <v>14772</v>
      </c>
      <c r="H1641" s="1" t="s">
        <v>14773</v>
      </c>
      <c r="I1641" s="1" t="s">
        <v>32388</v>
      </c>
      <c r="J1641" s="1" t="s">
        <v>14774</v>
      </c>
      <c r="K1641" s="1" t="s">
        <v>14775</v>
      </c>
      <c r="L1641" s="1" t="s">
        <v>14776</v>
      </c>
      <c r="M1641" s="1" t="s">
        <v>32389</v>
      </c>
      <c r="N1641" s="1" t="s">
        <v>132</v>
      </c>
      <c r="O1641" s="1" t="s">
        <v>14778</v>
      </c>
      <c r="P1641" s="1" t="s">
        <v>14779</v>
      </c>
      <c r="Q1641" s="1" t="s">
        <v>132</v>
      </c>
      <c r="R1641" s="1" t="s">
        <v>14780</v>
      </c>
      <c r="S1641" s="1" t="s">
        <v>14781</v>
      </c>
      <c r="T1641" s="8" t="s">
        <v>14782</v>
      </c>
      <c r="U1641" s="1" t="s">
        <v>384</v>
      </c>
      <c r="V1641" s="1" t="s">
        <v>14783</v>
      </c>
      <c r="W1641" s="1" t="s">
        <v>14780</v>
      </c>
      <c r="X1641" s="1" t="s">
        <v>14784</v>
      </c>
      <c r="Y1641" s="1" t="s">
        <v>14773</v>
      </c>
      <c r="Z1641" s="1" t="s">
        <v>389</v>
      </c>
      <c r="AA1641" s="1" t="s">
        <v>390</v>
      </c>
      <c r="AB1641" s="1" t="s">
        <v>132</v>
      </c>
      <c r="AC1641" s="1" t="s">
        <v>14785</v>
      </c>
      <c r="AD1641" s="1" t="s">
        <v>14772</v>
      </c>
      <c r="AE1641" s="1" t="s">
        <v>14786</v>
      </c>
      <c r="AF1641" s="1" t="s">
        <v>395</v>
      </c>
      <c r="AG1641" s="1" t="s">
        <v>14773</v>
      </c>
      <c r="AH1641" s="1" t="s">
        <v>14787</v>
      </c>
      <c r="AI1641" s="1" t="s">
        <v>14773</v>
      </c>
      <c r="AJ1641" s="1" t="s">
        <v>132</v>
      </c>
      <c r="AK1641" s="1" t="s">
        <v>14788</v>
      </c>
      <c r="AL1641" s="1" t="s">
        <v>384</v>
      </c>
      <c r="AM1641" s="1" t="s">
        <v>132</v>
      </c>
      <c r="AN1641" s="1" t="s">
        <v>132</v>
      </c>
    </row>
    <row r="1642" ht="15.75" customHeight="1">
      <c r="A1642" s="1" t="s">
        <v>38</v>
      </c>
      <c r="B1642" s="1" t="s">
        <v>32390</v>
      </c>
      <c r="C1642" s="1" t="s">
        <v>32391</v>
      </c>
      <c r="D1642" s="8" t="s">
        <v>32392</v>
      </c>
      <c r="E1642" s="1" t="s">
        <v>32393</v>
      </c>
      <c r="F1642" s="1" t="s">
        <v>32394</v>
      </c>
      <c r="G1642" s="1" t="s">
        <v>132</v>
      </c>
      <c r="H1642" s="1" t="s">
        <v>132</v>
      </c>
      <c r="I1642" s="1" t="s">
        <v>32395</v>
      </c>
      <c r="J1642" s="1" t="s">
        <v>132</v>
      </c>
      <c r="K1642" s="1" t="s">
        <v>32396</v>
      </c>
      <c r="L1642" s="1" t="s">
        <v>132</v>
      </c>
      <c r="M1642" s="1" t="s">
        <v>32397</v>
      </c>
      <c r="N1642" s="1" t="s">
        <v>32398</v>
      </c>
      <c r="O1642" s="1" t="s">
        <v>132</v>
      </c>
      <c r="P1642" s="1" t="s">
        <v>32399</v>
      </c>
      <c r="Q1642" s="1" t="s">
        <v>132</v>
      </c>
      <c r="R1642" s="1" t="s">
        <v>132</v>
      </c>
      <c r="S1642" s="1" t="s">
        <v>32400</v>
      </c>
      <c r="T1642" s="1" t="s">
        <v>132</v>
      </c>
      <c r="U1642" s="1" t="s">
        <v>32401</v>
      </c>
      <c r="V1642" s="1" t="s">
        <v>32402</v>
      </c>
      <c r="W1642" s="1" t="s">
        <v>132</v>
      </c>
      <c r="X1642" s="1" t="s">
        <v>32403</v>
      </c>
      <c r="Y1642" s="1" t="s">
        <v>132</v>
      </c>
      <c r="Z1642" s="1" t="s">
        <v>32404</v>
      </c>
      <c r="AA1642" s="1" t="s">
        <v>32405</v>
      </c>
      <c r="AB1642" s="1" t="s">
        <v>132</v>
      </c>
      <c r="AC1642" s="1" t="s">
        <v>32406</v>
      </c>
      <c r="AD1642" s="1" t="s">
        <v>132</v>
      </c>
      <c r="AE1642" s="1" t="s">
        <v>132</v>
      </c>
      <c r="AF1642" s="1" t="s">
        <v>32407</v>
      </c>
      <c r="AG1642" s="1" t="s">
        <v>32408</v>
      </c>
      <c r="AH1642" s="1" t="s">
        <v>132</v>
      </c>
      <c r="AI1642" s="1" t="s">
        <v>132</v>
      </c>
      <c r="AJ1642" s="1" t="s">
        <v>32410</v>
      </c>
      <c r="AK1642" s="1" t="s">
        <v>32411</v>
      </c>
      <c r="AL1642" s="1" t="s">
        <v>132</v>
      </c>
      <c r="AM1642" s="1" t="s">
        <v>32412</v>
      </c>
      <c r="AN1642" s="1" t="s">
        <v>32412</v>
      </c>
    </row>
    <row r="1643" ht="15.75" customHeight="1">
      <c r="A1643" s="1" t="s">
        <v>38</v>
      </c>
      <c r="B1643" s="1" t="s">
        <v>32413</v>
      </c>
      <c r="C1643" s="1" t="s">
        <v>32414</v>
      </c>
      <c r="D1643" s="8" t="s">
        <v>32415</v>
      </c>
      <c r="E1643" s="1" t="s">
        <v>32416</v>
      </c>
      <c r="F1643" s="1" t="s">
        <v>32417</v>
      </c>
      <c r="G1643" s="1" t="s">
        <v>132</v>
      </c>
      <c r="H1643" s="1" t="s">
        <v>132</v>
      </c>
      <c r="I1643" s="1" t="s">
        <v>32418</v>
      </c>
      <c r="J1643" s="1" t="s">
        <v>132</v>
      </c>
      <c r="K1643" s="1" t="s">
        <v>32419</v>
      </c>
      <c r="L1643" s="1" t="s">
        <v>132</v>
      </c>
      <c r="M1643" s="1" t="s">
        <v>32420</v>
      </c>
      <c r="N1643" s="1" t="s">
        <v>32421</v>
      </c>
      <c r="O1643" s="1" t="s">
        <v>132</v>
      </c>
      <c r="P1643" s="1" t="s">
        <v>32422</v>
      </c>
      <c r="Q1643" s="1" t="s">
        <v>132</v>
      </c>
      <c r="R1643" s="1" t="s">
        <v>132</v>
      </c>
      <c r="S1643" s="1" t="s">
        <v>32423</v>
      </c>
      <c r="T1643" s="1" t="s">
        <v>132</v>
      </c>
      <c r="U1643" s="1" t="s">
        <v>32424</v>
      </c>
      <c r="V1643" s="1" t="s">
        <v>32425</v>
      </c>
      <c r="W1643" s="1" t="s">
        <v>132</v>
      </c>
      <c r="X1643" s="1" t="s">
        <v>32426</v>
      </c>
      <c r="Y1643" s="1" t="s">
        <v>132</v>
      </c>
      <c r="Z1643" s="1" t="s">
        <v>32427</v>
      </c>
      <c r="AA1643" s="1" t="s">
        <v>32428</v>
      </c>
      <c r="AB1643" s="1" t="s">
        <v>132</v>
      </c>
      <c r="AC1643" s="1" t="s">
        <v>32429</v>
      </c>
      <c r="AD1643" s="1" t="s">
        <v>132</v>
      </c>
      <c r="AE1643" s="1" t="s">
        <v>132</v>
      </c>
      <c r="AF1643" s="1" t="s">
        <v>32430</v>
      </c>
      <c r="AG1643" s="1" t="s">
        <v>32431</v>
      </c>
      <c r="AH1643" s="1" t="s">
        <v>132</v>
      </c>
      <c r="AI1643" s="1" t="s">
        <v>132</v>
      </c>
      <c r="AJ1643" s="1" t="s">
        <v>32432</v>
      </c>
      <c r="AK1643" s="1" t="s">
        <v>32433</v>
      </c>
      <c r="AL1643" s="1" t="s">
        <v>132</v>
      </c>
      <c r="AM1643" s="1" t="s">
        <v>32434</v>
      </c>
      <c r="AN1643" s="1" t="s">
        <v>32434</v>
      </c>
    </row>
    <row r="1644" ht="15.75" customHeight="1">
      <c r="A1644" s="1" t="s">
        <v>127</v>
      </c>
      <c r="B1644" s="1" t="s">
        <v>32435</v>
      </c>
      <c r="C1644" s="1" t="s">
        <v>32436</v>
      </c>
      <c r="D1644" s="8" t="s">
        <v>32437</v>
      </c>
      <c r="E1644" s="1" t="s">
        <v>32438</v>
      </c>
      <c r="F1644" s="1" t="s">
        <v>132</v>
      </c>
      <c r="G1644" s="1" t="s">
        <v>32439</v>
      </c>
      <c r="H1644" s="1" t="s">
        <v>32440</v>
      </c>
      <c r="I1644" s="1" t="s">
        <v>32441</v>
      </c>
      <c r="J1644" s="1" t="s">
        <v>32442</v>
      </c>
      <c r="K1644" s="1" t="s">
        <v>32443</v>
      </c>
      <c r="L1644" s="1" t="s">
        <v>32444</v>
      </c>
      <c r="M1644" s="1" t="s">
        <v>32445</v>
      </c>
      <c r="N1644" s="1" t="s">
        <v>132</v>
      </c>
      <c r="O1644" s="1" t="s">
        <v>32446</v>
      </c>
      <c r="P1644" s="1" t="s">
        <v>32436</v>
      </c>
      <c r="Q1644" s="1" t="s">
        <v>132</v>
      </c>
      <c r="R1644" s="1" t="s">
        <v>32447</v>
      </c>
      <c r="S1644" s="1" t="s">
        <v>32448</v>
      </c>
      <c r="T1644" s="8" t="s">
        <v>32449</v>
      </c>
      <c r="U1644" s="1" t="s">
        <v>32450</v>
      </c>
      <c r="V1644" s="1" t="s">
        <v>32451</v>
      </c>
      <c r="W1644" s="1" t="s">
        <v>32452</v>
      </c>
      <c r="X1644" s="1" t="s">
        <v>32436</v>
      </c>
      <c r="Y1644" s="1" t="s">
        <v>32453</v>
      </c>
      <c r="Z1644" s="1" t="s">
        <v>32454</v>
      </c>
      <c r="AA1644" s="1" t="s">
        <v>32455</v>
      </c>
      <c r="AB1644" s="1" t="s">
        <v>132</v>
      </c>
      <c r="AC1644" s="1" t="s">
        <v>32456</v>
      </c>
      <c r="AD1644" s="1" t="s">
        <v>32457</v>
      </c>
      <c r="AE1644" s="1" t="s">
        <v>32458</v>
      </c>
      <c r="AF1644" s="1" t="s">
        <v>32459</v>
      </c>
      <c r="AG1644" s="1" t="s">
        <v>32460</v>
      </c>
      <c r="AH1644" s="1" t="s">
        <v>32461</v>
      </c>
      <c r="AI1644" s="1" t="s">
        <v>32462</v>
      </c>
      <c r="AJ1644" s="1" t="s">
        <v>132</v>
      </c>
      <c r="AK1644" s="1" t="s">
        <v>32463</v>
      </c>
      <c r="AL1644" s="1" t="s">
        <v>32464</v>
      </c>
      <c r="AM1644" s="1" t="s">
        <v>132</v>
      </c>
      <c r="AN1644" s="1" t="s">
        <v>132</v>
      </c>
    </row>
    <row r="1645" ht="15.75" customHeight="1">
      <c r="A1645" s="1" t="s">
        <v>127</v>
      </c>
      <c r="B1645" s="1" t="s">
        <v>32465</v>
      </c>
      <c r="C1645" s="1" t="s">
        <v>32466</v>
      </c>
      <c r="D1645" s="8" t="s">
        <v>32467</v>
      </c>
      <c r="E1645" s="1" t="s">
        <v>43298</v>
      </c>
      <c r="F1645" s="1" t="s">
        <v>132</v>
      </c>
      <c r="G1645" s="1" t="s">
        <v>32469</v>
      </c>
      <c r="H1645" s="1" t="s">
        <v>32470</v>
      </c>
      <c r="I1645" s="1" t="s">
        <v>43299</v>
      </c>
      <c r="J1645" s="1" t="s">
        <v>32472</v>
      </c>
      <c r="K1645" s="1" t="s">
        <v>32473</v>
      </c>
      <c r="L1645" s="1" t="s">
        <v>32474</v>
      </c>
      <c r="M1645" s="1" t="s">
        <v>32475</v>
      </c>
      <c r="N1645" s="1" t="s">
        <v>132</v>
      </c>
      <c r="O1645" s="1" t="s">
        <v>32476</v>
      </c>
      <c r="P1645" s="1" t="s">
        <v>32477</v>
      </c>
      <c r="Q1645" s="1" t="s">
        <v>132</v>
      </c>
      <c r="R1645" s="1" t="s">
        <v>32478</v>
      </c>
      <c r="S1645" s="1" t="s">
        <v>32479</v>
      </c>
      <c r="T1645" s="8" t="s">
        <v>32480</v>
      </c>
      <c r="U1645" s="1" t="s">
        <v>32481</v>
      </c>
      <c r="V1645" s="1" t="s">
        <v>32482</v>
      </c>
      <c r="W1645" s="1" t="s">
        <v>32483</v>
      </c>
      <c r="X1645" s="1" t="s">
        <v>32484</v>
      </c>
      <c r="Y1645" s="1" t="s">
        <v>32485</v>
      </c>
      <c r="Z1645" s="1" t="s">
        <v>32486</v>
      </c>
      <c r="AA1645" s="1" t="s">
        <v>32487</v>
      </c>
      <c r="AB1645" s="1" t="s">
        <v>132</v>
      </c>
      <c r="AC1645" s="1" t="s">
        <v>32488</v>
      </c>
      <c r="AD1645" s="1" t="s">
        <v>32489</v>
      </c>
      <c r="AE1645" s="1" t="s">
        <v>32490</v>
      </c>
      <c r="AF1645" s="1" t="s">
        <v>32491</v>
      </c>
      <c r="AG1645" s="1" t="s">
        <v>32492</v>
      </c>
      <c r="AH1645" s="1" t="s">
        <v>32493</v>
      </c>
      <c r="AI1645" s="1" t="s">
        <v>32494</v>
      </c>
      <c r="AJ1645" s="1" t="s">
        <v>132</v>
      </c>
      <c r="AK1645" s="1" t="s">
        <v>32495</v>
      </c>
      <c r="AL1645" s="1" t="s">
        <v>32496</v>
      </c>
      <c r="AM1645" s="1" t="s">
        <v>32497</v>
      </c>
      <c r="AN1645" s="1" t="s">
        <v>32497</v>
      </c>
    </row>
    <row r="1646" ht="15.75" customHeight="1">
      <c r="A1646" s="1" t="s">
        <v>38</v>
      </c>
      <c r="B1646" s="1" t="s">
        <v>32498</v>
      </c>
      <c r="C1646" s="1" t="s">
        <v>32499</v>
      </c>
      <c r="D1646" s="1" t="s">
        <v>132</v>
      </c>
      <c r="E1646" s="1" t="s">
        <v>132</v>
      </c>
      <c r="F1646" s="1" t="s">
        <v>132</v>
      </c>
      <c r="G1646" s="1" t="s">
        <v>132</v>
      </c>
      <c r="H1646" s="1" t="s">
        <v>132</v>
      </c>
      <c r="I1646" s="1" t="s">
        <v>32500</v>
      </c>
      <c r="J1646" s="1" t="s">
        <v>132</v>
      </c>
      <c r="K1646" s="1" t="s">
        <v>32501</v>
      </c>
      <c r="L1646" s="1" t="s">
        <v>132</v>
      </c>
      <c r="M1646" s="1" t="s">
        <v>32502</v>
      </c>
      <c r="N1646" s="1" t="s">
        <v>132</v>
      </c>
      <c r="O1646" s="1" t="s">
        <v>132</v>
      </c>
      <c r="P1646" s="1" t="s">
        <v>32499</v>
      </c>
      <c r="Q1646" s="1" t="s">
        <v>132</v>
      </c>
      <c r="R1646" s="1" t="s">
        <v>132</v>
      </c>
      <c r="S1646" s="1" t="s">
        <v>132</v>
      </c>
      <c r="T1646" s="1" t="s">
        <v>132</v>
      </c>
      <c r="U1646" s="1" t="s">
        <v>132</v>
      </c>
      <c r="V1646" s="1" t="s">
        <v>132</v>
      </c>
      <c r="W1646" s="1" t="s">
        <v>132</v>
      </c>
      <c r="X1646" s="1" t="s">
        <v>132</v>
      </c>
      <c r="Y1646" s="1" t="s">
        <v>132</v>
      </c>
      <c r="Z1646" s="1" t="s">
        <v>132</v>
      </c>
      <c r="AA1646" s="1" t="s">
        <v>132</v>
      </c>
      <c r="AB1646" s="1" t="s">
        <v>132</v>
      </c>
      <c r="AC1646" s="1" t="s">
        <v>32503</v>
      </c>
      <c r="AD1646" s="1" t="s">
        <v>132</v>
      </c>
      <c r="AE1646" s="1" t="s">
        <v>132</v>
      </c>
      <c r="AF1646" s="1" t="s">
        <v>32504</v>
      </c>
      <c r="AG1646" s="1" t="s">
        <v>132</v>
      </c>
      <c r="AH1646" s="1" t="s">
        <v>132</v>
      </c>
      <c r="AI1646" s="1" t="s">
        <v>132</v>
      </c>
      <c r="AJ1646" s="1" t="s">
        <v>132</v>
      </c>
      <c r="AK1646" s="1" t="s">
        <v>132</v>
      </c>
      <c r="AL1646" s="1" t="s">
        <v>132</v>
      </c>
      <c r="AM1646" s="1" t="s">
        <v>132</v>
      </c>
      <c r="AN1646" s="1" t="s">
        <v>132</v>
      </c>
    </row>
    <row r="1647" ht="15.75" customHeight="1">
      <c r="A1647" s="1" t="s">
        <v>127</v>
      </c>
      <c r="B1647" s="1" t="s">
        <v>32505</v>
      </c>
      <c r="C1647" s="1" t="s">
        <v>32506</v>
      </c>
      <c r="D1647" s="8" t="s">
        <v>32507</v>
      </c>
      <c r="E1647" s="1" t="s">
        <v>32508</v>
      </c>
      <c r="F1647" s="1" t="s">
        <v>132</v>
      </c>
      <c r="G1647" s="1" t="s">
        <v>32509</v>
      </c>
      <c r="H1647" s="1" t="s">
        <v>32510</v>
      </c>
      <c r="I1647" s="1" t="s">
        <v>32511</v>
      </c>
      <c r="J1647" s="1" t="s">
        <v>32512</v>
      </c>
      <c r="K1647" s="1" t="s">
        <v>32513</v>
      </c>
      <c r="L1647" s="1" t="s">
        <v>32514</v>
      </c>
      <c r="M1647" s="1" t="s">
        <v>32515</v>
      </c>
      <c r="N1647" s="1" t="s">
        <v>132</v>
      </c>
      <c r="O1647" s="1" t="s">
        <v>32516</v>
      </c>
      <c r="P1647" s="1" t="s">
        <v>32517</v>
      </c>
      <c r="Q1647" s="1" t="s">
        <v>132</v>
      </c>
      <c r="R1647" s="1" t="s">
        <v>32518</v>
      </c>
      <c r="S1647" s="1" t="s">
        <v>32519</v>
      </c>
      <c r="T1647" s="8" t="s">
        <v>32520</v>
      </c>
      <c r="U1647" s="1" t="s">
        <v>32521</v>
      </c>
      <c r="V1647" s="1" t="s">
        <v>32522</v>
      </c>
      <c r="W1647" s="1" t="s">
        <v>32518</v>
      </c>
      <c r="X1647" s="1" t="s">
        <v>32523</v>
      </c>
      <c r="Y1647" s="1" t="s">
        <v>32510</v>
      </c>
      <c r="Z1647" s="1" t="s">
        <v>32524</v>
      </c>
      <c r="AA1647" s="1" t="s">
        <v>32525</v>
      </c>
      <c r="AB1647" s="1" t="s">
        <v>32526</v>
      </c>
      <c r="AC1647" s="1" t="s">
        <v>32527</v>
      </c>
      <c r="AD1647" s="1" t="s">
        <v>32509</v>
      </c>
      <c r="AE1647" s="1" t="s">
        <v>32528</v>
      </c>
      <c r="AF1647" s="1" t="s">
        <v>32529</v>
      </c>
      <c r="AG1647" s="1" t="s">
        <v>32530</v>
      </c>
      <c r="AH1647" s="1" t="s">
        <v>32531</v>
      </c>
      <c r="AI1647" s="1" t="s">
        <v>32532</v>
      </c>
      <c r="AJ1647" s="1" t="s">
        <v>132</v>
      </c>
      <c r="AK1647" s="1" t="s">
        <v>32533</v>
      </c>
      <c r="AL1647" s="1" t="s">
        <v>32534</v>
      </c>
      <c r="AM1647" s="1" t="s">
        <v>32535</v>
      </c>
      <c r="AN1647" s="1" t="s">
        <v>32535</v>
      </c>
    </row>
    <row r="1648" ht="15.75" customHeight="1">
      <c r="A1648" s="1" t="s">
        <v>38</v>
      </c>
      <c r="B1648" s="1" t="s">
        <v>32536</v>
      </c>
      <c r="C1648" s="1" t="s">
        <v>32537</v>
      </c>
      <c r="D1648" s="8" t="s">
        <v>32538</v>
      </c>
      <c r="E1648" s="1" t="s">
        <v>32539</v>
      </c>
      <c r="F1648" s="1" t="s">
        <v>32540</v>
      </c>
      <c r="G1648" s="1" t="s">
        <v>132</v>
      </c>
      <c r="H1648" s="1" t="s">
        <v>132</v>
      </c>
      <c r="I1648" s="1" t="s">
        <v>32537</v>
      </c>
      <c r="J1648" s="1" t="s">
        <v>132</v>
      </c>
      <c r="K1648" s="1" t="s">
        <v>32537</v>
      </c>
      <c r="L1648" s="1" t="s">
        <v>132</v>
      </c>
      <c r="M1648" s="1" t="s">
        <v>32541</v>
      </c>
      <c r="N1648" s="1" t="s">
        <v>32537</v>
      </c>
      <c r="O1648" s="1" t="s">
        <v>132</v>
      </c>
      <c r="P1648" s="1" t="s">
        <v>32537</v>
      </c>
      <c r="Q1648" s="1" t="s">
        <v>32537</v>
      </c>
      <c r="R1648" s="1" t="s">
        <v>132</v>
      </c>
      <c r="S1648" s="1" t="s">
        <v>32537</v>
      </c>
      <c r="T1648" s="1" t="s">
        <v>132</v>
      </c>
      <c r="U1648" s="1" t="s">
        <v>32542</v>
      </c>
      <c r="V1648" s="1" t="s">
        <v>32543</v>
      </c>
      <c r="W1648" s="1" t="s">
        <v>132</v>
      </c>
      <c r="X1648" s="1" t="s">
        <v>32537</v>
      </c>
      <c r="Y1648" s="1" t="s">
        <v>132</v>
      </c>
      <c r="Z1648" s="1" t="s">
        <v>32544</v>
      </c>
      <c r="AA1648" s="1" t="s">
        <v>32537</v>
      </c>
      <c r="AB1648" s="1" t="s">
        <v>132</v>
      </c>
      <c r="AC1648" s="1" t="s">
        <v>32545</v>
      </c>
      <c r="AD1648" s="1" t="s">
        <v>32537</v>
      </c>
      <c r="AE1648" s="1" t="s">
        <v>132</v>
      </c>
      <c r="AF1648" s="1" t="s">
        <v>32546</v>
      </c>
      <c r="AG1648" s="1" t="s">
        <v>32547</v>
      </c>
      <c r="AH1648" s="1" t="s">
        <v>132</v>
      </c>
      <c r="AI1648" s="1" t="s">
        <v>132</v>
      </c>
      <c r="AJ1648" s="1" t="s">
        <v>32548</v>
      </c>
      <c r="AK1648" s="1" t="s">
        <v>32537</v>
      </c>
      <c r="AL1648" s="1" t="s">
        <v>132</v>
      </c>
      <c r="AM1648" s="1" t="s">
        <v>32549</v>
      </c>
      <c r="AN1648" s="1" t="s">
        <v>32549</v>
      </c>
    </row>
    <row r="1649" ht="15.75" customHeight="1">
      <c r="A1649" s="1" t="s">
        <v>38</v>
      </c>
      <c r="B1649" s="1" t="s">
        <v>32550</v>
      </c>
      <c r="C1649" s="1" t="s">
        <v>32551</v>
      </c>
      <c r="D1649" s="1" t="s">
        <v>132</v>
      </c>
      <c r="E1649" s="1" t="s">
        <v>132</v>
      </c>
      <c r="F1649" s="1" t="s">
        <v>132</v>
      </c>
      <c r="G1649" s="1" t="s">
        <v>132</v>
      </c>
      <c r="H1649" s="1" t="s">
        <v>132</v>
      </c>
      <c r="I1649" s="1" t="s">
        <v>32552</v>
      </c>
      <c r="J1649" s="1" t="s">
        <v>132</v>
      </c>
      <c r="K1649" s="1" t="s">
        <v>32551</v>
      </c>
      <c r="L1649" s="1" t="s">
        <v>132</v>
      </c>
      <c r="M1649" s="1" t="s">
        <v>32553</v>
      </c>
      <c r="N1649" s="1" t="s">
        <v>132</v>
      </c>
      <c r="O1649" s="1" t="s">
        <v>132</v>
      </c>
      <c r="P1649" s="1" t="s">
        <v>32551</v>
      </c>
      <c r="Q1649" s="1" t="s">
        <v>132</v>
      </c>
      <c r="R1649" s="1" t="s">
        <v>132</v>
      </c>
      <c r="S1649" s="1" t="s">
        <v>132</v>
      </c>
      <c r="T1649" s="1" t="s">
        <v>132</v>
      </c>
      <c r="U1649" s="1" t="s">
        <v>132</v>
      </c>
      <c r="V1649" s="1" t="s">
        <v>132</v>
      </c>
      <c r="W1649" s="1" t="s">
        <v>132</v>
      </c>
      <c r="X1649" s="1" t="s">
        <v>132</v>
      </c>
      <c r="Y1649" s="1" t="s">
        <v>132</v>
      </c>
      <c r="Z1649" s="1" t="s">
        <v>132</v>
      </c>
      <c r="AA1649" s="1" t="s">
        <v>132</v>
      </c>
      <c r="AB1649" s="1" t="s">
        <v>132</v>
      </c>
      <c r="AC1649" s="1" t="s">
        <v>32554</v>
      </c>
      <c r="AD1649" s="1" t="s">
        <v>132</v>
      </c>
      <c r="AE1649" s="1" t="s">
        <v>132</v>
      </c>
      <c r="AF1649" s="1" t="s">
        <v>32552</v>
      </c>
      <c r="AG1649" s="1" t="s">
        <v>132</v>
      </c>
      <c r="AH1649" s="1" t="s">
        <v>132</v>
      </c>
      <c r="AI1649" s="1" t="s">
        <v>132</v>
      </c>
      <c r="AJ1649" s="1" t="s">
        <v>132</v>
      </c>
      <c r="AK1649" s="1" t="s">
        <v>132</v>
      </c>
      <c r="AL1649" s="1" t="s">
        <v>132</v>
      </c>
      <c r="AM1649" s="1" t="s">
        <v>132</v>
      </c>
      <c r="AN1649" s="1" t="s">
        <v>132</v>
      </c>
    </row>
    <row r="1650" ht="15.75" customHeight="1">
      <c r="A1650" s="1" t="s">
        <v>127</v>
      </c>
      <c r="B1650" s="1" t="s">
        <v>32555</v>
      </c>
      <c r="C1650" s="1" t="s">
        <v>32556</v>
      </c>
      <c r="D1650" s="8" t="s">
        <v>32557</v>
      </c>
      <c r="E1650" s="1" t="s">
        <v>32558</v>
      </c>
      <c r="F1650" s="1" t="s">
        <v>132</v>
      </c>
      <c r="G1650" s="1" t="s">
        <v>32559</v>
      </c>
      <c r="H1650" s="1" t="s">
        <v>32560</v>
      </c>
      <c r="I1650" s="1" t="s">
        <v>32556</v>
      </c>
      <c r="J1650" s="1" t="s">
        <v>32561</v>
      </c>
      <c r="K1650" s="1" t="s">
        <v>32562</v>
      </c>
      <c r="L1650" s="1" t="s">
        <v>32563</v>
      </c>
      <c r="M1650" s="1" t="s">
        <v>32564</v>
      </c>
      <c r="N1650" s="1" t="s">
        <v>132</v>
      </c>
      <c r="O1650" s="1" t="s">
        <v>32565</v>
      </c>
      <c r="P1650" s="1" t="s">
        <v>32566</v>
      </c>
      <c r="Q1650" s="1" t="s">
        <v>132</v>
      </c>
      <c r="R1650" s="1" t="s">
        <v>32567</v>
      </c>
      <c r="S1650" s="1" t="s">
        <v>32568</v>
      </c>
      <c r="T1650" s="8" t="s">
        <v>32569</v>
      </c>
      <c r="U1650" s="1" t="s">
        <v>32570</v>
      </c>
      <c r="V1650" s="1" t="s">
        <v>32571</v>
      </c>
      <c r="W1650" s="1" t="s">
        <v>32572</v>
      </c>
      <c r="X1650" s="1" t="s">
        <v>32573</v>
      </c>
      <c r="Y1650" s="1" t="s">
        <v>32574</v>
      </c>
      <c r="Z1650" s="1" t="s">
        <v>32575</v>
      </c>
      <c r="AA1650" s="1" t="s">
        <v>32576</v>
      </c>
      <c r="AB1650" s="1" t="s">
        <v>32577</v>
      </c>
      <c r="AC1650" s="1" t="s">
        <v>32578</v>
      </c>
      <c r="AD1650" s="1" t="s">
        <v>32579</v>
      </c>
      <c r="AE1650" s="1" t="s">
        <v>32580</v>
      </c>
      <c r="AF1650" s="1" t="s">
        <v>32581</v>
      </c>
      <c r="AG1650" s="1" t="s">
        <v>32574</v>
      </c>
      <c r="AH1650" s="1" t="s">
        <v>32582</v>
      </c>
      <c r="AI1650" s="1" t="s">
        <v>32583</v>
      </c>
      <c r="AJ1650" s="1" t="s">
        <v>132</v>
      </c>
      <c r="AK1650" s="1" t="s">
        <v>32584</v>
      </c>
      <c r="AL1650" s="1" t="s">
        <v>32585</v>
      </c>
      <c r="AM1650" s="1" t="s">
        <v>132</v>
      </c>
      <c r="AN1650" s="1" t="s">
        <v>132</v>
      </c>
    </row>
    <row r="1651" ht="15.75" customHeight="1">
      <c r="A1651" s="1" t="s">
        <v>38</v>
      </c>
      <c r="B1651" s="1" t="s">
        <v>32586</v>
      </c>
      <c r="C1651" s="1" t="s">
        <v>32587</v>
      </c>
      <c r="D1651" s="1" t="s">
        <v>132</v>
      </c>
      <c r="E1651" s="1" t="s">
        <v>32588</v>
      </c>
      <c r="F1651" s="1" t="s">
        <v>32589</v>
      </c>
      <c r="G1651" s="1" t="s">
        <v>132</v>
      </c>
      <c r="H1651" s="1" t="s">
        <v>132</v>
      </c>
      <c r="I1651" s="1" t="s">
        <v>32590</v>
      </c>
      <c r="J1651" s="1" t="s">
        <v>132</v>
      </c>
      <c r="K1651" s="1" t="s">
        <v>32591</v>
      </c>
      <c r="L1651" s="1" t="s">
        <v>132</v>
      </c>
      <c r="M1651" s="1" t="s">
        <v>32592</v>
      </c>
      <c r="N1651" s="1" t="s">
        <v>32593</v>
      </c>
      <c r="O1651" s="1" t="s">
        <v>132</v>
      </c>
      <c r="P1651" s="1" t="s">
        <v>32594</v>
      </c>
      <c r="Q1651" s="1" t="s">
        <v>132</v>
      </c>
      <c r="R1651" s="1" t="s">
        <v>132</v>
      </c>
      <c r="S1651" s="1" t="s">
        <v>32595</v>
      </c>
      <c r="T1651" s="1" t="s">
        <v>132</v>
      </c>
      <c r="U1651" s="1" t="s">
        <v>32596</v>
      </c>
      <c r="V1651" s="1" t="s">
        <v>132</v>
      </c>
      <c r="W1651" s="1" t="s">
        <v>132</v>
      </c>
      <c r="X1651" s="1" t="s">
        <v>32597</v>
      </c>
      <c r="Y1651" s="1" t="s">
        <v>132</v>
      </c>
      <c r="Z1651" s="1" t="s">
        <v>32598</v>
      </c>
      <c r="AA1651" s="1" t="s">
        <v>132</v>
      </c>
      <c r="AB1651" s="1" t="s">
        <v>132</v>
      </c>
      <c r="AC1651" s="1" t="s">
        <v>32599</v>
      </c>
      <c r="AD1651" s="1" t="s">
        <v>132</v>
      </c>
      <c r="AE1651" s="1" t="s">
        <v>132</v>
      </c>
      <c r="AF1651" s="1" t="s">
        <v>32600</v>
      </c>
      <c r="AG1651" s="1" t="s">
        <v>32601</v>
      </c>
      <c r="AH1651" s="1" t="s">
        <v>132</v>
      </c>
      <c r="AI1651" s="1" t="s">
        <v>132</v>
      </c>
      <c r="AJ1651" s="1" t="s">
        <v>32602</v>
      </c>
      <c r="AK1651" s="1" t="s">
        <v>32603</v>
      </c>
      <c r="AL1651" s="1" t="s">
        <v>132</v>
      </c>
      <c r="AM1651" s="1" t="s">
        <v>32604</v>
      </c>
      <c r="AN1651" s="1" t="s">
        <v>32604</v>
      </c>
    </row>
    <row r="1652" ht="15.75" customHeight="1">
      <c r="A1652" s="1" t="s">
        <v>38</v>
      </c>
      <c r="B1652" s="1" t="s">
        <v>32605</v>
      </c>
      <c r="C1652" s="1" t="s">
        <v>32606</v>
      </c>
      <c r="D1652" s="1" t="s">
        <v>132</v>
      </c>
      <c r="E1652" s="1" t="s">
        <v>29495</v>
      </c>
      <c r="F1652" s="1" t="s">
        <v>29496</v>
      </c>
      <c r="G1652" s="1" t="s">
        <v>132</v>
      </c>
      <c r="H1652" s="1" t="s">
        <v>132</v>
      </c>
      <c r="I1652" s="1" t="s">
        <v>29497</v>
      </c>
      <c r="J1652" s="1" t="s">
        <v>132</v>
      </c>
      <c r="K1652" s="1" t="s">
        <v>32607</v>
      </c>
      <c r="L1652" s="1" t="s">
        <v>132</v>
      </c>
      <c r="M1652" s="1" t="s">
        <v>29499</v>
      </c>
      <c r="N1652" s="1" t="s">
        <v>32608</v>
      </c>
      <c r="O1652" s="1" t="s">
        <v>132</v>
      </c>
      <c r="P1652" s="1" t="s">
        <v>32609</v>
      </c>
      <c r="Q1652" s="1" t="s">
        <v>132</v>
      </c>
      <c r="R1652" s="1" t="s">
        <v>132</v>
      </c>
      <c r="S1652" s="1" t="s">
        <v>29502</v>
      </c>
      <c r="T1652" s="1" t="s">
        <v>132</v>
      </c>
      <c r="U1652" s="1" t="s">
        <v>132</v>
      </c>
      <c r="V1652" s="1" t="s">
        <v>132</v>
      </c>
      <c r="W1652" s="1" t="s">
        <v>132</v>
      </c>
      <c r="X1652" s="1" t="s">
        <v>29503</v>
      </c>
      <c r="Y1652" s="1" t="s">
        <v>132</v>
      </c>
      <c r="Z1652" s="1" t="s">
        <v>29504</v>
      </c>
      <c r="AA1652" s="1" t="s">
        <v>132</v>
      </c>
      <c r="AB1652" s="1" t="s">
        <v>132</v>
      </c>
      <c r="AC1652" s="1" t="s">
        <v>29505</v>
      </c>
      <c r="AD1652" s="1" t="s">
        <v>132</v>
      </c>
      <c r="AE1652" s="1" t="s">
        <v>132</v>
      </c>
      <c r="AF1652" s="1" t="s">
        <v>29506</v>
      </c>
      <c r="AG1652" s="1" t="s">
        <v>132</v>
      </c>
      <c r="AH1652" s="1" t="s">
        <v>132</v>
      </c>
      <c r="AI1652" s="1" t="s">
        <v>132</v>
      </c>
      <c r="AJ1652" s="1" t="s">
        <v>132</v>
      </c>
      <c r="AK1652" s="1" t="s">
        <v>132</v>
      </c>
      <c r="AL1652" s="1" t="s">
        <v>132</v>
      </c>
      <c r="AM1652" s="1" t="s">
        <v>132</v>
      </c>
      <c r="AN1652" s="1" t="s">
        <v>132</v>
      </c>
    </row>
    <row r="1653" ht="15.75" customHeight="1">
      <c r="A1653" s="1" t="s">
        <v>127</v>
      </c>
      <c r="B1653" s="1" t="s">
        <v>32610</v>
      </c>
      <c r="C1653" s="1" t="s">
        <v>32611</v>
      </c>
      <c r="D1653" s="8" t="s">
        <v>32612</v>
      </c>
      <c r="E1653" s="1" t="s">
        <v>32613</v>
      </c>
      <c r="F1653" s="1" t="s">
        <v>132</v>
      </c>
      <c r="G1653" s="1" t="s">
        <v>32614</v>
      </c>
      <c r="H1653" s="1" t="s">
        <v>32615</v>
      </c>
      <c r="I1653" s="1" t="s">
        <v>32616</v>
      </c>
      <c r="J1653" s="1" t="s">
        <v>32617</v>
      </c>
      <c r="K1653" s="1" t="s">
        <v>32618</v>
      </c>
      <c r="L1653" s="1" t="s">
        <v>32619</v>
      </c>
      <c r="M1653" s="1" t="s">
        <v>32620</v>
      </c>
      <c r="N1653" s="1" t="s">
        <v>132</v>
      </c>
      <c r="O1653" s="1" t="s">
        <v>32621</v>
      </c>
      <c r="P1653" s="1" t="s">
        <v>32622</v>
      </c>
      <c r="Q1653" s="1" t="s">
        <v>132</v>
      </c>
      <c r="R1653" s="1" t="s">
        <v>32623</v>
      </c>
      <c r="S1653" s="1" t="s">
        <v>32624</v>
      </c>
      <c r="T1653" s="8" t="s">
        <v>32625</v>
      </c>
      <c r="U1653" s="1" t="s">
        <v>32626</v>
      </c>
      <c r="V1653" s="1" t="s">
        <v>32627</v>
      </c>
      <c r="W1653" s="1" t="s">
        <v>32628</v>
      </c>
      <c r="X1653" s="1" t="s">
        <v>32629</v>
      </c>
      <c r="Y1653" s="1" t="s">
        <v>32630</v>
      </c>
      <c r="Z1653" s="1" t="s">
        <v>32631</v>
      </c>
      <c r="AA1653" s="1" t="s">
        <v>32632</v>
      </c>
      <c r="AB1653" s="1" t="s">
        <v>32633</v>
      </c>
      <c r="AC1653" s="1" t="s">
        <v>32634</v>
      </c>
      <c r="AD1653" s="1" t="s">
        <v>32635</v>
      </c>
      <c r="AE1653" s="1" t="s">
        <v>32636</v>
      </c>
      <c r="AF1653" s="1" t="s">
        <v>32637</v>
      </c>
      <c r="AG1653" s="1" t="s">
        <v>32638</v>
      </c>
      <c r="AH1653" s="1" t="s">
        <v>32639</v>
      </c>
      <c r="AI1653" s="1" t="s">
        <v>32640</v>
      </c>
      <c r="AJ1653" s="1" t="s">
        <v>132</v>
      </c>
      <c r="AK1653" s="1" t="s">
        <v>32641</v>
      </c>
      <c r="AL1653" s="1" t="s">
        <v>32642</v>
      </c>
      <c r="AM1653" s="1" t="s">
        <v>32643</v>
      </c>
      <c r="AN1653" s="1" t="s">
        <v>32643</v>
      </c>
    </row>
    <row r="1654" ht="15.75" customHeight="1">
      <c r="A1654" s="1" t="s">
        <v>38</v>
      </c>
      <c r="B1654" s="1" t="s">
        <v>32644</v>
      </c>
      <c r="C1654" s="1" t="s">
        <v>32645</v>
      </c>
      <c r="D1654" s="1" t="s">
        <v>132</v>
      </c>
      <c r="E1654" s="1" t="s">
        <v>32646</v>
      </c>
      <c r="F1654" s="1" t="s">
        <v>32647</v>
      </c>
      <c r="G1654" s="1" t="s">
        <v>132</v>
      </c>
      <c r="H1654" s="1" t="s">
        <v>132</v>
      </c>
      <c r="I1654" s="1" t="s">
        <v>32648</v>
      </c>
      <c r="J1654" s="1" t="s">
        <v>132</v>
      </c>
      <c r="K1654" s="1" t="s">
        <v>32649</v>
      </c>
      <c r="L1654" s="1" t="s">
        <v>132</v>
      </c>
      <c r="M1654" s="1" t="s">
        <v>32650</v>
      </c>
      <c r="N1654" s="1" t="s">
        <v>32651</v>
      </c>
      <c r="O1654" s="1" t="s">
        <v>132</v>
      </c>
      <c r="P1654" s="1" t="s">
        <v>32652</v>
      </c>
      <c r="Q1654" s="1" t="s">
        <v>132</v>
      </c>
      <c r="R1654" s="1" t="s">
        <v>132</v>
      </c>
      <c r="S1654" s="1" t="s">
        <v>32653</v>
      </c>
      <c r="T1654" s="1" t="s">
        <v>132</v>
      </c>
      <c r="U1654" s="1" t="s">
        <v>132</v>
      </c>
      <c r="V1654" s="1" t="s">
        <v>132</v>
      </c>
      <c r="W1654" s="1" t="s">
        <v>132</v>
      </c>
      <c r="X1654" s="1" t="s">
        <v>32654</v>
      </c>
      <c r="Y1654" s="1" t="s">
        <v>132</v>
      </c>
      <c r="Z1654" s="1" t="s">
        <v>32655</v>
      </c>
      <c r="AA1654" s="1" t="s">
        <v>132</v>
      </c>
      <c r="AB1654" s="1" t="s">
        <v>132</v>
      </c>
      <c r="AC1654" s="1" t="s">
        <v>132</v>
      </c>
      <c r="AD1654" s="1" t="s">
        <v>132</v>
      </c>
      <c r="AE1654" s="1" t="s">
        <v>132</v>
      </c>
      <c r="AF1654" s="1" t="s">
        <v>132</v>
      </c>
      <c r="AG1654" s="1" t="s">
        <v>132</v>
      </c>
      <c r="AH1654" s="1" t="s">
        <v>132</v>
      </c>
      <c r="AI1654" s="1" t="s">
        <v>132</v>
      </c>
      <c r="AJ1654" s="1" t="s">
        <v>132</v>
      </c>
      <c r="AK1654" s="1" t="s">
        <v>132</v>
      </c>
      <c r="AL1654" s="1" t="s">
        <v>132</v>
      </c>
      <c r="AM1654" s="1" t="s">
        <v>132</v>
      </c>
      <c r="AN1654" s="1" t="s">
        <v>132</v>
      </c>
    </row>
    <row r="1655" ht="15.75" customHeight="1">
      <c r="A1655" s="1" t="s">
        <v>38</v>
      </c>
      <c r="B1655" s="1" t="s">
        <v>32656</v>
      </c>
      <c r="C1655" s="1" t="s">
        <v>32657</v>
      </c>
      <c r="D1655" s="1" t="s">
        <v>132</v>
      </c>
      <c r="E1655" s="1" t="s">
        <v>32658</v>
      </c>
      <c r="F1655" s="1" t="s">
        <v>32659</v>
      </c>
      <c r="G1655" s="1" t="s">
        <v>132</v>
      </c>
      <c r="H1655" s="1" t="s">
        <v>132</v>
      </c>
      <c r="I1655" s="1" t="s">
        <v>32660</v>
      </c>
      <c r="J1655" s="1" t="s">
        <v>132</v>
      </c>
      <c r="K1655" s="1" t="s">
        <v>32661</v>
      </c>
      <c r="L1655" s="1" t="s">
        <v>132</v>
      </c>
      <c r="M1655" s="1" t="s">
        <v>32662</v>
      </c>
      <c r="N1655" s="1" t="s">
        <v>32663</v>
      </c>
      <c r="O1655" s="1" t="s">
        <v>132</v>
      </c>
      <c r="P1655" s="1" t="s">
        <v>32664</v>
      </c>
      <c r="Q1655" s="1" t="s">
        <v>132</v>
      </c>
      <c r="R1655" s="1" t="s">
        <v>132</v>
      </c>
      <c r="S1655" s="1" t="s">
        <v>32665</v>
      </c>
      <c r="T1655" s="1" t="s">
        <v>132</v>
      </c>
      <c r="U1655" s="1" t="s">
        <v>132</v>
      </c>
      <c r="V1655" s="1" t="s">
        <v>132</v>
      </c>
      <c r="W1655" s="1" t="s">
        <v>132</v>
      </c>
      <c r="X1655" s="1" t="s">
        <v>32666</v>
      </c>
      <c r="Y1655" s="1" t="s">
        <v>132</v>
      </c>
      <c r="Z1655" s="1" t="s">
        <v>32667</v>
      </c>
      <c r="AA1655" s="1" t="s">
        <v>132</v>
      </c>
      <c r="AB1655" s="1" t="s">
        <v>132</v>
      </c>
      <c r="AC1655" s="1" t="s">
        <v>132</v>
      </c>
      <c r="AD1655" s="1" t="s">
        <v>132</v>
      </c>
      <c r="AE1655" s="1" t="s">
        <v>132</v>
      </c>
      <c r="AF1655" s="1" t="s">
        <v>132</v>
      </c>
      <c r="AG1655" s="1" t="s">
        <v>132</v>
      </c>
      <c r="AH1655" s="1" t="s">
        <v>132</v>
      </c>
      <c r="AI1655" s="1" t="s">
        <v>132</v>
      </c>
      <c r="AJ1655" s="1" t="s">
        <v>132</v>
      </c>
      <c r="AK1655" s="1" t="s">
        <v>132</v>
      </c>
      <c r="AL1655" s="1" t="s">
        <v>132</v>
      </c>
      <c r="AM1655" s="1" t="s">
        <v>132</v>
      </c>
      <c r="AN1655" s="1" t="s">
        <v>132</v>
      </c>
    </row>
    <row r="1656" ht="15.75" customHeight="1">
      <c r="A1656" s="1" t="s">
        <v>38</v>
      </c>
      <c r="B1656" s="1" t="s">
        <v>32668</v>
      </c>
      <c r="C1656" s="1" t="s">
        <v>32669</v>
      </c>
      <c r="D1656" s="8" t="s">
        <v>32670</v>
      </c>
      <c r="E1656" s="1" t="s">
        <v>32671</v>
      </c>
      <c r="F1656" s="1" t="s">
        <v>32672</v>
      </c>
      <c r="G1656" s="1" t="s">
        <v>132</v>
      </c>
      <c r="H1656" s="1" t="s">
        <v>132</v>
      </c>
      <c r="I1656" s="1" t="s">
        <v>32673</v>
      </c>
      <c r="J1656" s="1" t="s">
        <v>132</v>
      </c>
      <c r="K1656" s="1" t="s">
        <v>32674</v>
      </c>
      <c r="L1656" s="1" t="s">
        <v>132</v>
      </c>
      <c r="M1656" s="1" t="s">
        <v>32675</v>
      </c>
      <c r="N1656" s="1" t="s">
        <v>32672</v>
      </c>
      <c r="O1656" s="1" t="s">
        <v>132</v>
      </c>
      <c r="P1656" s="1" t="s">
        <v>32676</v>
      </c>
      <c r="Q1656" s="1" t="s">
        <v>32677</v>
      </c>
      <c r="R1656" s="1" t="s">
        <v>132</v>
      </c>
      <c r="S1656" s="1" t="s">
        <v>32672</v>
      </c>
      <c r="T1656" s="1" t="s">
        <v>132</v>
      </c>
      <c r="U1656" s="1" t="s">
        <v>32678</v>
      </c>
      <c r="V1656" s="1" t="s">
        <v>32679</v>
      </c>
      <c r="W1656" s="1" t="s">
        <v>132</v>
      </c>
      <c r="X1656" s="1" t="s">
        <v>32680</v>
      </c>
      <c r="Y1656" s="1" t="s">
        <v>132</v>
      </c>
      <c r="Z1656" s="1" t="s">
        <v>32681</v>
      </c>
      <c r="AA1656" s="1" t="s">
        <v>32682</v>
      </c>
      <c r="AB1656" s="1" t="s">
        <v>132</v>
      </c>
      <c r="AC1656" s="1" t="s">
        <v>32683</v>
      </c>
      <c r="AD1656" s="1" t="s">
        <v>32684</v>
      </c>
      <c r="AE1656" s="1" t="s">
        <v>132</v>
      </c>
      <c r="AF1656" s="1" t="s">
        <v>32685</v>
      </c>
      <c r="AG1656" s="1" t="s">
        <v>32686</v>
      </c>
      <c r="AH1656" s="1" t="s">
        <v>132</v>
      </c>
      <c r="AI1656" s="1" t="s">
        <v>132</v>
      </c>
      <c r="AJ1656" s="1" t="s">
        <v>32687</v>
      </c>
      <c r="AK1656" s="1" t="s">
        <v>32688</v>
      </c>
      <c r="AL1656" s="1" t="s">
        <v>132</v>
      </c>
      <c r="AM1656" s="1" t="s">
        <v>32689</v>
      </c>
      <c r="AN1656" s="1" t="s">
        <v>32689</v>
      </c>
    </row>
    <row r="1657" ht="15.75" customHeight="1">
      <c r="A1657" s="1" t="s">
        <v>127</v>
      </c>
      <c r="B1657" s="1" t="s">
        <v>32690</v>
      </c>
      <c r="C1657" s="1" t="s">
        <v>14624</v>
      </c>
      <c r="D1657" s="8" t="s">
        <v>14625</v>
      </c>
      <c r="E1657" s="1" t="s">
        <v>14626</v>
      </c>
      <c r="F1657" s="1" t="s">
        <v>132</v>
      </c>
      <c r="G1657" s="1" t="s">
        <v>14627</v>
      </c>
      <c r="H1657" s="1" t="s">
        <v>14628</v>
      </c>
      <c r="I1657" s="1" t="s">
        <v>32691</v>
      </c>
      <c r="J1657" s="1" t="s">
        <v>14630</v>
      </c>
      <c r="K1657" s="1" t="s">
        <v>32692</v>
      </c>
      <c r="L1657" s="1" t="s">
        <v>14632</v>
      </c>
      <c r="M1657" s="1" t="s">
        <v>32693</v>
      </c>
      <c r="N1657" s="1" t="s">
        <v>132</v>
      </c>
      <c r="O1657" s="1" t="s">
        <v>14634</v>
      </c>
      <c r="P1657" s="1" t="s">
        <v>32694</v>
      </c>
      <c r="Q1657" s="1" t="s">
        <v>132</v>
      </c>
      <c r="R1657" s="1" t="s">
        <v>14636</v>
      </c>
      <c r="S1657" s="1" t="s">
        <v>14637</v>
      </c>
      <c r="T1657" s="8" t="s">
        <v>14638</v>
      </c>
      <c r="U1657" s="1" t="s">
        <v>14639</v>
      </c>
      <c r="V1657" s="1" t="s">
        <v>14640</v>
      </c>
      <c r="W1657" s="1" t="s">
        <v>14636</v>
      </c>
      <c r="X1657" s="1" t="s">
        <v>32695</v>
      </c>
      <c r="Y1657" s="1" t="s">
        <v>14642</v>
      </c>
      <c r="Z1657" s="1" t="s">
        <v>32696</v>
      </c>
      <c r="AA1657" s="1" t="s">
        <v>14644</v>
      </c>
      <c r="AB1657" s="1" t="s">
        <v>32697</v>
      </c>
      <c r="AC1657" s="1" t="s">
        <v>32698</v>
      </c>
      <c r="AD1657" s="1" t="s">
        <v>14647</v>
      </c>
      <c r="AE1657" s="1" t="s">
        <v>14648</v>
      </c>
      <c r="AF1657" s="1" t="s">
        <v>32699</v>
      </c>
      <c r="AG1657" s="1" t="s">
        <v>14650</v>
      </c>
      <c r="AH1657" s="1" t="s">
        <v>14651</v>
      </c>
      <c r="AI1657" s="1" t="s">
        <v>14652</v>
      </c>
      <c r="AJ1657" s="1" t="s">
        <v>132</v>
      </c>
      <c r="AK1657" s="1" t="s">
        <v>14653</v>
      </c>
      <c r="AL1657" s="1" t="s">
        <v>14654</v>
      </c>
      <c r="AM1657" s="1" t="s">
        <v>132</v>
      </c>
      <c r="AN1657" s="1" t="s">
        <v>132</v>
      </c>
    </row>
    <row r="1658" ht="15.75" customHeight="1">
      <c r="A1658" s="1" t="s">
        <v>127</v>
      </c>
      <c r="B1658" s="1" t="s">
        <v>32700</v>
      </c>
      <c r="C1658" s="1" t="s">
        <v>32701</v>
      </c>
      <c r="D1658" s="8" t="s">
        <v>32702</v>
      </c>
      <c r="E1658" s="1" t="s">
        <v>32703</v>
      </c>
      <c r="F1658" s="1" t="s">
        <v>132</v>
      </c>
      <c r="G1658" s="1" t="s">
        <v>32704</v>
      </c>
      <c r="H1658" s="1" t="s">
        <v>32705</v>
      </c>
      <c r="I1658" s="1" t="s">
        <v>32701</v>
      </c>
      <c r="J1658" s="1" t="s">
        <v>32706</v>
      </c>
      <c r="K1658" s="1" t="s">
        <v>32707</v>
      </c>
      <c r="L1658" s="1" t="s">
        <v>32708</v>
      </c>
      <c r="M1658" s="1" t="s">
        <v>32709</v>
      </c>
      <c r="N1658" s="1" t="s">
        <v>132</v>
      </c>
      <c r="O1658" s="1" t="s">
        <v>32710</v>
      </c>
      <c r="P1658" s="1" t="s">
        <v>32711</v>
      </c>
      <c r="Q1658" s="1" t="s">
        <v>132</v>
      </c>
      <c r="R1658" s="1" t="s">
        <v>32712</v>
      </c>
      <c r="S1658" s="1" t="s">
        <v>32713</v>
      </c>
      <c r="T1658" s="8" t="s">
        <v>32714</v>
      </c>
      <c r="U1658" s="1" t="s">
        <v>32715</v>
      </c>
      <c r="V1658" s="1" t="s">
        <v>32716</v>
      </c>
      <c r="W1658" s="1" t="s">
        <v>32717</v>
      </c>
      <c r="X1658" s="1" t="s">
        <v>32701</v>
      </c>
      <c r="Y1658" s="1" t="s">
        <v>32718</v>
      </c>
      <c r="Z1658" s="1" t="s">
        <v>32719</v>
      </c>
      <c r="AA1658" s="1" t="s">
        <v>32720</v>
      </c>
      <c r="AB1658" s="1" t="s">
        <v>32721</v>
      </c>
      <c r="AC1658" s="1" t="s">
        <v>32722</v>
      </c>
      <c r="AD1658" s="1" t="s">
        <v>32723</v>
      </c>
      <c r="AE1658" s="1" t="s">
        <v>32724</v>
      </c>
      <c r="AF1658" s="1" t="s">
        <v>32725</v>
      </c>
      <c r="AG1658" s="1" t="s">
        <v>32726</v>
      </c>
      <c r="AH1658" s="1" t="s">
        <v>32727</v>
      </c>
      <c r="AI1658" s="1" t="s">
        <v>32728</v>
      </c>
      <c r="AJ1658" s="1" t="s">
        <v>132</v>
      </c>
      <c r="AK1658" s="1" t="s">
        <v>32729</v>
      </c>
      <c r="AL1658" s="1" t="s">
        <v>32730</v>
      </c>
      <c r="AM1658" s="1" t="s">
        <v>32731</v>
      </c>
      <c r="AN1658" s="1" t="s">
        <v>32731</v>
      </c>
    </row>
    <row r="1659" ht="15.75" customHeight="1">
      <c r="A1659" s="1" t="s">
        <v>38</v>
      </c>
      <c r="B1659" s="1" t="s">
        <v>32732</v>
      </c>
      <c r="C1659" s="1" t="s">
        <v>32733</v>
      </c>
      <c r="D1659" s="1" t="s">
        <v>132</v>
      </c>
      <c r="E1659" s="1" t="s">
        <v>32734</v>
      </c>
      <c r="F1659" s="1" t="s">
        <v>32735</v>
      </c>
      <c r="G1659" s="1" t="s">
        <v>132</v>
      </c>
      <c r="H1659" s="1" t="s">
        <v>132</v>
      </c>
      <c r="I1659" s="1" t="s">
        <v>32736</v>
      </c>
      <c r="J1659" s="1" t="s">
        <v>132</v>
      </c>
      <c r="K1659" s="1" t="s">
        <v>32737</v>
      </c>
      <c r="L1659" s="1" t="s">
        <v>132</v>
      </c>
      <c r="M1659" s="1" t="s">
        <v>32738</v>
      </c>
      <c r="N1659" s="1" t="s">
        <v>32739</v>
      </c>
      <c r="O1659" s="1" t="s">
        <v>132</v>
      </c>
      <c r="P1659" s="1" t="s">
        <v>32740</v>
      </c>
      <c r="Q1659" s="1" t="s">
        <v>132</v>
      </c>
      <c r="R1659" s="1" t="s">
        <v>132</v>
      </c>
      <c r="S1659" s="1" t="s">
        <v>32741</v>
      </c>
      <c r="T1659" s="1" t="s">
        <v>132</v>
      </c>
      <c r="U1659" s="1" t="s">
        <v>32742</v>
      </c>
      <c r="V1659" s="1" t="s">
        <v>32743</v>
      </c>
      <c r="W1659" s="1" t="s">
        <v>132</v>
      </c>
      <c r="X1659" s="1" t="s">
        <v>32744</v>
      </c>
      <c r="Y1659" s="1" t="s">
        <v>132</v>
      </c>
      <c r="Z1659" s="1" t="s">
        <v>32745</v>
      </c>
      <c r="AA1659" s="1" t="s">
        <v>32746</v>
      </c>
      <c r="AB1659" s="1" t="s">
        <v>132</v>
      </c>
      <c r="AC1659" s="1" t="s">
        <v>32747</v>
      </c>
      <c r="AD1659" s="1" t="s">
        <v>32748</v>
      </c>
      <c r="AE1659" s="1" t="s">
        <v>132</v>
      </c>
      <c r="AF1659" s="1" t="s">
        <v>32749</v>
      </c>
      <c r="AG1659" s="1" t="s">
        <v>32750</v>
      </c>
      <c r="AH1659" s="1" t="s">
        <v>132</v>
      </c>
      <c r="AI1659" s="1" t="s">
        <v>132</v>
      </c>
      <c r="AJ1659" s="1" t="s">
        <v>32751</v>
      </c>
      <c r="AK1659" s="1" t="s">
        <v>32752</v>
      </c>
      <c r="AL1659" s="1" t="s">
        <v>132</v>
      </c>
      <c r="AM1659" s="1" t="s">
        <v>32753</v>
      </c>
      <c r="AN1659" s="1" t="s">
        <v>32753</v>
      </c>
    </row>
    <row r="1660" ht="15.75" customHeight="1">
      <c r="A1660" s="1" t="s">
        <v>38</v>
      </c>
      <c r="B1660" s="1" t="s">
        <v>32754</v>
      </c>
      <c r="C1660" s="1" t="s">
        <v>32755</v>
      </c>
      <c r="D1660" s="8" t="s">
        <v>32756</v>
      </c>
      <c r="E1660" s="1" t="s">
        <v>32757</v>
      </c>
      <c r="F1660" s="1" t="s">
        <v>32758</v>
      </c>
      <c r="G1660" s="1" t="s">
        <v>132</v>
      </c>
      <c r="H1660" s="1" t="s">
        <v>132</v>
      </c>
      <c r="I1660" s="1" t="s">
        <v>32759</v>
      </c>
      <c r="J1660" s="1" t="s">
        <v>132</v>
      </c>
      <c r="K1660" s="1" t="s">
        <v>32760</v>
      </c>
      <c r="L1660" s="1" t="s">
        <v>132</v>
      </c>
      <c r="M1660" s="1" t="s">
        <v>32761</v>
      </c>
      <c r="N1660" s="1" t="s">
        <v>32762</v>
      </c>
      <c r="O1660" s="1" t="s">
        <v>132</v>
      </c>
      <c r="P1660" s="1" t="s">
        <v>32763</v>
      </c>
      <c r="Q1660" s="1" t="s">
        <v>132</v>
      </c>
      <c r="R1660" s="1" t="s">
        <v>132</v>
      </c>
      <c r="S1660" s="1" t="s">
        <v>32764</v>
      </c>
      <c r="T1660" s="1" t="s">
        <v>132</v>
      </c>
      <c r="U1660" s="1" t="s">
        <v>132</v>
      </c>
      <c r="V1660" s="1" t="s">
        <v>132</v>
      </c>
      <c r="W1660" s="1" t="s">
        <v>132</v>
      </c>
      <c r="X1660" s="1" t="s">
        <v>32765</v>
      </c>
      <c r="Y1660" s="1" t="s">
        <v>132</v>
      </c>
      <c r="Z1660" s="1" t="s">
        <v>32766</v>
      </c>
      <c r="AA1660" s="1" t="s">
        <v>32767</v>
      </c>
      <c r="AB1660" s="1" t="s">
        <v>132</v>
      </c>
      <c r="AC1660" s="1" t="s">
        <v>32768</v>
      </c>
      <c r="AD1660" s="1" t="s">
        <v>132</v>
      </c>
      <c r="AE1660" s="1" t="s">
        <v>132</v>
      </c>
      <c r="AF1660" s="1" t="s">
        <v>32769</v>
      </c>
      <c r="AG1660" s="1" t="s">
        <v>132</v>
      </c>
      <c r="AH1660" s="1" t="s">
        <v>132</v>
      </c>
      <c r="AI1660" s="1" t="s">
        <v>132</v>
      </c>
      <c r="AJ1660" s="1" t="s">
        <v>132</v>
      </c>
      <c r="AK1660" s="1" t="s">
        <v>132</v>
      </c>
      <c r="AL1660" s="1" t="s">
        <v>132</v>
      </c>
      <c r="AM1660" s="1" t="s">
        <v>132</v>
      </c>
      <c r="AN1660" s="1" t="s">
        <v>132</v>
      </c>
    </row>
    <row r="1661" ht="15.75" customHeight="1">
      <c r="A1661" s="1" t="s">
        <v>38</v>
      </c>
      <c r="B1661" s="1" t="s">
        <v>32770</v>
      </c>
      <c r="C1661" s="1" t="s">
        <v>32771</v>
      </c>
      <c r="D1661" s="1" t="s">
        <v>132</v>
      </c>
      <c r="E1661" s="1" t="s">
        <v>132</v>
      </c>
      <c r="F1661" s="1" t="s">
        <v>132</v>
      </c>
      <c r="G1661" s="1" t="s">
        <v>132</v>
      </c>
      <c r="H1661" s="1" t="s">
        <v>132</v>
      </c>
      <c r="I1661" s="1" t="s">
        <v>32772</v>
      </c>
      <c r="J1661" s="1" t="s">
        <v>132</v>
      </c>
      <c r="K1661" s="1" t="s">
        <v>32773</v>
      </c>
      <c r="L1661" s="1" t="s">
        <v>132</v>
      </c>
      <c r="M1661" s="1" t="s">
        <v>32774</v>
      </c>
      <c r="N1661" s="1" t="s">
        <v>132</v>
      </c>
      <c r="O1661" s="1" t="s">
        <v>132</v>
      </c>
      <c r="P1661" s="1" t="s">
        <v>32771</v>
      </c>
      <c r="Q1661" s="1" t="s">
        <v>132</v>
      </c>
      <c r="R1661" s="1" t="s">
        <v>132</v>
      </c>
      <c r="S1661" s="1" t="s">
        <v>132</v>
      </c>
      <c r="T1661" s="1" t="s">
        <v>132</v>
      </c>
      <c r="U1661" s="1" t="s">
        <v>132</v>
      </c>
      <c r="V1661" s="1" t="s">
        <v>132</v>
      </c>
      <c r="W1661" s="1" t="s">
        <v>132</v>
      </c>
      <c r="X1661" s="1" t="s">
        <v>132</v>
      </c>
      <c r="Y1661" s="1" t="s">
        <v>132</v>
      </c>
      <c r="Z1661" s="1" t="s">
        <v>132</v>
      </c>
      <c r="AA1661" s="1" t="s">
        <v>132</v>
      </c>
      <c r="AB1661" s="1" t="s">
        <v>132</v>
      </c>
      <c r="AC1661" s="1" t="s">
        <v>32775</v>
      </c>
      <c r="AD1661" s="1" t="s">
        <v>132</v>
      </c>
      <c r="AE1661" s="1" t="s">
        <v>132</v>
      </c>
      <c r="AF1661" s="1" t="s">
        <v>32776</v>
      </c>
      <c r="AG1661" s="1" t="s">
        <v>132</v>
      </c>
      <c r="AH1661" s="1" t="s">
        <v>132</v>
      </c>
      <c r="AI1661" s="1" t="s">
        <v>132</v>
      </c>
      <c r="AJ1661" s="1" t="s">
        <v>132</v>
      </c>
      <c r="AK1661" s="1" t="s">
        <v>132</v>
      </c>
      <c r="AL1661" s="1" t="s">
        <v>132</v>
      </c>
      <c r="AM1661" s="1" t="s">
        <v>132</v>
      </c>
      <c r="AN1661" s="1" t="s">
        <v>132</v>
      </c>
    </row>
    <row r="1662" ht="15.75" customHeight="1">
      <c r="A1662" s="1" t="s">
        <v>43182</v>
      </c>
      <c r="B1662" s="1" t="s">
        <v>43300</v>
      </c>
      <c r="C1662" s="1" t="s">
        <v>43301</v>
      </c>
      <c r="D1662" s="1" t="s">
        <v>132</v>
      </c>
      <c r="E1662" s="1" t="s">
        <v>132</v>
      </c>
      <c r="F1662" s="1" t="s">
        <v>132</v>
      </c>
      <c r="G1662" s="1" t="s">
        <v>132</v>
      </c>
      <c r="H1662" s="1" t="s">
        <v>132</v>
      </c>
      <c r="I1662" s="1" t="s">
        <v>132</v>
      </c>
      <c r="J1662" s="1" t="s">
        <v>132</v>
      </c>
      <c r="K1662" s="1" t="s">
        <v>132</v>
      </c>
      <c r="L1662" s="1" t="s">
        <v>132</v>
      </c>
      <c r="M1662" s="1" t="s">
        <v>132</v>
      </c>
      <c r="N1662" s="1" t="s">
        <v>132</v>
      </c>
      <c r="O1662" s="1" t="s">
        <v>132</v>
      </c>
      <c r="P1662" s="1" t="s">
        <v>132</v>
      </c>
      <c r="Q1662" s="1" t="s">
        <v>132</v>
      </c>
      <c r="R1662" s="1" t="s">
        <v>132</v>
      </c>
      <c r="S1662" s="1" t="s">
        <v>132</v>
      </c>
      <c r="T1662" s="1" t="s">
        <v>132</v>
      </c>
      <c r="U1662" s="1" t="s">
        <v>132</v>
      </c>
      <c r="V1662" s="1" t="s">
        <v>132</v>
      </c>
      <c r="W1662" s="1" t="s">
        <v>132</v>
      </c>
      <c r="X1662" s="1" t="s">
        <v>132</v>
      </c>
      <c r="Y1662" s="1" t="s">
        <v>132</v>
      </c>
      <c r="Z1662" s="1" t="s">
        <v>132</v>
      </c>
      <c r="AA1662" s="1" t="s">
        <v>132</v>
      </c>
      <c r="AB1662" s="1" t="s">
        <v>132</v>
      </c>
      <c r="AC1662" s="1" t="s">
        <v>132</v>
      </c>
      <c r="AD1662" s="1" t="s">
        <v>132</v>
      </c>
      <c r="AE1662" s="1" t="s">
        <v>132</v>
      </c>
      <c r="AF1662" s="1" t="s">
        <v>132</v>
      </c>
      <c r="AG1662" s="1" t="s">
        <v>132</v>
      </c>
      <c r="AH1662" s="1" t="s">
        <v>132</v>
      </c>
      <c r="AI1662" s="1" t="s">
        <v>132</v>
      </c>
      <c r="AJ1662" s="1" t="s">
        <v>132</v>
      </c>
      <c r="AK1662" s="1" t="s">
        <v>132</v>
      </c>
      <c r="AL1662" s="1" t="s">
        <v>132</v>
      </c>
      <c r="AM1662" s="1" t="s">
        <v>132</v>
      </c>
      <c r="AN1662" s="1" t="s">
        <v>132</v>
      </c>
    </row>
    <row r="1663" ht="15.75" customHeight="1">
      <c r="A1663" s="1" t="s">
        <v>43182</v>
      </c>
      <c r="B1663" s="1" t="s">
        <v>43302</v>
      </c>
      <c r="C1663" s="1" t="s">
        <v>43303</v>
      </c>
      <c r="D1663" s="1" t="s">
        <v>132</v>
      </c>
      <c r="E1663" s="1" t="s">
        <v>132</v>
      </c>
      <c r="F1663" s="1" t="s">
        <v>132</v>
      </c>
      <c r="G1663" s="1" t="s">
        <v>132</v>
      </c>
      <c r="H1663" s="1" t="s">
        <v>132</v>
      </c>
      <c r="I1663" s="1" t="s">
        <v>132</v>
      </c>
      <c r="J1663" s="1" t="s">
        <v>132</v>
      </c>
      <c r="K1663" s="1" t="s">
        <v>132</v>
      </c>
      <c r="L1663" s="1" t="s">
        <v>132</v>
      </c>
      <c r="M1663" s="1" t="s">
        <v>132</v>
      </c>
      <c r="N1663" s="1" t="s">
        <v>132</v>
      </c>
      <c r="O1663" s="1" t="s">
        <v>132</v>
      </c>
      <c r="P1663" s="1" t="s">
        <v>132</v>
      </c>
      <c r="Q1663" s="1" t="s">
        <v>132</v>
      </c>
      <c r="R1663" s="1" t="s">
        <v>132</v>
      </c>
      <c r="S1663" s="1" t="s">
        <v>132</v>
      </c>
      <c r="T1663" s="1" t="s">
        <v>132</v>
      </c>
      <c r="U1663" s="1" t="s">
        <v>132</v>
      </c>
      <c r="V1663" s="1" t="s">
        <v>132</v>
      </c>
      <c r="W1663" s="1" t="s">
        <v>132</v>
      </c>
      <c r="X1663" s="1" t="s">
        <v>132</v>
      </c>
      <c r="Y1663" s="1" t="s">
        <v>132</v>
      </c>
      <c r="Z1663" s="1" t="s">
        <v>132</v>
      </c>
      <c r="AA1663" s="1" t="s">
        <v>132</v>
      </c>
      <c r="AB1663" s="1" t="s">
        <v>132</v>
      </c>
      <c r="AC1663" s="1" t="s">
        <v>132</v>
      </c>
      <c r="AD1663" s="1" t="s">
        <v>132</v>
      </c>
      <c r="AE1663" s="1" t="s">
        <v>132</v>
      </c>
      <c r="AF1663" s="1" t="s">
        <v>132</v>
      </c>
      <c r="AG1663" s="1" t="s">
        <v>132</v>
      </c>
      <c r="AH1663" s="1" t="s">
        <v>132</v>
      </c>
      <c r="AI1663" s="1" t="s">
        <v>132</v>
      </c>
      <c r="AJ1663" s="1" t="s">
        <v>132</v>
      </c>
      <c r="AK1663" s="1" t="s">
        <v>132</v>
      </c>
      <c r="AL1663" s="1" t="s">
        <v>132</v>
      </c>
      <c r="AM1663" s="1" t="s">
        <v>132</v>
      </c>
      <c r="AN1663" s="1" t="s">
        <v>132</v>
      </c>
    </row>
    <row r="1664" ht="15.75" customHeight="1">
      <c r="A1664" s="1" t="s">
        <v>127</v>
      </c>
      <c r="B1664" s="1" t="s">
        <v>32777</v>
      </c>
      <c r="C1664" s="1" t="s">
        <v>32778</v>
      </c>
      <c r="D1664" s="8" t="s">
        <v>32779</v>
      </c>
      <c r="E1664" s="1" t="s">
        <v>32780</v>
      </c>
      <c r="F1664" s="1" t="s">
        <v>132</v>
      </c>
      <c r="G1664" s="1" t="s">
        <v>32781</v>
      </c>
      <c r="H1664" s="1" t="s">
        <v>32782</v>
      </c>
      <c r="I1664" s="1" t="s">
        <v>32783</v>
      </c>
      <c r="J1664" s="1" t="s">
        <v>32784</v>
      </c>
      <c r="K1664" s="1" t="s">
        <v>32785</v>
      </c>
      <c r="L1664" s="1" t="s">
        <v>32786</v>
      </c>
      <c r="M1664" s="1" t="s">
        <v>32787</v>
      </c>
      <c r="N1664" s="1" t="s">
        <v>132</v>
      </c>
      <c r="O1664" s="1" t="s">
        <v>32788</v>
      </c>
      <c r="P1664" s="1" t="s">
        <v>32789</v>
      </c>
      <c r="Q1664" s="1" t="s">
        <v>132</v>
      </c>
      <c r="R1664" s="1" t="s">
        <v>32790</v>
      </c>
      <c r="S1664" s="1" t="s">
        <v>32791</v>
      </c>
      <c r="T1664" s="8" t="s">
        <v>32792</v>
      </c>
      <c r="U1664" s="1" t="s">
        <v>32793</v>
      </c>
      <c r="V1664" s="1" t="s">
        <v>32794</v>
      </c>
      <c r="W1664" s="1" t="s">
        <v>32795</v>
      </c>
      <c r="X1664" s="1" t="s">
        <v>32796</v>
      </c>
      <c r="Y1664" s="1" t="s">
        <v>32797</v>
      </c>
      <c r="Z1664" s="1" t="s">
        <v>32798</v>
      </c>
      <c r="AA1664" s="1" t="s">
        <v>32799</v>
      </c>
      <c r="AB1664" s="1" t="s">
        <v>32800</v>
      </c>
      <c r="AC1664" s="1" t="s">
        <v>32801</v>
      </c>
      <c r="AD1664" s="1" t="s">
        <v>32802</v>
      </c>
      <c r="AE1664" s="1" t="s">
        <v>32803</v>
      </c>
      <c r="AF1664" s="1" t="s">
        <v>32804</v>
      </c>
      <c r="AG1664" s="1" t="s">
        <v>32805</v>
      </c>
      <c r="AH1664" s="1" t="s">
        <v>32806</v>
      </c>
      <c r="AI1664" s="1" t="s">
        <v>32807</v>
      </c>
      <c r="AJ1664" s="1" t="s">
        <v>132</v>
      </c>
      <c r="AK1664" s="1" t="s">
        <v>32808</v>
      </c>
      <c r="AL1664" s="1" t="s">
        <v>32809</v>
      </c>
      <c r="AM1664" s="1" t="s">
        <v>132</v>
      </c>
      <c r="AN1664" s="1" t="s">
        <v>132</v>
      </c>
    </row>
    <row r="1665" ht="15.75" customHeight="1">
      <c r="A1665" s="1" t="s">
        <v>38</v>
      </c>
      <c r="B1665" s="1" t="s">
        <v>32810</v>
      </c>
      <c r="C1665" s="1" t="s">
        <v>32811</v>
      </c>
      <c r="D1665" s="1" t="s">
        <v>132</v>
      </c>
      <c r="E1665" s="1" t="s">
        <v>132</v>
      </c>
      <c r="F1665" s="1" t="s">
        <v>132</v>
      </c>
      <c r="G1665" s="1" t="s">
        <v>132</v>
      </c>
      <c r="H1665" s="1" t="s">
        <v>132</v>
      </c>
      <c r="I1665" s="1" t="s">
        <v>32812</v>
      </c>
      <c r="J1665" s="1" t="s">
        <v>132</v>
      </c>
      <c r="K1665" s="1" t="s">
        <v>32813</v>
      </c>
      <c r="L1665" s="1" t="s">
        <v>132</v>
      </c>
      <c r="M1665" s="1" t="s">
        <v>32814</v>
      </c>
      <c r="N1665" s="1" t="s">
        <v>132</v>
      </c>
      <c r="O1665" s="1" t="s">
        <v>132</v>
      </c>
      <c r="P1665" s="1" t="s">
        <v>32811</v>
      </c>
      <c r="Q1665" s="1" t="s">
        <v>132</v>
      </c>
      <c r="R1665" s="1" t="s">
        <v>132</v>
      </c>
      <c r="S1665" s="1" t="s">
        <v>132</v>
      </c>
      <c r="T1665" s="1" t="s">
        <v>132</v>
      </c>
      <c r="U1665" s="1" t="s">
        <v>132</v>
      </c>
      <c r="V1665" s="1" t="s">
        <v>132</v>
      </c>
      <c r="W1665" s="1" t="s">
        <v>132</v>
      </c>
      <c r="X1665" s="1" t="s">
        <v>132</v>
      </c>
      <c r="Y1665" s="1" t="s">
        <v>132</v>
      </c>
      <c r="Z1665" s="1" t="s">
        <v>132</v>
      </c>
      <c r="AA1665" s="1" t="s">
        <v>132</v>
      </c>
      <c r="AB1665" s="1" t="s">
        <v>132</v>
      </c>
      <c r="AC1665" s="1" t="s">
        <v>32815</v>
      </c>
      <c r="AD1665" s="1" t="s">
        <v>132</v>
      </c>
      <c r="AE1665" s="1" t="s">
        <v>132</v>
      </c>
      <c r="AF1665" s="1" t="s">
        <v>32816</v>
      </c>
      <c r="AG1665" s="1" t="s">
        <v>132</v>
      </c>
      <c r="AH1665" s="1" t="s">
        <v>132</v>
      </c>
      <c r="AI1665" s="1" t="s">
        <v>132</v>
      </c>
      <c r="AJ1665" s="1" t="s">
        <v>132</v>
      </c>
      <c r="AK1665" s="1" t="s">
        <v>132</v>
      </c>
      <c r="AL1665" s="1" t="s">
        <v>132</v>
      </c>
      <c r="AM1665" s="1" t="s">
        <v>132</v>
      </c>
      <c r="AN1665" s="1" t="s">
        <v>132</v>
      </c>
    </row>
    <row r="1666" ht="15.75" customHeight="1">
      <c r="A1666" s="1" t="s">
        <v>38</v>
      </c>
      <c r="B1666" s="1" t="s">
        <v>32817</v>
      </c>
      <c r="C1666" s="1" t="s">
        <v>32818</v>
      </c>
      <c r="D1666" s="8" t="s">
        <v>32819</v>
      </c>
      <c r="E1666" s="1" t="s">
        <v>32820</v>
      </c>
      <c r="F1666" s="1" t="s">
        <v>32821</v>
      </c>
      <c r="G1666" s="1" t="s">
        <v>132</v>
      </c>
      <c r="H1666" s="1" t="s">
        <v>132</v>
      </c>
      <c r="I1666" s="1" t="s">
        <v>32822</v>
      </c>
      <c r="J1666" s="1" t="s">
        <v>132</v>
      </c>
      <c r="K1666" s="1" t="s">
        <v>32823</v>
      </c>
      <c r="L1666" s="1" t="s">
        <v>132</v>
      </c>
      <c r="M1666" s="1" t="s">
        <v>32824</v>
      </c>
      <c r="N1666" s="1" t="s">
        <v>32825</v>
      </c>
      <c r="O1666" s="1" t="s">
        <v>132</v>
      </c>
      <c r="P1666" s="1" t="s">
        <v>32826</v>
      </c>
      <c r="Q1666" s="1" t="s">
        <v>32827</v>
      </c>
      <c r="R1666" s="1" t="s">
        <v>132</v>
      </c>
      <c r="S1666" s="1" t="s">
        <v>32828</v>
      </c>
      <c r="T1666" s="1" t="s">
        <v>132</v>
      </c>
      <c r="U1666" s="1" t="s">
        <v>32829</v>
      </c>
      <c r="V1666" s="1" t="s">
        <v>32830</v>
      </c>
      <c r="W1666" s="1" t="s">
        <v>132</v>
      </c>
      <c r="X1666" s="1" t="s">
        <v>32831</v>
      </c>
      <c r="Y1666" s="1" t="s">
        <v>132</v>
      </c>
      <c r="Z1666" s="1" t="s">
        <v>32832</v>
      </c>
      <c r="AA1666" s="1" t="s">
        <v>32833</v>
      </c>
      <c r="AB1666" s="1" t="s">
        <v>132</v>
      </c>
      <c r="AC1666" s="1" t="s">
        <v>32834</v>
      </c>
      <c r="AD1666" s="1" t="s">
        <v>32835</v>
      </c>
      <c r="AE1666" s="1" t="s">
        <v>132</v>
      </c>
      <c r="AF1666" s="1" t="s">
        <v>32836</v>
      </c>
      <c r="AG1666" s="1" t="s">
        <v>32837</v>
      </c>
      <c r="AH1666" s="1" t="s">
        <v>132</v>
      </c>
      <c r="AI1666" s="1" t="s">
        <v>132</v>
      </c>
      <c r="AJ1666" s="1" t="s">
        <v>32838</v>
      </c>
      <c r="AK1666" s="1" t="s">
        <v>32839</v>
      </c>
      <c r="AL1666" s="1" t="s">
        <v>132</v>
      </c>
      <c r="AM1666" s="1" t="s">
        <v>32840</v>
      </c>
      <c r="AN1666" s="1" t="s">
        <v>32840</v>
      </c>
    </row>
    <row r="1667" ht="15.75" customHeight="1">
      <c r="A1667" s="1" t="s">
        <v>38</v>
      </c>
      <c r="B1667" s="1" t="s">
        <v>32841</v>
      </c>
      <c r="C1667" s="1" t="s">
        <v>32842</v>
      </c>
      <c r="D1667" s="8" t="s">
        <v>32843</v>
      </c>
      <c r="E1667" s="1" t="s">
        <v>32844</v>
      </c>
      <c r="F1667" s="1" t="s">
        <v>32845</v>
      </c>
      <c r="G1667" s="1" t="s">
        <v>132</v>
      </c>
      <c r="H1667" s="1" t="s">
        <v>132</v>
      </c>
      <c r="I1667" s="1" t="s">
        <v>32846</v>
      </c>
      <c r="J1667" s="1" t="s">
        <v>132</v>
      </c>
      <c r="K1667" s="1" t="s">
        <v>32847</v>
      </c>
      <c r="L1667" s="1" t="s">
        <v>132</v>
      </c>
      <c r="M1667" s="1" t="s">
        <v>32848</v>
      </c>
      <c r="N1667" s="1" t="s">
        <v>32849</v>
      </c>
      <c r="O1667" s="1" t="s">
        <v>132</v>
      </c>
      <c r="P1667" s="1" t="s">
        <v>32850</v>
      </c>
      <c r="Q1667" s="1" t="s">
        <v>132</v>
      </c>
      <c r="R1667" s="1" t="s">
        <v>132</v>
      </c>
      <c r="S1667" s="1" t="s">
        <v>32851</v>
      </c>
      <c r="T1667" s="1" t="s">
        <v>132</v>
      </c>
      <c r="U1667" s="1" t="s">
        <v>32852</v>
      </c>
      <c r="V1667" s="1" t="s">
        <v>32853</v>
      </c>
      <c r="W1667" s="1" t="s">
        <v>132</v>
      </c>
      <c r="X1667" s="1" t="s">
        <v>32854</v>
      </c>
      <c r="Y1667" s="1" t="s">
        <v>132</v>
      </c>
      <c r="Z1667" s="1" t="s">
        <v>32855</v>
      </c>
      <c r="AA1667" s="1" t="s">
        <v>32856</v>
      </c>
      <c r="AB1667" s="1" t="s">
        <v>132</v>
      </c>
      <c r="AC1667" s="1" t="s">
        <v>32857</v>
      </c>
      <c r="AD1667" s="1" t="s">
        <v>132</v>
      </c>
      <c r="AE1667" s="1" t="s">
        <v>132</v>
      </c>
      <c r="AF1667" s="1" t="s">
        <v>32858</v>
      </c>
      <c r="AG1667" s="1" t="s">
        <v>32859</v>
      </c>
      <c r="AH1667" s="1" t="s">
        <v>132</v>
      </c>
      <c r="AI1667" s="1" t="s">
        <v>132</v>
      </c>
      <c r="AJ1667" s="1" t="s">
        <v>32861</v>
      </c>
      <c r="AK1667" s="1" t="s">
        <v>132</v>
      </c>
      <c r="AL1667" s="1" t="s">
        <v>132</v>
      </c>
      <c r="AM1667" s="1" t="s">
        <v>32862</v>
      </c>
      <c r="AN1667" s="1" t="s">
        <v>32862</v>
      </c>
    </row>
    <row r="1668" ht="15.75" customHeight="1">
      <c r="A1668" s="1" t="s">
        <v>38</v>
      </c>
      <c r="B1668" s="1" t="s">
        <v>32863</v>
      </c>
      <c r="C1668" s="1" t="s">
        <v>32864</v>
      </c>
      <c r="D1668" s="8" t="s">
        <v>32865</v>
      </c>
      <c r="E1668" s="1" t="s">
        <v>32866</v>
      </c>
      <c r="F1668" s="1" t="s">
        <v>32867</v>
      </c>
      <c r="G1668" s="1" t="s">
        <v>132</v>
      </c>
      <c r="H1668" s="1" t="s">
        <v>132</v>
      </c>
      <c r="I1668" s="1" t="s">
        <v>32868</v>
      </c>
      <c r="J1668" s="1" t="s">
        <v>132</v>
      </c>
      <c r="K1668" s="1" t="s">
        <v>32869</v>
      </c>
      <c r="L1668" s="1" t="s">
        <v>132</v>
      </c>
      <c r="M1668" s="1" t="s">
        <v>32870</v>
      </c>
      <c r="N1668" s="1" t="s">
        <v>32867</v>
      </c>
      <c r="O1668" s="1" t="s">
        <v>132</v>
      </c>
      <c r="P1668" s="1" t="s">
        <v>32871</v>
      </c>
      <c r="Q1668" s="1" t="s">
        <v>32872</v>
      </c>
      <c r="R1668" s="1" t="s">
        <v>132</v>
      </c>
      <c r="S1668" s="1" t="s">
        <v>32873</v>
      </c>
      <c r="T1668" s="1" t="s">
        <v>132</v>
      </c>
      <c r="U1668" s="1" t="s">
        <v>32874</v>
      </c>
      <c r="V1668" s="1" t="s">
        <v>32875</v>
      </c>
      <c r="W1668" s="1" t="s">
        <v>132</v>
      </c>
      <c r="X1668" s="1" t="s">
        <v>32876</v>
      </c>
      <c r="Y1668" s="1" t="s">
        <v>132</v>
      </c>
      <c r="Z1668" s="1" t="s">
        <v>32877</v>
      </c>
      <c r="AA1668" s="1" t="s">
        <v>32867</v>
      </c>
      <c r="AB1668" s="1" t="s">
        <v>132</v>
      </c>
      <c r="AC1668" s="1" t="s">
        <v>32878</v>
      </c>
      <c r="AD1668" s="1" t="s">
        <v>32879</v>
      </c>
      <c r="AE1668" s="1" t="s">
        <v>132</v>
      </c>
      <c r="AF1668" s="1" t="s">
        <v>32880</v>
      </c>
      <c r="AG1668" s="1" t="s">
        <v>32881</v>
      </c>
      <c r="AH1668" s="1" t="s">
        <v>132</v>
      </c>
      <c r="AI1668" s="1" t="s">
        <v>132</v>
      </c>
      <c r="AJ1668" s="1" t="s">
        <v>32882</v>
      </c>
      <c r="AK1668" s="1" t="s">
        <v>32883</v>
      </c>
      <c r="AL1668" s="1" t="s">
        <v>132</v>
      </c>
      <c r="AM1668" s="1" t="s">
        <v>32884</v>
      </c>
      <c r="AN1668" s="1" t="s">
        <v>32884</v>
      </c>
    </row>
    <row r="1669" ht="15.75" customHeight="1">
      <c r="A1669" s="1" t="s">
        <v>38</v>
      </c>
      <c r="B1669" s="1" t="s">
        <v>32885</v>
      </c>
      <c r="C1669" s="1" t="s">
        <v>32886</v>
      </c>
      <c r="D1669" s="1" t="s">
        <v>132</v>
      </c>
      <c r="E1669" s="1" t="s">
        <v>132</v>
      </c>
      <c r="F1669" s="1" t="s">
        <v>132</v>
      </c>
      <c r="G1669" s="1" t="s">
        <v>132</v>
      </c>
      <c r="H1669" s="1" t="s">
        <v>132</v>
      </c>
      <c r="I1669" s="1" t="s">
        <v>32886</v>
      </c>
      <c r="J1669" s="1" t="s">
        <v>132</v>
      </c>
      <c r="K1669" s="1" t="s">
        <v>32886</v>
      </c>
      <c r="L1669" s="1" t="s">
        <v>132</v>
      </c>
      <c r="M1669" s="1" t="s">
        <v>32886</v>
      </c>
      <c r="N1669" s="1" t="s">
        <v>132</v>
      </c>
      <c r="O1669" s="1" t="s">
        <v>132</v>
      </c>
      <c r="P1669" s="1" t="s">
        <v>32886</v>
      </c>
      <c r="Q1669" s="1" t="s">
        <v>132</v>
      </c>
      <c r="R1669" s="1" t="s">
        <v>132</v>
      </c>
      <c r="S1669" s="1" t="s">
        <v>132</v>
      </c>
      <c r="T1669" s="1" t="s">
        <v>132</v>
      </c>
      <c r="U1669" s="1" t="s">
        <v>132</v>
      </c>
      <c r="V1669" s="1" t="s">
        <v>132</v>
      </c>
      <c r="W1669" s="1" t="s">
        <v>132</v>
      </c>
      <c r="X1669" s="1" t="s">
        <v>132</v>
      </c>
      <c r="Y1669" s="1" t="s">
        <v>132</v>
      </c>
      <c r="Z1669" s="1" t="s">
        <v>132</v>
      </c>
      <c r="AA1669" s="1" t="s">
        <v>132</v>
      </c>
      <c r="AB1669" s="1" t="s">
        <v>132</v>
      </c>
      <c r="AC1669" s="1" t="s">
        <v>32887</v>
      </c>
      <c r="AD1669" s="1" t="s">
        <v>132</v>
      </c>
      <c r="AE1669" s="1" t="s">
        <v>132</v>
      </c>
      <c r="AF1669" s="1" t="s">
        <v>32888</v>
      </c>
      <c r="AG1669" s="1" t="s">
        <v>132</v>
      </c>
      <c r="AH1669" s="1" t="s">
        <v>132</v>
      </c>
      <c r="AI1669" s="1" t="s">
        <v>132</v>
      </c>
      <c r="AJ1669" s="1" t="s">
        <v>132</v>
      </c>
      <c r="AK1669" s="1" t="s">
        <v>132</v>
      </c>
      <c r="AL1669" s="1" t="s">
        <v>132</v>
      </c>
      <c r="AM1669" s="1" t="s">
        <v>132</v>
      </c>
      <c r="AN1669" s="1" t="s">
        <v>132</v>
      </c>
    </row>
    <row r="1670" ht="15.75" customHeight="1">
      <c r="A1670" s="1" t="s">
        <v>38</v>
      </c>
      <c r="B1670" s="1" t="s">
        <v>32889</v>
      </c>
      <c r="C1670" s="1" t="s">
        <v>32890</v>
      </c>
      <c r="D1670" s="1" t="s">
        <v>132</v>
      </c>
      <c r="E1670" s="1" t="s">
        <v>132</v>
      </c>
      <c r="F1670" s="1" t="s">
        <v>132</v>
      </c>
      <c r="G1670" s="1" t="s">
        <v>132</v>
      </c>
      <c r="H1670" s="1" t="s">
        <v>132</v>
      </c>
      <c r="I1670" s="1" t="s">
        <v>28978</v>
      </c>
      <c r="J1670" s="1" t="s">
        <v>132</v>
      </c>
      <c r="K1670" s="1" t="s">
        <v>32891</v>
      </c>
      <c r="L1670" s="1" t="s">
        <v>132</v>
      </c>
      <c r="M1670" s="1" t="s">
        <v>32892</v>
      </c>
      <c r="N1670" s="1" t="s">
        <v>132</v>
      </c>
      <c r="O1670" s="1" t="s">
        <v>132</v>
      </c>
      <c r="P1670" s="1" t="s">
        <v>32893</v>
      </c>
      <c r="Q1670" s="1" t="s">
        <v>132</v>
      </c>
      <c r="R1670" s="1" t="s">
        <v>132</v>
      </c>
      <c r="S1670" s="1" t="s">
        <v>132</v>
      </c>
      <c r="T1670" s="1" t="s">
        <v>132</v>
      </c>
      <c r="U1670" s="1" t="s">
        <v>132</v>
      </c>
      <c r="V1670" s="1" t="s">
        <v>132</v>
      </c>
      <c r="W1670" s="1" t="s">
        <v>132</v>
      </c>
      <c r="X1670" s="1" t="s">
        <v>132</v>
      </c>
      <c r="Y1670" s="1" t="s">
        <v>132</v>
      </c>
      <c r="Z1670" s="1" t="s">
        <v>132</v>
      </c>
      <c r="AA1670" s="1" t="s">
        <v>132</v>
      </c>
      <c r="AB1670" s="1" t="s">
        <v>132</v>
      </c>
      <c r="AC1670" s="1" t="s">
        <v>32894</v>
      </c>
      <c r="AD1670" s="1" t="s">
        <v>132</v>
      </c>
      <c r="AE1670" s="1" t="s">
        <v>132</v>
      </c>
      <c r="AF1670" s="1" t="s">
        <v>32895</v>
      </c>
      <c r="AG1670" s="1" t="s">
        <v>132</v>
      </c>
      <c r="AH1670" s="1" t="s">
        <v>132</v>
      </c>
      <c r="AI1670" s="1" t="s">
        <v>132</v>
      </c>
      <c r="AJ1670" s="1" t="s">
        <v>132</v>
      </c>
      <c r="AK1670" s="1" t="s">
        <v>132</v>
      </c>
      <c r="AL1670" s="1" t="s">
        <v>132</v>
      </c>
      <c r="AM1670" s="1" t="s">
        <v>132</v>
      </c>
      <c r="AN1670" s="1" t="s">
        <v>132</v>
      </c>
    </row>
    <row r="1671" ht="15.75" customHeight="1">
      <c r="A1671" s="1" t="s">
        <v>38</v>
      </c>
      <c r="B1671" s="1" t="s">
        <v>32897</v>
      </c>
      <c r="C1671" s="1" t="s">
        <v>32898</v>
      </c>
      <c r="D1671" s="1" t="s">
        <v>132</v>
      </c>
      <c r="E1671" s="1" t="s">
        <v>32899</v>
      </c>
      <c r="F1671" s="1" t="s">
        <v>32900</v>
      </c>
      <c r="G1671" s="1" t="s">
        <v>132</v>
      </c>
      <c r="H1671" s="1" t="s">
        <v>132</v>
      </c>
      <c r="I1671" s="1" t="s">
        <v>32901</v>
      </c>
      <c r="J1671" s="1" t="s">
        <v>132</v>
      </c>
      <c r="K1671" s="1" t="s">
        <v>32902</v>
      </c>
      <c r="L1671" s="1" t="s">
        <v>132</v>
      </c>
      <c r="M1671" s="1" t="s">
        <v>32903</v>
      </c>
      <c r="N1671" s="1" t="s">
        <v>32904</v>
      </c>
      <c r="O1671" s="1" t="s">
        <v>132</v>
      </c>
      <c r="P1671" s="1" t="s">
        <v>32905</v>
      </c>
      <c r="Q1671" s="1" t="s">
        <v>132</v>
      </c>
      <c r="R1671" s="1" t="s">
        <v>132</v>
      </c>
      <c r="S1671" s="1" t="s">
        <v>32906</v>
      </c>
      <c r="T1671" s="1" t="s">
        <v>132</v>
      </c>
      <c r="U1671" s="1" t="s">
        <v>32907</v>
      </c>
      <c r="V1671" s="1" t="s">
        <v>32908</v>
      </c>
      <c r="W1671" s="1" t="s">
        <v>132</v>
      </c>
      <c r="X1671" s="1" t="s">
        <v>32909</v>
      </c>
      <c r="Y1671" s="1" t="s">
        <v>132</v>
      </c>
      <c r="Z1671" s="1" t="s">
        <v>32910</v>
      </c>
      <c r="AA1671" s="1" t="s">
        <v>32911</v>
      </c>
      <c r="AB1671" s="1" t="s">
        <v>132</v>
      </c>
      <c r="AC1671" s="1" t="s">
        <v>32912</v>
      </c>
      <c r="AD1671" s="1" t="s">
        <v>132</v>
      </c>
      <c r="AE1671" s="1" t="s">
        <v>132</v>
      </c>
      <c r="AF1671" s="1" t="s">
        <v>32913</v>
      </c>
      <c r="AG1671" s="1" t="s">
        <v>32914</v>
      </c>
      <c r="AH1671" s="1" t="s">
        <v>132</v>
      </c>
      <c r="AI1671" s="1" t="s">
        <v>132</v>
      </c>
      <c r="AJ1671" s="1" t="s">
        <v>32915</v>
      </c>
      <c r="AK1671" s="1" t="s">
        <v>132</v>
      </c>
      <c r="AL1671" s="1" t="s">
        <v>132</v>
      </c>
      <c r="AM1671" s="1" t="s">
        <v>32916</v>
      </c>
      <c r="AN1671" s="1" t="s">
        <v>32916</v>
      </c>
    </row>
    <row r="1672" ht="15.75" customHeight="1">
      <c r="A1672" s="1" t="s">
        <v>127</v>
      </c>
      <c r="B1672" s="1" t="s">
        <v>32917</v>
      </c>
      <c r="C1672" s="1" t="s">
        <v>32918</v>
      </c>
      <c r="D1672" s="8" t="s">
        <v>32919</v>
      </c>
      <c r="E1672" s="1" t="s">
        <v>32920</v>
      </c>
      <c r="F1672" s="1" t="s">
        <v>132</v>
      </c>
      <c r="G1672" s="1" t="s">
        <v>32921</v>
      </c>
      <c r="H1672" s="1" t="s">
        <v>32922</v>
      </c>
      <c r="I1672" s="1" t="s">
        <v>32923</v>
      </c>
      <c r="J1672" s="1" t="s">
        <v>32924</v>
      </c>
      <c r="K1672" s="1" t="s">
        <v>32925</v>
      </c>
      <c r="L1672" s="1" t="s">
        <v>32926</v>
      </c>
      <c r="M1672" s="1" t="s">
        <v>32927</v>
      </c>
      <c r="N1672" s="1" t="s">
        <v>132</v>
      </c>
      <c r="O1672" s="1" t="s">
        <v>32928</v>
      </c>
      <c r="P1672" s="1" t="s">
        <v>32929</v>
      </c>
      <c r="Q1672" s="1" t="s">
        <v>132</v>
      </c>
      <c r="R1672" s="1" t="s">
        <v>32930</v>
      </c>
      <c r="S1672" s="1" t="s">
        <v>32931</v>
      </c>
      <c r="T1672" s="8" t="s">
        <v>32932</v>
      </c>
      <c r="U1672" s="1" t="s">
        <v>32933</v>
      </c>
      <c r="V1672" s="1" t="s">
        <v>32934</v>
      </c>
      <c r="W1672" s="1" t="s">
        <v>32935</v>
      </c>
      <c r="X1672" s="1" t="s">
        <v>32936</v>
      </c>
      <c r="Y1672" s="1" t="s">
        <v>32937</v>
      </c>
      <c r="Z1672" s="1" t="s">
        <v>32938</v>
      </c>
      <c r="AA1672" s="1" t="s">
        <v>32925</v>
      </c>
      <c r="AB1672" s="1" t="s">
        <v>32939</v>
      </c>
      <c r="AC1672" s="1" t="s">
        <v>32940</v>
      </c>
      <c r="AD1672" s="1" t="s">
        <v>32941</v>
      </c>
      <c r="AE1672" s="1" t="s">
        <v>32942</v>
      </c>
      <c r="AF1672" s="1" t="s">
        <v>32943</v>
      </c>
      <c r="AG1672" s="1" t="s">
        <v>32944</v>
      </c>
      <c r="AH1672" s="1" t="s">
        <v>32945</v>
      </c>
      <c r="AI1672" s="1" t="s">
        <v>32946</v>
      </c>
      <c r="AJ1672" s="1" t="s">
        <v>132</v>
      </c>
      <c r="AK1672" s="1" t="s">
        <v>32947</v>
      </c>
      <c r="AL1672" s="1" t="s">
        <v>32948</v>
      </c>
      <c r="AM1672" s="1" t="s">
        <v>32949</v>
      </c>
      <c r="AN1672" s="1" t="s">
        <v>32949</v>
      </c>
    </row>
    <row r="1673" ht="15.75" customHeight="1">
      <c r="A1673" s="1" t="s">
        <v>38</v>
      </c>
      <c r="B1673" s="1" t="s">
        <v>32950</v>
      </c>
      <c r="C1673" s="1" t="s">
        <v>32951</v>
      </c>
      <c r="D1673" s="1" t="s">
        <v>132</v>
      </c>
      <c r="E1673" s="1" t="s">
        <v>32952</v>
      </c>
      <c r="F1673" s="1" t="s">
        <v>132</v>
      </c>
      <c r="G1673" s="1" t="s">
        <v>132</v>
      </c>
      <c r="H1673" s="1" t="s">
        <v>132</v>
      </c>
      <c r="I1673" s="1" t="s">
        <v>32953</v>
      </c>
      <c r="J1673" s="1" t="s">
        <v>132</v>
      </c>
      <c r="K1673" s="1" t="s">
        <v>32954</v>
      </c>
      <c r="L1673" s="1" t="s">
        <v>132</v>
      </c>
      <c r="M1673" s="1" t="s">
        <v>32955</v>
      </c>
      <c r="N1673" s="1" t="s">
        <v>32956</v>
      </c>
      <c r="O1673" s="1" t="s">
        <v>132</v>
      </c>
      <c r="P1673" s="1" t="s">
        <v>32957</v>
      </c>
      <c r="Q1673" s="1" t="s">
        <v>132</v>
      </c>
      <c r="R1673" s="1" t="s">
        <v>132</v>
      </c>
      <c r="S1673" s="1" t="s">
        <v>32958</v>
      </c>
      <c r="T1673" s="1" t="s">
        <v>132</v>
      </c>
      <c r="U1673" s="1" t="s">
        <v>132</v>
      </c>
      <c r="V1673" s="1" t="s">
        <v>132</v>
      </c>
      <c r="W1673" s="1" t="s">
        <v>132</v>
      </c>
      <c r="X1673" s="1" t="s">
        <v>32959</v>
      </c>
      <c r="Y1673" s="1" t="s">
        <v>132</v>
      </c>
      <c r="Z1673" s="1" t="s">
        <v>32960</v>
      </c>
      <c r="AA1673" s="1" t="s">
        <v>132</v>
      </c>
      <c r="AB1673" s="1" t="s">
        <v>132</v>
      </c>
      <c r="AC1673" s="1" t="s">
        <v>132</v>
      </c>
      <c r="AD1673" s="1" t="s">
        <v>132</v>
      </c>
      <c r="AE1673" s="1" t="s">
        <v>132</v>
      </c>
      <c r="AF1673" s="1" t="s">
        <v>132</v>
      </c>
      <c r="AG1673" s="1" t="s">
        <v>132</v>
      </c>
      <c r="AH1673" s="1" t="s">
        <v>132</v>
      </c>
      <c r="AI1673" s="1" t="s">
        <v>132</v>
      </c>
      <c r="AJ1673" s="1" t="s">
        <v>132</v>
      </c>
      <c r="AK1673" s="1" t="s">
        <v>132</v>
      </c>
      <c r="AL1673" s="1" t="s">
        <v>132</v>
      </c>
      <c r="AM1673" s="1" t="s">
        <v>132</v>
      </c>
      <c r="AN1673" s="1" t="s">
        <v>132</v>
      </c>
    </row>
    <row r="1674" ht="15.75" customHeight="1">
      <c r="A1674" s="1" t="s">
        <v>38</v>
      </c>
      <c r="B1674" s="1" t="s">
        <v>32961</v>
      </c>
      <c r="C1674" s="1" t="s">
        <v>32962</v>
      </c>
      <c r="D1674" s="1" t="s">
        <v>132</v>
      </c>
      <c r="E1674" s="1" t="s">
        <v>132</v>
      </c>
      <c r="F1674" s="1" t="s">
        <v>132</v>
      </c>
      <c r="G1674" s="1" t="s">
        <v>132</v>
      </c>
      <c r="H1674" s="1" t="s">
        <v>132</v>
      </c>
      <c r="I1674" s="1" t="s">
        <v>32963</v>
      </c>
      <c r="J1674" s="1" t="s">
        <v>132</v>
      </c>
      <c r="K1674" s="1" t="s">
        <v>32964</v>
      </c>
      <c r="L1674" s="1" t="s">
        <v>132</v>
      </c>
      <c r="M1674" s="1" t="s">
        <v>32965</v>
      </c>
      <c r="N1674" s="1" t="s">
        <v>132</v>
      </c>
      <c r="O1674" s="1" t="s">
        <v>132</v>
      </c>
      <c r="P1674" s="1" t="s">
        <v>32966</v>
      </c>
      <c r="Q1674" s="1" t="s">
        <v>132</v>
      </c>
      <c r="R1674" s="1" t="s">
        <v>132</v>
      </c>
      <c r="S1674" s="1" t="s">
        <v>132</v>
      </c>
      <c r="T1674" s="1" t="s">
        <v>132</v>
      </c>
      <c r="U1674" s="1" t="s">
        <v>132</v>
      </c>
      <c r="V1674" s="1" t="s">
        <v>132</v>
      </c>
      <c r="W1674" s="1" t="s">
        <v>132</v>
      </c>
      <c r="X1674" s="1" t="s">
        <v>132</v>
      </c>
      <c r="Y1674" s="1" t="s">
        <v>132</v>
      </c>
      <c r="Z1674" s="1" t="s">
        <v>132</v>
      </c>
      <c r="AA1674" s="1" t="s">
        <v>132</v>
      </c>
      <c r="AB1674" s="1" t="s">
        <v>132</v>
      </c>
      <c r="AC1674" s="1" t="s">
        <v>32967</v>
      </c>
      <c r="AD1674" s="1" t="s">
        <v>132</v>
      </c>
      <c r="AE1674" s="1" t="s">
        <v>132</v>
      </c>
      <c r="AF1674" s="1" t="s">
        <v>32968</v>
      </c>
      <c r="AG1674" s="1" t="s">
        <v>132</v>
      </c>
      <c r="AH1674" s="1" t="s">
        <v>132</v>
      </c>
      <c r="AI1674" s="1" t="s">
        <v>132</v>
      </c>
      <c r="AJ1674" s="1" t="s">
        <v>132</v>
      </c>
      <c r="AK1674" s="1" t="s">
        <v>132</v>
      </c>
      <c r="AL1674" s="1" t="s">
        <v>132</v>
      </c>
      <c r="AM1674" s="1" t="s">
        <v>132</v>
      </c>
      <c r="AN1674" s="1" t="s">
        <v>132</v>
      </c>
    </row>
    <row r="1675" ht="15.75" customHeight="1">
      <c r="A1675" s="1" t="s">
        <v>38</v>
      </c>
      <c r="B1675" s="1" t="s">
        <v>32969</v>
      </c>
      <c r="C1675" s="1" t="s">
        <v>20315</v>
      </c>
      <c r="D1675" s="8" t="s">
        <v>32970</v>
      </c>
      <c r="E1675" s="1" t="s">
        <v>20316</v>
      </c>
      <c r="F1675" s="1" t="s">
        <v>20317</v>
      </c>
      <c r="G1675" s="1" t="s">
        <v>132</v>
      </c>
      <c r="H1675" s="1" t="s">
        <v>132</v>
      </c>
      <c r="I1675" s="1" t="s">
        <v>20318</v>
      </c>
      <c r="J1675" s="1" t="s">
        <v>132</v>
      </c>
      <c r="K1675" s="1" t="s">
        <v>20319</v>
      </c>
      <c r="L1675" s="1" t="s">
        <v>132</v>
      </c>
      <c r="M1675" s="1" t="s">
        <v>20315</v>
      </c>
      <c r="N1675" s="1" t="s">
        <v>20319</v>
      </c>
      <c r="O1675" s="1" t="s">
        <v>132</v>
      </c>
      <c r="P1675" s="1" t="s">
        <v>32971</v>
      </c>
      <c r="Q1675" s="1" t="s">
        <v>7197</v>
      </c>
      <c r="R1675" s="1" t="s">
        <v>132</v>
      </c>
      <c r="S1675" s="1" t="s">
        <v>20320</v>
      </c>
      <c r="T1675" s="1" t="s">
        <v>132</v>
      </c>
      <c r="U1675" s="1" t="s">
        <v>7199</v>
      </c>
      <c r="V1675" s="1" t="s">
        <v>7200</v>
      </c>
      <c r="W1675" s="1" t="s">
        <v>132</v>
      </c>
      <c r="X1675" s="1" t="s">
        <v>20315</v>
      </c>
      <c r="Y1675" s="1" t="s">
        <v>132</v>
      </c>
      <c r="Z1675" s="1" t="s">
        <v>20318</v>
      </c>
      <c r="AA1675" s="1" t="s">
        <v>20319</v>
      </c>
      <c r="AB1675" s="1" t="s">
        <v>132</v>
      </c>
      <c r="AC1675" s="1" t="s">
        <v>20316</v>
      </c>
      <c r="AD1675" s="1" t="s">
        <v>20318</v>
      </c>
      <c r="AE1675" s="1" t="s">
        <v>132</v>
      </c>
      <c r="AF1675" s="1" t="s">
        <v>20316</v>
      </c>
      <c r="AG1675" s="1" t="s">
        <v>20318</v>
      </c>
      <c r="AH1675" s="1" t="s">
        <v>132</v>
      </c>
      <c r="AI1675" s="1" t="s">
        <v>132</v>
      </c>
      <c r="AJ1675" s="1" t="s">
        <v>20316</v>
      </c>
      <c r="AK1675" s="1" t="s">
        <v>32972</v>
      </c>
      <c r="AL1675" s="1" t="s">
        <v>132</v>
      </c>
      <c r="AM1675" s="1" t="s">
        <v>7206</v>
      </c>
      <c r="AN1675" s="1" t="s">
        <v>7206</v>
      </c>
    </row>
    <row r="1676" ht="15.75" customHeight="1">
      <c r="A1676" s="1" t="s">
        <v>38</v>
      </c>
      <c r="B1676" s="1" t="s">
        <v>32973</v>
      </c>
      <c r="C1676" s="1" t="s">
        <v>32974</v>
      </c>
      <c r="D1676" s="8" t="s">
        <v>32975</v>
      </c>
      <c r="E1676" s="1" t="s">
        <v>32976</v>
      </c>
      <c r="F1676" s="1" t="s">
        <v>32977</v>
      </c>
      <c r="G1676" s="1" t="s">
        <v>132</v>
      </c>
      <c r="H1676" s="1" t="s">
        <v>132</v>
      </c>
      <c r="I1676" s="1" t="s">
        <v>32978</v>
      </c>
      <c r="J1676" s="1" t="s">
        <v>132</v>
      </c>
      <c r="K1676" s="1" t="s">
        <v>32979</v>
      </c>
      <c r="L1676" s="1" t="s">
        <v>132</v>
      </c>
      <c r="M1676" s="1" t="s">
        <v>32980</v>
      </c>
      <c r="N1676" s="1" t="s">
        <v>32981</v>
      </c>
      <c r="O1676" s="1" t="s">
        <v>132</v>
      </c>
      <c r="P1676" s="1" t="s">
        <v>32982</v>
      </c>
      <c r="Q1676" s="1" t="s">
        <v>32983</v>
      </c>
      <c r="R1676" s="1" t="s">
        <v>132</v>
      </c>
      <c r="S1676" s="1" t="s">
        <v>32984</v>
      </c>
      <c r="T1676" s="1" t="s">
        <v>132</v>
      </c>
      <c r="U1676" s="1" t="s">
        <v>32985</v>
      </c>
      <c r="V1676" s="1" t="s">
        <v>32986</v>
      </c>
      <c r="W1676" s="1" t="s">
        <v>132</v>
      </c>
      <c r="X1676" s="1" t="s">
        <v>32987</v>
      </c>
      <c r="Y1676" s="1" t="s">
        <v>132</v>
      </c>
      <c r="Z1676" s="1" t="s">
        <v>32988</v>
      </c>
      <c r="AA1676" s="1" t="s">
        <v>32989</v>
      </c>
      <c r="AB1676" s="1" t="s">
        <v>132</v>
      </c>
      <c r="AC1676" s="1" t="s">
        <v>32990</v>
      </c>
      <c r="AD1676" s="1" t="s">
        <v>32991</v>
      </c>
      <c r="AE1676" s="1" t="s">
        <v>132</v>
      </c>
      <c r="AF1676" s="1" t="s">
        <v>32992</v>
      </c>
      <c r="AG1676" s="1" t="s">
        <v>32993</v>
      </c>
      <c r="AH1676" s="1" t="s">
        <v>132</v>
      </c>
      <c r="AI1676" s="1" t="s">
        <v>132</v>
      </c>
      <c r="AJ1676" s="1" t="s">
        <v>32994</v>
      </c>
      <c r="AK1676" s="1" t="s">
        <v>32995</v>
      </c>
      <c r="AL1676" s="1" t="s">
        <v>132</v>
      </c>
      <c r="AM1676" s="1" t="s">
        <v>32996</v>
      </c>
      <c r="AN1676" s="1" t="s">
        <v>32996</v>
      </c>
    </row>
    <row r="1677" ht="15.75" customHeight="1">
      <c r="A1677" s="1" t="s">
        <v>127</v>
      </c>
      <c r="B1677" s="1" t="s">
        <v>32997</v>
      </c>
      <c r="C1677" s="1" t="s">
        <v>32998</v>
      </c>
      <c r="D1677" s="8" t="s">
        <v>32999</v>
      </c>
      <c r="E1677" s="1" t="s">
        <v>33000</v>
      </c>
      <c r="F1677" s="1" t="s">
        <v>132</v>
      </c>
      <c r="G1677" s="1" t="s">
        <v>33001</v>
      </c>
      <c r="H1677" s="1" t="s">
        <v>33002</v>
      </c>
      <c r="I1677" s="1" t="s">
        <v>33003</v>
      </c>
      <c r="J1677" s="1" t="s">
        <v>33004</v>
      </c>
      <c r="K1677" s="13" t="s">
        <v>33005</v>
      </c>
      <c r="L1677" s="1" t="s">
        <v>33006</v>
      </c>
      <c r="M1677" s="1" t="s">
        <v>43304</v>
      </c>
      <c r="N1677" s="1" t="s">
        <v>132</v>
      </c>
      <c r="O1677" s="1" t="s">
        <v>33008</v>
      </c>
      <c r="P1677" s="1" t="s">
        <v>33009</v>
      </c>
      <c r="Q1677" s="1" t="s">
        <v>132</v>
      </c>
      <c r="R1677" s="1" t="s">
        <v>33010</v>
      </c>
      <c r="S1677" s="1" t="s">
        <v>43305</v>
      </c>
      <c r="T1677" s="8" t="s">
        <v>33012</v>
      </c>
      <c r="U1677" s="1" t="s">
        <v>33013</v>
      </c>
      <c r="V1677" s="1" t="s">
        <v>33014</v>
      </c>
      <c r="W1677" s="1" t="s">
        <v>33015</v>
      </c>
      <c r="X1677" s="13" t="s">
        <v>43306</v>
      </c>
      <c r="Y1677" s="1" t="s">
        <v>33017</v>
      </c>
      <c r="Z1677" s="11" t="s">
        <v>43307</v>
      </c>
      <c r="AA1677" s="1" t="s">
        <v>33019</v>
      </c>
      <c r="AB1677" s="1" t="s">
        <v>33020</v>
      </c>
      <c r="AC1677" s="13" t="s">
        <v>33021</v>
      </c>
      <c r="AD1677" s="1" t="s">
        <v>33022</v>
      </c>
      <c r="AE1677" s="1" t="s">
        <v>33023</v>
      </c>
      <c r="AF1677" s="1" t="s">
        <v>132</v>
      </c>
      <c r="AG1677" s="1" t="s">
        <v>33024</v>
      </c>
      <c r="AH1677" s="1" t="s">
        <v>33025</v>
      </c>
      <c r="AI1677" s="1" t="s">
        <v>33026</v>
      </c>
      <c r="AJ1677" s="1" t="s">
        <v>132</v>
      </c>
      <c r="AK1677" s="1" t="s">
        <v>33027</v>
      </c>
      <c r="AL1677" s="22" t="s">
        <v>33028</v>
      </c>
      <c r="AM1677" s="1" t="s">
        <v>132</v>
      </c>
      <c r="AN1677" s="1" t="s">
        <v>132</v>
      </c>
    </row>
    <row r="1678" ht="15.75" customHeight="1">
      <c r="A1678" s="1" t="s">
        <v>38</v>
      </c>
      <c r="B1678" s="1" t="s">
        <v>33029</v>
      </c>
      <c r="C1678" s="1" t="s">
        <v>33030</v>
      </c>
      <c r="D1678" s="1" t="s">
        <v>132</v>
      </c>
      <c r="E1678" s="1" t="s">
        <v>132</v>
      </c>
      <c r="F1678" s="1" t="s">
        <v>132</v>
      </c>
      <c r="G1678" s="1" t="s">
        <v>132</v>
      </c>
      <c r="H1678" s="1" t="s">
        <v>132</v>
      </c>
      <c r="I1678" s="1" t="s">
        <v>33030</v>
      </c>
      <c r="J1678" s="1" t="s">
        <v>132</v>
      </c>
      <c r="K1678" s="1" t="s">
        <v>33030</v>
      </c>
      <c r="L1678" s="1" t="s">
        <v>132</v>
      </c>
      <c r="M1678" s="1" t="s">
        <v>33031</v>
      </c>
      <c r="N1678" s="1" t="s">
        <v>132</v>
      </c>
      <c r="O1678" s="1" t="s">
        <v>132</v>
      </c>
      <c r="P1678" s="1" t="s">
        <v>33030</v>
      </c>
      <c r="Q1678" s="1" t="s">
        <v>132</v>
      </c>
      <c r="R1678" s="1" t="s">
        <v>132</v>
      </c>
      <c r="S1678" s="1" t="s">
        <v>132</v>
      </c>
      <c r="T1678" s="1" t="s">
        <v>132</v>
      </c>
      <c r="U1678" s="1" t="s">
        <v>132</v>
      </c>
      <c r="V1678" s="1" t="s">
        <v>132</v>
      </c>
      <c r="W1678" s="1" t="s">
        <v>132</v>
      </c>
      <c r="X1678" s="1" t="s">
        <v>132</v>
      </c>
      <c r="Y1678" s="1" t="s">
        <v>132</v>
      </c>
      <c r="Z1678" s="1" t="s">
        <v>132</v>
      </c>
      <c r="AA1678" s="1" t="s">
        <v>132</v>
      </c>
      <c r="AB1678" s="1" t="s">
        <v>132</v>
      </c>
      <c r="AC1678" s="1" t="s">
        <v>33032</v>
      </c>
      <c r="AD1678" s="1" t="s">
        <v>132</v>
      </c>
      <c r="AE1678" s="1" t="s">
        <v>132</v>
      </c>
      <c r="AF1678" s="1" t="s">
        <v>33030</v>
      </c>
      <c r="AG1678" s="1" t="s">
        <v>132</v>
      </c>
      <c r="AH1678" s="1" t="s">
        <v>132</v>
      </c>
      <c r="AI1678" s="1" t="s">
        <v>132</v>
      </c>
      <c r="AJ1678" s="1" t="s">
        <v>132</v>
      </c>
      <c r="AK1678" s="1" t="s">
        <v>132</v>
      </c>
      <c r="AL1678" s="1" t="s">
        <v>132</v>
      </c>
      <c r="AM1678" s="1" t="s">
        <v>132</v>
      </c>
      <c r="AN1678" s="1" t="s">
        <v>132</v>
      </c>
    </row>
    <row r="1679" ht="15.75" customHeight="1">
      <c r="A1679" s="1" t="s">
        <v>38</v>
      </c>
      <c r="B1679" s="1" t="s">
        <v>33033</v>
      </c>
      <c r="C1679" s="1" t="s">
        <v>33034</v>
      </c>
      <c r="D1679" s="8" t="s">
        <v>33035</v>
      </c>
      <c r="E1679" s="1" t="s">
        <v>33036</v>
      </c>
      <c r="F1679" s="1" t="s">
        <v>33037</v>
      </c>
      <c r="G1679" s="1" t="s">
        <v>132</v>
      </c>
      <c r="H1679" s="1" t="s">
        <v>132</v>
      </c>
      <c r="I1679" s="1" t="s">
        <v>33034</v>
      </c>
      <c r="J1679" s="1" t="s">
        <v>132</v>
      </c>
      <c r="K1679" s="1" t="s">
        <v>33034</v>
      </c>
      <c r="L1679" s="1" t="s">
        <v>132</v>
      </c>
      <c r="M1679" s="1" t="s">
        <v>33038</v>
      </c>
      <c r="N1679" s="1" t="s">
        <v>33039</v>
      </c>
      <c r="O1679" s="1" t="s">
        <v>132</v>
      </c>
      <c r="P1679" s="1" t="s">
        <v>33040</v>
      </c>
      <c r="Q1679" s="1" t="s">
        <v>33034</v>
      </c>
      <c r="R1679" s="1" t="s">
        <v>132</v>
      </c>
      <c r="S1679" s="1" t="s">
        <v>33041</v>
      </c>
      <c r="T1679" s="1" t="s">
        <v>132</v>
      </c>
      <c r="U1679" s="1" t="s">
        <v>33042</v>
      </c>
      <c r="V1679" s="1" t="s">
        <v>33043</v>
      </c>
      <c r="W1679" s="1" t="s">
        <v>132</v>
      </c>
      <c r="X1679" s="1" t="s">
        <v>33044</v>
      </c>
      <c r="Y1679" s="1" t="s">
        <v>132</v>
      </c>
      <c r="Z1679" s="1" t="s">
        <v>33045</v>
      </c>
      <c r="AA1679" s="1" t="s">
        <v>33034</v>
      </c>
      <c r="AB1679" s="1" t="s">
        <v>132</v>
      </c>
      <c r="AC1679" s="1" t="s">
        <v>33046</v>
      </c>
      <c r="AD1679" s="1" t="s">
        <v>132</v>
      </c>
      <c r="AE1679" s="1" t="s">
        <v>132</v>
      </c>
      <c r="AF1679" s="1" t="s">
        <v>33047</v>
      </c>
      <c r="AG1679" s="1" t="s">
        <v>33048</v>
      </c>
      <c r="AH1679" s="1" t="s">
        <v>132</v>
      </c>
      <c r="AI1679" s="1" t="s">
        <v>132</v>
      </c>
      <c r="AJ1679" s="1" t="s">
        <v>33049</v>
      </c>
      <c r="AK1679" s="1" t="s">
        <v>33050</v>
      </c>
      <c r="AL1679" s="1" t="s">
        <v>132</v>
      </c>
      <c r="AM1679" s="1" t="s">
        <v>33051</v>
      </c>
      <c r="AN1679" s="1" t="s">
        <v>33051</v>
      </c>
    </row>
    <row r="1680" ht="15.75" customHeight="1">
      <c r="A1680" s="1" t="s">
        <v>127</v>
      </c>
      <c r="B1680" s="1" t="s">
        <v>33052</v>
      </c>
      <c r="C1680" s="1" t="s">
        <v>33053</v>
      </c>
      <c r="D1680" s="8" t="s">
        <v>33054</v>
      </c>
      <c r="E1680" s="1" t="s">
        <v>33055</v>
      </c>
      <c r="F1680" s="1" t="s">
        <v>132</v>
      </c>
      <c r="G1680" s="1" t="s">
        <v>33056</v>
      </c>
      <c r="H1680" s="1" t="s">
        <v>33057</v>
      </c>
      <c r="I1680" s="1" t="s">
        <v>33058</v>
      </c>
      <c r="J1680" s="1" t="s">
        <v>33059</v>
      </c>
      <c r="K1680" s="1" t="s">
        <v>33060</v>
      </c>
      <c r="L1680" s="1" t="s">
        <v>33061</v>
      </c>
      <c r="M1680" s="1" t="s">
        <v>33062</v>
      </c>
      <c r="N1680" s="1" t="s">
        <v>132</v>
      </c>
      <c r="O1680" s="1" t="s">
        <v>33063</v>
      </c>
      <c r="P1680" s="1" t="s">
        <v>33053</v>
      </c>
      <c r="Q1680" s="1" t="s">
        <v>132</v>
      </c>
      <c r="R1680" s="1" t="s">
        <v>33064</v>
      </c>
      <c r="S1680" s="1" t="s">
        <v>33065</v>
      </c>
      <c r="T1680" s="8" t="s">
        <v>33066</v>
      </c>
      <c r="U1680" s="1" t="s">
        <v>33067</v>
      </c>
      <c r="V1680" s="1" t="s">
        <v>33068</v>
      </c>
      <c r="W1680" s="1" t="s">
        <v>33064</v>
      </c>
      <c r="X1680" s="1" t="s">
        <v>33053</v>
      </c>
      <c r="Y1680" s="1" t="s">
        <v>33069</v>
      </c>
      <c r="Z1680" s="1" t="s">
        <v>22179</v>
      </c>
      <c r="AA1680" s="1" t="s">
        <v>33070</v>
      </c>
      <c r="AB1680" s="1" t="s">
        <v>33071</v>
      </c>
      <c r="AC1680" s="1" t="s">
        <v>33072</v>
      </c>
      <c r="AD1680" s="1" t="s">
        <v>33056</v>
      </c>
      <c r="AE1680" s="1" t="s">
        <v>33073</v>
      </c>
      <c r="AF1680" s="1" t="s">
        <v>33074</v>
      </c>
      <c r="AG1680" s="1" t="s">
        <v>33075</v>
      </c>
      <c r="AH1680" s="1" t="s">
        <v>33076</v>
      </c>
      <c r="AI1680" s="1" t="s">
        <v>33077</v>
      </c>
      <c r="AJ1680" s="1" t="s">
        <v>132</v>
      </c>
      <c r="AK1680" s="1" t="s">
        <v>33078</v>
      </c>
      <c r="AL1680" s="1" t="s">
        <v>33079</v>
      </c>
      <c r="AM1680" s="1" t="s">
        <v>132</v>
      </c>
      <c r="AN1680" s="1" t="s">
        <v>132</v>
      </c>
    </row>
    <row r="1681" ht="15.75" customHeight="1">
      <c r="A1681" s="1" t="s">
        <v>127</v>
      </c>
      <c r="B1681" s="1" t="s">
        <v>33080</v>
      </c>
      <c r="C1681" s="1" t="s">
        <v>33081</v>
      </c>
      <c r="D1681" s="8" t="s">
        <v>1089</v>
      </c>
      <c r="E1681" s="1" t="s">
        <v>33081</v>
      </c>
      <c r="F1681" s="1" t="s">
        <v>132</v>
      </c>
      <c r="G1681" s="1" t="s">
        <v>33081</v>
      </c>
      <c r="H1681" s="1" t="s">
        <v>33081</v>
      </c>
      <c r="I1681" s="1" t="s">
        <v>33082</v>
      </c>
      <c r="J1681" s="1" t="s">
        <v>33081</v>
      </c>
      <c r="K1681" s="1" t="s">
        <v>33081</v>
      </c>
      <c r="L1681" s="1" t="s">
        <v>21934</v>
      </c>
      <c r="M1681" s="1" t="s">
        <v>33083</v>
      </c>
      <c r="N1681" s="1" t="s">
        <v>132</v>
      </c>
      <c r="O1681" s="1" t="s">
        <v>33084</v>
      </c>
      <c r="P1681" s="1" t="s">
        <v>33085</v>
      </c>
      <c r="Q1681" s="1" t="s">
        <v>132</v>
      </c>
      <c r="R1681" s="1" t="s">
        <v>33081</v>
      </c>
      <c r="S1681" s="1" t="s">
        <v>33081</v>
      </c>
      <c r="T1681" s="1" t="s">
        <v>33081</v>
      </c>
      <c r="U1681" s="1" t="s">
        <v>3404</v>
      </c>
      <c r="V1681" s="1" t="s">
        <v>3405</v>
      </c>
      <c r="W1681" s="1" t="s">
        <v>33081</v>
      </c>
      <c r="X1681" s="1" t="s">
        <v>33086</v>
      </c>
      <c r="Y1681" s="1" t="s">
        <v>33081</v>
      </c>
      <c r="Z1681" s="1" t="s">
        <v>33081</v>
      </c>
      <c r="AA1681" s="1" t="s">
        <v>33081</v>
      </c>
      <c r="AB1681" s="1" t="s">
        <v>33087</v>
      </c>
      <c r="AC1681" s="1" t="s">
        <v>33088</v>
      </c>
      <c r="AD1681" s="1" t="s">
        <v>33081</v>
      </c>
      <c r="AE1681" s="1" t="s">
        <v>33081</v>
      </c>
      <c r="AF1681" s="1" t="s">
        <v>33081</v>
      </c>
      <c r="AG1681" s="1" t="s">
        <v>33081</v>
      </c>
      <c r="AH1681" s="1" t="s">
        <v>33081</v>
      </c>
      <c r="AI1681" s="1" t="s">
        <v>33089</v>
      </c>
      <c r="AJ1681" s="1" t="s">
        <v>132</v>
      </c>
      <c r="AK1681" s="1" t="s">
        <v>33090</v>
      </c>
      <c r="AL1681" s="1" t="s">
        <v>3417</v>
      </c>
      <c r="AM1681" s="1" t="s">
        <v>132</v>
      </c>
      <c r="AN1681" s="1" t="s">
        <v>132</v>
      </c>
    </row>
    <row r="1682" ht="15.75" customHeight="1">
      <c r="A1682" s="1" t="s">
        <v>38</v>
      </c>
      <c r="B1682" s="1" t="s">
        <v>33091</v>
      </c>
      <c r="C1682" s="1" t="s">
        <v>33092</v>
      </c>
      <c r="D1682" s="1" t="s">
        <v>132</v>
      </c>
      <c r="E1682" s="1" t="s">
        <v>132</v>
      </c>
      <c r="F1682" s="1" t="s">
        <v>132</v>
      </c>
      <c r="G1682" s="1" t="s">
        <v>132</v>
      </c>
      <c r="H1682" s="1" t="s">
        <v>132</v>
      </c>
      <c r="I1682" s="1" t="s">
        <v>33093</v>
      </c>
      <c r="J1682" s="1" t="s">
        <v>132</v>
      </c>
      <c r="K1682" s="1" t="s">
        <v>33094</v>
      </c>
      <c r="L1682" s="1" t="s">
        <v>132</v>
      </c>
      <c r="M1682" s="1" t="s">
        <v>33095</v>
      </c>
      <c r="N1682" s="1" t="s">
        <v>132</v>
      </c>
      <c r="O1682" s="1" t="s">
        <v>132</v>
      </c>
      <c r="P1682" s="1" t="s">
        <v>33096</v>
      </c>
      <c r="Q1682" s="1" t="s">
        <v>132</v>
      </c>
      <c r="R1682" s="1" t="s">
        <v>132</v>
      </c>
      <c r="S1682" s="1" t="s">
        <v>132</v>
      </c>
      <c r="T1682" s="1" t="s">
        <v>132</v>
      </c>
      <c r="U1682" s="1" t="s">
        <v>132</v>
      </c>
      <c r="V1682" s="1" t="s">
        <v>132</v>
      </c>
      <c r="W1682" s="1" t="s">
        <v>132</v>
      </c>
      <c r="X1682" s="1" t="s">
        <v>132</v>
      </c>
      <c r="Y1682" s="1" t="s">
        <v>132</v>
      </c>
      <c r="Z1682" s="1" t="s">
        <v>132</v>
      </c>
      <c r="AA1682" s="1" t="s">
        <v>132</v>
      </c>
      <c r="AB1682" s="1" t="s">
        <v>132</v>
      </c>
      <c r="AC1682" s="1" t="s">
        <v>33097</v>
      </c>
      <c r="AD1682" s="1" t="s">
        <v>132</v>
      </c>
      <c r="AE1682" s="1" t="s">
        <v>132</v>
      </c>
      <c r="AF1682" s="1" t="s">
        <v>33098</v>
      </c>
      <c r="AG1682" s="1" t="s">
        <v>132</v>
      </c>
      <c r="AH1682" s="1" t="s">
        <v>132</v>
      </c>
      <c r="AI1682" s="1" t="s">
        <v>132</v>
      </c>
      <c r="AJ1682" s="1" t="s">
        <v>132</v>
      </c>
      <c r="AK1682" s="1" t="s">
        <v>132</v>
      </c>
      <c r="AL1682" s="1" t="s">
        <v>132</v>
      </c>
      <c r="AM1682" s="1" t="s">
        <v>132</v>
      </c>
      <c r="AN1682" s="1" t="s">
        <v>132</v>
      </c>
    </row>
    <row r="1683" ht="15.75" customHeight="1">
      <c r="A1683" s="1" t="s">
        <v>38</v>
      </c>
      <c r="B1683" s="1" t="s">
        <v>33099</v>
      </c>
      <c r="C1683" s="1" t="s">
        <v>33100</v>
      </c>
      <c r="D1683" s="1" t="s">
        <v>132</v>
      </c>
      <c r="E1683" s="1" t="s">
        <v>132</v>
      </c>
      <c r="F1683" s="1" t="s">
        <v>132</v>
      </c>
      <c r="G1683" s="1" t="s">
        <v>132</v>
      </c>
      <c r="H1683" s="1" t="s">
        <v>132</v>
      </c>
      <c r="I1683" s="1" t="s">
        <v>33101</v>
      </c>
      <c r="J1683" s="1" t="s">
        <v>132</v>
      </c>
      <c r="K1683" s="1" t="s">
        <v>33102</v>
      </c>
      <c r="L1683" s="1" t="s">
        <v>132</v>
      </c>
      <c r="M1683" s="1" t="s">
        <v>33103</v>
      </c>
      <c r="N1683" s="1" t="s">
        <v>132</v>
      </c>
      <c r="O1683" s="1" t="s">
        <v>132</v>
      </c>
      <c r="P1683" s="1" t="s">
        <v>33100</v>
      </c>
      <c r="Q1683" s="1" t="s">
        <v>132</v>
      </c>
      <c r="R1683" s="1" t="s">
        <v>132</v>
      </c>
      <c r="S1683" s="1" t="s">
        <v>132</v>
      </c>
      <c r="T1683" s="1" t="s">
        <v>132</v>
      </c>
      <c r="U1683" s="1" t="s">
        <v>132</v>
      </c>
      <c r="V1683" s="1" t="s">
        <v>132</v>
      </c>
      <c r="W1683" s="1" t="s">
        <v>132</v>
      </c>
      <c r="X1683" s="1" t="s">
        <v>132</v>
      </c>
      <c r="Y1683" s="1" t="s">
        <v>132</v>
      </c>
      <c r="Z1683" s="1" t="s">
        <v>132</v>
      </c>
      <c r="AA1683" s="1" t="s">
        <v>132</v>
      </c>
      <c r="AB1683" s="1" t="s">
        <v>132</v>
      </c>
      <c r="AC1683" s="1" t="s">
        <v>33104</v>
      </c>
      <c r="AD1683" s="1" t="s">
        <v>132</v>
      </c>
      <c r="AE1683" s="1" t="s">
        <v>132</v>
      </c>
      <c r="AF1683" s="1" t="s">
        <v>33105</v>
      </c>
      <c r="AG1683" s="1" t="s">
        <v>132</v>
      </c>
      <c r="AH1683" s="1" t="s">
        <v>132</v>
      </c>
      <c r="AI1683" s="1" t="s">
        <v>132</v>
      </c>
      <c r="AJ1683" s="1" t="s">
        <v>132</v>
      </c>
      <c r="AK1683" s="1" t="s">
        <v>132</v>
      </c>
      <c r="AL1683" s="1" t="s">
        <v>132</v>
      </c>
      <c r="AM1683" s="1" t="s">
        <v>132</v>
      </c>
      <c r="AN1683" s="1" t="s">
        <v>132</v>
      </c>
    </row>
    <row r="1684" ht="15.75" customHeight="1">
      <c r="A1684" s="1" t="s">
        <v>38</v>
      </c>
      <c r="B1684" s="1" t="s">
        <v>33106</v>
      </c>
      <c r="C1684" s="1" t="s">
        <v>33107</v>
      </c>
      <c r="D1684" s="8" t="s">
        <v>33108</v>
      </c>
      <c r="E1684" s="1" t="s">
        <v>33109</v>
      </c>
      <c r="F1684" s="1" t="s">
        <v>33110</v>
      </c>
      <c r="G1684" s="1" t="s">
        <v>132</v>
      </c>
      <c r="H1684" s="1" t="s">
        <v>132</v>
      </c>
      <c r="I1684" s="1" t="s">
        <v>33111</v>
      </c>
      <c r="J1684" s="1" t="s">
        <v>132</v>
      </c>
      <c r="K1684" s="1" t="s">
        <v>33112</v>
      </c>
      <c r="L1684" s="1" t="s">
        <v>132</v>
      </c>
      <c r="M1684" s="1" t="s">
        <v>33113</v>
      </c>
      <c r="N1684" s="1" t="s">
        <v>33114</v>
      </c>
      <c r="O1684" s="1" t="s">
        <v>132</v>
      </c>
      <c r="P1684" s="1" t="s">
        <v>33115</v>
      </c>
      <c r="Q1684" s="1" t="s">
        <v>132</v>
      </c>
      <c r="R1684" s="1" t="s">
        <v>132</v>
      </c>
      <c r="S1684" s="1" t="s">
        <v>33116</v>
      </c>
      <c r="T1684" s="1" t="s">
        <v>132</v>
      </c>
      <c r="U1684" s="1" t="s">
        <v>33117</v>
      </c>
      <c r="V1684" s="1" t="s">
        <v>33118</v>
      </c>
      <c r="W1684" s="1" t="s">
        <v>132</v>
      </c>
      <c r="X1684" s="1" t="s">
        <v>33119</v>
      </c>
      <c r="Y1684" s="1" t="s">
        <v>132</v>
      </c>
      <c r="Z1684" s="1" t="s">
        <v>33120</v>
      </c>
      <c r="AA1684" s="1" t="s">
        <v>33121</v>
      </c>
      <c r="AB1684" s="1" t="s">
        <v>132</v>
      </c>
      <c r="AC1684" s="1" t="s">
        <v>33122</v>
      </c>
      <c r="AD1684" s="1" t="s">
        <v>132</v>
      </c>
      <c r="AE1684" s="1" t="s">
        <v>132</v>
      </c>
      <c r="AF1684" s="1" t="s">
        <v>33123</v>
      </c>
      <c r="AG1684" s="1" t="s">
        <v>33124</v>
      </c>
      <c r="AH1684" s="1" t="s">
        <v>132</v>
      </c>
      <c r="AI1684" s="1" t="s">
        <v>132</v>
      </c>
      <c r="AJ1684" s="1" t="s">
        <v>33125</v>
      </c>
      <c r="AK1684" s="1" t="s">
        <v>132</v>
      </c>
      <c r="AL1684" s="1" t="s">
        <v>132</v>
      </c>
      <c r="AM1684" s="1" t="s">
        <v>33126</v>
      </c>
      <c r="AN1684" s="1" t="s">
        <v>33126</v>
      </c>
    </row>
    <row r="1685" ht="15.75" customHeight="1">
      <c r="A1685" s="1" t="s">
        <v>127</v>
      </c>
      <c r="B1685" s="1" t="s">
        <v>33127</v>
      </c>
      <c r="C1685" s="1" t="s">
        <v>4084</v>
      </c>
      <c r="D1685" s="8" t="s">
        <v>4085</v>
      </c>
      <c r="E1685" s="1" t="s">
        <v>4086</v>
      </c>
      <c r="F1685" s="1" t="s">
        <v>132</v>
      </c>
      <c r="G1685" s="1" t="s">
        <v>4087</v>
      </c>
      <c r="H1685" s="1" t="s">
        <v>4088</v>
      </c>
      <c r="I1685" s="1" t="s">
        <v>4089</v>
      </c>
      <c r="J1685" s="1" t="s">
        <v>4090</v>
      </c>
      <c r="K1685" s="1" t="s">
        <v>33128</v>
      </c>
      <c r="L1685" s="1" t="s">
        <v>4092</v>
      </c>
      <c r="M1685" s="1" t="s">
        <v>4093</v>
      </c>
      <c r="N1685" s="1" t="s">
        <v>132</v>
      </c>
      <c r="O1685" s="1" t="s">
        <v>4094</v>
      </c>
      <c r="P1685" s="1" t="s">
        <v>4095</v>
      </c>
      <c r="Q1685" s="1" t="s">
        <v>132</v>
      </c>
      <c r="R1685" s="1" t="s">
        <v>4096</v>
      </c>
      <c r="S1685" s="1" t="s">
        <v>33129</v>
      </c>
      <c r="T1685" s="8" t="s">
        <v>4098</v>
      </c>
      <c r="U1685" s="1" t="s">
        <v>4099</v>
      </c>
      <c r="V1685" s="1" t="s">
        <v>4100</v>
      </c>
      <c r="W1685" s="1" t="s">
        <v>4101</v>
      </c>
      <c r="X1685" s="1" t="s">
        <v>4102</v>
      </c>
      <c r="Y1685" s="1" t="s">
        <v>4088</v>
      </c>
      <c r="Z1685" s="1" t="s">
        <v>33130</v>
      </c>
      <c r="AA1685" s="1" t="s">
        <v>4104</v>
      </c>
      <c r="AB1685" s="1" t="s">
        <v>4105</v>
      </c>
      <c r="AC1685" s="1" t="s">
        <v>4106</v>
      </c>
      <c r="AD1685" s="1" t="s">
        <v>4087</v>
      </c>
      <c r="AE1685" s="1" t="s">
        <v>4107</v>
      </c>
      <c r="AF1685" s="1" t="s">
        <v>33131</v>
      </c>
      <c r="AG1685" s="1" t="s">
        <v>4109</v>
      </c>
      <c r="AH1685" s="1" t="s">
        <v>33132</v>
      </c>
      <c r="AI1685" s="1" t="s">
        <v>4111</v>
      </c>
      <c r="AJ1685" s="1" t="s">
        <v>132</v>
      </c>
      <c r="AK1685" s="1" t="s">
        <v>4112</v>
      </c>
      <c r="AL1685" s="1" t="s">
        <v>4099</v>
      </c>
      <c r="AM1685" s="1" t="s">
        <v>4113</v>
      </c>
      <c r="AN1685" s="1" t="s">
        <v>4113</v>
      </c>
    </row>
    <row r="1686" ht="15.75" customHeight="1">
      <c r="A1686" s="1" t="s">
        <v>38</v>
      </c>
      <c r="B1686" s="1" t="s">
        <v>33133</v>
      </c>
      <c r="C1686" s="1" t="s">
        <v>33134</v>
      </c>
      <c r="D1686" s="8" t="s">
        <v>33135</v>
      </c>
      <c r="E1686" s="1" t="s">
        <v>33136</v>
      </c>
      <c r="F1686" s="1" t="s">
        <v>33137</v>
      </c>
      <c r="G1686" s="1" t="s">
        <v>132</v>
      </c>
      <c r="H1686" s="1" t="s">
        <v>132</v>
      </c>
      <c r="I1686" s="1" t="s">
        <v>33138</v>
      </c>
      <c r="J1686" s="1" t="s">
        <v>132</v>
      </c>
      <c r="K1686" s="1" t="s">
        <v>33139</v>
      </c>
      <c r="L1686" s="1" t="s">
        <v>132</v>
      </c>
      <c r="M1686" s="1" t="s">
        <v>33140</v>
      </c>
      <c r="N1686" s="1" t="s">
        <v>33141</v>
      </c>
      <c r="O1686" s="1" t="s">
        <v>132</v>
      </c>
      <c r="P1686" s="1" t="s">
        <v>33142</v>
      </c>
      <c r="Q1686" s="1" t="s">
        <v>33143</v>
      </c>
      <c r="R1686" s="1" t="s">
        <v>132</v>
      </c>
      <c r="S1686" s="1" t="s">
        <v>33144</v>
      </c>
      <c r="T1686" s="1" t="s">
        <v>132</v>
      </c>
      <c r="U1686" s="1" t="s">
        <v>33145</v>
      </c>
      <c r="V1686" s="1" t="s">
        <v>33146</v>
      </c>
      <c r="W1686" s="1" t="s">
        <v>132</v>
      </c>
      <c r="X1686" s="1" t="s">
        <v>33147</v>
      </c>
      <c r="Y1686" s="1" t="s">
        <v>132</v>
      </c>
      <c r="Z1686" s="1" t="s">
        <v>33148</v>
      </c>
      <c r="AA1686" s="1" t="s">
        <v>33149</v>
      </c>
      <c r="AB1686" s="1" t="s">
        <v>132</v>
      </c>
      <c r="AC1686" s="1" t="s">
        <v>33150</v>
      </c>
      <c r="AD1686" s="1" t="s">
        <v>33151</v>
      </c>
      <c r="AE1686" s="1" t="s">
        <v>132</v>
      </c>
      <c r="AF1686" s="1" t="s">
        <v>15544</v>
      </c>
      <c r="AG1686" s="1" t="s">
        <v>33152</v>
      </c>
      <c r="AH1686" s="1" t="s">
        <v>132</v>
      </c>
      <c r="AI1686" s="1" t="s">
        <v>132</v>
      </c>
      <c r="AJ1686" s="1" t="s">
        <v>33153</v>
      </c>
      <c r="AK1686" s="1" t="s">
        <v>33154</v>
      </c>
      <c r="AL1686" s="1" t="s">
        <v>132</v>
      </c>
      <c r="AM1686" s="1" t="s">
        <v>33155</v>
      </c>
      <c r="AN1686" s="1" t="s">
        <v>33155</v>
      </c>
    </row>
    <row r="1687" ht="15.75" customHeight="1">
      <c r="A1687" s="1" t="s">
        <v>127</v>
      </c>
      <c r="B1687" s="1" t="s">
        <v>33156</v>
      </c>
      <c r="C1687" s="1" t="s">
        <v>29641</v>
      </c>
      <c r="D1687" s="8" t="s">
        <v>33157</v>
      </c>
      <c r="E1687" s="1" t="s">
        <v>29643</v>
      </c>
      <c r="F1687" s="1" t="s">
        <v>132</v>
      </c>
      <c r="G1687" s="1" t="s">
        <v>29644</v>
      </c>
      <c r="H1687" s="1" t="s">
        <v>29645</v>
      </c>
      <c r="I1687" s="1" t="s">
        <v>29646</v>
      </c>
      <c r="J1687" s="1" t="s">
        <v>29647</v>
      </c>
      <c r="K1687" s="1" t="s">
        <v>29648</v>
      </c>
      <c r="L1687" s="1" t="s">
        <v>29649</v>
      </c>
      <c r="M1687" s="1" t="s">
        <v>29650</v>
      </c>
      <c r="N1687" s="1" t="s">
        <v>132</v>
      </c>
      <c r="O1687" s="1" t="s">
        <v>29651</v>
      </c>
      <c r="P1687" s="1" t="s">
        <v>11639</v>
      </c>
      <c r="Q1687" s="1" t="s">
        <v>132</v>
      </c>
      <c r="R1687" s="1" t="s">
        <v>864</v>
      </c>
      <c r="S1687" s="1" t="s">
        <v>29645</v>
      </c>
      <c r="T1687" s="8" t="s">
        <v>29652</v>
      </c>
      <c r="U1687" s="1" t="s">
        <v>867</v>
      </c>
      <c r="V1687" s="1" t="s">
        <v>868</v>
      </c>
      <c r="W1687" s="1" t="s">
        <v>869</v>
      </c>
      <c r="X1687" s="1" t="s">
        <v>29645</v>
      </c>
      <c r="Y1687" s="1" t="s">
        <v>29645</v>
      </c>
      <c r="Z1687" s="1" t="s">
        <v>29653</v>
      </c>
      <c r="AA1687" s="1" t="s">
        <v>29654</v>
      </c>
      <c r="AB1687" s="1" t="s">
        <v>29655</v>
      </c>
      <c r="AC1687" s="1" t="s">
        <v>29656</v>
      </c>
      <c r="AD1687" s="1" t="s">
        <v>29657</v>
      </c>
      <c r="AE1687" s="1" t="s">
        <v>29645</v>
      </c>
      <c r="AF1687" s="1" t="s">
        <v>29645</v>
      </c>
      <c r="AG1687" s="1" t="s">
        <v>29645</v>
      </c>
      <c r="AH1687" s="1" t="s">
        <v>876</v>
      </c>
      <c r="AI1687" s="1" t="s">
        <v>12384</v>
      </c>
      <c r="AJ1687" s="1" t="s">
        <v>132</v>
      </c>
      <c r="AK1687" s="1" t="s">
        <v>878</v>
      </c>
      <c r="AL1687" s="1" t="s">
        <v>11642</v>
      </c>
      <c r="AM1687" s="1" t="s">
        <v>11643</v>
      </c>
      <c r="AN1687" s="1" t="s">
        <v>11643</v>
      </c>
    </row>
    <row r="1688" ht="15.75" customHeight="1">
      <c r="A1688" s="1" t="s">
        <v>127</v>
      </c>
      <c r="B1688" s="1" t="s">
        <v>33158</v>
      </c>
      <c r="C1688" s="1" t="s">
        <v>33159</v>
      </c>
      <c r="D1688" s="8" t="s">
        <v>33160</v>
      </c>
      <c r="E1688" s="1" t="s">
        <v>33161</v>
      </c>
      <c r="F1688" s="1" t="s">
        <v>132</v>
      </c>
      <c r="G1688" s="1" t="s">
        <v>33162</v>
      </c>
      <c r="H1688" s="1" t="s">
        <v>33163</v>
      </c>
      <c r="I1688" s="1" t="s">
        <v>33159</v>
      </c>
      <c r="J1688" s="1" t="s">
        <v>33164</v>
      </c>
      <c r="K1688" s="1" t="s">
        <v>33165</v>
      </c>
      <c r="L1688" s="1" t="s">
        <v>33166</v>
      </c>
      <c r="M1688" s="1" t="s">
        <v>33167</v>
      </c>
      <c r="N1688" s="1" t="s">
        <v>132</v>
      </c>
      <c r="O1688" s="1" t="s">
        <v>33168</v>
      </c>
      <c r="P1688" s="1" t="s">
        <v>33169</v>
      </c>
      <c r="Q1688" s="1" t="s">
        <v>132</v>
      </c>
      <c r="R1688" s="1" t="s">
        <v>33170</v>
      </c>
      <c r="S1688" s="1" t="s">
        <v>33159</v>
      </c>
      <c r="T1688" s="8" t="s">
        <v>33171</v>
      </c>
      <c r="U1688" s="1" t="s">
        <v>33172</v>
      </c>
      <c r="V1688" s="1" t="s">
        <v>33173</v>
      </c>
      <c r="W1688" s="1" t="s">
        <v>33174</v>
      </c>
      <c r="X1688" s="1" t="s">
        <v>33163</v>
      </c>
      <c r="Y1688" s="1" t="s">
        <v>33163</v>
      </c>
      <c r="Z1688" s="1" t="s">
        <v>33175</v>
      </c>
      <c r="AA1688" s="1" t="s">
        <v>33176</v>
      </c>
      <c r="AB1688" s="1" t="s">
        <v>33177</v>
      </c>
      <c r="AC1688" s="1" t="s">
        <v>33161</v>
      </c>
      <c r="AD1688" s="1" t="s">
        <v>33178</v>
      </c>
      <c r="AE1688" s="1" t="s">
        <v>33179</v>
      </c>
      <c r="AF1688" s="1" t="s">
        <v>33159</v>
      </c>
      <c r="AG1688" s="1" t="s">
        <v>33159</v>
      </c>
      <c r="AH1688" s="1" t="s">
        <v>33180</v>
      </c>
      <c r="AI1688" s="1" t="s">
        <v>33181</v>
      </c>
      <c r="AJ1688" s="1" t="s">
        <v>132</v>
      </c>
      <c r="AK1688" s="1" t="s">
        <v>33182</v>
      </c>
      <c r="AL1688" s="1" t="s">
        <v>33183</v>
      </c>
      <c r="AM1688" s="1" t="s">
        <v>33184</v>
      </c>
      <c r="AN1688" s="1" t="s">
        <v>33184</v>
      </c>
    </row>
    <row r="1689" ht="15.75" customHeight="1">
      <c r="A1689" s="1" t="s">
        <v>127</v>
      </c>
      <c r="B1689" s="1" t="s">
        <v>33185</v>
      </c>
      <c r="C1689" s="1" t="s">
        <v>33186</v>
      </c>
      <c r="D1689" s="8" t="s">
        <v>33187</v>
      </c>
      <c r="E1689" s="1" t="s">
        <v>6501</v>
      </c>
      <c r="F1689" s="1" t="s">
        <v>132</v>
      </c>
      <c r="G1689" s="1" t="s">
        <v>33188</v>
      </c>
      <c r="H1689" s="1" t="s">
        <v>33189</v>
      </c>
      <c r="I1689" s="1" t="s">
        <v>33190</v>
      </c>
      <c r="J1689" s="1" t="s">
        <v>33191</v>
      </c>
      <c r="K1689" s="1" t="s">
        <v>6504</v>
      </c>
      <c r="L1689" s="1" t="s">
        <v>33192</v>
      </c>
      <c r="M1689" s="1" t="s">
        <v>6505</v>
      </c>
      <c r="N1689" s="1" t="s">
        <v>132</v>
      </c>
      <c r="O1689" s="1" t="s">
        <v>33193</v>
      </c>
      <c r="P1689" s="1" t="s">
        <v>6507</v>
      </c>
      <c r="Q1689" s="1" t="s">
        <v>132</v>
      </c>
      <c r="R1689" s="1" t="s">
        <v>33194</v>
      </c>
      <c r="S1689" s="1" t="s">
        <v>6509</v>
      </c>
      <c r="T1689" s="8" t="s">
        <v>33195</v>
      </c>
      <c r="U1689" s="1" t="s">
        <v>6510</v>
      </c>
      <c r="V1689" s="1" t="s">
        <v>6511</v>
      </c>
      <c r="W1689" s="1" t="s">
        <v>33194</v>
      </c>
      <c r="X1689" s="1" t="s">
        <v>6512</v>
      </c>
      <c r="Y1689" s="1" t="s">
        <v>33189</v>
      </c>
      <c r="Z1689" s="1" t="s">
        <v>6513</v>
      </c>
      <c r="AA1689" s="1" t="s">
        <v>6514</v>
      </c>
      <c r="AB1689" s="1" t="s">
        <v>33196</v>
      </c>
      <c r="AC1689" s="1" t="s">
        <v>6515</v>
      </c>
      <c r="AD1689" s="1" t="s">
        <v>33197</v>
      </c>
      <c r="AE1689" s="1" t="s">
        <v>33198</v>
      </c>
      <c r="AF1689" s="1" t="s">
        <v>33199</v>
      </c>
      <c r="AG1689" s="1" t="s">
        <v>33200</v>
      </c>
      <c r="AH1689" s="1" t="s">
        <v>33201</v>
      </c>
      <c r="AI1689" s="1" t="s">
        <v>33202</v>
      </c>
      <c r="AJ1689" s="1" t="s">
        <v>132</v>
      </c>
      <c r="AK1689" s="1" t="s">
        <v>6519</v>
      </c>
      <c r="AL1689" s="1" t="s">
        <v>6520</v>
      </c>
      <c r="AM1689" s="1" t="s">
        <v>33203</v>
      </c>
      <c r="AN1689" s="1" t="s">
        <v>33203</v>
      </c>
    </row>
    <row r="1690" ht="15.75" customHeight="1">
      <c r="A1690" s="1" t="s">
        <v>127</v>
      </c>
      <c r="B1690" s="1" t="s">
        <v>33204</v>
      </c>
      <c r="C1690" s="1" t="s">
        <v>25892</v>
      </c>
      <c r="D1690" s="8" t="s">
        <v>25893</v>
      </c>
      <c r="E1690" s="1" t="s">
        <v>33205</v>
      </c>
      <c r="F1690" s="1" t="s">
        <v>132</v>
      </c>
      <c r="G1690" s="1" t="s">
        <v>25895</v>
      </c>
      <c r="H1690" s="1" t="s">
        <v>25896</v>
      </c>
      <c r="I1690" s="1" t="s">
        <v>33206</v>
      </c>
      <c r="J1690" s="1" t="s">
        <v>25898</v>
      </c>
      <c r="K1690" s="1" t="s">
        <v>25899</v>
      </c>
      <c r="L1690" s="1" t="s">
        <v>25900</v>
      </c>
      <c r="M1690" s="1" t="s">
        <v>25901</v>
      </c>
      <c r="N1690" s="1" t="s">
        <v>132</v>
      </c>
      <c r="O1690" s="1" t="s">
        <v>25902</v>
      </c>
      <c r="P1690" s="1" t="s">
        <v>33207</v>
      </c>
      <c r="Q1690" s="1" t="s">
        <v>132</v>
      </c>
      <c r="R1690" s="1" t="s">
        <v>25903</v>
      </c>
      <c r="S1690" s="1" t="s">
        <v>25904</v>
      </c>
      <c r="T1690" s="8" t="s">
        <v>25905</v>
      </c>
      <c r="U1690" s="1" t="s">
        <v>33208</v>
      </c>
      <c r="V1690" s="1" t="s">
        <v>25907</v>
      </c>
      <c r="W1690" s="1" t="s">
        <v>25903</v>
      </c>
      <c r="X1690" s="1" t="s">
        <v>33209</v>
      </c>
      <c r="Y1690" s="1" t="s">
        <v>25909</v>
      </c>
      <c r="Z1690" s="1" t="s">
        <v>25910</v>
      </c>
      <c r="AA1690" s="1" t="s">
        <v>33210</v>
      </c>
      <c r="AB1690" s="1" t="s">
        <v>25912</v>
      </c>
      <c r="AC1690" s="1" t="s">
        <v>33211</v>
      </c>
      <c r="AD1690" s="1" t="s">
        <v>25914</v>
      </c>
      <c r="AE1690" s="1" t="s">
        <v>25915</v>
      </c>
      <c r="AF1690" s="1" t="s">
        <v>25916</v>
      </c>
      <c r="AG1690" s="1" t="s">
        <v>25917</v>
      </c>
      <c r="AH1690" s="1" t="s">
        <v>25918</v>
      </c>
      <c r="AI1690" s="1" t="s">
        <v>33212</v>
      </c>
      <c r="AJ1690" s="1" t="s">
        <v>132</v>
      </c>
      <c r="AK1690" s="1" t="s">
        <v>25920</v>
      </c>
      <c r="AL1690" s="1" t="s">
        <v>33213</v>
      </c>
      <c r="AM1690" s="1" t="s">
        <v>33214</v>
      </c>
      <c r="AN1690" s="1" t="s">
        <v>33214</v>
      </c>
    </row>
    <row r="1691" ht="15.75" customHeight="1">
      <c r="A1691" s="1" t="s">
        <v>127</v>
      </c>
      <c r="B1691" s="1" t="s">
        <v>33215</v>
      </c>
      <c r="C1691" s="1" t="s">
        <v>21637</v>
      </c>
      <c r="D1691" s="8" t="s">
        <v>21638</v>
      </c>
      <c r="E1691" s="1" t="s">
        <v>21639</v>
      </c>
      <c r="F1691" s="1" t="s">
        <v>132</v>
      </c>
      <c r="G1691" s="1" t="s">
        <v>21637</v>
      </c>
      <c r="H1691" s="1" t="s">
        <v>21637</v>
      </c>
      <c r="I1691" s="1" t="s">
        <v>21637</v>
      </c>
      <c r="J1691" s="1" t="s">
        <v>21640</v>
      </c>
      <c r="K1691" s="1" t="s">
        <v>21637</v>
      </c>
      <c r="L1691" s="1" t="s">
        <v>21641</v>
      </c>
      <c r="M1691" s="1" t="s">
        <v>21637</v>
      </c>
      <c r="N1691" s="1" t="s">
        <v>132</v>
      </c>
      <c r="O1691" s="1" t="s">
        <v>21642</v>
      </c>
      <c r="P1691" s="1" t="s">
        <v>21637</v>
      </c>
      <c r="Q1691" s="1" t="s">
        <v>132</v>
      </c>
      <c r="R1691" s="1" t="s">
        <v>21643</v>
      </c>
      <c r="S1691" s="1" t="s">
        <v>21637</v>
      </c>
      <c r="T1691" s="8" t="s">
        <v>21644</v>
      </c>
      <c r="U1691" s="1" t="s">
        <v>33216</v>
      </c>
      <c r="V1691" s="1" t="s">
        <v>21646</v>
      </c>
      <c r="W1691" s="1" t="s">
        <v>21647</v>
      </c>
      <c r="X1691" s="1" t="s">
        <v>21637</v>
      </c>
      <c r="Y1691" s="1" t="s">
        <v>21648</v>
      </c>
      <c r="Z1691" s="1" t="s">
        <v>21637</v>
      </c>
      <c r="AA1691" s="1" t="s">
        <v>21637</v>
      </c>
      <c r="AB1691" s="1" t="s">
        <v>21637</v>
      </c>
      <c r="AC1691" s="1" t="s">
        <v>25084</v>
      </c>
      <c r="AD1691" s="1" t="s">
        <v>21650</v>
      </c>
      <c r="AE1691" s="1" t="s">
        <v>21651</v>
      </c>
      <c r="AF1691" s="1" t="s">
        <v>21637</v>
      </c>
      <c r="AG1691" s="1" t="s">
        <v>21637</v>
      </c>
      <c r="AH1691" s="1" t="s">
        <v>21652</v>
      </c>
      <c r="AI1691" s="1" t="s">
        <v>21653</v>
      </c>
      <c r="AJ1691" s="1" t="s">
        <v>132</v>
      </c>
      <c r="AK1691" s="1" t="s">
        <v>21654</v>
      </c>
      <c r="AL1691" s="1" t="s">
        <v>33217</v>
      </c>
      <c r="AM1691" s="1" t="s">
        <v>33218</v>
      </c>
      <c r="AN1691" s="1" t="s">
        <v>33218</v>
      </c>
    </row>
    <row r="1692" ht="15.75" customHeight="1">
      <c r="A1692" s="1" t="s">
        <v>38</v>
      </c>
      <c r="B1692" s="1" t="s">
        <v>33219</v>
      </c>
      <c r="C1692" s="1" t="s">
        <v>33220</v>
      </c>
      <c r="D1692" s="1" t="s">
        <v>132</v>
      </c>
      <c r="E1692" s="1" t="s">
        <v>132</v>
      </c>
      <c r="F1692" s="1" t="s">
        <v>132</v>
      </c>
      <c r="G1692" s="1" t="s">
        <v>132</v>
      </c>
      <c r="H1692" s="1" t="s">
        <v>132</v>
      </c>
      <c r="I1692" s="1" t="s">
        <v>33221</v>
      </c>
      <c r="J1692" s="1" t="s">
        <v>132</v>
      </c>
      <c r="K1692" s="1" t="s">
        <v>33222</v>
      </c>
      <c r="L1692" s="1" t="s">
        <v>132</v>
      </c>
      <c r="M1692" s="1" t="s">
        <v>33223</v>
      </c>
      <c r="N1692" s="1" t="s">
        <v>132</v>
      </c>
      <c r="O1692" s="1" t="s">
        <v>132</v>
      </c>
      <c r="P1692" s="1" t="s">
        <v>33224</v>
      </c>
      <c r="Q1692" s="1" t="s">
        <v>132</v>
      </c>
      <c r="R1692" s="1" t="s">
        <v>132</v>
      </c>
      <c r="S1692" s="1" t="s">
        <v>132</v>
      </c>
      <c r="T1692" s="1" t="s">
        <v>132</v>
      </c>
      <c r="U1692" s="1" t="s">
        <v>132</v>
      </c>
      <c r="V1692" s="1" t="s">
        <v>132</v>
      </c>
      <c r="W1692" s="1" t="s">
        <v>132</v>
      </c>
      <c r="X1692" s="1" t="s">
        <v>132</v>
      </c>
      <c r="Y1692" s="1" t="s">
        <v>132</v>
      </c>
      <c r="Z1692" s="1" t="s">
        <v>132</v>
      </c>
      <c r="AA1692" s="1" t="s">
        <v>132</v>
      </c>
      <c r="AB1692" s="1" t="s">
        <v>132</v>
      </c>
      <c r="AC1692" s="1" t="s">
        <v>33225</v>
      </c>
      <c r="AD1692" s="1" t="s">
        <v>132</v>
      </c>
      <c r="AE1692" s="1" t="s">
        <v>132</v>
      </c>
      <c r="AF1692" s="1" t="s">
        <v>33226</v>
      </c>
      <c r="AG1692" s="1" t="s">
        <v>132</v>
      </c>
      <c r="AH1692" s="1" t="s">
        <v>132</v>
      </c>
      <c r="AI1692" s="1" t="s">
        <v>132</v>
      </c>
      <c r="AJ1692" s="1" t="s">
        <v>132</v>
      </c>
      <c r="AK1692" s="1" t="s">
        <v>132</v>
      </c>
      <c r="AL1692" s="1" t="s">
        <v>132</v>
      </c>
      <c r="AM1692" s="1" t="s">
        <v>132</v>
      </c>
      <c r="AN1692" s="1" t="s">
        <v>132</v>
      </c>
    </row>
    <row r="1693" ht="15.75" customHeight="1">
      <c r="A1693" s="1" t="s">
        <v>127</v>
      </c>
      <c r="B1693" s="1" t="s">
        <v>33227</v>
      </c>
      <c r="C1693" s="1" t="s">
        <v>6246</v>
      </c>
      <c r="D1693" s="8" t="s">
        <v>33228</v>
      </c>
      <c r="E1693" s="1" t="s">
        <v>33229</v>
      </c>
      <c r="F1693" s="1" t="s">
        <v>132</v>
      </c>
      <c r="G1693" s="1" t="s">
        <v>6246</v>
      </c>
      <c r="H1693" s="1" t="s">
        <v>6246</v>
      </c>
      <c r="I1693" s="1" t="s">
        <v>6246</v>
      </c>
      <c r="J1693" s="1" t="s">
        <v>33230</v>
      </c>
      <c r="K1693" s="1" t="s">
        <v>6250</v>
      </c>
      <c r="L1693" s="1" t="s">
        <v>6246</v>
      </c>
      <c r="M1693" s="1" t="s">
        <v>6246</v>
      </c>
      <c r="N1693" s="1" t="s">
        <v>132</v>
      </c>
      <c r="O1693" s="1" t="s">
        <v>33231</v>
      </c>
      <c r="P1693" s="1" t="s">
        <v>6246</v>
      </c>
      <c r="Q1693" s="1" t="s">
        <v>132</v>
      </c>
      <c r="R1693" s="1" t="s">
        <v>6246</v>
      </c>
      <c r="S1693" s="1" t="s">
        <v>18995</v>
      </c>
      <c r="T1693" s="8" t="s">
        <v>33232</v>
      </c>
      <c r="U1693" s="1" t="s">
        <v>6253</v>
      </c>
      <c r="V1693" s="1" t="s">
        <v>6254</v>
      </c>
      <c r="W1693" s="1" t="s">
        <v>33233</v>
      </c>
      <c r="X1693" s="1" t="s">
        <v>6246</v>
      </c>
      <c r="Y1693" s="1" t="s">
        <v>33234</v>
      </c>
      <c r="Z1693" s="1" t="s">
        <v>6246</v>
      </c>
      <c r="AA1693" s="1" t="s">
        <v>6246</v>
      </c>
      <c r="AB1693" s="1" t="s">
        <v>33235</v>
      </c>
      <c r="AC1693" s="1" t="s">
        <v>6256</v>
      </c>
      <c r="AD1693" s="1" t="s">
        <v>6246</v>
      </c>
      <c r="AE1693" s="1" t="s">
        <v>33236</v>
      </c>
      <c r="AF1693" s="1" t="s">
        <v>6246</v>
      </c>
      <c r="AG1693" s="1" t="s">
        <v>33237</v>
      </c>
      <c r="AH1693" s="1" t="s">
        <v>33238</v>
      </c>
      <c r="AI1693" s="1" t="s">
        <v>33239</v>
      </c>
      <c r="AJ1693" s="1" t="s">
        <v>132</v>
      </c>
      <c r="AK1693" s="1" t="s">
        <v>6259</v>
      </c>
      <c r="AL1693" s="1" t="s">
        <v>33240</v>
      </c>
      <c r="AM1693" s="1" t="s">
        <v>33241</v>
      </c>
      <c r="AN1693" s="1" t="s">
        <v>33241</v>
      </c>
    </row>
    <row r="1694" ht="15.75" customHeight="1">
      <c r="A1694" s="1" t="s">
        <v>127</v>
      </c>
      <c r="B1694" s="1" t="s">
        <v>33242</v>
      </c>
      <c r="C1694" s="1" t="s">
        <v>33243</v>
      </c>
      <c r="D1694" s="8" t="s">
        <v>33244</v>
      </c>
      <c r="E1694" s="1" t="s">
        <v>33245</v>
      </c>
      <c r="F1694" s="1" t="s">
        <v>132</v>
      </c>
      <c r="G1694" s="1" t="s">
        <v>33243</v>
      </c>
      <c r="H1694" s="1" t="s">
        <v>33243</v>
      </c>
      <c r="I1694" s="1" t="s">
        <v>33243</v>
      </c>
      <c r="J1694" s="1" t="s">
        <v>33246</v>
      </c>
      <c r="K1694" s="1" t="s">
        <v>33247</v>
      </c>
      <c r="L1694" s="1" t="s">
        <v>33243</v>
      </c>
      <c r="M1694" s="1" t="s">
        <v>33243</v>
      </c>
      <c r="N1694" s="1" t="s">
        <v>132</v>
      </c>
      <c r="O1694" s="1" t="s">
        <v>33248</v>
      </c>
      <c r="P1694" s="1" t="s">
        <v>33243</v>
      </c>
      <c r="Q1694" s="1" t="s">
        <v>132</v>
      </c>
      <c r="R1694" s="1" t="s">
        <v>33243</v>
      </c>
      <c r="S1694" s="1" t="s">
        <v>33243</v>
      </c>
      <c r="T1694" s="8" t="s">
        <v>33249</v>
      </c>
      <c r="U1694" s="1" t="s">
        <v>33250</v>
      </c>
      <c r="V1694" s="1" t="s">
        <v>33251</v>
      </c>
      <c r="W1694" s="1" t="s">
        <v>33243</v>
      </c>
      <c r="X1694" s="1" t="s">
        <v>33243</v>
      </c>
      <c r="Y1694" s="1" t="s">
        <v>33243</v>
      </c>
      <c r="Z1694" s="1" t="s">
        <v>33243</v>
      </c>
      <c r="AA1694" s="1" t="s">
        <v>33243</v>
      </c>
      <c r="AB1694" s="1" t="s">
        <v>33243</v>
      </c>
      <c r="AC1694" s="1" t="s">
        <v>33252</v>
      </c>
      <c r="AD1694" s="1" t="s">
        <v>33243</v>
      </c>
      <c r="AE1694" s="1" t="s">
        <v>33247</v>
      </c>
      <c r="AF1694" s="1" t="s">
        <v>33243</v>
      </c>
      <c r="AG1694" s="1" t="s">
        <v>33243</v>
      </c>
      <c r="AH1694" s="1" t="s">
        <v>33253</v>
      </c>
      <c r="AI1694" s="1" t="s">
        <v>33247</v>
      </c>
      <c r="AJ1694" s="1" t="s">
        <v>132</v>
      </c>
      <c r="AK1694" s="1" t="s">
        <v>33243</v>
      </c>
      <c r="AL1694" s="1" t="s">
        <v>33243</v>
      </c>
      <c r="AM1694" s="1" t="s">
        <v>132</v>
      </c>
      <c r="AN1694" s="1" t="s">
        <v>132</v>
      </c>
    </row>
    <row r="1695" ht="15.75" customHeight="1">
      <c r="A1695" s="1" t="s">
        <v>38</v>
      </c>
      <c r="B1695" s="1" t="s">
        <v>33254</v>
      </c>
      <c r="C1695" s="1" t="s">
        <v>33255</v>
      </c>
      <c r="D1695" s="8" t="s">
        <v>33256</v>
      </c>
      <c r="E1695" s="1" t="s">
        <v>33257</v>
      </c>
      <c r="F1695" s="1" t="s">
        <v>33258</v>
      </c>
      <c r="G1695" s="1" t="s">
        <v>132</v>
      </c>
      <c r="H1695" s="1" t="s">
        <v>132</v>
      </c>
      <c r="I1695" s="1" t="s">
        <v>33259</v>
      </c>
      <c r="J1695" s="1" t="s">
        <v>132</v>
      </c>
      <c r="K1695" s="1" t="s">
        <v>33260</v>
      </c>
      <c r="L1695" s="1" t="s">
        <v>132</v>
      </c>
      <c r="M1695" s="1" t="s">
        <v>33261</v>
      </c>
      <c r="N1695" s="1" t="s">
        <v>33262</v>
      </c>
      <c r="O1695" s="1" t="s">
        <v>132</v>
      </c>
      <c r="P1695" s="1" t="s">
        <v>33263</v>
      </c>
      <c r="Q1695" s="1" t="s">
        <v>33264</v>
      </c>
      <c r="R1695" s="1" t="s">
        <v>132</v>
      </c>
      <c r="S1695" s="1" t="s">
        <v>33265</v>
      </c>
      <c r="T1695" s="1" t="s">
        <v>132</v>
      </c>
      <c r="U1695" s="1" t="s">
        <v>33266</v>
      </c>
      <c r="V1695" s="1" t="s">
        <v>33267</v>
      </c>
      <c r="W1695" s="1" t="s">
        <v>132</v>
      </c>
      <c r="X1695" s="1" t="s">
        <v>33268</v>
      </c>
      <c r="Y1695" s="1" t="s">
        <v>132</v>
      </c>
      <c r="Z1695" s="1" t="s">
        <v>33269</v>
      </c>
      <c r="AA1695" s="1" t="s">
        <v>33270</v>
      </c>
      <c r="AB1695" s="1" t="s">
        <v>132</v>
      </c>
      <c r="AC1695" s="1" t="s">
        <v>33271</v>
      </c>
      <c r="AD1695" s="1" t="s">
        <v>33272</v>
      </c>
      <c r="AE1695" s="1" t="s">
        <v>132</v>
      </c>
      <c r="AF1695" s="1" t="s">
        <v>33273</v>
      </c>
      <c r="AG1695" s="1" t="s">
        <v>33274</v>
      </c>
      <c r="AH1695" s="1" t="s">
        <v>132</v>
      </c>
      <c r="AI1695" s="1" t="s">
        <v>132</v>
      </c>
      <c r="AJ1695" s="1" t="s">
        <v>33275</v>
      </c>
      <c r="AK1695" s="1" t="s">
        <v>33276</v>
      </c>
      <c r="AL1695" s="1" t="s">
        <v>132</v>
      </c>
      <c r="AM1695" s="1" t="s">
        <v>33277</v>
      </c>
      <c r="AN1695" s="1" t="s">
        <v>33277</v>
      </c>
    </row>
    <row r="1696" ht="15.75" customHeight="1">
      <c r="A1696" s="1" t="s">
        <v>38</v>
      </c>
      <c r="B1696" s="1" t="s">
        <v>33278</v>
      </c>
      <c r="C1696" s="1" t="s">
        <v>33279</v>
      </c>
      <c r="D1696" s="1" t="s">
        <v>132</v>
      </c>
      <c r="E1696" s="1" t="s">
        <v>132</v>
      </c>
      <c r="F1696" s="1" t="s">
        <v>132</v>
      </c>
      <c r="G1696" s="1" t="s">
        <v>132</v>
      </c>
      <c r="H1696" s="1" t="s">
        <v>132</v>
      </c>
      <c r="I1696" s="1" t="s">
        <v>33279</v>
      </c>
      <c r="J1696" s="1" t="s">
        <v>132</v>
      </c>
      <c r="K1696" s="1" t="s">
        <v>33279</v>
      </c>
      <c r="L1696" s="1" t="s">
        <v>132</v>
      </c>
      <c r="M1696" s="1" t="s">
        <v>33280</v>
      </c>
      <c r="N1696" s="1" t="s">
        <v>132</v>
      </c>
      <c r="O1696" s="1" t="s">
        <v>132</v>
      </c>
      <c r="P1696" s="1" t="s">
        <v>33279</v>
      </c>
      <c r="Q1696" s="1" t="s">
        <v>132</v>
      </c>
      <c r="R1696" s="1" t="s">
        <v>132</v>
      </c>
      <c r="S1696" s="1" t="s">
        <v>132</v>
      </c>
      <c r="T1696" s="1" t="s">
        <v>132</v>
      </c>
      <c r="U1696" s="1" t="s">
        <v>132</v>
      </c>
      <c r="V1696" s="1" t="s">
        <v>132</v>
      </c>
      <c r="W1696" s="1" t="s">
        <v>132</v>
      </c>
      <c r="X1696" s="1" t="s">
        <v>132</v>
      </c>
      <c r="Y1696" s="1" t="s">
        <v>132</v>
      </c>
      <c r="Z1696" s="1" t="s">
        <v>132</v>
      </c>
      <c r="AA1696" s="1" t="s">
        <v>132</v>
      </c>
      <c r="AB1696" s="1" t="s">
        <v>132</v>
      </c>
      <c r="AC1696" s="1" t="s">
        <v>33281</v>
      </c>
      <c r="AD1696" s="1" t="s">
        <v>132</v>
      </c>
      <c r="AE1696" s="1" t="s">
        <v>132</v>
      </c>
      <c r="AF1696" s="1" t="s">
        <v>33279</v>
      </c>
      <c r="AG1696" s="1" t="s">
        <v>132</v>
      </c>
      <c r="AH1696" s="1" t="s">
        <v>132</v>
      </c>
      <c r="AI1696" s="1" t="s">
        <v>132</v>
      </c>
      <c r="AJ1696" s="1" t="s">
        <v>132</v>
      </c>
      <c r="AK1696" s="1" t="s">
        <v>132</v>
      </c>
      <c r="AL1696" s="1" t="s">
        <v>132</v>
      </c>
      <c r="AM1696" s="1" t="s">
        <v>132</v>
      </c>
      <c r="AN1696" s="1" t="s">
        <v>132</v>
      </c>
    </row>
    <row r="1697" ht="15.75" customHeight="1">
      <c r="A1697" s="1" t="s">
        <v>127</v>
      </c>
      <c r="B1697" s="1" t="s">
        <v>33282</v>
      </c>
      <c r="C1697" s="1" t="s">
        <v>538</v>
      </c>
      <c r="D1697" s="8" t="s">
        <v>539</v>
      </c>
      <c r="E1697" s="1" t="s">
        <v>540</v>
      </c>
      <c r="F1697" s="1" t="s">
        <v>132</v>
      </c>
      <c r="G1697" s="1" t="s">
        <v>541</v>
      </c>
      <c r="H1697" s="1" t="s">
        <v>538</v>
      </c>
      <c r="I1697" s="1" t="s">
        <v>538</v>
      </c>
      <c r="J1697" s="1" t="s">
        <v>538</v>
      </c>
      <c r="K1697" s="1" t="s">
        <v>538</v>
      </c>
      <c r="L1697" s="1" t="s">
        <v>538</v>
      </c>
      <c r="M1697" s="1" t="s">
        <v>538</v>
      </c>
      <c r="N1697" s="1" t="s">
        <v>132</v>
      </c>
      <c r="O1697" s="1" t="s">
        <v>544</v>
      </c>
      <c r="P1697" s="1" t="s">
        <v>33283</v>
      </c>
      <c r="Q1697" s="1" t="s">
        <v>132</v>
      </c>
      <c r="R1697" s="1" t="s">
        <v>33284</v>
      </c>
      <c r="S1697" s="1" t="s">
        <v>538</v>
      </c>
      <c r="T1697" s="8" t="s">
        <v>546</v>
      </c>
      <c r="U1697" s="1" t="s">
        <v>547</v>
      </c>
      <c r="V1697" s="1" t="s">
        <v>548</v>
      </c>
      <c r="W1697" s="1" t="s">
        <v>549</v>
      </c>
      <c r="X1697" s="1" t="s">
        <v>538</v>
      </c>
      <c r="Y1697" s="1" t="s">
        <v>538</v>
      </c>
      <c r="Z1697" s="1" t="s">
        <v>538</v>
      </c>
      <c r="AA1697" s="1" t="s">
        <v>33285</v>
      </c>
      <c r="AB1697" s="1" t="s">
        <v>550</v>
      </c>
      <c r="AC1697" s="1" t="s">
        <v>551</v>
      </c>
      <c r="AD1697" s="1" t="s">
        <v>552</v>
      </c>
      <c r="AE1697" s="1" t="s">
        <v>553</v>
      </c>
      <c r="AF1697" s="1" t="s">
        <v>538</v>
      </c>
      <c r="AG1697" s="1" t="s">
        <v>538</v>
      </c>
      <c r="AH1697" s="1" t="s">
        <v>554</v>
      </c>
      <c r="AI1697" s="1" t="s">
        <v>33286</v>
      </c>
      <c r="AJ1697" s="1" t="s">
        <v>132</v>
      </c>
      <c r="AK1697" s="1" t="s">
        <v>556</v>
      </c>
      <c r="AL1697" s="1" t="s">
        <v>33287</v>
      </c>
      <c r="AM1697" s="1" t="s">
        <v>33288</v>
      </c>
      <c r="AN1697" s="1" t="s">
        <v>33288</v>
      </c>
    </row>
    <row r="1698" ht="15.75" customHeight="1">
      <c r="A1698" s="1" t="s">
        <v>127</v>
      </c>
      <c r="B1698" s="1" t="s">
        <v>33289</v>
      </c>
      <c r="C1698" s="1" t="s">
        <v>33290</v>
      </c>
      <c r="D1698" s="8" t="s">
        <v>33291</v>
      </c>
      <c r="E1698" s="1" t="s">
        <v>33292</v>
      </c>
      <c r="F1698" s="1" t="s">
        <v>132</v>
      </c>
      <c r="G1698" s="1" t="s">
        <v>33293</v>
      </c>
      <c r="H1698" s="1" t="s">
        <v>33294</v>
      </c>
      <c r="I1698" s="1" t="s">
        <v>33295</v>
      </c>
      <c r="J1698" s="1" t="s">
        <v>33296</v>
      </c>
      <c r="K1698" s="1" t="s">
        <v>33297</v>
      </c>
      <c r="L1698" s="1" t="s">
        <v>33298</v>
      </c>
      <c r="M1698" s="1" t="s">
        <v>33299</v>
      </c>
      <c r="N1698" s="1" t="s">
        <v>132</v>
      </c>
      <c r="O1698" s="1" t="s">
        <v>33300</v>
      </c>
      <c r="P1698" s="1" t="s">
        <v>33301</v>
      </c>
      <c r="Q1698" s="1" t="s">
        <v>132</v>
      </c>
      <c r="R1698" s="1" t="s">
        <v>33302</v>
      </c>
      <c r="S1698" s="1" t="s">
        <v>33303</v>
      </c>
      <c r="T1698" s="8" t="s">
        <v>33304</v>
      </c>
      <c r="U1698" s="1" t="s">
        <v>33305</v>
      </c>
      <c r="V1698" s="1" t="s">
        <v>33306</v>
      </c>
      <c r="W1698" s="1" t="s">
        <v>33307</v>
      </c>
      <c r="X1698" s="1" t="s">
        <v>33308</v>
      </c>
      <c r="Y1698" s="1" t="s">
        <v>33294</v>
      </c>
      <c r="Z1698" s="1" t="s">
        <v>33309</v>
      </c>
      <c r="AA1698" s="1" t="s">
        <v>33310</v>
      </c>
      <c r="AB1698" s="1" t="s">
        <v>33311</v>
      </c>
      <c r="AC1698" s="1" t="s">
        <v>33312</v>
      </c>
      <c r="AD1698" s="1" t="s">
        <v>33313</v>
      </c>
      <c r="AE1698" s="1" t="s">
        <v>33314</v>
      </c>
      <c r="AF1698" s="1" t="s">
        <v>33315</v>
      </c>
      <c r="AG1698" s="1" t="s">
        <v>33316</v>
      </c>
      <c r="AH1698" s="1" t="s">
        <v>33317</v>
      </c>
      <c r="AI1698" s="1" t="s">
        <v>33318</v>
      </c>
      <c r="AJ1698" s="1" t="s">
        <v>132</v>
      </c>
      <c r="AK1698" s="1" t="s">
        <v>33319</v>
      </c>
      <c r="AL1698" s="1" t="s">
        <v>33320</v>
      </c>
      <c r="AM1698" s="1" t="s">
        <v>33321</v>
      </c>
      <c r="AN1698" s="1" t="s">
        <v>33321</v>
      </c>
    </row>
    <row r="1699" ht="15.75" customHeight="1">
      <c r="A1699" s="1" t="s">
        <v>38</v>
      </c>
      <c r="B1699" s="1" t="s">
        <v>33322</v>
      </c>
      <c r="C1699" s="1" t="s">
        <v>33323</v>
      </c>
      <c r="D1699" s="1" t="s">
        <v>132</v>
      </c>
      <c r="E1699" s="1" t="s">
        <v>132</v>
      </c>
      <c r="F1699" s="1" t="s">
        <v>132</v>
      </c>
      <c r="G1699" s="1" t="s">
        <v>132</v>
      </c>
      <c r="H1699" s="1" t="s">
        <v>132</v>
      </c>
      <c r="I1699" s="1" t="s">
        <v>33323</v>
      </c>
      <c r="J1699" s="1" t="s">
        <v>132</v>
      </c>
      <c r="K1699" s="1" t="s">
        <v>33323</v>
      </c>
      <c r="L1699" s="1" t="s">
        <v>132</v>
      </c>
      <c r="M1699" s="1" t="s">
        <v>33324</v>
      </c>
      <c r="N1699" s="1" t="s">
        <v>132</v>
      </c>
      <c r="O1699" s="1" t="s">
        <v>132</v>
      </c>
      <c r="P1699" s="1" t="s">
        <v>33323</v>
      </c>
      <c r="Q1699" s="1" t="s">
        <v>132</v>
      </c>
      <c r="R1699" s="1" t="s">
        <v>132</v>
      </c>
      <c r="S1699" s="1" t="s">
        <v>132</v>
      </c>
      <c r="T1699" s="1" t="s">
        <v>132</v>
      </c>
      <c r="U1699" s="1" t="s">
        <v>132</v>
      </c>
      <c r="V1699" s="1" t="s">
        <v>132</v>
      </c>
      <c r="W1699" s="1" t="s">
        <v>132</v>
      </c>
      <c r="X1699" s="1" t="s">
        <v>132</v>
      </c>
      <c r="Y1699" s="1" t="s">
        <v>132</v>
      </c>
      <c r="Z1699" s="1" t="s">
        <v>132</v>
      </c>
      <c r="AA1699" s="1" t="s">
        <v>132</v>
      </c>
      <c r="AB1699" s="1" t="s">
        <v>132</v>
      </c>
      <c r="AC1699" s="1" t="s">
        <v>33325</v>
      </c>
      <c r="AD1699" s="1" t="s">
        <v>132</v>
      </c>
      <c r="AE1699" s="1" t="s">
        <v>132</v>
      </c>
      <c r="AF1699" s="1" t="s">
        <v>33326</v>
      </c>
      <c r="AG1699" s="1" t="s">
        <v>132</v>
      </c>
      <c r="AH1699" s="1" t="s">
        <v>132</v>
      </c>
      <c r="AI1699" s="1" t="s">
        <v>132</v>
      </c>
      <c r="AJ1699" s="1" t="s">
        <v>132</v>
      </c>
      <c r="AK1699" s="1" t="s">
        <v>132</v>
      </c>
      <c r="AL1699" s="1" t="s">
        <v>132</v>
      </c>
      <c r="AM1699" s="1" t="s">
        <v>132</v>
      </c>
      <c r="AN1699" s="1" t="s">
        <v>132</v>
      </c>
    </row>
    <row r="1700" ht="15.75" customHeight="1">
      <c r="A1700" s="1" t="s">
        <v>38</v>
      </c>
      <c r="B1700" s="1" t="s">
        <v>33327</v>
      </c>
      <c r="C1700" s="1" t="s">
        <v>33328</v>
      </c>
      <c r="D1700" s="1" t="s">
        <v>132</v>
      </c>
      <c r="E1700" s="1" t="s">
        <v>33329</v>
      </c>
      <c r="F1700" s="1" t="s">
        <v>132</v>
      </c>
      <c r="G1700" s="1" t="s">
        <v>132</v>
      </c>
      <c r="H1700" s="1" t="s">
        <v>132</v>
      </c>
      <c r="I1700" s="1" t="s">
        <v>33330</v>
      </c>
      <c r="J1700" s="1" t="s">
        <v>132</v>
      </c>
      <c r="K1700" s="1" t="s">
        <v>33331</v>
      </c>
      <c r="L1700" s="1" t="s">
        <v>132</v>
      </c>
      <c r="M1700" s="1" t="s">
        <v>33332</v>
      </c>
      <c r="N1700" s="1" t="s">
        <v>33333</v>
      </c>
      <c r="O1700" s="1" t="s">
        <v>132</v>
      </c>
      <c r="P1700" s="1" t="s">
        <v>33334</v>
      </c>
      <c r="Q1700" s="1" t="s">
        <v>132</v>
      </c>
      <c r="R1700" s="1" t="s">
        <v>132</v>
      </c>
      <c r="S1700" s="1" t="s">
        <v>33335</v>
      </c>
      <c r="T1700" s="1" t="s">
        <v>132</v>
      </c>
      <c r="U1700" s="1" t="s">
        <v>132</v>
      </c>
      <c r="V1700" s="1" t="s">
        <v>132</v>
      </c>
      <c r="W1700" s="1" t="s">
        <v>132</v>
      </c>
      <c r="X1700" s="1" t="s">
        <v>33336</v>
      </c>
      <c r="Y1700" s="1" t="s">
        <v>132</v>
      </c>
      <c r="Z1700" s="1" t="s">
        <v>33337</v>
      </c>
      <c r="AA1700" s="1" t="s">
        <v>132</v>
      </c>
      <c r="AB1700" s="1" t="s">
        <v>132</v>
      </c>
      <c r="AC1700" s="1" t="s">
        <v>132</v>
      </c>
      <c r="AD1700" s="1" t="s">
        <v>132</v>
      </c>
      <c r="AE1700" s="1" t="s">
        <v>132</v>
      </c>
      <c r="AF1700" s="1" t="s">
        <v>132</v>
      </c>
      <c r="AG1700" s="1" t="s">
        <v>132</v>
      </c>
      <c r="AH1700" s="1" t="s">
        <v>132</v>
      </c>
      <c r="AI1700" s="1" t="s">
        <v>132</v>
      </c>
      <c r="AJ1700" s="1" t="s">
        <v>132</v>
      </c>
      <c r="AK1700" s="1" t="s">
        <v>132</v>
      </c>
      <c r="AL1700" s="1" t="s">
        <v>132</v>
      </c>
      <c r="AM1700" s="1" t="s">
        <v>132</v>
      </c>
      <c r="AN1700" s="1" t="s">
        <v>132</v>
      </c>
    </row>
    <row r="1701" ht="15.75" customHeight="1">
      <c r="A1701" s="1" t="s">
        <v>11050</v>
      </c>
      <c r="B1701" s="1" t="s">
        <v>33338</v>
      </c>
      <c r="C1701" s="1" t="s">
        <v>132</v>
      </c>
      <c r="D1701" s="8" t="s">
        <v>33339</v>
      </c>
      <c r="E1701" s="1" t="s">
        <v>33340</v>
      </c>
      <c r="F1701" s="1" t="s">
        <v>132</v>
      </c>
      <c r="G1701" s="1" t="s">
        <v>132</v>
      </c>
      <c r="H1701" s="1" t="s">
        <v>132</v>
      </c>
      <c r="I1701" s="1" t="s">
        <v>132</v>
      </c>
      <c r="J1701" s="1" t="s">
        <v>132</v>
      </c>
      <c r="K1701" s="1" t="s">
        <v>132</v>
      </c>
      <c r="L1701" s="1" t="s">
        <v>132</v>
      </c>
      <c r="M1701" s="1" t="s">
        <v>132</v>
      </c>
      <c r="N1701" s="1" t="s">
        <v>132</v>
      </c>
      <c r="O1701" s="1" t="s">
        <v>132</v>
      </c>
      <c r="P1701" s="1" t="s">
        <v>132</v>
      </c>
      <c r="Q1701" s="1" t="s">
        <v>132</v>
      </c>
      <c r="R1701" s="1" t="s">
        <v>132</v>
      </c>
      <c r="S1701" s="1" t="s">
        <v>132</v>
      </c>
      <c r="T1701" s="1" t="s">
        <v>132</v>
      </c>
      <c r="U1701" s="1" t="s">
        <v>132</v>
      </c>
      <c r="V1701" s="1" t="s">
        <v>33341</v>
      </c>
      <c r="W1701" s="1" t="s">
        <v>132</v>
      </c>
      <c r="X1701" s="1" t="s">
        <v>132</v>
      </c>
      <c r="Y1701" s="1" t="s">
        <v>132</v>
      </c>
      <c r="Z1701" s="1" t="s">
        <v>132</v>
      </c>
      <c r="AA1701" s="1" t="s">
        <v>132</v>
      </c>
      <c r="AB1701" s="1" t="s">
        <v>132</v>
      </c>
      <c r="AC1701" s="1" t="s">
        <v>132</v>
      </c>
      <c r="AD1701" s="1" t="s">
        <v>132</v>
      </c>
      <c r="AE1701" s="1" t="s">
        <v>132</v>
      </c>
      <c r="AF1701" s="1" t="s">
        <v>132</v>
      </c>
      <c r="AG1701" s="1" t="s">
        <v>132</v>
      </c>
      <c r="AH1701" s="1" t="s">
        <v>132</v>
      </c>
      <c r="AI1701" s="1" t="s">
        <v>132</v>
      </c>
      <c r="AJ1701" s="1" t="s">
        <v>132</v>
      </c>
      <c r="AK1701" s="1" t="s">
        <v>132</v>
      </c>
      <c r="AL1701" s="1" t="s">
        <v>132</v>
      </c>
      <c r="AM1701" s="1" t="s">
        <v>132</v>
      </c>
      <c r="AN1701" s="1" t="s">
        <v>132</v>
      </c>
    </row>
    <row r="1702" ht="15.75" customHeight="1">
      <c r="A1702" s="1" t="s">
        <v>38</v>
      </c>
      <c r="B1702" s="1" t="s">
        <v>33342</v>
      </c>
      <c r="C1702" s="1" t="s">
        <v>31530</v>
      </c>
      <c r="D1702" s="8" t="s">
        <v>33343</v>
      </c>
      <c r="E1702" s="1" t="s">
        <v>31532</v>
      </c>
      <c r="F1702" s="1" t="s">
        <v>33344</v>
      </c>
      <c r="G1702" s="1" t="s">
        <v>132</v>
      </c>
      <c r="H1702" s="1" t="s">
        <v>132</v>
      </c>
      <c r="I1702" s="1" t="s">
        <v>31534</v>
      </c>
      <c r="J1702" s="1" t="s">
        <v>132</v>
      </c>
      <c r="K1702" s="1" t="s">
        <v>31535</v>
      </c>
      <c r="L1702" s="1" t="s">
        <v>132</v>
      </c>
      <c r="M1702" s="1" t="s">
        <v>31536</v>
      </c>
      <c r="N1702" s="1" t="s">
        <v>31535</v>
      </c>
      <c r="O1702" s="1" t="s">
        <v>132</v>
      </c>
      <c r="P1702" s="1" t="s">
        <v>31537</v>
      </c>
      <c r="Q1702" s="1" t="s">
        <v>31538</v>
      </c>
      <c r="R1702" s="1" t="s">
        <v>132</v>
      </c>
      <c r="S1702" s="1" t="s">
        <v>31539</v>
      </c>
      <c r="T1702" s="1" t="s">
        <v>132</v>
      </c>
      <c r="U1702" s="1" t="s">
        <v>31540</v>
      </c>
      <c r="V1702" s="1" t="s">
        <v>31541</v>
      </c>
      <c r="W1702" s="1" t="s">
        <v>132</v>
      </c>
      <c r="X1702" s="1" t="s">
        <v>31542</v>
      </c>
      <c r="Y1702" s="1" t="s">
        <v>132</v>
      </c>
      <c r="Z1702" s="1" t="s">
        <v>31543</v>
      </c>
      <c r="AA1702" s="1" t="s">
        <v>31544</v>
      </c>
      <c r="AB1702" s="1" t="s">
        <v>132</v>
      </c>
      <c r="AC1702" s="1" t="s">
        <v>31545</v>
      </c>
      <c r="AD1702" s="1" t="s">
        <v>31546</v>
      </c>
      <c r="AE1702" s="1" t="s">
        <v>132</v>
      </c>
      <c r="AF1702" s="1" t="s">
        <v>33345</v>
      </c>
      <c r="AG1702" s="1" t="s">
        <v>31548</v>
      </c>
      <c r="AH1702" s="1" t="s">
        <v>132</v>
      </c>
      <c r="AI1702" s="1" t="s">
        <v>132</v>
      </c>
      <c r="AJ1702" s="1" t="s">
        <v>31549</v>
      </c>
      <c r="AK1702" s="1" t="s">
        <v>31550</v>
      </c>
      <c r="AL1702" s="1" t="s">
        <v>132</v>
      </c>
      <c r="AM1702" s="1" t="s">
        <v>31551</v>
      </c>
      <c r="AN1702" s="1" t="s">
        <v>31551</v>
      </c>
    </row>
    <row r="1703" ht="15.75" customHeight="1">
      <c r="A1703" s="1" t="s">
        <v>127</v>
      </c>
      <c r="B1703" s="1" t="s">
        <v>33346</v>
      </c>
      <c r="C1703" s="1" t="s">
        <v>33347</v>
      </c>
      <c r="D1703" s="8" t="s">
        <v>33348</v>
      </c>
      <c r="E1703" s="1" t="s">
        <v>33349</v>
      </c>
      <c r="F1703" s="1" t="s">
        <v>132</v>
      </c>
      <c r="G1703" s="1" t="s">
        <v>33350</v>
      </c>
      <c r="H1703" s="1" t="s">
        <v>33351</v>
      </c>
      <c r="I1703" s="1" t="s">
        <v>33352</v>
      </c>
      <c r="J1703" s="1" t="s">
        <v>33353</v>
      </c>
      <c r="K1703" s="1" t="s">
        <v>33354</v>
      </c>
      <c r="L1703" s="1" t="s">
        <v>33355</v>
      </c>
      <c r="M1703" s="1" t="s">
        <v>33356</v>
      </c>
      <c r="N1703" s="1" t="s">
        <v>132</v>
      </c>
      <c r="O1703" s="1" t="s">
        <v>33357</v>
      </c>
      <c r="P1703" s="1" t="s">
        <v>33358</v>
      </c>
      <c r="Q1703" s="1" t="s">
        <v>132</v>
      </c>
      <c r="R1703" s="1" t="s">
        <v>33359</v>
      </c>
      <c r="S1703" s="1" t="s">
        <v>33360</v>
      </c>
      <c r="T1703" s="8" t="s">
        <v>33361</v>
      </c>
      <c r="U1703" s="1" t="s">
        <v>33362</v>
      </c>
      <c r="V1703" s="1" t="s">
        <v>33363</v>
      </c>
      <c r="W1703" s="1" t="s">
        <v>33359</v>
      </c>
      <c r="X1703" s="1" t="s">
        <v>33364</v>
      </c>
      <c r="Y1703" s="1" t="s">
        <v>33365</v>
      </c>
      <c r="Z1703" s="1" t="s">
        <v>33366</v>
      </c>
      <c r="AA1703" s="1" t="s">
        <v>33367</v>
      </c>
      <c r="AB1703" s="1" t="s">
        <v>33368</v>
      </c>
      <c r="AC1703" s="1" t="s">
        <v>33369</v>
      </c>
      <c r="AD1703" s="1" t="s">
        <v>33370</v>
      </c>
      <c r="AE1703" s="1" t="s">
        <v>33371</v>
      </c>
      <c r="AF1703" s="1" t="s">
        <v>33372</v>
      </c>
      <c r="AG1703" s="1" t="s">
        <v>33373</v>
      </c>
      <c r="AH1703" s="1" t="s">
        <v>33374</v>
      </c>
      <c r="AI1703" s="1" t="s">
        <v>33375</v>
      </c>
      <c r="AJ1703" s="1" t="s">
        <v>132</v>
      </c>
      <c r="AK1703" s="1" t="s">
        <v>33376</v>
      </c>
      <c r="AL1703" s="1" t="s">
        <v>33377</v>
      </c>
      <c r="AM1703" s="1" t="s">
        <v>132</v>
      </c>
      <c r="AN1703" s="1" t="s">
        <v>132</v>
      </c>
    </row>
    <row r="1704" ht="15.75" customHeight="1">
      <c r="A1704" s="1" t="s">
        <v>38</v>
      </c>
      <c r="B1704" s="1" t="s">
        <v>33378</v>
      </c>
      <c r="C1704" s="1" t="s">
        <v>33379</v>
      </c>
      <c r="D1704" s="8" t="s">
        <v>33380</v>
      </c>
      <c r="E1704" s="1" t="s">
        <v>33381</v>
      </c>
      <c r="F1704" s="1" t="s">
        <v>33382</v>
      </c>
      <c r="G1704" s="1" t="s">
        <v>132</v>
      </c>
      <c r="H1704" s="1" t="s">
        <v>132</v>
      </c>
      <c r="I1704" s="1" t="s">
        <v>33383</v>
      </c>
      <c r="J1704" s="1" t="s">
        <v>132</v>
      </c>
      <c r="K1704" s="1" t="s">
        <v>33384</v>
      </c>
      <c r="L1704" s="1" t="s">
        <v>132</v>
      </c>
      <c r="M1704" s="1" t="s">
        <v>33385</v>
      </c>
      <c r="N1704" s="1" t="s">
        <v>33382</v>
      </c>
      <c r="O1704" s="1" t="s">
        <v>132</v>
      </c>
      <c r="P1704" s="1" t="s">
        <v>33386</v>
      </c>
      <c r="Q1704" s="1" t="s">
        <v>132</v>
      </c>
      <c r="R1704" s="1" t="s">
        <v>132</v>
      </c>
      <c r="S1704" s="1" t="s">
        <v>33387</v>
      </c>
      <c r="T1704" s="1" t="s">
        <v>132</v>
      </c>
      <c r="U1704" s="1" t="s">
        <v>33388</v>
      </c>
      <c r="V1704" s="1" t="s">
        <v>132</v>
      </c>
      <c r="W1704" s="1" t="s">
        <v>132</v>
      </c>
      <c r="X1704" s="1" t="s">
        <v>33389</v>
      </c>
      <c r="Y1704" s="1" t="s">
        <v>132</v>
      </c>
      <c r="Z1704" s="1" t="s">
        <v>33390</v>
      </c>
      <c r="AA1704" s="1" t="s">
        <v>132</v>
      </c>
      <c r="AB1704" s="1" t="s">
        <v>132</v>
      </c>
      <c r="AC1704" s="1" t="s">
        <v>33391</v>
      </c>
      <c r="AD1704" s="1" t="s">
        <v>132</v>
      </c>
      <c r="AE1704" s="1" t="s">
        <v>132</v>
      </c>
      <c r="AF1704" s="1" t="s">
        <v>33392</v>
      </c>
      <c r="AG1704" s="1" t="s">
        <v>132</v>
      </c>
      <c r="AH1704" s="1" t="s">
        <v>132</v>
      </c>
      <c r="AI1704" s="1" t="s">
        <v>132</v>
      </c>
      <c r="AJ1704" s="1" t="s">
        <v>33393</v>
      </c>
      <c r="AK1704" s="1" t="s">
        <v>132</v>
      </c>
      <c r="AL1704" s="1" t="s">
        <v>132</v>
      </c>
      <c r="AM1704" s="1" t="s">
        <v>132</v>
      </c>
      <c r="AN1704" s="1" t="s">
        <v>132</v>
      </c>
    </row>
    <row r="1705" ht="15.75" customHeight="1">
      <c r="A1705" s="1" t="s">
        <v>38</v>
      </c>
      <c r="B1705" s="1" t="s">
        <v>33394</v>
      </c>
      <c r="C1705" s="1" t="s">
        <v>33395</v>
      </c>
      <c r="D1705" s="8" t="s">
        <v>33396</v>
      </c>
      <c r="E1705" s="1" t="s">
        <v>33397</v>
      </c>
      <c r="F1705" s="1" t="s">
        <v>33398</v>
      </c>
      <c r="G1705" s="1" t="s">
        <v>132</v>
      </c>
      <c r="H1705" s="1" t="s">
        <v>132</v>
      </c>
      <c r="I1705" s="1" t="s">
        <v>33399</v>
      </c>
      <c r="J1705" s="1" t="s">
        <v>132</v>
      </c>
      <c r="K1705" s="1" t="s">
        <v>33400</v>
      </c>
      <c r="L1705" s="1" t="s">
        <v>132</v>
      </c>
      <c r="M1705" s="1" t="s">
        <v>33401</v>
      </c>
      <c r="N1705" s="1" t="s">
        <v>33402</v>
      </c>
      <c r="O1705" s="1" t="s">
        <v>132</v>
      </c>
      <c r="P1705" s="1" t="s">
        <v>33403</v>
      </c>
      <c r="Q1705" s="1" t="s">
        <v>132</v>
      </c>
      <c r="R1705" s="1" t="s">
        <v>132</v>
      </c>
      <c r="S1705" s="1" t="s">
        <v>33404</v>
      </c>
      <c r="T1705" s="1" t="s">
        <v>132</v>
      </c>
      <c r="U1705" s="1" t="s">
        <v>132</v>
      </c>
      <c r="V1705" s="1" t="s">
        <v>132</v>
      </c>
      <c r="W1705" s="1" t="s">
        <v>132</v>
      </c>
      <c r="X1705" s="1" t="s">
        <v>33405</v>
      </c>
      <c r="Y1705" s="1" t="s">
        <v>132</v>
      </c>
      <c r="Z1705" s="1" t="s">
        <v>33406</v>
      </c>
      <c r="AA1705" s="1" t="s">
        <v>132</v>
      </c>
      <c r="AB1705" s="1" t="s">
        <v>132</v>
      </c>
      <c r="AC1705" s="1" t="s">
        <v>132</v>
      </c>
      <c r="AD1705" s="1" t="s">
        <v>132</v>
      </c>
      <c r="AE1705" s="1" t="s">
        <v>132</v>
      </c>
      <c r="AF1705" s="1" t="s">
        <v>132</v>
      </c>
      <c r="AG1705" s="1" t="s">
        <v>132</v>
      </c>
      <c r="AH1705" s="1" t="s">
        <v>132</v>
      </c>
      <c r="AI1705" s="1" t="s">
        <v>132</v>
      </c>
      <c r="AJ1705" s="1" t="s">
        <v>132</v>
      </c>
      <c r="AK1705" s="1" t="s">
        <v>132</v>
      </c>
      <c r="AL1705" s="1" t="s">
        <v>132</v>
      </c>
      <c r="AM1705" s="1" t="s">
        <v>132</v>
      </c>
      <c r="AN1705" s="1" t="s">
        <v>132</v>
      </c>
    </row>
    <row r="1706" ht="15.75" customHeight="1">
      <c r="A1706" s="1" t="s">
        <v>38</v>
      </c>
      <c r="B1706" s="1" t="s">
        <v>33407</v>
      </c>
      <c r="C1706" s="1" t="s">
        <v>33408</v>
      </c>
      <c r="D1706" s="8" t="s">
        <v>33409</v>
      </c>
      <c r="E1706" s="1" t="s">
        <v>33410</v>
      </c>
      <c r="F1706" s="1" t="s">
        <v>33411</v>
      </c>
      <c r="G1706" s="1" t="s">
        <v>132</v>
      </c>
      <c r="H1706" s="1" t="s">
        <v>132</v>
      </c>
      <c r="I1706" s="1" t="s">
        <v>33412</v>
      </c>
      <c r="J1706" s="1" t="s">
        <v>132</v>
      </c>
      <c r="K1706" s="1" t="s">
        <v>33413</v>
      </c>
      <c r="L1706" s="1" t="s">
        <v>132</v>
      </c>
      <c r="M1706" s="1" t="s">
        <v>33414</v>
      </c>
      <c r="N1706" s="1" t="s">
        <v>33415</v>
      </c>
      <c r="O1706" s="1" t="s">
        <v>132</v>
      </c>
      <c r="P1706" s="1" t="s">
        <v>33416</v>
      </c>
      <c r="Q1706" s="1" t="s">
        <v>33417</v>
      </c>
      <c r="R1706" s="1" t="s">
        <v>132</v>
      </c>
      <c r="S1706" s="1" t="s">
        <v>33418</v>
      </c>
      <c r="T1706" s="1" t="s">
        <v>132</v>
      </c>
      <c r="U1706" s="1" t="s">
        <v>33419</v>
      </c>
      <c r="V1706" s="1" t="s">
        <v>33420</v>
      </c>
      <c r="W1706" s="1" t="s">
        <v>132</v>
      </c>
      <c r="X1706" s="1" t="s">
        <v>33421</v>
      </c>
      <c r="Y1706" s="1" t="s">
        <v>132</v>
      </c>
      <c r="Z1706" s="1" t="s">
        <v>33422</v>
      </c>
      <c r="AA1706" s="1" t="s">
        <v>33423</v>
      </c>
      <c r="AB1706" s="1" t="s">
        <v>132</v>
      </c>
      <c r="AC1706" s="1" t="s">
        <v>33424</v>
      </c>
      <c r="AD1706" s="1" t="s">
        <v>33425</v>
      </c>
      <c r="AE1706" s="1" t="s">
        <v>132</v>
      </c>
      <c r="AF1706" s="1" t="s">
        <v>33426</v>
      </c>
      <c r="AG1706" s="1" t="s">
        <v>33427</v>
      </c>
      <c r="AH1706" s="1" t="s">
        <v>132</v>
      </c>
      <c r="AI1706" s="1" t="s">
        <v>132</v>
      </c>
      <c r="AJ1706" s="1" t="s">
        <v>33428</v>
      </c>
      <c r="AK1706" s="1" t="s">
        <v>33429</v>
      </c>
      <c r="AL1706" s="1" t="s">
        <v>132</v>
      </c>
      <c r="AM1706" s="1" t="s">
        <v>33430</v>
      </c>
      <c r="AN1706" s="1" t="s">
        <v>33430</v>
      </c>
    </row>
    <row r="1707" ht="15.75" customHeight="1">
      <c r="A1707" s="1" t="s">
        <v>38</v>
      </c>
      <c r="B1707" s="1" t="s">
        <v>33431</v>
      </c>
      <c r="C1707" s="1" t="s">
        <v>33432</v>
      </c>
      <c r="D1707" s="1" t="s">
        <v>132</v>
      </c>
      <c r="E1707" s="1" t="s">
        <v>33433</v>
      </c>
      <c r="F1707" s="1" t="s">
        <v>132</v>
      </c>
      <c r="G1707" s="1" t="s">
        <v>132</v>
      </c>
      <c r="H1707" s="1" t="s">
        <v>132</v>
      </c>
      <c r="I1707" s="1" t="s">
        <v>33434</v>
      </c>
      <c r="J1707" s="1" t="s">
        <v>132</v>
      </c>
      <c r="K1707" s="1" t="s">
        <v>33435</v>
      </c>
      <c r="L1707" s="1" t="s">
        <v>132</v>
      </c>
      <c r="M1707" s="1" t="s">
        <v>33436</v>
      </c>
      <c r="N1707" s="1" t="s">
        <v>33437</v>
      </c>
      <c r="O1707" s="1" t="s">
        <v>132</v>
      </c>
      <c r="P1707" s="1" t="s">
        <v>33438</v>
      </c>
      <c r="Q1707" s="1" t="s">
        <v>132</v>
      </c>
      <c r="R1707" s="1" t="s">
        <v>132</v>
      </c>
      <c r="S1707" s="1" t="s">
        <v>33439</v>
      </c>
      <c r="T1707" s="1" t="s">
        <v>132</v>
      </c>
      <c r="U1707" s="1" t="s">
        <v>132</v>
      </c>
      <c r="V1707" s="1" t="s">
        <v>132</v>
      </c>
      <c r="W1707" s="1" t="s">
        <v>132</v>
      </c>
      <c r="X1707" s="1" t="s">
        <v>33440</v>
      </c>
      <c r="Y1707" s="1" t="s">
        <v>132</v>
      </c>
      <c r="Z1707" s="1" t="s">
        <v>33441</v>
      </c>
      <c r="AA1707" s="1" t="s">
        <v>132</v>
      </c>
      <c r="AB1707" s="1" t="s">
        <v>132</v>
      </c>
      <c r="AC1707" s="1" t="s">
        <v>132</v>
      </c>
      <c r="AD1707" s="1" t="s">
        <v>132</v>
      </c>
      <c r="AE1707" s="1" t="s">
        <v>132</v>
      </c>
      <c r="AF1707" s="1" t="s">
        <v>132</v>
      </c>
      <c r="AG1707" s="1" t="s">
        <v>132</v>
      </c>
      <c r="AH1707" s="1" t="s">
        <v>132</v>
      </c>
      <c r="AI1707" s="1" t="s">
        <v>132</v>
      </c>
      <c r="AJ1707" s="1" t="s">
        <v>132</v>
      </c>
      <c r="AK1707" s="1" t="s">
        <v>132</v>
      </c>
      <c r="AL1707" s="1" t="s">
        <v>132</v>
      </c>
      <c r="AM1707" s="1" t="s">
        <v>132</v>
      </c>
      <c r="AN1707" s="1" t="s">
        <v>132</v>
      </c>
    </row>
    <row r="1708" ht="15.75" customHeight="1">
      <c r="A1708" s="1" t="s">
        <v>127</v>
      </c>
      <c r="B1708" s="1" t="s">
        <v>33442</v>
      </c>
      <c r="C1708" s="1" t="s">
        <v>33443</v>
      </c>
      <c r="D1708" s="8" t="s">
        <v>5994</v>
      </c>
      <c r="E1708" s="1" t="s">
        <v>5995</v>
      </c>
      <c r="F1708" s="1" t="s">
        <v>132</v>
      </c>
      <c r="G1708" s="1" t="s">
        <v>33444</v>
      </c>
      <c r="H1708" s="1" t="s">
        <v>33443</v>
      </c>
      <c r="I1708" s="1" t="s">
        <v>33445</v>
      </c>
      <c r="J1708" s="1" t="s">
        <v>33446</v>
      </c>
      <c r="K1708" s="1" t="s">
        <v>33447</v>
      </c>
      <c r="L1708" s="1" t="s">
        <v>33448</v>
      </c>
      <c r="M1708" s="1" t="s">
        <v>33447</v>
      </c>
      <c r="N1708" s="1" t="s">
        <v>132</v>
      </c>
      <c r="O1708" s="1" t="s">
        <v>33449</v>
      </c>
      <c r="P1708" s="1" t="s">
        <v>33450</v>
      </c>
      <c r="Q1708" s="1" t="s">
        <v>132</v>
      </c>
      <c r="R1708" s="1" t="s">
        <v>33451</v>
      </c>
      <c r="S1708" s="1" t="s">
        <v>33443</v>
      </c>
      <c r="T1708" s="8" t="s">
        <v>6007</v>
      </c>
      <c r="U1708" s="1" t="s">
        <v>33443</v>
      </c>
      <c r="V1708" s="1" t="s">
        <v>6009</v>
      </c>
      <c r="W1708" s="1" t="s">
        <v>33451</v>
      </c>
      <c r="X1708" s="1" t="s">
        <v>33443</v>
      </c>
      <c r="Y1708" s="1" t="s">
        <v>33452</v>
      </c>
      <c r="Z1708" s="1" t="s">
        <v>33453</v>
      </c>
      <c r="AA1708" s="1" t="s">
        <v>6013</v>
      </c>
      <c r="AB1708" s="1" t="s">
        <v>33447</v>
      </c>
      <c r="AC1708" s="1" t="s">
        <v>33454</v>
      </c>
      <c r="AD1708" s="1" t="s">
        <v>33443</v>
      </c>
      <c r="AE1708" s="1" t="s">
        <v>33443</v>
      </c>
      <c r="AF1708" s="1" t="s">
        <v>33455</v>
      </c>
      <c r="AG1708" s="1" t="s">
        <v>33452</v>
      </c>
      <c r="AH1708" s="1" t="s">
        <v>6018</v>
      </c>
      <c r="AI1708" s="1" t="s">
        <v>33456</v>
      </c>
      <c r="AJ1708" s="1" t="s">
        <v>132</v>
      </c>
      <c r="AK1708" s="1" t="s">
        <v>33457</v>
      </c>
      <c r="AL1708" s="1" t="s">
        <v>6021</v>
      </c>
      <c r="AM1708" s="1" t="s">
        <v>6022</v>
      </c>
      <c r="AN1708" s="1" t="s">
        <v>6022</v>
      </c>
    </row>
    <row r="1709" ht="15.75" customHeight="1">
      <c r="A1709" s="1" t="s">
        <v>127</v>
      </c>
      <c r="B1709" s="1" t="s">
        <v>33458</v>
      </c>
      <c r="C1709" s="1" t="s">
        <v>33459</v>
      </c>
      <c r="D1709" s="8" t="s">
        <v>33460</v>
      </c>
      <c r="E1709" s="1" t="s">
        <v>33461</v>
      </c>
      <c r="F1709" s="1" t="s">
        <v>132</v>
      </c>
      <c r="G1709" s="1" t="s">
        <v>15646</v>
      </c>
      <c r="H1709" s="1" t="s">
        <v>33462</v>
      </c>
      <c r="I1709" s="1" t="s">
        <v>33463</v>
      </c>
      <c r="J1709" s="1" t="s">
        <v>33464</v>
      </c>
      <c r="K1709" s="1" t="s">
        <v>15650</v>
      </c>
      <c r="L1709" s="1" t="s">
        <v>33465</v>
      </c>
      <c r="M1709" s="1" t="s">
        <v>33466</v>
      </c>
      <c r="N1709" s="1" t="s">
        <v>132</v>
      </c>
      <c r="O1709" s="1" t="s">
        <v>33467</v>
      </c>
      <c r="P1709" s="1" t="s">
        <v>33468</v>
      </c>
      <c r="Q1709" s="1" t="s">
        <v>132</v>
      </c>
      <c r="R1709" s="1" t="s">
        <v>33469</v>
      </c>
      <c r="S1709" s="1" t="s">
        <v>33470</v>
      </c>
      <c r="T1709" s="8" t="s">
        <v>33471</v>
      </c>
      <c r="U1709" s="1" t="s">
        <v>33472</v>
      </c>
      <c r="V1709" s="1" t="s">
        <v>15657</v>
      </c>
      <c r="W1709" s="1" t="s">
        <v>33469</v>
      </c>
      <c r="X1709" s="1" t="s">
        <v>33473</v>
      </c>
      <c r="Y1709" s="1" t="s">
        <v>33474</v>
      </c>
      <c r="Z1709" s="1" t="s">
        <v>33475</v>
      </c>
      <c r="AA1709" s="1" t="s">
        <v>33476</v>
      </c>
      <c r="AB1709" s="1" t="s">
        <v>33477</v>
      </c>
      <c r="AC1709" s="1" t="s">
        <v>15663</v>
      </c>
      <c r="AD1709" s="1" t="s">
        <v>33478</v>
      </c>
      <c r="AE1709" s="1" t="s">
        <v>33479</v>
      </c>
      <c r="AF1709" s="1" t="s">
        <v>33480</v>
      </c>
      <c r="AG1709" s="1" t="s">
        <v>33481</v>
      </c>
      <c r="AH1709" s="1" t="s">
        <v>15668</v>
      </c>
      <c r="AI1709" s="1" t="s">
        <v>33482</v>
      </c>
      <c r="AJ1709" s="1" t="s">
        <v>132</v>
      </c>
      <c r="AK1709" s="1" t="s">
        <v>33483</v>
      </c>
      <c r="AL1709" s="1" t="s">
        <v>33484</v>
      </c>
      <c r="AM1709" s="1" t="s">
        <v>33485</v>
      </c>
      <c r="AN1709" s="1" t="s">
        <v>33485</v>
      </c>
    </row>
    <row r="1710" ht="15.75" customHeight="1">
      <c r="A1710" s="1" t="s">
        <v>127</v>
      </c>
      <c r="B1710" s="1" t="s">
        <v>33486</v>
      </c>
      <c r="C1710" s="1" t="s">
        <v>33487</v>
      </c>
      <c r="D1710" s="8" t="s">
        <v>33488</v>
      </c>
      <c r="E1710" s="1" t="s">
        <v>33489</v>
      </c>
      <c r="F1710" s="1" t="s">
        <v>132</v>
      </c>
      <c r="G1710" s="1" t="s">
        <v>33490</v>
      </c>
      <c r="H1710" s="1" t="s">
        <v>33491</v>
      </c>
      <c r="I1710" s="1" t="s">
        <v>33492</v>
      </c>
      <c r="J1710" s="1" t="s">
        <v>33493</v>
      </c>
      <c r="K1710" s="1" t="s">
        <v>33494</v>
      </c>
      <c r="L1710" s="1" t="s">
        <v>33495</v>
      </c>
      <c r="M1710" s="1" t="s">
        <v>33496</v>
      </c>
      <c r="N1710" s="1" t="s">
        <v>132</v>
      </c>
      <c r="O1710" s="1" t="s">
        <v>33497</v>
      </c>
      <c r="P1710" s="1" t="s">
        <v>33498</v>
      </c>
      <c r="Q1710" s="1" t="s">
        <v>132</v>
      </c>
      <c r="R1710" s="1" t="s">
        <v>33499</v>
      </c>
      <c r="S1710" s="1" t="s">
        <v>33500</v>
      </c>
      <c r="T1710" s="8" t="s">
        <v>33501</v>
      </c>
      <c r="U1710" s="1" t="s">
        <v>33502</v>
      </c>
      <c r="V1710" s="1" t="s">
        <v>33503</v>
      </c>
      <c r="W1710" s="1" t="s">
        <v>33504</v>
      </c>
      <c r="X1710" s="1" t="s">
        <v>33505</v>
      </c>
      <c r="Y1710" s="1" t="s">
        <v>33506</v>
      </c>
      <c r="Z1710" s="1" t="s">
        <v>33507</v>
      </c>
      <c r="AA1710" s="1" t="s">
        <v>33508</v>
      </c>
      <c r="AB1710" s="1" t="s">
        <v>33509</v>
      </c>
      <c r="AC1710" s="1" t="s">
        <v>33510</v>
      </c>
      <c r="AD1710" s="1" t="s">
        <v>33511</v>
      </c>
      <c r="AE1710" s="1" t="s">
        <v>33512</v>
      </c>
      <c r="AF1710" s="1" t="s">
        <v>33513</v>
      </c>
      <c r="AG1710" s="1" t="s">
        <v>33514</v>
      </c>
      <c r="AH1710" s="1" t="s">
        <v>33515</v>
      </c>
      <c r="AI1710" s="1" t="s">
        <v>33516</v>
      </c>
      <c r="AJ1710" s="1" t="s">
        <v>132</v>
      </c>
      <c r="AK1710" s="1" t="s">
        <v>33517</v>
      </c>
      <c r="AL1710" s="1" t="s">
        <v>33518</v>
      </c>
      <c r="AM1710" s="1" t="s">
        <v>132</v>
      </c>
      <c r="AN1710" s="1" t="s">
        <v>132</v>
      </c>
    </row>
    <row r="1711" ht="15.75" customHeight="1">
      <c r="A1711" s="1" t="s">
        <v>38</v>
      </c>
      <c r="B1711" s="1" t="s">
        <v>33519</v>
      </c>
      <c r="C1711" s="1" t="s">
        <v>33520</v>
      </c>
      <c r="D1711" s="8" t="s">
        <v>33521</v>
      </c>
      <c r="E1711" s="1" t="s">
        <v>33522</v>
      </c>
      <c r="F1711" s="1" t="s">
        <v>33523</v>
      </c>
      <c r="G1711" s="1" t="s">
        <v>132</v>
      </c>
      <c r="H1711" s="1" t="s">
        <v>132</v>
      </c>
      <c r="I1711" s="1" t="s">
        <v>33524</v>
      </c>
      <c r="J1711" s="1" t="s">
        <v>132</v>
      </c>
      <c r="K1711" s="1" t="s">
        <v>33525</v>
      </c>
      <c r="L1711" s="1" t="s">
        <v>132</v>
      </c>
      <c r="M1711" s="1" t="s">
        <v>33526</v>
      </c>
      <c r="N1711" s="1" t="s">
        <v>33527</v>
      </c>
      <c r="O1711" s="1" t="s">
        <v>132</v>
      </c>
      <c r="P1711" s="1" t="s">
        <v>33528</v>
      </c>
      <c r="Q1711" s="1" t="s">
        <v>132</v>
      </c>
      <c r="R1711" s="1" t="s">
        <v>132</v>
      </c>
      <c r="S1711" s="1" t="s">
        <v>33529</v>
      </c>
      <c r="T1711" s="1" t="s">
        <v>132</v>
      </c>
      <c r="U1711" s="1" t="s">
        <v>33530</v>
      </c>
      <c r="V1711" s="1" t="s">
        <v>132</v>
      </c>
      <c r="W1711" s="1" t="s">
        <v>132</v>
      </c>
      <c r="X1711" s="1" t="s">
        <v>33531</v>
      </c>
      <c r="Y1711" s="1" t="s">
        <v>132</v>
      </c>
      <c r="Z1711" s="1" t="s">
        <v>33532</v>
      </c>
      <c r="AA1711" s="1" t="s">
        <v>33533</v>
      </c>
      <c r="AB1711" s="1" t="s">
        <v>132</v>
      </c>
      <c r="AC1711" s="1" t="s">
        <v>33534</v>
      </c>
      <c r="AD1711" s="1" t="s">
        <v>132</v>
      </c>
      <c r="AE1711" s="1" t="s">
        <v>132</v>
      </c>
      <c r="AF1711" s="1" t="s">
        <v>33535</v>
      </c>
      <c r="AG1711" s="1" t="s">
        <v>132</v>
      </c>
      <c r="AH1711" s="1" t="s">
        <v>132</v>
      </c>
      <c r="AI1711" s="1" t="s">
        <v>132</v>
      </c>
      <c r="AJ1711" s="1" t="s">
        <v>132</v>
      </c>
      <c r="AK1711" s="1" t="s">
        <v>132</v>
      </c>
      <c r="AL1711" s="1" t="s">
        <v>132</v>
      </c>
      <c r="AM1711" s="1" t="s">
        <v>132</v>
      </c>
      <c r="AN1711" s="1" t="s">
        <v>132</v>
      </c>
    </row>
    <row r="1712" ht="15.75" customHeight="1">
      <c r="A1712" s="1" t="s">
        <v>38</v>
      </c>
      <c r="B1712" s="1" t="s">
        <v>33536</v>
      </c>
      <c r="C1712" s="1" t="s">
        <v>33537</v>
      </c>
      <c r="D1712" s="8" t="s">
        <v>33538</v>
      </c>
      <c r="E1712" s="1" t="s">
        <v>33539</v>
      </c>
      <c r="F1712" s="1" t="s">
        <v>33540</v>
      </c>
      <c r="G1712" s="1" t="s">
        <v>132</v>
      </c>
      <c r="H1712" s="1" t="s">
        <v>132</v>
      </c>
      <c r="I1712" s="1" t="s">
        <v>33541</v>
      </c>
      <c r="J1712" s="1" t="s">
        <v>132</v>
      </c>
      <c r="K1712" s="1" t="s">
        <v>33542</v>
      </c>
      <c r="L1712" s="1" t="s">
        <v>132</v>
      </c>
      <c r="M1712" s="1" t="s">
        <v>33543</v>
      </c>
      <c r="N1712" s="1" t="s">
        <v>33544</v>
      </c>
      <c r="O1712" s="1" t="s">
        <v>132</v>
      </c>
      <c r="P1712" s="1" t="s">
        <v>33545</v>
      </c>
      <c r="Q1712" s="1" t="s">
        <v>33546</v>
      </c>
      <c r="R1712" s="1" t="s">
        <v>132</v>
      </c>
      <c r="S1712" s="1" t="s">
        <v>33547</v>
      </c>
      <c r="T1712" s="1" t="s">
        <v>132</v>
      </c>
      <c r="U1712" s="1" t="s">
        <v>33548</v>
      </c>
      <c r="V1712" s="1" t="s">
        <v>33549</v>
      </c>
      <c r="W1712" s="1" t="s">
        <v>132</v>
      </c>
      <c r="X1712" s="1" t="s">
        <v>33550</v>
      </c>
      <c r="Y1712" s="1" t="s">
        <v>132</v>
      </c>
      <c r="Z1712" s="1" t="s">
        <v>33551</v>
      </c>
      <c r="AA1712" s="1" t="s">
        <v>33552</v>
      </c>
      <c r="AB1712" s="1" t="s">
        <v>132</v>
      </c>
      <c r="AC1712" s="1" t="s">
        <v>33553</v>
      </c>
      <c r="AD1712" s="1" t="s">
        <v>132</v>
      </c>
      <c r="AE1712" s="1" t="s">
        <v>132</v>
      </c>
      <c r="AF1712" s="1" t="s">
        <v>32836</v>
      </c>
      <c r="AG1712" s="1" t="s">
        <v>33554</v>
      </c>
      <c r="AH1712" s="1" t="s">
        <v>132</v>
      </c>
      <c r="AI1712" s="1" t="s">
        <v>132</v>
      </c>
      <c r="AJ1712" s="1" t="s">
        <v>33555</v>
      </c>
      <c r="AK1712" s="1" t="s">
        <v>132</v>
      </c>
      <c r="AL1712" s="1" t="s">
        <v>132</v>
      </c>
      <c r="AM1712" s="1" t="s">
        <v>33556</v>
      </c>
      <c r="AN1712" s="1" t="s">
        <v>33556</v>
      </c>
    </row>
    <row r="1713" ht="15.75" customHeight="1">
      <c r="A1713" s="1" t="s">
        <v>127</v>
      </c>
      <c r="B1713" s="1" t="s">
        <v>33557</v>
      </c>
      <c r="C1713" s="1" t="s">
        <v>33558</v>
      </c>
      <c r="D1713" s="8" t="s">
        <v>33559</v>
      </c>
      <c r="E1713" s="1" t="s">
        <v>33560</v>
      </c>
      <c r="F1713" s="1" t="s">
        <v>132</v>
      </c>
      <c r="G1713" s="1" t="s">
        <v>33561</v>
      </c>
      <c r="H1713" s="1" t="s">
        <v>33562</v>
      </c>
      <c r="I1713" s="1" t="s">
        <v>33563</v>
      </c>
      <c r="J1713" s="1" t="s">
        <v>33564</v>
      </c>
      <c r="K1713" s="1" t="s">
        <v>33565</v>
      </c>
      <c r="L1713" s="1" t="s">
        <v>33566</v>
      </c>
      <c r="M1713" s="1" t="s">
        <v>28980</v>
      </c>
      <c r="N1713" s="1" t="s">
        <v>132</v>
      </c>
      <c r="O1713" s="1" t="s">
        <v>33567</v>
      </c>
      <c r="P1713" s="1" t="s">
        <v>32893</v>
      </c>
      <c r="Q1713" s="1" t="s">
        <v>132</v>
      </c>
      <c r="R1713" s="1" t="s">
        <v>33568</v>
      </c>
      <c r="S1713" s="1" t="s">
        <v>33569</v>
      </c>
      <c r="T1713" s="8" t="s">
        <v>33570</v>
      </c>
      <c r="U1713" s="1" t="s">
        <v>33571</v>
      </c>
      <c r="V1713" s="1" t="s">
        <v>33572</v>
      </c>
      <c r="W1713" s="1" t="s">
        <v>33568</v>
      </c>
      <c r="X1713" s="1" t="s">
        <v>33573</v>
      </c>
      <c r="Y1713" s="1" t="s">
        <v>33574</v>
      </c>
      <c r="Z1713" s="1" t="s">
        <v>28985</v>
      </c>
      <c r="AA1713" s="1" t="s">
        <v>33575</v>
      </c>
      <c r="AB1713" s="1" t="s">
        <v>33576</v>
      </c>
      <c r="AC1713" s="1" t="s">
        <v>32894</v>
      </c>
      <c r="AD1713" s="1" t="s">
        <v>33577</v>
      </c>
      <c r="AE1713" s="1" t="s">
        <v>33578</v>
      </c>
      <c r="AF1713" s="1" t="s">
        <v>33579</v>
      </c>
      <c r="AG1713" s="1" t="s">
        <v>33580</v>
      </c>
      <c r="AH1713" s="1" t="s">
        <v>33581</v>
      </c>
      <c r="AI1713" s="1" t="s">
        <v>33582</v>
      </c>
      <c r="AJ1713" s="1" t="s">
        <v>132</v>
      </c>
      <c r="AK1713" s="1" t="s">
        <v>33583</v>
      </c>
      <c r="AL1713" s="1" t="s">
        <v>33584</v>
      </c>
      <c r="AM1713" s="1" t="s">
        <v>132</v>
      </c>
      <c r="AN1713" s="1" t="s">
        <v>132</v>
      </c>
    </row>
    <row r="1714" ht="15.75" customHeight="1">
      <c r="A1714" s="1" t="s">
        <v>38</v>
      </c>
      <c r="B1714" s="1" t="s">
        <v>33585</v>
      </c>
      <c r="C1714" s="1" t="s">
        <v>33586</v>
      </c>
      <c r="D1714" s="1" t="s">
        <v>132</v>
      </c>
      <c r="E1714" s="1" t="s">
        <v>33587</v>
      </c>
      <c r="F1714" s="1" t="s">
        <v>33588</v>
      </c>
      <c r="G1714" s="1" t="s">
        <v>132</v>
      </c>
      <c r="H1714" s="1" t="s">
        <v>132</v>
      </c>
      <c r="I1714" s="1" t="s">
        <v>33589</v>
      </c>
      <c r="J1714" s="1" t="s">
        <v>132</v>
      </c>
      <c r="K1714" s="1" t="s">
        <v>33590</v>
      </c>
      <c r="L1714" s="1" t="s">
        <v>132</v>
      </c>
      <c r="M1714" s="1" t="s">
        <v>33591</v>
      </c>
      <c r="N1714" s="1" t="s">
        <v>33592</v>
      </c>
      <c r="O1714" s="1" t="s">
        <v>132</v>
      </c>
      <c r="P1714" s="1" t="s">
        <v>33593</v>
      </c>
      <c r="Q1714" s="1" t="s">
        <v>132</v>
      </c>
      <c r="R1714" s="1" t="s">
        <v>132</v>
      </c>
      <c r="S1714" s="1" t="s">
        <v>33594</v>
      </c>
      <c r="T1714" s="1" t="s">
        <v>132</v>
      </c>
      <c r="U1714" s="1" t="s">
        <v>132</v>
      </c>
      <c r="V1714" s="1" t="s">
        <v>132</v>
      </c>
      <c r="W1714" s="1" t="s">
        <v>132</v>
      </c>
      <c r="X1714" s="1" t="s">
        <v>33595</v>
      </c>
      <c r="Y1714" s="1" t="s">
        <v>132</v>
      </c>
      <c r="Z1714" s="1" t="s">
        <v>33596</v>
      </c>
      <c r="AA1714" s="1" t="s">
        <v>132</v>
      </c>
      <c r="AB1714" s="1" t="s">
        <v>132</v>
      </c>
      <c r="AC1714" s="1" t="s">
        <v>132</v>
      </c>
      <c r="AD1714" s="1" t="s">
        <v>132</v>
      </c>
      <c r="AE1714" s="1" t="s">
        <v>132</v>
      </c>
      <c r="AF1714" s="1" t="s">
        <v>33597</v>
      </c>
      <c r="AG1714" s="1" t="s">
        <v>132</v>
      </c>
      <c r="AH1714" s="1" t="s">
        <v>132</v>
      </c>
      <c r="AI1714" s="1" t="s">
        <v>132</v>
      </c>
      <c r="AJ1714" s="1" t="s">
        <v>132</v>
      </c>
      <c r="AK1714" s="1" t="s">
        <v>132</v>
      </c>
      <c r="AL1714" s="1" t="s">
        <v>132</v>
      </c>
      <c r="AM1714" s="1" t="s">
        <v>132</v>
      </c>
      <c r="AN1714" s="1" t="s">
        <v>132</v>
      </c>
    </row>
    <row r="1715" ht="15.75" customHeight="1">
      <c r="A1715" s="1" t="s">
        <v>127</v>
      </c>
      <c r="B1715" s="1" t="s">
        <v>33598</v>
      </c>
      <c r="C1715" s="1" t="s">
        <v>33599</v>
      </c>
      <c r="D1715" s="8" t="s">
        <v>33600</v>
      </c>
      <c r="E1715" s="1" t="s">
        <v>33601</v>
      </c>
      <c r="F1715" s="1" t="s">
        <v>132</v>
      </c>
      <c r="G1715" s="1" t="s">
        <v>33602</v>
      </c>
      <c r="H1715" s="1" t="s">
        <v>33603</v>
      </c>
      <c r="I1715" s="1" t="s">
        <v>9392</v>
      </c>
      <c r="J1715" s="1" t="s">
        <v>33604</v>
      </c>
      <c r="K1715" s="1" t="s">
        <v>33605</v>
      </c>
      <c r="L1715" s="1" t="s">
        <v>33606</v>
      </c>
      <c r="M1715" s="1" t="s">
        <v>33599</v>
      </c>
      <c r="N1715" s="1" t="s">
        <v>132</v>
      </c>
      <c r="O1715" s="1" t="s">
        <v>29908</v>
      </c>
      <c r="P1715" s="1" t="s">
        <v>33599</v>
      </c>
      <c r="Q1715" s="1" t="s">
        <v>132</v>
      </c>
      <c r="R1715" s="1" t="s">
        <v>29910</v>
      </c>
      <c r="S1715" s="1" t="s">
        <v>33607</v>
      </c>
      <c r="T1715" s="8" t="s">
        <v>33608</v>
      </c>
      <c r="U1715" s="1" t="s">
        <v>29913</v>
      </c>
      <c r="V1715" s="1" t="s">
        <v>29914</v>
      </c>
      <c r="W1715" s="1" t="s">
        <v>29915</v>
      </c>
      <c r="X1715" s="1" t="s">
        <v>33609</v>
      </c>
      <c r="Y1715" s="1" t="s">
        <v>33610</v>
      </c>
      <c r="Z1715" s="1" t="s">
        <v>23088</v>
      </c>
      <c r="AA1715" s="1" t="s">
        <v>33611</v>
      </c>
      <c r="AB1715" s="1" t="s">
        <v>33612</v>
      </c>
      <c r="AC1715" s="1" t="s">
        <v>33613</v>
      </c>
      <c r="AD1715" s="1" t="s">
        <v>33614</v>
      </c>
      <c r="AE1715" s="1" t="s">
        <v>33615</v>
      </c>
      <c r="AF1715" s="1" t="s">
        <v>33616</v>
      </c>
      <c r="AG1715" s="1" t="s">
        <v>33617</v>
      </c>
      <c r="AH1715" s="1" t="s">
        <v>29925</v>
      </c>
      <c r="AI1715" s="1" t="s">
        <v>33618</v>
      </c>
      <c r="AJ1715" s="1" t="s">
        <v>132</v>
      </c>
      <c r="AK1715" s="1" t="s">
        <v>29927</v>
      </c>
      <c r="AL1715" s="1" t="s">
        <v>29913</v>
      </c>
      <c r="AM1715" s="1" t="s">
        <v>132</v>
      </c>
      <c r="AN1715" s="1" t="s">
        <v>132</v>
      </c>
    </row>
    <row r="1716" ht="15.75" customHeight="1">
      <c r="A1716" s="1" t="s">
        <v>127</v>
      </c>
      <c r="B1716" s="1" t="s">
        <v>33619</v>
      </c>
      <c r="C1716" s="1" t="s">
        <v>33620</v>
      </c>
      <c r="D1716" s="8" t="s">
        <v>33621</v>
      </c>
      <c r="E1716" s="1" t="s">
        <v>33622</v>
      </c>
      <c r="F1716" s="1" t="s">
        <v>132</v>
      </c>
      <c r="G1716" s="1" t="s">
        <v>33623</v>
      </c>
      <c r="H1716" s="1" t="s">
        <v>33624</v>
      </c>
      <c r="I1716" s="1" t="s">
        <v>33625</v>
      </c>
      <c r="J1716" s="1" t="s">
        <v>33626</v>
      </c>
      <c r="K1716" s="1" t="s">
        <v>33627</v>
      </c>
      <c r="L1716" s="1" t="s">
        <v>33628</v>
      </c>
      <c r="M1716" s="1" t="s">
        <v>32475</v>
      </c>
      <c r="N1716" s="1" t="s">
        <v>132</v>
      </c>
      <c r="O1716" s="1" t="s">
        <v>33629</v>
      </c>
      <c r="P1716" s="1" t="s">
        <v>33630</v>
      </c>
      <c r="Q1716" s="1" t="s">
        <v>132</v>
      </c>
      <c r="R1716" s="1" t="s">
        <v>33631</v>
      </c>
      <c r="S1716" s="1" t="s">
        <v>33632</v>
      </c>
      <c r="T1716" s="8" t="s">
        <v>33633</v>
      </c>
      <c r="U1716" s="1" t="s">
        <v>33634</v>
      </c>
      <c r="V1716" s="1" t="s">
        <v>33635</v>
      </c>
      <c r="W1716" s="1" t="s">
        <v>33636</v>
      </c>
      <c r="X1716" s="1" t="s">
        <v>33637</v>
      </c>
      <c r="Y1716" s="1" t="s">
        <v>33638</v>
      </c>
      <c r="Z1716" s="1" t="s">
        <v>32486</v>
      </c>
      <c r="AA1716" s="1" t="s">
        <v>33639</v>
      </c>
      <c r="AB1716" s="1" t="s">
        <v>33640</v>
      </c>
      <c r="AC1716" s="1" t="s">
        <v>33641</v>
      </c>
      <c r="AD1716" s="1" t="s">
        <v>33642</v>
      </c>
      <c r="AE1716" s="1" t="s">
        <v>33643</v>
      </c>
      <c r="AF1716" s="1" t="s">
        <v>33644</v>
      </c>
      <c r="AG1716" s="1" t="s">
        <v>33645</v>
      </c>
      <c r="AH1716" s="1" t="s">
        <v>33646</v>
      </c>
      <c r="AI1716" s="1" t="s">
        <v>33647</v>
      </c>
      <c r="AJ1716" s="1" t="s">
        <v>132</v>
      </c>
      <c r="AK1716" s="1" t="s">
        <v>33648</v>
      </c>
      <c r="AL1716" s="1" t="s">
        <v>32496</v>
      </c>
      <c r="AM1716" s="1" t="s">
        <v>32497</v>
      </c>
      <c r="AN1716" s="1" t="s">
        <v>32497</v>
      </c>
    </row>
    <row r="1717" ht="15.75" customHeight="1">
      <c r="A1717" s="1" t="s">
        <v>38</v>
      </c>
      <c r="B1717" s="1" t="s">
        <v>33649</v>
      </c>
      <c r="C1717" s="1" t="s">
        <v>33650</v>
      </c>
      <c r="D1717" s="8" t="s">
        <v>33651</v>
      </c>
      <c r="E1717" s="1" t="s">
        <v>33652</v>
      </c>
      <c r="F1717" s="1" t="s">
        <v>33653</v>
      </c>
      <c r="G1717" s="1" t="s">
        <v>132</v>
      </c>
      <c r="H1717" s="1" t="s">
        <v>132</v>
      </c>
      <c r="I1717" s="1" t="s">
        <v>33650</v>
      </c>
      <c r="J1717" s="1" t="s">
        <v>132</v>
      </c>
      <c r="K1717" s="1" t="s">
        <v>33650</v>
      </c>
      <c r="L1717" s="1" t="s">
        <v>132</v>
      </c>
      <c r="M1717" s="1" t="s">
        <v>33654</v>
      </c>
      <c r="N1717" s="1" t="s">
        <v>33650</v>
      </c>
      <c r="O1717" s="1" t="s">
        <v>132</v>
      </c>
      <c r="P1717" s="1" t="s">
        <v>33650</v>
      </c>
      <c r="Q1717" s="1" t="s">
        <v>33650</v>
      </c>
      <c r="R1717" s="1" t="s">
        <v>132</v>
      </c>
      <c r="S1717" s="1" t="s">
        <v>33650</v>
      </c>
      <c r="T1717" s="1" t="s">
        <v>132</v>
      </c>
      <c r="U1717" s="1" t="s">
        <v>33655</v>
      </c>
      <c r="V1717" s="1" t="s">
        <v>33650</v>
      </c>
      <c r="W1717" s="1" t="s">
        <v>132</v>
      </c>
      <c r="X1717" s="1" t="s">
        <v>33650</v>
      </c>
      <c r="Y1717" s="1" t="s">
        <v>132</v>
      </c>
      <c r="Z1717" s="1" t="s">
        <v>33650</v>
      </c>
      <c r="AA1717" s="1" t="s">
        <v>33650</v>
      </c>
      <c r="AB1717" s="1" t="s">
        <v>132</v>
      </c>
      <c r="AC1717" s="1" t="s">
        <v>33656</v>
      </c>
      <c r="AD1717" s="1" t="s">
        <v>132</v>
      </c>
      <c r="AE1717" s="1" t="s">
        <v>132</v>
      </c>
      <c r="AF1717" s="1" t="s">
        <v>33657</v>
      </c>
      <c r="AG1717" s="1" t="s">
        <v>33650</v>
      </c>
      <c r="AH1717" s="1" t="s">
        <v>132</v>
      </c>
      <c r="AI1717" s="1" t="s">
        <v>132</v>
      </c>
      <c r="AJ1717" s="1" t="s">
        <v>33658</v>
      </c>
      <c r="AK1717" s="1" t="s">
        <v>33650</v>
      </c>
      <c r="AL1717" s="1" t="s">
        <v>132</v>
      </c>
      <c r="AM1717" s="1" t="s">
        <v>33650</v>
      </c>
      <c r="AN1717" s="1" t="s">
        <v>33650</v>
      </c>
    </row>
    <row r="1718" ht="15.75" customHeight="1">
      <c r="A1718" s="1" t="s">
        <v>43182</v>
      </c>
      <c r="B1718" s="1" t="s">
        <v>43308</v>
      </c>
      <c r="C1718" s="1" t="s">
        <v>43309</v>
      </c>
      <c r="D1718" s="1" t="s">
        <v>132</v>
      </c>
      <c r="E1718" s="1" t="s">
        <v>132</v>
      </c>
      <c r="F1718" s="1" t="s">
        <v>132</v>
      </c>
      <c r="G1718" s="1" t="s">
        <v>132</v>
      </c>
      <c r="H1718" s="1" t="s">
        <v>132</v>
      </c>
      <c r="I1718" s="1" t="s">
        <v>132</v>
      </c>
      <c r="J1718" s="1" t="s">
        <v>132</v>
      </c>
      <c r="K1718" s="1" t="s">
        <v>132</v>
      </c>
      <c r="L1718" s="1" t="s">
        <v>132</v>
      </c>
      <c r="M1718" s="1" t="s">
        <v>132</v>
      </c>
      <c r="N1718" s="1" t="s">
        <v>132</v>
      </c>
      <c r="O1718" s="1" t="s">
        <v>132</v>
      </c>
      <c r="P1718" s="1" t="s">
        <v>132</v>
      </c>
      <c r="Q1718" s="1" t="s">
        <v>132</v>
      </c>
      <c r="R1718" s="1" t="s">
        <v>132</v>
      </c>
      <c r="S1718" s="1" t="s">
        <v>132</v>
      </c>
      <c r="T1718" s="1" t="s">
        <v>132</v>
      </c>
      <c r="U1718" s="1" t="s">
        <v>132</v>
      </c>
      <c r="V1718" s="1" t="s">
        <v>132</v>
      </c>
      <c r="W1718" s="1" t="s">
        <v>132</v>
      </c>
      <c r="X1718" s="1" t="s">
        <v>132</v>
      </c>
      <c r="Y1718" s="1" t="s">
        <v>132</v>
      </c>
      <c r="Z1718" s="1" t="s">
        <v>132</v>
      </c>
      <c r="AA1718" s="1" t="s">
        <v>132</v>
      </c>
      <c r="AB1718" s="1" t="s">
        <v>132</v>
      </c>
      <c r="AC1718" s="1" t="s">
        <v>132</v>
      </c>
      <c r="AD1718" s="1" t="s">
        <v>132</v>
      </c>
      <c r="AE1718" s="1" t="s">
        <v>132</v>
      </c>
      <c r="AF1718" s="1" t="s">
        <v>132</v>
      </c>
      <c r="AG1718" s="1" t="s">
        <v>132</v>
      </c>
      <c r="AH1718" s="1" t="s">
        <v>132</v>
      </c>
      <c r="AI1718" s="1" t="s">
        <v>132</v>
      </c>
      <c r="AJ1718" s="1" t="s">
        <v>132</v>
      </c>
      <c r="AK1718" s="1" t="s">
        <v>132</v>
      </c>
      <c r="AL1718" s="1" t="s">
        <v>132</v>
      </c>
      <c r="AM1718" s="1" t="s">
        <v>132</v>
      </c>
      <c r="AN1718" s="1" t="s">
        <v>132</v>
      </c>
    </row>
    <row r="1719" ht="15.75" customHeight="1">
      <c r="A1719" s="1" t="s">
        <v>38</v>
      </c>
      <c r="B1719" s="1" t="s">
        <v>33659</v>
      </c>
      <c r="C1719" s="1" t="s">
        <v>33660</v>
      </c>
      <c r="D1719" s="1" t="s">
        <v>132</v>
      </c>
      <c r="E1719" s="1" t="s">
        <v>132</v>
      </c>
      <c r="F1719" s="1" t="s">
        <v>132</v>
      </c>
      <c r="G1719" s="1" t="s">
        <v>132</v>
      </c>
      <c r="H1719" s="1" t="s">
        <v>132</v>
      </c>
      <c r="I1719" s="1" t="s">
        <v>33661</v>
      </c>
      <c r="J1719" s="1" t="s">
        <v>132</v>
      </c>
      <c r="K1719" s="1" t="s">
        <v>33662</v>
      </c>
      <c r="L1719" s="1" t="s">
        <v>132</v>
      </c>
      <c r="M1719" s="1" t="s">
        <v>33663</v>
      </c>
      <c r="N1719" s="1" t="s">
        <v>132</v>
      </c>
      <c r="O1719" s="1" t="s">
        <v>132</v>
      </c>
      <c r="P1719" s="1" t="s">
        <v>33660</v>
      </c>
      <c r="Q1719" s="1" t="s">
        <v>132</v>
      </c>
      <c r="R1719" s="1" t="s">
        <v>132</v>
      </c>
      <c r="S1719" s="1" t="s">
        <v>132</v>
      </c>
      <c r="T1719" s="1" t="s">
        <v>132</v>
      </c>
      <c r="U1719" s="1" t="s">
        <v>132</v>
      </c>
      <c r="V1719" s="1" t="s">
        <v>132</v>
      </c>
      <c r="W1719" s="1" t="s">
        <v>132</v>
      </c>
      <c r="X1719" s="1" t="s">
        <v>132</v>
      </c>
      <c r="Y1719" s="1" t="s">
        <v>132</v>
      </c>
      <c r="Z1719" s="1" t="s">
        <v>132</v>
      </c>
      <c r="AA1719" s="1" t="s">
        <v>132</v>
      </c>
      <c r="AB1719" s="1" t="s">
        <v>132</v>
      </c>
      <c r="AC1719" s="1" t="s">
        <v>33664</v>
      </c>
      <c r="AD1719" s="1" t="s">
        <v>132</v>
      </c>
      <c r="AE1719" s="1" t="s">
        <v>132</v>
      </c>
      <c r="AF1719" s="1" t="s">
        <v>33665</v>
      </c>
      <c r="AG1719" s="1" t="s">
        <v>132</v>
      </c>
      <c r="AH1719" s="1" t="s">
        <v>132</v>
      </c>
      <c r="AI1719" s="1" t="s">
        <v>132</v>
      </c>
      <c r="AJ1719" s="1" t="s">
        <v>132</v>
      </c>
      <c r="AK1719" s="1" t="s">
        <v>132</v>
      </c>
      <c r="AL1719" s="1" t="s">
        <v>132</v>
      </c>
      <c r="AM1719" s="1" t="s">
        <v>132</v>
      </c>
      <c r="AN1719" s="1" t="s">
        <v>132</v>
      </c>
    </row>
    <row r="1720" ht="15.75" customHeight="1">
      <c r="A1720" s="1" t="s">
        <v>127</v>
      </c>
      <c r="B1720" s="1" t="s">
        <v>33666</v>
      </c>
      <c r="C1720" s="1" t="s">
        <v>33667</v>
      </c>
      <c r="D1720" s="8" t="s">
        <v>33668</v>
      </c>
      <c r="E1720" s="1" t="s">
        <v>33669</v>
      </c>
      <c r="F1720" s="1" t="s">
        <v>132</v>
      </c>
      <c r="G1720" s="1" t="s">
        <v>33670</v>
      </c>
      <c r="H1720" s="1" t="s">
        <v>33671</v>
      </c>
      <c r="I1720" s="1" t="s">
        <v>33671</v>
      </c>
      <c r="J1720" s="1" t="s">
        <v>33672</v>
      </c>
      <c r="K1720" s="1" t="s">
        <v>33673</v>
      </c>
      <c r="L1720" s="1" t="s">
        <v>33674</v>
      </c>
      <c r="M1720" s="1" t="s">
        <v>33675</v>
      </c>
      <c r="N1720" s="1" t="s">
        <v>132</v>
      </c>
      <c r="O1720" s="1" t="s">
        <v>33676</v>
      </c>
      <c r="P1720" s="1" t="s">
        <v>33677</v>
      </c>
      <c r="Q1720" s="1" t="s">
        <v>132</v>
      </c>
      <c r="R1720" s="1" t="s">
        <v>33671</v>
      </c>
      <c r="S1720" s="1" t="s">
        <v>33673</v>
      </c>
      <c r="T1720" s="8" t="s">
        <v>33678</v>
      </c>
      <c r="U1720" s="1" t="s">
        <v>33679</v>
      </c>
      <c r="V1720" s="1" t="s">
        <v>33680</v>
      </c>
      <c r="W1720" s="1" t="s">
        <v>33681</v>
      </c>
      <c r="X1720" s="1" t="s">
        <v>33671</v>
      </c>
      <c r="Y1720" s="1" t="s">
        <v>33671</v>
      </c>
      <c r="Z1720" s="1" t="s">
        <v>33682</v>
      </c>
      <c r="AA1720" s="1" t="s">
        <v>33683</v>
      </c>
      <c r="AB1720" s="1" t="s">
        <v>33667</v>
      </c>
      <c r="AC1720" s="1" t="s">
        <v>33684</v>
      </c>
      <c r="AD1720" s="1" t="s">
        <v>33685</v>
      </c>
      <c r="AE1720" s="1" t="s">
        <v>33686</v>
      </c>
      <c r="AF1720" s="1" t="s">
        <v>33681</v>
      </c>
      <c r="AG1720" s="1" t="s">
        <v>33671</v>
      </c>
      <c r="AH1720" s="1" t="s">
        <v>33687</v>
      </c>
      <c r="AI1720" s="1" t="s">
        <v>33688</v>
      </c>
      <c r="AJ1720" s="1" t="s">
        <v>132</v>
      </c>
      <c r="AK1720" s="1" t="s">
        <v>33689</v>
      </c>
      <c r="AL1720" s="1" t="s">
        <v>33690</v>
      </c>
      <c r="AM1720" s="1" t="s">
        <v>132</v>
      </c>
      <c r="AN1720" s="1" t="s">
        <v>132</v>
      </c>
    </row>
    <row r="1721" ht="15.75" customHeight="1">
      <c r="A1721" s="1" t="s">
        <v>127</v>
      </c>
      <c r="B1721" s="1" t="s">
        <v>33691</v>
      </c>
      <c r="C1721" s="1" t="s">
        <v>33692</v>
      </c>
      <c r="D1721" s="8" t="s">
        <v>33693</v>
      </c>
      <c r="E1721" s="1" t="s">
        <v>33694</v>
      </c>
      <c r="F1721" s="1" t="s">
        <v>132</v>
      </c>
      <c r="G1721" s="1" t="s">
        <v>33695</v>
      </c>
      <c r="H1721" s="1" t="s">
        <v>33696</v>
      </c>
      <c r="I1721" s="1" t="s">
        <v>33697</v>
      </c>
      <c r="J1721" s="1" t="s">
        <v>33698</v>
      </c>
      <c r="K1721" s="1" t="s">
        <v>33699</v>
      </c>
      <c r="L1721" s="1" t="s">
        <v>33700</v>
      </c>
      <c r="M1721" s="1" t="s">
        <v>33701</v>
      </c>
      <c r="N1721" s="1" t="s">
        <v>132</v>
      </c>
      <c r="O1721" s="1" t="s">
        <v>33702</v>
      </c>
      <c r="P1721" s="1" t="s">
        <v>33703</v>
      </c>
      <c r="Q1721" s="1" t="s">
        <v>132</v>
      </c>
      <c r="R1721" s="1" t="s">
        <v>33704</v>
      </c>
      <c r="S1721" s="1" t="s">
        <v>33705</v>
      </c>
      <c r="T1721" s="8" t="s">
        <v>33706</v>
      </c>
      <c r="U1721" s="1" t="s">
        <v>33692</v>
      </c>
      <c r="V1721" s="1" t="s">
        <v>33707</v>
      </c>
      <c r="W1721" s="1" t="s">
        <v>33704</v>
      </c>
      <c r="X1721" s="1" t="s">
        <v>33708</v>
      </c>
      <c r="Y1721" s="1" t="s">
        <v>33696</v>
      </c>
      <c r="Z1721" s="1" t="s">
        <v>33709</v>
      </c>
      <c r="AA1721" s="1" t="s">
        <v>33710</v>
      </c>
      <c r="AB1721" s="1" t="s">
        <v>33711</v>
      </c>
      <c r="AC1721" s="1" t="s">
        <v>33712</v>
      </c>
      <c r="AD1721" s="1" t="s">
        <v>33713</v>
      </c>
      <c r="AE1721" s="1" t="s">
        <v>33714</v>
      </c>
      <c r="AF1721" s="1" t="s">
        <v>33715</v>
      </c>
      <c r="AG1721" s="1" t="s">
        <v>33716</v>
      </c>
      <c r="AH1721" s="1" t="s">
        <v>33717</v>
      </c>
      <c r="AI1721" s="1" t="s">
        <v>33718</v>
      </c>
      <c r="AJ1721" s="1" t="s">
        <v>132</v>
      </c>
      <c r="AK1721" s="1" t="s">
        <v>33719</v>
      </c>
      <c r="AL1721" s="1" t="s">
        <v>33720</v>
      </c>
      <c r="AM1721" s="1" t="s">
        <v>132</v>
      </c>
      <c r="AN1721" s="1" t="s">
        <v>132</v>
      </c>
    </row>
    <row r="1722" ht="15.75" customHeight="1">
      <c r="A1722" s="1" t="s">
        <v>38</v>
      </c>
      <c r="B1722" s="1" t="s">
        <v>33721</v>
      </c>
      <c r="C1722" s="1" t="s">
        <v>33722</v>
      </c>
      <c r="D1722" s="8" t="s">
        <v>33723</v>
      </c>
      <c r="E1722" s="1" t="s">
        <v>33724</v>
      </c>
      <c r="F1722" s="1" t="s">
        <v>33725</v>
      </c>
      <c r="G1722" s="1" t="s">
        <v>132</v>
      </c>
      <c r="H1722" s="1" t="s">
        <v>132</v>
      </c>
      <c r="I1722" s="1" t="s">
        <v>33722</v>
      </c>
      <c r="J1722" s="1" t="s">
        <v>132</v>
      </c>
      <c r="K1722" s="1" t="s">
        <v>33722</v>
      </c>
      <c r="L1722" s="1" t="s">
        <v>132</v>
      </c>
      <c r="M1722" s="1" t="s">
        <v>33726</v>
      </c>
      <c r="N1722" s="1" t="s">
        <v>33722</v>
      </c>
      <c r="O1722" s="1" t="s">
        <v>132</v>
      </c>
      <c r="P1722" s="1" t="s">
        <v>33722</v>
      </c>
      <c r="Q1722" s="1" t="s">
        <v>33722</v>
      </c>
      <c r="R1722" s="1" t="s">
        <v>132</v>
      </c>
      <c r="S1722" s="1" t="s">
        <v>33722</v>
      </c>
      <c r="T1722" s="1" t="s">
        <v>132</v>
      </c>
      <c r="U1722" s="1" t="s">
        <v>33727</v>
      </c>
      <c r="V1722" s="1" t="s">
        <v>33722</v>
      </c>
      <c r="W1722" s="1" t="s">
        <v>132</v>
      </c>
      <c r="X1722" s="1" t="s">
        <v>33722</v>
      </c>
      <c r="Y1722" s="1" t="s">
        <v>132</v>
      </c>
      <c r="Z1722" s="1" t="s">
        <v>33722</v>
      </c>
      <c r="AA1722" s="1" t="s">
        <v>33722</v>
      </c>
      <c r="AB1722" s="1" t="s">
        <v>132</v>
      </c>
      <c r="AC1722" s="1" t="s">
        <v>33728</v>
      </c>
      <c r="AD1722" s="1" t="s">
        <v>33722</v>
      </c>
      <c r="AE1722" s="1" t="s">
        <v>132</v>
      </c>
      <c r="AF1722" s="1" t="s">
        <v>33729</v>
      </c>
      <c r="AG1722" s="1" t="s">
        <v>33722</v>
      </c>
      <c r="AH1722" s="1" t="s">
        <v>132</v>
      </c>
      <c r="AI1722" s="1" t="s">
        <v>132</v>
      </c>
      <c r="AJ1722" s="1" t="s">
        <v>33730</v>
      </c>
      <c r="AK1722" s="1" t="s">
        <v>33731</v>
      </c>
      <c r="AL1722" s="1" t="s">
        <v>132</v>
      </c>
      <c r="AM1722" s="1" t="s">
        <v>33732</v>
      </c>
      <c r="AN1722" s="1" t="s">
        <v>33732</v>
      </c>
    </row>
    <row r="1723" ht="15.75" customHeight="1">
      <c r="A1723" s="1" t="s">
        <v>38</v>
      </c>
      <c r="B1723" s="1" t="s">
        <v>33733</v>
      </c>
      <c r="C1723" s="1" t="s">
        <v>5324</v>
      </c>
      <c r="D1723" s="8" t="s">
        <v>33734</v>
      </c>
      <c r="E1723" s="1" t="s">
        <v>5325</v>
      </c>
      <c r="F1723" s="1" t="s">
        <v>33735</v>
      </c>
      <c r="G1723" s="1" t="s">
        <v>132</v>
      </c>
      <c r="H1723" s="1" t="s">
        <v>132</v>
      </c>
      <c r="I1723" s="1" t="s">
        <v>5327</v>
      </c>
      <c r="J1723" s="1" t="s">
        <v>132</v>
      </c>
      <c r="K1723" s="1" t="s">
        <v>5328</v>
      </c>
      <c r="L1723" s="1" t="s">
        <v>132</v>
      </c>
      <c r="M1723" s="1" t="s">
        <v>5329</v>
      </c>
      <c r="N1723" s="1" t="s">
        <v>5330</v>
      </c>
      <c r="O1723" s="1" t="s">
        <v>132</v>
      </c>
      <c r="P1723" s="1" t="s">
        <v>33736</v>
      </c>
      <c r="Q1723" s="1" t="s">
        <v>33737</v>
      </c>
      <c r="R1723" s="1" t="s">
        <v>132</v>
      </c>
      <c r="S1723" s="1" t="s">
        <v>5332</v>
      </c>
      <c r="T1723" s="1" t="s">
        <v>132</v>
      </c>
      <c r="U1723" s="1" t="s">
        <v>33738</v>
      </c>
      <c r="V1723" s="1" t="s">
        <v>33739</v>
      </c>
      <c r="W1723" s="1" t="s">
        <v>132</v>
      </c>
      <c r="X1723" s="1" t="s">
        <v>5333</v>
      </c>
      <c r="Y1723" s="1" t="s">
        <v>132</v>
      </c>
      <c r="Z1723" s="1" t="s">
        <v>5334</v>
      </c>
      <c r="AA1723" s="1" t="s">
        <v>33740</v>
      </c>
      <c r="AB1723" s="1" t="s">
        <v>132</v>
      </c>
      <c r="AC1723" s="1" t="s">
        <v>5335</v>
      </c>
      <c r="AD1723" s="1" t="s">
        <v>33741</v>
      </c>
      <c r="AE1723" s="1" t="s">
        <v>132</v>
      </c>
      <c r="AF1723" s="1" t="s">
        <v>5336</v>
      </c>
      <c r="AG1723" s="1" t="s">
        <v>33742</v>
      </c>
      <c r="AH1723" s="1" t="s">
        <v>132</v>
      </c>
      <c r="AI1723" s="1" t="s">
        <v>132</v>
      </c>
      <c r="AJ1723" s="1" t="s">
        <v>33743</v>
      </c>
      <c r="AK1723" s="1" t="s">
        <v>33744</v>
      </c>
      <c r="AL1723" s="1" t="s">
        <v>132</v>
      </c>
      <c r="AM1723" s="1" t="s">
        <v>33745</v>
      </c>
      <c r="AN1723" s="1" t="s">
        <v>33745</v>
      </c>
    </row>
    <row r="1724" ht="15.75" customHeight="1">
      <c r="A1724" s="1" t="s">
        <v>38</v>
      </c>
      <c r="B1724" s="1" t="s">
        <v>33746</v>
      </c>
      <c r="C1724" s="1" t="s">
        <v>33747</v>
      </c>
      <c r="D1724" s="8" t="s">
        <v>33748</v>
      </c>
      <c r="E1724" s="1" t="s">
        <v>33749</v>
      </c>
      <c r="F1724" s="1" t="s">
        <v>33750</v>
      </c>
      <c r="G1724" s="1" t="s">
        <v>132</v>
      </c>
      <c r="H1724" s="1" t="s">
        <v>132</v>
      </c>
      <c r="I1724" s="1" t="s">
        <v>33751</v>
      </c>
      <c r="J1724" s="1" t="s">
        <v>132</v>
      </c>
      <c r="K1724" s="1" t="s">
        <v>33752</v>
      </c>
      <c r="L1724" s="1" t="s">
        <v>132</v>
      </c>
      <c r="M1724" s="1" t="s">
        <v>33753</v>
      </c>
      <c r="N1724" s="1" t="s">
        <v>33754</v>
      </c>
      <c r="O1724" s="1" t="s">
        <v>132</v>
      </c>
      <c r="P1724" s="1" t="s">
        <v>33755</v>
      </c>
      <c r="Q1724" s="1" t="s">
        <v>132</v>
      </c>
      <c r="R1724" s="1" t="s">
        <v>132</v>
      </c>
      <c r="S1724" s="1" t="s">
        <v>33756</v>
      </c>
      <c r="T1724" s="1" t="s">
        <v>132</v>
      </c>
      <c r="U1724" s="1" t="s">
        <v>33757</v>
      </c>
      <c r="V1724" s="1" t="s">
        <v>132</v>
      </c>
      <c r="W1724" s="1" t="s">
        <v>132</v>
      </c>
      <c r="X1724" s="1" t="s">
        <v>33758</v>
      </c>
      <c r="Y1724" s="1" t="s">
        <v>132</v>
      </c>
      <c r="Z1724" s="1" t="s">
        <v>33759</v>
      </c>
      <c r="AA1724" s="1" t="s">
        <v>33760</v>
      </c>
      <c r="AB1724" s="1" t="s">
        <v>132</v>
      </c>
      <c r="AC1724" s="1" t="s">
        <v>33761</v>
      </c>
      <c r="AD1724" s="1" t="s">
        <v>132</v>
      </c>
      <c r="AE1724" s="1" t="s">
        <v>132</v>
      </c>
      <c r="AF1724" s="1" t="s">
        <v>132</v>
      </c>
      <c r="AG1724" s="1" t="s">
        <v>132</v>
      </c>
      <c r="AH1724" s="1" t="s">
        <v>132</v>
      </c>
      <c r="AI1724" s="1" t="s">
        <v>132</v>
      </c>
      <c r="AJ1724" s="1" t="s">
        <v>33762</v>
      </c>
      <c r="AK1724" s="1" t="s">
        <v>132</v>
      </c>
      <c r="AL1724" s="1" t="s">
        <v>132</v>
      </c>
      <c r="AM1724" s="1" t="s">
        <v>132</v>
      </c>
      <c r="AN1724" s="1" t="s">
        <v>132</v>
      </c>
    </row>
    <row r="1725" ht="15.75" customHeight="1">
      <c r="A1725" s="1" t="s">
        <v>38</v>
      </c>
      <c r="B1725" s="1" t="s">
        <v>33763</v>
      </c>
      <c r="C1725" s="1" t="s">
        <v>33764</v>
      </c>
      <c r="D1725" s="1" t="s">
        <v>132</v>
      </c>
      <c r="E1725" s="1" t="s">
        <v>132</v>
      </c>
      <c r="F1725" s="1" t="s">
        <v>132</v>
      </c>
      <c r="G1725" s="1" t="s">
        <v>132</v>
      </c>
      <c r="H1725" s="1" t="s">
        <v>132</v>
      </c>
      <c r="I1725" s="1" t="s">
        <v>33765</v>
      </c>
      <c r="J1725" s="1" t="s">
        <v>132</v>
      </c>
      <c r="K1725" s="1" t="s">
        <v>33766</v>
      </c>
      <c r="L1725" s="1" t="s">
        <v>132</v>
      </c>
      <c r="M1725" s="1" t="s">
        <v>33767</v>
      </c>
      <c r="N1725" s="1" t="s">
        <v>132</v>
      </c>
      <c r="O1725" s="1" t="s">
        <v>132</v>
      </c>
      <c r="P1725" s="1" t="s">
        <v>33768</v>
      </c>
      <c r="Q1725" s="1" t="s">
        <v>132</v>
      </c>
      <c r="R1725" s="1" t="s">
        <v>132</v>
      </c>
      <c r="S1725" s="1" t="s">
        <v>132</v>
      </c>
      <c r="T1725" s="1" t="s">
        <v>132</v>
      </c>
      <c r="U1725" s="1" t="s">
        <v>132</v>
      </c>
      <c r="V1725" s="1" t="s">
        <v>132</v>
      </c>
      <c r="W1725" s="1" t="s">
        <v>132</v>
      </c>
      <c r="X1725" s="1" t="s">
        <v>132</v>
      </c>
      <c r="Y1725" s="1" t="s">
        <v>132</v>
      </c>
      <c r="Z1725" s="1" t="s">
        <v>132</v>
      </c>
      <c r="AA1725" s="1" t="s">
        <v>132</v>
      </c>
      <c r="AB1725" s="1" t="s">
        <v>132</v>
      </c>
      <c r="AC1725" s="1" t="s">
        <v>33769</v>
      </c>
      <c r="AD1725" s="1" t="s">
        <v>132</v>
      </c>
      <c r="AE1725" s="1" t="s">
        <v>132</v>
      </c>
      <c r="AF1725" s="1" t="s">
        <v>33770</v>
      </c>
      <c r="AG1725" s="1" t="s">
        <v>132</v>
      </c>
      <c r="AH1725" s="1" t="s">
        <v>132</v>
      </c>
      <c r="AI1725" s="1" t="s">
        <v>132</v>
      </c>
      <c r="AJ1725" s="1" t="s">
        <v>132</v>
      </c>
      <c r="AK1725" s="1" t="s">
        <v>132</v>
      </c>
      <c r="AL1725" s="1" t="s">
        <v>132</v>
      </c>
      <c r="AM1725" s="1" t="s">
        <v>132</v>
      </c>
      <c r="AN1725" s="1" t="s">
        <v>132</v>
      </c>
    </row>
    <row r="1726" ht="15.75" customHeight="1">
      <c r="A1726" s="1" t="s">
        <v>38</v>
      </c>
      <c r="B1726" s="1" t="s">
        <v>33771</v>
      </c>
      <c r="C1726" s="1" t="s">
        <v>33772</v>
      </c>
      <c r="D1726" s="1" t="s">
        <v>132</v>
      </c>
      <c r="E1726" s="1" t="s">
        <v>132</v>
      </c>
      <c r="F1726" s="1" t="s">
        <v>132</v>
      </c>
      <c r="G1726" s="1" t="s">
        <v>132</v>
      </c>
      <c r="H1726" s="1" t="s">
        <v>132</v>
      </c>
      <c r="I1726" s="1" t="s">
        <v>33772</v>
      </c>
      <c r="J1726" s="1" t="s">
        <v>132</v>
      </c>
      <c r="K1726" s="1" t="s">
        <v>33772</v>
      </c>
      <c r="L1726" s="1" t="s">
        <v>132</v>
      </c>
      <c r="M1726" s="1" t="s">
        <v>33773</v>
      </c>
      <c r="N1726" s="1" t="s">
        <v>132</v>
      </c>
      <c r="O1726" s="1" t="s">
        <v>132</v>
      </c>
      <c r="P1726" s="1" t="s">
        <v>33772</v>
      </c>
      <c r="Q1726" s="1" t="s">
        <v>132</v>
      </c>
      <c r="R1726" s="1" t="s">
        <v>132</v>
      </c>
      <c r="S1726" s="1" t="s">
        <v>132</v>
      </c>
      <c r="T1726" s="1" t="s">
        <v>132</v>
      </c>
      <c r="U1726" s="1" t="s">
        <v>132</v>
      </c>
      <c r="V1726" s="1" t="s">
        <v>132</v>
      </c>
      <c r="W1726" s="1" t="s">
        <v>132</v>
      </c>
      <c r="X1726" s="1" t="s">
        <v>132</v>
      </c>
      <c r="Y1726" s="1" t="s">
        <v>132</v>
      </c>
      <c r="Z1726" s="1" t="s">
        <v>132</v>
      </c>
      <c r="AA1726" s="1" t="s">
        <v>132</v>
      </c>
      <c r="AB1726" s="1" t="s">
        <v>132</v>
      </c>
      <c r="AC1726" s="1" t="s">
        <v>33774</v>
      </c>
      <c r="AD1726" s="1" t="s">
        <v>132</v>
      </c>
      <c r="AE1726" s="1" t="s">
        <v>132</v>
      </c>
      <c r="AF1726" s="1" t="s">
        <v>33775</v>
      </c>
      <c r="AG1726" s="1" t="s">
        <v>132</v>
      </c>
      <c r="AH1726" s="1" t="s">
        <v>132</v>
      </c>
      <c r="AI1726" s="1" t="s">
        <v>132</v>
      </c>
      <c r="AJ1726" s="1" t="s">
        <v>132</v>
      </c>
      <c r="AK1726" s="1" t="s">
        <v>132</v>
      </c>
      <c r="AL1726" s="1" t="s">
        <v>132</v>
      </c>
      <c r="AM1726" s="1" t="s">
        <v>132</v>
      </c>
      <c r="AN1726" s="1" t="s">
        <v>132</v>
      </c>
    </row>
    <row r="1727" ht="15.75" customHeight="1">
      <c r="A1727" s="1" t="s">
        <v>127</v>
      </c>
      <c r="B1727" s="1" t="s">
        <v>33776</v>
      </c>
      <c r="C1727" s="1" t="s">
        <v>33777</v>
      </c>
      <c r="D1727" s="8" t="s">
        <v>33778</v>
      </c>
      <c r="E1727" s="1" t="s">
        <v>33779</v>
      </c>
      <c r="F1727" s="1" t="s">
        <v>132</v>
      </c>
      <c r="G1727" s="1" t="s">
        <v>33780</v>
      </c>
      <c r="H1727" s="1" t="s">
        <v>33781</v>
      </c>
      <c r="I1727" s="1" t="s">
        <v>33782</v>
      </c>
      <c r="J1727" s="1" t="s">
        <v>33783</v>
      </c>
      <c r="K1727" s="1" t="s">
        <v>33784</v>
      </c>
      <c r="L1727" s="1" t="s">
        <v>33785</v>
      </c>
      <c r="M1727" s="1" t="s">
        <v>33786</v>
      </c>
      <c r="N1727" s="1" t="s">
        <v>132</v>
      </c>
      <c r="O1727" s="1" t="s">
        <v>33787</v>
      </c>
      <c r="P1727" s="1" t="s">
        <v>33788</v>
      </c>
      <c r="Q1727" s="1" t="s">
        <v>132</v>
      </c>
      <c r="R1727" s="1" t="s">
        <v>33789</v>
      </c>
      <c r="S1727" s="1" t="s">
        <v>33790</v>
      </c>
      <c r="T1727" s="8" t="s">
        <v>33791</v>
      </c>
      <c r="U1727" s="1" t="s">
        <v>33792</v>
      </c>
      <c r="V1727" s="1" t="s">
        <v>33793</v>
      </c>
      <c r="W1727" s="1" t="s">
        <v>33789</v>
      </c>
      <c r="X1727" s="1" t="s">
        <v>33794</v>
      </c>
      <c r="Y1727" s="1" t="s">
        <v>33795</v>
      </c>
      <c r="Z1727" s="1" t="s">
        <v>33796</v>
      </c>
      <c r="AA1727" s="1" t="s">
        <v>33797</v>
      </c>
      <c r="AB1727" s="1" t="s">
        <v>33798</v>
      </c>
      <c r="AC1727" s="1" t="s">
        <v>33799</v>
      </c>
      <c r="AD1727" s="1" t="s">
        <v>33800</v>
      </c>
      <c r="AE1727" s="1" t="s">
        <v>33801</v>
      </c>
      <c r="AF1727" s="1" t="s">
        <v>33802</v>
      </c>
      <c r="AG1727" s="1" t="s">
        <v>33803</v>
      </c>
      <c r="AH1727" s="1" t="s">
        <v>33804</v>
      </c>
      <c r="AI1727" s="1" t="s">
        <v>33805</v>
      </c>
      <c r="AJ1727" s="1" t="s">
        <v>132</v>
      </c>
      <c r="AK1727" s="1" t="s">
        <v>33806</v>
      </c>
      <c r="AL1727" s="1" t="s">
        <v>33807</v>
      </c>
      <c r="AM1727" s="1" t="s">
        <v>132</v>
      </c>
      <c r="AN1727" s="1" t="s">
        <v>132</v>
      </c>
    </row>
    <row r="1728" ht="15.75" customHeight="1">
      <c r="A1728" s="1" t="s">
        <v>38</v>
      </c>
      <c r="B1728" s="1" t="s">
        <v>33808</v>
      </c>
      <c r="C1728" s="1" t="s">
        <v>33809</v>
      </c>
      <c r="D1728" s="1" t="s">
        <v>132</v>
      </c>
      <c r="E1728" s="1" t="s">
        <v>132</v>
      </c>
      <c r="F1728" s="1" t="s">
        <v>132</v>
      </c>
      <c r="G1728" s="1" t="s">
        <v>132</v>
      </c>
      <c r="H1728" s="1" t="s">
        <v>132</v>
      </c>
      <c r="I1728" s="1" t="s">
        <v>33810</v>
      </c>
      <c r="J1728" s="1" t="s">
        <v>132</v>
      </c>
      <c r="K1728" s="1" t="s">
        <v>33811</v>
      </c>
      <c r="L1728" s="1" t="s">
        <v>132</v>
      </c>
      <c r="M1728" s="1" t="s">
        <v>33812</v>
      </c>
      <c r="N1728" s="1" t="s">
        <v>132</v>
      </c>
      <c r="O1728" s="1" t="s">
        <v>132</v>
      </c>
      <c r="P1728" s="1" t="s">
        <v>33809</v>
      </c>
      <c r="Q1728" s="1" t="s">
        <v>132</v>
      </c>
      <c r="R1728" s="1" t="s">
        <v>132</v>
      </c>
      <c r="S1728" s="1" t="s">
        <v>132</v>
      </c>
      <c r="T1728" s="1" t="s">
        <v>132</v>
      </c>
      <c r="U1728" s="1" t="s">
        <v>132</v>
      </c>
      <c r="V1728" s="1" t="s">
        <v>132</v>
      </c>
      <c r="W1728" s="1" t="s">
        <v>132</v>
      </c>
      <c r="X1728" s="1" t="s">
        <v>132</v>
      </c>
      <c r="Y1728" s="1" t="s">
        <v>132</v>
      </c>
      <c r="Z1728" s="1" t="s">
        <v>132</v>
      </c>
      <c r="AA1728" s="1" t="s">
        <v>132</v>
      </c>
      <c r="AB1728" s="1" t="s">
        <v>132</v>
      </c>
      <c r="AC1728" s="1" t="s">
        <v>33813</v>
      </c>
      <c r="AD1728" s="1" t="s">
        <v>132</v>
      </c>
      <c r="AE1728" s="1" t="s">
        <v>132</v>
      </c>
      <c r="AF1728" s="1" t="s">
        <v>33814</v>
      </c>
      <c r="AG1728" s="1" t="s">
        <v>132</v>
      </c>
      <c r="AH1728" s="1" t="s">
        <v>132</v>
      </c>
      <c r="AI1728" s="1" t="s">
        <v>132</v>
      </c>
      <c r="AJ1728" s="1" t="s">
        <v>132</v>
      </c>
      <c r="AK1728" s="1" t="s">
        <v>132</v>
      </c>
      <c r="AL1728" s="1" t="s">
        <v>132</v>
      </c>
      <c r="AM1728" s="1" t="s">
        <v>132</v>
      </c>
      <c r="AN1728" s="1" t="s">
        <v>132</v>
      </c>
    </row>
    <row r="1729" ht="15.75" customHeight="1">
      <c r="A1729" s="1" t="s">
        <v>127</v>
      </c>
      <c r="B1729" s="1" t="s">
        <v>33815</v>
      </c>
      <c r="C1729" s="1" t="s">
        <v>32094</v>
      </c>
      <c r="D1729" s="8" t="s">
        <v>32095</v>
      </c>
      <c r="E1729" s="1" t="s">
        <v>32096</v>
      </c>
      <c r="F1729" s="1" t="s">
        <v>132</v>
      </c>
      <c r="G1729" s="1" t="s">
        <v>32097</v>
      </c>
      <c r="H1729" s="1" t="s">
        <v>32098</v>
      </c>
      <c r="I1729" s="1" t="s">
        <v>32099</v>
      </c>
      <c r="J1729" s="1" t="s">
        <v>32100</v>
      </c>
      <c r="K1729" s="1" t="s">
        <v>33816</v>
      </c>
      <c r="L1729" s="1" t="s">
        <v>32102</v>
      </c>
      <c r="M1729" s="1" t="s">
        <v>32103</v>
      </c>
      <c r="N1729" s="1" t="s">
        <v>132</v>
      </c>
      <c r="O1729" s="1" t="s">
        <v>32104</v>
      </c>
      <c r="P1729" s="1" t="s">
        <v>32105</v>
      </c>
      <c r="Q1729" s="1" t="s">
        <v>132</v>
      </c>
      <c r="R1729" s="1" t="s">
        <v>33817</v>
      </c>
      <c r="S1729" s="1" t="s">
        <v>32107</v>
      </c>
      <c r="T1729" s="8" t="s">
        <v>32108</v>
      </c>
      <c r="U1729" s="1" t="s">
        <v>32109</v>
      </c>
      <c r="V1729" s="1" t="s">
        <v>32110</v>
      </c>
      <c r="W1729" s="1" t="s">
        <v>32111</v>
      </c>
      <c r="X1729" s="1" t="s">
        <v>32112</v>
      </c>
      <c r="Y1729" s="1" t="s">
        <v>32113</v>
      </c>
      <c r="Z1729" s="1" t="s">
        <v>32114</v>
      </c>
      <c r="AA1729" s="1" t="s">
        <v>33818</v>
      </c>
      <c r="AB1729" s="1" t="s">
        <v>33819</v>
      </c>
      <c r="AC1729" s="1" t="s">
        <v>16146</v>
      </c>
      <c r="AD1729" s="1" t="s">
        <v>32117</v>
      </c>
      <c r="AE1729" s="1" t="s">
        <v>32118</v>
      </c>
      <c r="AF1729" s="1" t="s">
        <v>32119</v>
      </c>
      <c r="AG1729" s="1" t="s">
        <v>32120</v>
      </c>
      <c r="AH1729" s="1" t="s">
        <v>32121</v>
      </c>
      <c r="AI1729" s="1" t="s">
        <v>33820</v>
      </c>
      <c r="AJ1729" s="1" t="s">
        <v>132</v>
      </c>
      <c r="AK1729" s="1" t="s">
        <v>32123</v>
      </c>
      <c r="AL1729" s="1" t="s">
        <v>32124</v>
      </c>
      <c r="AM1729" s="1" t="s">
        <v>32125</v>
      </c>
      <c r="AN1729" s="1" t="s">
        <v>32125</v>
      </c>
    </row>
    <row r="1730" ht="15.75" customHeight="1">
      <c r="A1730" s="1" t="s">
        <v>38</v>
      </c>
      <c r="B1730" s="1" t="s">
        <v>33821</v>
      </c>
      <c r="C1730" s="1" t="s">
        <v>33822</v>
      </c>
      <c r="D1730" s="8" t="s">
        <v>33823</v>
      </c>
      <c r="E1730" s="1" t="s">
        <v>33824</v>
      </c>
      <c r="F1730" s="1" t="s">
        <v>33825</v>
      </c>
      <c r="G1730" s="1" t="s">
        <v>132</v>
      </c>
      <c r="H1730" s="1" t="s">
        <v>132</v>
      </c>
      <c r="I1730" s="1" t="s">
        <v>33826</v>
      </c>
      <c r="J1730" s="1" t="s">
        <v>132</v>
      </c>
      <c r="K1730" s="1" t="s">
        <v>33827</v>
      </c>
      <c r="L1730" s="1" t="s">
        <v>132</v>
      </c>
      <c r="M1730" s="1" t="s">
        <v>33828</v>
      </c>
      <c r="N1730" s="1" t="s">
        <v>33829</v>
      </c>
      <c r="O1730" s="1" t="s">
        <v>132</v>
      </c>
      <c r="P1730" s="1" t="s">
        <v>33830</v>
      </c>
      <c r="Q1730" s="1" t="s">
        <v>132</v>
      </c>
      <c r="R1730" s="1" t="s">
        <v>132</v>
      </c>
      <c r="S1730" s="1" t="s">
        <v>33831</v>
      </c>
      <c r="T1730" s="1" t="s">
        <v>132</v>
      </c>
      <c r="U1730" s="1" t="s">
        <v>33832</v>
      </c>
      <c r="V1730" s="1" t="s">
        <v>33833</v>
      </c>
      <c r="W1730" s="1" t="s">
        <v>132</v>
      </c>
      <c r="X1730" s="1" t="s">
        <v>33834</v>
      </c>
      <c r="Y1730" s="1" t="s">
        <v>132</v>
      </c>
      <c r="Z1730" s="1" t="s">
        <v>33835</v>
      </c>
      <c r="AA1730" s="1" t="s">
        <v>33836</v>
      </c>
      <c r="AB1730" s="1" t="s">
        <v>132</v>
      </c>
      <c r="AC1730" s="1" t="s">
        <v>33837</v>
      </c>
      <c r="AD1730" s="1" t="s">
        <v>132</v>
      </c>
      <c r="AE1730" s="1" t="s">
        <v>132</v>
      </c>
      <c r="AF1730" s="1" t="s">
        <v>33838</v>
      </c>
      <c r="AG1730" s="1" t="s">
        <v>33839</v>
      </c>
      <c r="AH1730" s="1" t="s">
        <v>132</v>
      </c>
      <c r="AI1730" s="1" t="s">
        <v>132</v>
      </c>
      <c r="AJ1730" s="1" t="s">
        <v>33840</v>
      </c>
      <c r="AK1730" s="1" t="s">
        <v>132</v>
      </c>
      <c r="AL1730" s="1" t="s">
        <v>132</v>
      </c>
      <c r="AM1730" s="1" t="s">
        <v>33841</v>
      </c>
      <c r="AN1730" s="1" t="s">
        <v>33841</v>
      </c>
    </row>
    <row r="1731" ht="15.75" customHeight="1">
      <c r="A1731" s="1" t="s">
        <v>38</v>
      </c>
      <c r="B1731" s="1" t="s">
        <v>33842</v>
      </c>
      <c r="C1731" s="1" t="s">
        <v>33843</v>
      </c>
      <c r="D1731" s="8" t="s">
        <v>33844</v>
      </c>
      <c r="E1731" s="1" t="s">
        <v>33845</v>
      </c>
      <c r="F1731" s="1" t="s">
        <v>33846</v>
      </c>
      <c r="G1731" s="1" t="s">
        <v>132</v>
      </c>
      <c r="H1731" s="1" t="s">
        <v>132</v>
      </c>
      <c r="I1731" s="1" t="s">
        <v>33847</v>
      </c>
      <c r="J1731" s="1" t="s">
        <v>132</v>
      </c>
      <c r="K1731" s="1" t="s">
        <v>33848</v>
      </c>
      <c r="L1731" s="1" t="s">
        <v>132</v>
      </c>
      <c r="M1731" s="1" t="s">
        <v>33849</v>
      </c>
      <c r="N1731" s="1" t="s">
        <v>33848</v>
      </c>
      <c r="O1731" s="1" t="s">
        <v>132</v>
      </c>
      <c r="P1731" s="1" t="s">
        <v>33850</v>
      </c>
      <c r="Q1731" s="1" t="s">
        <v>33851</v>
      </c>
      <c r="R1731" s="1" t="s">
        <v>132</v>
      </c>
      <c r="S1731" s="1" t="s">
        <v>33852</v>
      </c>
      <c r="T1731" s="1" t="s">
        <v>132</v>
      </c>
      <c r="U1731" s="1" t="s">
        <v>33853</v>
      </c>
      <c r="V1731" s="1" t="s">
        <v>33854</v>
      </c>
      <c r="W1731" s="1" t="s">
        <v>132</v>
      </c>
      <c r="X1731" s="1" t="s">
        <v>33855</v>
      </c>
      <c r="Y1731" s="1" t="s">
        <v>132</v>
      </c>
      <c r="Z1731" s="1" t="s">
        <v>33856</v>
      </c>
      <c r="AA1731" s="1" t="s">
        <v>33857</v>
      </c>
      <c r="AB1731" s="1" t="s">
        <v>132</v>
      </c>
      <c r="AC1731" s="1" t="s">
        <v>33858</v>
      </c>
      <c r="AD1731" s="1" t="s">
        <v>132</v>
      </c>
      <c r="AE1731" s="1" t="s">
        <v>132</v>
      </c>
      <c r="AF1731" s="1" t="s">
        <v>33859</v>
      </c>
      <c r="AG1731" s="1" t="s">
        <v>33860</v>
      </c>
      <c r="AH1731" s="1" t="s">
        <v>132</v>
      </c>
      <c r="AI1731" s="1" t="s">
        <v>132</v>
      </c>
      <c r="AJ1731" s="1" t="s">
        <v>33861</v>
      </c>
      <c r="AK1731" s="1" t="s">
        <v>132</v>
      </c>
      <c r="AL1731" s="1" t="s">
        <v>132</v>
      </c>
      <c r="AM1731" s="1" t="s">
        <v>33862</v>
      </c>
      <c r="AN1731" s="1" t="s">
        <v>33862</v>
      </c>
    </row>
    <row r="1732" ht="15.75" customHeight="1">
      <c r="A1732" s="1" t="s">
        <v>127</v>
      </c>
      <c r="B1732" s="1" t="s">
        <v>33863</v>
      </c>
      <c r="C1732" s="1" t="s">
        <v>33864</v>
      </c>
      <c r="D1732" s="8" t="s">
        <v>3099</v>
      </c>
      <c r="E1732" s="1" t="s">
        <v>3100</v>
      </c>
      <c r="F1732" s="1" t="s">
        <v>132</v>
      </c>
      <c r="G1732" s="1" t="s">
        <v>33864</v>
      </c>
      <c r="H1732" s="1" t="s">
        <v>33864</v>
      </c>
      <c r="I1732" s="1" t="s">
        <v>33864</v>
      </c>
      <c r="J1732" s="1" t="s">
        <v>33865</v>
      </c>
      <c r="K1732" s="1" t="s">
        <v>33864</v>
      </c>
      <c r="L1732" s="1" t="s">
        <v>33866</v>
      </c>
      <c r="M1732" s="1" t="s">
        <v>33864</v>
      </c>
      <c r="N1732" s="1" t="s">
        <v>132</v>
      </c>
      <c r="O1732" s="1" t="s">
        <v>33867</v>
      </c>
      <c r="P1732" s="1" t="s">
        <v>33868</v>
      </c>
      <c r="Q1732" s="1" t="s">
        <v>132</v>
      </c>
      <c r="R1732" s="1" t="s">
        <v>33869</v>
      </c>
      <c r="S1732" s="1" t="s">
        <v>33864</v>
      </c>
      <c r="T1732" s="8" t="s">
        <v>3112</v>
      </c>
      <c r="U1732" s="1" t="s">
        <v>33864</v>
      </c>
      <c r="V1732" s="1" t="s">
        <v>3114</v>
      </c>
      <c r="W1732" s="1" t="s">
        <v>33869</v>
      </c>
      <c r="X1732" s="1" t="s">
        <v>33864</v>
      </c>
      <c r="Y1732" s="1" t="s">
        <v>33864</v>
      </c>
      <c r="Z1732" s="1" t="s">
        <v>33864</v>
      </c>
      <c r="AA1732" s="1" t="s">
        <v>3118</v>
      </c>
      <c r="AB1732" s="1" t="s">
        <v>33870</v>
      </c>
      <c r="AC1732" s="1" t="s">
        <v>33871</v>
      </c>
      <c r="AD1732" s="1" t="s">
        <v>33864</v>
      </c>
      <c r="AE1732" s="1" t="s">
        <v>33864</v>
      </c>
      <c r="AF1732" s="1" t="s">
        <v>33864</v>
      </c>
      <c r="AG1732" s="1" t="s">
        <v>33864</v>
      </c>
      <c r="AH1732" s="1" t="s">
        <v>3125</v>
      </c>
      <c r="AI1732" s="1" t="s">
        <v>27233</v>
      </c>
      <c r="AJ1732" s="1" t="s">
        <v>132</v>
      </c>
      <c r="AK1732" s="1" t="s">
        <v>33872</v>
      </c>
      <c r="AL1732" s="1" t="s">
        <v>3128</v>
      </c>
      <c r="AM1732" s="1" t="s">
        <v>3129</v>
      </c>
      <c r="AN1732" s="1" t="s">
        <v>3129</v>
      </c>
    </row>
    <row r="1733" ht="15.75" customHeight="1">
      <c r="A1733" s="1" t="s">
        <v>38</v>
      </c>
      <c r="B1733" s="1" t="s">
        <v>33873</v>
      </c>
      <c r="C1733" s="1" t="s">
        <v>33874</v>
      </c>
      <c r="D1733" s="1" t="s">
        <v>132</v>
      </c>
      <c r="E1733" s="1" t="s">
        <v>132</v>
      </c>
      <c r="F1733" s="1" t="s">
        <v>132</v>
      </c>
      <c r="G1733" s="1" t="s">
        <v>132</v>
      </c>
      <c r="H1733" s="1" t="s">
        <v>132</v>
      </c>
      <c r="I1733" s="1" t="s">
        <v>33874</v>
      </c>
      <c r="J1733" s="1" t="s">
        <v>132</v>
      </c>
      <c r="K1733" s="1" t="s">
        <v>33875</v>
      </c>
      <c r="L1733" s="1" t="s">
        <v>132</v>
      </c>
      <c r="M1733" s="1" t="s">
        <v>33874</v>
      </c>
      <c r="N1733" s="1" t="s">
        <v>132</v>
      </c>
      <c r="O1733" s="1" t="s">
        <v>132</v>
      </c>
      <c r="P1733" s="1" t="s">
        <v>33874</v>
      </c>
      <c r="Q1733" s="1" t="s">
        <v>132</v>
      </c>
      <c r="R1733" s="1" t="s">
        <v>132</v>
      </c>
      <c r="S1733" s="1" t="s">
        <v>132</v>
      </c>
      <c r="T1733" s="1" t="s">
        <v>132</v>
      </c>
      <c r="U1733" s="1" t="s">
        <v>132</v>
      </c>
      <c r="V1733" s="1" t="s">
        <v>132</v>
      </c>
      <c r="W1733" s="1" t="s">
        <v>132</v>
      </c>
      <c r="X1733" s="1" t="s">
        <v>132</v>
      </c>
      <c r="Y1733" s="1" t="s">
        <v>132</v>
      </c>
      <c r="Z1733" s="1" t="s">
        <v>132</v>
      </c>
      <c r="AA1733" s="1" t="s">
        <v>132</v>
      </c>
      <c r="AB1733" s="1" t="s">
        <v>132</v>
      </c>
      <c r="AC1733" s="1" t="s">
        <v>33876</v>
      </c>
      <c r="AD1733" s="1" t="s">
        <v>132</v>
      </c>
      <c r="AE1733" s="1" t="s">
        <v>132</v>
      </c>
      <c r="AF1733" s="1" t="s">
        <v>33875</v>
      </c>
      <c r="AG1733" s="1" t="s">
        <v>132</v>
      </c>
      <c r="AH1733" s="1" t="s">
        <v>132</v>
      </c>
      <c r="AI1733" s="1" t="s">
        <v>132</v>
      </c>
      <c r="AJ1733" s="1" t="s">
        <v>132</v>
      </c>
      <c r="AK1733" s="1" t="s">
        <v>132</v>
      </c>
      <c r="AL1733" s="1" t="s">
        <v>132</v>
      </c>
      <c r="AM1733" s="1" t="s">
        <v>132</v>
      </c>
      <c r="AN1733" s="1" t="s">
        <v>132</v>
      </c>
    </row>
    <row r="1734" ht="15.75" customHeight="1">
      <c r="A1734" s="1" t="s">
        <v>38</v>
      </c>
      <c r="B1734" s="1" t="s">
        <v>33877</v>
      </c>
      <c r="C1734" s="1" t="s">
        <v>33878</v>
      </c>
      <c r="D1734" s="1" t="s">
        <v>132</v>
      </c>
      <c r="E1734" s="1" t="s">
        <v>132</v>
      </c>
      <c r="F1734" s="1" t="s">
        <v>132</v>
      </c>
      <c r="G1734" s="1" t="s">
        <v>132</v>
      </c>
      <c r="H1734" s="1" t="s">
        <v>132</v>
      </c>
      <c r="I1734" s="1" t="s">
        <v>33879</v>
      </c>
      <c r="J1734" s="1" t="s">
        <v>132</v>
      </c>
      <c r="K1734" s="1" t="s">
        <v>33880</v>
      </c>
      <c r="L1734" s="1" t="s">
        <v>132</v>
      </c>
      <c r="M1734" s="1" t="s">
        <v>33881</v>
      </c>
      <c r="N1734" s="1" t="s">
        <v>132</v>
      </c>
      <c r="O1734" s="1" t="s">
        <v>132</v>
      </c>
      <c r="P1734" s="1" t="s">
        <v>33882</v>
      </c>
      <c r="Q1734" s="1" t="s">
        <v>132</v>
      </c>
      <c r="R1734" s="1" t="s">
        <v>132</v>
      </c>
      <c r="S1734" s="1" t="s">
        <v>132</v>
      </c>
      <c r="T1734" s="1" t="s">
        <v>132</v>
      </c>
      <c r="U1734" s="1" t="s">
        <v>132</v>
      </c>
      <c r="V1734" s="1" t="s">
        <v>132</v>
      </c>
      <c r="W1734" s="1" t="s">
        <v>132</v>
      </c>
      <c r="X1734" s="1" t="s">
        <v>132</v>
      </c>
      <c r="Y1734" s="1" t="s">
        <v>132</v>
      </c>
      <c r="Z1734" s="1" t="s">
        <v>132</v>
      </c>
      <c r="AA1734" s="1" t="s">
        <v>132</v>
      </c>
      <c r="AB1734" s="1" t="s">
        <v>132</v>
      </c>
      <c r="AC1734" s="1" t="s">
        <v>33883</v>
      </c>
      <c r="AD1734" s="1" t="s">
        <v>132</v>
      </c>
      <c r="AE1734" s="1" t="s">
        <v>132</v>
      </c>
      <c r="AF1734" s="1" t="s">
        <v>33884</v>
      </c>
      <c r="AG1734" s="1" t="s">
        <v>132</v>
      </c>
      <c r="AH1734" s="1" t="s">
        <v>132</v>
      </c>
      <c r="AI1734" s="1" t="s">
        <v>132</v>
      </c>
      <c r="AJ1734" s="1" t="s">
        <v>132</v>
      </c>
      <c r="AK1734" s="1" t="s">
        <v>132</v>
      </c>
      <c r="AL1734" s="1" t="s">
        <v>132</v>
      </c>
      <c r="AM1734" s="1" t="s">
        <v>132</v>
      </c>
      <c r="AN1734" s="1" t="s">
        <v>132</v>
      </c>
    </row>
    <row r="1735" ht="15.75" customHeight="1">
      <c r="A1735" s="1" t="s">
        <v>127</v>
      </c>
      <c r="B1735" s="1" t="s">
        <v>33885</v>
      </c>
      <c r="C1735" s="1" t="s">
        <v>625</v>
      </c>
      <c r="D1735" s="8" t="s">
        <v>626</v>
      </c>
      <c r="E1735" s="1" t="s">
        <v>627</v>
      </c>
      <c r="F1735" s="1" t="s">
        <v>132</v>
      </c>
      <c r="G1735" s="1" t="s">
        <v>628</v>
      </c>
      <c r="H1735" s="1" t="s">
        <v>629</v>
      </c>
      <c r="I1735" s="1" t="s">
        <v>630</v>
      </c>
      <c r="J1735" s="1" t="s">
        <v>631</v>
      </c>
      <c r="K1735" s="1" t="s">
        <v>33886</v>
      </c>
      <c r="L1735" s="1" t="s">
        <v>633</v>
      </c>
      <c r="M1735" s="1" t="s">
        <v>33887</v>
      </c>
      <c r="N1735" s="1" t="s">
        <v>132</v>
      </c>
      <c r="O1735" s="1" t="s">
        <v>635</v>
      </c>
      <c r="P1735" s="1" t="s">
        <v>33888</v>
      </c>
      <c r="Q1735" s="1" t="s">
        <v>132</v>
      </c>
      <c r="R1735" s="1" t="s">
        <v>637</v>
      </c>
      <c r="S1735" s="1" t="s">
        <v>638</v>
      </c>
      <c r="T1735" s="8" t="s">
        <v>639</v>
      </c>
      <c r="U1735" s="1" t="s">
        <v>640</v>
      </c>
      <c r="V1735" s="1" t="s">
        <v>641</v>
      </c>
      <c r="W1735" s="1" t="s">
        <v>637</v>
      </c>
      <c r="X1735" s="1" t="s">
        <v>33889</v>
      </c>
      <c r="Y1735" s="1" t="s">
        <v>629</v>
      </c>
      <c r="Z1735" s="1" t="s">
        <v>643</v>
      </c>
      <c r="AA1735" s="1" t="s">
        <v>33890</v>
      </c>
      <c r="AB1735" s="1" t="s">
        <v>645</v>
      </c>
      <c r="AC1735" s="1" t="s">
        <v>646</v>
      </c>
      <c r="AD1735" s="1" t="s">
        <v>647</v>
      </c>
      <c r="AE1735" s="1" t="s">
        <v>648</v>
      </c>
      <c r="AF1735" s="1" t="s">
        <v>33891</v>
      </c>
      <c r="AG1735" s="1" t="s">
        <v>649</v>
      </c>
      <c r="AH1735" s="1" t="s">
        <v>650</v>
      </c>
      <c r="AI1735" s="1" t="s">
        <v>651</v>
      </c>
      <c r="AJ1735" s="1" t="s">
        <v>132</v>
      </c>
      <c r="AK1735" s="1" t="s">
        <v>652</v>
      </c>
      <c r="AL1735" s="1" t="s">
        <v>33892</v>
      </c>
      <c r="AM1735" s="1" t="s">
        <v>33893</v>
      </c>
      <c r="AN1735" s="1" t="s">
        <v>33893</v>
      </c>
    </row>
    <row r="1736" ht="15.75" customHeight="1">
      <c r="A1736" s="1" t="s">
        <v>38</v>
      </c>
      <c r="B1736" s="1" t="s">
        <v>33894</v>
      </c>
      <c r="C1736" s="1" t="s">
        <v>33895</v>
      </c>
      <c r="D1736" s="1" t="s">
        <v>132</v>
      </c>
      <c r="E1736" s="1" t="s">
        <v>132</v>
      </c>
      <c r="F1736" s="1" t="s">
        <v>132</v>
      </c>
      <c r="G1736" s="1" t="s">
        <v>132</v>
      </c>
      <c r="H1736" s="1" t="s">
        <v>132</v>
      </c>
      <c r="I1736" s="1" t="s">
        <v>33896</v>
      </c>
      <c r="J1736" s="1" t="s">
        <v>132</v>
      </c>
      <c r="K1736" s="1" t="s">
        <v>33897</v>
      </c>
      <c r="L1736" s="1" t="s">
        <v>132</v>
      </c>
      <c r="M1736" s="1" t="s">
        <v>33898</v>
      </c>
      <c r="N1736" s="1" t="s">
        <v>132</v>
      </c>
      <c r="O1736" s="1" t="s">
        <v>132</v>
      </c>
      <c r="P1736" s="1" t="s">
        <v>33899</v>
      </c>
      <c r="Q1736" s="1" t="s">
        <v>132</v>
      </c>
      <c r="R1736" s="1" t="s">
        <v>132</v>
      </c>
      <c r="S1736" s="1" t="s">
        <v>132</v>
      </c>
      <c r="T1736" s="1" t="s">
        <v>132</v>
      </c>
      <c r="U1736" s="1" t="s">
        <v>132</v>
      </c>
      <c r="V1736" s="1" t="s">
        <v>132</v>
      </c>
      <c r="W1736" s="1" t="s">
        <v>132</v>
      </c>
      <c r="X1736" s="1" t="s">
        <v>132</v>
      </c>
      <c r="Y1736" s="1" t="s">
        <v>132</v>
      </c>
      <c r="Z1736" s="1" t="s">
        <v>132</v>
      </c>
      <c r="AA1736" s="1" t="s">
        <v>132</v>
      </c>
      <c r="AB1736" s="1" t="s">
        <v>132</v>
      </c>
      <c r="AC1736" s="1" t="s">
        <v>33900</v>
      </c>
      <c r="AD1736" s="1" t="s">
        <v>132</v>
      </c>
      <c r="AE1736" s="1" t="s">
        <v>132</v>
      </c>
      <c r="AF1736" s="1" t="s">
        <v>33901</v>
      </c>
      <c r="AG1736" s="1" t="s">
        <v>132</v>
      </c>
      <c r="AH1736" s="1" t="s">
        <v>132</v>
      </c>
      <c r="AI1736" s="1" t="s">
        <v>132</v>
      </c>
      <c r="AJ1736" s="1" t="s">
        <v>132</v>
      </c>
      <c r="AK1736" s="1" t="s">
        <v>132</v>
      </c>
      <c r="AL1736" s="1" t="s">
        <v>132</v>
      </c>
      <c r="AM1736" s="1" t="s">
        <v>132</v>
      </c>
      <c r="AN1736" s="1" t="s">
        <v>132</v>
      </c>
    </row>
    <row r="1737" ht="15.75" customHeight="1">
      <c r="A1737" s="1" t="s">
        <v>38</v>
      </c>
      <c r="B1737" s="1" t="s">
        <v>33902</v>
      </c>
      <c r="C1737" s="1" t="s">
        <v>33903</v>
      </c>
      <c r="D1737" s="8" t="s">
        <v>33904</v>
      </c>
      <c r="E1737" s="1" t="s">
        <v>8280</v>
      </c>
      <c r="F1737" s="1" t="s">
        <v>33905</v>
      </c>
      <c r="G1737" s="1" t="s">
        <v>132</v>
      </c>
      <c r="H1737" s="1" t="s">
        <v>132</v>
      </c>
      <c r="I1737" s="1" t="s">
        <v>33906</v>
      </c>
      <c r="J1737" s="1" t="s">
        <v>132</v>
      </c>
      <c r="K1737" s="1" t="s">
        <v>33905</v>
      </c>
      <c r="L1737" s="1" t="s">
        <v>132</v>
      </c>
      <c r="M1737" s="1" t="s">
        <v>33907</v>
      </c>
      <c r="N1737" s="1" t="s">
        <v>33908</v>
      </c>
      <c r="O1737" s="1" t="s">
        <v>132</v>
      </c>
      <c r="P1737" s="1" t="s">
        <v>33909</v>
      </c>
      <c r="Q1737" s="1" t="s">
        <v>33905</v>
      </c>
      <c r="R1737" s="1" t="s">
        <v>132</v>
      </c>
      <c r="S1737" s="1" t="s">
        <v>33905</v>
      </c>
      <c r="T1737" s="1" t="s">
        <v>132</v>
      </c>
      <c r="U1737" s="1" t="s">
        <v>33910</v>
      </c>
      <c r="V1737" s="1" t="s">
        <v>33911</v>
      </c>
      <c r="W1737" s="1" t="s">
        <v>132</v>
      </c>
      <c r="X1737" s="1" t="s">
        <v>8282</v>
      </c>
      <c r="Y1737" s="1" t="s">
        <v>132</v>
      </c>
      <c r="Z1737" s="1" t="s">
        <v>33912</v>
      </c>
      <c r="AA1737" s="1" t="s">
        <v>33905</v>
      </c>
      <c r="AB1737" s="1" t="s">
        <v>132</v>
      </c>
      <c r="AC1737" s="1" t="s">
        <v>8280</v>
      </c>
      <c r="AD1737" s="1" t="s">
        <v>132</v>
      </c>
      <c r="AE1737" s="1" t="s">
        <v>132</v>
      </c>
      <c r="AF1737" s="1" t="s">
        <v>8280</v>
      </c>
      <c r="AG1737" s="1" t="s">
        <v>33905</v>
      </c>
      <c r="AH1737" s="1" t="s">
        <v>132</v>
      </c>
      <c r="AI1737" s="1" t="s">
        <v>132</v>
      </c>
      <c r="AJ1737" s="1" t="s">
        <v>8280</v>
      </c>
      <c r="AK1737" s="1" t="s">
        <v>132</v>
      </c>
      <c r="AL1737" s="1" t="s">
        <v>132</v>
      </c>
      <c r="AM1737" s="1" t="s">
        <v>33913</v>
      </c>
      <c r="AN1737" s="1" t="s">
        <v>33913</v>
      </c>
    </row>
    <row r="1738" ht="15.75" customHeight="1">
      <c r="A1738" s="1" t="s">
        <v>38</v>
      </c>
      <c r="B1738" s="1" t="s">
        <v>33914</v>
      </c>
      <c r="C1738" s="1" t="s">
        <v>33915</v>
      </c>
      <c r="D1738" s="8" t="s">
        <v>33916</v>
      </c>
      <c r="E1738" s="1" t="s">
        <v>33917</v>
      </c>
      <c r="F1738" s="1" t="s">
        <v>33918</v>
      </c>
      <c r="G1738" s="1" t="s">
        <v>132</v>
      </c>
      <c r="H1738" s="1" t="s">
        <v>132</v>
      </c>
      <c r="I1738" s="1" t="s">
        <v>33919</v>
      </c>
      <c r="J1738" s="1" t="s">
        <v>132</v>
      </c>
      <c r="K1738" s="1" t="s">
        <v>33920</v>
      </c>
      <c r="L1738" s="1" t="s">
        <v>132</v>
      </c>
      <c r="M1738" s="1" t="s">
        <v>33915</v>
      </c>
      <c r="N1738" s="1" t="s">
        <v>33921</v>
      </c>
      <c r="O1738" s="1" t="s">
        <v>132</v>
      </c>
      <c r="P1738" s="1" t="s">
        <v>33922</v>
      </c>
      <c r="Q1738" s="1" t="s">
        <v>132</v>
      </c>
      <c r="R1738" s="1" t="s">
        <v>132</v>
      </c>
      <c r="S1738" s="1" t="s">
        <v>33923</v>
      </c>
      <c r="T1738" s="1" t="s">
        <v>132</v>
      </c>
      <c r="U1738" s="1" t="s">
        <v>33924</v>
      </c>
      <c r="V1738" s="1" t="s">
        <v>132</v>
      </c>
      <c r="W1738" s="1" t="s">
        <v>132</v>
      </c>
      <c r="X1738" s="1" t="s">
        <v>33925</v>
      </c>
      <c r="Y1738" s="1" t="s">
        <v>132</v>
      </c>
      <c r="Z1738" s="1" t="s">
        <v>33926</v>
      </c>
      <c r="AA1738" s="1" t="s">
        <v>132</v>
      </c>
      <c r="AB1738" s="1" t="s">
        <v>132</v>
      </c>
      <c r="AC1738" s="1" t="s">
        <v>14364</v>
      </c>
      <c r="AD1738" s="1" t="s">
        <v>132</v>
      </c>
      <c r="AE1738" s="1" t="s">
        <v>132</v>
      </c>
      <c r="AF1738" s="1" t="s">
        <v>33927</v>
      </c>
      <c r="AG1738" s="1" t="s">
        <v>132</v>
      </c>
      <c r="AH1738" s="1" t="s">
        <v>132</v>
      </c>
      <c r="AI1738" s="1" t="s">
        <v>132</v>
      </c>
      <c r="AJ1738" s="1" t="s">
        <v>132</v>
      </c>
      <c r="AK1738" s="1" t="s">
        <v>132</v>
      </c>
      <c r="AL1738" s="1" t="s">
        <v>132</v>
      </c>
      <c r="AM1738" s="1" t="s">
        <v>132</v>
      </c>
      <c r="AN1738" s="1" t="s">
        <v>132</v>
      </c>
    </row>
    <row r="1739" ht="15.75" customHeight="1">
      <c r="A1739" s="1" t="s">
        <v>127</v>
      </c>
      <c r="B1739" s="1" t="s">
        <v>33928</v>
      </c>
      <c r="C1739" s="1" t="s">
        <v>33929</v>
      </c>
      <c r="D1739" s="8" t="s">
        <v>33930</v>
      </c>
      <c r="E1739" s="1" t="s">
        <v>33931</v>
      </c>
      <c r="F1739" s="1" t="s">
        <v>132</v>
      </c>
      <c r="G1739" s="1" t="s">
        <v>33932</v>
      </c>
      <c r="H1739" s="1" t="s">
        <v>33929</v>
      </c>
      <c r="I1739" s="1" t="s">
        <v>33933</v>
      </c>
      <c r="J1739" s="1" t="s">
        <v>33934</v>
      </c>
      <c r="K1739" s="1" t="s">
        <v>33935</v>
      </c>
      <c r="L1739" s="1" t="s">
        <v>33936</v>
      </c>
      <c r="M1739" s="1" t="s">
        <v>33929</v>
      </c>
      <c r="N1739" s="1" t="s">
        <v>132</v>
      </c>
      <c r="O1739" s="1" t="s">
        <v>33937</v>
      </c>
      <c r="P1739" s="1" t="s">
        <v>33929</v>
      </c>
      <c r="Q1739" s="1" t="s">
        <v>132</v>
      </c>
      <c r="R1739" s="1" t="s">
        <v>33938</v>
      </c>
      <c r="S1739" s="1" t="s">
        <v>33939</v>
      </c>
      <c r="T1739" s="8" t="s">
        <v>33940</v>
      </c>
      <c r="U1739" s="1" t="s">
        <v>33941</v>
      </c>
      <c r="V1739" s="1" t="s">
        <v>33942</v>
      </c>
      <c r="W1739" s="1" t="s">
        <v>33938</v>
      </c>
      <c r="X1739" s="1" t="s">
        <v>33929</v>
      </c>
      <c r="Y1739" s="1" t="s">
        <v>33943</v>
      </c>
      <c r="Z1739" s="1" t="s">
        <v>11713</v>
      </c>
      <c r="AA1739" s="1" t="s">
        <v>33929</v>
      </c>
      <c r="AB1739" s="1" t="s">
        <v>33944</v>
      </c>
      <c r="AC1739" s="1" t="s">
        <v>33945</v>
      </c>
      <c r="AD1739" s="1" t="s">
        <v>33946</v>
      </c>
      <c r="AE1739" s="1" t="s">
        <v>33947</v>
      </c>
      <c r="AF1739" s="1" t="s">
        <v>33948</v>
      </c>
      <c r="AG1739" s="1" t="s">
        <v>24732</v>
      </c>
      <c r="AH1739" s="1" t="s">
        <v>33949</v>
      </c>
      <c r="AI1739" s="1" t="s">
        <v>11720</v>
      </c>
      <c r="AJ1739" s="1" t="s">
        <v>132</v>
      </c>
      <c r="AK1739" s="1" t="s">
        <v>33950</v>
      </c>
      <c r="AL1739" s="1" t="s">
        <v>33951</v>
      </c>
      <c r="AM1739" s="1" t="s">
        <v>132</v>
      </c>
      <c r="AN1739" s="1" t="s">
        <v>132</v>
      </c>
    </row>
    <row r="1740" ht="15.75" customHeight="1">
      <c r="A1740" s="1" t="s">
        <v>127</v>
      </c>
      <c r="B1740" s="1" t="s">
        <v>33952</v>
      </c>
      <c r="C1740" s="1" t="s">
        <v>33953</v>
      </c>
      <c r="D1740" s="8" t="s">
        <v>33954</v>
      </c>
      <c r="E1740" s="1" t="s">
        <v>33955</v>
      </c>
      <c r="F1740" s="1" t="s">
        <v>132</v>
      </c>
      <c r="G1740" s="1" t="s">
        <v>33956</v>
      </c>
      <c r="H1740" s="1" t="s">
        <v>33957</v>
      </c>
      <c r="I1740" s="1" t="s">
        <v>33958</v>
      </c>
      <c r="J1740" s="1" t="s">
        <v>33959</v>
      </c>
      <c r="K1740" s="1" t="s">
        <v>33960</v>
      </c>
      <c r="L1740" s="1" t="s">
        <v>33961</v>
      </c>
      <c r="M1740" s="1" t="s">
        <v>15362</v>
      </c>
      <c r="N1740" s="1" t="s">
        <v>132</v>
      </c>
      <c r="O1740" s="1" t="s">
        <v>33962</v>
      </c>
      <c r="P1740" s="1" t="s">
        <v>33963</v>
      </c>
      <c r="Q1740" s="1" t="s">
        <v>132</v>
      </c>
      <c r="R1740" s="1" t="s">
        <v>33964</v>
      </c>
      <c r="S1740" s="1" t="s">
        <v>33965</v>
      </c>
      <c r="T1740" s="8" t="s">
        <v>33966</v>
      </c>
      <c r="U1740" s="1" t="s">
        <v>15367</v>
      </c>
      <c r="V1740" s="1" t="s">
        <v>33967</v>
      </c>
      <c r="W1740" s="1" t="s">
        <v>33968</v>
      </c>
      <c r="X1740" s="1" t="s">
        <v>33969</v>
      </c>
      <c r="Y1740" s="1" t="s">
        <v>33970</v>
      </c>
      <c r="Z1740" s="1" t="s">
        <v>33971</v>
      </c>
      <c r="AA1740" s="1" t="s">
        <v>33972</v>
      </c>
      <c r="AB1740" s="1" t="s">
        <v>33973</v>
      </c>
      <c r="AC1740" s="1" t="s">
        <v>33974</v>
      </c>
      <c r="AD1740" s="1" t="s">
        <v>33975</v>
      </c>
      <c r="AE1740" s="1" t="s">
        <v>33976</v>
      </c>
      <c r="AF1740" s="1" t="s">
        <v>33977</v>
      </c>
      <c r="AG1740" s="1" t="s">
        <v>33978</v>
      </c>
      <c r="AH1740" s="1" t="s">
        <v>33979</v>
      </c>
      <c r="AI1740" s="1" t="s">
        <v>33980</v>
      </c>
      <c r="AJ1740" s="1" t="s">
        <v>132</v>
      </c>
      <c r="AK1740" s="1" t="s">
        <v>33981</v>
      </c>
      <c r="AL1740" s="1" t="s">
        <v>33982</v>
      </c>
      <c r="AM1740" s="1" t="s">
        <v>33983</v>
      </c>
      <c r="AN1740" s="1" t="s">
        <v>33983</v>
      </c>
    </row>
    <row r="1741" ht="15.75" customHeight="1">
      <c r="A1741" s="1" t="s">
        <v>127</v>
      </c>
      <c r="B1741" s="1" t="s">
        <v>33984</v>
      </c>
      <c r="C1741" s="1" t="s">
        <v>33985</v>
      </c>
      <c r="D1741" s="8" t="s">
        <v>33986</v>
      </c>
      <c r="E1741" s="1" t="s">
        <v>33987</v>
      </c>
      <c r="F1741" s="1" t="s">
        <v>132</v>
      </c>
      <c r="G1741" s="1" t="s">
        <v>33988</v>
      </c>
      <c r="H1741" s="1" t="s">
        <v>33989</v>
      </c>
      <c r="I1741" s="1" t="s">
        <v>33990</v>
      </c>
      <c r="J1741" s="1" t="s">
        <v>33991</v>
      </c>
      <c r="K1741" s="1" t="s">
        <v>33992</v>
      </c>
      <c r="L1741" s="1" t="s">
        <v>33993</v>
      </c>
      <c r="M1741" s="1" t="s">
        <v>33994</v>
      </c>
      <c r="N1741" s="1" t="s">
        <v>132</v>
      </c>
      <c r="O1741" s="1" t="s">
        <v>33995</v>
      </c>
      <c r="P1741" s="1" t="s">
        <v>33996</v>
      </c>
      <c r="Q1741" s="1" t="s">
        <v>132</v>
      </c>
      <c r="R1741" s="1" t="s">
        <v>33997</v>
      </c>
      <c r="S1741" s="1" t="s">
        <v>33998</v>
      </c>
      <c r="T1741" s="8" t="s">
        <v>33999</v>
      </c>
      <c r="U1741" s="1" t="s">
        <v>34000</v>
      </c>
      <c r="V1741" s="1" t="s">
        <v>34001</v>
      </c>
      <c r="W1741" s="1" t="s">
        <v>34002</v>
      </c>
      <c r="X1741" s="1" t="s">
        <v>34003</v>
      </c>
      <c r="Y1741" s="1" t="s">
        <v>34004</v>
      </c>
      <c r="Z1741" s="1" t="s">
        <v>34005</v>
      </c>
      <c r="AA1741" s="1" t="s">
        <v>34006</v>
      </c>
      <c r="AB1741" s="1" t="s">
        <v>34007</v>
      </c>
      <c r="AC1741" s="1" t="s">
        <v>34008</v>
      </c>
      <c r="AD1741" s="1" t="s">
        <v>34009</v>
      </c>
      <c r="AE1741" s="1" t="s">
        <v>34010</v>
      </c>
      <c r="AF1741" s="1" t="s">
        <v>34011</v>
      </c>
      <c r="AG1741" s="1" t="s">
        <v>34012</v>
      </c>
      <c r="AH1741" s="1" t="s">
        <v>34013</v>
      </c>
      <c r="AI1741" s="1" t="s">
        <v>34014</v>
      </c>
      <c r="AJ1741" s="1" t="s">
        <v>132</v>
      </c>
      <c r="AK1741" s="1" t="s">
        <v>34015</v>
      </c>
      <c r="AL1741" s="1" t="s">
        <v>34016</v>
      </c>
      <c r="AM1741" s="1" t="s">
        <v>34017</v>
      </c>
      <c r="AN1741" s="1" t="s">
        <v>34017</v>
      </c>
    </row>
    <row r="1742" ht="15.75" customHeight="1">
      <c r="A1742" s="1" t="s">
        <v>127</v>
      </c>
      <c r="B1742" s="1" t="s">
        <v>34018</v>
      </c>
      <c r="C1742" s="1" t="s">
        <v>6558</v>
      </c>
      <c r="D1742" s="8" t="s">
        <v>6559</v>
      </c>
      <c r="E1742" s="1" t="s">
        <v>6560</v>
      </c>
      <c r="F1742" s="1" t="s">
        <v>132</v>
      </c>
      <c r="G1742" s="1" t="s">
        <v>6561</v>
      </c>
      <c r="H1742" s="1" t="s">
        <v>6562</v>
      </c>
      <c r="I1742" s="1" t="s">
        <v>6558</v>
      </c>
      <c r="J1742" s="1" t="s">
        <v>6563</v>
      </c>
      <c r="K1742" s="1" t="s">
        <v>6564</v>
      </c>
      <c r="L1742" s="1" t="s">
        <v>6561</v>
      </c>
      <c r="M1742" s="1" t="s">
        <v>34019</v>
      </c>
      <c r="N1742" s="1" t="s">
        <v>132</v>
      </c>
      <c r="O1742" s="1" t="s">
        <v>6565</v>
      </c>
      <c r="P1742" s="1" t="s">
        <v>6561</v>
      </c>
      <c r="Q1742" s="1" t="s">
        <v>132</v>
      </c>
      <c r="R1742" s="1" t="s">
        <v>6558</v>
      </c>
      <c r="S1742" s="1" t="s">
        <v>6564</v>
      </c>
      <c r="T1742" s="8" t="s">
        <v>6566</v>
      </c>
      <c r="U1742" s="1" t="s">
        <v>6567</v>
      </c>
      <c r="V1742" s="1" t="s">
        <v>6568</v>
      </c>
      <c r="W1742" s="1" t="s">
        <v>6558</v>
      </c>
      <c r="X1742" s="1" t="s">
        <v>6558</v>
      </c>
      <c r="Y1742" s="1" t="s">
        <v>6561</v>
      </c>
      <c r="Z1742" s="1" t="s">
        <v>6569</v>
      </c>
      <c r="AA1742" s="1" t="s">
        <v>6561</v>
      </c>
      <c r="AB1742" s="1" t="s">
        <v>6570</v>
      </c>
      <c r="AC1742" s="1" t="s">
        <v>6560</v>
      </c>
      <c r="AD1742" s="1" t="s">
        <v>6561</v>
      </c>
      <c r="AE1742" s="1" t="s">
        <v>6561</v>
      </c>
      <c r="AF1742" s="1" t="s">
        <v>6561</v>
      </c>
      <c r="AG1742" s="1" t="s">
        <v>6561</v>
      </c>
      <c r="AH1742" s="1" t="s">
        <v>6571</v>
      </c>
      <c r="AI1742" s="1" t="s">
        <v>6562</v>
      </c>
      <c r="AJ1742" s="1" t="s">
        <v>132</v>
      </c>
      <c r="AK1742" s="1" t="s">
        <v>6572</v>
      </c>
      <c r="AL1742" s="1" t="s">
        <v>6573</v>
      </c>
      <c r="AM1742" s="1" t="s">
        <v>6574</v>
      </c>
      <c r="AN1742" s="1" t="s">
        <v>6574</v>
      </c>
    </row>
    <row r="1743" ht="15.75" customHeight="1">
      <c r="A1743" s="1" t="s">
        <v>127</v>
      </c>
      <c r="B1743" s="1" t="s">
        <v>34020</v>
      </c>
      <c r="C1743" s="1" t="s">
        <v>34021</v>
      </c>
      <c r="D1743" s="8" t="s">
        <v>34022</v>
      </c>
      <c r="E1743" s="1" t="s">
        <v>34023</v>
      </c>
      <c r="F1743" s="1" t="s">
        <v>132</v>
      </c>
      <c r="G1743" s="1" t="s">
        <v>34024</v>
      </c>
      <c r="H1743" s="1" t="s">
        <v>34025</v>
      </c>
      <c r="I1743" s="1" t="s">
        <v>34026</v>
      </c>
      <c r="J1743" s="1" t="s">
        <v>34027</v>
      </c>
      <c r="K1743" s="1" t="s">
        <v>34028</v>
      </c>
      <c r="L1743" s="1" t="s">
        <v>34029</v>
      </c>
      <c r="M1743" s="1" t="s">
        <v>34030</v>
      </c>
      <c r="N1743" s="1" t="s">
        <v>132</v>
      </c>
      <c r="O1743" s="1" t="s">
        <v>34031</v>
      </c>
      <c r="P1743" s="1" t="s">
        <v>34032</v>
      </c>
      <c r="Q1743" s="1" t="s">
        <v>132</v>
      </c>
      <c r="R1743" s="1" t="s">
        <v>34033</v>
      </c>
      <c r="S1743" s="1" t="s">
        <v>34034</v>
      </c>
      <c r="T1743" s="8" t="s">
        <v>34035</v>
      </c>
      <c r="U1743" s="1" t="s">
        <v>34036</v>
      </c>
      <c r="V1743" s="1" t="s">
        <v>34037</v>
      </c>
      <c r="W1743" s="1" t="s">
        <v>34033</v>
      </c>
      <c r="X1743" s="1" t="s">
        <v>34038</v>
      </c>
      <c r="Y1743" s="1" t="s">
        <v>34039</v>
      </c>
      <c r="Z1743" s="1" t="s">
        <v>34040</v>
      </c>
      <c r="AA1743" s="1" t="s">
        <v>34041</v>
      </c>
      <c r="AB1743" s="1" t="s">
        <v>34042</v>
      </c>
      <c r="AC1743" s="1" t="s">
        <v>34043</v>
      </c>
      <c r="AD1743" s="1" t="s">
        <v>34044</v>
      </c>
      <c r="AE1743" s="1" t="s">
        <v>34045</v>
      </c>
      <c r="AF1743" s="1" t="s">
        <v>34046</v>
      </c>
      <c r="AG1743" s="1" t="s">
        <v>34047</v>
      </c>
      <c r="AH1743" s="1" t="s">
        <v>34048</v>
      </c>
      <c r="AI1743" s="1" t="s">
        <v>34049</v>
      </c>
      <c r="AJ1743" s="1" t="s">
        <v>132</v>
      </c>
      <c r="AK1743" s="1" t="s">
        <v>34050</v>
      </c>
      <c r="AL1743" s="1" t="s">
        <v>34051</v>
      </c>
      <c r="AM1743" s="1" t="s">
        <v>132</v>
      </c>
      <c r="AN1743" s="1" t="s">
        <v>132</v>
      </c>
    </row>
    <row r="1744" ht="15.75" customHeight="1">
      <c r="A1744" s="1" t="s">
        <v>38</v>
      </c>
      <c r="B1744" s="1" t="s">
        <v>34052</v>
      </c>
      <c r="C1744" s="1" t="s">
        <v>34053</v>
      </c>
      <c r="D1744" s="8" t="s">
        <v>34054</v>
      </c>
      <c r="E1744" s="1" t="s">
        <v>34055</v>
      </c>
      <c r="F1744" s="1" t="s">
        <v>34056</v>
      </c>
      <c r="G1744" s="1" t="s">
        <v>132</v>
      </c>
      <c r="H1744" s="1" t="s">
        <v>132</v>
      </c>
      <c r="I1744" s="1" t="s">
        <v>34057</v>
      </c>
      <c r="J1744" s="1" t="s">
        <v>132</v>
      </c>
      <c r="K1744" s="1" t="s">
        <v>34058</v>
      </c>
      <c r="L1744" s="1" t="s">
        <v>132</v>
      </c>
      <c r="M1744" s="1" t="s">
        <v>34059</v>
      </c>
      <c r="N1744" s="1" t="s">
        <v>34060</v>
      </c>
      <c r="O1744" s="1" t="s">
        <v>132</v>
      </c>
      <c r="P1744" s="1" t="s">
        <v>34061</v>
      </c>
      <c r="Q1744" s="1" t="s">
        <v>132</v>
      </c>
      <c r="R1744" s="1" t="s">
        <v>132</v>
      </c>
      <c r="S1744" s="1" t="s">
        <v>34062</v>
      </c>
      <c r="T1744" s="1" t="s">
        <v>132</v>
      </c>
      <c r="U1744" s="1" t="s">
        <v>34063</v>
      </c>
      <c r="V1744" s="1" t="s">
        <v>34064</v>
      </c>
      <c r="W1744" s="1" t="s">
        <v>132</v>
      </c>
      <c r="X1744" s="1" t="s">
        <v>34065</v>
      </c>
      <c r="Y1744" s="1" t="s">
        <v>132</v>
      </c>
      <c r="Z1744" s="1" t="s">
        <v>34066</v>
      </c>
      <c r="AA1744" s="1" t="s">
        <v>34067</v>
      </c>
      <c r="AB1744" s="1" t="s">
        <v>132</v>
      </c>
      <c r="AC1744" s="1" t="s">
        <v>34068</v>
      </c>
      <c r="AD1744" s="1" t="s">
        <v>132</v>
      </c>
      <c r="AE1744" s="1" t="s">
        <v>132</v>
      </c>
      <c r="AF1744" s="1" t="s">
        <v>34069</v>
      </c>
      <c r="AG1744" s="1" t="s">
        <v>34070</v>
      </c>
      <c r="AH1744" s="1" t="s">
        <v>132</v>
      </c>
      <c r="AI1744" s="1" t="s">
        <v>132</v>
      </c>
      <c r="AJ1744" s="1" t="s">
        <v>34071</v>
      </c>
      <c r="AK1744" s="1" t="s">
        <v>132</v>
      </c>
      <c r="AL1744" s="1" t="s">
        <v>132</v>
      </c>
      <c r="AM1744" s="1" t="s">
        <v>34072</v>
      </c>
      <c r="AN1744" s="1" t="s">
        <v>34072</v>
      </c>
    </row>
    <row r="1745" ht="15.75" customHeight="1">
      <c r="A1745" s="1" t="s">
        <v>38</v>
      </c>
      <c r="B1745" s="1" t="s">
        <v>34073</v>
      </c>
      <c r="C1745" s="1" t="s">
        <v>34074</v>
      </c>
      <c r="D1745" s="1" t="s">
        <v>132</v>
      </c>
      <c r="E1745" s="1" t="s">
        <v>132</v>
      </c>
      <c r="F1745" s="1" t="s">
        <v>132</v>
      </c>
      <c r="G1745" s="1" t="s">
        <v>132</v>
      </c>
      <c r="H1745" s="1" t="s">
        <v>132</v>
      </c>
      <c r="I1745" s="1" t="s">
        <v>34074</v>
      </c>
      <c r="J1745" s="1" t="s">
        <v>132</v>
      </c>
      <c r="K1745" s="1" t="s">
        <v>34075</v>
      </c>
      <c r="L1745" s="1" t="s">
        <v>132</v>
      </c>
      <c r="M1745" s="1" t="s">
        <v>34074</v>
      </c>
      <c r="N1745" s="1" t="s">
        <v>132</v>
      </c>
      <c r="O1745" s="1" t="s">
        <v>132</v>
      </c>
      <c r="P1745" s="1" t="s">
        <v>34074</v>
      </c>
      <c r="Q1745" s="1" t="s">
        <v>132</v>
      </c>
      <c r="R1745" s="1" t="s">
        <v>132</v>
      </c>
      <c r="S1745" s="1" t="s">
        <v>132</v>
      </c>
      <c r="T1745" s="1" t="s">
        <v>132</v>
      </c>
      <c r="U1745" s="1" t="s">
        <v>132</v>
      </c>
      <c r="V1745" s="1" t="s">
        <v>132</v>
      </c>
      <c r="W1745" s="1" t="s">
        <v>132</v>
      </c>
      <c r="X1745" s="1" t="s">
        <v>132</v>
      </c>
      <c r="Y1745" s="1" t="s">
        <v>132</v>
      </c>
      <c r="Z1745" s="1" t="s">
        <v>132</v>
      </c>
      <c r="AA1745" s="1" t="s">
        <v>132</v>
      </c>
      <c r="AB1745" s="1" t="s">
        <v>132</v>
      </c>
      <c r="AC1745" s="1" t="s">
        <v>34076</v>
      </c>
      <c r="AD1745" s="1" t="s">
        <v>132</v>
      </c>
      <c r="AE1745" s="1" t="s">
        <v>132</v>
      </c>
      <c r="AF1745" s="1" t="s">
        <v>34074</v>
      </c>
      <c r="AG1745" s="1" t="s">
        <v>132</v>
      </c>
      <c r="AH1745" s="1" t="s">
        <v>132</v>
      </c>
      <c r="AI1745" s="1" t="s">
        <v>132</v>
      </c>
      <c r="AJ1745" s="1" t="s">
        <v>132</v>
      </c>
      <c r="AK1745" s="1" t="s">
        <v>132</v>
      </c>
      <c r="AL1745" s="1" t="s">
        <v>132</v>
      </c>
      <c r="AM1745" s="1" t="s">
        <v>132</v>
      </c>
      <c r="AN1745" s="1" t="s">
        <v>132</v>
      </c>
    </row>
    <row r="1746" ht="15.75" customHeight="1">
      <c r="A1746" s="1" t="s">
        <v>38</v>
      </c>
      <c r="B1746" s="1" t="s">
        <v>34077</v>
      </c>
      <c r="C1746" s="1" t="s">
        <v>34078</v>
      </c>
      <c r="D1746" s="8" t="s">
        <v>34079</v>
      </c>
      <c r="E1746" s="1" t="s">
        <v>34080</v>
      </c>
      <c r="F1746" s="1" t="s">
        <v>34081</v>
      </c>
      <c r="G1746" s="1" t="s">
        <v>132</v>
      </c>
      <c r="H1746" s="1" t="s">
        <v>132</v>
      </c>
      <c r="I1746" s="1" t="s">
        <v>34082</v>
      </c>
      <c r="J1746" s="1" t="s">
        <v>132</v>
      </c>
      <c r="K1746" s="1" t="s">
        <v>34083</v>
      </c>
      <c r="L1746" s="1" t="s">
        <v>132</v>
      </c>
      <c r="M1746" s="1" t="s">
        <v>34084</v>
      </c>
      <c r="N1746" s="1" t="s">
        <v>34085</v>
      </c>
      <c r="O1746" s="1" t="s">
        <v>132</v>
      </c>
      <c r="P1746" s="1" t="s">
        <v>34086</v>
      </c>
      <c r="Q1746" s="1" t="s">
        <v>34087</v>
      </c>
      <c r="R1746" s="1" t="s">
        <v>132</v>
      </c>
      <c r="S1746" s="1" t="s">
        <v>34088</v>
      </c>
      <c r="T1746" s="1" t="s">
        <v>132</v>
      </c>
      <c r="U1746" s="1" t="s">
        <v>34089</v>
      </c>
      <c r="V1746" s="1" t="s">
        <v>34090</v>
      </c>
      <c r="W1746" s="1" t="s">
        <v>132</v>
      </c>
      <c r="X1746" s="1" t="s">
        <v>34091</v>
      </c>
      <c r="Y1746" s="1" t="s">
        <v>132</v>
      </c>
      <c r="Z1746" s="1" t="s">
        <v>34092</v>
      </c>
      <c r="AA1746" s="1" t="s">
        <v>34093</v>
      </c>
      <c r="AB1746" s="1" t="s">
        <v>132</v>
      </c>
      <c r="AC1746" s="1" t="s">
        <v>34094</v>
      </c>
      <c r="AD1746" s="1" t="s">
        <v>34095</v>
      </c>
      <c r="AE1746" s="1" t="s">
        <v>132</v>
      </c>
      <c r="AF1746" s="1" t="s">
        <v>34096</v>
      </c>
      <c r="AG1746" s="1" t="s">
        <v>34097</v>
      </c>
      <c r="AH1746" s="1" t="s">
        <v>132</v>
      </c>
      <c r="AI1746" s="1" t="s">
        <v>132</v>
      </c>
      <c r="AJ1746" s="1" t="s">
        <v>34098</v>
      </c>
      <c r="AK1746" s="1" t="s">
        <v>34099</v>
      </c>
      <c r="AL1746" s="1" t="s">
        <v>132</v>
      </c>
      <c r="AM1746" s="1" t="s">
        <v>34100</v>
      </c>
      <c r="AN1746" s="1" t="s">
        <v>34100</v>
      </c>
    </row>
    <row r="1747" ht="15.75" customHeight="1">
      <c r="A1747" s="1" t="s">
        <v>38</v>
      </c>
      <c r="B1747" s="1" t="s">
        <v>34101</v>
      </c>
      <c r="C1747" s="1" t="s">
        <v>34102</v>
      </c>
      <c r="D1747" s="1" t="s">
        <v>132</v>
      </c>
      <c r="E1747" s="1" t="s">
        <v>34103</v>
      </c>
      <c r="F1747" s="1" t="s">
        <v>34104</v>
      </c>
      <c r="G1747" s="1" t="s">
        <v>132</v>
      </c>
      <c r="H1747" s="1" t="s">
        <v>132</v>
      </c>
      <c r="I1747" s="1" t="s">
        <v>34105</v>
      </c>
      <c r="J1747" s="1" t="s">
        <v>132</v>
      </c>
      <c r="K1747" s="1" t="s">
        <v>34106</v>
      </c>
      <c r="L1747" s="1" t="s">
        <v>132</v>
      </c>
      <c r="M1747" s="1" t="s">
        <v>34107</v>
      </c>
      <c r="N1747" s="1" t="s">
        <v>34106</v>
      </c>
      <c r="O1747" s="1" t="s">
        <v>132</v>
      </c>
      <c r="P1747" s="1" t="s">
        <v>34108</v>
      </c>
      <c r="Q1747" s="1" t="s">
        <v>132</v>
      </c>
      <c r="R1747" s="1" t="s">
        <v>132</v>
      </c>
      <c r="S1747" s="1" t="s">
        <v>34109</v>
      </c>
      <c r="T1747" s="1" t="s">
        <v>132</v>
      </c>
      <c r="U1747" s="1" t="s">
        <v>34110</v>
      </c>
      <c r="V1747" s="1" t="s">
        <v>132</v>
      </c>
      <c r="W1747" s="1" t="s">
        <v>132</v>
      </c>
      <c r="X1747" s="1" t="s">
        <v>34111</v>
      </c>
      <c r="Y1747" s="1" t="s">
        <v>132</v>
      </c>
      <c r="Z1747" s="1" t="s">
        <v>34112</v>
      </c>
      <c r="AA1747" s="1" t="s">
        <v>132</v>
      </c>
      <c r="AB1747" s="1" t="s">
        <v>132</v>
      </c>
      <c r="AC1747" s="1" t="s">
        <v>132</v>
      </c>
      <c r="AD1747" s="1" t="s">
        <v>132</v>
      </c>
      <c r="AE1747" s="1" t="s">
        <v>132</v>
      </c>
      <c r="AF1747" s="1" t="s">
        <v>34113</v>
      </c>
      <c r="AG1747" s="1" t="s">
        <v>132</v>
      </c>
      <c r="AH1747" s="1" t="s">
        <v>132</v>
      </c>
      <c r="AI1747" s="1" t="s">
        <v>132</v>
      </c>
      <c r="AJ1747" s="1" t="s">
        <v>132</v>
      </c>
      <c r="AK1747" s="1" t="s">
        <v>132</v>
      </c>
      <c r="AL1747" s="1" t="s">
        <v>132</v>
      </c>
      <c r="AM1747" s="1" t="s">
        <v>34114</v>
      </c>
      <c r="AN1747" s="1" t="s">
        <v>34114</v>
      </c>
    </row>
    <row r="1748" ht="15.75" customHeight="1">
      <c r="A1748" s="1" t="s">
        <v>38</v>
      </c>
      <c r="B1748" s="1" t="s">
        <v>34115</v>
      </c>
      <c r="C1748" s="1" t="s">
        <v>34116</v>
      </c>
      <c r="D1748" s="8" t="s">
        <v>34117</v>
      </c>
      <c r="E1748" s="1" t="s">
        <v>34118</v>
      </c>
      <c r="F1748" s="1" t="s">
        <v>34119</v>
      </c>
      <c r="G1748" s="1" t="s">
        <v>132</v>
      </c>
      <c r="H1748" s="1" t="s">
        <v>132</v>
      </c>
      <c r="I1748" s="1" t="s">
        <v>34120</v>
      </c>
      <c r="J1748" s="1" t="s">
        <v>132</v>
      </c>
      <c r="K1748" s="1" t="s">
        <v>34119</v>
      </c>
      <c r="L1748" s="1" t="s">
        <v>132</v>
      </c>
      <c r="M1748" s="1" t="s">
        <v>34116</v>
      </c>
      <c r="N1748" s="1" t="s">
        <v>34119</v>
      </c>
      <c r="O1748" s="1" t="s">
        <v>132</v>
      </c>
      <c r="P1748" s="1" t="s">
        <v>34121</v>
      </c>
      <c r="Q1748" s="1" t="s">
        <v>132</v>
      </c>
      <c r="R1748" s="1" t="s">
        <v>132</v>
      </c>
      <c r="S1748" s="1" t="s">
        <v>34116</v>
      </c>
      <c r="T1748" s="1" t="s">
        <v>132</v>
      </c>
      <c r="U1748" s="1" t="s">
        <v>34122</v>
      </c>
      <c r="V1748" s="1" t="s">
        <v>34123</v>
      </c>
      <c r="W1748" s="1" t="s">
        <v>132</v>
      </c>
      <c r="X1748" s="1" t="s">
        <v>34116</v>
      </c>
      <c r="Y1748" s="1" t="s">
        <v>132</v>
      </c>
      <c r="Z1748" s="1" t="s">
        <v>34124</v>
      </c>
      <c r="AA1748" s="1" t="s">
        <v>34119</v>
      </c>
      <c r="AB1748" s="1" t="s">
        <v>132</v>
      </c>
      <c r="AC1748" s="1" t="s">
        <v>34125</v>
      </c>
      <c r="AD1748" s="1" t="s">
        <v>132</v>
      </c>
      <c r="AE1748" s="1" t="s">
        <v>132</v>
      </c>
      <c r="AF1748" s="1" t="s">
        <v>34118</v>
      </c>
      <c r="AG1748" s="1" t="s">
        <v>34126</v>
      </c>
      <c r="AH1748" s="1" t="s">
        <v>132</v>
      </c>
      <c r="AI1748" s="1" t="s">
        <v>132</v>
      </c>
      <c r="AJ1748" s="1" t="s">
        <v>34125</v>
      </c>
      <c r="AK1748" s="1" t="s">
        <v>132</v>
      </c>
      <c r="AL1748" s="1" t="s">
        <v>132</v>
      </c>
      <c r="AM1748" s="1" t="s">
        <v>34127</v>
      </c>
      <c r="AN1748" s="1" t="s">
        <v>34127</v>
      </c>
    </row>
    <row r="1749" ht="15.75" customHeight="1">
      <c r="A1749" s="1" t="s">
        <v>38</v>
      </c>
      <c r="B1749" s="1" t="s">
        <v>34128</v>
      </c>
      <c r="C1749" s="1" t="s">
        <v>34129</v>
      </c>
      <c r="D1749" s="8" t="s">
        <v>34130</v>
      </c>
      <c r="E1749" s="1" t="s">
        <v>34131</v>
      </c>
      <c r="F1749" s="1" t="s">
        <v>34132</v>
      </c>
      <c r="G1749" s="1" t="s">
        <v>132</v>
      </c>
      <c r="H1749" s="1" t="s">
        <v>132</v>
      </c>
      <c r="I1749" s="1" t="s">
        <v>19235</v>
      </c>
      <c r="J1749" s="1" t="s">
        <v>132</v>
      </c>
      <c r="K1749" s="1" t="s">
        <v>34133</v>
      </c>
      <c r="L1749" s="1" t="s">
        <v>132</v>
      </c>
      <c r="M1749" s="1" t="s">
        <v>34134</v>
      </c>
      <c r="N1749" s="1" t="s">
        <v>34135</v>
      </c>
      <c r="O1749" s="1" t="s">
        <v>132</v>
      </c>
      <c r="P1749" s="1" t="s">
        <v>34136</v>
      </c>
      <c r="Q1749" s="1" t="s">
        <v>34129</v>
      </c>
      <c r="R1749" s="1" t="s">
        <v>132</v>
      </c>
      <c r="S1749" s="1" t="s">
        <v>34129</v>
      </c>
      <c r="T1749" s="1" t="s">
        <v>132</v>
      </c>
      <c r="U1749" s="1" t="s">
        <v>34137</v>
      </c>
      <c r="V1749" s="1" t="s">
        <v>34138</v>
      </c>
      <c r="W1749" s="1" t="s">
        <v>132</v>
      </c>
      <c r="X1749" s="1" t="s">
        <v>34139</v>
      </c>
      <c r="Y1749" s="1" t="s">
        <v>132</v>
      </c>
      <c r="Z1749" s="1" t="s">
        <v>34140</v>
      </c>
      <c r="AA1749" s="1" t="s">
        <v>34141</v>
      </c>
      <c r="AB1749" s="1" t="s">
        <v>132</v>
      </c>
      <c r="AC1749" s="1" t="s">
        <v>34142</v>
      </c>
      <c r="AD1749" s="1" t="s">
        <v>34143</v>
      </c>
      <c r="AE1749" s="1" t="s">
        <v>132</v>
      </c>
      <c r="AF1749" s="1" t="s">
        <v>34144</v>
      </c>
      <c r="AG1749" s="1" t="s">
        <v>34145</v>
      </c>
      <c r="AH1749" s="1" t="s">
        <v>132</v>
      </c>
      <c r="AI1749" s="1" t="s">
        <v>132</v>
      </c>
      <c r="AJ1749" s="1" t="s">
        <v>34142</v>
      </c>
      <c r="AK1749" s="1" t="s">
        <v>34146</v>
      </c>
      <c r="AL1749" s="1" t="s">
        <v>132</v>
      </c>
      <c r="AM1749" s="1" t="s">
        <v>34147</v>
      </c>
      <c r="AN1749" s="1" t="s">
        <v>34147</v>
      </c>
    </row>
    <row r="1750" ht="15.75" customHeight="1">
      <c r="A1750" s="1" t="s">
        <v>38</v>
      </c>
      <c r="B1750" s="1" t="s">
        <v>34148</v>
      </c>
      <c r="C1750" s="1" t="s">
        <v>34149</v>
      </c>
      <c r="D1750" s="8" t="s">
        <v>34150</v>
      </c>
      <c r="E1750" s="1" t="s">
        <v>34151</v>
      </c>
      <c r="F1750" s="1" t="s">
        <v>34152</v>
      </c>
      <c r="G1750" s="1" t="s">
        <v>132</v>
      </c>
      <c r="H1750" s="1" t="s">
        <v>132</v>
      </c>
      <c r="I1750" s="1" t="s">
        <v>34153</v>
      </c>
      <c r="J1750" s="1" t="s">
        <v>132</v>
      </c>
      <c r="K1750" s="1" t="s">
        <v>34154</v>
      </c>
      <c r="L1750" s="1" t="s">
        <v>132</v>
      </c>
      <c r="M1750" s="1" t="s">
        <v>34155</v>
      </c>
      <c r="N1750" s="1" t="s">
        <v>34156</v>
      </c>
      <c r="O1750" s="1" t="s">
        <v>132</v>
      </c>
      <c r="P1750" s="1" t="s">
        <v>34157</v>
      </c>
      <c r="Q1750" s="1" t="s">
        <v>34158</v>
      </c>
      <c r="R1750" s="1" t="s">
        <v>132</v>
      </c>
      <c r="S1750" s="1" t="s">
        <v>34159</v>
      </c>
      <c r="T1750" s="1" t="s">
        <v>132</v>
      </c>
      <c r="U1750" s="1" t="s">
        <v>34160</v>
      </c>
      <c r="V1750" s="1" t="s">
        <v>34161</v>
      </c>
      <c r="W1750" s="1" t="s">
        <v>132</v>
      </c>
      <c r="X1750" s="1" t="s">
        <v>34162</v>
      </c>
      <c r="Y1750" s="1" t="s">
        <v>132</v>
      </c>
      <c r="Z1750" s="1" t="s">
        <v>34163</v>
      </c>
      <c r="AA1750" s="1" t="s">
        <v>34164</v>
      </c>
      <c r="AB1750" s="1" t="s">
        <v>132</v>
      </c>
      <c r="AC1750" s="1" t="s">
        <v>34165</v>
      </c>
      <c r="AD1750" s="1" t="s">
        <v>34166</v>
      </c>
      <c r="AE1750" s="1" t="s">
        <v>132</v>
      </c>
      <c r="AF1750" s="1" t="s">
        <v>34167</v>
      </c>
      <c r="AG1750" s="1" t="s">
        <v>34168</v>
      </c>
      <c r="AH1750" s="1" t="s">
        <v>132</v>
      </c>
      <c r="AI1750" s="1" t="s">
        <v>132</v>
      </c>
      <c r="AJ1750" s="1" t="s">
        <v>34170</v>
      </c>
      <c r="AK1750" s="1" t="s">
        <v>34171</v>
      </c>
      <c r="AL1750" s="1" t="s">
        <v>132</v>
      </c>
      <c r="AM1750" s="1" t="s">
        <v>34172</v>
      </c>
      <c r="AN1750" s="1" t="s">
        <v>34172</v>
      </c>
    </row>
    <row r="1751" ht="15.75" customHeight="1">
      <c r="A1751" s="1" t="s">
        <v>38</v>
      </c>
      <c r="B1751" s="1" t="s">
        <v>34173</v>
      </c>
      <c r="C1751" s="1" t="s">
        <v>34174</v>
      </c>
      <c r="D1751" s="8" t="s">
        <v>34175</v>
      </c>
      <c r="E1751" s="1" t="s">
        <v>34176</v>
      </c>
      <c r="F1751" s="1" t="s">
        <v>34177</v>
      </c>
      <c r="G1751" s="1" t="s">
        <v>132</v>
      </c>
      <c r="H1751" s="1" t="s">
        <v>132</v>
      </c>
      <c r="I1751" s="1" t="s">
        <v>34178</v>
      </c>
      <c r="J1751" s="1" t="s">
        <v>132</v>
      </c>
      <c r="K1751" s="1" t="s">
        <v>34179</v>
      </c>
      <c r="L1751" s="1" t="s">
        <v>132</v>
      </c>
      <c r="M1751" s="1" t="s">
        <v>34180</v>
      </c>
      <c r="N1751" s="1" t="s">
        <v>34181</v>
      </c>
      <c r="O1751" s="1" t="s">
        <v>132</v>
      </c>
      <c r="P1751" s="1" t="s">
        <v>34182</v>
      </c>
      <c r="Q1751" s="1" t="s">
        <v>34183</v>
      </c>
      <c r="R1751" s="1" t="s">
        <v>132</v>
      </c>
      <c r="S1751" s="1" t="s">
        <v>34184</v>
      </c>
      <c r="T1751" s="1" t="s">
        <v>132</v>
      </c>
      <c r="U1751" s="1" t="s">
        <v>34185</v>
      </c>
      <c r="V1751" s="1" t="s">
        <v>34186</v>
      </c>
      <c r="W1751" s="1" t="s">
        <v>132</v>
      </c>
      <c r="X1751" s="1" t="s">
        <v>34187</v>
      </c>
      <c r="Y1751" s="1" t="s">
        <v>132</v>
      </c>
      <c r="Z1751" s="1" t="s">
        <v>34188</v>
      </c>
      <c r="AA1751" s="1" t="s">
        <v>34189</v>
      </c>
      <c r="AB1751" s="1" t="s">
        <v>132</v>
      </c>
      <c r="AC1751" s="1" t="s">
        <v>34190</v>
      </c>
      <c r="AD1751" s="1" t="s">
        <v>34191</v>
      </c>
      <c r="AE1751" s="1" t="s">
        <v>132</v>
      </c>
      <c r="AF1751" s="1" t="s">
        <v>34192</v>
      </c>
      <c r="AG1751" s="1" t="s">
        <v>34193</v>
      </c>
      <c r="AH1751" s="1" t="s">
        <v>132</v>
      </c>
      <c r="AI1751" s="1" t="s">
        <v>132</v>
      </c>
      <c r="AJ1751" s="1" t="s">
        <v>34194</v>
      </c>
      <c r="AK1751" s="1" t="s">
        <v>34195</v>
      </c>
      <c r="AL1751" s="1" t="s">
        <v>132</v>
      </c>
      <c r="AM1751" s="1" t="s">
        <v>34196</v>
      </c>
      <c r="AN1751" s="1" t="s">
        <v>34196</v>
      </c>
    </row>
    <row r="1752" ht="15.75" customHeight="1">
      <c r="A1752" s="1" t="s">
        <v>38</v>
      </c>
      <c r="B1752" s="1" t="s">
        <v>34197</v>
      </c>
      <c r="C1752" s="1" t="s">
        <v>34198</v>
      </c>
      <c r="D1752" s="1" t="s">
        <v>132</v>
      </c>
      <c r="E1752" s="1" t="s">
        <v>34199</v>
      </c>
      <c r="F1752" s="1" t="s">
        <v>132</v>
      </c>
      <c r="G1752" s="1" t="s">
        <v>132</v>
      </c>
      <c r="H1752" s="1" t="s">
        <v>132</v>
      </c>
      <c r="I1752" s="1" t="s">
        <v>34200</v>
      </c>
      <c r="J1752" s="1" t="s">
        <v>132</v>
      </c>
      <c r="K1752" s="1" t="s">
        <v>34201</v>
      </c>
      <c r="L1752" s="1" t="s">
        <v>132</v>
      </c>
      <c r="M1752" s="1" t="s">
        <v>132</v>
      </c>
      <c r="N1752" s="1" t="s">
        <v>34203</v>
      </c>
      <c r="O1752" s="1" t="s">
        <v>132</v>
      </c>
      <c r="P1752" s="1" t="s">
        <v>132</v>
      </c>
      <c r="Q1752" s="1" t="s">
        <v>132</v>
      </c>
      <c r="R1752" s="1" t="s">
        <v>132</v>
      </c>
      <c r="S1752" s="1" t="s">
        <v>34204</v>
      </c>
      <c r="T1752" s="1" t="s">
        <v>132</v>
      </c>
      <c r="U1752" s="1" t="s">
        <v>132</v>
      </c>
      <c r="V1752" s="1" t="s">
        <v>132</v>
      </c>
      <c r="W1752" s="1" t="s">
        <v>132</v>
      </c>
      <c r="X1752" s="1" t="s">
        <v>34205</v>
      </c>
      <c r="Y1752" s="1" t="s">
        <v>132</v>
      </c>
      <c r="Z1752" s="1" t="s">
        <v>34206</v>
      </c>
      <c r="AA1752" s="1" t="s">
        <v>132</v>
      </c>
      <c r="AB1752" s="1" t="s">
        <v>132</v>
      </c>
      <c r="AC1752" s="1" t="s">
        <v>132</v>
      </c>
      <c r="AD1752" s="1" t="s">
        <v>132</v>
      </c>
      <c r="AE1752" s="1" t="s">
        <v>132</v>
      </c>
      <c r="AF1752" s="1" t="s">
        <v>132</v>
      </c>
      <c r="AG1752" s="1" t="s">
        <v>132</v>
      </c>
      <c r="AH1752" s="1" t="s">
        <v>132</v>
      </c>
      <c r="AI1752" s="1" t="s">
        <v>132</v>
      </c>
      <c r="AJ1752" s="1" t="s">
        <v>132</v>
      </c>
      <c r="AK1752" s="1" t="s">
        <v>132</v>
      </c>
      <c r="AL1752" s="1" t="s">
        <v>132</v>
      </c>
      <c r="AM1752" s="1" t="s">
        <v>132</v>
      </c>
      <c r="AN1752" s="1" t="s">
        <v>132</v>
      </c>
    </row>
    <row r="1753" ht="15.75" customHeight="1">
      <c r="A1753" s="1" t="s">
        <v>38</v>
      </c>
      <c r="B1753" s="1" t="s">
        <v>34207</v>
      </c>
      <c r="C1753" s="1" t="s">
        <v>34208</v>
      </c>
      <c r="D1753" s="8" t="s">
        <v>34209</v>
      </c>
      <c r="E1753" s="1" t="s">
        <v>34210</v>
      </c>
      <c r="F1753" s="1" t="s">
        <v>34208</v>
      </c>
      <c r="G1753" s="1" t="s">
        <v>132</v>
      </c>
      <c r="H1753" s="1" t="s">
        <v>132</v>
      </c>
      <c r="I1753" s="1" t="s">
        <v>34208</v>
      </c>
      <c r="J1753" s="1" t="s">
        <v>132</v>
      </c>
      <c r="K1753" s="1" t="s">
        <v>34208</v>
      </c>
      <c r="L1753" s="1" t="s">
        <v>132</v>
      </c>
      <c r="M1753" s="1" t="s">
        <v>34211</v>
      </c>
      <c r="N1753" s="1" t="s">
        <v>34212</v>
      </c>
      <c r="O1753" s="1" t="s">
        <v>132</v>
      </c>
      <c r="P1753" s="1" t="s">
        <v>34213</v>
      </c>
      <c r="Q1753" s="1" t="s">
        <v>132</v>
      </c>
      <c r="R1753" s="1" t="s">
        <v>132</v>
      </c>
      <c r="S1753" s="1" t="s">
        <v>34208</v>
      </c>
      <c r="T1753" s="1" t="s">
        <v>132</v>
      </c>
      <c r="U1753" s="1" t="s">
        <v>34214</v>
      </c>
      <c r="V1753" s="1" t="s">
        <v>34215</v>
      </c>
      <c r="W1753" s="1" t="s">
        <v>132</v>
      </c>
      <c r="X1753" s="1" t="s">
        <v>34208</v>
      </c>
      <c r="Y1753" s="1" t="s">
        <v>132</v>
      </c>
      <c r="Z1753" s="1" t="s">
        <v>34208</v>
      </c>
      <c r="AA1753" s="1" t="s">
        <v>34208</v>
      </c>
      <c r="AB1753" s="1" t="s">
        <v>132</v>
      </c>
      <c r="AC1753" s="1" t="s">
        <v>34216</v>
      </c>
      <c r="AD1753" s="1" t="s">
        <v>132</v>
      </c>
      <c r="AE1753" s="1" t="s">
        <v>132</v>
      </c>
      <c r="AF1753" s="1" t="s">
        <v>34210</v>
      </c>
      <c r="AG1753" s="1" t="s">
        <v>34217</v>
      </c>
      <c r="AH1753" s="1" t="s">
        <v>132</v>
      </c>
      <c r="AI1753" s="1" t="s">
        <v>132</v>
      </c>
      <c r="AJ1753" s="1" t="s">
        <v>34216</v>
      </c>
      <c r="AK1753" s="1" t="s">
        <v>132</v>
      </c>
      <c r="AL1753" s="1" t="s">
        <v>132</v>
      </c>
      <c r="AM1753" s="1" t="s">
        <v>34218</v>
      </c>
      <c r="AN1753" s="1" t="s">
        <v>34218</v>
      </c>
    </row>
    <row r="1754" ht="15.75" customHeight="1">
      <c r="A1754" s="1" t="s">
        <v>127</v>
      </c>
      <c r="B1754" s="1" t="s">
        <v>34219</v>
      </c>
      <c r="C1754" s="1" t="s">
        <v>34220</v>
      </c>
      <c r="D1754" s="8" t="s">
        <v>34221</v>
      </c>
      <c r="E1754" s="1" t="s">
        <v>34222</v>
      </c>
      <c r="F1754" s="1" t="s">
        <v>132</v>
      </c>
      <c r="G1754" s="1" t="s">
        <v>34223</v>
      </c>
      <c r="H1754" s="1" t="s">
        <v>34224</v>
      </c>
      <c r="I1754" s="1" t="s">
        <v>34225</v>
      </c>
      <c r="J1754" s="1" t="s">
        <v>34226</v>
      </c>
      <c r="K1754" s="1" t="s">
        <v>34227</v>
      </c>
      <c r="L1754" s="1" t="s">
        <v>34228</v>
      </c>
      <c r="M1754" s="1" t="s">
        <v>34229</v>
      </c>
      <c r="N1754" s="1" t="s">
        <v>132</v>
      </c>
      <c r="O1754" s="1" t="s">
        <v>34230</v>
      </c>
      <c r="P1754" s="1" t="s">
        <v>34231</v>
      </c>
      <c r="Q1754" s="1" t="s">
        <v>132</v>
      </c>
      <c r="R1754" s="1" t="s">
        <v>34232</v>
      </c>
      <c r="S1754" s="1" t="s">
        <v>34233</v>
      </c>
      <c r="T1754" s="8" t="s">
        <v>34234</v>
      </c>
      <c r="U1754" s="1" t="s">
        <v>34235</v>
      </c>
      <c r="V1754" s="1" t="s">
        <v>34236</v>
      </c>
      <c r="W1754" s="1" t="s">
        <v>34237</v>
      </c>
      <c r="X1754" s="1" t="s">
        <v>34238</v>
      </c>
      <c r="Y1754" s="1" t="s">
        <v>34239</v>
      </c>
      <c r="Z1754" s="1" t="s">
        <v>34240</v>
      </c>
      <c r="AA1754" s="1" t="s">
        <v>34241</v>
      </c>
      <c r="AB1754" s="1" t="s">
        <v>34242</v>
      </c>
      <c r="AC1754" s="1" t="s">
        <v>34243</v>
      </c>
      <c r="AD1754" s="1" t="s">
        <v>34244</v>
      </c>
      <c r="AE1754" s="1" t="s">
        <v>34245</v>
      </c>
      <c r="AF1754" s="1" t="s">
        <v>34246</v>
      </c>
      <c r="AG1754" s="1" t="s">
        <v>34247</v>
      </c>
      <c r="AH1754" s="1" t="s">
        <v>34248</v>
      </c>
      <c r="AI1754" s="1" t="s">
        <v>34249</v>
      </c>
      <c r="AJ1754" s="1" t="s">
        <v>132</v>
      </c>
      <c r="AK1754" s="1" t="s">
        <v>34250</v>
      </c>
      <c r="AL1754" s="1" t="s">
        <v>34251</v>
      </c>
      <c r="AM1754" s="1" t="s">
        <v>34252</v>
      </c>
      <c r="AN1754" s="1" t="s">
        <v>34252</v>
      </c>
    </row>
    <row r="1755" ht="15.75" customHeight="1">
      <c r="A1755" s="1" t="s">
        <v>38</v>
      </c>
      <c r="B1755" s="1" t="s">
        <v>34253</v>
      </c>
      <c r="C1755" s="1" t="s">
        <v>4030</v>
      </c>
      <c r="D1755" s="8" t="s">
        <v>34254</v>
      </c>
      <c r="E1755" s="1" t="s">
        <v>34255</v>
      </c>
      <c r="F1755" s="1" t="s">
        <v>4033</v>
      </c>
      <c r="G1755" s="1" t="s">
        <v>132</v>
      </c>
      <c r="H1755" s="1" t="s">
        <v>132</v>
      </c>
      <c r="I1755" s="1" t="s">
        <v>4034</v>
      </c>
      <c r="J1755" s="1" t="s">
        <v>132</v>
      </c>
      <c r="K1755" s="1" t="s">
        <v>4035</v>
      </c>
      <c r="L1755" s="1" t="s">
        <v>132</v>
      </c>
      <c r="M1755" s="1" t="s">
        <v>4036</v>
      </c>
      <c r="N1755" s="1" t="s">
        <v>4035</v>
      </c>
      <c r="O1755" s="1" t="s">
        <v>132</v>
      </c>
      <c r="P1755" s="1" t="s">
        <v>4037</v>
      </c>
      <c r="Q1755" s="1" t="s">
        <v>34256</v>
      </c>
      <c r="R1755" s="1" t="s">
        <v>132</v>
      </c>
      <c r="S1755" s="1" t="s">
        <v>4039</v>
      </c>
      <c r="T1755" s="1" t="s">
        <v>132</v>
      </c>
      <c r="U1755" s="1" t="s">
        <v>4040</v>
      </c>
      <c r="V1755" s="1" t="s">
        <v>4041</v>
      </c>
      <c r="W1755" s="1" t="s">
        <v>132</v>
      </c>
      <c r="X1755" s="1" t="s">
        <v>4042</v>
      </c>
      <c r="Y1755" s="1" t="s">
        <v>132</v>
      </c>
      <c r="Z1755" s="1" t="s">
        <v>4043</v>
      </c>
      <c r="AA1755" s="1" t="s">
        <v>4035</v>
      </c>
      <c r="AB1755" s="1" t="s">
        <v>132</v>
      </c>
      <c r="AC1755" s="1" t="s">
        <v>4044</v>
      </c>
      <c r="AD1755" s="1" t="s">
        <v>4045</v>
      </c>
      <c r="AE1755" s="1" t="s">
        <v>132</v>
      </c>
      <c r="AF1755" s="1" t="s">
        <v>4046</v>
      </c>
      <c r="AG1755" s="1" t="s">
        <v>4047</v>
      </c>
      <c r="AH1755" s="1" t="s">
        <v>132</v>
      </c>
      <c r="AI1755" s="1" t="s">
        <v>132</v>
      </c>
      <c r="AJ1755" s="1" t="s">
        <v>4048</v>
      </c>
      <c r="AK1755" s="1" t="s">
        <v>4049</v>
      </c>
      <c r="AL1755" s="1" t="s">
        <v>132</v>
      </c>
      <c r="AM1755" s="1" t="s">
        <v>4050</v>
      </c>
      <c r="AN1755" s="1" t="s">
        <v>4050</v>
      </c>
    </row>
    <row r="1756" ht="15.75" customHeight="1">
      <c r="A1756" s="1" t="s">
        <v>38</v>
      </c>
      <c r="B1756" s="1" t="s">
        <v>34257</v>
      </c>
      <c r="C1756" s="1" t="s">
        <v>34258</v>
      </c>
      <c r="D1756" s="8" t="s">
        <v>34259</v>
      </c>
      <c r="E1756" s="1" t="s">
        <v>34260</v>
      </c>
      <c r="F1756" s="1" t="s">
        <v>34261</v>
      </c>
      <c r="G1756" s="1" t="s">
        <v>132</v>
      </c>
      <c r="H1756" s="1" t="s">
        <v>132</v>
      </c>
      <c r="I1756" s="1" t="s">
        <v>34262</v>
      </c>
      <c r="J1756" s="1" t="s">
        <v>132</v>
      </c>
      <c r="K1756" s="1" t="s">
        <v>34263</v>
      </c>
      <c r="L1756" s="1" t="s">
        <v>132</v>
      </c>
      <c r="M1756" s="1" t="s">
        <v>34264</v>
      </c>
      <c r="N1756" s="1" t="s">
        <v>34265</v>
      </c>
      <c r="O1756" s="1" t="s">
        <v>132</v>
      </c>
      <c r="P1756" s="1" t="s">
        <v>34266</v>
      </c>
      <c r="Q1756" s="1" t="s">
        <v>132</v>
      </c>
      <c r="R1756" s="1" t="s">
        <v>132</v>
      </c>
      <c r="S1756" s="1" t="s">
        <v>34267</v>
      </c>
      <c r="T1756" s="1" t="s">
        <v>132</v>
      </c>
      <c r="U1756" s="1" t="s">
        <v>34268</v>
      </c>
      <c r="V1756" s="1" t="s">
        <v>132</v>
      </c>
      <c r="W1756" s="1" t="s">
        <v>132</v>
      </c>
      <c r="X1756" s="1" t="s">
        <v>34269</v>
      </c>
      <c r="Y1756" s="1" t="s">
        <v>132</v>
      </c>
      <c r="Z1756" s="1" t="s">
        <v>34270</v>
      </c>
      <c r="AA1756" s="1" t="s">
        <v>132</v>
      </c>
      <c r="AB1756" s="1" t="s">
        <v>132</v>
      </c>
      <c r="AC1756" s="1" t="s">
        <v>34271</v>
      </c>
      <c r="AD1756" s="1" t="s">
        <v>132</v>
      </c>
      <c r="AE1756" s="1" t="s">
        <v>132</v>
      </c>
      <c r="AF1756" s="1" t="s">
        <v>34272</v>
      </c>
      <c r="AG1756" s="1" t="s">
        <v>34273</v>
      </c>
      <c r="AH1756" s="1" t="s">
        <v>132</v>
      </c>
      <c r="AI1756" s="1" t="s">
        <v>132</v>
      </c>
      <c r="AJ1756" s="1" t="s">
        <v>34274</v>
      </c>
      <c r="AK1756" s="1" t="s">
        <v>132</v>
      </c>
      <c r="AL1756" s="1" t="s">
        <v>132</v>
      </c>
      <c r="AM1756" s="1" t="s">
        <v>34275</v>
      </c>
      <c r="AN1756" s="1" t="s">
        <v>34275</v>
      </c>
    </row>
    <row r="1757" ht="15.75" customHeight="1">
      <c r="A1757" s="1" t="s">
        <v>38</v>
      </c>
      <c r="B1757" s="1" t="s">
        <v>34276</v>
      </c>
      <c r="C1757" s="1" t="s">
        <v>34277</v>
      </c>
      <c r="D1757" s="1" t="s">
        <v>132</v>
      </c>
      <c r="E1757" s="1" t="s">
        <v>34278</v>
      </c>
      <c r="F1757" s="1" t="s">
        <v>34279</v>
      </c>
      <c r="G1757" s="1" t="s">
        <v>132</v>
      </c>
      <c r="H1757" s="1" t="s">
        <v>132</v>
      </c>
      <c r="I1757" s="1" t="s">
        <v>34280</v>
      </c>
      <c r="J1757" s="1" t="s">
        <v>132</v>
      </c>
      <c r="K1757" s="1" t="s">
        <v>34281</v>
      </c>
      <c r="L1757" s="1" t="s">
        <v>132</v>
      </c>
      <c r="M1757" s="1" t="s">
        <v>34282</v>
      </c>
      <c r="N1757" s="1" t="s">
        <v>34283</v>
      </c>
      <c r="O1757" s="1" t="s">
        <v>132</v>
      </c>
      <c r="P1757" s="1" t="s">
        <v>34284</v>
      </c>
      <c r="Q1757" s="1" t="s">
        <v>132</v>
      </c>
      <c r="R1757" s="1" t="s">
        <v>132</v>
      </c>
      <c r="S1757" s="1" t="s">
        <v>34285</v>
      </c>
      <c r="T1757" s="1" t="s">
        <v>132</v>
      </c>
      <c r="U1757" s="1" t="s">
        <v>34286</v>
      </c>
      <c r="V1757" s="1" t="s">
        <v>132</v>
      </c>
      <c r="W1757" s="1" t="s">
        <v>132</v>
      </c>
      <c r="X1757" s="1" t="s">
        <v>34287</v>
      </c>
      <c r="Y1757" s="1" t="s">
        <v>132</v>
      </c>
      <c r="Z1757" s="1" t="s">
        <v>34288</v>
      </c>
      <c r="AA1757" s="1" t="s">
        <v>132</v>
      </c>
      <c r="AB1757" s="1" t="s">
        <v>132</v>
      </c>
      <c r="AC1757" s="1" t="s">
        <v>34289</v>
      </c>
      <c r="AD1757" s="1" t="s">
        <v>132</v>
      </c>
      <c r="AE1757" s="1" t="s">
        <v>132</v>
      </c>
      <c r="AF1757" s="1" t="s">
        <v>132</v>
      </c>
      <c r="AG1757" s="1" t="s">
        <v>34290</v>
      </c>
      <c r="AH1757" s="1" t="s">
        <v>132</v>
      </c>
      <c r="AI1757" s="1" t="s">
        <v>132</v>
      </c>
      <c r="AJ1757" s="1" t="s">
        <v>34291</v>
      </c>
      <c r="AK1757" s="1" t="s">
        <v>132</v>
      </c>
      <c r="AL1757" s="1" t="s">
        <v>132</v>
      </c>
      <c r="AM1757" s="1" t="s">
        <v>34292</v>
      </c>
      <c r="AN1757" s="1" t="s">
        <v>34292</v>
      </c>
    </row>
    <row r="1758" ht="15.75" customHeight="1">
      <c r="A1758" s="1" t="s">
        <v>38</v>
      </c>
      <c r="B1758" s="1" t="s">
        <v>34293</v>
      </c>
      <c r="C1758" s="1" t="s">
        <v>34294</v>
      </c>
      <c r="D1758" s="1" t="s">
        <v>132</v>
      </c>
      <c r="E1758" s="1" t="s">
        <v>34295</v>
      </c>
      <c r="F1758" s="1" t="s">
        <v>34296</v>
      </c>
      <c r="G1758" s="1" t="s">
        <v>132</v>
      </c>
      <c r="H1758" s="1" t="s">
        <v>132</v>
      </c>
      <c r="I1758" s="1" t="s">
        <v>34297</v>
      </c>
      <c r="J1758" s="1" t="s">
        <v>132</v>
      </c>
      <c r="K1758" s="1" t="s">
        <v>34298</v>
      </c>
      <c r="L1758" s="1" t="s">
        <v>132</v>
      </c>
      <c r="M1758" s="1" t="s">
        <v>34299</v>
      </c>
      <c r="N1758" s="1" t="s">
        <v>34300</v>
      </c>
      <c r="O1758" s="1" t="s">
        <v>132</v>
      </c>
      <c r="P1758" s="1" t="s">
        <v>34301</v>
      </c>
      <c r="Q1758" s="1" t="s">
        <v>132</v>
      </c>
      <c r="R1758" s="1" t="s">
        <v>132</v>
      </c>
      <c r="S1758" s="1" t="s">
        <v>34302</v>
      </c>
      <c r="T1758" s="1" t="s">
        <v>132</v>
      </c>
      <c r="U1758" s="1" t="s">
        <v>34303</v>
      </c>
      <c r="V1758" s="1" t="s">
        <v>132</v>
      </c>
      <c r="W1758" s="1" t="s">
        <v>132</v>
      </c>
      <c r="X1758" s="1" t="s">
        <v>34304</v>
      </c>
      <c r="Y1758" s="1" t="s">
        <v>132</v>
      </c>
      <c r="Z1758" s="1" t="s">
        <v>34305</v>
      </c>
      <c r="AA1758" s="1" t="s">
        <v>132</v>
      </c>
      <c r="AB1758" s="1" t="s">
        <v>132</v>
      </c>
      <c r="AC1758" s="1" t="s">
        <v>34306</v>
      </c>
      <c r="AD1758" s="1" t="s">
        <v>132</v>
      </c>
      <c r="AE1758" s="1" t="s">
        <v>132</v>
      </c>
      <c r="AF1758" s="1" t="s">
        <v>34307</v>
      </c>
      <c r="AG1758" s="1" t="s">
        <v>132</v>
      </c>
      <c r="AH1758" s="1" t="s">
        <v>132</v>
      </c>
      <c r="AI1758" s="1" t="s">
        <v>132</v>
      </c>
      <c r="AJ1758" s="1" t="s">
        <v>132</v>
      </c>
      <c r="AK1758" s="1" t="s">
        <v>132</v>
      </c>
      <c r="AL1758" s="1" t="s">
        <v>132</v>
      </c>
      <c r="AM1758" s="1" t="s">
        <v>132</v>
      </c>
      <c r="AN1758" s="1" t="s">
        <v>132</v>
      </c>
    </row>
    <row r="1759" ht="15.75" customHeight="1">
      <c r="A1759" s="1" t="s">
        <v>127</v>
      </c>
      <c r="B1759" s="1" t="s">
        <v>34308</v>
      </c>
      <c r="C1759" s="1" t="s">
        <v>34309</v>
      </c>
      <c r="D1759" s="8" t="s">
        <v>34310</v>
      </c>
      <c r="E1759" s="1" t="s">
        <v>34311</v>
      </c>
      <c r="F1759" s="1" t="s">
        <v>132</v>
      </c>
      <c r="G1759" s="1" t="s">
        <v>34312</v>
      </c>
      <c r="H1759" s="1" t="s">
        <v>34313</v>
      </c>
      <c r="I1759" s="1" t="s">
        <v>34314</v>
      </c>
      <c r="J1759" s="1" t="s">
        <v>34315</v>
      </c>
      <c r="K1759" s="1" t="s">
        <v>34316</v>
      </c>
      <c r="L1759" s="1" t="s">
        <v>34317</v>
      </c>
      <c r="M1759" s="1" t="s">
        <v>34318</v>
      </c>
      <c r="N1759" s="1" t="s">
        <v>132</v>
      </c>
      <c r="O1759" s="1" t="s">
        <v>34319</v>
      </c>
      <c r="P1759" s="1" t="s">
        <v>34320</v>
      </c>
      <c r="Q1759" s="1" t="s">
        <v>132</v>
      </c>
      <c r="R1759" s="1" t="s">
        <v>34321</v>
      </c>
      <c r="S1759" s="1" t="s">
        <v>34322</v>
      </c>
      <c r="T1759" s="8" t="s">
        <v>34323</v>
      </c>
      <c r="U1759" s="1" t="s">
        <v>34324</v>
      </c>
      <c r="V1759" s="1" t="s">
        <v>34325</v>
      </c>
      <c r="W1759" s="1" t="s">
        <v>34326</v>
      </c>
      <c r="X1759" s="1" t="s">
        <v>34327</v>
      </c>
      <c r="Y1759" s="1" t="s">
        <v>34328</v>
      </c>
      <c r="Z1759" s="1" t="s">
        <v>34329</v>
      </c>
      <c r="AA1759" s="1" t="s">
        <v>34330</v>
      </c>
      <c r="AB1759" s="1" t="s">
        <v>34331</v>
      </c>
      <c r="AC1759" s="1" t="s">
        <v>34332</v>
      </c>
      <c r="AD1759" s="1" t="s">
        <v>34333</v>
      </c>
      <c r="AE1759" s="1" t="s">
        <v>34334</v>
      </c>
      <c r="AF1759" s="1" t="s">
        <v>34335</v>
      </c>
      <c r="AG1759" s="1" t="s">
        <v>34336</v>
      </c>
      <c r="AH1759" s="1" t="s">
        <v>34337</v>
      </c>
      <c r="AI1759" s="1" t="s">
        <v>34338</v>
      </c>
      <c r="AJ1759" s="1" t="s">
        <v>132</v>
      </c>
      <c r="AK1759" s="1" t="s">
        <v>34339</v>
      </c>
      <c r="AL1759" s="1" t="s">
        <v>34340</v>
      </c>
      <c r="AM1759" s="1" t="s">
        <v>132</v>
      </c>
      <c r="AN1759" s="1" t="s">
        <v>132</v>
      </c>
    </row>
    <row r="1760" ht="15.75" customHeight="1">
      <c r="A1760" s="1" t="s">
        <v>127</v>
      </c>
      <c r="B1760" s="1" t="s">
        <v>34341</v>
      </c>
      <c r="C1760" s="1" t="s">
        <v>34342</v>
      </c>
      <c r="D1760" s="8" t="s">
        <v>34343</v>
      </c>
      <c r="E1760" s="1" t="s">
        <v>34344</v>
      </c>
      <c r="F1760" s="1" t="s">
        <v>132</v>
      </c>
      <c r="G1760" s="1" t="s">
        <v>34345</v>
      </c>
      <c r="H1760" s="1" t="s">
        <v>34346</v>
      </c>
      <c r="I1760" s="1" t="s">
        <v>34347</v>
      </c>
      <c r="J1760" s="1" t="s">
        <v>34348</v>
      </c>
      <c r="K1760" s="1" t="s">
        <v>34349</v>
      </c>
      <c r="L1760" s="1" t="s">
        <v>34350</v>
      </c>
      <c r="M1760" s="1" t="s">
        <v>34351</v>
      </c>
      <c r="N1760" s="1" t="s">
        <v>132</v>
      </c>
      <c r="O1760" s="1" t="s">
        <v>34352</v>
      </c>
      <c r="P1760" s="1" t="s">
        <v>34353</v>
      </c>
      <c r="Q1760" s="1" t="s">
        <v>132</v>
      </c>
      <c r="R1760" s="1" t="s">
        <v>34342</v>
      </c>
      <c r="S1760" s="1" t="s">
        <v>34354</v>
      </c>
      <c r="T1760" s="8" t="s">
        <v>34355</v>
      </c>
      <c r="U1760" s="1" t="s">
        <v>34356</v>
      </c>
      <c r="V1760" s="1" t="s">
        <v>34357</v>
      </c>
      <c r="W1760" s="1" t="s">
        <v>34342</v>
      </c>
      <c r="X1760" s="1" t="s">
        <v>34354</v>
      </c>
      <c r="Y1760" s="1" t="s">
        <v>34358</v>
      </c>
      <c r="Z1760" s="1" t="s">
        <v>34359</v>
      </c>
      <c r="AA1760" s="1" t="s">
        <v>34349</v>
      </c>
      <c r="AB1760" s="1" t="s">
        <v>34360</v>
      </c>
      <c r="AC1760" s="1" t="s">
        <v>34361</v>
      </c>
      <c r="AD1760" s="1" t="s">
        <v>34362</v>
      </c>
      <c r="AE1760" s="1" t="s">
        <v>34363</v>
      </c>
      <c r="AF1760" s="1" t="s">
        <v>34364</v>
      </c>
      <c r="AG1760" s="1" t="s">
        <v>34365</v>
      </c>
      <c r="AH1760" s="1" t="s">
        <v>34366</v>
      </c>
      <c r="AI1760" s="1" t="s">
        <v>34367</v>
      </c>
      <c r="AJ1760" s="1" t="s">
        <v>132</v>
      </c>
      <c r="AK1760" s="1" t="s">
        <v>34368</v>
      </c>
      <c r="AL1760" s="1" t="s">
        <v>34369</v>
      </c>
      <c r="AM1760" s="1" t="s">
        <v>34370</v>
      </c>
      <c r="AN1760" s="1" t="s">
        <v>34370</v>
      </c>
    </row>
    <row r="1761" ht="15.75" customHeight="1">
      <c r="A1761" s="1" t="s">
        <v>38</v>
      </c>
      <c r="B1761" s="1" t="s">
        <v>34371</v>
      </c>
      <c r="C1761" s="1" t="s">
        <v>17402</v>
      </c>
      <c r="D1761" s="8" t="s">
        <v>34372</v>
      </c>
      <c r="E1761" s="1" t="s">
        <v>34373</v>
      </c>
      <c r="F1761" s="1" t="s">
        <v>34374</v>
      </c>
      <c r="G1761" s="1" t="s">
        <v>132</v>
      </c>
      <c r="H1761" s="1" t="s">
        <v>132</v>
      </c>
      <c r="I1761" s="1" t="s">
        <v>2798</v>
      </c>
      <c r="J1761" s="1" t="s">
        <v>132</v>
      </c>
      <c r="K1761" s="1" t="s">
        <v>2800</v>
      </c>
      <c r="L1761" s="1" t="s">
        <v>132</v>
      </c>
      <c r="M1761" s="1" t="s">
        <v>2802</v>
      </c>
      <c r="N1761" s="1" t="s">
        <v>2800</v>
      </c>
      <c r="O1761" s="1" t="s">
        <v>132</v>
      </c>
      <c r="P1761" s="1" t="s">
        <v>34375</v>
      </c>
      <c r="Q1761" s="1" t="s">
        <v>17410</v>
      </c>
      <c r="R1761" s="1" t="s">
        <v>132</v>
      </c>
      <c r="S1761" s="1" t="s">
        <v>34374</v>
      </c>
      <c r="T1761" s="1" t="s">
        <v>132</v>
      </c>
      <c r="U1761" s="1" t="s">
        <v>2808</v>
      </c>
      <c r="V1761" s="1" t="s">
        <v>2809</v>
      </c>
      <c r="W1761" s="1" t="s">
        <v>132</v>
      </c>
      <c r="X1761" s="1" t="s">
        <v>2811</v>
      </c>
      <c r="Y1761" s="1" t="s">
        <v>132</v>
      </c>
      <c r="Z1761" s="1" t="s">
        <v>2813</v>
      </c>
      <c r="AA1761" s="1" t="s">
        <v>2814</v>
      </c>
      <c r="AB1761" s="1" t="s">
        <v>132</v>
      </c>
      <c r="AC1761" s="1" t="s">
        <v>2816</v>
      </c>
      <c r="AD1761" s="1" t="s">
        <v>17416</v>
      </c>
      <c r="AE1761" s="1" t="s">
        <v>132</v>
      </c>
      <c r="AF1761" s="1" t="s">
        <v>34376</v>
      </c>
      <c r="AG1761" s="1" t="s">
        <v>2820</v>
      </c>
      <c r="AH1761" s="1" t="s">
        <v>132</v>
      </c>
      <c r="AI1761" s="1" t="s">
        <v>132</v>
      </c>
      <c r="AJ1761" s="1" t="s">
        <v>34377</v>
      </c>
      <c r="AK1761" s="1" t="s">
        <v>34378</v>
      </c>
      <c r="AL1761" s="1" t="s">
        <v>132</v>
      </c>
      <c r="AM1761" s="1" t="s">
        <v>34379</v>
      </c>
      <c r="AN1761" s="1" t="s">
        <v>34379</v>
      </c>
    </row>
    <row r="1762" ht="15.75" customHeight="1">
      <c r="A1762" s="1" t="s">
        <v>127</v>
      </c>
      <c r="B1762" s="1" t="s">
        <v>34380</v>
      </c>
      <c r="C1762" s="1" t="s">
        <v>34381</v>
      </c>
      <c r="D1762" s="8" t="s">
        <v>34382</v>
      </c>
      <c r="E1762" s="1" t="s">
        <v>34383</v>
      </c>
      <c r="F1762" s="1" t="s">
        <v>132</v>
      </c>
      <c r="G1762" s="1" t="s">
        <v>34384</v>
      </c>
      <c r="H1762" s="1" t="s">
        <v>34385</v>
      </c>
      <c r="I1762" s="1" t="s">
        <v>34386</v>
      </c>
      <c r="J1762" s="1" t="s">
        <v>34387</v>
      </c>
      <c r="K1762" s="1" t="s">
        <v>34388</v>
      </c>
      <c r="L1762" s="1" t="s">
        <v>34389</v>
      </c>
      <c r="M1762" s="1" t="s">
        <v>34390</v>
      </c>
      <c r="N1762" s="1" t="s">
        <v>132</v>
      </c>
      <c r="O1762" s="1" t="s">
        <v>34391</v>
      </c>
      <c r="P1762" s="1" t="s">
        <v>34392</v>
      </c>
      <c r="Q1762" s="1" t="s">
        <v>132</v>
      </c>
      <c r="R1762" s="1" t="s">
        <v>34393</v>
      </c>
      <c r="S1762" s="1" t="s">
        <v>34394</v>
      </c>
      <c r="T1762" s="8" t="s">
        <v>34395</v>
      </c>
      <c r="U1762" s="1" t="s">
        <v>34396</v>
      </c>
      <c r="V1762" s="1" t="s">
        <v>34397</v>
      </c>
      <c r="W1762" s="1" t="s">
        <v>34398</v>
      </c>
      <c r="X1762" s="1" t="s">
        <v>34399</v>
      </c>
      <c r="Y1762" s="1" t="s">
        <v>34385</v>
      </c>
      <c r="Z1762" s="1" t="s">
        <v>34400</v>
      </c>
      <c r="AA1762" s="1" t="s">
        <v>34388</v>
      </c>
      <c r="AB1762" s="1" t="s">
        <v>34401</v>
      </c>
      <c r="AC1762" s="1" t="s">
        <v>34402</v>
      </c>
      <c r="AD1762" s="1" t="s">
        <v>34403</v>
      </c>
      <c r="AE1762" s="1" t="s">
        <v>34404</v>
      </c>
      <c r="AF1762" s="1" t="s">
        <v>34405</v>
      </c>
      <c r="AG1762" s="1" t="s">
        <v>34406</v>
      </c>
      <c r="AH1762" s="1" t="s">
        <v>34407</v>
      </c>
      <c r="AI1762" s="1" t="s">
        <v>34408</v>
      </c>
      <c r="AJ1762" s="1" t="s">
        <v>132</v>
      </c>
      <c r="AK1762" s="1" t="s">
        <v>34409</v>
      </c>
      <c r="AL1762" s="1" t="s">
        <v>34410</v>
      </c>
      <c r="AM1762" s="1" t="s">
        <v>34411</v>
      </c>
      <c r="AN1762" s="1" t="s">
        <v>34411</v>
      </c>
    </row>
    <row r="1763" ht="15.75" customHeight="1">
      <c r="A1763" s="1" t="s">
        <v>38</v>
      </c>
      <c r="B1763" s="1" t="s">
        <v>34412</v>
      </c>
      <c r="C1763" s="1" t="s">
        <v>34413</v>
      </c>
      <c r="D1763" s="8" t="s">
        <v>34414</v>
      </c>
      <c r="E1763" s="1" t="s">
        <v>34415</v>
      </c>
      <c r="F1763" s="1" t="s">
        <v>34416</v>
      </c>
      <c r="G1763" s="1" t="s">
        <v>132</v>
      </c>
      <c r="H1763" s="1" t="s">
        <v>132</v>
      </c>
      <c r="I1763" s="1" t="s">
        <v>34417</v>
      </c>
      <c r="J1763" s="1" t="s">
        <v>132</v>
      </c>
      <c r="K1763" s="1" t="s">
        <v>34418</v>
      </c>
      <c r="L1763" s="1" t="s">
        <v>132</v>
      </c>
      <c r="M1763" s="1" t="s">
        <v>34419</v>
      </c>
      <c r="N1763" s="1" t="s">
        <v>34420</v>
      </c>
      <c r="O1763" s="1" t="s">
        <v>132</v>
      </c>
      <c r="P1763" s="1" t="s">
        <v>34421</v>
      </c>
      <c r="Q1763" s="1" t="s">
        <v>34422</v>
      </c>
      <c r="R1763" s="1" t="s">
        <v>132</v>
      </c>
      <c r="S1763" s="1" t="s">
        <v>34423</v>
      </c>
      <c r="T1763" s="1" t="s">
        <v>132</v>
      </c>
      <c r="U1763" s="1" t="s">
        <v>34424</v>
      </c>
      <c r="V1763" s="1" t="s">
        <v>34425</v>
      </c>
      <c r="W1763" s="1" t="s">
        <v>132</v>
      </c>
      <c r="X1763" s="1" t="s">
        <v>34426</v>
      </c>
      <c r="Y1763" s="1" t="s">
        <v>132</v>
      </c>
      <c r="Z1763" s="1" t="s">
        <v>34427</v>
      </c>
      <c r="AA1763" s="1" t="s">
        <v>34428</v>
      </c>
      <c r="AB1763" s="1" t="s">
        <v>132</v>
      </c>
      <c r="AC1763" s="1" t="s">
        <v>34429</v>
      </c>
      <c r="AD1763" s="1" t="s">
        <v>34430</v>
      </c>
      <c r="AE1763" s="1" t="s">
        <v>132</v>
      </c>
      <c r="AF1763" s="1" t="s">
        <v>34431</v>
      </c>
      <c r="AG1763" s="1" t="s">
        <v>34432</v>
      </c>
      <c r="AH1763" s="1" t="s">
        <v>132</v>
      </c>
      <c r="AI1763" s="1" t="s">
        <v>132</v>
      </c>
      <c r="AJ1763" s="1" t="s">
        <v>34433</v>
      </c>
      <c r="AK1763" s="1" t="s">
        <v>34434</v>
      </c>
      <c r="AL1763" s="1" t="s">
        <v>132</v>
      </c>
      <c r="AM1763" s="1" t="s">
        <v>34435</v>
      </c>
      <c r="AN1763" s="1" t="s">
        <v>34435</v>
      </c>
    </row>
    <row r="1764" ht="15.75" customHeight="1">
      <c r="A1764" s="1" t="s">
        <v>127</v>
      </c>
      <c r="B1764" s="1" t="s">
        <v>34436</v>
      </c>
      <c r="C1764" s="1" t="s">
        <v>34437</v>
      </c>
      <c r="D1764" s="8" t="s">
        <v>34438</v>
      </c>
      <c r="E1764" s="1" t="s">
        <v>34439</v>
      </c>
      <c r="F1764" s="1" t="s">
        <v>132</v>
      </c>
      <c r="G1764" s="1" t="s">
        <v>34440</v>
      </c>
      <c r="H1764" s="1" t="s">
        <v>34441</v>
      </c>
      <c r="I1764" s="1" t="s">
        <v>34442</v>
      </c>
      <c r="J1764" s="1" t="s">
        <v>34443</v>
      </c>
      <c r="K1764" s="1" t="s">
        <v>34444</v>
      </c>
      <c r="L1764" s="1" t="s">
        <v>34445</v>
      </c>
      <c r="M1764" s="1" t="s">
        <v>34446</v>
      </c>
      <c r="N1764" s="1" t="s">
        <v>132</v>
      </c>
      <c r="O1764" s="1" t="s">
        <v>34447</v>
      </c>
      <c r="P1764" s="1" t="s">
        <v>34448</v>
      </c>
      <c r="Q1764" s="1" t="s">
        <v>132</v>
      </c>
      <c r="R1764" s="1" t="s">
        <v>34449</v>
      </c>
      <c r="S1764" s="1" t="s">
        <v>34450</v>
      </c>
      <c r="T1764" s="8" t="s">
        <v>34451</v>
      </c>
      <c r="U1764" s="1" t="s">
        <v>34452</v>
      </c>
      <c r="V1764" s="1" t="s">
        <v>34453</v>
      </c>
      <c r="W1764" s="1" t="s">
        <v>34449</v>
      </c>
      <c r="X1764" s="1" t="s">
        <v>34454</v>
      </c>
      <c r="Y1764" s="1" t="s">
        <v>34441</v>
      </c>
      <c r="Z1764" s="1" t="s">
        <v>34455</v>
      </c>
      <c r="AA1764" s="1" t="s">
        <v>34456</v>
      </c>
      <c r="AB1764" s="1" t="s">
        <v>34457</v>
      </c>
      <c r="AC1764" s="1" t="s">
        <v>34458</v>
      </c>
      <c r="AD1764" s="1" t="s">
        <v>34459</v>
      </c>
      <c r="AE1764" s="1" t="s">
        <v>34460</v>
      </c>
      <c r="AF1764" s="1" t="s">
        <v>34461</v>
      </c>
      <c r="AG1764" s="1" t="s">
        <v>34462</v>
      </c>
      <c r="AH1764" s="1" t="s">
        <v>34463</v>
      </c>
      <c r="AI1764" s="1" t="s">
        <v>34464</v>
      </c>
      <c r="AJ1764" s="1" t="s">
        <v>132</v>
      </c>
      <c r="AK1764" s="1" t="s">
        <v>34465</v>
      </c>
      <c r="AL1764" s="1" t="s">
        <v>34466</v>
      </c>
      <c r="AM1764" s="1" t="s">
        <v>34467</v>
      </c>
      <c r="AN1764" s="1" t="s">
        <v>34467</v>
      </c>
    </row>
    <row r="1765" ht="15.75" customHeight="1">
      <c r="A1765" s="1" t="s">
        <v>127</v>
      </c>
      <c r="B1765" s="1" t="s">
        <v>34468</v>
      </c>
      <c r="C1765" s="1" t="s">
        <v>34469</v>
      </c>
      <c r="D1765" s="1" t="s">
        <v>34469</v>
      </c>
      <c r="E1765" s="1" t="s">
        <v>34469</v>
      </c>
      <c r="F1765" s="1" t="s">
        <v>132</v>
      </c>
      <c r="G1765" s="1" t="s">
        <v>34469</v>
      </c>
      <c r="H1765" s="1" t="s">
        <v>34469</v>
      </c>
      <c r="I1765" s="1" t="s">
        <v>34469</v>
      </c>
      <c r="J1765" s="1" t="s">
        <v>34469</v>
      </c>
      <c r="K1765" s="1" t="s">
        <v>34469</v>
      </c>
      <c r="L1765" s="1" t="s">
        <v>34469</v>
      </c>
      <c r="M1765" s="1" t="s">
        <v>34469</v>
      </c>
      <c r="N1765" s="1" t="s">
        <v>132</v>
      </c>
      <c r="O1765" s="1" t="s">
        <v>34470</v>
      </c>
      <c r="P1765" s="1" t="s">
        <v>34469</v>
      </c>
      <c r="Q1765" s="1" t="s">
        <v>132</v>
      </c>
      <c r="R1765" s="1" t="s">
        <v>34469</v>
      </c>
      <c r="S1765" s="1" t="s">
        <v>34469</v>
      </c>
      <c r="T1765" s="1" t="s">
        <v>34469</v>
      </c>
      <c r="U1765" s="1" t="s">
        <v>34469</v>
      </c>
      <c r="V1765" s="1" t="s">
        <v>34469</v>
      </c>
      <c r="W1765" s="1" t="s">
        <v>34469</v>
      </c>
      <c r="X1765" s="1" t="s">
        <v>34469</v>
      </c>
      <c r="Y1765" s="1" t="s">
        <v>34469</v>
      </c>
      <c r="Z1765" s="1" t="s">
        <v>34469</v>
      </c>
      <c r="AA1765" s="1" t="s">
        <v>34469</v>
      </c>
      <c r="AB1765" s="1" t="s">
        <v>34469</v>
      </c>
      <c r="AC1765" s="1" t="s">
        <v>34469</v>
      </c>
      <c r="AD1765" s="1" t="s">
        <v>34469</v>
      </c>
      <c r="AE1765" s="1" t="s">
        <v>34469</v>
      </c>
      <c r="AF1765" s="1" t="s">
        <v>34469</v>
      </c>
      <c r="AG1765" s="1" t="s">
        <v>34469</v>
      </c>
      <c r="AH1765" s="1" t="s">
        <v>34469</v>
      </c>
      <c r="AI1765" s="1" t="s">
        <v>34469</v>
      </c>
      <c r="AJ1765" s="1" t="s">
        <v>132</v>
      </c>
      <c r="AK1765" s="1" t="s">
        <v>34469</v>
      </c>
      <c r="AL1765" s="1" t="s">
        <v>34469</v>
      </c>
      <c r="AM1765" s="1" t="s">
        <v>132</v>
      </c>
      <c r="AN1765" s="1" t="s">
        <v>132</v>
      </c>
    </row>
    <row r="1766" ht="15.75" customHeight="1">
      <c r="A1766" s="1" t="s">
        <v>38</v>
      </c>
      <c r="B1766" s="1" t="s">
        <v>34471</v>
      </c>
      <c r="C1766" s="1" t="s">
        <v>34472</v>
      </c>
      <c r="D1766" s="8" t="s">
        <v>34473</v>
      </c>
      <c r="E1766" s="1" t="s">
        <v>34474</v>
      </c>
      <c r="F1766" s="1" t="s">
        <v>34475</v>
      </c>
      <c r="G1766" s="1" t="s">
        <v>132</v>
      </c>
      <c r="H1766" s="1" t="s">
        <v>132</v>
      </c>
      <c r="I1766" s="1" t="s">
        <v>34476</v>
      </c>
      <c r="J1766" s="1" t="s">
        <v>132</v>
      </c>
      <c r="K1766" s="1" t="s">
        <v>34477</v>
      </c>
      <c r="L1766" s="1" t="s">
        <v>132</v>
      </c>
      <c r="M1766" s="1" t="s">
        <v>34478</v>
      </c>
      <c r="N1766" s="1" t="s">
        <v>34479</v>
      </c>
      <c r="O1766" s="1" t="s">
        <v>132</v>
      </c>
      <c r="P1766" s="1" t="s">
        <v>34480</v>
      </c>
      <c r="Q1766" s="1" t="s">
        <v>132</v>
      </c>
      <c r="R1766" s="1" t="s">
        <v>132</v>
      </c>
      <c r="S1766" s="1" t="s">
        <v>34481</v>
      </c>
      <c r="T1766" s="1" t="s">
        <v>132</v>
      </c>
      <c r="U1766" s="1" t="s">
        <v>34482</v>
      </c>
      <c r="V1766" s="1" t="s">
        <v>34483</v>
      </c>
      <c r="W1766" s="1" t="s">
        <v>132</v>
      </c>
      <c r="X1766" s="1" t="s">
        <v>34484</v>
      </c>
      <c r="Y1766" s="1" t="s">
        <v>132</v>
      </c>
      <c r="Z1766" s="1" t="s">
        <v>34485</v>
      </c>
      <c r="AA1766" s="1" t="s">
        <v>132</v>
      </c>
      <c r="AB1766" s="1" t="s">
        <v>132</v>
      </c>
      <c r="AC1766" s="1" t="s">
        <v>34486</v>
      </c>
      <c r="AD1766" s="1" t="s">
        <v>132</v>
      </c>
      <c r="AE1766" s="1" t="s">
        <v>132</v>
      </c>
      <c r="AF1766" s="1" t="s">
        <v>34487</v>
      </c>
      <c r="AG1766" s="1" t="s">
        <v>34488</v>
      </c>
      <c r="AH1766" s="1" t="s">
        <v>132</v>
      </c>
      <c r="AI1766" s="1" t="s">
        <v>132</v>
      </c>
      <c r="AJ1766" s="1" t="s">
        <v>34489</v>
      </c>
      <c r="AK1766" s="1" t="s">
        <v>132</v>
      </c>
      <c r="AL1766" s="1" t="s">
        <v>132</v>
      </c>
      <c r="AM1766" s="1" t="s">
        <v>34490</v>
      </c>
      <c r="AN1766" s="1" t="s">
        <v>34490</v>
      </c>
    </row>
    <row r="1767" ht="15.75" customHeight="1">
      <c r="A1767" s="1" t="s">
        <v>127</v>
      </c>
      <c r="B1767" s="1" t="s">
        <v>34491</v>
      </c>
      <c r="C1767" s="1" t="s">
        <v>34492</v>
      </c>
      <c r="D1767" s="8" t="s">
        <v>34493</v>
      </c>
      <c r="E1767" s="1" t="s">
        <v>34494</v>
      </c>
      <c r="F1767" s="1" t="s">
        <v>132</v>
      </c>
      <c r="G1767" s="1" t="s">
        <v>34495</v>
      </c>
      <c r="H1767" s="1" t="s">
        <v>34496</v>
      </c>
      <c r="I1767" s="1" t="s">
        <v>34497</v>
      </c>
      <c r="J1767" s="1" t="s">
        <v>34498</v>
      </c>
      <c r="K1767" s="1" t="s">
        <v>34499</v>
      </c>
      <c r="L1767" s="1" t="s">
        <v>34500</v>
      </c>
      <c r="M1767" s="1" t="s">
        <v>34501</v>
      </c>
      <c r="N1767" s="1" t="s">
        <v>132</v>
      </c>
      <c r="O1767" s="1" t="s">
        <v>34502</v>
      </c>
      <c r="P1767" s="1" t="s">
        <v>34503</v>
      </c>
      <c r="Q1767" s="1" t="s">
        <v>132</v>
      </c>
      <c r="R1767" s="1" t="s">
        <v>34504</v>
      </c>
      <c r="S1767" s="1" t="s">
        <v>34505</v>
      </c>
      <c r="T1767" s="8" t="s">
        <v>34506</v>
      </c>
      <c r="U1767" s="1" t="s">
        <v>34507</v>
      </c>
      <c r="V1767" s="1" t="s">
        <v>34508</v>
      </c>
      <c r="W1767" s="1" t="s">
        <v>34509</v>
      </c>
      <c r="X1767" s="1" t="s">
        <v>34510</v>
      </c>
      <c r="Y1767" s="1" t="s">
        <v>34511</v>
      </c>
      <c r="Z1767" s="1" t="s">
        <v>34512</v>
      </c>
      <c r="AA1767" s="1" t="s">
        <v>34513</v>
      </c>
      <c r="AB1767" s="1" t="s">
        <v>34514</v>
      </c>
      <c r="AC1767" s="1" t="s">
        <v>34515</v>
      </c>
      <c r="AD1767" s="1" t="s">
        <v>34516</v>
      </c>
      <c r="AE1767" s="1" t="s">
        <v>34517</v>
      </c>
      <c r="AF1767" s="1" t="s">
        <v>34518</v>
      </c>
      <c r="AG1767" s="1" t="s">
        <v>34519</v>
      </c>
      <c r="AH1767" s="1" t="s">
        <v>34520</v>
      </c>
      <c r="AI1767" s="1" t="s">
        <v>34521</v>
      </c>
      <c r="AJ1767" s="1" t="s">
        <v>132</v>
      </c>
      <c r="AK1767" s="1" t="s">
        <v>34522</v>
      </c>
      <c r="AL1767" s="1" t="s">
        <v>34523</v>
      </c>
      <c r="AM1767" s="1" t="s">
        <v>34524</v>
      </c>
      <c r="AN1767" s="1" t="s">
        <v>34524</v>
      </c>
    </row>
    <row r="1768" ht="15.75" customHeight="1">
      <c r="A1768" s="1" t="s">
        <v>38</v>
      </c>
      <c r="B1768" s="1" t="s">
        <v>34525</v>
      </c>
      <c r="C1768" s="1" t="s">
        <v>34526</v>
      </c>
      <c r="D1768" s="8" t="s">
        <v>34527</v>
      </c>
      <c r="E1768" s="1" t="s">
        <v>34528</v>
      </c>
      <c r="F1768" s="1" t="s">
        <v>34529</v>
      </c>
      <c r="G1768" s="1" t="s">
        <v>132</v>
      </c>
      <c r="H1768" s="1" t="s">
        <v>132</v>
      </c>
      <c r="I1768" s="1" t="s">
        <v>34530</v>
      </c>
      <c r="J1768" s="1" t="s">
        <v>132</v>
      </c>
      <c r="K1768" s="1" t="s">
        <v>16991</v>
      </c>
      <c r="L1768" s="1" t="s">
        <v>132</v>
      </c>
      <c r="M1768" s="1" t="s">
        <v>34526</v>
      </c>
      <c r="N1768" s="1" t="s">
        <v>34531</v>
      </c>
      <c r="O1768" s="1" t="s">
        <v>132</v>
      </c>
      <c r="P1768" s="1" t="s">
        <v>34532</v>
      </c>
      <c r="Q1768" s="1" t="s">
        <v>34533</v>
      </c>
      <c r="R1768" s="1" t="s">
        <v>132</v>
      </c>
      <c r="S1768" s="1" t="s">
        <v>16996</v>
      </c>
      <c r="T1768" s="1" t="s">
        <v>132</v>
      </c>
      <c r="U1768" s="1" t="s">
        <v>16997</v>
      </c>
      <c r="V1768" s="1" t="s">
        <v>16998</v>
      </c>
      <c r="W1768" s="1" t="s">
        <v>132</v>
      </c>
      <c r="X1768" s="1" t="s">
        <v>34534</v>
      </c>
      <c r="Y1768" s="1" t="s">
        <v>132</v>
      </c>
      <c r="Z1768" s="1" t="s">
        <v>34535</v>
      </c>
      <c r="AA1768" s="1" t="s">
        <v>34536</v>
      </c>
      <c r="AB1768" s="1" t="s">
        <v>132</v>
      </c>
      <c r="AC1768" s="1" t="s">
        <v>34537</v>
      </c>
      <c r="AD1768" s="1" t="s">
        <v>132</v>
      </c>
      <c r="AE1768" s="1" t="s">
        <v>132</v>
      </c>
      <c r="AF1768" s="1" t="s">
        <v>34538</v>
      </c>
      <c r="AG1768" s="1" t="s">
        <v>34539</v>
      </c>
      <c r="AH1768" s="1" t="s">
        <v>132</v>
      </c>
      <c r="AI1768" s="1" t="s">
        <v>132</v>
      </c>
      <c r="AJ1768" s="1" t="s">
        <v>34540</v>
      </c>
      <c r="AK1768" s="1" t="s">
        <v>17010</v>
      </c>
      <c r="AL1768" s="1" t="s">
        <v>132</v>
      </c>
      <c r="AM1768" s="1" t="s">
        <v>16997</v>
      </c>
      <c r="AN1768" s="1" t="s">
        <v>16997</v>
      </c>
    </row>
    <row r="1769" ht="15.75" customHeight="1">
      <c r="A1769" s="1" t="s">
        <v>4051</v>
      </c>
      <c r="B1769" s="1" t="s">
        <v>34541</v>
      </c>
      <c r="C1769" s="1" t="s">
        <v>34542</v>
      </c>
      <c r="D1769" s="8" t="s">
        <v>34543</v>
      </c>
      <c r="E1769" s="1" t="s">
        <v>34544</v>
      </c>
      <c r="F1769" s="1" t="s">
        <v>132</v>
      </c>
      <c r="G1769" s="1" t="s">
        <v>34545</v>
      </c>
      <c r="H1769" s="1" t="s">
        <v>34546</v>
      </c>
      <c r="I1769" s="1" t="s">
        <v>132</v>
      </c>
      <c r="J1769" s="1" t="s">
        <v>34547</v>
      </c>
      <c r="K1769" s="1" t="s">
        <v>34548</v>
      </c>
      <c r="L1769" s="1" t="s">
        <v>34549</v>
      </c>
      <c r="M1769" s="1" t="s">
        <v>34550</v>
      </c>
      <c r="N1769" s="1" t="s">
        <v>132</v>
      </c>
      <c r="O1769" s="1" t="s">
        <v>34551</v>
      </c>
      <c r="P1769" s="1" t="s">
        <v>34552</v>
      </c>
      <c r="Q1769" s="1" t="s">
        <v>132</v>
      </c>
      <c r="R1769" s="1" t="s">
        <v>34553</v>
      </c>
      <c r="S1769" s="1" t="s">
        <v>43310</v>
      </c>
      <c r="T1769" s="8" t="s">
        <v>34555</v>
      </c>
      <c r="U1769" s="1" t="s">
        <v>34556</v>
      </c>
      <c r="V1769" s="1" t="s">
        <v>34557</v>
      </c>
      <c r="W1769" s="1" t="s">
        <v>34558</v>
      </c>
      <c r="X1769" s="1" t="s">
        <v>34559</v>
      </c>
      <c r="Y1769" s="1" t="s">
        <v>34560</v>
      </c>
      <c r="Z1769" s="11" t="s">
        <v>34561</v>
      </c>
      <c r="AA1769" s="1" t="s">
        <v>34562</v>
      </c>
      <c r="AB1769" s="1" t="s">
        <v>34563</v>
      </c>
      <c r="AC1769" s="1" t="s">
        <v>34564</v>
      </c>
      <c r="AD1769" s="1" t="s">
        <v>34565</v>
      </c>
      <c r="AE1769" s="1" t="s">
        <v>34566</v>
      </c>
      <c r="AF1769" s="1" t="s">
        <v>132</v>
      </c>
      <c r="AG1769" s="1" t="s">
        <v>34567</v>
      </c>
      <c r="AH1769" s="1" t="s">
        <v>34568</v>
      </c>
      <c r="AI1769" s="1" t="s">
        <v>34569</v>
      </c>
      <c r="AJ1769" s="1" t="s">
        <v>132</v>
      </c>
      <c r="AK1769" s="1" t="s">
        <v>34570</v>
      </c>
      <c r="AL1769" s="14" t="s">
        <v>34571</v>
      </c>
      <c r="AM1769" s="1" t="s">
        <v>132</v>
      </c>
      <c r="AN1769" s="1" t="s">
        <v>132</v>
      </c>
    </row>
    <row r="1770" ht="15.75" customHeight="1">
      <c r="A1770" s="1" t="s">
        <v>38</v>
      </c>
      <c r="B1770" s="1" t="s">
        <v>34572</v>
      </c>
      <c r="C1770" s="1" t="s">
        <v>34573</v>
      </c>
      <c r="D1770" s="1" t="s">
        <v>132</v>
      </c>
      <c r="E1770" s="1" t="s">
        <v>132</v>
      </c>
      <c r="F1770" s="1" t="s">
        <v>132</v>
      </c>
      <c r="G1770" s="1" t="s">
        <v>132</v>
      </c>
      <c r="H1770" s="1" t="s">
        <v>132</v>
      </c>
      <c r="I1770" s="1" t="s">
        <v>34574</v>
      </c>
      <c r="J1770" s="1" t="s">
        <v>132</v>
      </c>
      <c r="K1770" s="1" t="s">
        <v>34575</v>
      </c>
      <c r="L1770" s="1" t="s">
        <v>132</v>
      </c>
      <c r="M1770" s="1" t="s">
        <v>34573</v>
      </c>
      <c r="N1770" s="1" t="s">
        <v>132</v>
      </c>
      <c r="O1770" s="1" t="s">
        <v>132</v>
      </c>
      <c r="P1770" s="1" t="s">
        <v>34573</v>
      </c>
      <c r="Q1770" s="1" t="s">
        <v>132</v>
      </c>
      <c r="R1770" s="1" t="s">
        <v>132</v>
      </c>
      <c r="S1770" s="1" t="s">
        <v>132</v>
      </c>
      <c r="T1770" s="1" t="s">
        <v>132</v>
      </c>
      <c r="U1770" s="1" t="s">
        <v>132</v>
      </c>
      <c r="V1770" s="1" t="s">
        <v>132</v>
      </c>
      <c r="W1770" s="1" t="s">
        <v>132</v>
      </c>
      <c r="X1770" s="1" t="s">
        <v>132</v>
      </c>
      <c r="Y1770" s="1" t="s">
        <v>132</v>
      </c>
      <c r="Z1770" s="1" t="s">
        <v>132</v>
      </c>
      <c r="AA1770" s="1" t="s">
        <v>132</v>
      </c>
      <c r="AB1770" s="1" t="s">
        <v>132</v>
      </c>
      <c r="AC1770" s="1" t="s">
        <v>34576</v>
      </c>
      <c r="AD1770" s="1" t="s">
        <v>132</v>
      </c>
      <c r="AE1770" s="1" t="s">
        <v>132</v>
      </c>
      <c r="AF1770" s="1" t="s">
        <v>34577</v>
      </c>
      <c r="AG1770" s="1" t="s">
        <v>132</v>
      </c>
      <c r="AH1770" s="1" t="s">
        <v>132</v>
      </c>
      <c r="AI1770" s="1" t="s">
        <v>132</v>
      </c>
      <c r="AJ1770" s="1" t="s">
        <v>132</v>
      </c>
      <c r="AK1770" s="1" t="s">
        <v>132</v>
      </c>
      <c r="AL1770" s="1" t="s">
        <v>132</v>
      </c>
      <c r="AM1770" s="1" t="s">
        <v>132</v>
      </c>
      <c r="AN1770" s="1" t="s">
        <v>132</v>
      </c>
    </row>
    <row r="1771" ht="15.75" customHeight="1">
      <c r="A1771" s="1" t="s">
        <v>127</v>
      </c>
      <c r="B1771" s="1" t="s">
        <v>34578</v>
      </c>
      <c r="C1771" s="1" t="s">
        <v>34579</v>
      </c>
      <c r="D1771" s="8" t="s">
        <v>7158</v>
      </c>
      <c r="E1771" s="1" t="s">
        <v>34580</v>
      </c>
      <c r="F1771" s="1" t="s">
        <v>132</v>
      </c>
      <c r="G1771" s="1" t="s">
        <v>34579</v>
      </c>
      <c r="H1771" s="1" t="s">
        <v>34579</v>
      </c>
      <c r="I1771" s="1" t="s">
        <v>34579</v>
      </c>
      <c r="J1771" s="1" t="s">
        <v>34581</v>
      </c>
      <c r="K1771" s="1" t="s">
        <v>34579</v>
      </c>
      <c r="L1771" s="1" t="s">
        <v>34582</v>
      </c>
      <c r="M1771" s="1" t="s">
        <v>34579</v>
      </c>
      <c r="N1771" s="1" t="s">
        <v>132</v>
      </c>
      <c r="O1771" s="1" t="s">
        <v>7166</v>
      </c>
      <c r="P1771" s="1" t="s">
        <v>34579</v>
      </c>
      <c r="Q1771" s="1" t="s">
        <v>132</v>
      </c>
      <c r="R1771" s="1" t="s">
        <v>34579</v>
      </c>
      <c r="S1771" s="1" t="s">
        <v>34579</v>
      </c>
      <c r="T1771" s="8" t="s">
        <v>7169</v>
      </c>
      <c r="U1771" s="1" t="s">
        <v>7170</v>
      </c>
      <c r="V1771" s="1" t="s">
        <v>7171</v>
      </c>
      <c r="W1771" s="1" t="s">
        <v>34579</v>
      </c>
      <c r="X1771" s="1" t="s">
        <v>34579</v>
      </c>
      <c r="Y1771" s="1" t="s">
        <v>34579</v>
      </c>
      <c r="Z1771" s="1" t="s">
        <v>34579</v>
      </c>
      <c r="AA1771" s="1" t="s">
        <v>34583</v>
      </c>
      <c r="AB1771" s="1" t="s">
        <v>34579</v>
      </c>
      <c r="AC1771" s="1" t="s">
        <v>34580</v>
      </c>
      <c r="AD1771" s="1" t="s">
        <v>34579</v>
      </c>
      <c r="AE1771" s="1" t="s">
        <v>34582</v>
      </c>
      <c r="AF1771" s="1" t="s">
        <v>34579</v>
      </c>
      <c r="AG1771" s="1" t="s">
        <v>34579</v>
      </c>
      <c r="AH1771" s="1" t="s">
        <v>7181</v>
      </c>
      <c r="AI1771" s="1" t="s">
        <v>34584</v>
      </c>
      <c r="AJ1771" s="1" t="s">
        <v>132</v>
      </c>
      <c r="AK1771" s="1" t="s">
        <v>7183</v>
      </c>
      <c r="AL1771" s="1" t="s">
        <v>7184</v>
      </c>
      <c r="AM1771" s="1" t="s">
        <v>7185</v>
      </c>
      <c r="AN1771" s="1" t="s">
        <v>7185</v>
      </c>
    </row>
    <row r="1772" ht="15.75" customHeight="1">
      <c r="A1772" s="1" t="s">
        <v>43182</v>
      </c>
      <c r="B1772" s="1" t="s">
        <v>43311</v>
      </c>
      <c r="C1772" s="1" t="s">
        <v>43312</v>
      </c>
      <c r="D1772" s="1" t="s">
        <v>132</v>
      </c>
      <c r="E1772" s="1" t="s">
        <v>132</v>
      </c>
      <c r="F1772" s="1" t="s">
        <v>132</v>
      </c>
      <c r="G1772" s="1" t="s">
        <v>132</v>
      </c>
      <c r="H1772" s="1" t="s">
        <v>132</v>
      </c>
      <c r="I1772" s="1" t="s">
        <v>132</v>
      </c>
      <c r="J1772" s="1" t="s">
        <v>132</v>
      </c>
      <c r="K1772" s="1" t="s">
        <v>132</v>
      </c>
      <c r="L1772" s="1" t="s">
        <v>132</v>
      </c>
      <c r="M1772" s="1" t="s">
        <v>132</v>
      </c>
      <c r="N1772" s="1" t="s">
        <v>132</v>
      </c>
      <c r="O1772" s="1" t="s">
        <v>132</v>
      </c>
      <c r="P1772" s="1" t="s">
        <v>132</v>
      </c>
      <c r="Q1772" s="1" t="s">
        <v>132</v>
      </c>
      <c r="R1772" s="1" t="s">
        <v>132</v>
      </c>
      <c r="S1772" s="1" t="s">
        <v>132</v>
      </c>
      <c r="T1772" s="1" t="s">
        <v>132</v>
      </c>
      <c r="U1772" s="1" t="s">
        <v>132</v>
      </c>
      <c r="V1772" s="1" t="s">
        <v>132</v>
      </c>
      <c r="W1772" s="1" t="s">
        <v>132</v>
      </c>
      <c r="X1772" s="1" t="s">
        <v>132</v>
      </c>
      <c r="Y1772" s="1" t="s">
        <v>132</v>
      </c>
      <c r="Z1772" s="1" t="s">
        <v>132</v>
      </c>
      <c r="AA1772" s="1" t="s">
        <v>132</v>
      </c>
      <c r="AB1772" s="1" t="s">
        <v>132</v>
      </c>
      <c r="AC1772" s="1" t="s">
        <v>132</v>
      </c>
      <c r="AD1772" s="1" t="s">
        <v>132</v>
      </c>
      <c r="AE1772" s="1" t="s">
        <v>132</v>
      </c>
      <c r="AF1772" s="1" t="s">
        <v>132</v>
      </c>
      <c r="AG1772" s="1" t="s">
        <v>132</v>
      </c>
      <c r="AH1772" s="1" t="s">
        <v>132</v>
      </c>
      <c r="AI1772" s="1" t="s">
        <v>132</v>
      </c>
      <c r="AJ1772" s="1" t="s">
        <v>132</v>
      </c>
      <c r="AK1772" s="1" t="s">
        <v>132</v>
      </c>
      <c r="AL1772" s="1" t="s">
        <v>132</v>
      </c>
      <c r="AM1772" s="1" t="s">
        <v>132</v>
      </c>
      <c r="AN1772" s="1" t="s">
        <v>132</v>
      </c>
    </row>
    <row r="1773" ht="15.75" customHeight="1">
      <c r="A1773" s="1" t="s">
        <v>127</v>
      </c>
      <c r="B1773" s="1" t="s">
        <v>34585</v>
      </c>
      <c r="C1773" s="1" t="s">
        <v>34586</v>
      </c>
      <c r="D1773" s="8" t="s">
        <v>34587</v>
      </c>
      <c r="E1773" s="1" t="s">
        <v>34588</v>
      </c>
      <c r="F1773" s="1" t="s">
        <v>132</v>
      </c>
      <c r="G1773" s="1" t="s">
        <v>34589</v>
      </c>
      <c r="H1773" s="1" t="s">
        <v>34590</v>
      </c>
      <c r="I1773" s="1" t="s">
        <v>34591</v>
      </c>
      <c r="J1773" s="1" t="s">
        <v>34592</v>
      </c>
      <c r="K1773" s="1" t="s">
        <v>34593</v>
      </c>
      <c r="L1773" s="1" t="s">
        <v>34594</v>
      </c>
      <c r="M1773" s="1" t="s">
        <v>34595</v>
      </c>
      <c r="N1773" s="1" t="s">
        <v>132</v>
      </c>
      <c r="O1773" s="1" t="s">
        <v>34596</v>
      </c>
      <c r="P1773" s="1" t="s">
        <v>34597</v>
      </c>
      <c r="Q1773" s="1" t="s">
        <v>132</v>
      </c>
      <c r="R1773" s="1" t="s">
        <v>34598</v>
      </c>
      <c r="S1773" s="1" t="s">
        <v>34599</v>
      </c>
      <c r="T1773" s="8" t="s">
        <v>34600</v>
      </c>
      <c r="U1773" s="1" t="s">
        <v>34601</v>
      </c>
      <c r="V1773" s="1" t="s">
        <v>34602</v>
      </c>
      <c r="W1773" s="1" t="s">
        <v>34603</v>
      </c>
      <c r="X1773" s="1" t="s">
        <v>34604</v>
      </c>
      <c r="Y1773" s="1" t="s">
        <v>34605</v>
      </c>
      <c r="Z1773" s="1" t="s">
        <v>34606</v>
      </c>
      <c r="AA1773" s="1" t="s">
        <v>34607</v>
      </c>
      <c r="AB1773" s="1" t="s">
        <v>34608</v>
      </c>
      <c r="AC1773" s="1" t="s">
        <v>34609</v>
      </c>
      <c r="AD1773" s="1" t="s">
        <v>34610</v>
      </c>
      <c r="AE1773" s="1" t="s">
        <v>34611</v>
      </c>
      <c r="AF1773" s="1" t="s">
        <v>34612</v>
      </c>
      <c r="AG1773" s="1" t="s">
        <v>34613</v>
      </c>
      <c r="AH1773" s="1" t="s">
        <v>34614</v>
      </c>
      <c r="AI1773" s="1" t="s">
        <v>34615</v>
      </c>
      <c r="AJ1773" s="1" t="s">
        <v>132</v>
      </c>
      <c r="AK1773" s="1" t="s">
        <v>34616</v>
      </c>
      <c r="AL1773" s="1" t="s">
        <v>34617</v>
      </c>
      <c r="AM1773" s="1" t="s">
        <v>34618</v>
      </c>
      <c r="AN1773" s="1" t="s">
        <v>34618</v>
      </c>
    </row>
    <row r="1774" ht="15.75" customHeight="1">
      <c r="A1774" s="1" t="s">
        <v>38</v>
      </c>
      <c r="B1774" s="1" t="s">
        <v>34619</v>
      </c>
      <c r="C1774" s="1" t="s">
        <v>5935</v>
      </c>
      <c r="D1774" s="8" t="s">
        <v>5936</v>
      </c>
      <c r="E1774" s="1" t="s">
        <v>5937</v>
      </c>
      <c r="F1774" s="1" t="s">
        <v>5938</v>
      </c>
      <c r="G1774" s="1" t="s">
        <v>132</v>
      </c>
      <c r="H1774" s="1" t="s">
        <v>132</v>
      </c>
      <c r="I1774" s="1" t="s">
        <v>5939</v>
      </c>
      <c r="J1774" s="1" t="s">
        <v>132</v>
      </c>
      <c r="K1774" s="1" t="s">
        <v>5940</v>
      </c>
      <c r="L1774" s="1" t="s">
        <v>132</v>
      </c>
      <c r="M1774" s="1" t="s">
        <v>5941</v>
      </c>
      <c r="N1774" s="1" t="s">
        <v>34620</v>
      </c>
      <c r="O1774" s="1" t="s">
        <v>132</v>
      </c>
      <c r="P1774" s="1" t="s">
        <v>5943</v>
      </c>
      <c r="Q1774" s="1" t="s">
        <v>5935</v>
      </c>
      <c r="R1774" s="1" t="s">
        <v>132</v>
      </c>
      <c r="S1774" s="1" t="s">
        <v>5944</v>
      </c>
      <c r="T1774" s="1" t="s">
        <v>132</v>
      </c>
      <c r="U1774" s="1" t="s">
        <v>5945</v>
      </c>
      <c r="V1774" s="1" t="s">
        <v>5946</v>
      </c>
      <c r="W1774" s="1" t="s">
        <v>132</v>
      </c>
      <c r="X1774" s="1" t="s">
        <v>5947</v>
      </c>
      <c r="Y1774" s="1" t="s">
        <v>132</v>
      </c>
      <c r="Z1774" s="1" t="s">
        <v>5948</v>
      </c>
      <c r="AA1774" s="1" t="s">
        <v>5949</v>
      </c>
      <c r="AB1774" s="1" t="s">
        <v>132</v>
      </c>
      <c r="AC1774" s="1" t="s">
        <v>5950</v>
      </c>
      <c r="AD1774" s="1" t="s">
        <v>5951</v>
      </c>
      <c r="AE1774" s="1" t="s">
        <v>132</v>
      </c>
      <c r="AF1774" s="1" t="s">
        <v>5952</v>
      </c>
      <c r="AG1774" s="1" t="s">
        <v>5953</v>
      </c>
      <c r="AH1774" s="1" t="s">
        <v>132</v>
      </c>
      <c r="AI1774" s="1" t="s">
        <v>132</v>
      </c>
      <c r="AJ1774" s="1" t="s">
        <v>5954</v>
      </c>
      <c r="AK1774" s="1" t="s">
        <v>5955</v>
      </c>
      <c r="AL1774" s="1" t="s">
        <v>132</v>
      </c>
      <c r="AM1774" s="1" t="s">
        <v>5956</v>
      </c>
      <c r="AN1774" s="1" t="s">
        <v>5956</v>
      </c>
    </row>
    <row r="1775" ht="15.75" customHeight="1">
      <c r="A1775" s="1" t="s">
        <v>38</v>
      </c>
      <c r="B1775" s="1" t="s">
        <v>34621</v>
      </c>
      <c r="C1775" s="1" t="s">
        <v>34622</v>
      </c>
      <c r="D1775" s="1" t="s">
        <v>132</v>
      </c>
      <c r="E1775" s="1" t="s">
        <v>132</v>
      </c>
      <c r="F1775" s="1" t="s">
        <v>132</v>
      </c>
      <c r="G1775" s="1" t="s">
        <v>132</v>
      </c>
      <c r="H1775" s="1" t="s">
        <v>132</v>
      </c>
      <c r="I1775" s="1" t="s">
        <v>34623</v>
      </c>
      <c r="J1775" s="1" t="s">
        <v>132</v>
      </c>
      <c r="K1775" s="1" t="s">
        <v>34624</v>
      </c>
      <c r="L1775" s="1" t="s">
        <v>132</v>
      </c>
      <c r="M1775" s="1" t="s">
        <v>34625</v>
      </c>
      <c r="N1775" s="1" t="s">
        <v>132</v>
      </c>
      <c r="O1775" s="1" t="s">
        <v>132</v>
      </c>
      <c r="P1775" s="1" t="s">
        <v>34626</v>
      </c>
      <c r="Q1775" s="1" t="s">
        <v>132</v>
      </c>
      <c r="R1775" s="1" t="s">
        <v>132</v>
      </c>
      <c r="S1775" s="1" t="s">
        <v>132</v>
      </c>
      <c r="T1775" s="1" t="s">
        <v>132</v>
      </c>
      <c r="U1775" s="1" t="s">
        <v>132</v>
      </c>
      <c r="V1775" s="1" t="s">
        <v>132</v>
      </c>
      <c r="W1775" s="1" t="s">
        <v>132</v>
      </c>
      <c r="X1775" s="1" t="s">
        <v>132</v>
      </c>
      <c r="Y1775" s="1" t="s">
        <v>132</v>
      </c>
      <c r="Z1775" s="1" t="s">
        <v>132</v>
      </c>
      <c r="AA1775" s="1" t="s">
        <v>132</v>
      </c>
      <c r="AB1775" s="1" t="s">
        <v>132</v>
      </c>
      <c r="AC1775" s="1" t="s">
        <v>34627</v>
      </c>
      <c r="AD1775" s="1" t="s">
        <v>132</v>
      </c>
      <c r="AE1775" s="1" t="s">
        <v>132</v>
      </c>
      <c r="AF1775" s="1" t="s">
        <v>34628</v>
      </c>
      <c r="AG1775" s="1" t="s">
        <v>132</v>
      </c>
      <c r="AH1775" s="1" t="s">
        <v>132</v>
      </c>
      <c r="AI1775" s="1" t="s">
        <v>132</v>
      </c>
      <c r="AJ1775" s="1" t="s">
        <v>132</v>
      </c>
      <c r="AK1775" s="1" t="s">
        <v>132</v>
      </c>
      <c r="AL1775" s="1" t="s">
        <v>132</v>
      </c>
      <c r="AM1775" s="1" t="s">
        <v>132</v>
      </c>
      <c r="AN1775" s="1" t="s">
        <v>132</v>
      </c>
    </row>
    <row r="1776" ht="15.75" customHeight="1">
      <c r="A1776" s="1" t="s">
        <v>38</v>
      </c>
      <c r="B1776" s="1" t="s">
        <v>34629</v>
      </c>
      <c r="C1776" s="1" t="s">
        <v>34630</v>
      </c>
      <c r="D1776" s="8" t="s">
        <v>34631</v>
      </c>
      <c r="E1776" s="1" t="s">
        <v>34632</v>
      </c>
      <c r="F1776" s="1" t="s">
        <v>34630</v>
      </c>
      <c r="G1776" s="1" t="s">
        <v>132</v>
      </c>
      <c r="H1776" s="1" t="s">
        <v>132</v>
      </c>
      <c r="I1776" s="1" t="s">
        <v>34633</v>
      </c>
      <c r="J1776" s="1" t="s">
        <v>132</v>
      </c>
      <c r="K1776" s="1" t="s">
        <v>34634</v>
      </c>
      <c r="L1776" s="1" t="s">
        <v>132</v>
      </c>
      <c r="M1776" s="1" t="s">
        <v>34635</v>
      </c>
      <c r="N1776" s="1" t="s">
        <v>34635</v>
      </c>
      <c r="O1776" s="1" t="s">
        <v>132</v>
      </c>
      <c r="P1776" s="1" t="s">
        <v>34636</v>
      </c>
      <c r="Q1776" s="1" t="s">
        <v>34630</v>
      </c>
      <c r="R1776" s="1" t="s">
        <v>132</v>
      </c>
      <c r="S1776" s="1" t="s">
        <v>34637</v>
      </c>
      <c r="T1776" s="1" t="s">
        <v>132</v>
      </c>
      <c r="U1776" s="1" t="s">
        <v>34630</v>
      </c>
      <c r="V1776" s="1" t="s">
        <v>34630</v>
      </c>
      <c r="W1776" s="1" t="s">
        <v>132</v>
      </c>
      <c r="X1776" s="1" t="s">
        <v>34638</v>
      </c>
      <c r="Y1776" s="1" t="s">
        <v>132</v>
      </c>
      <c r="Z1776" s="1" t="s">
        <v>34630</v>
      </c>
      <c r="AA1776" s="1" t="s">
        <v>34639</v>
      </c>
      <c r="AB1776" s="1" t="s">
        <v>132</v>
      </c>
      <c r="AC1776" s="1" t="s">
        <v>34640</v>
      </c>
      <c r="AD1776" s="1" t="s">
        <v>132</v>
      </c>
      <c r="AE1776" s="1" t="s">
        <v>132</v>
      </c>
      <c r="AF1776" s="1" t="s">
        <v>34641</v>
      </c>
      <c r="AG1776" s="1" t="s">
        <v>34642</v>
      </c>
      <c r="AH1776" s="1" t="s">
        <v>132</v>
      </c>
      <c r="AI1776" s="1" t="s">
        <v>132</v>
      </c>
      <c r="AJ1776" s="1" t="s">
        <v>34643</v>
      </c>
      <c r="AK1776" s="1" t="s">
        <v>34630</v>
      </c>
      <c r="AL1776" s="1" t="s">
        <v>132</v>
      </c>
      <c r="AM1776" s="1" t="s">
        <v>34630</v>
      </c>
      <c r="AN1776" s="1" t="s">
        <v>34630</v>
      </c>
    </row>
    <row r="1777" ht="15.75" customHeight="1">
      <c r="A1777" s="1" t="s">
        <v>38</v>
      </c>
      <c r="B1777" s="1" t="s">
        <v>34644</v>
      </c>
      <c r="C1777" s="1" t="s">
        <v>34645</v>
      </c>
      <c r="D1777" s="8" t="s">
        <v>34646</v>
      </c>
      <c r="E1777" s="1" t="s">
        <v>34647</v>
      </c>
      <c r="F1777" s="1" t="s">
        <v>34648</v>
      </c>
      <c r="G1777" s="1" t="s">
        <v>132</v>
      </c>
      <c r="H1777" s="1" t="s">
        <v>132</v>
      </c>
      <c r="I1777" s="1" t="s">
        <v>34649</v>
      </c>
      <c r="J1777" s="1" t="s">
        <v>132</v>
      </c>
      <c r="K1777" s="1" t="s">
        <v>34650</v>
      </c>
      <c r="L1777" s="1" t="s">
        <v>132</v>
      </c>
      <c r="M1777" s="1" t="s">
        <v>34651</v>
      </c>
      <c r="N1777" s="1" t="s">
        <v>34652</v>
      </c>
      <c r="O1777" s="1" t="s">
        <v>132</v>
      </c>
      <c r="P1777" s="1" t="s">
        <v>34653</v>
      </c>
      <c r="Q1777" s="1" t="s">
        <v>34654</v>
      </c>
      <c r="R1777" s="1" t="s">
        <v>132</v>
      </c>
      <c r="S1777" s="1" t="s">
        <v>34655</v>
      </c>
      <c r="T1777" s="1" t="s">
        <v>132</v>
      </c>
      <c r="U1777" s="1" t="s">
        <v>34656</v>
      </c>
      <c r="V1777" s="1" t="s">
        <v>34657</v>
      </c>
      <c r="W1777" s="1" t="s">
        <v>132</v>
      </c>
      <c r="X1777" s="1" t="s">
        <v>34658</v>
      </c>
      <c r="Y1777" s="1" t="s">
        <v>132</v>
      </c>
      <c r="Z1777" s="1" t="s">
        <v>34659</v>
      </c>
      <c r="AA1777" s="1" t="s">
        <v>34660</v>
      </c>
      <c r="AB1777" s="1" t="s">
        <v>132</v>
      </c>
      <c r="AC1777" s="1" t="s">
        <v>34661</v>
      </c>
      <c r="AD1777" s="1" t="s">
        <v>34662</v>
      </c>
      <c r="AE1777" s="1" t="s">
        <v>132</v>
      </c>
      <c r="AF1777" s="1" t="s">
        <v>34663</v>
      </c>
      <c r="AG1777" s="1" t="s">
        <v>34664</v>
      </c>
      <c r="AH1777" s="1" t="s">
        <v>132</v>
      </c>
      <c r="AI1777" s="1" t="s">
        <v>132</v>
      </c>
      <c r="AJ1777" s="1" t="s">
        <v>34665</v>
      </c>
      <c r="AK1777" s="1" t="s">
        <v>34666</v>
      </c>
      <c r="AL1777" s="1" t="s">
        <v>132</v>
      </c>
      <c r="AM1777" s="1" t="s">
        <v>24852</v>
      </c>
      <c r="AN1777" s="1" t="s">
        <v>24852</v>
      </c>
    </row>
    <row r="1778" ht="15.75" customHeight="1">
      <c r="A1778" s="1" t="s">
        <v>127</v>
      </c>
      <c r="B1778" s="1" t="s">
        <v>34667</v>
      </c>
      <c r="C1778" s="1" t="s">
        <v>34668</v>
      </c>
      <c r="D1778" s="8" t="s">
        <v>34669</v>
      </c>
      <c r="E1778" s="1" t="s">
        <v>34670</v>
      </c>
      <c r="F1778" s="1" t="s">
        <v>132</v>
      </c>
      <c r="G1778" s="1" t="s">
        <v>34671</v>
      </c>
      <c r="H1778" s="1" t="s">
        <v>34672</v>
      </c>
      <c r="I1778" s="1" t="s">
        <v>34673</v>
      </c>
      <c r="J1778" s="1" t="s">
        <v>34674</v>
      </c>
      <c r="K1778" s="1" t="s">
        <v>34675</v>
      </c>
      <c r="L1778" s="1" t="s">
        <v>34676</v>
      </c>
      <c r="M1778" s="1" t="s">
        <v>34677</v>
      </c>
      <c r="N1778" s="1" t="s">
        <v>132</v>
      </c>
      <c r="O1778" s="1" t="s">
        <v>34678</v>
      </c>
      <c r="P1778" s="1" t="s">
        <v>34679</v>
      </c>
      <c r="Q1778" s="1" t="s">
        <v>132</v>
      </c>
      <c r="R1778" s="1" t="s">
        <v>34680</v>
      </c>
      <c r="S1778" s="1" t="s">
        <v>34681</v>
      </c>
      <c r="T1778" s="8" t="s">
        <v>34682</v>
      </c>
      <c r="U1778" s="1" t="s">
        <v>34683</v>
      </c>
      <c r="V1778" s="1" t="s">
        <v>34684</v>
      </c>
      <c r="W1778" s="1" t="s">
        <v>34685</v>
      </c>
      <c r="X1778" s="1" t="s">
        <v>34686</v>
      </c>
      <c r="Y1778" s="1" t="s">
        <v>34687</v>
      </c>
      <c r="Z1778" s="1" t="s">
        <v>34688</v>
      </c>
      <c r="AA1778" s="1" t="s">
        <v>34689</v>
      </c>
      <c r="AB1778" s="1" t="s">
        <v>34690</v>
      </c>
      <c r="AC1778" s="1" t="s">
        <v>34691</v>
      </c>
      <c r="AD1778" s="1" t="s">
        <v>34692</v>
      </c>
      <c r="AE1778" s="1" t="s">
        <v>34693</v>
      </c>
      <c r="AF1778" s="1" t="s">
        <v>34694</v>
      </c>
      <c r="AG1778" s="1" t="s">
        <v>34695</v>
      </c>
      <c r="AH1778" s="1" t="s">
        <v>34696</v>
      </c>
      <c r="AI1778" s="1" t="s">
        <v>34697</v>
      </c>
      <c r="AJ1778" s="1" t="s">
        <v>132</v>
      </c>
      <c r="AK1778" s="1" t="s">
        <v>34698</v>
      </c>
      <c r="AL1778" s="1" t="s">
        <v>34699</v>
      </c>
      <c r="AM1778" s="1" t="s">
        <v>132</v>
      </c>
      <c r="AN1778" s="1" t="s">
        <v>132</v>
      </c>
    </row>
    <row r="1779" ht="15.75" customHeight="1">
      <c r="A1779" s="1" t="s">
        <v>38</v>
      </c>
      <c r="B1779" s="1" t="s">
        <v>34700</v>
      </c>
      <c r="C1779" s="1" t="s">
        <v>34701</v>
      </c>
      <c r="D1779" s="1" t="s">
        <v>132</v>
      </c>
      <c r="E1779" s="1" t="s">
        <v>132</v>
      </c>
      <c r="F1779" s="1" t="s">
        <v>132</v>
      </c>
      <c r="G1779" s="1" t="s">
        <v>132</v>
      </c>
      <c r="H1779" s="1" t="s">
        <v>132</v>
      </c>
      <c r="I1779" s="1" t="s">
        <v>34702</v>
      </c>
      <c r="J1779" s="1" t="s">
        <v>132</v>
      </c>
      <c r="K1779" s="1" t="s">
        <v>34703</v>
      </c>
      <c r="L1779" s="1" t="s">
        <v>132</v>
      </c>
      <c r="M1779" s="1" t="s">
        <v>34704</v>
      </c>
      <c r="N1779" s="1" t="s">
        <v>132</v>
      </c>
      <c r="O1779" s="1" t="s">
        <v>132</v>
      </c>
      <c r="P1779" s="1" t="s">
        <v>34701</v>
      </c>
      <c r="Q1779" s="1" t="s">
        <v>132</v>
      </c>
      <c r="R1779" s="1" t="s">
        <v>132</v>
      </c>
      <c r="S1779" s="1" t="s">
        <v>132</v>
      </c>
      <c r="T1779" s="1" t="s">
        <v>132</v>
      </c>
      <c r="U1779" s="1" t="s">
        <v>132</v>
      </c>
      <c r="V1779" s="1" t="s">
        <v>132</v>
      </c>
      <c r="W1779" s="1" t="s">
        <v>132</v>
      </c>
      <c r="X1779" s="1" t="s">
        <v>132</v>
      </c>
      <c r="Y1779" s="1" t="s">
        <v>132</v>
      </c>
      <c r="Z1779" s="1" t="s">
        <v>132</v>
      </c>
      <c r="AA1779" s="1" t="s">
        <v>132</v>
      </c>
      <c r="AB1779" s="1" t="s">
        <v>132</v>
      </c>
      <c r="AC1779" s="1" t="s">
        <v>34705</v>
      </c>
      <c r="AD1779" s="1" t="s">
        <v>132</v>
      </c>
      <c r="AE1779" s="1" t="s">
        <v>132</v>
      </c>
      <c r="AF1779" s="1" t="s">
        <v>34706</v>
      </c>
      <c r="AG1779" s="1" t="s">
        <v>132</v>
      </c>
      <c r="AH1779" s="1" t="s">
        <v>132</v>
      </c>
      <c r="AI1779" s="1" t="s">
        <v>132</v>
      </c>
      <c r="AJ1779" s="1" t="s">
        <v>132</v>
      </c>
      <c r="AK1779" s="1" t="s">
        <v>132</v>
      </c>
      <c r="AL1779" s="1" t="s">
        <v>132</v>
      </c>
      <c r="AM1779" s="1" t="s">
        <v>132</v>
      </c>
      <c r="AN1779" s="1" t="s">
        <v>132</v>
      </c>
    </row>
    <row r="1780" ht="15.75" customHeight="1">
      <c r="A1780" s="1" t="s">
        <v>38</v>
      </c>
      <c r="B1780" s="1" t="s">
        <v>34707</v>
      </c>
      <c r="C1780" s="1" t="s">
        <v>34708</v>
      </c>
      <c r="D1780" s="1" t="s">
        <v>132</v>
      </c>
      <c r="E1780" s="1" t="s">
        <v>132</v>
      </c>
      <c r="F1780" s="1" t="s">
        <v>132</v>
      </c>
      <c r="G1780" s="1" t="s">
        <v>132</v>
      </c>
      <c r="H1780" s="1" t="s">
        <v>132</v>
      </c>
      <c r="I1780" s="1" t="s">
        <v>34709</v>
      </c>
      <c r="J1780" s="1" t="s">
        <v>132</v>
      </c>
      <c r="K1780" s="1" t="s">
        <v>34710</v>
      </c>
      <c r="L1780" s="1" t="s">
        <v>132</v>
      </c>
      <c r="M1780" s="1" t="s">
        <v>34711</v>
      </c>
      <c r="N1780" s="1" t="s">
        <v>132</v>
      </c>
      <c r="O1780" s="1" t="s">
        <v>132</v>
      </c>
      <c r="P1780" s="1" t="s">
        <v>34708</v>
      </c>
      <c r="Q1780" s="1" t="s">
        <v>132</v>
      </c>
      <c r="R1780" s="1" t="s">
        <v>132</v>
      </c>
      <c r="S1780" s="1" t="s">
        <v>132</v>
      </c>
      <c r="T1780" s="1" t="s">
        <v>132</v>
      </c>
      <c r="U1780" s="1" t="s">
        <v>132</v>
      </c>
      <c r="V1780" s="1" t="s">
        <v>132</v>
      </c>
      <c r="W1780" s="1" t="s">
        <v>132</v>
      </c>
      <c r="X1780" s="1" t="s">
        <v>132</v>
      </c>
      <c r="Y1780" s="1" t="s">
        <v>132</v>
      </c>
      <c r="Z1780" s="1" t="s">
        <v>132</v>
      </c>
      <c r="AA1780" s="1" t="s">
        <v>132</v>
      </c>
      <c r="AB1780" s="1" t="s">
        <v>132</v>
      </c>
      <c r="AC1780" s="1" t="s">
        <v>34712</v>
      </c>
      <c r="AD1780" s="1" t="s">
        <v>132</v>
      </c>
      <c r="AE1780" s="1" t="s">
        <v>132</v>
      </c>
      <c r="AF1780" s="1" t="s">
        <v>34713</v>
      </c>
      <c r="AG1780" s="1" t="s">
        <v>132</v>
      </c>
      <c r="AH1780" s="1" t="s">
        <v>132</v>
      </c>
      <c r="AI1780" s="1" t="s">
        <v>132</v>
      </c>
      <c r="AJ1780" s="1" t="s">
        <v>132</v>
      </c>
      <c r="AK1780" s="1" t="s">
        <v>132</v>
      </c>
      <c r="AL1780" s="1" t="s">
        <v>132</v>
      </c>
      <c r="AM1780" s="1" t="s">
        <v>132</v>
      </c>
      <c r="AN1780" s="1" t="s">
        <v>132</v>
      </c>
    </row>
    <row r="1781" ht="15.75" customHeight="1">
      <c r="A1781" s="1" t="s">
        <v>127</v>
      </c>
      <c r="B1781" s="1" t="s">
        <v>34714</v>
      </c>
      <c r="C1781" s="1" t="s">
        <v>34715</v>
      </c>
      <c r="D1781" s="8" t="s">
        <v>34716</v>
      </c>
      <c r="E1781" s="1" t="s">
        <v>34717</v>
      </c>
      <c r="F1781" s="1" t="s">
        <v>132</v>
      </c>
      <c r="G1781" s="1" t="s">
        <v>34718</v>
      </c>
      <c r="H1781" s="1" t="s">
        <v>34719</v>
      </c>
      <c r="I1781" s="1" t="s">
        <v>34720</v>
      </c>
      <c r="J1781" s="1" t="s">
        <v>34721</v>
      </c>
      <c r="K1781" s="1" t="s">
        <v>34722</v>
      </c>
      <c r="L1781" s="1" t="s">
        <v>34723</v>
      </c>
      <c r="M1781" s="1" t="s">
        <v>34724</v>
      </c>
      <c r="N1781" s="1" t="s">
        <v>132</v>
      </c>
      <c r="O1781" s="1" t="s">
        <v>34725</v>
      </c>
      <c r="P1781" s="1" t="s">
        <v>34726</v>
      </c>
      <c r="Q1781" s="1" t="s">
        <v>132</v>
      </c>
      <c r="R1781" s="1" t="s">
        <v>34727</v>
      </c>
      <c r="S1781" s="1" t="s">
        <v>34728</v>
      </c>
      <c r="T1781" s="8" t="s">
        <v>34729</v>
      </c>
      <c r="U1781" s="1" t="s">
        <v>34730</v>
      </c>
      <c r="V1781" s="1" t="s">
        <v>34731</v>
      </c>
      <c r="W1781" s="1" t="s">
        <v>34732</v>
      </c>
      <c r="X1781" s="1" t="s">
        <v>34733</v>
      </c>
      <c r="Y1781" s="1" t="s">
        <v>34719</v>
      </c>
      <c r="Z1781" s="1" t="s">
        <v>34734</v>
      </c>
      <c r="AA1781" s="1" t="s">
        <v>34735</v>
      </c>
      <c r="AB1781" s="1" t="s">
        <v>34736</v>
      </c>
      <c r="AC1781" s="1" t="s">
        <v>34717</v>
      </c>
      <c r="AD1781" s="1" t="s">
        <v>34718</v>
      </c>
      <c r="AE1781" s="1" t="s">
        <v>34737</v>
      </c>
      <c r="AF1781" s="1" t="s">
        <v>34719</v>
      </c>
      <c r="AG1781" s="1" t="s">
        <v>34719</v>
      </c>
      <c r="AH1781" s="1" t="s">
        <v>34738</v>
      </c>
      <c r="AI1781" s="1" t="s">
        <v>34739</v>
      </c>
      <c r="AJ1781" s="1" t="s">
        <v>132</v>
      </c>
      <c r="AK1781" s="1" t="s">
        <v>34740</v>
      </c>
      <c r="AL1781" s="1" t="s">
        <v>34741</v>
      </c>
      <c r="AM1781" s="1" t="s">
        <v>132</v>
      </c>
      <c r="AN1781" s="1" t="s">
        <v>132</v>
      </c>
    </row>
    <row r="1782" ht="15.75" customHeight="1">
      <c r="A1782" s="1" t="s">
        <v>38</v>
      </c>
      <c r="B1782" s="1" t="s">
        <v>34742</v>
      </c>
      <c r="C1782" s="1" t="s">
        <v>34743</v>
      </c>
      <c r="D1782" s="1" t="s">
        <v>132</v>
      </c>
      <c r="E1782" s="1" t="s">
        <v>132</v>
      </c>
      <c r="F1782" s="1" t="s">
        <v>132</v>
      </c>
      <c r="G1782" s="1" t="s">
        <v>132</v>
      </c>
      <c r="H1782" s="1" t="s">
        <v>132</v>
      </c>
      <c r="I1782" s="1" t="s">
        <v>34743</v>
      </c>
      <c r="J1782" s="1" t="s">
        <v>132</v>
      </c>
      <c r="K1782" s="1" t="s">
        <v>34744</v>
      </c>
      <c r="L1782" s="1" t="s">
        <v>132</v>
      </c>
      <c r="M1782" s="1" t="s">
        <v>34743</v>
      </c>
      <c r="N1782" s="1" t="s">
        <v>132</v>
      </c>
      <c r="O1782" s="1" t="s">
        <v>132</v>
      </c>
      <c r="P1782" s="1" t="s">
        <v>34743</v>
      </c>
      <c r="Q1782" s="1" t="s">
        <v>132</v>
      </c>
      <c r="R1782" s="1" t="s">
        <v>132</v>
      </c>
      <c r="S1782" s="1" t="s">
        <v>132</v>
      </c>
      <c r="T1782" s="1" t="s">
        <v>132</v>
      </c>
      <c r="U1782" s="1" t="s">
        <v>132</v>
      </c>
      <c r="V1782" s="1" t="s">
        <v>132</v>
      </c>
      <c r="W1782" s="1" t="s">
        <v>132</v>
      </c>
      <c r="X1782" s="1" t="s">
        <v>132</v>
      </c>
      <c r="Y1782" s="1" t="s">
        <v>132</v>
      </c>
      <c r="Z1782" s="1" t="s">
        <v>132</v>
      </c>
      <c r="AA1782" s="1" t="s">
        <v>132</v>
      </c>
      <c r="AB1782" s="1" t="s">
        <v>132</v>
      </c>
      <c r="AC1782" s="1" t="s">
        <v>34745</v>
      </c>
      <c r="AD1782" s="1" t="s">
        <v>132</v>
      </c>
      <c r="AE1782" s="1" t="s">
        <v>132</v>
      </c>
      <c r="AF1782" s="1" t="s">
        <v>34746</v>
      </c>
      <c r="AG1782" s="1" t="s">
        <v>132</v>
      </c>
      <c r="AH1782" s="1" t="s">
        <v>132</v>
      </c>
      <c r="AI1782" s="1" t="s">
        <v>132</v>
      </c>
      <c r="AJ1782" s="1" t="s">
        <v>132</v>
      </c>
      <c r="AK1782" s="1" t="s">
        <v>132</v>
      </c>
      <c r="AL1782" s="1" t="s">
        <v>132</v>
      </c>
      <c r="AM1782" s="1" t="s">
        <v>132</v>
      </c>
      <c r="AN1782" s="1" t="s">
        <v>132</v>
      </c>
    </row>
    <row r="1783" ht="15.75" customHeight="1">
      <c r="A1783" s="1" t="s">
        <v>38</v>
      </c>
      <c r="B1783" s="1" t="s">
        <v>34747</v>
      </c>
      <c r="C1783" s="1" t="s">
        <v>34748</v>
      </c>
      <c r="D1783" s="1" t="s">
        <v>132</v>
      </c>
      <c r="E1783" s="1" t="s">
        <v>132</v>
      </c>
      <c r="F1783" s="1" t="s">
        <v>132</v>
      </c>
      <c r="G1783" s="1" t="s">
        <v>132</v>
      </c>
      <c r="H1783" s="1" t="s">
        <v>132</v>
      </c>
      <c r="I1783" s="1" t="s">
        <v>34749</v>
      </c>
      <c r="J1783" s="1" t="s">
        <v>132</v>
      </c>
      <c r="K1783" s="1" t="s">
        <v>34750</v>
      </c>
      <c r="L1783" s="1" t="s">
        <v>132</v>
      </c>
      <c r="M1783" s="1" t="s">
        <v>34751</v>
      </c>
      <c r="N1783" s="1" t="s">
        <v>132</v>
      </c>
      <c r="O1783" s="1" t="s">
        <v>132</v>
      </c>
      <c r="P1783" s="1" t="s">
        <v>34748</v>
      </c>
      <c r="Q1783" s="1" t="s">
        <v>132</v>
      </c>
      <c r="R1783" s="1" t="s">
        <v>132</v>
      </c>
      <c r="S1783" s="1" t="s">
        <v>132</v>
      </c>
      <c r="T1783" s="1" t="s">
        <v>132</v>
      </c>
      <c r="U1783" s="1" t="s">
        <v>132</v>
      </c>
      <c r="V1783" s="1" t="s">
        <v>132</v>
      </c>
      <c r="W1783" s="1" t="s">
        <v>132</v>
      </c>
      <c r="X1783" s="1" t="s">
        <v>132</v>
      </c>
      <c r="Y1783" s="1" t="s">
        <v>132</v>
      </c>
      <c r="Z1783" s="1" t="s">
        <v>132</v>
      </c>
      <c r="AA1783" s="1" t="s">
        <v>132</v>
      </c>
      <c r="AB1783" s="1" t="s">
        <v>132</v>
      </c>
      <c r="AC1783" s="1" t="s">
        <v>34752</v>
      </c>
      <c r="AD1783" s="1" t="s">
        <v>132</v>
      </c>
      <c r="AE1783" s="1" t="s">
        <v>132</v>
      </c>
      <c r="AF1783" s="1" t="s">
        <v>34753</v>
      </c>
      <c r="AG1783" s="1" t="s">
        <v>132</v>
      </c>
      <c r="AH1783" s="1" t="s">
        <v>132</v>
      </c>
      <c r="AI1783" s="1" t="s">
        <v>132</v>
      </c>
      <c r="AJ1783" s="1" t="s">
        <v>132</v>
      </c>
      <c r="AK1783" s="1" t="s">
        <v>132</v>
      </c>
      <c r="AL1783" s="1" t="s">
        <v>132</v>
      </c>
      <c r="AM1783" s="1" t="s">
        <v>132</v>
      </c>
      <c r="AN1783" s="1" t="s">
        <v>132</v>
      </c>
    </row>
    <row r="1784" ht="15.75" customHeight="1">
      <c r="A1784" s="1" t="s">
        <v>38</v>
      </c>
      <c r="B1784" s="1" t="s">
        <v>34754</v>
      </c>
      <c r="C1784" s="1" t="s">
        <v>34755</v>
      </c>
      <c r="D1784" s="1" t="s">
        <v>132</v>
      </c>
      <c r="E1784" s="1" t="s">
        <v>132</v>
      </c>
      <c r="F1784" s="1" t="s">
        <v>132</v>
      </c>
      <c r="G1784" s="1" t="s">
        <v>132</v>
      </c>
      <c r="H1784" s="1" t="s">
        <v>132</v>
      </c>
      <c r="I1784" s="1" t="s">
        <v>34756</v>
      </c>
      <c r="J1784" s="1" t="s">
        <v>132</v>
      </c>
      <c r="K1784" s="1" t="s">
        <v>34755</v>
      </c>
      <c r="L1784" s="1" t="s">
        <v>132</v>
      </c>
      <c r="M1784" s="1" t="s">
        <v>34757</v>
      </c>
      <c r="N1784" s="1" t="s">
        <v>132</v>
      </c>
      <c r="O1784" s="1" t="s">
        <v>132</v>
      </c>
      <c r="P1784" s="1" t="s">
        <v>34755</v>
      </c>
      <c r="Q1784" s="1" t="s">
        <v>132</v>
      </c>
      <c r="R1784" s="1" t="s">
        <v>132</v>
      </c>
      <c r="S1784" s="1" t="s">
        <v>132</v>
      </c>
      <c r="T1784" s="1" t="s">
        <v>132</v>
      </c>
      <c r="U1784" s="1" t="s">
        <v>132</v>
      </c>
      <c r="V1784" s="1" t="s">
        <v>132</v>
      </c>
      <c r="W1784" s="1" t="s">
        <v>132</v>
      </c>
      <c r="X1784" s="1" t="s">
        <v>132</v>
      </c>
      <c r="Y1784" s="1" t="s">
        <v>132</v>
      </c>
      <c r="Z1784" s="1" t="s">
        <v>132</v>
      </c>
      <c r="AA1784" s="1" t="s">
        <v>132</v>
      </c>
      <c r="AB1784" s="1" t="s">
        <v>132</v>
      </c>
      <c r="AC1784" s="1" t="s">
        <v>34758</v>
      </c>
      <c r="AD1784" s="1" t="s">
        <v>132</v>
      </c>
      <c r="AE1784" s="1" t="s">
        <v>132</v>
      </c>
      <c r="AF1784" s="1" t="s">
        <v>34759</v>
      </c>
      <c r="AG1784" s="1" t="s">
        <v>132</v>
      </c>
      <c r="AH1784" s="1" t="s">
        <v>132</v>
      </c>
      <c r="AI1784" s="1" t="s">
        <v>132</v>
      </c>
      <c r="AJ1784" s="1" t="s">
        <v>132</v>
      </c>
      <c r="AK1784" s="1" t="s">
        <v>132</v>
      </c>
      <c r="AL1784" s="1" t="s">
        <v>132</v>
      </c>
      <c r="AM1784" s="1" t="s">
        <v>132</v>
      </c>
      <c r="AN1784" s="1" t="s">
        <v>132</v>
      </c>
    </row>
    <row r="1785" ht="15.75" customHeight="1">
      <c r="A1785" s="1" t="s">
        <v>127</v>
      </c>
      <c r="B1785" s="1" t="s">
        <v>34760</v>
      </c>
      <c r="C1785" s="1" t="s">
        <v>34761</v>
      </c>
      <c r="D1785" s="8" t="s">
        <v>34762</v>
      </c>
      <c r="E1785" s="1" t="s">
        <v>34763</v>
      </c>
      <c r="F1785" s="1" t="s">
        <v>132</v>
      </c>
      <c r="G1785" s="1" t="s">
        <v>34764</v>
      </c>
      <c r="H1785" s="1" t="s">
        <v>34765</v>
      </c>
      <c r="I1785" s="1" t="s">
        <v>34766</v>
      </c>
      <c r="J1785" s="1" t="s">
        <v>34767</v>
      </c>
      <c r="K1785" s="1" t="s">
        <v>34768</v>
      </c>
      <c r="L1785" s="1" t="s">
        <v>34769</v>
      </c>
      <c r="M1785" s="1" t="s">
        <v>34770</v>
      </c>
      <c r="N1785" s="1" t="s">
        <v>132</v>
      </c>
      <c r="O1785" s="1" t="s">
        <v>34771</v>
      </c>
      <c r="P1785" s="1" t="s">
        <v>34772</v>
      </c>
      <c r="Q1785" s="1" t="s">
        <v>132</v>
      </c>
      <c r="R1785" s="1" t="s">
        <v>34773</v>
      </c>
      <c r="S1785" s="1" t="s">
        <v>34774</v>
      </c>
      <c r="T1785" s="8" t="s">
        <v>34775</v>
      </c>
      <c r="U1785" s="1" t="s">
        <v>34776</v>
      </c>
      <c r="V1785" s="1" t="s">
        <v>34777</v>
      </c>
      <c r="W1785" s="1" t="s">
        <v>34773</v>
      </c>
      <c r="X1785" s="1" t="s">
        <v>34778</v>
      </c>
      <c r="Y1785" s="1" t="s">
        <v>34779</v>
      </c>
      <c r="Z1785" s="1" t="s">
        <v>34780</v>
      </c>
      <c r="AA1785" s="1" t="s">
        <v>34781</v>
      </c>
      <c r="AB1785" s="1" t="s">
        <v>34782</v>
      </c>
      <c r="AC1785" s="1" t="s">
        <v>34783</v>
      </c>
      <c r="AD1785" s="1" t="s">
        <v>34784</v>
      </c>
      <c r="AE1785" s="1" t="s">
        <v>34785</v>
      </c>
      <c r="AF1785" s="1" t="s">
        <v>34786</v>
      </c>
      <c r="AG1785" s="1" t="s">
        <v>34787</v>
      </c>
      <c r="AH1785" s="1" t="s">
        <v>34788</v>
      </c>
      <c r="AI1785" s="1" t="s">
        <v>34789</v>
      </c>
      <c r="AJ1785" s="1" t="s">
        <v>132</v>
      </c>
      <c r="AK1785" s="1" t="s">
        <v>34790</v>
      </c>
      <c r="AL1785" s="1" t="s">
        <v>34791</v>
      </c>
      <c r="AM1785" s="1" t="s">
        <v>132</v>
      </c>
      <c r="AN1785" s="1" t="s">
        <v>132</v>
      </c>
    </row>
    <row r="1786" ht="15.75" customHeight="1">
      <c r="A1786" s="1" t="s">
        <v>127</v>
      </c>
      <c r="B1786" s="1" t="s">
        <v>34792</v>
      </c>
      <c r="C1786" s="1" t="s">
        <v>34793</v>
      </c>
      <c r="D1786" s="8" t="s">
        <v>34794</v>
      </c>
      <c r="E1786" s="1" t="s">
        <v>34795</v>
      </c>
      <c r="F1786" s="1" t="s">
        <v>132</v>
      </c>
      <c r="G1786" s="1" t="s">
        <v>34793</v>
      </c>
      <c r="H1786" s="1" t="s">
        <v>34796</v>
      </c>
      <c r="I1786" s="1" t="s">
        <v>34793</v>
      </c>
      <c r="J1786" s="1" t="s">
        <v>34797</v>
      </c>
      <c r="K1786" s="1" t="s">
        <v>34798</v>
      </c>
      <c r="L1786" s="1" t="s">
        <v>34799</v>
      </c>
      <c r="M1786" s="1" t="s">
        <v>34793</v>
      </c>
      <c r="N1786" s="1" t="s">
        <v>132</v>
      </c>
      <c r="O1786" s="1" t="s">
        <v>34800</v>
      </c>
      <c r="P1786" s="1" t="s">
        <v>34793</v>
      </c>
      <c r="Q1786" s="1" t="s">
        <v>132</v>
      </c>
      <c r="R1786" s="1" t="s">
        <v>34801</v>
      </c>
      <c r="S1786" s="1" t="s">
        <v>34802</v>
      </c>
      <c r="T1786" s="8" t="s">
        <v>34803</v>
      </c>
      <c r="U1786" s="1" t="s">
        <v>34804</v>
      </c>
      <c r="V1786" s="1" t="s">
        <v>34805</v>
      </c>
      <c r="W1786" s="1" t="s">
        <v>34801</v>
      </c>
      <c r="X1786" s="1" t="s">
        <v>34806</v>
      </c>
      <c r="Y1786" s="1" t="s">
        <v>34807</v>
      </c>
      <c r="Z1786" s="1" t="s">
        <v>34793</v>
      </c>
      <c r="AA1786" s="1" t="s">
        <v>34808</v>
      </c>
      <c r="AB1786" s="1" t="s">
        <v>34809</v>
      </c>
      <c r="AC1786" s="1" t="s">
        <v>34793</v>
      </c>
      <c r="AD1786" s="1" t="s">
        <v>34810</v>
      </c>
      <c r="AE1786" s="1" t="s">
        <v>34793</v>
      </c>
      <c r="AF1786" s="1" t="s">
        <v>34793</v>
      </c>
      <c r="AG1786" s="1" t="s">
        <v>34811</v>
      </c>
      <c r="AH1786" s="1" t="s">
        <v>34812</v>
      </c>
      <c r="AI1786" s="1" t="s">
        <v>34813</v>
      </c>
      <c r="AJ1786" s="1" t="s">
        <v>132</v>
      </c>
      <c r="AK1786" s="1" t="s">
        <v>34814</v>
      </c>
      <c r="AL1786" s="1" t="s">
        <v>34815</v>
      </c>
      <c r="AM1786" s="1" t="s">
        <v>132</v>
      </c>
      <c r="AN1786" s="1" t="s">
        <v>132</v>
      </c>
    </row>
    <row r="1787" ht="15.75" customHeight="1">
      <c r="A1787" s="1" t="s">
        <v>127</v>
      </c>
      <c r="B1787" s="1" t="s">
        <v>34816</v>
      </c>
      <c r="C1787" s="1" t="s">
        <v>34817</v>
      </c>
      <c r="D1787" s="1" t="s">
        <v>132</v>
      </c>
      <c r="E1787" s="1" t="s">
        <v>132</v>
      </c>
      <c r="F1787" s="1" t="s">
        <v>132</v>
      </c>
      <c r="G1787" s="1" t="s">
        <v>132</v>
      </c>
      <c r="H1787" s="1" t="s">
        <v>34819</v>
      </c>
      <c r="I1787" s="1" t="s">
        <v>34820</v>
      </c>
      <c r="J1787" s="1" t="s">
        <v>132</v>
      </c>
      <c r="K1787" s="1" t="s">
        <v>132</v>
      </c>
      <c r="L1787" s="1" t="s">
        <v>34821</v>
      </c>
      <c r="M1787" s="1" t="s">
        <v>34822</v>
      </c>
      <c r="N1787" s="1" t="s">
        <v>132</v>
      </c>
      <c r="O1787" s="1" t="s">
        <v>132</v>
      </c>
      <c r="P1787" s="1" t="s">
        <v>34823</v>
      </c>
      <c r="Q1787" s="1" t="s">
        <v>132</v>
      </c>
      <c r="R1787" s="1" t="s">
        <v>34824</v>
      </c>
      <c r="S1787" s="1" t="s">
        <v>34825</v>
      </c>
      <c r="T1787" s="1" t="s">
        <v>132</v>
      </c>
      <c r="U1787" s="1" t="s">
        <v>34826</v>
      </c>
      <c r="V1787" s="1" t="s">
        <v>132</v>
      </c>
      <c r="W1787" s="1" t="s">
        <v>34827</v>
      </c>
      <c r="X1787" s="1" t="s">
        <v>34828</v>
      </c>
      <c r="Y1787" s="1" t="s">
        <v>34829</v>
      </c>
      <c r="Z1787" s="11" t="s">
        <v>34830</v>
      </c>
      <c r="AA1787" s="1" t="s">
        <v>34831</v>
      </c>
      <c r="AB1787" s="1" t="s">
        <v>132</v>
      </c>
      <c r="AC1787" s="1" t="s">
        <v>132</v>
      </c>
      <c r="AD1787" s="1" t="s">
        <v>132</v>
      </c>
      <c r="AE1787" s="1" t="s">
        <v>132</v>
      </c>
      <c r="AF1787" s="1" t="s">
        <v>132</v>
      </c>
      <c r="AG1787" s="11" t="s">
        <v>34832</v>
      </c>
      <c r="AH1787" s="1" t="s">
        <v>132</v>
      </c>
      <c r="AI1787" s="1" t="s">
        <v>34833</v>
      </c>
      <c r="AJ1787" s="1" t="s">
        <v>132</v>
      </c>
      <c r="AK1787" s="1" t="s">
        <v>132</v>
      </c>
      <c r="AL1787" s="14" t="s">
        <v>34834</v>
      </c>
      <c r="AM1787" s="1" t="s">
        <v>132</v>
      </c>
      <c r="AN1787" s="1" t="s">
        <v>132</v>
      </c>
    </row>
    <row r="1788" ht="15.75" customHeight="1">
      <c r="A1788" s="1" t="s">
        <v>127</v>
      </c>
      <c r="B1788" s="1" t="s">
        <v>34835</v>
      </c>
      <c r="C1788" s="1" t="s">
        <v>34836</v>
      </c>
      <c r="D1788" s="8" t="s">
        <v>34837</v>
      </c>
      <c r="E1788" s="1" t="s">
        <v>34838</v>
      </c>
      <c r="F1788" s="1" t="s">
        <v>132</v>
      </c>
      <c r="G1788" s="1" t="s">
        <v>34839</v>
      </c>
      <c r="H1788" s="1" t="s">
        <v>34840</v>
      </c>
      <c r="I1788" s="1" t="s">
        <v>34841</v>
      </c>
      <c r="J1788" s="1" t="s">
        <v>34842</v>
      </c>
      <c r="K1788" s="1" t="s">
        <v>34843</v>
      </c>
      <c r="L1788" s="1" t="s">
        <v>34844</v>
      </c>
      <c r="M1788" s="1" t="s">
        <v>34845</v>
      </c>
      <c r="N1788" s="1" t="s">
        <v>132</v>
      </c>
      <c r="O1788" s="1" t="s">
        <v>34846</v>
      </c>
      <c r="P1788" s="1" t="s">
        <v>34847</v>
      </c>
      <c r="Q1788" s="1" t="s">
        <v>132</v>
      </c>
      <c r="R1788" s="1" t="s">
        <v>34848</v>
      </c>
      <c r="S1788" s="1" t="s">
        <v>34849</v>
      </c>
      <c r="T1788" s="8" t="s">
        <v>34850</v>
      </c>
      <c r="U1788" s="1" t="s">
        <v>23480</v>
      </c>
      <c r="V1788" s="1" t="s">
        <v>34851</v>
      </c>
      <c r="W1788" s="1" t="s">
        <v>34852</v>
      </c>
      <c r="X1788" s="1" t="s">
        <v>34853</v>
      </c>
      <c r="Y1788" s="1" t="s">
        <v>34854</v>
      </c>
      <c r="Z1788" s="1" t="s">
        <v>34855</v>
      </c>
      <c r="AA1788" s="1" t="s">
        <v>34856</v>
      </c>
      <c r="AB1788" s="1" t="s">
        <v>34857</v>
      </c>
      <c r="AC1788" s="1" t="s">
        <v>34858</v>
      </c>
      <c r="AD1788" s="1" t="s">
        <v>34859</v>
      </c>
      <c r="AE1788" s="1" t="s">
        <v>34860</v>
      </c>
      <c r="AF1788" s="1" t="s">
        <v>34836</v>
      </c>
      <c r="AG1788" s="1" t="s">
        <v>34861</v>
      </c>
      <c r="AH1788" s="1" t="s">
        <v>34862</v>
      </c>
      <c r="AI1788" s="1" t="s">
        <v>34863</v>
      </c>
      <c r="AJ1788" s="1" t="s">
        <v>132</v>
      </c>
      <c r="AK1788" s="1" t="s">
        <v>34864</v>
      </c>
      <c r="AL1788" s="1" t="s">
        <v>23494</v>
      </c>
      <c r="AM1788" s="1" t="s">
        <v>23495</v>
      </c>
      <c r="AN1788" s="1" t="s">
        <v>23495</v>
      </c>
    </row>
    <row r="1789" ht="15.75" customHeight="1">
      <c r="A1789" s="1" t="s">
        <v>127</v>
      </c>
      <c r="B1789" s="1" t="s">
        <v>34865</v>
      </c>
      <c r="C1789" s="1" t="s">
        <v>34866</v>
      </c>
      <c r="D1789" s="8" t="s">
        <v>34867</v>
      </c>
      <c r="E1789" s="1" t="s">
        <v>34868</v>
      </c>
      <c r="F1789" s="1" t="s">
        <v>132</v>
      </c>
      <c r="G1789" s="1" t="s">
        <v>34869</v>
      </c>
      <c r="H1789" s="1" t="s">
        <v>34870</v>
      </c>
      <c r="I1789" s="1" t="s">
        <v>34871</v>
      </c>
      <c r="J1789" s="1" t="s">
        <v>34872</v>
      </c>
      <c r="K1789" s="1" t="s">
        <v>34873</v>
      </c>
      <c r="L1789" s="1" t="s">
        <v>34874</v>
      </c>
      <c r="M1789" s="1" t="s">
        <v>34875</v>
      </c>
      <c r="N1789" s="1" t="s">
        <v>132</v>
      </c>
      <c r="O1789" s="1" t="s">
        <v>19687</v>
      </c>
      <c r="P1789" s="1" t="s">
        <v>34876</v>
      </c>
      <c r="Q1789" s="1" t="s">
        <v>132</v>
      </c>
      <c r="R1789" s="1" t="s">
        <v>19689</v>
      </c>
      <c r="S1789" s="1" t="s">
        <v>34877</v>
      </c>
      <c r="T1789" s="8" t="s">
        <v>34878</v>
      </c>
      <c r="U1789" s="1" t="s">
        <v>34879</v>
      </c>
      <c r="V1789" s="1" t="s">
        <v>19693</v>
      </c>
      <c r="W1789" s="1" t="s">
        <v>19694</v>
      </c>
      <c r="X1789" s="1" t="s">
        <v>34880</v>
      </c>
      <c r="Y1789" s="1" t="s">
        <v>34881</v>
      </c>
      <c r="Z1789" s="1" t="s">
        <v>34882</v>
      </c>
      <c r="AA1789" s="1" t="s">
        <v>34883</v>
      </c>
      <c r="AB1789" s="1" t="s">
        <v>34884</v>
      </c>
      <c r="AC1789" s="1" t="s">
        <v>34885</v>
      </c>
      <c r="AD1789" s="1" t="s">
        <v>34886</v>
      </c>
      <c r="AE1789" s="1" t="s">
        <v>34887</v>
      </c>
      <c r="AF1789" s="1" t="s">
        <v>34888</v>
      </c>
      <c r="AG1789" s="1" t="s">
        <v>34889</v>
      </c>
      <c r="AH1789" s="1" t="s">
        <v>19705</v>
      </c>
      <c r="AI1789" s="1" t="s">
        <v>34890</v>
      </c>
      <c r="AJ1789" s="1" t="s">
        <v>132</v>
      </c>
      <c r="AK1789" s="1" t="s">
        <v>34891</v>
      </c>
      <c r="AL1789" s="1" t="s">
        <v>19708</v>
      </c>
      <c r="AM1789" s="1" t="s">
        <v>19709</v>
      </c>
      <c r="AN1789" s="1" t="s">
        <v>19709</v>
      </c>
    </row>
    <row r="1790" ht="15.75" customHeight="1">
      <c r="A1790" s="1" t="s">
        <v>127</v>
      </c>
      <c r="B1790" s="1" t="s">
        <v>34892</v>
      </c>
      <c r="C1790" s="1" t="s">
        <v>29789</v>
      </c>
      <c r="D1790" s="8" t="s">
        <v>29790</v>
      </c>
      <c r="E1790" s="1" t="s">
        <v>29791</v>
      </c>
      <c r="F1790" s="1" t="s">
        <v>132</v>
      </c>
      <c r="G1790" s="1" t="s">
        <v>29792</v>
      </c>
      <c r="H1790" s="1" t="s">
        <v>29793</v>
      </c>
      <c r="I1790" s="1" t="s">
        <v>29789</v>
      </c>
      <c r="J1790" s="1" t="s">
        <v>34893</v>
      </c>
      <c r="K1790" s="1" t="s">
        <v>29789</v>
      </c>
      <c r="L1790" s="1" t="s">
        <v>29796</v>
      </c>
      <c r="M1790" s="1" t="s">
        <v>29789</v>
      </c>
      <c r="N1790" s="1" t="s">
        <v>132</v>
      </c>
      <c r="O1790" s="1" t="s">
        <v>29797</v>
      </c>
      <c r="P1790" s="1" t="s">
        <v>29798</v>
      </c>
      <c r="Q1790" s="1" t="s">
        <v>132</v>
      </c>
      <c r="R1790" s="1" t="s">
        <v>29799</v>
      </c>
      <c r="S1790" s="1" t="s">
        <v>34894</v>
      </c>
      <c r="T1790" s="8" t="s">
        <v>34895</v>
      </c>
      <c r="U1790" s="1" t="s">
        <v>29802</v>
      </c>
      <c r="V1790" s="1" t="s">
        <v>29803</v>
      </c>
      <c r="W1790" s="1" t="s">
        <v>29799</v>
      </c>
      <c r="X1790" s="1" t="s">
        <v>29804</v>
      </c>
      <c r="Y1790" s="1" t="s">
        <v>29805</v>
      </c>
      <c r="Z1790" s="1" t="s">
        <v>29806</v>
      </c>
      <c r="AA1790" s="1" t="s">
        <v>29807</v>
      </c>
      <c r="AB1790" s="1" t="s">
        <v>29808</v>
      </c>
      <c r="AC1790" s="1" t="s">
        <v>29809</v>
      </c>
      <c r="AD1790" s="1" t="s">
        <v>29810</v>
      </c>
      <c r="AE1790" s="1" t="s">
        <v>29811</v>
      </c>
      <c r="AF1790" s="1" t="s">
        <v>29812</v>
      </c>
      <c r="AG1790" s="1" t="s">
        <v>29813</v>
      </c>
      <c r="AH1790" s="1" t="s">
        <v>29814</v>
      </c>
      <c r="AI1790" s="1" t="s">
        <v>34896</v>
      </c>
      <c r="AJ1790" s="1" t="s">
        <v>132</v>
      </c>
      <c r="AK1790" s="1" t="s">
        <v>29816</v>
      </c>
      <c r="AL1790" s="1" t="s">
        <v>29817</v>
      </c>
      <c r="AM1790" s="1" t="s">
        <v>29818</v>
      </c>
      <c r="AN1790" s="1" t="s">
        <v>29818</v>
      </c>
    </row>
    <row r="1791" ht="15.75" customHeight="1">
      <c r="A1791" s="1" t="s">
        <v>127</v>
      </c>
      <c r="B1791" s="1" t="s">
        <v>34897</v>
      </c>
      <c r="C1791" s="1" t="s">
        <v>34898</v>
      </c>
      <c r="D1791" s="8" t="s">
        <v>34899</v>
      </c>
      <c r="E1791" s="1" t="s">
        <v>34900</v>
      </c>
      <c r="F1791" s="1" t="s">
        <v>132</v>
      </c>
      <c r="G1791" s="1" t="s">
        <v>34901</v>
      </c>
      <c r="H1791" s="1" t="s">
        <v>34902</v>
      </c>
      <c r="I1791" s="1" t="s">
        <v>34903</v>
      </c>
      <c r="J1791" s="1" t="s">
        <v>34904</v>
      </c>
      <c r="K1791" s="1" t="s">
        <v>34905</v>
      </c>
      <c r="L1791" s="1" t="s">
        <v>34906</v>
      </c>
      <c r="M1791" s="1" t="s">
        <v>34907</v>
      </c>
      <c r="N1791" s="1" t="s">
        <v>132</v>
      </c>
      <c r="O1791" s="1" t="s">
        <v>34908</v>
      </c>
      <c r="P1791" s="1" t="s">
        <v>34909</v>
      </c>
      <c r="Q1791" s="1" t="s">
        <v>132</v>
      </c>
      <c r="R1791" s="1" t="s">
        <v>34910</v>
      </c>
      <c r="S1791" s="1" t="s">
        <v>34911</v>
      </c>
      <c r="T1791" s="8" t="s">
        <v>34912</v>
      </c>
      <c r="U1791" s="1" t="s">
        <v>34913</v>
      </c>
      <c r="V1791" s="1" t="s">
        <v>34914</v>
      </c>
      <c r="W1791" s="1" t="s">
        <v>34915</v>
      </c>
      <c r="X1791" s="1" t="s">
        <v>34916</v>
      </c>
      <c r="Y1791" s="1" t="s">
        <v>34917</v>
      </c>
      <c r="Z1791" s="1" t="s">
        <v>34918</v>
      </c>
      <c r="AA1791" s="1" t="s">
        <v>34919</v>
      </c>
      <c r="AB1791" s="1" t="s">
        <v>34920</v>
      </c>
      <c r="AC1791" s="1" t="s">
        <v>34921</v>
      </c>
      <c r="AD1791" s="1" t="s">
        <v>34922</v>
      </c>
      <c r="AE1791" s="1" t="s">
        <v>34923</v>
      </c>
      <c r="AF1791" s="1" t="s">
        <v>34924</v>
      </c>
      <c r="AG1791" s="1" t="s">
        <v>34925</v>
      </c>
      <c r="AH1791" s="1" t="s">
        <v>34926</v>
      </c>
      <c r="AI1791" s="1" t="s">
        <v>34927</v>
      </c>
      <c r="AJ1791" s="1" t="s">
        <v>132</v>
      </c>
      <c r="AK1791" s="1" t="s">
        <v>34928</v>
      </c>
      <c r="AL1791" s="1" t="s">
        <v>34929</v>
      </c>
      <c r="AM1791" s="1" t="s">
        <v>132</v>
      </c>
      <c r="AN1791" s="1" t="s">
        <v>132</v>
      </c>
    </row>
    <row r="1792" ht="15.75" customHeight="1">
      <c r="A1792" s="1" t="s">
        <v>127</v>
      </c>
      <c r="B1792" s="1" t="s">
        <v>34930</v>
      </c>
      <c r="C1792" s="1" t="s">
        <v>34931</v>
      </c>
      <c r="D1792" s="8" t="s">
        <v>34932</v>
      </c>
      <c r="E1792" s="1" t="s">
        <v>34933</v>
      </c>
      <c r="F1792" s="1" t="s">
        <v>132</v>
      </c>
      <c r="G1792" s="1" t="s">
        <v>34934</v>
      </c>
      <c r="H1792" s="1" t="s">
        <v>34935</v>
      </c>
      <c r="I1792" s="1" t="s">
        <v>34936</v>
      </c>
      <c r="J1792" s="1" t="s">
        <v>34937</v>
      </c>
      <c r="K1792" s="1" t="s">
        <v>34938</v>
      </c>
      <c r="L1792" s="1" t="s">
        <v>34939</v>
      </c>
      <c r="M1792" s="1" t="s">
        <v>34940</v>
      </c>
      <c r="N1792" s="1" t="s">
        <v>132</v>
      </c>
      <c r="O1792" s="1" t="s">
        <v>34941</v>
      </c>
      <c r="P1792" s="1" t="s">
        <v>34931</v>
      </c>
      <c r="Q1792" s="1" t="s">
        <v>132</v>
      </c>
      <c r="R1792" s="1" t="s">
        <v>34942</v>
      </c>
      <c r="S1792" s="1" t="s">
        <v>34943</v>
      </c>
      <c r="T1792" s="8" t="s">
        <v>34944</v>
      </c>
      <c r="U1792" s="1" t="s">
        <v>34945</v>
      </c>
      <c r="V1792" s="1" t="s">
        <v>34946</v>
      </c>
      <c r="W1792" s="1" t="s">
        <v>34942</v>
      </c>
      <c r="X1792" s="1" t="s">
        <v>34947</v>
      </c>
      <c r="Y1792" s="1" t="s">
        <v>34935</v>
      </c>
      <c r="Z1792" s="1" t="s">
        <v>34948</v>
      </c>
      <c r="AA1792" s="1" t="s">
        <v>34949</v>
      </c>
      <c r="AB1792" s="1" t="s">
        <v>34950</v>
      </c>
      <c r="AC1792" s="1" t="s">
        <v>34951</v>
      </c>
      <c r="AD1792" s="1" t="s">
        <v>34952</v>
      </c>
      <c r="AE1792" s="1" t="s">
        <v>34953</v>
      </c>
      <c r="AF1792" s="1" t="s">
        <v>34954</v>
      </c>
      <c r="AG1792" s="1" t="s">
        <v>34955</v>
      </c>
      <c r="AH1792" s="1" t="s">
        <v>34956</v>
      </c>
      <c r="AI1792" s="1" t="s">
        <v>34957</v>
      </c>
      <c r="AJ1792" s="1" t="s">
        <v>132</v>
      </c>
      <c r="AK1792" s="1" t="s">
        <v>34958</v>
      </c>
      <c r="AL1792" s="1" t="s">
        <v>34959</v>
      </c>
      <c r="AM1792" s="1" t="s">
        <v>132</v>
      </c>
      <c r="AN1792" s="1" t="s">
        <v>132</v>
      </c>
    </row>
    <row r="1793" ht="15.75" customHeight="1">
      <c r="A1793" s="1" t="s">
        <v>38</v>
      </c>
      <c r="B1793" s="1" t="s">
        <v>34960</v>
      </c>
      <c r="C1793" s="1" t="s">
        <v>9520</v>
      </c>
      <c r="D1793" s="1" t="s">
        <v>132</v>
      </c>
      <c r="E1793" s="1" t="s">
        <v>132</v>
      </c>
      <c r="F1793" s="1" t="s">
        <v>132</v>
      </c>
      <c r="G1793" s="1" t="s">
        <v>132</v>
      </c>
      <c r="H1793" s="1" t="s">
        <v>132</v>
      </c>
      <c r="I1793" s="1" t="s">
        <v>34961</v>
      </c>
      <c r="J1793" s="1" t="s">
        <v>132</v>
      </c>
      <c r="K1793" s="1" t="s">
        <v>9525</v>
      </c>
      <c r="L1793" s="1" t="s">
        <v>132</v>
      </c>
      <c r="M1793" s="1" t="s">
        <v>34962</v>
      </c>
      <c r="N1793" s="1" t="s">
        <v>132</v>
      </c>
      <c r="O1793" s="1" t="s">
        <v>132</v>
      </c>
      <c r="P1793" s="1" t="s">
        <v>25263</v>
      </c>
      <c r="Q1793" s="1" t="s">
        <v>132</v>
      </c>
      <c r="R1793" s="1" t="s">
        <v>132</v>
      </c>
      <c r="S1793" s="1" t="s">
        <v>132</v>
      </c>
      <c r="T1793" s="1" t="s">
        <v>132</v>
      </c>
      <c r="U1793" s="1" t="s">
        <v>132</v>
      </c>
      <c r="V1793" s="1" t="s">
        <v>132</v>
      </c>
      <c r="W1793" s="1" t="s">
        <v>132</v>
      </c>
      <c r="X1793" s="1" t="s">
        <v>132</v>
      </c>
      <c r="Y1793" s="1" t="s">
        <v>132</v>
      </c>
      <c r="Z1793" s="1" t="s">
        <v>132</v>
      </c>
      <c r="AA1793" s="1" t="s">
        <v>132</v>
      </c>
      <c r="AB1793" s="1" t="s">
        <v>132</v>
      </c>
      <c r="AC1793" s="1" t="s">
        <v>9533</v>
      </c>
      <c r="AD1793" s="1" t="s">
        <v>132</v>
      </c>
      <c r="AE1793" s="1" t="s">
        <v>132</v>
      </c>
      <c r="AF1793" s="1" t="s">
        <v>34963</v>
      </c>
      <c r="AG1793" s="1" t="s">
        <v>132</v>
      </c>
      <c r="AH1793" s="1" t="s">
        <v>132</v>
      </c>
      <c r="AI1793" s="1" t="s">
        <v>132</v>
      </c>
      <c r="AJ1793" s="1" t="s">
        <v>132</v>
      </c>
      <c r="AK1793" s="1" t="s">
        <v>132</v>
      </c>
      <c r="AL1793" s="1" t="s">
        <v>132</v>
      </c>
      <c r="AM1793" s="1" t="s">
        <v>132</v>
      </c>
      <c r="AN1793" s="1" t="s">
        <v>132</v>
      </c>
    </row>
    <row r="1794" ht="15.75" customHeight="1">
      <c r="A1794" s="1" t="s">
        <v>38</v>
      </c>
      <c r="B1794" s="1" t="s">
        <v>34964</v>
      </c>
      <c r="C1794" s="1" t="s">
        <v>34965</v>
      </c>
      <c r="D1794" s="8" t="s">
        <v>34966</v>
      </c>
      <c r="E1794" s="1" t="s">
        <v>34967</v>
      </c>
      <c r="F1794" s="1" t="s">
        <v>34968</v>
      </c>
      <c r="G1794" s="1" t="s">
        <v>132</v>
      </c>
      <c r="H1794" s="1" t="s">
        <v>132</v>
      </c>
      <c r="I1794" s="1" t="s">
        <v>34969</v>
      </c>
      <c r="J1794" s="1" t="s">
        <v>132</v>
      </c>
      <c r="K1794" s="1" t="s">
        <v>34970</v>
      </c>
      <c r="L1794" s="1" t="s">
        <v>132</v>
      </c>
      <c r="M1794" s="1" t="s">
        <v>34971</v>
      </c>
      <c r="N1794" s="1" t="s">
        <v>34968</v>
      </c>
      <c r="O1794" s="1" t="s">
        <v>132</v>
      </c>
      <c r="P1794" s="1" t="s">
        <v>34972</v>
      </c>
      <c r="Q1794" s="1" t="s">
        <v>34973</v>
      </c>
      <c r="R1794" s="1" t="s">
        <v>132</v>
      </c>
      <c r="S1794" s="1" t="s">
        <v>34974</v>
      </c>
      <c r="T1794" s="1" t="s">
        <v>132</v>
      </c>
      <c r="U1794" s="1" t="s">
        <v>34975</v>
      </c>
      <c r="V1794" s="1" t="s">
        <v>34976</v>
      </c>
      <c r="W1794" s="1" t="s">
        <v>132</v>
      </c>
      <c r="X1794" s="1" t="s">
        <v>34977</v>
      </c>
      <c r="Y1794" s="1" t="s">
        <v>132</v>
      </c>
      <c r="Z1794" s="1" t="s">
        <v>34978</v>
      </c>
      <c r="AA1794" s="1" t="s">
        <v>34968</v>
      </c>
      <c r="AB1794" s="1" t="s">
        <v>132</v>
      </c>
      <c r="AC1794" s="1" t="s">
        <v>34979</v>
      </c>
      <c r="AD1794" s="1" t="s">
        <v>34980</v>
      </c>
      <c r="AE1794" s="1" t="s">
        <v>132</v>
      </c>
      <c r="AF1794" s="1" t="s">
        <v>34981</v>
      </c>
      <c r="AG1794" s="1" t="s">
        <v>34982</v>
      </c>
      <c r="AH1794" s="1" t="s">
        <v>132</v>
      </c>
      <c r="AI1794" s="1" t="s">
        <v>132</v>
      </c>
      <c r="AJ1794" s="1" t="s">
        <v>34983</v>
      </c>
      <c r="AK1794" s="1" t="s">
        <v>34984</v>
      </c>
      <c r="AL1794" s="1" t="s">
        <v>132</v>
      </c>
      <c r="AM1794" s="1" t="s">
        <v>34985</v>
      </c>
      <c r="AN1794" s="1" t="s">
        <v>34985</v>
      </c>
    </row>
    <row r="1795" ht="15.75" customHeight="1">
      <c r="A1795" s="1" t="s">
        <v>38</v>
      </c>
      <c r="B1795" s="1" t="s">
        <v>34986</v>
      </c>
      <c r="C1795" s="1" t="s">
        <v>34987</v>
      </c>
      <c r="D1795" s="1" t="s">
        <v>132</v>
      </c>
      <c r="E1795" s="1" t="s">
        <v>34988</v>
      </c>
      <c r="F1795" s="1" t="s">
        <v>34989</v>
      </c>
      <c r="G1795" s="1" t="s">
        <v>132</v>
      </c>
      <c r="H1795" s="1" t="s">
        <v>132</v>
      </c>
      <c r="I1795" s="1" t="s">
        <v>34990</v>
      </c>
      <c r="J1795" s="1" t="s">
        <v>132</v>
      </c>
      <c r="K1795" s="1" t="s">
        <v>34991</v>
      </c>
      <c r="L1795" s="1" t="s">
        <v>132</v>
      </c>
      <c r="M1795" s="1" t="s">
        <v>132</v>
      </c>
      <c r="N1795" s="1" t="s">
        <v>34992</v>
      </c>
      <c r="O1795" s="1" t="s">
        <v>132</v>
      </c>
      <c r="P1795" s="1" t="s">
        <v>132</v>
      </c>
      <c r="Q1795" s="1" t="s">
        <v>132</v>
      </c>
      <c r="R1795" s="1" t="s">
        <v>132</v>
      </c>
      <c r="S1795" s="1" t="s">
        <v>34993</v>
      </c>
      <c r="T1795" s="1" t="s">
        <v>132</v>
      </c>
      <c r="U1795" s="1" t="s">
        <v>132</v>
      </c>
      <c r="V1795" s="1" t="s">
        <v>132</v>
      </c>
      <c r="W1795" s="1" t="s">
        <v>132</v>
      </c>
      <c r="X1795" s="1" t="s">
        <v>34994</v>
      </c>
      <c r="Y1795" s="1" t="s">
        <v>132</v>
      </c>
      <c r="Z1795" s="1" t="s">
        <v>34995</v>
      </c>
      <c r="AA1795" s="1" t="s">
        <v>132</v>
      </c>
      <c r="AB1795" s="1" t="s">
        <v>132</v>
      </c>
      <c r="AC1795" s="1" t="s">
        <v>132</v>
      </c>
      <c r="AD1795" s="1" t="s">
        <v>132</v>
      </c>
      <c r="AE1795" s="1" t="s">
        <v>132</v>
      </c>
      <c r="AF1795" s="1" t="s">
        <v>132</v>
      </c>
      <c r="AG1795" s="1" t="s">
        <v>132</v>
      </c>
      <c r="AH1795" s="1" t="s">
        <v>132</v>
      </c>
      <c r="AI1795" s="1" t="s">
        <v>132</v>
      </c>
      <c r="AJ1795" s="1" t="s">
        <v>132</v>
      </c>
      <c r="AK1795" s="1" t="s">
        <v>132</v>
      </c>
      <c r="AL1795" s="1" t="s">
        <v>132</v>
      </c>
      <c r="AM1795" s="1" t="s">
        <v>132</v>
      </c>
      <c r="AN1795" s="1" t="s">
        <v>132</v>
      </c>
    </row>
    <row r="1796" ht="15.75" customHeight="1">
      <c r="A1796" s="1" t="s">
        <v>127</v>
      </c>
      <c r="B1796" s="1" t="s">
        <v>34996</v>
      </c>
      <c r="C1796" s="1" t="s">
        <v>852</v>
      </c>
      <c r="D1796" s="8" t="s">
        <v>853</v>
      </c>
      <c r="E1796" s="1" t="s">
        <v>854</v>
      </c>
      <c r="F1796" s="1" t="s">
        <v>132</v>
      </c>
      <c r="G1796" s="1" t="s">
        <v>855</v>
      </c>
      <c r="H1796" s="1" t="s">
        <v>856</v>
      </c>
      <c r="I1796" s="1" t="s">
        <v>857</v>
      </c>
      <c r="J1796" s="1" t="s">
        <v>858</v>
      </c>
      <c r="K1796" s="1" t="s">
        <v>859</v>
      </c>
      <c r="L1796" s="1" t="s">
        <v>860</v>
      </c>
      <c r="M1796" s="1" t="s">
        <v>11638</v>
      </c>
      <c r="N1796" s="1" t="s">
        <v>132</v>
      </c>
      <c r="O1796" s="1" t="s">
        <v>862</v>
      </c>
      <c r="P1796" s="1" t="s">
        <v>34997</v>
      </c>
      <c r="Q1796" s="1" t="s">
        <v>132</v>
      </c>
      <c r="R1796" s="1" t="s">
        <v>864</v>
      </c>
      <c r="S1796" s="1" t="s">
        <v>865</v>
      </c>
      <c r="T1796" s="8" t="s">
        <v>866</v>
      </c>
      <c r="U1796" s="1" t="s">
        <v>867</v>
      </c>
      <c r="V1796" s="1" t="s">
        <v>868</v>
      </c>
      <c r="W1796" s="1" t="s">
        <v>869</v>
      </c>
      <c r="X1796" s="1" t="s">
        <v>29645</v>
      </c>
      <c r="Y1796" s="1" t="s">
        <v>856</v>
      </c>
      <c r="Z1796" s="1" t="s">
        <v>871</v>
      </c>
      <c r="AA1796" s="1" t="s">
        <v>872</v>
      </c>
      <c r="AB1796" s="1" t="s">
        <v>865</v>
      </c>
      <c r="AC1796" s="1" t="s">
        <v>873</v>
      </c>
      <c r="AD1796" s="1" t="s">
        <v>874</v>
      </c>
      <c r="AE1796" s="1" t="s">
        <v>865</v>
      </c>
      <c r="AF1796" s="1" t="s">
        <v>29645</v>
      </c>
      <c r="AG1796" s="1" t="s">
        <v>875</v>
      </c>
      <c r="AH1796" s="1" t="s">
        <v>876</v>
      </c>
      <c r="AI1796" s="1" t="s">
        <v>11641</v>
      </c>
      <c r="AJ1796" s="1" t="s">
        <v>132</v>
      </c>
      <c r="AK1796" s="1" t="s">
        <v>878</v>
      </c>
      <c r="AL1796" s="1" t="s">
        <v>879</v>
      </c>
      <c r="AM1796" s="1" t="s">
        <v>132</v>
      </c>
      <c r="AN1796" s="1" t="s">
        <v>132</v>
      </c>
    </row>
    <row r="1797" ht="15.75" customHeight="1">
      <c r="A1797" s="1" t="s">
        <v>38</v>
      </c>
      <c r="B1797" s="1" t="s">
        <v>34998</v>
      </c>
      <c r="C1797" s="1" t="s">
        <v>34999</v>
      </c>
      <c r="D1797" s="8" t="s">
        <v>35000</v>
      </c>
      <c r="E1797" s="1" t="s">
        <v>35001</v>
      </c>
      <c r="F1797" s="1" t="s">
        <v>35002</v>
      </c>
      <c r="G1797" s="1" t="s">
        <v>132</v>
      </c>
      <c r="H1797" s="1" t="s">
        <v>132</v>
      </c>
      <c r="I1797" s="1" t="s">
        <v>35003</v>
      </c>
      <c r="J1797" s="1" t="s">
        <v>132</v>
      </c>
      <c r="K1797" s="1" t="s">
        <v>35004</v>
      </c>
      <c r="L1797" s="1" t="s">
        <v>132</v>
      </c>
      <c r="M1797" s="1" t="s">
        <v>35005</v>
      </c>
      <c r="N1797" s="1" t="s">
        <v>35006</v>
      </c>
      <c r="O1797" s="1" t="s">
        <v>132</v>
      </c>
      <c r="P1797" s="1" t="s">
        <v>35007</v>
      </c>
      <c r="Q1797" s="1" t="s">
        <v>35008</v>
      </c>
      <c r="R1797" s="1" t="s">
        <v>132</v>
      </c>
      <c r="S1797" s="1" t="s">
        <v>35009</v>
      </c>
      <c r="T1797" s="1" t="s">
        <v>132</v>
      </c>
      <c r="U1797" s="1" t="s">
        <v>35010</v>
      </c>
      <c r="V1797" s="1" t="s">
        <v>35011</v>
      </c>
      <c r="W1797" s="1" t="s">
        <v>132</v>
      </c>
      <c r="X1797" s="1" t="s">
        <v>35012</v>
      </c>
      <c r="Y1797" s="1" t="s">
        <v>132</v>
      </c>
      <c r="Z1797" s="1" t="s">
        <v>35013</v>
      </c>
      <c r="AA1797" s="1" t="s">
        <v>35014</v>
      </c>
      <c r="AB1797" s="1" t="s">
        <v>132</v>
      </c>
      <c r="AC1797" s="1" t="s">
        <v>35015</v>
      </c>
      <c r="AD1797" s="1" t="s">
        <v>35016</v>
      </c>
      <c r="AE1797" s="1" t="s">
        <v>132</v>
      </c>
      <c r="AF1797" s="1" t="s">
        <v>35017</v>
      </c>
      <c r="AG1797" s="1" t="s">
        <v>35018</v>
      </c>
      <c r="AH1797" s="1" t="s">
        <v>132</v>
      </c>
      <c r="AI1797" s="1" t="s">
        <v>132</v>
      </c>
      <c r="AJ1797" s="1" t="s">
        <v>35019</v>
      </c>
      <c r="AK1797" s="1" t="s">
        <v>35020</v>
      </c>
      <c r="AL1797" s="1" t="s">
        <v>132</v>
      </c>
      <c r="AM1797" s="1" t="s">
        <v>35021</v>
      </c>
      <c r="AN1797" s="1" t="s">
        <v>35021</v>
      </c>
    </row>
    <row r="1798" ht="15.75" customHeight="1">
      <c r="A1798" s="1" t="s">
        <v>127</v>
      </c>
      <c r="B1798" s="1" t="s">
        <v>35022</v>
      </c>
      <c r="C1798" s="1" t="s">
        <v>35023</v>
      </c>
      <c r="D1798" s="8" t="s">
        <v>35024</v>
      </c>
      <c r="E1798" s="1" t="s">
        <v>35025</v>
      </c>
      <c r="F1798" s="1" t="s">
        <v>132</v>
      </c>
      <c r="G1798" s="1" t="s">
        <v>13948</v>
      </c>
      <c r="H1798" s="1" t="s">
        <v>35026</v>
      </c>
      <c r="I1798" s="1" t="s">
        <v>35027</v>
      </c>
      <c r="J1798" s="1" t="s">
        <v>35028</v>
      </c>
      <c r="K1798" s="1" t="s">
        <v>35029</v>
      </c>
      <c r="L1798" s="1" t="s">
        <v>35030</v>
      </c>
      <c r="M1798" s="1" t="s">
        <v>35031</v>
      </c>
      <c r="N1798" s="1" t="s">
        <v>132</v>
      </c>
      <c r="O1798" s="1" t="s">
        <v>13955</v>
      </c>
      <c r="P1798" s="1" t="s">
        <v>35032</v>
      </c>
      <c r="Q1798" s="1" t="s">
        <v>132</v>
      </c>
      <c r="R1798" s="1" t="s">
        <v>35033</v>
      </c>
      <c r="S1798" s="1" t="s">
        <v>35034</v>
      </c>
      <c r="T1798" s="8" t="s">
        <v>35035</v>
      </c>
      <c r="U1798" s="1" t="s">
        <v>13960</v>
      </c>
      <c r="V1798" s="1" t="s">
        <v>13961</v>
      </c>
      <c r="W1798" s="1" t="s">
        <v>13962</v>
      </c>
      <c r="X1798" s="1" t="s">
        <v>35036</v>
      </c>
      <c r="Y1798" s="1" t="s">
        <v>35037</v>
      </c>
      <c r="Z1798" s="1" t="s">
        <v>35038</v>
      </c>
      <c r="AA1798" s="1" t="s">
        <v>35029</v>
      </c>
      <c r="AB1798" s="1" t="s">
        <v>35039</v>
      </c>
      <c r="AC1798" s="1" t="s">
        <v>35040</v>
      </c>
      <c r="AD1798" s="1" t="s">
        <v>35041</v>
      </c>
      <c r="AE1798" s="1" t="s">
        <v>35042</v>
      </c>
      <c r="AF1798" s="1" t="s">
        <v>35043</v>
      </c>
      <c r="AG1798" s="1" t="s">
        <v>35044</v>
      </c>
      <c r="AH1798" s="1" t="s">
        <v>13973</v>
      </c>
      <c r="AI1798" s="1" t="s">
        <v>13974</v>
      </c>
      <c r="AJ1798" s="1" t="s">
        <v>132</v>
      </c>
      <c r="AK1798" s="1" t="s">
        <v>13975</v>
      </c>
      <c r="AL1798" s="1" t="s">
        <v>13976</v>
      </c>
      <c r="AM1798" s="1" t="s">
        <v>13977</v>
      </c>
      <c r="AN1798" s="1" t="s">
        <v>13977</v>
      </c>
    </row>
    <row r="1799" ht="15.75" customHeight="1">
      <c r="A1799" s="1" t="s">
        <v>38</v>
      </c>
      <c r="B1799" s="1" t="s">
        <v>35045</v>
      </c>
      <c r="C1799" s="1" t="s">
        <v>35046</v>
      </c>
      <c r="D1799" s="8" t="s">
        <v>28594</v>
      </c>
      <c r="E1799" s="1" t="s">
        <v>28595</v>
      </c>
      <c r="F1799" s="1" t="s">
        <v>35047</v>
      </c>
      <c r="G1799" s="1" t="s">
        <v>132</v>
      </c>
      <c r="H1799" s="1" t="s">
        <v>132</v>
      </c>
      <c r="I1799" s="1" t="s">
        <v>28598</v>
      </c>
      <c r="J1799" s="1" t="s">
        <v>132</v>
      </c>
      <c r="K1799" s="1" t="s">
        <v>28600</v>
      </c>
      <c r="L1799" s="1" t="s">
        <v>132</v>
      </c>
      <c r="M1799" s="1" t="s">
        <v>35048</v>
      </c>
      <c r="N1799" s="1" t="s">
        <v>35049</v>
      </c>
      <c r="O1799" s="1" t="s">
        <v>132</v>
      </c>
      <c r="P1799" s="1" t="s">
        <v>28604</v>
      </c>
      <c r="Q1799" s="1" t="s">
        <v>35050</v>
      </c>
      <c r="R1799" s="1" t="s">
        <v>132</v>
      </c>
      <c r="S1799" s="1" t="s">
        <v>28606</v>
      </c>
      <c r="T1799" s="1" t="s">
        <v>132</v>
      </c>
      <c r="U1799" s="1" t="s">
        <v>35051</v>
      </c>
      <c r="V1799" s="1" t="s">
        <v>35052</v>
      </c>
      <c r="W1799" s="1" t="s">
        <v>132</v>
      </c>
      <c r="X1799" s="1" t="s">
        <v>35053</v>
      </c>
      <c r="Y1799" s="1" t="s">
        <v>132</v>
      </c>
      <c r="Z1799" s="1" t="s">
        <v>28613</v>
      </c>
      <c r="AA1799" s="1" t="s">
        <v>35054</v>
      </c>
      <c r="AB1799" s="1" t="s">
        <v>132</v>
      </c>
      <c r="AC1799" s="1" t="s">
        <v>28616</v>
      </c>
      <c r="AD1799" s="1" t="s">
        <v>28617</v>
      </c>
      <c r="AE1799" s="1" t="s">
        <v>132</v>
      </c>
      <c r="AF1799" s="1" t="s">
        <v>35055</v>
      </c>
      <c r="AG1799" s="1" t="s">
        <v>35056</v>
      </c>
      <c r="AH1799" s="1" t="s">
        <v>132</v>
      </c>
      <c r="AI1799" s="1" t="s">
        <v>132</v>
      </c>
      <c r="AJ1799" s="1" t="s">
        <v>35057</v>
      </c>
      <c r="AK1799" s="1" t="s">
        <v>28623</v>
      </c>
      <c r="AL1799" s="1" t="s">
        <v>132</v>
      </c>
      <c r="AM1799" s="1" t="s">
        <v>35058</v>
      </c>
      <c r="AN1799" s="1" t="s">
        <v>35058</v>
      </c>
    </row>
    <row r="1800" ht="15.75" customHeight="1">
      <c r="A1800" s="1" t="s">
        <v>127</v>
      </c>
      <c r="B1800" s="1" t="s">
        <v>35059</v>
      </c>
      <c r="C1800" s="1" t="s">
        <v>35060</v>
      </c>
      <c r="D1800" s="8" t="s">
        <v>35061</v>
      </c>
      <c r="E1800" s="1" t="s">
        <v>35062</v>
      </c>
      <c r="F1800" s="1" t="s">
        <v>132</v>
      </c>
      <c r="G1800" s="1" t="s">
        <v>35063</v>
      </c>
      <c r="H1800" s="1" t="s">
        <v>35064</v>
      </c>
      <c r="I1800" s="1" t="s">
        <v>35065</v>
      </c>
      <c r="J1800" s="1" t="s">
        <v>35060</v>
      </c>
      <c r="K1800" s="1" t="s">
        <v>35066</v>
      </c>
      <c r="L1800" s="1" t="s">
        <v>35067</v>
      </c>
      <c r="M1800" s="1" t="s">
        <v>35068</v>
      </c>
      <c r="N1800" s="1" t="s">
        <v>132</v>
      </c>
      <c r="O1800" s="1" t="s">
        <v>35069</v>
      </c>
      <c r="P1800" s="1" t="s">
        <v>35070</v>
      </c>
      <c r="Q1800" s="1" t="s">
        <v>132</v>
      </c>
      <c r="R1800" s="1" t="s">
        <v>35071</v>
      </c>
      <c r="S1800" s="1" t="s">
        <v>35072</v>
      </c>
      <c r="T1800" s="8" t="s">
        <v>35073</v>
      </c>
      <c r="U1800" s="1" t="s">
        <v>35074</v>
      </c>
      <c r="V1800" s="1" t="s">
        <v>35075</v>
      </c>
      <c r="W1800" s="1" t="s">
        <v>35071</v>
      </c>
      <c r="X1800" s="1" t="s">
        <v>35076</v>
      </c>
      <c r="Y1800" s="1" t="s">
        <v>35077</v>
      </c>
      <c r="Z1800" s="1" t="s">
        <v>35078</v>
      </c>
      <c r="AA1800" s="1" t="s">
        <v>35079</v>
      </c>
      <c r="AB1800" s="1" t="s">
        <v>35080</v>
      </c>
      <c r="AC1800" s="1" t="s">
        <v>35081</v>
      </c>
      <c r="AD1800" s="1" t="s">
        <v>35082</v>
      </c>
      <c r="AE1800" s="1" t="s">
        <v>35083</v>
      </c>
      <c r="AF1800" s="1" t="s">
        <v>35084</v>
      </c>
      <c r="AG1800" s="1" t="s">
        <v>35085</v>
      </c>
      <c r="AH1800" s="1" t="s">
        <v>35086</v>
      </c>
      <c r="AI1800" s="1" t="s">
        <v>35087</v>
      </c>
      <c r="AJ1800" s="1" t="s">
        <v>132</v>
      </c>
      <c r="AK1800" s="1" t="s">
        <v>35088</v>
      </c>
      <c r="AL1800" s="1" t="s">
        <v>35089</v>
      </c>
      <c r="AM1800" s="1" t="s">
        <v>35090</v>
      </c>
      <c r="AN1800" s="1" t="s">
        <v>35090</v>
      </c>
    </row>
    <row r="1801" ht="15.75" customHeight="1">
      <c r="A1801" s="1" t="s">
        <v>38</v>
      </c>
      <c r="B1801" s="1" t="s">
        <v>35091</v>
      </c>
      <c r="C1801" s="1" t="s">
        <v>35092</v>
      </c>
      <c r="D1801" s="1" t="s">
        <v>132</v>
      </c>
      <c r="E1801" s="1" t="s">
        <v>132</v>
      </c>
      <c r="F1801" s="1" t="s">
        <v>132</v>
      </c>
      <c r="G1801" s="1" t="s">
        <v>132</v>
      </c>
      <c r="H1801" s="1" t="s">
        <v>132</v>
      </c>
      <c r="I1801" s="1" t="s">
        <v>35093</v>
      </c>
      <c r="J1801" s="1" t="s">
        <v>132</v>
      </c>
      <c r="K1801" s="1" t="s">
        <v>35094</v>
      </c>
      <c r="L1801" s="1" t="s">
        <v>132</v>
      </c>
      <c r="M1801" s="1" t="s">
        <v>35095</v>
      </c>
      <c r="N1801" s="1" t="s">
        <v>132</v>
      </c>
      <c r="O1801" s="1" t="s">
        <v>132</v>
      </c>
      <c r="P1801" s="1" t="s">
        <v>35092</v>
      </c>
      <c r="Q1801" s="1" t="s">
        <v>132</v>
      </c>
      <c r="R1801" s="1" t="s">
        <v>132</v>
      </c>
      <c r="S1801" s="1" t="s">
        <v>132</v>
      </c>
      <c r="T1801" s="1" t="s">
        <v>132</v>
      </c>
      <c r="U1801" s="1" t="s">
        <v>132</v>
      </c>
      <c r="V1801" s="1" t="s">
        <v>132</v>
      </c>
      <c r="W1801" s="1" t="s">
        <v>132</v>
      </c>
      <c r="X1801" s="1" t="s">
        <v>132</v>
      </c>
      <c r="Y1801" s="1" t="s">
        <v>132</v>
      </c>
      <c r="Z1801" s="1" t="s">
        <v>132</v>
      </c>
      <c r="AA1801" s="1" t="s">
        <v>132</v>
      </c>
      <c r="AB1801" s="1" t="s">
        <v>132</v>
      </c>
      <c r="AC1801" s="1" t="s">
        <v>35096</v>
      </c>
      <c r="AD1801" s="1" t="s">
        <v>132</v>
      </c>
      <c r="AE1801" s="1" t="s">
        <v>132</v>
      </c>
      <c r="AF1801" s="1" t="s">
        <v>35097</v>
      </c>
      <c r="AG1801" s="1" t="s">
        <v>132</v>
      </c>
      <c r="AH1801" s="1" t="s">
        <v>132</v>
      </c>
      <c r="AI1801" s="1" t="s">
        <v>132</v>
      </c>
      <c r="AJ1801" s="1" t="s">
        <v>132</v>
      </c>
      <c r="AK1801" s="1" t="s">
        <v>132</v>
      </c>
      <c r="AL1801" s="1" t="s">
        <v>132</v>
      </c>
      <c r="AM1801" s="1" t="s">
        <v>132</v>
      </c>
      <c r="AN1801" s="1" t="s">
        <v>132</v>
      </c>
    </row>
    <row r="1802" ht="15.75" customHeight="1">
      <c r="A1802" s="1" t="s">
        <v>127</v>
      </c>
      <c r="B1802" s="1" t="s">
        <v>35098</v>
      </c>
      <c r="C1802" s="1" t="s">
        <v>35099</v>
      </c>
      <c r="D1802" s="8" t="s">
        <v>35100</v>
      </c>
      <c r="E1802" s="1" t="s">
        <v>35101</v>
      </c>
      <c r="F1802" s="1" t="s">
        <v>132</v>
      </c>
      <c r="G1802" s="1" t="s">
        <v>35102</v>
      </c>
      <c r="H1802" s="1" t="s">
        <v>35103</v>
      </c>
      <c r="I1802" s="1" t="s">
        <v>35104</v>
      </c>
      <c r="J1802" s="1" t="s">
        <v>35105</v>
      </c>
      <c r="K1802" s="1" t="s">
        <v>35106</v>
      </c>
      <c r="L1802" s="1" t="s">
        <v>35107</v>
      </c>
      <c r="M1802" s="1" t="s">
        <v>35108</v>
      </c>
      <c r="N1802" s="1" t="s">
        <v>132</v>
      </c>
      <c r="O1802" s="1" t="s">
        <v>35109</v>
      </c>
      <c r="P1802" s="1" t="s">
        <v>35110</v>
      </c>
      <c r="Q1802" s="1" t="s">
        <v>132</v>
      </c>
      <c r="R1802" s="1" t="s">
        <v>35111</v>
      </c>
      <c r="S1802" s="1" t="s">
        <v>35112</v>
      </c>
      <c r="T1802" s="8" t="s">
        <v>35113</v>
      </c>
      <c r="U1802" s="1" t="s">
        <v>35114</v>
      </c>
      <c r="V1802" s="1" t="s">
        <v>35115</v>
      </c>
      <c r="W1802" s="1" t="s">
        <v>35116</v>
      </c>
      <c r="X1802" s="1" t="s">
        <v>35117</v>
      </c>
      <c r="Y1802" s="1" t="s">
        <v>35118</v>
      </c>
      <c r="Z1802" s="1" t="s">
        <v>35119</v>
      </c>
      <c r="AA1802" s="1" t="s">
        <v>35120</v>
      </c>
      <c r="AB1802" s="1" t="s">
        <v>35121</v>
      </c>
      <c r="AC1802" s="1" t="s">
        <v>35122</v>
      </c>
      <c r="AD1802" s="1" t="s">
        <v>35123</v>
      </c>
      <c r="AE1802" s="1" t="s">
        <v>35124</v>
      </c>
      <c r="AF1802" s="1" t="s">
        <v>35125</v>
      </c>
      <c r="AG1802" s="1" t="s">
        <v>35126</v>
      </c>
      <c r="AH1802" s="1" t="s">
        <v>35127</v>
      </c>
      <c r="AI1802" s="1" t="s">
        <v>35128</v>
      </c>
      <c r="AJ1802" s="1" t="s">
        <v>132</v>
      </c>
      <c r="AK1802" s="1" t="s">
        <v>35129</v>
      </c>
      <c r="AL1802" s="1" t="s">
        <v>35130</v>
      </c>
      <c r="AM1802" s="1" t="s">
        <v>35131</v>
      </c>
      <c r="AN1802" s="1" t="s">
        <v>35131</v>
      </c>
    </row>
    <row r="1803" ht="15.75" customHeight="1">
      <c r="A1803" s="1" t="s">
        <v>127</v>
      </c>
      <c r="B1803" s="1" t="s">
        <v>35132</v>
      </c>
      <c r="C1803" s="1" t="s">
        <v>35133</v>
      </c>
      <c r="D1803" s="8" t="s">
        <v>5448</v>
      </c>
      <c r="E1803" s="1" t="s">
        <v>5449</v>
      </c>
      <c r="F1803" s="1" t="s">
        <v>132</v>
      </c>
      <c r="G1803" s="1" t="s">
        <v>12178</v>
      </c>
      <c r="H1803" s="1" t="s">
        <v>35133</v>
      </c>
      <c r="I1803" s="1" t="s">
        <v>35133</v>
      </c>
      <c r="J1803" s="1" t="s">
        <v>35133</v>
      </c>
      <c r="K1803" s="1" t="s">
        <v>35134</v>
      </c>
      <c r="L1803" s="1" t="s">
        <v>19450</v>
      </c>
      <c r="M1803" s="1" t="s">
        <v>35134</v>
      </c>
      <c r="N1803" s="1" t="s">
        <v>132</v>
      </c>
      <c r="O1803" s="1" t="s">
        <v>35135</v>
      </c>
      <c r="P1803" s="1" t="s">
        <v>35136</v>
      </c>
      <c r="Q1803" s="1" t="s">
        <v>132</v>
      </c>
      <c r="R1803" s="1" t="s">
        <v>32127</v>
      </c>
      <c r="S1803" s="1" t="s">
        <v>35133</v>
      </c>
      <c r="T1803" s="1" t="s">
        <v>35133</v>
      </c>
      <c r="U1803" s="1" t="s">
        <v>35133</v>
      </c>
      <c r="V1803" s="1" t="s">
        <v>5463</v>
      </c>
      <c r="W1803" s="1" t="s">
        <v>32127</v>
      </c>
      <c r="X1803" s="1" t="s">
        <v>35133</v>
      </c>
      <c r="Y1803" s="1" t="s">
        <v>35133</v>
      </c>
      <c r="Z1803" s="1" t="s">
        <v>12178</v>
      </c>
      <c r="AA1803" s="1" t="s">
        <v>35137</v>
      </c>
      <c r="AB1803" s="1" t="s">
        <v>35134</v>
      </c>
      <c r="AC1803" s="1" t="s">
        <v>35138</v>
      </c>
      <c r="AD1803" s="1" t="s">
        <v>35133</v>
      </c>
      <c r="AE1803" s="1" t="s">
        <v>35133</v>
      </c>
      <c r="AF1803" s="1" t="s">
        <v>12181</v>
      </c>
      <c r="AG1803" s="1" t="s">
        <v>19450</v>
      </c>
      <c r="AH1803" s="1" t="s">
        <v>5473</v>
      </c>
      <c r="AI1803" s="1" t="s">
        <v>6262</v>
      </c>
      <c r="AJ1803" s="1" t="s">
        <v>132</v>
      </c>
      <c r="AK1803" s="1" t="s">
        <v>12178</v>
      </c>
      <c r="AL1803" s="1" t="s">
        <v>5476</v>
      </c>
      <c r="AM1803" s="1" t="s">
        <v>5477</v>
      </c>
      <c r="AN1803" s="1" t="s">
        <v>5477</v>
      </c>
    </row>
    <row r="1804" ht="15.75" customHeight="1">
      <c r="A1804" s="1" t="s">
        <v>38</v>
      </c>
      <c r="B1804" s="1" t="s">
        <v>35139</v>
      </c>
      <c r="C1804" s="1" t="s">
        <v>35140</v>
      </c>
      <c r="D1804" s="8" t="s">
        <v>35141</v>
      </c>
      <c r="E1804" s="1" t="s">
        <v>35142</v>
      </c>
      <c r="F1804" s="1" t="s">
        <v>35143</v>
      </c>
      <c r="G1804" s="1" t="s">
        <v>132</v>
      </c>
      <c r="H1804" s="1" t="s">
        <v>132</v>
      </c>
      <c r="I1804" s="1" t="s">
        <v>35144</v>
      </c>
      <c r="J1804" s="1" t="s">
        <v>132</v>
      </c>
      <c r="K1804" s="1" t="s">
        <v>35145</v>
      </c>
      <c r="L1804" s="1" t="s">
        <v>132</v>
      </c>
      <c r="M1804" s="1" t="s">
        <v>35146</v>
      </c>
      <c r="N1804" s="1" t="s">
        <v>35147</v>
      </c>
      <c r="O1804" s="1" t="s">
        <v>132</v>
      </c>
      <c r="P1804" s="1" t="s">
        <v>35148</v>
      </c>
      <c r="Q1804" s="1" t="s">
        <v>35149</v>
      </c>
      <c r="R1804" s="1" t="s">
        <v>132</v>
      </c>
      <c r="S1804" s="1" t="s">
        <v>35150</v>
      </c>
      <c r="T1804" s="1" t="s">
        <v>132</v>
      </c>
      <c r="U1804" s="1" t="s">
        <v>35151</v>
      </c>
      <c r="V1804" s="1" t="s">
        <v>35152</v>
      </c>
      <c r="W1804" s="1" t="s">
        <v>132</v>
      </c>
      <c r="X1804" s="1" t="s">
        <v>35153</v>
      </c>
      <c r="Y1804" s="1" t="s">
        <v>132</v>
      </c>
      <c r="Z1804" s="1" t="s">
        <v>35154</v>
      </c>
      <c r="AA1804" s="1" t="s">
        <v>35155</v>
      </c>
      <c r="AB1804" s="1" t="s">
        <v>132</v>
      </c>
      <c r="AC1804" s="1" t="s">
        <v>35156</v>
      </c>
      <c r="AD1804" s="1" t="s">
        <v>35157</v>
      </c>
      <c r="AE1804" s="1" t="s">
        <v>132</v>
      </c>
      <c r="AF1804" s="1" t="s">
        <v>35158</v>
      </c>
      <c r="AG1804" s="1" t="s">
        <v>35159</v>
      </c>
      <c r="AH1804" s="1" t="s">
        <v>132</v>
      </c>
      <c r="AI1804" s="1" t="s">
        <v>132</v>
      </c>
      <c r="AJ1804" s="1" t="s">
        <v>35160</v>
      </c>
      <c r="AK1804" s="1" t="s">
        <v>35161</v>
      </c>
      <c r="AL1804" s="1" t="s">
        <v>132</v>
      </c>
      <c r="AM1804" s="1" t="s">
        <v>35162</v>
      </c>
      <c r="AN1804" s="1" t="s">
        <v>35162</v>
      </c>
    </row>
    <row r="1805" ht="15.75" customHeight="1">
      <c r="A1805" s="1" t="s">
        <v>127</v>
      </c>
      <c r="B1805" s="1" t="s">
        <v>35163</v>
      </c>
      <c r="C1805" s="1" t="s">
        <v>29641</v>
      </c>
      <c r="D1805" s="8" t="s">
        <v>33157</v>
      </c>
      <c r="E1805" s="1" t="s">
        <v>29643</v>
      </c>
      <c r="F1805" s="1" t="s">
        <v>132</v>
      </c>
      <c r="G1805" s="1" t="s">
        <v>29644</v>
      </c>
      <c r="H1805" s="1" t="s">
        <v>29645</v>
      </c>
      <c r="I1805" s="1" t="s">
        <v>29646</v>
      </c>
      <c r="J1805" s="1" t="s">
        <v>29647</v>
      </c>
      <c r="K1805" s="1" t="s">
        <v>29648</v>
      </c>
      <c r="L1805" s="1" t="s">
        <v>29649</v>
      </c>
      <c r="M1805" s="1" t="s">
        <v>29650</v>
      </c>
      <c r="N1805" s="1" t="s">
        <v>132</v>
      </c>
      <c r="O1805" s="1" t="s">
        <v>29651</v>
      </c>
      <c r="P1805" s="1" t="s">
        <v>863</v>
      </c>
      <c r="Q1805" s="1" t="s">
        <v>132</v>
      </c>
      <c r="R1805" s="1" t="s">
        <v>864</v>
      </c>
      <c r="S1805" s="1" t="s">
        <v>29645</v>
      </c>
      <c r="T1805" s="8" t="s">
        <v>29652</v>
      </c>
      <c r="U1805" s="1" t="s">
        <v>867</v>
      </c>
      <c r="V1805" s="1" t="s">
        <v>868</v>
      </c>
      <c r="W1805" s="1" t="s">
        <v>869</v>
      </c>
      <c r="X1805" s="1" t="s">
        <v>29645</v>
      </c>
      <c r="Y1805" s="1" t="s">
        <v>29645</v>
      </c>
      <c r="Z1805" s="1" t="s">
        <v>29653</v>
      </c>
      <c r="AA1805" s="1" t="s">
        <v>29654</v>
      </c>
      <c r="AB1805" s="1" t="s">
        <v>29655</v>
      </c>
      <c r="AC1805" s="1" t="s">
        <v>29656</v>
      </c>
      <c r="AD1805" s="1" t="s">
        <v>29657</v>
      </c>
      <c r="AE1805" s="1" t="s">
        <v>29645</v>
      </c>
      <c r="AF1805" s="1" t="s">
        <v>29645</v>
      </c>
      <c r="AG1805" s="1" t="s">
        <v>29645</v>
      </c>
      <c r="AH1805" s="1" t="s">
        <v>876</v>
      </c>
      <c r="AI1805" s="1" t="s">
        <v>29658</v>
      </c>
      <c r="AJ1805" s="1" t="s">
        <v>132</v>
      </c>
      <c r="AK1805" s="1" t="s">
        <v>878</v>
      </c>
      <c r="AL1805" s="1" t="s">
        <v>879</v>
      </c>
      <c r="AM1805" s="1" t="s">
        <v>132</v>
      </c>
      <c r="AN1805" s="1" t="s">
        <v>132</v>
      </c>
    </row>
    <row r="1806" ht="15.75" customHeight="1">
      <c r="A1806" s="1" t="s">
        <v>38</v>
      </c>
      <c r="B1806" s="1" t="s">
        <v>35164</v>
      </c>
      <c r="C1806" s="1" t="s">
        <v>35165</v>
      </c>
      <c r="D1806" s="1" t="s">
        <v>132</v>
      </c>
      <c r="E1806" s="1" t="s">
        <v>35166</v>
      </c>
      <c r="F1806" s="1" t="s">
        <v>132</v>
      </c>
      <c r="G1806" s="1" t="s">
        <v>132</v>
      </c>
      <c r="H1806" s="1" t="s">
        <v>132</v>
      </c>
      <c r="I1806" s="1" t="s">
        <v>35167</v>
      </c>
      <c r="J1806" s="1" t="s">
        <v>132</v>
      </c>
      <c r="K1806" s="1" t="s">
        <v>35168</v>
      </c>
      <c r="L1806" s="1" t="s">
        <v>132</v>
      </c>
      <c r="M1806" s="1" t="s">
        <v>132</v>
      </c>
      <c r="N1806" s="1" t="s">
        <v>35169</v>
      </c>
      <c r="O1806" s="1" t="s">
        <v>132</v>
      </c>
      <c r="P1806" s="1" t="s">
        <v>35170</v>
      </c>
      <c r="Q1806" s="1" t="s">
        <v>132</v>
      </c>
      <c r="R1806" s="1" t="s">
        <v>132</v>
      </c>
      <c r="S1806" s="1" t="s">
        <v>35171</v>
      </c>
      <c r="T1806" s="1" t="s">
        <v>132</v>
      </c>
      <c r="U1806" s="1" t="s">
        <v>35172</v>
      </c>
      <c r="V1806" s="1" t="s">
        <v>132</v>
      </c>
      <c r="W1806" s="1" t="s">
        <v>132</v>
      </c>
      <c r="X1806" s="1" t="s">
        <v>35173</v>
      </c>
      <c r="Y1806" s="1" t="s">
        <v>132</v>
      </c>
      <c r="Z1806" s="1" t="s">
        <v>35174</v>
      </c>
      <c r="AA1806" s="1" t="s">
        <v>132</v>
      </c>
      <c r="AB1806" s="1" t="s">
        <v>132</v>
      </c>
      <c r="AC1806" s="1" t="s">
        <v>132</v>
      </c>
      <c r="AD1806" s="1" t="s">
        <v>132</v>
      </c>
      <c r="AE1806" s="1" t="s">
        <v>132</v>
      </c>
      <c r="AF1806" s="1" t="s">
        <v>132</v>
      </c>
      <c r="AG1806" s="1" t="s">
        <v>132</v>
      </c>
      <c r="AH1806" s="1" t="s">
        <v>132</v>
      </c>
      <c r="AI1806" s="1" t="s">
        <v>132</v>
      </c>
      <c r="AJ1806" s="1" t="s">
        <v>132</v>
      </c>
      <c r="AK1806" s="1" t="s">
        <v>132</v>
      </c>
      <c r="AL1806" s="1" t="s">
        <v>132</v>
      </c>
      <c r="AM1806" s="1" t="s">
        <v>132</v>
      </c>
      <c r="AN1806" s="1" t="s">
        <v>132</v>
      </c>
    </row>
    <row r="1807" ht="15.75" customHeight="1">
      <c r="A1807" s="1" t="s">
        <v>38</v>
      </c>
      <c r="B1807" s="1" t="s">
        <v>35175</v>
      </c>
      <c r="C1807" s="1" t="s">
        <v>35176</v>
      </c>
      <c r="D1807" s="8" t="s">
        <v>35177</v>
      </c>
      <c r="E1807" s="1" t="s">
        <v>35178</v>
      </c>
      <c r="F1807" s="1" t="s">
        <v>35179</v>
      </c>
      <c r="G1807" s="1" t="s">
        <v>132</v>
      </c>
      <c r="H1807" s="1" t="s">
        <v>132</v>
      </c>
      <c r="I1807" s="1" t="s">
        <v>35180</v>
      </c>
      <c r="J1807" s="1" t="s">
        <v>132</v>
      </c>
      <c r="K1807" s="1" t="s">
        <v>35181</v>
      </c>
      <c r="L1807" s="1" t="s">
        <v>132</v>
      </c>
      <c r="M1807" s="1" t="s">
        <v>35182</v>
      </c>
      <c r="N1807" s="1" t="s">
        <v>35183</v>
      </c>
      <c r="O1807" s="1" t="s">
        <v>132</v>
      </c>
      <c r="P1807" s="1" t="s">
        <v>35184</v>
      </c>
      <c r="Q1807" s="1" t="s">
        <v>132</v>
      </c>
      <c r="R1807" s="1" t="s">
        <v>132</v>
      </c>
      <c r="S1807" s="1" t="s">
        <v>35185</v>
      </c>
      <c r="T1807" s="1" t="s">
        <v>132</v>
      </c>
      <c r="U1807" s="1" t="s">
        <v>35186</v>
      </c>
      <c r="V1807" s="1" t="s">
        <v>35187</v>
      </c>
      <c r="W1807" s="1" t="s">
        <v>132</v>
      </c>
      <c r="X1807" s="1" t="s">
        <v>35188</v>
      </c>
      <c r="Y1807" s="1" t="s">
        <v>132</v>
      </c>
      <c r="Z1807" s="1" t="s">
        <v>35189</v>
      </c>
      <c r="AA1807" s="1" t="s">
        <v>132</v>
      </c>
      <c r="AB1807" s="1" t="s">
        <v>132</v>
      </c>
      <c r="AC1807" s="1" t="s">
        <v>35190</v>
      </c>
      <c r="AD1807" s="1" t="s">
        <v>132</v>
      </c>
      <c r="AE1807" s="1" t="s">
        <v>132</v>
      </c>
      <c r="AF1807" s="1" t="s">
        <v>35191</v>
      </c>
      <c r="AG1807" s="1" t="s">
        <v>35192</v>
      </c>
      <c r="AH1807" s="1" t="s">
        <v>132</v>
      </c>
      <c r="AI1807" s="1" t="s">
        <v>132</v>
      </c>
      <c r="AJ1807" s="1" t="s">
        <v>35194</v>
      </c>
      <c r="AK1807" s="1" t="s">
        <v>132</v>
      </c>
      <c r="AL1807" s="1" t="s">
        <v>132</v>
      </c>
      <c r="AM1807" s="1" t="s">
        <v>35195</v>
      </c>
      <c r="AN1807" s="1" t="s">
        <v>35195</v>
      </c>
    </row>
    <row r="1808" ht="15.75" customHeight="1">
      <c r="A1808" s="1" t="s">
        <v>38</v>
      </c>
      <c r="B1808" s="1" t="s">
        <v>35196</v>
      </c>
      <c r="C1808" s="1" t="s">
        <v>20315</v>
      </c>
      <c r="D1808" s="1" t="s">
        <v>132</v>
      </c>
      <c r="E1808" s="1" t="s">
        <v>132</v>
      </c>
      <c r="F1808" s="1" t="s">
        <v>132</v>
      </c>
      <c r="G1808" s="1" t="s">
        <v>132</v>
      </c>
      <c r="H1808" s="1" t="s">
        <v>132</v>
      </c>
      <c r="I1808" s="1" t="s">
        <v>20318</v>
      </c>
      <c r="J1808" s="1" t="s">
        <v>132</v>
      </c>
      <c r="K1808" s="1" t="s">
        <v>20319</v>
      </c>
      <c r="L1808" s="1" t="s">
        <v>132</v>
      </c>
      <c r="M1808" s="1" t="s">
        <v>20315</v>
      </c>
      <c r="N1808" s="1" t="s">
        <v>132</v>
      </c>
      <c r="O1808" s="1" t="s">
        <v>132</v>
      </c>
      <c r="P1808" s="1" t="s">
        <v>114</v>
      </c>
      <c r="Q1808" s="1" t="s">
        <v>132</v>
      </c>
      <c r="R1808" s="1" t="s">
        <v>132</v>
      </c>
      <c r="S1808" s="1" t="s">
        <v>132</v>
      </c>
      <c r="T1808" s="1" t="s">
        <v>132</v>
      </c>
      <c r="U1808" s="1" t="s">
        <v>132</v>
      </c>
      <c r="V1808" s="1" t="s">
        <v>132</v>
      </c>
      <c r="W1808" s="1" t="s">
        <v>132</v>
      </c>
      <c r="X1808" s="1" t="s">
        <v>132</v>
      </c>
      <c r="Y1808" s="1" t="s">
        <v>132</v>
      </c>
      <c r="Z1808" s="1" t="s">
        <v>132</v>
      </c>
      <c r="AA1808" s="1" t="s">
        <v>132</v>
      </c>
      <c r="AB1808" s="1" t="s">
        <v>132</v>
      </c>
      <c r="AC1808" s="1" t="s">
        <v>20316</v>
      </c>
      <c r="AD1808" s="1" t="s">
        <v>132</v>
      </c>
      <c r="AE1808" s="1" t="s">
        <v>132</v>
      </c>
      <c r="AF1808" s="1" t="s">
        <v>20318</v>
      </c>
      <c r="AG1808" s="1" t="s">
        <v>132</v>
      </c>
      <c r="AH1808" s="1" t="s">
        <v>132</v>
      </c>
      <c r="AI1808" s="1" t="s">
        <v>132</v>
      </c>
      <c r="AJ1808" s="1" t="s">
        <v>132</v>
      </c>
      <c r="AK1808" s="1" t="s">
        <v>132</v>
      </c>
      <c r="AL1808" s="1" t="s">
        <v>132</v>
      </c>
      <c r="AM1808" s="1" t="s">
        <v>132</v>
      </c>
      <c r="AN1808" s="1" t="s">
        <v>132</v>
      </c>
    </row>
    <row r="1809" ht="15.75" customHeight="1">
      <c r="A1809" s="1" t="s">
        <v>38</v>
      </c>
      <c r="B1809" s="1" t="s">
        <v>35197</v>
      </c>
      <c r="C1809" s="1" t="s">
        <v>35198</v>
      </c>
      <c r="D1809" s="1" t="s">
        <v>132</v>
      </c>
      <c r="E1809" s="1" t="s">
        <v>35199</v>
      </c>
      <c r="F1809" s="1" t="s">
        <v>35200</v>
      </c>
      <c r="G1809" s="1" t="s">
        <v>132</v>
      </c>
      <c r="H1809" s="1" t="s">
        <v>132</v>
      </c>
      <c r="I1809" s="1" t="s">
        <v>35201</v>
      </c>
      <c r="J1809" s="1" t="s">
        <v>132</v>
      </c>
      <c r="K1809" s="1" t="s">
        <v>35202</v>
      </c>
      <c r="L1809" s="1" t="s">
        <v>132</v>
      </c>
      <c r="M1809" s="1" t="s">
        <v>35203</v>
      </c>
      <c r="N1809" s="1" t="s">
        <v>35204</v>
      </c>
      <c r="O1809" s="1" t="s">
        <v>132</v>
      </c>
      <c r="P1809" s="1" t="s">
        <v>35205</v>
      </c>
      <c r="Q1809" s="1" t="s">
        <v>132</v>
      </c>
      <c r="R1809" s="1" t="s">
        <v>132</v>
      </c>
      <c r="S1809" s="1" t="s">
        <v>35206</v>
      </c>
      <c r="T1809" s="1" t="s">
        <v>132</v>
      </c>
      <c r="U1809" s="1" t="s">
        <v>35207</v>
      </c>
      <c r="V1809" s="1" t="s">
        <v>35208</v>
      </c>
      <c r="W1809" s="1" t="s">
        <v>132</v>
      </c>
      <c r="X1809" s="1" t="s">
        <v>35209</v>
      </c>
      <c r="Y1809" s="1" t="s">
        <v>132</v>
      </c>
      <c r="Z1809" s="1" t="s">
        <v>35210</v>
      </c>
      <c r="AA1809" s="1" t="s">
        <v>132</v>
      </c>
      <c r="AB1809" s="1" t="s">
        <v>132</v>
      </c>
      <c r="AC1809" s="1" t="s">
        <v>35211</v>
      </c>
      <c r="AD1809" s="1" t="s">
        <v>132</v>
      </c>
      <c r="AE1809" s="1" t="s">
        <v>132</v>
      </c>
      <c r="AF1809" s="1" t="s">
        <v>35212</v>
      </c>
      <c r="AG1809" s="1" t="s">
        <v>35213</v>
      </c>
      <c r="AH1809" s="1" t="s">
        <v>132</v>
      </c>
      <c r="AI1809" s="1" t="s">
        <v>132</v>
      </c>
      <c r="AJ1809" s="1" t="s">
        <v>35214</v>
      </c>
      <c r="AK1809" s="1" t="s">
        <v>132</v>
      </c>
      <c r="AL1809" s="1" t="s">
        <v>132</v>
      </c>
      <c r="AM1809" s="1" t="s">
        <v>35215</v>
      </c>
      <c r="AN1809" s="1" t="s">
        <v>35215</v>
      </c>
    </row>
    <row r="1810" ht="15.75" customHeight="1">
      <c r="A1810" s="1" t="s">
        <v>38</v>
      </c>
      <c r="B1810" s="1" t="s">
        <v>35216</v>
      </c>
      <c r="C1810" s="1" t="s">
        <v>35217</v>
      </c>
      <c r="D1810" s="1" t="s">
        <v>132</v>
      </c>
      <c r="E1810" s="1" t="s">
        <v>132</v>
      </c>
      <c r="F1810" s="1" t="s">
        <v>132</v>
      </c>
      <c r="G1810" s="1" t="s">
        <v>132</v>
      </c>
      <c r="H1810" s="1" t="s">
        <v>132</v>
      </c>
      <c r="I1810" s="1" t="s">
        <v>35218</v>
      </c>
      <c r="J1810" s="1" t="s">
        <v>132</v>
      </c>
      <c r="K1810" s="1" t="s">
        <v>35218</v>
      </c>
      <c r="L1810" s="1" t="s">
        <v>132</v>
      </c>
      <c r="M1810" s="1" t="s">
        <v>35219</v>
      </c>
      <c r="N1810" s="1" t="s">
        <v>132</v>
      </c>
      <c r="O1810" s="1" t="s">
        <v>132</v>
      </c>
      <c r="P1810" s="1" t="s">
        <v>35217</v>
      </c>
      <c r="Q1810" s="1" t="s">
        <v>132</v>
      </c>
      <c r="R1810" s="1" t="s">
        <v>132</v>
      </c>
      <c r="S1810" s="1" t="s">
        <v>132</v>
      </c>
      <c r="T1810" s="1" t="s">
        <v>132</v>
      </c>
      <c r="U1810" s="1" t="s">
        <v>132</v>
      </c>
      <c r="V1810" s="1" t="s">
        <v>132</v>
      </c>
      <c r="W1810" s="1" t="s">
        <v>132</v>
      </c>
      <c r="X1810" s="1" t="s">
        <v>132</v>
      </c>
      <c r="Y1810" s="1" t="s">
        <v>132</v>
      </c>
      <c r="Z1810" s="1" t="s">
        <v>132</v>
      </c>
      <c r="AA1810" s="1" t="s">
        <v>132</v>
      </c>
      <c r="AB1810" s="1" t="s">
        <v>132</v>
      </c>
      <c r="AC1810" s="1" t="s">
        <v>35220</v>
      </c>
      <c r="AD1810" s="1" t="s">
        <v>132</v>
      </c>
      <c r="AE1810" s="1" t="s">
        <v>132</v>
      </c>
      <c r="AF1810" s="1" t="s">
        <v>35218</v>
      </c>
      <c r="AG1810" s="1" t="s">
        <v>132</v>
      </c>
      <c r="AH1810" s="1" t="s">
        <v>132</v>
      </c>
      <c r="AI1810" s="1" t="s">
        <v>132</v>
      </c>
      <c r="AJ1810" s="1" t="s">
        <v>132</v>
      </c>
      <c r="AK1810" s="1" t="s">
        <v>132</v>
      </c>
      <c r="AL1810" s="1" t="s">
        <v>132</v>
      </c>
      <c r="AM1810" s="1" t="s">
        <v>132</v>
      </c>
      <c r="AN1810" s="1" t="s">
        <v>132</v>
      </c>
    </row>
    <row r="1811" ht="15.75" customHeight="1">
      <c r="A1811" s="1" t="s">
        <v>5830</v>
      </c>
      <c r="B1811" s="1" t="s">
        <v>35221</v>
      </c>
      <c r="C1811" s="1" t="s">
        <v>132</v>
      </c>
      <c r="D1811" s="1" t="s">
        <v>132</v>
      </c>
      <c r="E1811" s="1" t="s">
        <v>132</v>
      </c>
      <c r="F1811" s="1" t="s">
        <v>132</v>
      </c>
      <c r="G1811" s="1" t="s">
        <v>132</v>
      </c>
      <c r="H1811" s="1" t="s">
        <v>132</v>
      </c>
      <c r="I1811" s="1" t="s">
        <v>132</v>
      </c>
      <c r="J1811" s="1" t="s">
        <v>132</v>
      </c>
      <c r="K1811" s="1" t="s">
        <v>132</v>
      </c>
      <c r="L1811" s="1" t="s">
        <v>132</v>
      </c>
      <c r="M1811" s="1" t="s">
        <v>132</v>
      </c>
      <c r="N1811" s="1" t="s">
        <v>132</v>
      </c>
      <c r="O1811" s="1" t="s">
        <v>132</v>
      </c>
      <c r="P1811" s="1" t="s">
        <v>132</v>
      </c>
      <c r="Q1811" s="1" t="s">
        <v>132</v>
      </c>
      <c r="R1811" s="1" t="s">
        <v>132</v>
      </c>
      <c r="S1811" s="1" t="s">
        <v>132</v>
      </c>
      <c r="T1811" s="1" t="s">
        <v>132</v>
      </c>
      <c r="U1811" s="1" t="s">
        <v>132</v>
      </c>
      <c r="V1811" s="1" t="s">
        <v>132</v>
      </c>
      <c r="W1811" s="1" t="s">
        <v>132</v>
      </c>
      <c r="X1811" s="1" t="s">
        <v>132</v>
      </c>
      <c r="Y1811" s="1" t="s">
        <v>132</v>
      </c>
      <c r="Z1811" s="1" t="s">
        <v>132</v>
      </c>
      <c r="AA1811" s="1" t="s">
        <v>132</v>
      </c>
      <c r="AB1811" s="1" t="s">
        <v>132</v>
      </c>
      <c r="AC1811" s="1" t="s">
        <v>132</v>
      </c>
      <c r="AD1811" s="1" t="s">
        <v>132</v>
      </c>
      <c r="AE1811" s="1" t="s">
        <v>132</v>
      </c>
      <c r="AF1811" s="1" t="s">
        <v>132</v>
      </c>
      <c r="AG1811" s="1" t="s">
        <v>132</v>
      </c>
      <c r="AH1811" s="1" t="s">
        <v>132</v>
      </c>
      <c r="AI1811" s="1" t="s">
        <v>132</v>
      </c>
      <c r="AJ1811" s="1" t="s">
        <v>132</v>
      </c>
      <c r="AK1811" s="1" t="s">
        <v>132</v>
      </c>
      <c r="AL1811" s="1" t="s">
        <v>132</v>
      </c>
      <c r="AM1811" s="1" t="s">
        <v>13037</v>
      </c>
      <c r="AN1811" s="1" t="s">
        <v>13037</v>
      </c>
    </row>
    <row r="1812" ht="15.75" customHeight="1">
      <c r="A1812" s="1" t="s">
        <v>38</v>
      </c>
      <c r="B1812" s="1" t="s">
        <v>35222</v>
      </c>
      <c r="C1812" s="1" t="s">
        <v>35223</v>
      </c>
      <c r="D1812" s="1" t="s">
        <v>132</v>
      </c>
      <c r="E1812" s="1" t="s">
        <v>132</v>
      </c>
      <c r="F1812" s="1" t="s">
        <v>132</v>
      </c>
      <c r="G1812" s="1" t="s">
        <v>132</v>
      </c>
      <c r="H1812" s="1" t="s">
        <v>132</v>
      </c>
      <c r="I1812" s="1" t="s">
        <v>35224</v>
      </c>
      <c r="J1812" s="1" t="s">
        <v>132</v>
      </c>
      <c r="K1812" s="1" t="s">
        <v>35225</v>
      </c>
      <c r="L1812" s="1" t="s">
        <v>132</v>
      </c>
      <c r="M1812" s="1" t="s">
        <v>35226</v>
      </c>
      <c r="N1812" s="1" t="s">
        <v>132</v>
      </c>
      <c r="O1812" s="1" t="s">
        <v>132</v>
      </c>
      <c r="P1812" s="1" t="s">
        <v>35227</v>
      </c>
      <c r="Q1812" s="1" t="s">
        <v>132</v>
      </c>
      <c r="R1812" s="1" t="s">
        <v>132</v>
      </c>
      <c r="S1812" s="1" t="s">
        <v>132</v>
      </c>
      <c r="T1812" s="1" t="s">
        <v>132</v>
      </c>
      <c r="U1812" s="1" t="s">
        <v>132</v>
      </c>
      <c r="V1812" s="1" t="s">
        <v>132</v>
      </c>
      <c r="W1812" s="1" t="s">
        <v>132</v>
      </c>
      <c r="X1812" s="1" t="s">
        <v>132</v>
      </c>
      <c r="Y1812" s="1" t="s">
        <v>132</v>
      </c>
      <c r="Z1812" s="1" t="s">
        <v>132</v>
      </c>
      <c r="AA1812" s="1" t="s">
        <v>132</v>
      </c>
      <c r="AB1812" s="1" t="s">
        <v>132</v>
      </c>
      <c r="AC1812" s="1" t="s">
        <v>35229</v>
      </c>
      <c r="AD1812" s="1" t="s">
        <v>132</v>
      </c>
      <c r="AE1812" s="1" t="s">
        <v>132</v>
      </c>
      <c r="AF1812" s="1" t="s">
        <v>35230</v>
      </c>
      <c r="AG1812" s="1" t="s">
        <v>132</v>
      </c>
      <c r="AH1812" s="1" t="s">
        <v>132</v>
      </c>
      <c r="AI1812" s="1" t="s">
        <v>132</v>
      </c>
      <c r="AJ1812" s="1" t="s">
        <v>132</v>
      </c>
      <c r="AK1812" s="1" t="s">
        <v>132</v>
      </c>
      <c r="AL1812" s="1" t="s">
        <v>132</v>
      </c>
      <c r="AM1812" s="1" t="s">
        <v>132</v>
      </c>
      <c r="AN1812" s="1" t="s">
        <v>132</v>
      </c>
    </row>
    <row r="1813" ht="15.75" customHeight="1">
      <c r="A1813" s="1" t="s">
        <v>127</v>
      </c>
      <c r="B1813" s="1" t="s">
        <v>35231</v>
      </c>
      <c r="C1813" s="1" t="s">
        <v>35232</v>
      </c>
      <c r="D1813" s="8" t="s">
        <v>35233</v>
      </c>
      <c r="E1813" s="1" t="s">
        <v>35234</v>
      </c>
      <c r="F1813" s="1" t="s">
        <v>132</v>
      </c>
      <c r="G1813" s="1" t="s">
        <v>35235</v>
      </c>
      <c r="H1813" s="1" t="s">
        <v>35236</v>
      </c>
      <c r="I1813" s="1" t="s">
        <v>35232</v>
      </c>
      <c r="J1813" s="1" t="s">
        <v>35237</v>
      </c>
      <c r="K1813" s="1" t="s">
        <v>35238</v>
      </c>
      <c r="L1813" s="1" t="s">
        <v>35239</v>
      </c>
      <c r="M1813" s="1" t="s">
        <v>35240</v>
      </c>
      <c r="N1813" s="1" t="s">
        <v>132</v>
      </c>
      <c r="O1813" s="1" t="s">
        <v>35241</v>
      </c>
      <c r="P1813" s="1" t="s">
        <v>35238</v>
      </c>
      <c r="Q1813" s="1" t="s">
        <v>132</v>
      </c>
      <c r="R1813" s="1" t="s">
        <v>35242</v>
      </c>
      <c r="S1813" s="1" t="s">
        <v>35240</v>
      </c>
      <c r="T1813" s="8" t="s">
        <v>35243</v>
      </c>
      <c r="U1813" s="1" t="s">
        <v>35244</v>
      </c>
      <c r="V1813" s="1" t="s">
        <v>35245</v>
      </c>
      <c r="W1813" s="1" t="s">
        <v>35242</v>
      </c>
      <c r="X1813" s="1" t="s">
        <v>35246</v>
      </c>
      <c r="Y1813" s="1" t="s">
        <v>35240</v>
      </c>
      <c r="Z1813" s="1" t="s">
        <v>35247</v>
      </c>
      <c r="AA1813" s="1" t="s">
        <v>35248</v>
      </c>
      <c r="AB1813" s="1" t="s">
        <v>35249</v>
      </c>
      <c r="AC1813" s="1" t="s">
        <v>35232</v>
      </c>
      <c r="AD1813" s="1" t="s">
        <v>35250</v>
      </c>
      <c r="AE1813" s="1" t="s">
        <v>35251</v>
      </c>
      <c r="AF1813" s="1" t="s">
        <v>35238</v>
      </c>
      <c r="AG1813" s="1" t="s">
        <v>35240</v>
      </c>
      <c r="AH1813" s="1" t="s">
        <v>35240</v>
      </c>
      <c r="AI1813" s="1" t="s">
        <v>35252</v>
      </c>
      <c r="AJ1813" s="1" t="s">
        <v>132</v>
      </c>
      <c r="AK1813" s="1" t="s">
        <v>35253</v>
      </c>
      <c r="AL1813" s="1" t="s">
        <v>35254</v>
      </c>
      <c r="AM1813" s="1" t="s">
        <v>35255</v>
      </c>
      <c r="AN1813" s="1" t="s">
        <v>35255</v>
      </c>
    </row>
    <row r="1814" ht="15.75" customHeight="1">
      <c r="A1814" s="1" t="s">
        <v>38</v>
      </c>
      <c r="B1814" s="1" t="s">
        <v>35256</v>
      </c>
      <c r="C1814" s="1" t="s">
        <v>35257</v>
      </c>
      <c r="D1814" s="8" t="s">
        <v>35258</v>
      </c>
      <c r="E1814" s="1" t="s">
        <v>35259</v>
      </c>
      <c r="F1814" s="1" t="s">
        <v>35260</v>
      </c>
      <c r="G1814" s="1" t="s">
        <v>132</v>
      </c>
      <c r="H1814" s="1" t="s">
        <v>132</v>
      </c>
      <c r="I1814" s="1" t="s">
        <v>35261</v>
      </c>
      <c r="J1814" s="1" t="s">
        <v>132</v>
      </c>
      <c r="K1814" s="1" t="s">
        <v>35262</v>
      </c>
      <c r="L1814" s="1" t="s">
        <v>132</v>
      </c>
      <c r="M1814" s="1" t="s">
        <v>35263</v>
      </c>
      <c r="N1814" s="1" t="s">
        <v>35264</v>
      </c>
      <c r="O1814" s="1" t="s">
        <v>132</v>
      </c>
      <c r="P1814" s="1" t="s">
        <v>35265</v>
      </c>
      <c r="Q1814" s="1" t="s">
        <v>132</v>
      </c>
      <c r="R1814" s="1" t="s">
        <v>132</v>
      </c>
      <c r="S1814" s="1" t="s">
        <v>35266</v>
      </c>
      <c r="T1814" s="1" t="s">
        <v>132</v>
      </c>
      <c r="U1814" s="1" t="s">
        <v>35267</v>
      </c>
      <c r="V1814" s="1" t="s">
        <v>132</v>
      </c>
      <c r="W1814" s="1" t="s">
        <v>132</v>
      </c>
      <c r="X1814" s="1" t="s">
        <v>35268</v>
      </c>
      <c r="Y1814" s="1" t="s">
        <v>132</v>
      </c>
      <c r="Z1814" s="1" t="s">
        <v>35269</v>
      </c>
      <c r="AA1814" s="1" t="s">
        <v>132</v>
      </c>
      <c r="AB1814" s="1" t="s">
        <v>132</v>
      </c>
      <c r="AC1814" s="1" t="s">
        <v>35270</v>
      </c>
      <c r="AD1814" s="1" t="s">
        <v>132</v>
      </c>
      <c r="AE1814" s="1" t="s">
        <v>132</v>
      </c>
      <c r="AF1814" s="1" t="s">
        <v>35271</v>
      </c>
      <c r="AG1814" s="1" t="s">
        <v>132</v>
      </c>
      <c r="AH1814" s="1" t="s">
        <v>132</v>
      </c>
      <c r="AI1814" s="1" t="s">
        <v>132</v>
      </c>
      <c r="AJ1814" s="1" t="s">
        <v>132</v>
      </c>
      <c r="AK1814" s="1" t="s">
        <v>132</v>
      </c>
      <c r="AL1814" s="1" t="s">
        <v>132</v>
      </c>
      <c r="AM1814" s="1" t="s">
        <v>132</v>
      </c>
      <c r="AN1814" s="1" t="s">
        <v>132</v>
      </c>
    </row>
    <row r="1815" ht="15.75" customHeight="1">
      <c r="A1815" s="1" t="s">
        <v>38</v>
      </c>
      <c r="B1815" s="1" t="s">
        <v>35272</v>
      </c>
      <c r="C1815" s="1" t="s">
        <v>35273</v>
      </c>
      <c r="D1815" s="8" t="s">
        <v>35274</v>
      </c>
      <c r="E1815" s="1" t="s">
        <v>35275</v>
      </c>
      <c r="F1815" s="1" t="s">
        <v>35276</v>
      </c>
      <c r="G1815" s="1" t="s">
        <v>132</v>
      </c>
      <c r="H1815" s="1" t="s">
        <v>132</v>
      </c>
      <c r="I1815" s="1" t="s">
        <v>35277</v>
      </c>
      <c r="J1815" s="1" t="s">
        <v>132</v>
      </c>
      <c r="K1815" s="1" t="s">
        <v>35278</v>
      </c>
      <c r="L1815" s="1" t="s">
        <v>132</v>
      </c>
      <c r="M1815" s="1" t="s">
        <v>35279</v>
      </c>
      <c r="N1815" s="1" t="s">
        <v>25006</v>
      </c>
      <c r="O1815" s="1" t="s">
        <v>132</v>
      </c>
      <c r="P1815" s="1" t="s">
        <v>35280</v>
      </c>
      <c r="Q1815" s="1" t="s">
        <v>35281</v>
      </c>
      <c r="R1815" s="1" t="s">
        <v>132</v>
      </c>
      <c r="S1815" s="1" t="s">
        <v>35282</v>
      </c>
      <c r="T1815" s="1" t="s">
        <v>132</v>
      </c>
      <c r="U1815" s="1" t="s">
        <v>35283</v>
      </c>
      <c r="V1815" s="1" t="s">
        <v>35284</v>
      </c>
      <c r="W1815" s="1" t="s">
        <v>132</v>
      </c>
      <c r="X1815" s="1" t="s">
        <v>35285</v>
      </c>
      <c r="Y1815" s="1" t="s">
        <v>132</v>
      </c>
      <c r="Z1815" s="1" t="s">
        <v>35286</v>
      </c>
      <c r="AA1815" s="1" t="s">
        <v>35287</v>
      </c>
      <c r="AB1815" s="1" t="s">
        <v>132</v>
      </c>
      <c r="AC1815" s="1" t="s">
        <v>35288</v>
      </c>
      <c r="AD1815" s="1" t="s">
        <v>35289</v>
      </c>
      <c r="AE1815" s="1" t="s">
        <v>132</v>
      </c>
      <c r="AF1815" s="1" t="s">
        <v>35290</v>
      </c>
      <c r="AG1815" s="1" t="s">
        <v>35291</v>
      </c>
      <c r="AH1815" s="1" t="s">
        <v>132</v>
      </c>
      <c r="AI1815" s="1" t="s">
        <v>132</v>
      </c>
      <c r="AJ1815" s="1" t="s">
        <v>35293</v>
      </c>
      <c r="AK1815" s="1" t="s">
        <v>35294</v>
      </c>
      <c r="AL1815" s="1" t="s">
        <v>132</v>
      </c>
      <c r="AM1815" s="1" t="s">
        <v>35295</v>
      </c>
      <c r="AN1815" s="1" t="s">
        <v>35295</v>
      </c>
    </row>
    <row r="1816" ht="15.75" customHeight="1">
      <c r="A1816" s="1" t="s">
        <v>38</v>
      </c>
      <c r="B1816" s="1" t="s">
        <v>35296</v>
      </c>
      <c r="C1816" s="1" t="s">
        <v>35297</v>
      </c>
      <c r="D1816" s="8" t="s">
        <v>35298</v>
      </c>
      <c r="E1816" s="1" t="s">
        <v>35299</v>
      </c>
      <c r="F1816" s="1" t="s">
        <v>35300</v>
      </c>
      <c r="G1816" s="1" t="s">
        <v>132</v>
      </c>
      <c r="H1816" s="1" t="s">
        <v>132</v>
      </c>
      <c r="I1816" s="1" t="s">
        <v>35301</v>
      </c>
      <c r="J1816" s="1" t="s">
        <v>132</v>
      </c>
      <c r="K1816" s="1" t="s">
        <v>35302</v>
      </c>
      <c r="L1816" s="1" t="s">
        <v>132</v>
      </c>
      <c r="M1816" s="1" t="s">
        <v>35303</v>
      </c>
      <c r="N1816" s="1" t="s">
        <v>35304</v>
      </c>
      <c r="O1816" s="1" t="s">
        <v>132</v>
      </c>
      <c r="P1816" s="1" t="s">
        <v>35305</v>
      </c>
      <c r="Q1816" s="1" t="s">
        <v>35306</v>
      </c>
      <c r="R1816" s="1" t="s">
        <v>132</v>
      </c>
      <c r="S1816" s="1" t="s">
        <v>35307</v>
      </c>
      <c r="T1816" s="1" t="s">
        <v>132</v>
      </c>
      <c r="U1816" s="1" t="s">
        <v>35308</v>
      </c>
      <c r="V1816" s="1" t="s">
        <v>35309</v>
      </c>
      <c r="W1816" s="1" t="s">
        <v>132</v>
      </c>
      <c r="X1816" s="1" t="s">
        <v>35310</v>
      </c>
      <c r="Y1816" s="1" t="s">
        <v>132</v>
      </c>
      <c r="Z1816" s="1" t="s">
        <v>35311</v>
      </c>
      <c r="AA1816" s="1" t="s">
        <v>35312</v>
      </c>
      <c r="AB1816" s="1" t="s">
        <v>132</v>
      </c>
      <c r="AC1816" s="1" t="s">
        <v>35313</v>
      </c>
      <c r="AD1816" s="1" t="s">
        <v>132</v>
      </c>
      <c r="AE1816" s="1" t="s">
        <v>132</v>
      </c>
      <c r="AF1816" s="1" t="s">
        <v>35314</v>
      </c>
      <c r="AG1816" s="1" t="s">
        <v>35315</v>
      </c>
      <c r="AH1816" s="1" t="s">
        <v>132</v>
      </c>
      <c r="AI1816" s="1" t="s">
        <v>132</v>
      </c>
      <c r="AJ1816" s="1" t="s">
        <v>35316</v>
      </c>
      <c r="AK1816" s="1" t="s">
        <v>132</v>
      </c>
      <c r="AL1816" s="1" t="s">
        <v>132</v>
      </c>
      <c r="AM1816" s="1" t="s">
        <v>35317</v>
      </c>
      <c r="AN1816" s="1" t="s">
        <v>35317</v>
      </c>
    </row>
    <row r="1817" ht="15.75" customHeight="1">
      <c r="A1817" s="1" t="s">
        <v>38</v>
      </c>
      <c r="B1817" s="1" t="s">
        <v>35318</v>
      </c>
      <c r="C1817" s="1" t="s">
        <v>35319</v>
      </c>
      <c r="D1817" s="1" t="s">
        <v>132</v>
      </c>
      <c r="E1817" s="1" t="s">
        <v>132</v>
      </c>
      <c r="F1817" s="1" t="s">
        <v>132</v>
      </c>
      <c r="G1817" s="1" t="s">
        <v>132</v>
      </c>
      <c r="H1817" s="1" t="s">
        <v>132</v>
      </c>
      <c r="I1817" s="1" t="s">
        <v>35320</v>
      </c>
      <c r="J1817" s="1" t="s">
        <v>132</v>
      </c>
      <c r="K1817" s="1" t="s">
        <v>35321</v>
      </c>
      <c r="L1817" s="1" t="s">
        <v>132</v>
      </c>
      <c r="M1817" s="1" t="s">
        <v>35322</v>
      </c>
      <c r="N1817" s="1" t="s">
        <v>132</v>
      </c>
      <c r="O1817" s="1" t="s">
        <v>132</v>
      </c>
      <c r="P1817" s="1" t="s">
        <v>35319</v>
      </c>
      <c r="Q1817" s="1" t="s">
        <v>132</v>
      </c>
      <c r="R1817" s="1" t="s">
        <v>132</v>
      </c>
      <c r="S1817" s="1" t="s">
        <v>132</v>
      </c>
      <c r="T1817" s="1" t="s">
        <v>132</v>
      </c>
      <c r="U1817" s="1" t="s">
        <v>132</v>
      </c>
      <c r="V1817" s="1" t="s">
        <v>132</v>
      </c>
      <c r="W1817" s="1" t="s">
        <v>132</v>
      </c>
      <c r="X1817" s="1" t="s">
        <v>132</v>
      </c>
      <c r="Y1817" s="1" t="s">
        <v>132</v>
      </c>
      <c r="Z1817" s="1" t="s">
        <v>132</v>
      </c>
      <c r="AA1817" s="1" t="s">
        <v>132</v>
      </c>
      <c r="AB1817" s="1" t="s">
        <v>132</v>
      </c>
      <c r="AC1817" s="1" t="s">
        <v>35323</v>
      </c>
      <c r="AD1817" s="1" t="s">
        <v>132</v>
      </c>
      <c r="AE1817" s="1" t="s">
        <v>132</v>
      </c>
      <c r="AF1817" s="1" t="s">
        <v>35324</v>
      </c>
      <c r="AG1817" s="1" t="s">
        <v>132</v>
      </c>
      <c r="AH1817" s="1" t="s">
        <v>132</v>
      </c>
      <c r="AI1817" s="1" t="s">
        <v>132</v>
      </c>
      <c r="AJ1817" s="1" t="s">
        <v>132</v>
      </c>
      <c r="AK1817" s="1" t="s">
        <v>132</v>
      </c>
      <c r="AL1817" s="1" t="s">
        <v>132</v>
      </c>
      <c r="AM1817" s="1" t="s">
        <v>132</v>
      </c>
      <c r="AN1817" s="1" t="s">
        <v>132</v>
      </c>
    </row>
    <row r="1818" ht="15.75" customHeight="1">
      <c r="A1818" s="1" t="s">
        <v>127</v>
      </c>
      <c r="B1818" s="1" t="s">
        <v>35325</v>
      </c>
      <c r="C1818" s="1" t="s">
        <v>35326</v>
      </c>
      <c r="D1818" s="8" t="s">
        <v>17677</v>
      </c>
      <c r="E1818" s="1" t="s">
        <v>35327</v>
      </c>
      <c r="F1818" s="1" t="s">
        <v>132</v>
      </c>
      <c r="G1818" s="1" t="s">
        <v>35328</v>
      </c>
      <c r="H1818" s="1" t="s">
        <v>35329</v>
      </c>
      <c r="I1818" s="1" t="s">
        <v>35326</v>
      </c>
      <c r="J1818" s="1" t="s">
        <v>35330</v>
      </c>
      <c r="K1818" s="1" t="s">
        <v>35331</v>
      </c>
      <c r="L1818" s="1" t="s">
        <v>35332</v>
      </c>
      <c r="M1818" s="1" t="s">
        <v>35333</v>
      </c>
      <c r="N1818" s="1" t="s">
        <v>132</v>
      </c>
      <c r="O1818" s="1" t="s">
        <v>35334</v>
      </c>
      <c r="P1818" s="1" t="s">
        <v>35335</v>
      </c>
      <c r="Q1818" s="1" t="s">
        <v>132</v>
      </c>
      <c r="R1818" s="1" t="s">
        <v>35336</v>
      </c>
      <c r="S1818" s="1" t="s">
        <v>35337</v>
      </c>
      <c r="T1818" s="8" t="s">
        <v>35338</v>
      </c>
      <c r="U1818" s="1" t="s">
        <v>35339</v>
      </c>
      <c r="V1818" s="1" t="s">
        <v>17685</v>
      </c>
      <c r="W1818" s="1" t="s">
        <v>35340</v>
      </c>
      <c r="X1818" s="1" t="s">
        <v>35326</v>
      </c>
      <c r="Y1818" s="1" t="s">
        <v>35341</v>
      </c>
      <c r="Z1818" s="1" t="s">
        <v>15925</v>
      </c>
      <c r="AA1818" s="1" t="s">
        <v>35342</v>
      </c>
      <c r="AB1818" s="1" t="s">
        <v>35343</v>
      </c>
      <c r="AC1818" s="1" t="s">
        <v>35344</v>
      </c>
      <c r="AD1818" s="1" t="s">
        <v>35345</v>
      </c>
      <c r="AE1818" s="1" t="s">
        <v>35326</v>
      </c>
      <c r="AF1818" s="1" t="s">
        <v>35326</v>
      </c>
      <c r="AG1818" s="1" t="s">
        <v>35346</v>
      </c>
      <c r="AH1818" s="1" t="s">
        <v>35347</v>
      </c>
      <c r="AI1818" s="1" t="s">
        <v>35348</v>
      </c>
      <c r="AJ1818" s="1" t="s">
        <v>132</v>
      </c>
      <c r="AK1818" s="1" t="s">
        <v>35349</v>
      </c>
      <c r="AL1818" s="1" t="s">
        <v>35350</v>
      </c>
      <c r="AM1818" s="1" t="s">
        <v>132</v>
      </c>
      <c r="AN1818" s="1" t="s">
        <v>132</v>
      </c>
    </row>
    <row r="1819" ht="15.75" customHeight="1">
      <c r="A1819" s="1" t="s">
        <v>38</v>
      </c>
      <c r="B1819" s="1" t="s">
        <v>35351</v>
      </c>
      <c r="C1819" s="1" t="s">
        <v>35352</v>
      </c>
      <c r="D1819" s="1" t="s">
        <v>132</v>
      </c>
      <c r="E1819" s="1" t="s">
        <v>35353</v>
      </c>
      <c r="F1819" s="1" t="s">
        <v>132</v>
      </c>
      <c r="G1819" s="1" t="s">
        <v>132</v>
      </c>
      <c r="H1819" s="1" t="s">
        <v>132</v>
      </c>
      <c r="I1819" s="1" t="s">
        <v>35354</v>
      </c>
      <c r="J1819" s="1" t="s">
        <v>132</v>
      </c>
      <c r="K1819" s="1" t="s">
        <v>35355</v>
      </c>
      <c r="L1819" s="1" t="s">
        <v>132</v>
      </c>
      <c r="M1819" s="1" t="s">
        <v>35356</v>
      </c>
      <c r="N1819" s="1" t="s">
        <v>35357</v>
      </c>
      <c r="O1819" s="1" t="s">
        <v>132</v>
      </c>
      <c r="P1819" s="1" t="s">
        <v>35358</v>
      </c>
      <c r="Q1819" s="1" t="s">
        <v>132</v>
      </c>
      <c r="R1819" s="1" t="s">
        <v>132</v>
      </c>
      <c r="S1819" s="1" t="s">
        <v>35359</v>
      </c>
      <c r="T1819" s="1" t="s">
        <v>132</v>
      </c>
      <c r="U1819" s="1" t="s">
        <v>132</v>
      </c>
      <c r="V1819" s="1" t="s">
        <v>132</v>
      </c>
      <c r="W1819" s="1" t="s">
        <v>132</v>
      </c>
      <c r="X1819" s="1" t="s">
        <v>35360</v>
      </c>
      <c r="Y1819" s="1" t="s">
        <v>132</v>
      </c>
      <c r="Z1819" s="1" t="s">
        <v>35361</v>
      </c>
      <c r="AA1819" s="1" t="s">
        <v>132</v>
      </c>
      <c r="AB1819" s="1" t="s">
        <v>132</v>
      </c>
      <c r="AC1819" s="1" t="s">
        <v>132</v>
      </c>
      <c r="AD1819" s="1" t="s">
        <v>132</v>
      </c>
      <c r="AE1819" s="1" t="s">
        <v>132</v>
      </c>
      <c r="AF1819" s="1" t="s">
        <v>132</v>
      </c>
      <c r="AG1819" s="1" t="s">
        <v>132</v>
      </c>
      <c r="AH1819" s="1" t="s">
        <v>132</v>
      </c>
      <c r="AI1819" s="1" t="s">
        <v>132</v>
      </c>
      <c r="AJ1819" s="1" t="s">
        <v>132</v>
      </c>
      <c r="AK1819" s="1" t="s">
        <v>132</v>
      </c>
      <c r="AL1819" s="1" t="s">
        <v>132</v>
      </c>
      <c r="AM1819" s="1" t="s">
        <v>132</v>
      </c>
      <c r="AN1819" s="1" t="s">
        <v>132</v>
      </c>
    </row>
    <row r="1820" ht="15.75" customHeight="1">
      <c r="A1820" s="1" t="s">
        <v>4051</v>
      </c>
      <c r="B1820" s="1" t="s">
        <v>35362</v>
      </c>
      <c r="C1820" s="1" t="s">
        <v>35363</v>
      </c>
      <c r="D1820" s="1" t="s">
        <v>132</v>
      </c>
      <c r="E1820" s="1" t="s">
        <v>35364</v>
      </c>
      <c r="F1820" s="1" t="s">
        <v>132</v>
      </c>
      <c r="G1820" s="1" t="s">
        <v>35365</v>
      </c>
      <c r="H1820" s="1" t="s">
        <v>35366</v>
      </c>
      <c r="I1820" s="1" t="s">
        <v>132</v>
      </c>
      <c r="J1820" s="1" t="s">
        <v>35367</v>
      </c>
      <c r="K1820" s="1" t="s">
        <v>35368</v>
      </c>
      <c r="L1820" s="1" t="s">
        <v>35369</v>
      </c>
      <c r="M1820" s="1" t="s">
        <v>35370</v>
      </c>
      <c r="N1820" s="1" t="s">
        <v>35371</v>
      </c>
      <c r="O1820" s="1" t="s">
        <v>132</v>
      </c>
      <c r="P1820" s="1" t="s">
        <v>35372</v>
      </c>
      <c r="Q1820" s="1" t="s">
        <v>132</v>
      </c>
      <c r="R1820" s="1" t="s">
        <v>35373</v>
      </c>
      <c r="S1820" s="8" t="s">
        <v>35374</v>
      </c>
      <c r="T1820" s="1" t="s">
        <v>132</v>
      </c>
      <c r="U1820" s="1" t="s">
        <v>35375</v>
      </c>
      <c r="V1820" s="1" t="s">
        <v>132</v>
      </c>
      <c r="W1820" s="1" t="s">
        <v>35376</v>
      </c>
      <c r="X1820" s="1" t="s">
        <v>35377</v>
      </c>
      <c r="Y1820" s="1" t="s">
        <v>35378</v>
      </c>
      <c r="Z1820" s="11" t="s">
        <v>35379</v>
      </c>
      <c r="AA1820" s="1" t="s">
        <v>35380</v>
      </c>
      <c r="AB1820" s="1" t="s">
        <v>132</v>
      </c>
      <c r="AC1820" s="1" t="s">
        <v>35381</v>
      </c>
      <c r="AD1820" s="1" t="s">
        <v>35382</v>
      </c>
      <c r="AE1820" s="1" t="s">
        <v>35383</v>
      </c>
      <c r="AF1820" s="1" t="s">
        <v>132</v>
      </c>
      <c r="AG1820" s="11" t="s">
        <v>35384</v>
      </c>
      <c r="AH1820" s="1" t="s">
        <v>132</v>
      </c>
      <c r="AI1820" s="1" t="s">
        <v>35384</v>
      </c>
      <c r="AJ1820" s="1" t="s">
        <v>35385</v>
      </c>
      <c r="AK1820" s="1" t="s">
        <v>132</v>
      </c>
      <c r="AL1820" s="14" t="s">
        <v>35386</v>
      </c>
      <c r="AM1820" s="1" t="s">
        <v>35387</v>
      </c>
      <c r="AN1820" s="1" t="s">
        <v>35387</v>
      </c>
    </row>
    <row r="1821" ht="15.75" customHeight="1">
      <c r="A1821" s="1" t="s">
        <v>127</v>
      </c>
      <c r="B1821" s="1" t="s">
        <v>35388</v>
      </c>
      <c r="C1821" s="1" t="s">
        <v>2236</v>
      </c>
      <c r="D1821" s="8" t="s">
        <v>2237</v>
      </c>
      <c r="E1821" s="1" t="s">
        <v>2238</v>
      </c>
      <c r="F1821" s="1" t="s">
        <v>132</v>
      </c>
      <c r="G1821" s="1" t="s">
        <v>25946</v>
      </c>
      <c r="H1821" s="1" t="s">
        <v>25947</v>
      </c>
      <c r="I1821" s="1" t="s">
        <v>2240</v>
      </c>
      <c r="J1821" s="1" t="s">
        <v>25948</v>
      </c>
      <c r="K1821" s="1" t="s">
        <v>2241</v>
      </c>
      <c r="L1821" s="1" t="s">
        <v>25949</v>
      </c>
      <c r="M1821" s="1" t="s">
        <v>2242</v>
      </c>
      <c r="N1821" s="1" t="s">
        <v>132</v>
      </c>
      <c r="O1821" s="1" t="s">
        <v>25950</v>
      </c>
      <c r="P1821" s="1" t="s">
        <v>2244</v>
      </c>
      <c r="Q1821" s="1" t="s">
        <v>132</v>
      </c>
      <c r="R1821" s="1" t="s">
        <v>2245</v>
      </c>
      <c r="S1821" s="1" t="s">
        <v>2246</v>
      </c>
      <c r="T1821" s="8" t="s">
        <v>25951</v>
      </c>
      <c r="U1821" s="1" t="s">
        <v>2247</v>
      </c>
      <c r="V1821" s="1" t="s">
        <v>2248</v>
      </c>
      <c r="W1821" s="1" t="s">
        <v>2245</v>
      </c>
      <c r="X1821" s="1" t="s">
        <v>2249</v>
      </c>
      <c r="Y1821" s="1" t="s">
        <v>25952</v>
      </c>
      <c r="Z1821" s="1" t="s">
        <v>25953</v>
      </c>
      <c r="AA1821" s="1" t="s">
        <v>35389</v>
      </c>
      <c r="AB1821" s="1" t="s">
        <v>25954</v>
      </c>
      <c r="AC1821" s="1" t="s">
        <v>2238</v>
      </c>
      <c r="AD1821" s="1" t="s">
        <v>25946</v>
      </c>
      <c r="AE1821" s="1" t="s">
        <v>25955</v>
      </c>
      <c r="AF1821" s="1" t="s">
        <v>4396</v>
      </c>
      <c r="AG1821" s="1" t="s">
        <v>25956</v>
      </c>
      <c r="AH1821" s="1" t="s">
        <v>25957</v>
      </c>
      <c r="AI1821" s="1" t="s">
        <v>25958</v>
      </c>
      <c r="AJ1821" s="1" t="s">
        <v>132</v>
      </c>
      <c r="AK1821" s="1" t="s">
        <v>2255</v>
      </c>
      <c r="AL1821" s="1" t="s">
        <v>2256</v>
      </c>
      <c r="AM1821" s="1" t="s">
        <v>25959</v>
      </c>
      <c r="AN1821" s="1" t="s">
        <v>25959</v>
      </c>
    </row>
    <row r="1822" ht="15.75" customHeight="1">
      <c r="A1822" s="1" t="s">
        <v>38</v>
      </c>
      <c r="B1822" s="1" t="s">
        <v>35390</v>
      </c>
      <c r="C1822" s="1" t="s">
        <v>35391</v>
      </c>
      <c r="D1822" s="8" t="s">
        <v>35392</v>
      </c>
      <c r="E1822" s="1" t="s">
        <v>35393</v>
      </c>
      <c r="F1822" s="1" t="s">
        <v>35394</v>
      </c>
      <c r="G1822" s="1" t="s">
        <v>132</v>
      </c>
      <c r="H1822" s="1" t="s">
        <v>132</v>
      </c>
      <c r="I1822" s="1" t="s">
        <v>35395</v>
      </c>
      <c r="J1822" s="1" t="s">
        <v>132</v>
      </c>
      <c r="K1822" s="1" t="s">
        <v>35396</v>
      </c>
      <c r="L1822" s="1" t="s">
        <v>132</v>
      </c>
      <c r="M1822" s="1" t="s">
        <v>35397</v>
      </c>
      <c r="N1822" s="1" t="s">
        <v>35398</v>
      </c>
      <c r="O1822" s="1" t="s">
        <v>132</v>
      </c>
      <c r="P1822" s="1" t="s">
        <v>35399</v>
      </c>
      <c r="Q1822" s="1" t="s">
        <v>35400</v>
      </c>
      <c r="R1822" s="1" t="s">
        <v>132</v>
      </c>
      <c r="S1822" s="1" t="s">
        <v>35401</v>
      </c>
      <c r="T1822" s="1" t="s">
        <v>132</v>
      </c>
      <c r="U1822" s="1" t="s">
        <v>35402</v>
      </c>
      <c r="V1822" s="1" t="s">
        <v>35403</v>
      </c>
      <c r="W1822" s="1" t="s">
        <v>132</v>
      </c>
      <c r="X1822" s="1" t="s">
        <v>35404</v>
      </c>
      <c r="Y1822" s="1" t="s">
        <v>132</v>
      </c>
      <c r="Z1822" s="1" t="s">
        <v>35405</v>
      </c>
      <c r="AA1822" s="1" t="s">
        <v>35406</v>
      </c>
      <c r="AB1822" s="1" t="s">
        <v>132</v>
      </c>
      <c r="AC1822" s="1" t="s">
        <v>35407</v>
      </c>
      <c r="AD1822" s="1" t="s">
        <v>35408</v>
      </c>
      <c r="AE1822" s="1" t="s">
        <v>132</v>
      </c>
      <c r="AF1822" s="1" t="s">
        <v>35409</v>
      </c>
      <c r="AG1822" s="1" t="s">
        <v>35410</v>
      </c>
      <c r="AH1822" s="1" t="s">
        <v>132</v>
      </c>
      <c r="AI1822" s="1" t="s">
        <v>132</v>
      </c>
      <c r="AJ1822" s="1" t="s">
        <v>35411</v>
      </c>
      <c r="AK1822" s="1" t="s">
        <v>35412</v>
      </c>
      <c r="AL1822" s="1" t="s">
        <v>132</v>
      </c>
      <c r="AM1822" s="1" t="s">
        <v>35413</v>
      </c>
      <c r="AN1822" s="1" t="s">
        <v>35413</v>
      </c>
    </row>
    <row r="1823" ht="15.75" customHeight="1">
      <c r="A1823" s="1" t="s">
        <v>127</v>
      </c>
      <c r="B1823" s="1" t="s">
        <v>35414</v>
      </c>
      <c r="C1823" s="1" t="s">
        <v>35415</v>
      </c>
      <c r="D1823" s="8" t="s">
        <v>35416</v>
      </c>
      <c r="E1823" s="1" t="s">
        <v>35417</v>
      </c>
      <c r="F1823" s="1" t="s">
        <v>132</v>
      </c>
      <c r="G1823" s="1" t="s">
        <v>35418</v>
      </c>
      <c r="H1823" s="1" t="s">
        <v>35419</v>
      </c>
      <c r="I1823" s="1" t="s">
        <v>35420</v>
      </c>
      <c r="J1823" s="1" t="s">
        <v>35421</v>
      </c>
      <c r="K1823" s="1" t="s">
        <v>35422</v>
      </c>
      <c r="L1823" s="1" t="s">
        <v>35423</v>
      </c>
      <c r="M1823" s="1" t="s">
        <v>35424</v>
      </c>
      <c r="N1823" s="1" t="s">
        <v>132</v>
      </c>
      <c r="O1823" s="1" t="s">
        <v>35425</v>
      </c>
      <c r="P1823" s="1" t="s">
        <v>35426</v>
      </c>
      <c r="Q1823" s="1" t="s">
        <v>132</v>
      </c>
      <c r="R1823" s="1" t="s">
        <v>35427</v>
      </c>
      <c r="S1823" s="1" t="s">
        <v>35428</v>
      </c>
      <c r="T1823" s="8" t="s">
        <v>35429</v>
      </c>
      <c r="U1823" s="1" t="s">
        <v>35430</v>
      </c>
      <c r="V1823" s="1" t="s">
        <v>35431</v>
      </c>
      <c r="W1823" s="1" t="s">
        <v>35432</v>
      </c>
      <c r="X1823" s="1" t="s">
        <v>35433</v>
      </c>
      <c r="Y1823" s="1" t="s">
        <v>35434</v>
      </c>
      <c r="Z1823" s="1" t="s">
        <v>35435</v>
      </c>
      <c r="AA1823" s="1" t="s">
        <v>35436</v>
      </c>
      <c r="AB1823" s="1" t="s">
        <v>35437</v>
      </c>
      <c r="AC1823" s="1" t="s">
        <v>35438</v>
      </c>
      <c r="AD1823" s="1" t="s">
        <v>35439</v>
      </c>
      <c r="AE1823" s="1" t="s">
        <v>35440</v>
      </c>
      <c r="AF1823" s="1" t="s">
        <v>35441</v>
      </c>
      <c r="AG1823" s="1" t="s">
        <v>35442</v>
      </c>
      <c r="AH1823" s="1" t="s">
        <v>35443</v>
      </c>
      <c r="AI1823" s="1" t="s">
        <v>35444</v>
      </c>
      <c r="AJ1823" s="1" t="s">
        <v>132</v>
      </c>
      <c r="AK1823" s="1" t="s">
        <v>35445</v>
      </c>
      <c r="AL1823" s="1" t="s">
        <v>35446</v>
      </c>
      <c r="AM1823" s="1" t="s">
        <v>132</v>
      </c>
      <c r="AN1823" s="1" t="s">
        <v>132</v>
      </c>
    </row>
    <row r="1824" ht="15.75" customHeight="1">
      <c r="A1824" s="1" t="s">
        <v>38</v>
      </c>
      <c r="B1824" s="1" t="s">
        <v>35447</v>
      </c>
      <c r="C1824" s="1" t="s">
        <v>35448</v>
      </c>
      <c r="D1824" s="8" t="s">
        <v>35449</v>
      </c>
      <c r="E1824" s="1" t="s">
        <v>35450</v>
      </c>
      <c r="F1824" s="1" t="s">
        <v>35451</v>
      </c>
      <c r="G1824" s="1" t="s">
        <v>132</v>
      </c>
      <c r="H1824" s="1" t="s">
        <v>132</v>
      </c>
      <c r="I1824" s="1" t="s">
        <v>35452</v>
      </c>
      <c r="J1824" s="1" t="s">
        <v>132</v>
      </c>
      <c r="K1824" s="1" t="s">
        <v>35453</v>
      </c>
      <c r="L1824" s="1" t="s">
        <v>132</v>
      </c>
      <c r="M1824" s="1" t="s">
        <v>35454</v>
      </c>
      <c r="N1824" s="1" t="s">
        <v>35455</v>
      </c>
      <c r="O1824" s="1" t="s">
        <v>132</v>
      </c>
      <c r="P1824" s="1" t="s">
        <v>35456</v>
      </c>
      <c r="Q1824" s="1" t="s">
        <v>35457</v>
      </c>
      <c r="R1824" s="1" t="s">
        <v>132</v>
      </c>
      <c r="S1824" s="1" t="s">
        <v>35458</v>
      </c>
      <c r="T1824" s="1" t="s">
        <v>132</v>
      </c>
      <c r="U1824" s="1" t="s">
        <v>35459</v>
      </c>
      <c r="V1824" s="1" t="s">
        <v>35460</v>
      </c>
      <c r="W1824" s="1" t="s">
        <v>132</v>
      </c>
      <c r="X1824" s="1" t="s">
        <v>35461</v>
      </c>
      <c r="Y1824" s="1" t="s">
        <v>132</v>
      </c>
      <c r="Z1824" s="1" t="s">
        <v>35462</v>
      </c>
      <c r="AA1824" s="1" t="s">
        <v>35463</v>
      </c>
      <c r="AB1824" s="1" t="s">
        <v>132</v>
      </c>
      <c r="AC1824" s="1" t="s">
        <v>35464</v>
      </c>
      <c r="AD1824" s="1" t="s">
        <v>35465</v>
      </c>
      <c r="AE1824" s="1" t="s">
        <v>132</v>
      </c>
      <c r="AF1824" s="1" t="s">
        <v>35466</v>
      </c>
      <c r="AG1824" s="1" t="s">
        <v>35467</v>
      </c>
      <c r="AH1824" s="1" t="s">
        <v>132</v>
      </c>
      <c r="AI1824" s="1" t="s">
        <v>132</v>
      </c>
      <c r="AJ1824" s="1" t="s">
        <v>35468</v>
      </c>
      <c r="AK1824" s="1" t="s">
        <v>35469</v>
      </c>
      <c r="AL1824" s="1" t="s">
        <v>132</v>
      </c>
      <c r="AM1824" s="1" t="s">
        <v>35470</v>
      </c>
      <c r="AN1824" s="1" t="s">
        <v>35470</v>
      </c>
    </row>
    <row r="1825" ht="15.75" customHeight="1">
      <c r="A1825" s="1" t="s">
        <v>38</v>
      </c>
      <c r="B1825" s="1" t="s">
        <v>35471</v>
      </c>
      <c r="C1825" s="1" t="s">
        <v>35472</v>
      </c>
      <c r="D1825" s="8" t="s">
        <v>35473</v>
      </c>
      <c r="E1825" s="1" t="s">
        <v>22862</v>
      </c>
      <c r="F1825" s="1" t="s">
        <v>35474</v>
      </c>
      <c r="G1825" s="1" t="s">
        <v>132</v>
      </c>
      <c r="H1825" s="1" t="s">
        <v>132</v>
      </c>
      <c r="I1825" s="1" t="s">
        <v>35475</v>
      </c>
      <c r="J1825" s="1" t="s">
        <v>132</v>
      </c>
      <c r="K1825" s="1" t="s">
        <v>35476</v>
      </c>
      <c r="L1825" s="1" t="s">
        <v>132</v>
      </c>
      <c r="M1825" s="1" t="s">
        <v>35477</v>
      </c>
      <c r="N1825" s="1" t="s">
        <v>35478</v>
      </c>
      <c r="O1825" s="1" t="s">
        <v>132</v>
      </c>
      <c r="P1825" s="1" t="s">
        <v>35479</v>
      </c>
      <c r="Q1825" s="1" t="s">
        <v>35480</v>
      </c>
      <c r="R1825" s="1" t="s">
        <v>132</v>
      </c>
      <c r="S1825" s="1" t="s">
        <v>35481</v>
      </c>
      <c r="T1825" s="1" t="s">
        <v>132</v>
      </c>
      <c r="U1825" s="1" t="s">
        <v>35482</v>
      </c>
      <c r="V1825" s="1" t="s">
        <v>35483</v>
      </c>
      <c r="W1825" s="1" t="s">
        <v>132</v>
      </c>
      <c r="X1825" s="1" t="s">
        <v>35484</v>
      </c>
      <c r="Y1825" s="1" t="s">
        <v>132</v>
      </c>
      <c r="Z1825" s="1" t="s">
        <v>35485</v>
      </c>
      <c r="AA1825" s="1" t="s">
        <v>35486</v>
      </c>
      <c r="AB1825" s="1" t="s">
        <v>132</v>
      </c>
      <c r="AC1825" s="1" t="s">
        <v>35487</v>
      </c>
      <c r="AD1825" s="1" t="s">
        <v>35488</v>
      </c>
      <c r="AE1825" s="1" t="s">
        <v>132</v>
      </c>
      <c r="AF1825" s="1" t="s">
        <v>35489</v>
      </c>
      <c r="AG1825" s="1" t="s">
        <v>35490</v>
      </c>
      <c r="AH1825" s="1" t="s">
        <v>132</v>
      </c>
      <c r="AI1825" s="1" t="s">
        <v>132</v>
      </c>
      <c r="AJ1825" s="1" t="s">
        <v>35491</v>
      </c>
      <c r="AK1825" s="1" t="s">
        <v>35492</v>
      </c>
      <c r="AL1825" s="1" t="s">
        <v>132</v>
      </c>
      <c r="AM1825" s="1" t="s">
        <v>35493</v>
      </c>
      <c r="AN1825" s="1" t="s">
        <v>35493</v>
      </c>
    </row>
    <row r="1826" ht="15.75" customHeight="1">
      <c r="A1826" s="1" t="s">
        <v>38</v>
      </c>
      <c r="B1826" s="1" t="s">
        <v>35494</v>
      </c>
      <c r="C1826" s="1" t="s">
        <v>35495</v>
      </c>
      <c r="D1826" s="1" t="s">
        <v>132</v>
      </c>
      <c r="E1826" s="1" t="s">
        <v>35496</v>
      </c>
      <c r="F1826" s="1" t="s">
        <v>35497</v>
      </c>
      <c r="G1826" s="1" t="s">
        <v>132</v>
      </c>
      <c r="H1826" s="1" t="s">
        <v>132</v>
      </c>
      <c r="I1826" s="1" t="s">
        <v>35498</v>
      </c>
      <c r="J1826" s="1" t="s">
        <v>132</v>
      </c>
      <c r="K1826" s="1" t="s">
        <v>35499</v>
      </c>
      <c r="L1826" s="1" t="s">
        <v>132</v>
      </c>
      <c r="M1826" s="1" t="s">
        <v>35500</v>
      </c>
      <c r="N1826" s="1" t="s">
        <v>35501</v>
      </c>
      <c r="O1826" s="1" t="s">
        <v>132</v>
      </c>
      <c r="P1826" s="1" t="s">
        <v>35502</v>
      </c>
      <c r="Q1826" s="1" t="s">
        <v>132</v>
      </c>
      <c r="R1826" s="1" t="s">
        <v>132</v>
      </c>
      <c r="S1826" s="1" t="s">
        <v>35503</v>
      </c>
      <c r="T1826" s="1" t="s">
        <v>132</v>
      </c>
      <c r="U1826" s="1" t="s">
        <v>35504</v>
      </c>
      <c r="V1826" s="1" t="s">
        <v>35505</v>
      </c>
      <c r="W1826" s="1" t="s">
        <v>132</v>
      </c>
      <c r="X1826" s="1" t="s">
        <v>35506</v>
      </c>
      <c r="Y1826" s="1" t="s">
        <v>132</v>
      </c>
      <c r="Z1826" s="1" t="s">
        <v>35507</v>
      </c>
      <c r="AA1826" s="1" t="s">
        <v>132</v>
      </c>
      <c r="AB1826" s="1" t="s">
        <v>132</v>
      </c>
      <c r="AC1826" s="1" t="s">
        <v>35508</v>
      </c>
      <c r="AD1826" s="1" t="s">
        <v>132</v>
      </c>
      <c r="AE1826" s="1" t="s">
        <v>132</v>
      </c>
      <c r="AF1826" s="1" t="s">
        <v>35509</v>
      </c>
      <c r="AG1826" s="1" t="s">
        <v>35510</v>
      </c>
      <c r="AH1826" s="1" t="s">
        <v>132</v>
      </c>
      <c r="AI1826" s="1" t="s">
        <v>132</v>
      </c>
      <c r="AJ1826" s="1" t="s">
        <v>35511</v>
      </c>
      <c r="AK1826" s="1" t="s">
        <v>132</v>
      </c>
      <c r="AL1826" s="1" t="s">
        <v>132</v>
      </c>
      <c r="AM1826" s="1" t="s">
        <v>35512</v>
      </c>
      <c r="AN1826" s="1" t="s">
        <v>35512</v>
      </c>
    </row>
    <row r="1827" ht="15.75" customHeight="1">
      <c r="A1827" s="1" t="s">
        <v>127</v>
      </c>
      <c r="B1827" s="1" t="s">
        <v>35513</v>
      </c>
      <c r="C1827" s="1" t="s">
        <v>35514</v>
      </c>
      <c r="D1827" s="8" t="s">
        <v>35515</v>
      </c>
      <c r="E1827" s="1" t="s">
        <v>35516</v>
      </c>
      <c r="F1827" s="1" t="s">
        <v>132</v>
      </c>
      <c r="G1827" s="1" t="s">
        <v>35517</v>
      </c>
      <c r="H1827" s="1" t="s">
        <v>35518</v>
      </c>
      <c r="I1827" s="1" t="s">
        <v>35514</v>
      </c>
      <c r="J1827" s="1" t="s">
        <v>35519</v>
      </c>
      <c r="K1827" s="1" t="s">
        <v>35520</v>
      </c>
      <c r="L1827" s="1" t="s">
        <v>35521</v>
      </c>
      <c r="M1827" s="1" t="s">
        <v>35522</v>
      </c>
      <c r="N1827" s="1" t="s">
        <v>132</v>
      </c>
      <c r="O1827" s="1" t="s">
        <v>35523</v>
      </c>
      <c r="P1827" s="1" t="s">
        <v>35524</v>
      </c>
      <c r="Q1827" s="1" t="s">
        <v>132</v>
      </c>
      <c r="R1827" s="1" t="s">
        <v>35525</v>
      </c>
      <c r="S1827" s="1" t="s">
        <v>35526</v>
      </c>
      <c r="T1827" s="8" t="s">
        <v>35527</v>
      </c>
      <c r="U1827" s="1" t="s">
        <v>35528</v>
      </c>
      <c r="V1827" s="1" t="s">
        <v>35529</v>
      </c>
      <c r="W1827" s="1" t="s">
        <v>35530</v>
      </c>
      <c r="X1827" s="1" t="s">
        <v>35531</v>
      </c>
      <c r="Y1827" s="1" t="s">
        <v>35518</v>
      </c>
      <c r="Z1827" s="1" t="s">
        <v>35532</v>
      </c>
      <c r="AA1827" s="1" t="s">
        <v>35533</v>
      </c>
      <c r="AB1827" s="1" t="s">
        <v>35534</v>
      </c>
      <c r="AC1827" s="1" t="s">
        <v>35535</v>
      </c>
      <c r="AD1827" s="1" t="s">
        <v>35536</v>
      </c>
      <c r="AE1827" s="1" t="s">
        <v>35537</v>
      </c>
      <c r="AF1827" s="1" t="s">
        <v>35538</v>
      </c>
      <c r="AG1827" s="1" t="s">
        <v>35539</v>
      </c>
      <c r="AH1827" s="1" t="s">
        <v>35540</v>
      </c>
      <c r="AI1827" s="1" t="s">
        <v>35541</v>
      </c>
      <c r="AJ1827" s="1" t="s">
        <v>132</v>
      </c>
      <c r="AK1827" s="1" t="s">
        <v>35542</v>
      </c>
      <c r="AL1827" s="1" t="s">
        <v>35543</v>
      </c>
      <c r="AM1827" s="1" t="s">
        <v>35544</v>
      </c>
      <c r="AN1827" s="1" t="s">
        <v>35544</v>
      </c>
    </row>
    <row r="1828" ht="15.75" customHeight="1">
      <c r="A1828" s="1" t="s">
        <v>38</v>
      </c>
      <c r="B1828" s="1" t="s">
        <v>35545</v>
      </c>
      <c r="C1828" s="1" t="s">
        <v>35546</v>
      </c>
      <c r="D1828" s="1" t="s">
        <v>132</v>
      </c>
      <c r="E1828" s="1" t="s">
        <v>132</v>
      </c>
      <c r="F1828" s="1" t="s">
        <v>132</v>
      </c>
      <c r="G1828" s="1" t="s">
        <v>132</v>
      </c>
      <c r="H1828" s="1" t="s">
        <v>132</v>
      </c>
      <c r="I1828" s="1" t="s">
        <v>35546</v>
      </c>
      <c r="J1828" s="1" t="s">
        <v>132</v>
      </c>
      <c r="K1828" s="1" t="s">
        <v>35547</v>
      </c>
      <c r="L1828" s="1" t="s">
        <v>132</v>
      </c>
      <c r="M1828" s="1" t="s">
        <v>35546</v>
      </c>
      <c r="N1828" s="1" t="s">
        <v>132</v>
      </c>
      <c r="O1828" s="1" t="s">
        <v>132</v>
      </c>
      <c r="P1828" s="1" t="s">
        <v>35546</v>
      </c>
      <c r="Q1828" s="1" t="s">
        <v>132</v>
      </c>
      <c r="R1828" s="1" t="s">
        <v>132</v>
      </c>
      <c r="S1828" s="1" t="s">
        <v>132</v>
      </c>
      <c r="T1828" s="1" t="s">
        <v>132</v>
      </c>
      <c r="U1828" s="1" t="s">
        <v>132</v>
      </c>
      <c r="V1828" s="1" t="s">
        <v>132</v>
      </c>
      <c r="W1828" s="1" t="s">
        <v>132</v>
      </c>
      <c r="X1828" s="1" t="s">
        <v>132</v>
      </c>
      <c r="Y1828" s="1" t="s">
        <v>132</v>
      </c>
      <c r="Z1828" s="1" t="s">
        <v>132</v>
      </c>
      <c r="AA1828" s="1" t="s">
        <v>132</v>
      </c>
      <c r="AB1828" s="1" t="s">
        <v>132</v>
      </c>
      <c r="AC1828" s="1" t="s">
        <v>35548</v>
      </c>
      <c r="AD1828" s="1" t="s">
        <v>132</v>
      </c>
      <c r="AE1828" s="1" t="s">
        <v>132</v>
      </c>
      <c r="AF1828" s="1" t="s">
        <v>35549</v>
      </c>
      <c r="AG1828" s="1" t="s">
        <v>132</v>
      </c>
      <c r="AH1828" s="1" t="s">
        <v>132</v>
      </c>
      <c r="AI1828" s="1" t="s">
        <v>132</v>
      </c>
      <c r="AJ1828" s="1" t="s">
        <v>132</v>
      </c>
      <c r="AK1828" s="1" t="s">
        <v>132</v>
      </c>
      <c r="AL1828" s="1" t="s">
        <v>132</v>
      </c>
      <c r="AM1828" s="1" t="s">
        <v>132</v>
      </c>
      <c r="AN1828" s="1" t="s">
        <v>132</v>
      </c>
    </row>
    <row r="1829" ht="15.75" customHeight="1">
      <c r="A1829" s="1" t="s">
        <v>127</v>
      </c>
      <c r="B1829" s="1" t="s">
        <v>35550</v>
      </c>
      <c r="C1829" s="1" t="s">
        <v>3279</v>
      </c>
      <c r="D1829" s="8" t="s">
        <v>23953</v>
      </c>
      <c r="E1829" s="1" t="s">
        <v>23954</v>
      </c>
      <c r="F1829" s="1" t="s">
        <v>132</v>
      </c>
      <c r="G1829" s="1" t="s">
        <v>23955</v>
      </c>
      <c r="H1829" s="1" t="s">
        <v>23956</v>
      </c>
      <c r="I1829" s="1" t="s">
        <v>35551</v>
      </c>
      <c r="J1829" s="1" t="s">
        <v>3279</v>
      </c>
      <c r="K1829" s="1" t="s">
        <v>3279</v>
      </c>
      <c r="L1829" s="1" t="s">
        <v>23957</v>
      </c>
      <c r="M1829" s="1" t="s">
        <v>3279</v>
      </c>
      <c r="N1829" s="1" t="s">
        <v>132</v>
      </c>
      <c r="O1829" s="1" t="s">
        <v>23958</v>
      </c>
      <c r="P1829" s="1" t="s">
        <v>3279</v>
      </c>
      <c r="Q1829" s="1" t="s">
        <v>132</v>
      </c>
      <c r="R1829" s="1" t="s">
        <v>23959</v>
      </c>
      <c r="S1829" s="1" t="s">
        <v>3279</v>
      </c>
      <c r="T1829" s="8" t="s">
        <v>23960</v>
      </c>
      <c r="U1829" s="1" t="s">
        <v>3271</v>
      </c>
      <c r="V1829" s="1" t="s">
        <v>3279</v>
      </c>
      <c r="W1829" s="1" t="s">
        <v>23959</v>
      </c>
      <c r="X1829" s="1" t="s">
        <v>3279</v>
      </c>
      <c r="Y1829" s="1" t="s">
        <v>23956</v>
      </c>
      <c r="Z1829" s="1" t="s">
        <v>3279</v>
      </c>
      <c r="AA1829" s="1" t="s">
        <v>3279</v>
      </c>
      <c r="AB1829" s="1" t="s">
        <v>3279</v>
      </c>
      <c r="AC1829" s="1" t="s">
        <v>23961</v>
      </c>
      <c r="AD1829" s="1" t="s">
        <v>3279</v>
      </c>
      <c r="AE1829" s="1" t="s">
        <v>23962</v>
      </c>
      <c r="AF1829" s="1" t="s">
        <v>3279</v>
      </c>
      <c r="AG1829" s="1" t="s">
        <v>3279</v>
      </c>
      <c r="AH1829" s="1" t="s">
        <v>3279</v>
      </c>
      <c r="AI1829" s="1" t="s">
        <v>23963</v>
      </c>
      <c r="AJ1829" s="1" t="s">
        <v>132</v>
      </c>
      <c r="AK1829" s="1" t="s">
        <v>3279</v>
      </c>
      <c r="AL1829" s="1" t="s">
        <v>23964</v>
      </c>
      <c r="AM1829" s="1" t="s">
        <v>23965</v>
      </c>
      <c r="AN1829" s="1" t="s">
        <v>23965</v>
      </c>
    </row>
    <row r="1830" ht="15.75" customHeight="1">
      <c r="A1830" s="1" t="s">
        <v>127</v>
      </c>
      <c r="B1830" s="1" t="s">
        <v>35552</v>
      </c>
      <c r="C1830" s="1" t="s">
        <v>35553</v>
      </c>
      <c r="D1830" s="8" t="s">
        <v>35554</v>
      </c>
      <c r="E1830" s="1" t="s">
        <v>35555</v>
      </c>
      <c r="F1830" s="1" t="s">
        <v>132</v>
      </c>
      <c r="G1830" s="1" t="s">
        <v>35556</v>
      </c>
      <c r="H1830" s="1" t="s">
        <v>35557</v>
      </c>
      <c r="I1830" s="1" t="s">
        <v>35558</v>
      </c>
      <c r="J1830" s="1" t="s">
        <v>35559</v>
      </c>
      <c r="K1830" s="1" t="s">
        <v>35560</v>
      </c>
      <c r="L1830" s="1" t="s">
        <v>35561</v>
      </c>
      <c r="M1830" s="1" t="s">
        <v>35562</v>
      </c>
      <c r="N1830" s="1" t="s">
        <v>132</v>
      </c>
      <c r="O1830" s="1" t="s">
        <v>35563</v>
      </c>
      <c r="P1830" s="1" t="s">
        <v>35564</v>
      </c>
      <c r="Q1830" s="1" t="s">
        <v>132</v>
      </c>
      <c r="R1830" s="1" t="s">
        <v>35565</v>
      </c>
      <c r="S1830" s="1" t="s">
        <v>35566</v>
      </c>
      <c r="T1830" s="8" t="s">
        <v>35567</v>
      </c>
      <c r="U1830" s="1" t="s">
        <v>35568</v>
      </c>
      <c r="V1830" s="1" t="s">
        <v>35569</v>
      </c>
      <c r="W1830" s="1" t="s">
        <v>35570</v>
      </c>
      <c r="X1830" s="1" t="s">
        <v>35571</v>
      </c>
      <c r="Y1830" s="1" t="s">
        <v>35572</v>
      </c>
      <c r="Z1830" s="1" t="s">
        <v>35573</v>
      </c>
      <c r="AA1830" s="1" t="s">
        <v>35574</v>
      </c>
      <c r="AB1830" s="1" t="s">
        <v>35575</v>
      </c>
      <c r="AC1830" s="1" t="s">
        <v>35576</v>
      </c>
      <c r="AD1830" s="1" t="s">
        <v>35577</v>
      </c>
      <c r="AE1830" s="1" t="s">
        <v>35578</v>
      </c>
      <c r="AF1830" s="1" t="s">
        <v>35579</v>
      </c>
      <c r="AG1830" s="1" t="s">
        <v>35580</v>
      </c>
      <c r="AH1830" s="1" t="s">
        <v>35581</v>
      </c>
      <c r="AI1830" s="1" t="s">
        <v>35582</v>
      </c>
      <c r="AJ1830" s="1" t="s">
        <v>132</v>
      </c>
      <c r="AK1830" s="1" t="s">
        <v>35583</v>
      </c>
      <c r="AL1830" s="1" t="s">
        <v>35584</v>
      </c>
      <c r="AM1830" s="1" t="s">
        <v>35585</v>
      </c>
      <c r="AN1830" s="1" t="s">
        <v>35585</v>
      </c>
    </row>
    <row r="1831" ht="15.75" customHeight="1">
      <c r="A1831" s="1" t="s">
        <v>38</v>
      </c>
      <c r="B1831" s="1" t="s">
        <v>35586</v>
      </c>
      <c r="C1831" s="1" t="s">
        <v>35587</v>
      </c>
      <c r="D1831" s="1" t="s">
        <v>132</v>
      </c>
      <c r="E1831" s="1" t="s">
        <v>132</v>
      </c>
      <c r="F1831" s="1" t="s">
        <v>132</v>
      </c>
      <c r="G1831" s="1" t="s">
        <v>132</v>
      </c>
      <c r="H1831" s="1" t="s">
        <v>132</v>
      </c>
      <c r="I1831" s="1" t="s">
        <v>35588</v>
      </c>
      <c r="J1831" s="1" t="s">
        <v>132</v>
      </c>
      <c r="K1831" s="1" t="s">
        <v>35589</v>
      </c>
      <c r="L1831" s="1" t="s">
        <v>132</v>
      </c>
      <c r="M1831" s="1" t="s">
        <v>35590</v>
      </c>
      <c r="N1831" s="1" t="s">
        <v>132</v>
      </c>
      <c r="O1831" s="1" t="s">
        <v>132</v>
      </c>
      <c r="P1831" s="1" t="s">
        <v>35589</v>
      </c>
      <c r="Q1831" s="1" t="s">
        <v>132</v>
      </c>
      <c r="R1831" s="1" t="s">
        <v>132</v>
      </c>
      <c r="S1831" s="1" t="s">
        <v>132</v>
      </c>
      <c r="T1831" s="1" t="s">
        <v>132</v>
      </c>
      <c r="U1831" s="1" t="s">
        <v>132</v>
      </c>
      <c r="V1831" s="1" t="s">
        <v>132</v>
      </c>
      <c r="W1831" s="1" t="s">
        <v>132</v>
      </c>
      <c r="X1831" s="1" t="s">
        <v>132</v>
      </c>
      <c r="Y1831" s="1" t="s">
        <v>132</v>
      </c>
      <c r="Z1831" s="1" t="s">
        <v>132</v>
      </c>
      <c r="AA1831" s="1" t="s">
        <v>132</v>
      </c>
      <c r="AB1831" s="1" t="s">
        <v>132</v>
      </c>
      <c r="AC1831" s="1" t="s">
        <v>35589</v>
      </c>
      <c r="AD1831" s="1" t="s">
        <v>132</v>
      </c>
      <c r="AE1831" s="1" t="s">
        <v>132</v>
      </c>
      <c r="AF1831" s="1" t="s">
        <v>35591</v>
      </c>
      <c r="AG1831" s="1" t="s">
        <v>132</v>
      </c>
      <c r="AH1831" s="1" t="s">
        <v>132</v>
      </c>
      <c r="AI1831" s="1" t="s">
        <v>132</v>
      </c>
      <c r="AJ1831" s="1" t="s">
        <v>132</v>
      </c>
      <c r="AK1831" s="1" t="s">
        <v>132</v>
      </c>
      <c r="AL1831" s="1" t="s">
        <v>132</v>
      </c>
      <c r="AM1831" s="1" t="s">
        <v>132</v>
      </c>
      <c r="AN1831" s="1" t="s">
        <v>132</v>
      </c>
    </row>
    <row r="1832" ht="15.75" customHeight="1">
      <c r="A1832" s="1" t="s">
        <v>38</v>
      </c>
      <c r="B1832" s="1" t="s">
        <v>35592</v>
      </c>
      <c r="C1832" s="1" t="s">
        <v>35593</v>
      </c>
      <c r="D1832" s="1" t="s">
        <v>132</v>
      </c>
      <c r="E1832" s="1" t="s">
        <v>132</v>
      </c>
      <c r="F1832" s="1" t="s">
        <v>132</v>
      </c>
      <c r="G1832" s="1" t="s">
        <v>132</v>
      </c>
      <c r="H1832" s="1" t="s">
        <v>132</v>
      </c>
      <c r="I1832" s="1" t="s">
        <v>35593</v>
      </c>
      <c r="J1832" s="1" t="s">
        <v>132</v>
      </c>
      <c r="K1832" s="1" t="s">
        <v>35593</v>
      </c>
      <c r="L1832" s="1" t="s">
        <v>132</v>
      </c>
      <c r="M1832" s="1" t="s">
        <v>35593</v>
      </c>
      <c r="N1832" s="1" t="s">
        <v>132</v>
      </c>
      <c r="O1832" s="1" t="s">
        <v>132</v>
      </c>
      <c r="P1832" s="1" t="s">
        <v>35593</v>
      </c>
      <c r="Q1832" s="1" t="s">
        <v>132</v>
      </c>
      <c r="R1832" s="1" t="s">
        <v>132</v>
      </c>
      <c r="S1832" s="1" t="s">
        <v>132</v>
      </c>
      <c r="T1832" s="1" t="s">
        <v>132</v>
      </c>
      <c r="U1832" s="1" t="s">
        <v>132</v>
      </c>
      <c r="V1832" s="1" t="s">
        <v>132</v>
      </c>
      <c r="W1832" s="1" t="s">
        <v>132</v>
      </c>
      <c r="X1832" s="1" t="s">
        <v>132</v>
      </c>
      <c r="Y1832" s="1" t="s">
        <v>132</v>
      </c>
      <c r="Z1832" s="1" t="s">
        <v>132</v>
      </c>
      <c r="AA1832" s="1" t="s">
        <v>132</v>
      </c>
      <c r="AB1832" s="1" t="s">
        <v>132</v>
      </c>
      <c r="AC1832" s="1" t="s">
        <v>35594</v>
      </c>
      <c r="AD1832" s="1" t="s">
        <v>132</v>
      </c>
      <c r="AE1832" s="1" t="s">
        <v>132</v>
      </c>
      <c r="AF1832" s="1" t="s">
        <v>35593</v>
      </c>
      <c r="AG1832" s="1" t="s">
        <v>132</v>
      </c>
      <c r="AH1832" s="1" t="s">
        <v>132</v>
      </c>
      <c r="AI1832" s="1" t="s">
        <v>132</v>
      </c>
      <c r="AJ1832" s="1" t="s">
        <v>132</v>
      </c>
      <c r="AK1832" s="1" t="s">
        <v>132</v>
      </c>
      <c r="AL1832" s="1" t="s">
        <v>132</v>
      </c>
      <c r="AM1832" s="1" t="s">
        <v>132</v>
      </c>
      <c r="AN1832" s="1" t="s">
        <v>132</v>
      </c>
    </row>
    <row r="1833" ht="15.75" customHeight="1">
      <c r="A1833" s="1" t="s">
        <v>38</v>
      </c>
      <c r="B1833" s="1" t="s">
        <v>35595</v>
      </c>
      <c r="C1833" s="1" t="s">
        <v>35596</v>
      </c>
      <c r="D1833" s="1" t="s">
        <v>132</v>
      </c>
      <c r="E1833" s="1" t="s">
        <v>35597</v>
      </c>
      <c r="F1833" s="1" t="s">
        <v>35598</v>
      </c>
      <c r="G1833" s="1" t="s">
        <v>132</v>
      </c>
      <c r="H1833" s="1" t="s">
        <v>132</v>
      </c>
      <c r="I1833" s="1" t="s">
        <v>35599</v>
      </c>
      <c r="J1833" s="1" t="s">
        <v>132</v>
      </c>
      <c r="K1833" s="1" t="s">
        <v>35600</v>
      </c>
      <c r="L1833" s="1" t="s">
        <v>132</v>
      </c>
      <c r="M1833" s="1" t="s">
        <v>35601</v>
      </c>
      <c r="N1833" s="1" t="s">
        <v>35602</v>
      </c>
      <c r="O1833" s="1" t="s">
        <v>132</v>
      </c>
      <c r="P1833" s="1" t="s">
        <v>35603</v>
      </c>
      <c r="Q1833" s="1" t="s">
        <v>132</v>
      </c>
      <c r="R1833" s="1" t="s">
        <v>132</v>
      </c>
      <c r="S1833" s="1" t="s">
        <v>35604</v>
      </c>
      <c r="T1833" s="1" t="s">
        <v>132</v>
      </c>
      <c r="U1833" s="1" t="s">
        <v>35605</v>
      </c>
      <c r="V1833" s="1" t="s">
        <v>132</v>
      </c>
      <c r="W1833" s="1" t="s">
        <v>132</v>
      </c>
      <c r="X1833" s="1" t="s">
        <v>35606</v>
      </c>
      <c r="Y1833" s="1" t="s">
        <v>132</v>
      </c>
      <c r="Z1833" s="1" t="s">
        <v>35607</v>
      </c>
      <c r="AA1833" s="1" t="s">
        <v>132</v>
      </c>
      <c r="AB1833" s="1" t="s">
        <v>132</v>
      </c>
      <c r="AC1833" s="1" t="s">
        <v>132</v>
      </c>
      <c r="AD1833" s="1" t="s">
        <v>132</v>
      </c>
      <c r="AE1833" s="1" t="s">
        <v>132</v>
      </c>
      <c r="AF1833" s="1" t="s">
        <v>132</v>
      </c>
      <c r="AG1833" s="1" t="s">
        <v>132</v>
      </c>
      <c r="AH1833" s="1" t="s">
        <v>132</v>
      </c>
      <c r="AI1833" s="1" t="s">
        <v>132</v>
      </c>
      <c r="AJ1833" s="1" t="s">
        <v>132</v>
      </c>
      <c r="AK1833" s="1" t="s">
        <v>132</v>
      </c>
      <c r="AL1833" s="1" t="s">
        <v>132</v>
      </c>
      <c r="AM1833" s="1" t="s">
        <v>132</v>
      </c>
      <c r="AN1833" s="1" t="s">
        <v>132</v>
      </c>
    </row>
    <row r="1834" ht="15.75" customHeight="1">
      <c r="A1834" s="1" t="s">
        <v>127</v>
      </c>
      <c r="B1834" s="1" t="s">
        <v>35608</v>
      </c>
      <c r="C1834" s="1" t="s">
        <v>35609</v>
      </c>
      <c r="D1834" s="8" t="s">
        <v>35610</v>
      </c>
      <c r="E1834" s="1" t="s">
        <v>35611</v>
      </c>
      <c r="F1834" s="1" t="s">
        <v>132</v>
      </c>
      <c r="G1834" s="1" t="s">
        <v>35612</v>
      </c>
      <c r="H1834" s="1" t="s">
        <v>35613</v>
      </c>
      <c r="I1834" s="1" t="s">
        <v>35614</v>
      </c>
      <c r="J1834" s="1" t="s">
        <v>35615</v>
      </c>
      <c r="K1834" s="1" t="s">
        <v>35616</v>
      </c>
      <c r="L1834" s="1" t="s">
        <v>35617</v>
      </c>
      <c r="M1834" s="1" t="s">
        <v>35618</v>
      </c>
      <c r="N1834" s="1" t="s">
        <v>132</v>
      </c>
      <c r="O1834" s="1" t="s">
        <v>35619</v>
      </c>
      <c r="P1834" s="1" t="s">
        <v>35620</v>
      </c>
      <c r="Q1834" s="1" t="s">
        <v>132</v>
      </c>
      <c r="R1834" s="1" t="s">
        <v>35621</v>
      </c>
      <c r="S1834" s="1" t="s">
        <v>35622</v>
      </c>
      <c r="T1834" s="8" t="s">
        <v>35623</v>
      </c>
      <c r="U1834" s="1" t="s">
        <v>35624</v>
      </c>
      <c r="V1834" s="1" t="s">
        <v>35625</v>
      </c>
      <c r="W1834" s="1" t="s">
        <v>35626</v>
      </c>
      <c r="X1834" s="1" t="s">
        <v>35627</v>
      </c>
      <c r="Y1834" s="1" t="s">
        <v>35628</v>
      </c>
      <c r="Z1834" s="1" t="s">
        <v>35629</v>
      </c>
      <c r="AA1834" s="1" t="s">
        <v>35630</v>
      </c>
      <c r="AB1834" s="1" t="s">
        <v>35631</v>
      </c>
      <c r="AC1834" s="1" t="s">
        <v>35632</v>
      </c>
      <c r="AD1834" s="1" t="s">
        <v>35633</v>
      </c>
      <c r="AE1834" s="1" t="s">
        <v>35634</v>
      </c>
      <c r="AF1834" s="1" t="s">
        <v>35635</v>
      </c>
      <c r="AG1834" s="1" t="s">
        <v>35636</v>
      </c>
      <c r="AH1834" s="1" t="s">
        <v>35637</v>
      </c>
      <c r="AI1834" s="1" t="s">
        <v>35638</v>
      </c>
      <c r="AJ1834" s="1" t="s">
        <v>132</v>
      </c>
      <c r="AK1834" s="1" t="s">
        <v>35639</v>
      </c>
      <c r="AL1834" s="1" t="s">
        <v>35640</v>
      </c>
      <c r="AM1834" s="1" t="s">
        <v>132</v>
      </c>
      <c r="AN1834" s="1" t="s">
        <v>132</v>
      </c>
    </row>
    <row r="1835" ht="15.75" customHeight="1">
      <c r="A1835" s="1" t="s">
        <v>43182</v>
      </c>
      <c r="B1835" s="1" t="s">
        <v>43313</v>
      </c>
      <c r="C1835" s="1" t="s">
        <v>43225</v>
      </c>
      <c r="D1835" s="1" t="s">
        <v>132</v>
      </c>
      <c r="E1835" s="1" t="s">
        <v>132</v>
      </c>
      <c r="F1835" s="1" t="s">
        <v>132</v>
      </c>
      <c r="G1835" s="1" t="s">
        <v>132</v>
      </c>
      <c r="H1835" s="1" t="s">
        <v>132</v>
      </c>
      <c r="I1835" s="1" t="s">
        <v>132</v>
      </c>
      <c r="J1835" s="1" t="s">
        <v>132</v>
      </c>
      <c r="K1835" s="1" t="s">
        <v>132</v>
      </c>
      <c r="L1835" s="1" t="s">
        <v>132</v>
      </c>
      <c r="M1835" s="1" t="s">
        <v>132</v>
      </c>
      <c r="N1835" s="1" t="s">
        <v>132</v>
      </c>
      <c r="O1835" s="1" t="s">
        <v>132</v>
      </c>
      <c r="P1835" s="1" t="s">
        <v>132</v>
      </c>
      <c r="Q1835" s="1" t="s">
        <v>132</v>
      </c>
      <c r="R1835" s="1" t="s">
        <v>132</v>
      </c>
      <c r="S1835" s="1" t="s">
        <v>132</v>
      </c>
      <c r="T1835" s="1" t="s">
        <v>132</v>
      </c>
      <c r="U1835" s="1" t="s">
        <v>132</v>
      </c>
      <c r="V1835" s="1" t="s">
        <v>132</v>
      </c>
      <c r="W1835" s="1" t="s">
        <v>132</v>
      </c>
      <c r="X1835" s="1" t="s">
        <v>132</v>
      </c>
      <c r="Y1835" s="1" t="s">
        <v>132</v>
      </c>
      <c r="Z1835" s="1" t="s">
        <v>132</v>
      </c>
      <c r="AA1835" s="1" t="s">
        <v>132</v>
      </c>
      <c r="AB1835" s="1" t="s">
        <v>132</v>
      </c>
      <c r="AC1835" s="1" t="s">
        <v>132</v>
      </c>
      <c r="AD1835" s="1" t="s">
        <v>132</v>
      </c>
      <c r="AE1835" s="1" t="s">
        <v>132</v>
      </c>
      <c r="AF1835" s="1" t="s">
        <v>132</v>
      </c>
      <c r="AG1835" s="1" t="s">
        <v>132</v>
      </c>
      <c r="AH1835" s="1" t="s">
        <v>132</v>
      </c>
      <c r="AI1835" s="1" t="s">
        <v>132</v>
      </c>
      <c r="AJ1835" s="1" t="s">
        <v>132</v>
      </c>
      <c r="AK1835" s="1" t="s">
        <v>132</v>
      </c>
      <c r="AL1835" s="1" t="s">
        <v>132</v>
      </c>
      <c r="AM1835" s="1" t="s">
        <v>132</v>
      </c>
      <c r="AN1835" s="1" t="s">
        <v>132</v>
      </c>
    </row>
    <row r="1836" ht="15.75" customHeight="1">
      <c r="A1836" s="1" t="s">
        <v>38</v>
      </c>
      <c r="B1836" s="1" t="s">
        <v>35641</v>
      </c>
      <c r="C1836" s="1" t="s">
        <v>35642</v>
      </c>
      <c r="D1836" s="1" t="s">
        <v>132</v>
      </c>
      <c r="E1836" s="1" t="s">
        <v>132</v>
      </c>
      <c r="F1836" s="1" t="s">
        <v>132</v>
      </c>
      <c r="G1836" s="1" t="s">
        <v>132</v>
      </c>
      <c r="H1836" s="1" t="s">
        <v>132</v>
      </c>
      <c r="I1836" s="1" t="s">
        <v>35643</v>
      </c>
      <c r="J1836" s="1" t="s">
        <v>132</v>
      </c>
      <c r="K1836" s="1" t="s">
        <v>35644</v>
      </c>
      <c r="L1836" s="1" t="s">
        <v>132</v>
      </c>
      <c r="M1836" s="1" t="s">
        <v>35645</v>
      </c>
      <c r="N1836" s="1" t="s">
        <v>132</v>
      </c>
      <c r="O1836" s="1" t="s">
        <v>132</v>
      </c>
      <c r="P1836" s="1" t="s">
        <v>35646</v>
      </c>
      <c r="Q1836" s="1" t="s">
        <v>132</v>
      </c>
      <c r="R1836" s="1" t="s">
        <v>132</v>
      </c>
      <c r="S1836" s="1" t="s">
        <v>132</v>
      </c>
      <c r="T1836" s="1" t="s">
        <v>132</v>
      </c>
      <c r="U1836" s="1" t="s">
        <v>132</v>
      </c>
      <c r="V1836" s="1" t="s">
        <v>132</v>
      </c>
      <c r="W1836" s="1" t="s">
        <v>132</v>
      </c>
      <c r="X1836" s="1" t="s">
        <v>132</v>
      </c>
      <c r="Y1836" s="1" t="s">
        <v>132</v>
      </c>
      <c r="Z1836" s="1" t="s">
        <v>132</v>
      </c>
      <c r="AA1836" s="1" t="s">
        <v>132</v>
      </c>
      <c r="AB1836" s="1" t="s">
        <v>132</v>
      </c>
      <c r="AC1836" s="1" t="s">
        <v>35647</v>
      </c>
      <c r="AD1836" s="1" t="s">
        <v>132</v>
      </c>
      <c r="AE1836" s="1" t="s">
        <v>132</v>
      </c>
      <c r="AF1836" s="1" t="s">
        <v>35648</v>
      </c>
      <c r="AG1836" s="1" t="s">
        <v>132</v>
      </c>
      <c r="AH1836" s="1" t="s">
        <v>132</v>
      </c>
      <c r="AI1836" s="1" t="s">
        <v>132</v>
      </c>
      <c r="AJ1836" s="1" t="s">
        <v>132</v>
      </c>
      <c r="AK1836" s="1" t="s">
        <v>132</v>
      </c>
      <c r="AL1836" s="1" t="s">
        <v>132</v>
      </c>
      <c r="AM1836" s="1" t="s">
        <v>132</v>
      </c>
      <c r="AN1836" s="1" t="s">
        <v>132</v>
      </c>
    </row>
    <row r="1837" ht="15.75" customHeight="1">
      <c r="A1837" s="1" t="s">
        <v>127</v>
      </c>
      <c r="B1837" s="1" t="s">
        <v>35649</v>
      </c>
      <c r="C1837" s="1" t="s">
        <v>35650</v>
      </c>
      <c r="D1837" s="8" t="s">
        <v>8665</v>
      </c>
      <c r="E1837" s="1" t="s">
        <v>35651</v>
      </c>
      <c r="F1837" s="1" t="s">
        <v>132</v>
      </c>
      <c r="G1837" s="1" t="s">
        <v>35650</v>
      </c>
      <c r="H1837" s="1" t="s">
        <v>35650</v>
      </c>
      <c r="I1837" s="1" t="s">
        <v>35650</v>
      </c>
      <c r="J1837" s="1" t="s">
        <v>35652</v>
      </c>
      <c r="K1837" s="1" t="s">
        <v>35650</v>
      </c>
      <c r="L1837" s="1" t="s">
        <v>35653</v>
      </c>
      <c r="M1837" s="1" t="s">
        <v>35650</v>
      </c>
      <c r="N1837" s="1" t="s">
        <v>132</v>
      </c>
      <c r="O1837" s="1" t="s">
        <v>35654</v>
      </c>
      <c r="P1837" s="1" t="s">
        <v>35650</v>
      </c>
      <c r="Q1837" s="1" t="s">
        <v>132</v>
      </c>
      <c r="R1837" s="1" t="s">
        <v>35650</v>
      </c>
      <c r="S1837" s="1" t="s">
        <v>35650</v>
      </c>
      <c r="T1837" s="8" t="s">
        <v>8675</v>
      </c>
      <c r="U1837" s="1" t="s">
        <v>8676</v>
      </c>
      <c r="V1837" s="1" t="s">
        <v>8677</v>
      </c>
      <c r="W1837" s="1" t="s">
        <v>35650</v>
      </c>
      <c r="X1837" s="1" t="s">
        <v>35650</v>
      </c>
      <c r="Y1837" s="1" t="s">
        <v>35650</v>
      </c>
      <c r="Z1837" s="1" t="s">
        <v>35650</v>
      </c>
      <c r="AA1837" s="1" t="s">
        <v>35655</v>
      </c>
      <c r="AB1837" s="1" t="s">
        <v>35650</v>
      </c>
      <c r="AC1837" s="1" t="s">
        <v>35651</v>
      </c>
      <c r="AD1837" s="1" t="s">
        <v>35650</v>
      </c>
      <c r="AE1837" s="1" t="s">
        <v>35653</v>
      </c>
      <c r="AF1837" s="1" t="s">
        <v>35650</v>
      </c>
      <c r="AG1837" s="1" t="s">
        <v>35650</v>
      </c>
      <c r="AH1837" s="1" t="s">
        <v>8686</v>
      </c>
      <c r="AI1837" s="1" t="s">
        <v>35656</v>
      </c>
      <c r="AJ1837" s="1" t="s">
        <v>132</v>
      </c>
      <c r="AK1837" s="1" t="s">
        <v>8688</v>
      </c>
      <c r="AL1837" s="1" t="s">
        <v>8689</v>
      </c>
      <c r="AM1837" s="1" t="s">
        <v>8690</v>
      </c>
      <c r="AN1837" s="1" t="s">
        <v>8690</v>
      </c>
    </row>
    <row r="1838" ht="15.75" customHeight="1">
      <c r="A1838" s="1" t="s">
        <v>127</v>
      </c>
      <c r="B1838" s="1" t="s">
        <v>35657</v>
      </c>
      <c r="C1838" s="1" t="s">
        <v>35658</v>
      </c>
      <c r="D1838" s="8" t="s">
        <v>35659</v>
      </c>
      <c r="E1838" s="1" t="s">
        <v>35660</v>
      </c>
      <c r="F1838" s="1" t="s">
        <v>132</v>
      </c>
      <c r="G1838" s="1" t="s">
        <v>35661</v>
      </c>
      <c r="H1838" s="1" t="s">
        <v>35662</v>
      </c>
      <c r="I1838" s="1" t="s">
        <v>35663</v>
      </c>
      <c r="J1838" s="1" t="s">
        <v>35664</v>
      </c>
      <c r="K1838" s="1" t="s">
        <v>35665</v>
      </c>
      <c r="L1838" s="1" t="s">
        <v>35666</v>
      </c>
      <c r="M1838" s="1" t="s">
        <v>35658</v>
      </c>
      <c r="N1838" s="1" t="s">
        <v>132</v>
      </c>
      <c r="O1838" s="1" t="s">
        <v>35667</v>
      </c>
      <c r="P1838" s="1" t="s">
        <v>35668</v>
      </c>
      <c r="Q1838" s="1" t="s">
        <v>132</v>
      </c>
      <c r="R1838" s="1" t="s">
        <v>35669</v>
      </c>
      <c r="S1838" s="1" t="s">
        <v>35670</v>
      </c>
      <c r="T1838" s="8" t="s">
        <v>35671</v>
      </c>
      <c r="U1838" s="1" t="s">
        <v>35672</v>
      </c>
      <c r="V1838" s="1" t="s">
        <v>35673</v>
      </c>
      <c r="W1838" s="1" t="s">
        <v>35674</v>
      </c>
      <c r="X1838" s="1" t="s">
        <v>35675</v>
      </c>
      <c r="Y1838" s="1" t="s">
        <v>35676</v>
      </c>
      <c r="Z1838" s="1" t="s">
        <v>35677</v>
      </c>
      <c r="AA1838" s="1" t="s">
        <v>35678</v>
      </c>
      <c r="AB1838" s="1" t="s">
        <v>35679</v>
      </c>
      <c r="AC1838" s="1" t="s">
        <v>35680</v>
      </c>
      <c r="AD1838" s="1" t="s">
        <v>35681</v>
      </c>
      <c r="AE1838" s="1" t="s">
        <v>35682</v>
      </c>
      <c r="AF1838" s="1" t="s">
        <v>35683</v>
      </c>
      <c r="AG1838" s="1" t="s">
        <v>35684</v>
      </c>
      <c r="AH1838" s="1" t="s">
        <v>35685</v>
      </c>
      <c r="AI1838" s="1" t="s">
        <v>35686</v>
      </c>
      <c r="AJ1838" s="1" t="s">
        <v>132</v>
      </c>
      <c r="AK1838" s="1" t="s">
        <v>35687</v>
      </c>
      <c r="AL1838" s="1" t="s">
        <v>35688</v>
      </c>
      <c r="AM1838" s="1" t="s">
        <v>35689</v>
      </c>
      <c r="AN1838" s="1" t="s">
        <v>35689</v>
      </c>
    </row>
    <row r="1839" ht="15.75" customHeight="1">
      <c r="A1839" s="1" t="s">
        <v>127</v>
      </c>
      <c r="B1839" s="1" t="s">
        <v>35690</v>
      </c>
      <c r="C1839" s="1" t="s">
        <v>35691</v>
      </c>
      <c r="D1839" s="8" t="s">
        <v>35692</v>
      </c>
      <c r="E1839" s="1" t="s">
        <v>35693</v>
      </c>
      <c r="F1839" s="1" t="s">
        <v>132</v>
      </c>
      <c r="G1839" s="1" t="s">
        <v>35694</v>
      </c>
      <c r="H1839" s="1" t="s">
        <v>35695</v>
      </c>
      <c r="I1839" s="1" t="s">
        <v>35696</v>
      </c>
      <c r="J1839" s="1" t="s">
        <v>35697</v>
      </c>
      <c r="K1839" s="1" t="s">
        <v>35698</v>
      </c>
      <c r="L1839" s="1" t="s">
        <v>35699</v>
      </c>
      <c r="M1839" s="1" t="s">
        <v>35700</v>
      </c>
      <c r="N1839" s="1" t="s">
        <v>132</v>
      </c>
      <c r="O1839" s="1" t="s">
        <v>35701</v>
      </c>
      <c r="P1839" s="1" t="s">
        <v>35702</v>
      </c>
      <c r="Q1839" s="1" t="s">
        <v>132</v>
      </c>
      <c r="R1839" s="1" t="s">
        <v>35703</v>
      </c>
      <c r="S1839" s="1" t="s">
        <v>35704</v>
      </c>
      <c r="T1839" s="8" t="s">
        <v>35705</v>
      </c>
      <c r="U1839" s="1" t="s">
        <v>35706</v>
      </c>
      <c r="V1839" s="1" t="s">
        <v>35707</v>
      </c>
      <c r="W1839" s="1" t="s">
        <v>35708</v>
      </c>
      <c r="X1839" s="1" t="s">
        <v>35709</v>
      </c>
      <c r="Y1839" s="1" t="s">
        <v>35710</v>
      </c>
      <c r="Z1839" s="1" t="s">
        <v>35711</v>
      </c>
      <c r="AA1839" s="1" t="s">
        <v>35712</v>
      </c>
      <c r="AB1839" s="1" t="s">
        <v>35713</v>
      </c>
      <c r="AC1839" s="1" t="s">
        <v>35714</v>
      </c>
      <c r="AD1839" s="1" t="s">
        <v>35715</v>
      </c>
      <c r="AE1839" s="1" t="s">
        <v>35716</v>
      </c>
      <c r="AF1839" s="1" t="s">
        <v>35717</v>
      </c>
      <c r="AG1839" s="1" t="s">
        <v>35718</v>
      </c>
      <c r="AH1839" s="1" t="s">
        <v>35719</v>
      </c>
      <c r="AI1839" s="1" t="s">
        <v>35720</v>
      </c>
      <c r="AJ1839" s="1" t="s">
        <v>132</v>
      </c>
      <c r="AK1839" s="1" t="s">
        <v>35721</v>
      </c>
      <c r="AL1839" s="1" t="s">
        <v>35722</v>
      </c>
      <c r="AM1839" s="1" t="s">
        <v>35723</v>
      </c>
      <c r="AN1839" s="1" t="s">
        <v>35723</v>
      </c>
    </row>
    <row r="1840" ht="15.75" customHeight="1">
      <c r="A1840" s="1" t="s">
        <v>127</v>
      </c>
      <c r="B1840" s="1" t="s">
        <v>35724</v>
      </c>
      <c r="C1840" s="1" t="s">
        <v>35725</v>
      </c>
      <c r="D1840" s="8" t="s">
        <v>35726</v>
      </c>
      <c r="E1840" s="1" t="s">
        <v>35727</v>
      </c>
      <c r="F1840" s="1" t="s">
        <v>132</v>
      </c>
      <c r="G1840" s="1" t="s">
        <v>35728</v>
      </c>
      <c r="H1840" s="1" t="s">
        <v>35729</v>
      </c>
      <c r="I1840" s="1" t="s">
        <v>35730</v>
      </c>
      <c r="J1840" s="1" t="s">
        <v>35731</v>
      </c>
      <c r="K1840" s="1" t="s">
        <v>35732</v>
      </c>
      <c r="L1840" s="1" t="s">
        <v>35733</v>
      </c>
      <c r="M1840" s="1" t="s">
        <v>35734</v>
      </c>
      <c r="N1840" s="1" t="s">
        <v>132</v>
      </c>
      <c r="O1840" s="1" t="s">
        <v>35735</v>
      </c>
      <c r="P1840" s="1" t="s">
        <v>35736</v>
      </c>
      <c r="Q1840" s="1" t="s">
        <v>132</v>
      </c>
      <c r="R1840" s="1" t="s">
        <v>35737</v>
      </c>
      <c r="S1840" s="1" t="s">
        <v>35738</v>
      </c>
      <c r="T1840" s="8" t="s">
        <v>35739</v>
      </c>
      <c r="U1840" s="1" t="s">
        <v>35740</v>
      </c>
      <c r="V1840" s="1" t="s">
        <v>35741</v>
      </c>
      <c r="W1840" s="1" t="s">
        <v>35737</v>
      </c>
      <c r="X1840" s="1" t="s">
        <v>35742</v>
      </c>
      <c r="Y1840" s="1" t="s">
        <v>35729</v>
      </c>
      <c r="Z1840" s="1" t="s">
        <v>35728</v>
      </c>
      <c r="AA1840" s="1" t="s">
        <v>35743</v>
      </c>
      <c r="AB1840" s="1" t="s">
        <v>35744</v>
      </c>
      <c r="AC1840" s="1" t="s">
        <v>35745</v>
      </c>
      <c r="AD1840" s="1" t="s">
        <v>35728</v>
      </c>
      <c r="AE1840" s="1" t="s">
        <v>35746</v>
      </c>
      <c r="AF1840" s="1" t="s">
        <v>35747</v>
      </c>
      <c r="AG1840" s="1" t="s">
        <v>35748</v>
      </c>
      <c r="AH1840" s="1" t="s">
        <v>35749</v>
      </c>
      <c r="AI1840" s="1" t="s">
        <v>35750</v>
      </c>
      <c r="AJ1840" s="1" t="s">
        <v>132</v>
      </c>
      <c r="AK1840" s="1" t="s">
        <v>35751</v>
      </c>
      <c r="AL1840" s="1" t="s">
        <v>35752</v>
      </c>
      <c r="AM1840" s="1" t="s">
        <v>132</v>
      </c>
      <c r="AN1840" s="1" t="s">
        <v>132</v>
      </c>
    </row>
    <row r="1841" ht="15.75" customHeight="1">
      <c r="A1841" s="1" t="s">
        <v>38</v>
      </c>
      <c r="B1841" s="1" t="s">
        <v>35753</v>
      </c>
      <c r="C1841" s="1" t="s">
        <v>35754</v>
      </c>
      <c r="D1841" s="1" t="s">
        <v>132</v>
      </c>
      <c r="E1841" s="1" t="s">
        <v>35755</v>
      </c>
      <c r="F1841" s="1" t="s">
        <v>35756</v>
      </c>
      <c r="G1841" s="1" t="s">
        <v>132</v>
      </c>
      <c r="H1841" s="1" t="s">
        <v>132</v>
      </c>
      <c r="I1841" s="1" t="s">
        <v>35757</v>
      </c>
      <c r="J1841" s="1" t="s">
        <v>132</v>
      </c>
      <c r="K1841" s="1" t="s">
        <v>35758</v>
      </c>
      <c r="L1841" s="1" t="s">
        <v>132</v>
      </c>
      <c r="M1841" s="1" t="s">
        <v>35759</v>
      </c>
      <c r="N1841" s="1" t="s">
        <v>35758</v>
      </c>
      <c r="O1841" s="1" t="s">
        <v>132</v>
      </c>
      <c r="P1841" s="1" t="s">
        <v>35760</v>
      </c>
      <c r="Q1841" s="1" t="s">
        <v>132</v>
      </c>
      <c r="R1841" s="1" t="s">
        <v>132</v>
      </c>
      <c r="S1841" s="1" t="s">
        <v>35761</v>
      </c>
      <c r="T1841" s="1" t="s">
        <v>132</v>
      </c>
      <c r="U1841" s="1" t="s">
        <v>35762</v>
      </c>
      <c r="V1841" s="1" t="s">
        <v>132</v>
      </c>
      <c r="W1841" s="1" t="s">
        <v>132</v>
      </c>
      <c r="X1841" s="1" t="s">
        <v>35763</v>
      </c>
      <c r="Y1841" s="1" t="s">
        <v>132</v>
      </c>
      <c r="Z1841" s="1" t="s">
        <v>35764</v>
      </c>
      <c r="AA1841" s="1" t="s">
        <v>132</v>
      </c>
      <c r="AB1841" s="1" t="s">
        <v>132</v>
      </c>
      <c r="AC1841" s="1" t="s">
        <v>132</v>
      </c>
      <c r="AD1841" s="1" t="s">
        <v>132</v>
      </c>
      <c r="AE1841" s="1" t="s">
        <v>132</v>
      </c>
      <c r="AF1841" s="1" t="s">
        <v>35765</v>
      </c>
      <c r="AG1841" s="1" t="s">
        <v>132</v>
      </c>
      <c r="AH1841" s="1" t="s">
        <v>132</v>
      </c>
      <c r="AI1841" s="1" t="s">
        <v>132</v>
      </c>
      <c r="AJ1841" s="1" t="s">
        <v>132</v>
      </c>
      <c r="AK1841" s="1" t="s">
        <v>132</v>
      </c>
      <c r="AL1841" s="1" t="s">
        <v>132</v>
      </c>
      <c r="AM1841" s="1" t="s">
        <v>132</v>
      </c>
      <c r="AN1841" s="1" t="s">
        <v>132</v>
      </c>
    </row>
    <row r="1842" ht="15.75" customHeight="1">
      <c r="A1842" s="1" t="s">
        <v>127</v>
      </c>
      <c r="B1842" s="1" t="s">
        <v>35766</v>
      </c>
      <c r="C1842" s="1" t="s">
        <v>23490</v>
      </c>
      <c r="D1842" s="8" t="s">
        <v>23467</v>
      </c>
      <c r="E1842" s="1" t="s">
        <v>23490</v>
      </c>
      <c r="F1842" s="1" t="s">
        <v>132</v>
      </c>
      <c r="G1842" s="1" t="s">
        <v>23469</v>
      </c>
      <c r="H1842" s="1" t="s">
        <v>35767</v>
      </c>
      <c r="I1842" s="1" t="s">
        <v>23471</v>
      </c>
      <c r="J1842" s="1" t="s">
        <v>23490</v>
      </c>
      <c r="K1842" s="1" t="s">
        <v>23472</v>
      </c>
      <c r="L1842" s="1" t="s">
        <v>35768</v>
      </c>
      <c r="M1842" s="1" t="s">
        <v>23474</v>
      </c>
      <c r="N1842" s="1" t="s">
        <v>132</v>
      </c>
      <c r="O1842" s="1" t="s">
        <v>35769</v>
      </c>
      <c r="P1842" s="1" t="s">
        <v>35770</v>
      </c>
      <c r="Q1842" s="1" t="s">
        <v>132</v>
      </c>
      <c r="R1842" s="1" t="s">
        <v>23477</v>
      </c>
      <c r="S1842" s="1" t="s">
        <v>35771</v>
      </c>
      <c r="T1842" s="8" t="s">
        <v>35772</v>
      </c>
      <c r="U1842" s="1" t="s">
        <v>23480</v>
      </c>
      <c r="V1842" s="1" t="s">
        <v>23481</v>
      </c>
      <c r="W1842" s="1" t="s">
        <v>23482</v>
      </c>
      <c r="X1842" s="1" t="s">
        <v>35773</v>
      </c>
      <c r="Y1842" s="1" t="s">
        <v>35774</v>
      </c>
      <c r="Z1842" s="1" t="s">
        <v>35775</v>
      </c>
      <c r="AA1842" s="1" t="s">
        <v>35776</v>
      </c>
      <c r="AB1842" s="1" t="s">
        <v>23490</v>
      </c>
      <c r="AC1842" s="1" t="s">
        <v>35777</v>
      </c>
      <c r="AD1842" s="1" t="s">
        <v>23489</v>
      </c>
      <c r="AE1842" s="1" t="s">
        <v>23490</v>
      </c>
      <c r="AF1842" s="1" t="s">
        <v>23490</v>
      </c>
      <c r="AG1842" s="1" t="s">
        <v>35778</v>
      </c>
      <c r="AH1842" s="1" t="s">
        <v>23491</v>
      </c>
      <c r="AI1842" s="1" t="s">
        <v>23492</v>
      </c>
      <c r="AJ1842" s="1" t="s">
        <v>132</v>
      </c>
      <c r="AK1842" s="1" t="s">
        <v>35779</v>
      </c>
      <c r="AL1842" s="1" t="s">
        <v>23494</v>
      </c>
      <c r="AM1842" s="1" t="s">
        <v>23495</v>
      </c>
      <c r="AN1842" s="1" t="s">
        <v>23495</v>
      </c>
    </row>
    <row r="1843" ht="15.75" customHeight="1">
      <c r="A1843" s="1" t="s">
        <v>38</v>
      </c>
      <c r="B1843" s="1" t="s">
        <v>35780</v>
      </c>
      <c r="C1843" s="1" t="s">
        <v>35781</v>
      </c>
      <c r="D1843" s="8" t="s">
        <v>35782</v>
      </c>
      <c r="E1843" s="1" t="s">
        <v>35783</v>
      </c>
      <c r="F1843" s="1" t="s">
        <v>35784</v>
      </c>
      <c r="G1843" s="1" t="s">
        <v>132</v>
      </c>
      <c r="H1843" s="1" t="s">
        <v>132</v>
      </c>
      <c r="I1843" s="1" t="s">
        <v>35785</v>
      </c>
      <c r="J1843" s="1" t="s">
        <v>132</v>
      </c>
      <c r="K1843" s="1" t="s">
        <v>35786</v>
      </c>
      <c r="L1843" s="1" t="s">
        <v>132</v>
      </c>
      <c r="M1843" s="1" t="s">
        <v>35787</v>
      </c>
      <c r="N1843" s="1" t="s">
        <v>35788</v>
      </c>
      <c r="O1843" s="1" t="s">
        <v>132</v>
      </c>
      <c r="P1843" s="1" t="s">
        <v>35789</v>
      </c>
      <c r="Q1843" s="1" t="s">
        <v>35790</v>
      </c>
      <c r="R1843" s="1" t="s">
        <v>132</v>
      </c>
      <c r="S1843" s="1" t="s">
        <v>35791</v>
      </c>
      <c r="T1843" s="1" t="s">
        <v>132</v>
      </c>
      <c r="U1843" s="1" t="s">
        <v>35792</v>
      </c>
      <c r="V1843" s="1" t="s">
        <v>35793</v>
      </c>
      <c r="W1843" s="1" t="s">
        <v>132</v>
      </c>
      <c r="X1843" s="1" t="s">
        <v>35794</v>
      </c>
      <c r="Y1843" s="1" t="s">
        <v>132</v>
      </c>
      <c r="Z1843" s="1" t="s">
        <v>35795</v>
      </c>
      <c r="AA1843" s="1" t="s">
        <v>35796</v>
      </c>
      <c r="AB1843" s="1" t="s">
        <v>132</v>
      </c>
      <c r="AC1843" s="1" t="s">
        <v>35797</v>
      </c>
      <c r="AD1843" s="1" t="s">
        <v>35798</v>
      </c>
      <c r="AE1843" s="1" t="s">
        <v>132</v>
      </c>
      <c r="AF1843" s="1" t="s">
        <v>35799</v>
      </c>
      <c r="AG1843" s="1" t="s">
        <v>35800</v>
      </c>
      <c r="AH1843" s="1" t="s">
        <v>132</v>
      </c>
      <c r="AI1843" s="1" t="s">
        <v>132</v>
      </c>
      <c r="AJ1843" s="1" t="s">
        <v>35801</v>
      </c>
      <c r="AK1843" s="1" t="s">
        <v>35802</v>
      </c>
      <c r="AL1843" s="1" t="s">
        <v>132</v>
      </c>
      <c r="AM1843" s="1" t="s">
        <v>35803</v>
      </c>
      <c r="AN1843" s="1" t="s">
        <v>35803</v>
      </c>
    </row>
    <row r="1844" ht="15.75" customHeight="1">
      <c r="A1844" s="1" t="s">
        <v>38</v>
      </c>
      <c r="B1844" s="1" t="s">
        <v>35804</v>
      </c>
      <c r="C1844" s="1" t="s">
        <v>35805</v>
      </c>
      <c r="D1844" s="1" t="s">
        <v>132</v>
      </c>
      <c r="E1844" s="1" t="s">
        <v>35806</v>
      </c>
      <c r="F1844" s="1" t="s">
        <v>35807</v>
      </c>
      <c r="G1844" s="1" t="s">
        <v>132</v>
      </c>
      <c r="H1844" s="1" t="s">
        <v>132</v>
      </c>
      <c r="I1844" s="1" t="s">
        <v>35808</v>
      </c>
      <c r="J1844" s="1" t="s">
        <v>132</v>
      </c>
      <c r="K1844" s="1" t="s">
        <v>35809</v>
      </c>
      <c r="L1844" s="1" t="s">
        <v>132</v>
      </c>
      <c r="M1844" s="1" t="s">
        <v>35810</v>
      </c>
      <c r="N1844" s="1" t="s">
        <v>35811</v>
      </c>
      <c r="O1844" s="1" t="s">
        <v>132</v>
      </c>
      <c r="P1844" s="1" t="s">
        <v>35812</v>
      </c>
      <c r="Q1844" s="1" t="s">
        <v>132</v>
      </c>
      <c r="R1844" s="1" t="s">
        <v>132</v>
      </c>
      <c r="S1844" s="1" t="s">
        <v>35813</v>
      </c>
      <c r="T1844" s="1" t="s">
        <v>132</v>
      </c>
      <c r="U1844" s="1" t="s">
        <v>35814</v>
      </c>
      <c r="V1844" s="1" t="s">
        <v>132</v>
      </c>
      <c r="W1844" s="1" t="s">
        <v>132</v>
      </c>
      <c r="X1844" s="1" t="s">
        <v>35815</v>
      </c>
      <c r="Y1844" s="1" t="s">
        <v>132</v>
      </c>
      <c r="Z1844" s="1" t="s">
        <v>35816</v>
      </c>
      <c r="AA1844" s="1" t="s">
        <v>132</v>
      </c>
      <c r="AB1844" s="1" t="s">
        <v>132</v>
      </c>
      <c r="AC1844" s="1" t="s">
        <v>35817</v>
      </c>
      <c r="AD1844" s="1" t="s">
        <v>132</v>
      </c>
      <c r="AE1844" s="1" t="s">
        <v>132</v>
      </c>
      <c r="AF1844" s="1" t="s">
        <v>132</v>
      </c>
      <c r="AG1844" s="1" t="s">
        <v>132</v>
      </c>
      <c r="AH1844" s="1" t="s">
        <v>132</v>
      </c>
      <c r="AI1844" s="1" t="s">
        <v>132</v>
      </c>
      <c r="AJ1844" s="1" t="s">
        <v>132</v>
      </c>
      <c r="AK1844" s="1" t="s">
        <v>132</v>
      </c>
      <c r="AL1844" s="1" t="s">
        <v>132</v>
      </c>
      <c r="AM1844" s="1" t="s">
        <v>132</v>
      </c>
      <c r="AN1844" s="1" t="s">
        <v>132</v>
      </c>
    </row>
    <row r="1845" ht="15.75" customHeight="1">
      <c r="A1845" s="1" t="s">
        <v>127</v>
      </c>
      <c r="B1845" s="1" t="s">
        <v>35818</v>
      </c>
      <c r="C1845" s="1" t="s">
        <v>12433</v>
      </c>
      <c r="D1845" s="8" t="s">
        <v>35819</v>
      </c>
      <c r="E1845" s="1" t="s">
        <v>12435</v>
      </c>
      <c r="F1845" s="1" t="s">
        <v>132</v>
      </c>
      <c r="G1845" s="1" t="s">
        <v>12436</v>
      </c>
      <c r="H1845" s="1" t="s">
        <v>12437</v>
      </c>
      <c r="I1845" s="1" t="s">
        <v>35820</v>
      </c>
      <c r="J1845" s="1" t="s">
        <v>12438</v>
      </c>
      <c r="K1845" s="1" t="s">
        <v>12439</v>
      </c>
      <c r="L1845" s="1" t="s">
        <v>12440</v>
      </c>
      <c r="M1845" s="1" t="s">
        <v>12441</v>
      </c>
      <c r="N1845" s="1" t="s">
        <v>132</v>
      </c>
      <c r="O1845" s="1" t="s">
        <v>12442</v>
      </c>
      <c r="P1845" s="1" t="s">
        <v>12443</v>
      </c>
      <c r="Q1845" s="1" t="s">
        <v>132</v>
      </c>
      <c r="R1845" s="1" t="s">
        <v>12444</v>
      </c>
      <c r="S1845" s="1" t="s">
        <v>35821</v>
      </c>
      <c r="T1845" s="8" t="s">
        <v>35822</v>
      </c>
      <c r="U1845" s="1" t="s">
        <v>35823</v>
      </c>
      <c r="V1845" s="1" t="s">
        <v>12446</v>
      </c>
      <c r="W1845" s="1" t="s">
        <v>12447</v>
      </c>
      <c r="X1845" s="1" t="s">
        <v>35824</v>
      </c>
      <c r="Y1845" s="1" t="s">
        <v>12437</v>
      </c>
      <c r="Z1845" s="1" t="s">
        <v>12449</v>
      </c>
      <c r="AA1845" s="1" t="s">
        <v>12450</v>
      </c>
      <c r="AB1845" s="1" t="s">
        <v>12451</v>
      </c>
      <c r="AC1845" s="1" t="s">
        <v>35825</v>
      </c>
      <c r="AD1845" s="1" t="s">
        <v>12453</v>
      </c>
      <c r="AE1845" s="1" t="s">
        <v>12454</v>
      </c>
      <c r="AF1845" s="1" t="s">
        <v>12433</v>
      </c>
      <c r="AG1845" s="1" t="s">
        <v>12456</v>
      </c>
      <c r="AH1845" s="1" t="s">
        <v>12457</v>
      </c>
      <c r="AI1845" s="1" t="s">
        <v>12458</v>
      </c>
      <c r="AJ1845" s="1" t="s">
        <v>132</v>
      </c>
      <c r="AK1845" s="1" t="s">
        <v>12459</v>
      </c>
      <c r="AL1845" s="1" t="s">
        <v>12460</v>
      </c>
      <c r="AM1845" s="1" t="s">
        <v>132</v>
      </c>
      <c r="AN1845" s="1" t="s">
        <v>132</v>
      </c>
    </row>
    <row r="1846" ht="15.75" customHeight="1">
      <c r="A1846" s="1" t="s">
        <v>127</v>
      </c>
      <c r="B1846" s="1" t="s">
        <v>35826</v>
      </c>
      <c r="C1846" s="1" t="s">
        <v>35827</v>
      </c>
      <c r="D1846" s="8" t="s">
        <v>35828</v>
      </c>
      <c r="E1846" s="1" t="s">
        <v>35829</v>
      </c>
      <c r="F1846" s="1" t="s">
        <v>132</v>
      </c>
      <c r="G1846" s="1" t="s">
        <v>35830</v>
      </c>
      <c r="H1846" s="1" t="s">
        <v>35831</v>
      </c>
      <c r="I1846" s="1" t="s">
        <v>35827</v>
      </c>
      <c r="J1846" s="1" t="s">
        <v>35832</v>
      </c>
      <c r="K1846" s="1" t="s">
        <v>35833</v>
      </c>
      <c r="L1846" s="1" t="s">
        <v>2935</v>
      </c>
      <c r="M1846" s="1" t="s">
        <v>35834</v>
      </c>
      <c r="N1846" s="1" t="s">
        <v>132</v>
      </c>
      <c r="O1846" s="1" t="s">
        <v>35835</v>
      </c>
      <c r="P1846" s="1" t="s">
        <v>35836</v>
      </c>
      <c r="Q1846" s="1" t="s">
        <v>132</v>
      </c>
      <c r="R1846" s="1" t="s">
        <v>35837</v>
      </c>
      <c r="S1846" s="1" t="s">
        <v>35838</v>
      </c>
      <c r="T1846" s="8" t="s">
        <v>35839</v>
      </c>
      <c r="U1846" s="1" t="s">
        <v>35840</v>
      </c>
      <c r="V1846" s="1" t="s">
        <v>35841</v>
      </c>
      <c r="W1846" s="1" t="s">
        <v>35837</v>
      </c>
      <c r="X1846" s="1" t="s">
        <v>35842</v>
      </c>
      <c r="Y1846" s="1" t="s">
        <v>35827</v>
      </c>
      <c r="Z1846" s="1" t="s">
        <v>35827</v>
      </c>
      <c r="AA1846" s="1" t="s">
        <v>35843</v>
      </c>
      <c r="AB1846" s="1" t="s">
        <v>35844</v>
      </c>
      <c r="AC1846" s="1" t="s">
        <v>35845</v>
      </c>
      <c r="AD1846" s="1" t="s">
        <v>35833</v>
      </c>
      <c r="AE1846" s="1" t="s">
        <v>35846</v>
      </c>
      <c r="AF1846" s="1" t="s">
        <v>35827</v>
      </c>
      <c r="AG1846" s="1" t="s">
        <v>35827</v>
      </c>
      <c r="AH1846" s="1" t="s">
        <v>35847</v>
      </c>
      <c r="AI1846" s="1" t="s">
        <v>35848</v>
      </c>
      <c r="AJ1846" s="1" t="s">
        <v>132</v>
      </c>
      <c r="AK1846" s="1" t="s">
        <v>35849</v>
      </c>
      <c r="AL1846" s="1" t="s">
        <v>35850</v>
      </c>
      <c r="AM1846" s="1" t="s">
        <v>35851</v>
      </c>
      <c r="AN1846" s="1" t="s">
        <v>35851</v>
      </c>
    </row>
    <row r="1847" ht="15.75" customHeight="1">
      <c r="A1847" s="1" t="s">
        <v>127</v>
      </c>
      <c r="B1847" s="1" t="s">
        <v>35852</v>
      </c>
      <c r="C1847" s="1" t="s">
        <v>35853</v>
      </c>
      <c r="D1847" s="8" t="s">
        <v>35854</v>
      </c>
      <c r="E1847" s="1" t="s">
        <v>35855</v>
      </c>
      <c r="F1847" s="1" t="s">
        <v>132</v>
      </c>
      <c r="G1847" s="1" t="s">
        <v>35856</v>
      </c>
      <c r="H1847" s="1" t="s">
        <v>35857</v>
      </c>
      <c r="I1847" s="1" t="s">
        <v>35858</v>
      </c>
      <c r="J1847" s="1" t="s">
        <v>35859</v>
      </c>
      <c r="K1847" s="1" t="s">
        <v>35860</v>
      </c>
      <c r="L1847" s="1" t="s">
        <v>35861</v>
      </c>
      <c r="M1847" s="1" t="s">
        <v>35862</v>
      </c>
      <c r="N1847" s="1" t="s">
        <v>132</v>
      </c>
      <c r="O1847" s="1" t="s">
        <v>35863</v>
      </c>
      <c r="P1847" s="1" t="s">
        <v>35864</v>
      </c>
      <c r="Q1847" s="1" t="s">
        <v>132</v>
      </c>
      <c r="R1847" s="1" t="s">
        <v>35865</v>
      </c>
      <c r="S1847" s="1" t="s">
        <v>35866</v>
      </c>
      <c r="T1847" s="8" t="s">
        <v>35867</v>
      </c>
      <c r="U1847" s="1" t="s">
        <v>35868</v>
      </c>
      <c r="V1847" s="1" t="s">
        <v>35869</v>
      </c>
      <c r="W1847" s="1" t="s">
        <v>35870</v>
      </c>
      <c r="X1847" s="1" t="s">
        <v>35871</v>
      </c>
      <c r="Y1847" s="1" t="s">
        <v>35872</v>
      </c>
      <c r="Z1847" s="1" t="s">
        <v>35873</v>
      </c>
      <c r="AA1847" s="1" t="s">
        <v>35874</v>
      </c>
      <c r="AB1847" s="1" t="s">
        <v>35875</v>
      </c>
      <c r="AC1847" s="1" t="s">
        <v>35876</v>
      </c>
      <c r="AD1847" s="1" t="s">
        <v>35877</v>
      </c>
      <c r="AE1847" s="1" t="s">
        <v>35878</v>
      </c>
      <c r="AF1847" s="1" t="s">
        <v>35879</v>
      </c>
      <c r="AG1847" s="1" t="s">
        <v>35880</v>
      </c>
      <c r="AH1847" s="1" t="s">
        <v>35881</v>
      </c>
      <c r="AI1847" s="1" t="s">
        <v>35882</v>
      </c>
      <c r="AJ1847" s="1" t="s">
        <v>132</v>
      </c>
      <c r="AK1847" s="1" t="s">
        <v>35883</v>
      </c>
      <c r="AL1847" s="1" t="s">
        <v>35884</v>
      </c>
      <c r="AM1847" s="1" t="s">
        <v>35885</v>
      </c>
      <c r="AN1847" s="1" t="s">
        <v>35885</v>
      </c>
    </row>
    <row r="1848" ht="15.75" customHeight="1">
      <c r="A1848" s="1" t="s">
        <v>38</v>
      </c>
      <c r="B1848" s="1" t="s">
        <v>35886</v>
      </c>
      <c r="C1848" s="1" t="s">
        <v>35887</v>
      </c>
      <c r="D1848" s="8" t="s">
        <v>35888</v>
      </c>
      <c r="E1848" s="1" t="s">
        <v>35889</v>
      </c>
      <c r="F1848" s="1" t="s">
        <v>35890</v>
      </c>
      <c r="G1848" s="1" t="s">
        <v>132</v>
      </c>
      <c r="H1848" s="1" t="s">
        <v>132</v>
      </c>
      <c r="I1848" s="1" t="s">
        <v>35891</v>
      </c>
      <c r="J1848" s="1" t="s">
        <v>132</v>
      </c>
      <c r="K1848" s="1" t="s">
        <v>35892</v>
      </c>
      <c r="L1848" s="1" t="s">
        <v>132</v>
      </c>
      <c r="M1848" s="1" t="s">
        <v>35893</v>
      </c>
      <c r="N1848" s="1" t="s">
        <v>35894</v>
      </c>
      <c r="O1848" s="1" t="s">
        <v>132</v>
      </c>
      <c r="P1848" s="1" t="s">
        <v>35895</v>
      </c>
      <c r="Q1848" s="1" t="s">
        <v>35896</v>
      </c>
      <c r="R1848" s="1" t="s">
        <v>132</v>
      </c>
      <c r="S1848" s="1" t="s">
        <v>35897</v>
      </c>
      <c r="T1848" s="1" t="s">
        <v>132</v>
      </c>
      <c r="U1848" s="1" t="s">
        <v>35898</v>
      </c>
      <c r="V1848" s="1" t="s">
        <v>35899</v>
      </c>
      <c r="W1848" s="1" t="s">
        <v>132</v>
      </c>
      <c r="X1848" s="1" t="s">
        <v>35900</v>
      </c>
      <c r="Y1848" s="1" t="s">
        <v>132</v>
      </c>
      <c r="Z1848" s="1" t="s">
        <v>35901</v>
      </c>
      <c r="AA1848" s="1" t="s">
        <v>35902</v>
      </c>
      <c r="AB1848" s="1" t="s">
        <v>132</v>
      </c>
      <c r="AC1848" s="1" t="s">
        <v>35903</v>
      </c>
      <c r="AD1848" s="1" t="s">
        <v>132</v>
      </c>
      <c r="AE1848" s="1" t="s">
        <v>132</v>
      </c>
      <c r="AF1848" s="1" t="s">
        <v>35904</v>
      </c>
      <c r="AG1848" s="1" t="s">
        <v>35905</v>
      </c>
      <c r="AH1848" s="1" t="s">
        <v>132</v>
      </c>
      <c r="AI1848" s="1" t="s">
        <v>132</v>
      </c>
      <c r="AJ1848" s="1" t="s">
        <v>35906</v>
      </c>
      <c r="AK1848" s="1" t="s">
        <v>35907</v>
      </c>
      <c r="AL1848" s="1" t="s">
        <v>132</v>
      </c>
      <c r="AM1848" s="1" t="s">
        <v>35908</v>
      </c>
      <c r="AN1848" s="1" t="s">
        <v>35908</v>
      </c>
    </row>
    <row r="1849" ht="15.75" customHeight="1">
      <c r="A1849" s="1" t="s">
        <v>38</v>
      </c>
      <c r="B1849" s="1" t="s">
        <v>35909</v>
      </c>
      <c r="C1849" s="1" t="s">
        <v>35910</v>
      </c>
      <c r="D1849" s="8" t="s">
        <v>35911</v>
      </c>
      <c r="E1849" s="1" t="s">
        <v>35912</v>
      </c>
      <c r="F1849" s="1" t="s">
        <v>35913</v>
      </c>
      <c r="G1849" s="1" t="s">
        <v>132</v>
      </c>
      <c r="H1849" s="1" t="s">
        <v>132</v>
      </c>
      <c r="I1849" s="1" t="s">
        <v>35914</v>
      </c>
      <c r="J1849" s="1" t="s">
        <v>132</v>
      </c>
      <c r="K1849" s="1" t="s">
        <v>35915</v>
      </c>
      <c r="L1849" s="1" t="s">
        <v>132</v>
      </c>
      <c r="M1849" s="1" t="s">
        <v>35916</v>
      </c>
      <c r="N1849" s="1" t="s">
        <v>35917</v>
      </c>
      <c r="O1849" s="1" t="s">
        <v>132</v>
      </c>
      <c r="P1849" s="1" t="s">
        <v>35918</v>
      </c>
      <c r="Q1849" s="1" t="s">
        <v>35919</v>
      </c>
      <c r="R1849" s="1" t="s">
        <v>132</v>
      </c>
      <c r="S1849" s="1" t="s">
        <v>35920</v>
      </c>
      <c r="T1849" s="1" t="s">
        <v>132</v>
      </c>
      <c r="U1849" s="1" t="s">
        <v>35921</v>
      </c>
      <c r="V1849" s="1" t="s">
        <v>35922</v>
      </c>
      <c r="W1849" s="1" t="s">
        <v>132</v>
      </c>
      <c r="X1849" s="1" t="s">
        <v>35923</v>
      </c>
      <c r="Y1849" s="1" t="s">
        <v>132</v>
      </c>
      <c r="Z1849" s="1" t="s">
        <v>35924</v>
      </c>
      <c r="AA1849" s="1" t="s">
        <v>35925</v>
      </c>
      <c r="AB1849" s="1" t="s">
        <v>132</v>
      </c>
      <c r="AC1849" s="1" t="s">
        <v>35926</v>
      </c>
      <c r="AD1849" s="1" t="s">
        <v>35927</v>
      </c>
      <c r="AE1849" s="1" t="s">
        <v>132</v>
      </c>
      <c r="AF1849" s="1" t="s">
        <v>35928</v>
      </c>
      <c r="AG1849" s="1" t="s">
        <v>35929</v>
      </c>
      <c r="AH1849" s="1" t="s">
        <v>132</v>
      </c>
      <c r="AI1849" s="1" t="s">
        <v>132</v>
      </c>
      <c r="AJ1849" s="1" t="s">
        <v>35930</v>
      </c>
      <c r="AK1849" s="1" t="s">
        <v>35931</v>
      </c>
      <c r="AL1849" s="1" t="s">
        <v>132</v>
      </c>
      <c r="AM1849" s="1" t="s">
        <v>35932</v>
      </c>
      <c r="AN1849" s="1" t="s">
        <v>35932</v>
      </c>
    </row>
    <row r="1850" ht="15.75" customHeight="1">
      <c r="A1850" s="1" t="s">
        <v>38</v>
      </c>
      <c r="B1850" s="1" t="s">
        <v>35933</v>
      </c>
      <c r="C1850" s="1" t="s">
        <v>35934</v>
      </c>
      <c r="D1850" s="8" t="s">
        <v>35935</v>
      </c>
      <c r="E1850" s="1" t="s">
        <v>35936</v>
      </c>
      <c r="F1850" s="1" t="s">
        <v>35937</v>
      </c>
      <c r="G1850" s="1" t="s">
        <v>132</v>
      </c>
      <c r="H1850" s="1" t="s">
        <v>132</v>
      </c>
      <c r="I1850" s="1" t="s">
        <v>35938</v>
      </c>
      <c r="J1850" s="1" t="s">
        <v>132</v>
      </c>
      <c r="K1850" s="1" t="s">
        <v>35939</v>
      </c>
      <c r="L1850" s="1" t="s">
        <v>132</v>
      </c>
      <c r="M1850" s="1" t="s">
        <v>35940</v>
      </c>
      <c r="N1850" s="1" t="s">
        <v>35941</v>
      </c>
      <c r="O1850" s="1" t="s">
        <v>132</v>
      </c>
      <c r="P1850" s="1" t="s">
        <v>35942</v>
      </c>
      <c r="Q1850" s="1" t="s">
        <v>132</v>
      </c>
      <c r="R1850" s="1" t="s">
        <v>132</v>
      </c>
      <c r="S1850" s="1" t="s">
        <v>35943</v>
      </c>
      <c r="T1850" s="1" t="s">
        <v>132</v>
      </c>
      <c r="U1850" s="1" t="s">
        <v>35944</v>
      </c>
      <c r="V1850" s="1" t="s">
        <v>132</v>
      </c>
      <c r="W1850" s="1" t="s">
        <v>132</v>
      </c>
      <c r="X1850" s="1" t="s">
        <v>35945</v>
      </c>
      <c r="Y1850" s="1" t="s">
        <v>132</v>
      </c>
      <c r="Z1850" s="1" t="s">
        <v>35946</v>
      </c>
      <c r="AA1850" s="1" t="s">
        <v>132</v>
      </c>
      <c r="AB1850" s="1" t="s">
        <v>132</v>
      </c>
      <c r="AC1850" s="1" t="s">
        <v>35947</v>
      </c>
      <c r="AD1850" s="1" t="s">
        <v>132</v>
      </c>
      <c r="AE1850" s="1" t="s">
        <v>132</v>
      </c>
      <c r="AF1850" s="1" t="s">
        <v>35948</v>
      </c>
      <c r="AG1850" s="1" t="s">
        <v>132</v>
      </c>
      <c r="AH1850" s="1" t="s">
        <v>132</v>
      </c>
      <c r="AI1850" s="1" t="s">
        <v>132</v>
      </c>
      <c r="AJ1850" s="1" t="s">
        <v>132</v>
      </c>
      <c r="AK1850" s="1" t="s">
        <v>132</v>
      </c>
      <c r="AL1850" s="1" t="s">
        <v>132</v>
      </c>
      <c r="AM1850" s="1" t="s">
        <v>132</v>
      </c>
      <c r="AN1850" s="1" t="s">
        <v>132</v>
      </c>
    </row>
    <row r="1851" ht="15.75" customHeight="1">
      <c r="A1851" s="1" t="s">
        <v>127</v>
      </c>
      <c r="B1851" s="1" t="s">
        <v>35949</v>
      </c>
      <c r="C1851" s="1" t="s">
        <v>1981</v>
      </c>
      <c r="D1851" s="8" t="s">
        <v>1982</v>
      </c>
      <c r="E1851" s="1" t="s">
        <v>1983</v>
      </c>
      <c r="F1851" s="1" t="s">
        <v>132</v>
      </c>
      <c r="G1851" s="1" t="s">
        <v>1984</v>
      </c>
      <c r="H1851" s="1" t="s">
        <v>1985</v>
      </c>
      <c r="I1851" s="1" t="s">
        <v>1986</v>
      </c>
      <c r="J1851" s="1" t="s">
        <v>1987</v>
      </c>
      <c r="K1851" s="1" t="s">
        <v>1988</v>
      </c>
      <c r="L1851" s="1" t="s">
        <v>1989</v>
      </c>
      <c r="M1851" s="1" t="s">
        <v>1990</v>
      </c>
      <c r="N1851" s="1" t="s">
        <v>132</v>
      </c>
      <c r="O1851" s="1" t="s">
        <v>1991</v>
      </c>
      <c r="P1851" s="1" t="s">
        <v>1992</v>
      </c>
      <c r="Q1851" s="1" t="s">
        <v>132</v>
      </c>
      <c r="R1851" s="1" t="s">
        <v>1993</v>
      </c>
      <c r="S1851" s="1" t="s">
        <v>1994</v>
      </c>
      <c r="T1851" s="8" t="s">
        <v>1995</v>
      </c>
      <c r="U1851" s="1" t="s">
        <v>1996</v>
      </c>
      <c r="V1851" s="1" t="s">
        <v>1997</v>
      </c>
      <c r="W1851" s="1" t="s">
        <v>1993</v>
      </c>
      <c r="X1851" s="1" t="s">
        <v>1998</v>
      </c>
      <c r="Y1851" s="1" t="s">
        <v>1985</v>
      </c>
      <c r="Z1851" s="1" t="s">
        <v>1999</v>
      </c>
      <c r="AA1851" s="1" t="s">
        <v>2000</v>
      </c>
      <c r="AB1851" s="1" t="s">
        <v>2001</v>
      </c>
      <c r="AC1851" s="1" t="s">
        <v>2002</v>
      </c>
      <c r="AD1851" s="1" t="s">
        <v>2003</v>
      </c>
      <c r="AE1851" s="1" t="s">
        <v>1999</v>
      </c>
      <c r="AF1851" s="1" t="s">
        <v>1999</v>
      </c>
      <c r="AG1851" s="1" t="s">
        <v>1981</v>
      </c>
      <c r="AH1851" s="1" t="s">
        <v>2004</v>
      </c>
      <c r="AI1851" s="1" t="s">
        <v>2005</v>
      </c>
      <c r="AJ1851" s="1" t="s">
        <v>132</v>
      </c>
      <c r="AK1851" s="1" t="s">
        <v>2006</v>
      </c>
      <c r="AL1851" s="1" t="s">
        <v>2007</v>
      </c>
      <c r="AM1851" s="1" t="s">
        <v>2008</v>
      </c>
      <c r="AN1851" s="1" t="s">
        <v>2008</v>
      </c>
    </row>
    <row r="1852" ht="15.75" customHeight="1">
      <c r="A1852" s="1" t="s">
        <v>38</v>
      </c>
      <c r="B1852" s="1" t="s">
        <v>35950</v>
      </c>
      <c r="C1852" s="1" t="s">
        <v>35951</v>
      </c>
      <c r="D1852" s="8" t="s">
        <v>35952</v>
      </c>
      <c r="E1852" s="1" t="s">
        <v>35953</v>
      </c>
      <c r="F1852" s="1" t="s">
        <v>35954</v>
      </c>
      <c r="G1852" s="1" t="s">
        <v>132</v>
      </c>
      <c r="H1852" s="1" t="s">
        <v>132</v>
      </c>
      <c r="I1852" s="1" t="s">
        <v>35955</v>
      </c>
      <c r="J1852" s="1" t="s">
        <v>132</v>
      </c>
      <c r="K1852" s="1" t="s">
        <v>35956</v>
      </c>
      <c r="L1852" s="1" t="s">
        <v>132</v>
      </c>
      <c r="M1852" s="1" t="s">
        <v>35957</v>
      </c>
      <c r="N1852" s="1" t="s">
        <v>35958</v>
      </c>
      <c r="O1852" s="1" t="s">
        <v>132</v>
      </c>
      <c r="P1852" s="1" t="s">
        <v>35959</v>
      </c>
      <c r="Q1852" s="1" t="s">
        <v>132</v>
      </c>
      <c r="R1852" s="1" t="s">
        <v>132</v>
      </c>
      <c r="S1852" s="1" t="s">
        <v>35960</v>
      </c>
      <c r="T1852" s="1" t="s">
        <v>132</v>
      </c>
      <c r="U1852" s="1" t="s">
        <v>35961</v>
      </c>
      <c r="V1852" s="1" t="s">
        <v>35962</v>
      </c>
      <c r="W1852" s="1" t="s">
        <v>132</v>
      </c>
      <c r="X1852" s="1" t="s">
        <v>35963</v>
      </c>
      <c r="Y1852" s="1" t="s">
        <v>132</v>
      </c>
      <c r="Z1852" s="1" t="s">
        <v>35964</v>
      </c>
      <c r="AA1852" s="1" t="s">
        <v>35965</v>
      </c>
      <c r="AB1852" s="1" t="s">
        <v>132</v>
      </c>
      <c r="AC1852" s="1" t="s">
        <v>35966</v>
      </c>
      <c r="AD1852" s="1" t="s">
        <v>35967</v>
      </c>
      <c r="AE1852" s="1" t="s">
        <v>132</v>
      </c>
      <c r="AF1852" s="1" t="s">
        <v>35968</v>
      </c>
      <c r="AG1852" s="1" t="s">
        <v>35969</v>
      </c>
      <c r="AH1852" s="1" t="s">
        <v>132</v>
      </c>
      <c r="AI1852" s="1" t="s">
        <v>132</v>
      </c>
      <c r="AJ1852" s="1" t="s">
        <v>35970</v>
      </c>
      <c r="AK1852" s="1" t="s">
        <v>35971</v>
      </c>
      <c r="AL1852" s="1" t="s">
        <v>132</v>
      </c>
      <c r="AM1852" s="1" t="s">
        <v>35972</v>
      </c>
      <c r="AN1852" s="1" t="s">
        <v>35972</v>
      </c>
    </row>
    <row r="1853" ht="15.75" customHeight="1">
      <c r="A1853" s="1" t="s">
        <v>127</v>
      </c>
      <c r="B1853" s="1" t="s">
        <v>35973</v>
      </c>
      <c r="C1853" s="1" t="s">
        <v>35974</v>
      </c>
      <c r="D1853" s="8" t="s">
        <v>35975</v>
      </c>
      <c r="E1853" s="1" t="s">
        <v>35976</v>
      </c>
      <c r="F1853" s="1" t="s">
        <v>132</v>
      </c>
      <c r="G1853" s="1" t="s">
        <v>35977</v>
      </c>
      <c r="H1853" s="1" t="s">
        <v>35978</v>
      </c>
      <c r="I1853" s="1" t="s">
        <v>35979</v>
      </c>
      <c r="J1853" s="1" t="s">
        <v>35980</v>
      </c>
      <c r="K1853" s="1" t="s">
        <v>35981</v>
      </c>
      <c r="L1853" s="1" t="s">
        <v>35982</v>
      </c>
      <c r="M1853" s="1" t="s">
        <v>35983</v>
      </c>
      <c r="N1853" s="1" t="s">
        <v>132</v>
      </c>
      <c r="O1853" s="1" t="s">
        <v>35984</v>
      </c>
      <c r="P1853" s="1" t="s">
        <v>35985</v>
      </c>
      <c r="Q1853" s="1" t="s">
        <v>132</v>
      </c>
      <c r="R1853" s="1" t="s">
        <v>35986</v>
      </c>
      <c r="S1853" s="1" t="s">
        <v>35987</v>
      </c>
      <c r="T1853" s="8" t="s">
        <v>35988</v>
      </c>
      <c r="U1853" s="1" t="s">
        <v>35989</v>
      </c>
      <c r="V1853" s="1" t="s">
        <v>35990</v>
      </c>
      <c r="W1853" s="1" t="s">
        <v>35991</v>
      </c>
      <c r="X1853" s="1" t="s">
        <v>35992</v>
      </c>
      <c r="Y1853" s="1" t="s">
        <v>35993</v>
      </c>
      <c r="Z1853" s="1" t="s">
        <v>35994</v>
      </c>
      <c r="AA1853" s="1" t="s">
        <v>35995</v>
      </c>
      <c r="AB1853" s="1" t="s">
        <v>35996</v>
      </c>
      <c r="AC1853" s="1" t="s">
        <v>35997</v>
      </c>
      <c r="AD1853" s="1" t="s">
        <v>35998</v>
      </c>
      <c r="AE1853" s="1" t="s">
        <v>35999</v>
      </c>
      <c r="AF1853" s="1" t="s">
        <v>36000</v>
      </c>
      <c r="AG1853" s="1" t="s">
        <v>36001</v>
      </c>
      <c r="AH1853" s="1" t="s">
        <v>36002</v>
      </c>
      <c r="AI1853" s="1" t="s">
        <v>36003</v>
      </c>
      <c r="AJ1853" s="1" t="s">
        <v>132</v>
      </c>
      <c r="AK1853" s="1" t="s">
        <v>36004</v>
      </c>
      <c r="AL1853" s="1" t="s">
        <v>36005</v>
      </c>
      <c r="AM1853" s="1" t="s">
        <v>132</v>
      </c>
      <c r="AN1853" s="1" t="s">
        <v>132</v>
      </c>
    </row>
    <row r="1854" ht="15.75" customHeight="1">
      <c r="A1854" s="1" t="s">
        <v>38</v>
      </c>
      <c r="B1854" s="1" t="s">
        <v>36006</v>
      </c>
      <c r="C1854" s="1" t="s">
        <v>36007</v>
      </c>
      <c r="D1854" s="1" t="s">
        <v>132</v>
      </c>
      <c r="E1854" s="1" t="s">
        <v>132</v>
      </c>
      <c r="F1854" s="1" t="s">
        <v>132</v>
      </c>
      <c r="G1854" s="1" t="s">
        <v>132</v>
      </c>
      <c r="H1854" s="1" t="s">
        <v>132</v>
      </c>
      <c r="I1854" s="1" t="s">
        <v>36008</v>
      </c>
      <c r="J1854" s="1" t="s">
        <v>132</v>
      </c>
      <c r="K1854" s="1" t="s">
        <v>36009</v>
      </c>
      <c r="L1854" s="1" t="s">
        <v>132</v>
      </c>
      <c r="M1854" s="1" t="s">
        <v>36010</v>
      </c>
      <c r="N1854" s="1" t="s">
        <v>132</v>
      </c>
      <c r="O1854" s="1" t="s">
        <v>132</v>
      </c>
      <c r="P1854" s="1" t="s">
        <v>36007</v>
      </c>
      <c r="Q1854" s="1" t="s">
        <v>132</v>
      </c>
      <c r="R1854" s="1" t="s">
        <v>132</v>
      </c>
      <c r="S1854" s="1" t="s">
        <v>132</v>
      </c>
      <c r="T1854" s="1" t="s">
        <v>132</v>
      </c>
      <c r="U1854" s="1" t="s">
        <v>132</v>
      </c>
      <c r="V1854" s="1" t="s">
        <v>132</v>
      </c>
      <c r="W1854" s="1" t="s">
        <v>132</v>
      </c>
      <c r="X1854" s="1" t="s">
        <v>132</v>
      </c>
      <c r="Y1854" s="1" t="s">
        <v>132</v>
      </c>
      <c r="Z1854" s="1" t="s">
        <v>132</v>
      </c>
      <c r="AA1854" s="1" t="s">
        <v>132</v>
      </c>
      <c r="AB1854" s="1" t="s">
        <v>132</v>
      </c>
      <c r="AC1854" s="1" t="s">
        <v>36011</v>
      </c>
      <c r="AD1854" s="1" t="s">
        <v>132</v>
      </c>
      <c r="AE1854" s="1" t="s">
        <v>132</v>
      </c>
      <c r="AF1854" s="1" t="s">
        <v>36012</v>
      </c>
      <c r="AG1854" s="1" t="s">
        <v>132</v>
      </c>
      <c r="AH1854" s="1" t="s">
        <v>132</v>
      </c>
      <c r="AI1854" s="1" t="s">
        <v>132</v>
      </c>
      <c r="AJ1854" s="1" t="s">
        <v>132</v>
      </c>
      <c r="AK1854" s="1" t="s">
        <v>132</v>
      </c>
      <c r="AL1854" s="1" t="s">
        <v>132</v>
      </c>
      <c r="AM1854" s="1" t="s">
        <v>132</v>
      </c>
      <c r="AN1854" s="1" t="s">
        <v>132</v>
      </c>
    </row>
    <row r="1855" ht="15.75" customHeight="1">
      <c r="A1855" s="1" t="s">
        <v>127</v>
      </c>
      <c r="B1855" s="1" t="s">
        <v>36013</v>
      </c>
      <c r="C1855" s="1" t="s">
        <v>2877</v>
      </c>
      <c r="D1855" s="8" t="s">
        <v>36014</v>
      </c>
      <c r="E1855" s="1" t="s">
        <v>36015</v>
      </c>
      <c r="F1855" s="1" t="s">
        <v>132</v>
      </c>
      <c r="G1855" s="1" t="s">
        <v>36016</v>
      </c>
      <c r="H1855" s="1" t="s">
        <v>36017</v>
      </c>
      <c r="I1855" s="1" t="s">
        <v>2881</v>
      </c>
      <c r="J1855" s="1" t="s">
        <v>36018</v>
      </c>
      <c r="K1855" s="1" t="s">
        <v>2882</v>
      </c>
      <c r="L1855" s="1" t="s">
        <v>36019</v>
      </c>
      <c r="M1855" s="1" t="s">
        <v>2883</v>
      </c>
      <c r="N1855" s="1" t="s">
        <v>132</v>
      </c>
      <c r="O1855" s="1" t="s">
        <v>36020</v>
      </c>
      <c r="P1855" s="1" t="s">
        <v>2885</v>
      </c>
      <c r="Q1855" s="1" t="s">
        <v>132</v>
      </c>
      <c r="R1855" s="1" t="s">
        <v>36021</v>
      </c>
      <c r="S1855" s="1" t="s">
        <v>36022</v>
      </c>
      <c r="T1855" s="8" t="s">
        <v>36023</v>
      </c>
      <c r="U1855" s="1" t="s">
        <v>36024</v>
      </c>
      <c r="V1855" s="1" t="s">
        <v>2889</v>
      </c>
      <c r="W1855" s="1" t="s">
        <v>36021</v>
      </c>
      <c r="X1855" s="1" t="s">
        <v>2890</v>
      </c>
      <c r="Y1855" s="1" t="s">
        <v>36025</v>
      </c>
      <c r="Z1855" s="1" t="s">
        <v>36026</v>
      </c>
      <c r="AA1855" s="1" t="s">
        <v>2892</v>
      </c>
      <c r="AB1855" s="1" t="s">
        <v>36027</v>
      </c>
      <c r="AC1855" s="1" t="s">
        <v>36028</v>
      </c>
      <c r="AD1855" s="1" t="s">
        <v>36029</v>
      </c>
      <c r="AE1855" s="1" t="s">
        <v>36030</v>
      </c>
      <c r="AF1855" s="1" t="s">
        <v>36031</v>
      </c>
      <c r="AG1855" s="1" t="s">
        <v>2896</v>
      </c>
      <c r="AH1855" s="1" t="s">
        <v>36032</v>
      </c>
      <c r="AI1855" s="1" t="s">
        <v>36033</v>
      </c>
      <c r="AJ1855" s="1" t="s">
        <v>132</v>
      </c>
      <c r="AK1855" s="1" t="s">
        <v>36034</v>
      </c>
      <c r="AL1855" s="1" t="s">
        <v>36035</v>
      </c>
      <c r="AM1855" s="1" t="s">
        <v>132</v>
      </c>
      <c r="AN1855" s="1" t="s">
        <v>132</v>
      </c>
    </row>
    <row r="1856" ht="15.75" customHeight="1">
      <c r="A1856" s="1" t="s">
        <v>43182</v>
      </c>
      <c r="B1856" s="1" t="s">
        <v>43314</v>
      </c>
      <c r="C1856" s="1" t="s">
        <v>43315</v>
      </c>
      <c r="D1856" s="1" t="s">
        <v>132</v>
      </c>
      <c r="E1856" s="1" t="s">
        <v>132</v>
      </c>
      <c r="F1856" s="1" t="s">
        <v>132</v>
      </c>
      <c r="G1856" s="1" t="s">
        <v>132</v>
      </c>
      <c r="H1856" s="1" t="s">
        <v>132</v>
      </c>
      <c r="I1856" s="1" t="s">
        <v>132</v>
      </c>
      <c r="J1856" s="1" t="s">
        <v>132</v>
      </c>
      <c r="K1856" s="1" t="s">
        <v>132</v>
      </c>
      <c r="L1856" s="1" t="s">
        <v>132</v>
      </c>
      <c r="M1856" s="1" t="s">
        <v>132</v>
      </c>
      <c r="N1856" s="1" t="s">
        <v>132</v>
      </c>
      <c r="O1856" s="1" t="s">
        <v>132</v>
      </c>
      <c r="P1856" s="1" t="s">
        <v>132</v>
      </c>
      <c r="Q1856" s="1" t="s">
        <v>132</v>
      </c>
      <c r="R1856" s="1" t="s">
        <v>132</v>
      </c>
      <c r="S1856" s="1" t="s">
        <v>132</v>
      </c>
      <c r="T1856" s="1" t="s">
        <v>132</v>
      </c>
      <c r="U1856" s="1" t="s">
        <v>132</v>
      </c>
      <c r="V1856" s="1" t="s">
        <v>132</v>
      </c>
      <c r="W1856" s="1" t="s">
        <v>132</v>
      </c>
      <c r="X1856" s="1" t="s">
        <v>132</v>
      </c>
      <c r="Y1856" s="1" t="s">
        <v>132</v>
      </c>
      <c r="Z1856" s="1" t="s">
        <v>132</v>
      </c>
      <c r="AA1856" s="1" t="s">
        <v>132</v>
      </c>
      <c r="AB1856" s="1" t="s">
        <v>132</v>
      </c>
      <c r="AC1856" s="1" t="s">
        <v>132</v>
      </c>
      <c r="AD1856" s="1" t="s">
        <v>132</v>
      </c>
      <c r="AE1856" s="1" t="s">
        <v>132</v>
      </c>
      <c r="AF1856" s="1" t="s">
        <v>132</v>
      </c>
      <c r="AG1856" s="1" t="s">
        <v>132</v>
      </c>
      <c r="AH1856" s="1" t="s">
        <v>132</v>
      </c>
      <c r="AI1856" s="1" t="s">
        <v>132</v>
      </c>
      <c r="AJ1856" s="1" t="s">
        <v>132</v>
      </c>
      <c r="AK1856" s="1" t="s">
        <v>132</v>
      </c>
      <c r="AL1856" s="1" t="s">
        <v>132</v>
      </c>
      <c r="AM1856" s="1" t="s">
        <v>132</v>
      </c>
      <c r="AN1856" s="1" t="s">
        <v>132</v>
      </c>
    </row>
    <row r="1857" ht="15.75" customHeight="1">
      <c r="A1857" s="1" t="s">
        <v>127</v>
      </c>
      <c r="B1857" s="1" t="s">
        <v>36036</v>
      </c>
      <c r="C1857" s="1" t="s">
        <v>36037</v>
      </c>
      <c r="D1857" s="8" t="s">
        <v>36038</v>
      </c>
      <c r="E1857" s="1" t="s">
        <v>36039</v>
      </c>
      <c r="F1857" s="1" t="s">
        <v>132</v>
      </c>
      <c r="G1857" s="1" t="s">
        <v>36037</v>
      </c>
      <c r="H1857" s="1" t="s">
        <v>36037</v>
      </c>
      <c r="I1857" s="1" t="s">
        <v>36037</v>
      </c>
      <c r="J1857" s="1" t="s">
        <v>36040</v>
      </c>
      <c r="K1857" s="1" t="s">
        <v>36037</v>
      </c>
      <c r="L1857" s="1" t="s">
        <v>36037</v>
      </c>
      <c r="M1857" s="1" t="s">
        <v>36037</v>
      </c>
      <c r="N1857" s="1" t="s">
        <v>132</v>
      </c>
      <c r="O1857" s="1" t="s">
        <v>36041</v>
      </c>
      <c r="P1857" s="1" t="s">
        <v>36037</v>
      </c>
      <c r="Q1857" s="1" t="s">
        <v>132</v>
      </c>
      <c r="R1857" s="1" t="s">
        <v>36042</v>
      </c>
      <c r="S1857" s="1" t="s">
        <v>36037</v>
      </c>
      <c r="T1857" s="8" t="s">
        <v>36043</v>
      </c>
      <c r="U1857" s="1" t="s">
        <v>36044</v>
      </c>
      <c r="V1857" s="1" t="s">
        <v>36045</v>
      </c>
      <c r="W1857" s="1" t="s">
        <v>36046</v>
      </c>
      <c r="X1857" s="1" t="s">
        <v>36037</v>
      </c>
      <c r="Y1857" s="1" t="s">
        <v>36037</v>
      </c>
      <c r="Z1857" s="1" t="s">
        <v>36047</v>
      </c>
      <c r="AA1857" s="1" t="s">
        <v>36037</v>
      </c>
      <c r="AB1857" s="1" t="s">
        <v>36048</v>
      </c>
      <c r="AC1857" s="1" t="s">
        <v>36039</v>
      </c>
      <c r="AD1857" s="1" t="s">
        <v>36037</v>
      </c>
      <c r="AE1857" s="1" t="s">
        <v>36049</v>
      </c>
      <c r="AF1857" s="1" t="s">
        <v>36037</v>
      </c>
      <c r="AG1857" s="1" t="s">
        <v>36050</v>
      </c>
      <c r="AH1857" s="1" t="s">
        <v>36051</v>
      </c>
      <c r="AI1857" s="1" t="s">
        <v>36052</v>
      </c>
      <c r="AJ1857" s="1" t="s">
        <v>132</v>
      </c>
      <c r="AK1857" s="1" t="s">
        <v>36053</v>
      </c>
      <c r="AL1857" s="1" t="s">
        <v>36054</v>
      </c>
      <c r="AM1857" s="1" t="s">
        <v>132</v>
      </c>
      <c r="AN1857" s="1" t="s">
        <v>132</v>
      </c>
    </row>
    <row r="1858" ht="15.75" customHeight="1">
      <c r="A1858" s="1" t="s">
        <v>38</v>
      </c>
      <c r="B1858" s="1" t="s">
        <v>36055</v>
      </c>
      <c r="C1858" s="1" t="s">
        <v>36056</v>
      </c>
      <c r="D1858" s="8" t="s">
        <v>36057</v>
      </c>
      <c r="E1858" s="1" t="s">
        <v>36058</v>
      </c>
      <c r="F1858" s="1" t="s">
        <v>36059</v>
      </c>
      <c r="G1858" s="1" t="s">
        <v>132</v>
      </c>
      <c r="H1858" s="1" t="s">
        <v>132</v>
      </c>
      <c r="I1858" s="1" t="s">
        <v>36060</v>
      </c>
      <c r="J1858" s="1" t="s">
        <v>132</v>
      </c>
      <c r="K1858" s="1" t="s">
        <v>36061</v>
      </c>
      <c r="L1858" s="1" t="s">
        <v>132</v>
      </c>
      <c r="M1858" s="1" t="s">
        <v>36062</v>
      </c>
      <c r="N1858" s="1" t="s">
        <v>36063</v>
      </c>
      <c r="O1858" s="1" t="s">
        <v>132</v>
      </c>
      <c r="P1858" s="1" t="s">
        <v>36064</v>
      </c>
      <c r="Q1858" s="1" t="s">
        <v>132</v>
      </c>
      <c r="R1858" s="1" t="s">
        <v>132</v>
      </c>
      <c r="S1858" s="1" t="s">
        <v>36065</v>
      </c>
      <c r="T1858" s="1" t="s">
        <v>132</v>
      </c>
      <c r="U1858" s="1" t="s">
        <v>36066</v>
      </c>
      <c r="V1858" s="1" t="s">
        <v>36067</v>
      </c>
      <c r="W1858" s="1" t="s">
        <v>132</v>
      </c>
      <c r="X1858" s="1" t="s">
        <v>36068</v>
      </c>
      <c r="Y1858" s="1" t="s">
        <v>132</v>
      </c>
      <c r="Z1858" s="1" t="s">
        <v>36069</v>
      </c>
      <c r="AA1858" s="1" t="s">
        <v>36070</v>
      </c>
      <c r="AB1858" s="1" t="s">
        <v>132</v>
      </c>
      <c r="AC1858" s="1" t="s">
        <v>36071</v>
      </c>
      <c r="AD1858" s="1" t="s">
        <v>132</v>
      </c>
      <c r="AE1858" s="1" t="s">
        <v>132</v>
      </c>
      <c r="AF1858" s="1" t="s">
        <v>36072</v>
      </c>
      <c r="AG1858" s="1" t="s">
        <v>36073</v>
      </c>
      <c r="AH1858" s="1" t="s">
        <v>132</v>
      </c>
      <c r="AI1858" s="1" t="s">
        <v>132</v>
      </c>
      <c r="AJ1858" s="1" t="s">
        <v>36074</v>
      </c>
      <c r="AK1858" s="1" t="s">
        <v>36075</v>
      </c>
      <c r="AL1858" s="1" t="s">
        <v>132</v>
      </c>
      <c r="AM1858" s="1" t="s">
        <v>36076</v>
      </c>
      <c r="AN1858" s="1" t="s">
        <v>36076</v>
      </c>
    </row>
    <row r="1859" ht="15.75" customHeight="1">
      <c r="A1859" s="1" t="s">
        <v>38</v>
      </c>
      <c r="B1859" s="1" t="s">
        <v>36077</v>
      </c>
      <c r="C1859" s="1" t="s">
        <v>36078</v>
      </c>
      <c r="D1859" s="1" t="s">
        <v>132</v>
      </c>
      <c r="E1859" s="1" t="s">
        <v>132</v>
      </c>
      <c r="F1859" s="1" t="s">
        <v>132</v>
      </c>
      <c r="G1859" s="1" t="s">
        <v>132</v>
      </c>
      <c r="H1859" s="1" t="s">
        <v>132</v>
      </c>
      <c r="I1859" s="1" t="s">
        <v>36078</v>
      </c>
      <c r="J1859" s="1" t="s">
        <v>132</v>
      </c>
      <c r="K1859" s="1" t="s">
        <v>36078</v>
      </c>
      <c r="L1859" s="1" t="s">
        <v>132</v>
      </c>
      <c r="M1859" s="1" t="s">
        <v>36078</v>
      </c>
      <c r="N1859" s="1" t="s">
        <v>132</v>
      </c>
      <c r="O1859" s="1" t="s">
        <v>132</v>
      </c>
      <c r="P1859" s="1" t="s">
        <v>36078</v>
      </c>
      <c r="Q1859" s="1" t="s">
        <v>132</v>
      </c>
      <c r="R1859" s="1" t="s">
        <v>132</v>
      </c>
      <c r="S1859" s="1" t="s">
        <v>132</v>
      </c>
      <c r="T1859" s="1" t="s">
        <v>132</v>
      </c>
      <c r="U1859" s="1" t="s">
        <v>132</v>
      </c>
      <c r="V1859" s="1" t="s">
        <v>132</v>
      </c>
      <c r="W1859" s="1" t="s">
        <v>132</v>
      </c>
      <c r="X1859" s="1" t="s">
        <v>132</v>
      </c>
      <c r="Y1859" s="1" t="s">
        <v>132</v>
      </c>
      <c r="Z1859" s="1" t="s">
        <v>132</v>
      </c>
      <c r="AA1859" s="1" t="s">
        <v>132</v>
      </c>
      <c r="AB1859" s="1" t="s">
        <v>132</v>
      </c>
      <c r="AC1859" s="1" t="s">
        <v>36079</v>
      </c>
      <c r="AD1859" s="1" t="s">
        <v>132</v>
      </c>
      <c r="AE1859" s="1" t="s">
        <v>132</v>
      </c>
      <c r="AF1859" s="1" t="s">
        <v>36078</v>
      </c>
      <c r="AG1859" s="1" t="s">
        <v>132</v>
      </c>
      <c r="AH1859" s="1" t="s">
        <v>132</v>
      </c>
      <c r="AI1859" s="1" t="s">
        <v>132</v>
      </c>
      <c r="AJ1859" s="1" t="s">
        <v>132</v>
      </c>
      <c r="AK1859" s="1" t="s">
        <v>132</v>
      </c>
      <c r="AL1859" s="1" t="s">
        <v>132</v>
      </c>
      <c r="AM1859" s="1" t="s">
        <v>132</v>
      </c>
      <c r="AN1859" s="1" t="s">
        <v>132</v>
      </c>
    </row>
    <row r="1860" ht="15.75" customHeight="1">
      <c r="A1860" s="1" t="s">
        <v>127</v>
      </c>
      <c r="B1860" s="1" t="s">
        <v>36080</v>
      </c>
      <c r="C1860" s="1" t="s">
        <v>36081</v>
      </c>
      <c r="D1860" s="8" t="s">
        <v>36082</v>
      </c>
      <c r="E1860" s="1" t="s">
        <v>36083</v>
      </c>
      <c r="F1860" s="1" t="s">
        <v>132</v>
      </c>
      <c r="G1860" s="1" t="s">
        <v>36084</v>
      </c>
      <c r="H1860" s="1" t="s">
        <v>36085</v>
      </c>
      <c r="I1860" s="1" t="s">
        <v>36086</v>
      </c>
      <c r="J1860" s="1" t="s">
        <v>36087</v>
      </c>
      <c r="K1860" s="1" t="s">
        <v>36088</v>
      </c>
      <c r="L1860" s="1" t="s">
        <v>36089</v>
      </c>
      <c r="M1860" s="1" t="s">
        <v>36090</v>
      </c>
      <c r="N1860" s="1" t="s">
        <v>132</v>
      </c>
      <c r="O1860" s="1" t="s">
        <v>36091</v>
      </c>
      <c r="P1860" s="1" t="s">
        <v>36092</v>
      </c>
      <c r="Q1860" s="1" t="s">
        <v>132</v>
      </c>
      <c r="R1860" s="1" t="s">
        <v>36081</v>
      </c>
      <c r="S1860" s="1" t="s">
        <v>36093</v>
      </c>
      <c r="T1860" s="8" t="s">
        <v>36094</v>
      </c>
      <c r="U1860" s="1" t="s">
        <v>36095</v>
      </c>
      <c r="V1860" s="1" t="s">
        <v>36096</v>
      </c>
      <c r="W1860" s="1" t="s">
        <v>36097</v>
      </c>
      <c r="X1860" s="1" t="s">
        <v>36098</v>
      </c>
      <c r="Y1860" s="1" t="s">
        <v>36099</v>
      </c>
      <c r="Z1860" s="1" t="s">
        <v>36100</v>
      </c>
      <c r="AA1860" s="1" t="s">
        <v>36101</v>
      </c>
      <c r="AB1860" s="1" t="s">
        <v>36102</v>
      </c>
      <c r="AC1860" s="1" t="s">
        <v>36103</v>
      </c>
      <c r="AD1860" s="1" t="s">
        <v>36104</v>
      </c>
      <c r="AE1860" s="1" t="s">
        <v>36105</v>
      </c>
      <c r="AF1860" s="1" t="s">
        <v>36106</v>
      </c>
      <c r="AG1860" s="1" t="s">
        <v>36107</v>
      </c>
      <c r="AH1860" s="1" t="s">
        <v>36108</v>
      </c>
      <c r="AI1860" s="1" t="s">
        <v>36109</v>
      </c>
      <c r="AJ1860" s="1" t="s">
        <v>132</v>
      </c>
      <c r="AK1860" s="1" t="s">
        <v>36110</v>
      </c>
      <c r="AL1860" s="1" t="s">
        <v>36111</v>
      </c>
      <c r="AM1860" s="1" t="s">
        <v>36112</v>
      </c>
      <c r="AN1860" s="1" t="s">
        <v>36112</v>
      </c>
    </row>
    <row r="1861" ht="15.75" customHeight="1">
      <c r="A1861" s="1" t="s">
        <v>38</v>
      </c>
      <c r="B1861" s="1" t="s">
        <v>36113</v>
      </c>
      <c r="C1861" s="1" t="s">
        <v>36114</v>
      </c>
      <c r="D1861" s="1" t="s">
        <v>132</v>
      </c>
      <c r="E1861" s="1" t="s">
        <v>132</v>
      </c>
      <c r="F1861" s="1" t="s">
        <v>132</v>
      </c>
      <c r="G1861" s="1" t="s">
        <v>132</v>
      </c>
      <c r="H1861" s="1" t="s">
        <v>132</v>
      </c>
      <c r="I1861" s="1" t="s">
        <v>36115</v>
      </c>
      <c r="J1861" s="1" t="s">
        <v>132</v>
      </c>
      <c r="K1861" s="1" t="s">
        <v>36116</v>
      </c>
      <c r="L1861" s="1" t="s">
        <v>132</v>
      </c>
      <c r="M1861" s="1" t="s">
        <v>36117</v>
      </c>
      <c r="N1861" s="1" t="s">
        <v>132</v>
      </c>
      <c r="O1861" s="1" t="s">
        <v>132</v>
      </c>
      <c r="P1861" s="1" t="s">
        <v>36114</v>
      </c>
      <c r="Q1861" s="1" t="s">
        <v>132</v>
      </c>
      <c r="R1861" s="1" t="s">
        <v>132</v>
      </c>
      <c r="S1861" s="1" t="s">
        <v>132</v>
      </c>
      <c r="T1861" s="1" t="s">
        <v>132</v>
      </c>
      <c r="U1861" s="1" t="s">
        <v>132</v>
      </c>
      <c r="V1861" s="1" t="s">
        <v>132</v>
      </c>
      <c r="W1861" s="1" t="s">
        <v>132</v>
      </c>
      <c r="X1861" s="1" t="s">
        <v>132</v>
      </c>
      <c r="Y1861" s="1" t="s">
        <v>132</v>
      </c>
      <c r="Z1861" s="1" t="s">
        <v>132</v>
      </c>
      <c r="AA1861" s="1" t="s">
        <v>132</v>
      </c>
      <c r="AB1861" s="1" t="s">
        <v>132</v>
      </c>
      <c r="AC1861" s="1" t="s">
        <v>36118</v>
      </c>
      <c r="AD1861" s="1" t="s">
        <v>132</v>
      </c>
      <c r="AE1861" s="1" t="s">
        <v>132</v>
      </c>
      <c r="AF1861" s="1" t="s">
        <v>36119</v>
      </c>
      <c r="AG1861" s="1" t="s">
        <v>132</v>
      </c>
      <c r="AH1861" s="1" t="s">
        <v>132</v>
      </c>
      <c r="AI1861" s="1" t="s">
        <v>132</v>
      </c>
      <c r="AJ1861" s="1" t="s">
        <v>132</v>
      </c>
      <c r="AK1861" s="1" t="s">
        <v>132</v>
      </c>
      <c r="AL1861" s="1" t="s">
        <v>132</v>
      </c>
      <c r="AM1861" s="1" t="s">
        <v>132</v>
      </c>
      <c r="AN1861" s="1" t="s">
        <v>132</v>
      </c>
    </row>
    <row r="1862" ht="15.75" customHeight="1">
      <c r="A1862" s="1" t="s">
        <v>38</v>
      </c>
      <c r="B1862" s="1" t="s">
        <v>36120</v>
      </c>
      <c r="C1862" s="1" t="s">
        <v>36121</v>
      </c>
      <c r="D1862" s="1" t="s">
        <v>132</v>
      </c>
      <c r="E1862" s="1" t="s">
        <v>132</v>
      </c>
      <c r="F1862" s="1" t="s">
        <v>132</v>
      </c>
      <c r="G1862" s="1" t="s">
        <v>132</v>
      </c>
      <c r="H1862" s="1" t="s">
        <v>132</v>
      </c>
      <c r="I1862" s="1" t="s">
        <v>36122</v>
      </c>
      <c r="J1862" s="1" t="s">
        <v>132</v>
      </c>
      <c r="K1862" s="1" t="s">
        <v>36123</v>
      </c>
      <c r="L1862" s="1" t="s">
        <v>132</v>
      </c>
      <c r="M1862" s="1" t="s">
        <v>36124</v>
      </c>
      <c r="N1862" s="1" t="s">
        <v>132</v>
      </c>
      <c r="O1862" s="1" t="s">
        <v>132</v>
      </c>
      <c r="P1862" s="1" t="s">
        <v>36121</v>
      </c>
      <c r="Q1862" s="1" t="s">
        <v>132</v>
      </c>
      <c r="R1862" s="1" t="s">
        <v>132</v>
      </c>
      <c r="S1862" s="1" t="s">
        <v>132</v>
      </c>
      <c r="T1862" s="1" t="s">
        <v>132</v>
      </c>
      <c r="U1862" s="1" t="s">
        <v>132</v>
      </c>
      <c r="V1862" s="1" t="s">
        <v>132</v>
      </c>
      <c r="W1862" s="1" t="s">
        <v>132</v>
      </c>
      <c r="X1862" s="1" t="s">
        <v>132</v>
      </c>
      <c r="Y1862" s="1" t="s">
        <v>132</v>
      </c>
      <c r="Z1862" s="1" t="s">
        <v>132</v>
      </c>
      <c r="AA1862" s="1" t="s">
        <v>132</v>
      </c>
      <c r="AB1862" s="1" t="s">
        <v>132</v>
      </c>
      <c r="AC1862" s="1" t="s">
        <v>36125</v>
      </c>
      <c r="AD1862" s="1" t="s">
        <v>132</v>
      </c>
      <c r="AE1862" s="1" t="s">
        <v>132</v>
      </c>
      <c r="AF1862" s="1" t="s">
        <v>36126</v>
      </c>
      <c r="AG1862" s="1" t="s">
        <v>132</v>
      </c>
      <c r="AH1862" s="1" t="s">
        <v>132</v>
      </c>
      <c r="AI1862" s="1" t="s">
        <v>132</v>
      </c>
      <c r="AJ1862" s="1" t="s">
        <v>132</v>
      </c>
      <c r="AK1862" s="1" t="s">
        <v>132</v>
      </c>
      <c r="AL1862" s="1" t="s">
        <v>132</v>
      </c>
      <c r="AM1862" s="1" t="s">
        <v>132</v>
      </c>
      <c r="AN1862" s="1" t="s">
        <v>132</v>
      </c>
    </row>
    <row r="1863" ht="15.75" customHeight="1">
      <c r="A1863" s="1" t="s">
        <v>38</v>
      </c>
      <c r="B1863" s="1" t="s">
        <v>36127</v>
      </c>
      <c r="C1863" s="1" t="s">
        <v>36128</v>
      </c>
      <c r="D1863" s="1" t="s">
        <v>132</v>
      </c>
      <c r="E1863" s="1" t="s">
        <v>132</v>
      </c>
      <c r="F1863" s="1" t="s">
        <v>132</v>
      </c>
      <c r="G1863" s="1" t="s">
        <v>132</v>
      </c>
      <c r="H1863" s="1" t="s">
        <v>132</v>
      </c>
      <c r="I1863" s="1" t="s">
        <v>36128</v>
      </c>
      <c r="J1863" s="1" t="s">
        <v>132</v>
      </c>
      <c r="K1863" s="1" t="s">
        <v>36129</v>
      </c>
      <c r="L1863" s="1" t="s">
        <v>132</v>
      </c>
      <c r="M1863" s="1" t="s">
        <v>36130</v>
      </c>
      <c r="N1863" s="1" t="s">
        <v>132</v>
      </c>
      <c r="O1863" s="1" t="s">
        <v>132</v>
      </c>
      <c r="P1863" s="1" t="s">
        <v>36128</v>
      </c>
      <c r="Q1863" s="1" t="s">
        <v>132</v>
      </c>
      <c r="R1863" s="1" t="s">
        <v>132</v>
      </c>
      <c r="S1863" s="1" t="s">
        <v>132</v>
      </c>
      <c r="T1863" s="1" t="s">
        <v>132</v>
      </c>
      <c r="U1863" s="1" t="s">
        <v>132</v>
      </c>
      <c r="V1863" s="1" t="s">
        <v>132</v>
      </c>
      <c r="W1863" s="1" t="s">
        <v>132</v>
      </c>
      <c r="X1863" s="1" t="s">
        <v>132</v>
      </c>
      <c r="Y1863" s="1" t="s">
        <v>132</v>
      </c>
      <c r="Z1863" s="1" t="s">
        <v>132</v>
      </c>
      <c r="AA1863" s="1" t="s">
        <v>132</v>
      </c>
      <c r="AB1863" s="1" t="s">
        <v>132</v>
      </c>
      <c r="AC1863" s="1" t="s">
        <v>36131</v>
      </c>
      <c r="AD1863" s="1" t="s">
        <v>132</v>
      </c>
      <c r="AE1863" s="1" t="s">
        <v>132</v>
      </c>
      <c r="AF1863" s="1" t="s">
        <v>36128</v>
      </c>
      <c r="AG1863" s="1" t="s">
        <v>132</v>
      </c>
      <c r="AH1863" s="1" t="s">
        <v>132</v>
      </c>
      <c r="AI1863" s="1" t="s">
        <v>132</v>
      </c>
      <c r="AJ1863" s="1" t="s">
        <v>132</v>
      </c>
      <c r="AK1863" s="1" t="s">
        <v>132</v>
      </c>
      <c r="AL1863" s="1" t="s">
        <v>132</v>
      </c>
      <c r="AM1863" s="1" t="s">
        <v>132</v>
      </c>
      <c r="AN1863" s="1" t="s">
        <v>132</v>
      </c>
    </row>
    <row r="1864" ht="15.75" customHeight="1">
      <c r="A1864" s="1" t="s">
        <v>127</v>
      </c>
      <c r="B1864" s="1" t="s">
        <v>36132</v>
      </c>
      <c r="C1864" s="1" t="s">
        <v>36133</v>
      </c>
      <c r="D1864" s="8" t="s">
        <v>36134</v>
      </c>
      <c r="E1864" s="1" t="s">
        <v>36135</v>
      </c>
      <c r="F1864" s="1" t="s">
        <v>132</v>
      </c>
      <c r="G1864" s="1" t="s">
        <v>36136</v>
      </c>
      <c r="H1864" s="1" t="s">
        <v>36137</v>
      </c>
      <c r="I1864" s="1" t="s">
        <v>36138</v>
      </c>
      <c r="J1864" s="1" t="s">
        <v>36139</v>
      </c>
      <c r="K1864" s="1" t="s">
        <v>36140</v>
      </c>
      <c r="L1864" s="1" t="s">
        <v>36141</v>
      </c>
      <c r="M1864" s="1" t="s">
        <v>36142</v>
      </c>
      <c r="N1864" s="1" t="s">
        <v>132</v>
      </c>
      <c r="O1864" s="1" t="s">
        <v>36143</v>
      </c>
      <c r="P1864" s="1" t="s">
        <v>36144</v>
      </c>
      <c r="Q1864" s="1" t="s">
        <v>132</v>
      </c>
      <c r="R1864" s="1" t="s">
        <v>36145</v>
      </c>
      <c r="S1864" s="1" t="s">
        <v>36146</v>
      </c>
      <c r="T1864" s="8" t="s">
        <v>36147</v>
      </c>
      <c r="U1864" s="1" t="s">
        <v>36148</v>
      </c>
      <c r="V1864" s="1" t="s">
        <v>36149</v>
      </c>
      <c r="W1864" s="1" t="s">
        <v>36150</v>
      </c>
      <c r="X1864" s="1" t="s">
        <v>36151</v>
      </c>
      <c r="Y1864" s="1" t="s">
        <v>36152</v>
      </c>
      <c r="Z1864" s="1" t="s">
        <v>36153</v>
      </c>
      <c r="AA1864" s="1" t="s">
        <v>36154</v>
      </c>
      <c r="AB1864" s="1" t="s">
        <v>36155</v>
      </c>
      <c r="AC1864" s="1" t="s">
        <v>36156</v>
      </c>
      <c r="AD1864" s="1" t="s">
        <v>36157</v>
      </c>
      <c r="AE1864" s="1" t="s">
        <v>36158</v>
      </c>
      <c r="AF1864" s="1" t="s">
        <v>36133</v>
      </c>
      <c r="AG1864" s="1" t="s">
        <v>36159</v>
      </c>
      <c r="AH1864" s="1" t="s">
        <v>36160</v>
      </c>
      <c r="AI1864" s="1" t="s">
        <v>36161</v>
      </c>
      <c r="AJ1864" s="1" t="s">
        <v>132</v>
      </c>
      <c r="AK1864" s="1" t="s">
        <v>36162</v>
      </c>
      <c r="AL1864" s="1" t="s">
        <v>36163</v>
      </c>
      <c r="AM1864" s="1" t="s">
        <v>132</v>
      </c>
      <c r="AN1864" s="1" t="s">
        <v>132</v>
      </c>
    </row>
    <row r="1865" ht="15.75" customHeight="1">
      <c r="A1865" s="1" t="s">
        <v>38</v>
      </c>
      <c r="B1865" s="1" t="s">
        <v>36164</v>
      </c>
      <c r="C1865" s="1" t="s">
        <v>36165</v>
      </c>
      <c r="D1865" s="1" t="s">
        <v>132</v>
      </c>
      <c r="E1865" s="1" t="s">
        <v>132</v>
      </c>
      <c r="F1865" s="1" t="s">
        <v>132</v>
      </c>
      <c r="G1865" s="1" t="s">
        <v>132</v>
      </c>
      <c r="H1865" s="1" t="s">
        <v>132</v>
      </c>
      <c r="I1865" s="1" t="s">
        <v>132</v>
      </c>
      <c r="J1865" s="1" t="s">
        <v>132</v>
      </c>
      <c r="K1865" s="1" t="s">
        <v>132</v>
      </c>
      <c r="L1865" s="1" t="s">
        <v>132</v>
      </c>
      <c r="M1865" s="1" t="s">
        <v>132</v>
      </c>
      <c r="N1865" s="1" t="s">
        <v>132</v>
      </c>
      <c r="O1865" s="1" t="s">
        <v>132</v>
      </c>
      <c r="P1865" s="1" t="s">
        <v>132</v>
      </c>
      <c r="Q1865" s="1" t="s">
        <v>132</v>
      </c>
      <c r="R1865" s="1" t="s">
        <v>132</v>
      </c>
      <c r="S1865" s="1" t="s">
        <v>132</v>
      </c>
      <c r="T1865" s="1" t="s">
        <v>132</v>
      </c>
      <c r="U1865" s="1" t="s">
        <v>132</v>
      </c>
      <c r="V1865" s="1" t="s">
        <v>132</v>
      </c>
      <c r="W1865" s="1" t="s">
        <v>132</v>
      </c>
      <c r="X1865" s="1" t="s">
        <v>132</v>
      </c>
      <c r="Y1865" s="1" t="s">
        <v>132</v>
      </c>
      <c r="Z1865" s="1" t="s">
        <v>132</v>
      </c>
      <c r="AA1865" s="1" t="s">
        <v>132</v>
      </c>
      <c r="AB1865" s="1" t="s">
        <v>132</v>
      </c>
      <c r="AC1865" s="1" t="s">
        <v>132</v>
      </c>
      <c r="AD1865" s="1" t="s">
        <v>132</v>
      </c>
      <c r="AE1865" s="1" t="s">
        <v>132</v>
      </c>
      <c r="AF1865" s="1" t="s">
        <v>132</v>
      </c>
      <c r="AG1865" s="1" t="s">
        <v>132</v>
      </c>
      <c r="AH1865" s="1" t="s">
        <v>132</v>
      </c>
      <c r="AI1865" s="1" t="s">
        <v>132</v>
      </c>
      <c r="AJ1865" s="1" t="s">
        <v>132</v>
      </c>
      <c r="AK1865" s="1" t="s">
        <v>132</v>
      </c>
      <c r="AL1865" s="1" t="s">
        <v>132</v>
      </c>
      <c r="AM1865" s="1" t="s">
        <v>132</v>
      </c>
      <c r="AN1865" s="1" t="s">
        <v>132</v>
      </c>
    </row>
    <row r="1866" ht="15.75" customHeight="1">
      <c r="A1866" s="1" t="s">
        <v>127</v>
      </c>
      <c r="B1866" s="1" t="s">
        <v>36166</v>
      </c>
      <c r="C1866" s="1" t="s">
        <v>36167</v>
      </c>
      <c r="D1866" s="8" t="s">
        <v>1089</v>
      </c>
      <c r="E1866" s="1" t="s">
        <v>36168</v>
      </c>
      <c r="F1866" s="1" t="s">
        <v>132</v>
      </c>
      <c r="G1866" s="1" t="s">
        <v>36169</v>
      </c>
      <c r="H1866" s="1" t="s">
        <v>36170</v>
      </c>
      <c r="I1866" s="1" t="s">
        <v>17170</v>
      </c>
      <c r="J1866" s="1" t="s">
        <v>36171</v>
      </c>
      <c r="K1866" s="1" t="s">
        <v>36172</v>
      </c>
      <c r="L1866" s="1" t="s">
        <v>36173</v>
      </c>
      <c r="M1866" s="1" t="s">
        <v>36174</v>
      </c>
      <c r="N1866" s="1" t="s">
        <v>132</v>
      </c>
      <c r="O1866" s="1" t="s">
        <v>3399</v>
      </c>
      <c r="P1866" s="1" t="s">
        <v>36175</v>
      </c>
      <c r="Q1866" s="1" t="s">
        <v>132</v>
      </c>
      <c r="R1866" s="1" t="s">
        <v>3401</v>
      </c>
      <c r="S1866" s="1" t="s">
        <v>36176</v>
      </c>
      <c r="T1866" s="8" t="s">
        <v>36177</v>
      </c>
      <c r="U1866" s="1" t="s">
        <v>3404</v>
      </c>
      <c r="V1866" s="1" t="s">
        <v>3405</v>
      </c>
      <c r="W1866" s="1" t="s">
        <v>3401</v>
      </c>
      <c r="X1866" s="1" t="s">
        <v>36170</v>
      </c>
      <c r="Y1866" s="1" t="s">
        <v>36170</v>
      </c>
      <c r="Z1866" s="1" t="s">
        <v>36178</v>
      </c>
      <c r="AA1866" s="1" t="s">
        <v>36179</v>
      </c>
      <c r="AB1866" s="1" t="s">
        <v>36180</v>
      </c>
      <c r="AC1866" s="1" t="s">
        <v>36181</v>
      </c>
      <c r="AD1866" s="1" t="s">
        <v>36182</v>
      </c>
      <c r="AE1866" s="1" t="s">
        <v>36183</v>
      </c>
      <c r="AF1866" s="1" t="s">
        <v>36183</v>
      </c>
      <c r="AG1866" s="1" t="s">
        <v>36170</v>
      </c>
      <c r="AH1866" s="1" t="s">
        <v>3414</v>
      </c>
      <c r="AI1866" s="1" t="s">
        <v>36184</v>
      </c>
      <c r="AJ1866" s="1" t="s">
        <v>132</v>
      </c>
      <c r="AK1866" s="1" t="s">
        <v>3416</v>
      </c>
      <c r="AL1866" s="1" t="s">
        <v>3417</v>
      </c>
      <c r="AM1866" s="1" t="s">
        <v>3418</v>
      </c>
      <c r="AN1866" s="1" t="s">
        <v>3418</v>
      </c>
    </row>
    <row r="1867" ht="15.75" customHeight="1">
      <c r="A1867" s="1" t="s">
        <v>38</v>
      </c>
      <c r="B1867" s="1" t="s">
        <v>36185</v>
      </c>
      <c r="C1867" s="1" t="s">
        <v>36186</v>
      </c>
      <c r="D1867" s="8" t="s">
        <v>36187</v>
      </c>
      <c r="E1867" s="1" t="s">
        <v>36188</v>
      </c>
      <c r="F1867" s="1" t="s">
        <v>36189</v>
      </c>
      <c r="G1867" s="1" t="s">
        <v>132</v>
      </c>
      <c r="H1867" s="1" t="s">
        <v>132</v>
      </c>
      <c r="I1867" s="1" t="s">
        <v>36190</v>
      </c>
      <c r="J1867" s="1" t="s">
        <v>132</v>
      </c>
      <c r="K1867" s="1" t="s">
        <v>36191</v>
      </c>
      <c r="L1867" s="1" t="s">
        <v>132</v>
      </c>
      <c r="M1867" s="1" t="s">
        <v>36192</v>
      </c>
      <c r="N1867" s="1" t="s">
        <v>36193</v>
      </c>
      <c r="O1867" s="1" t="s">
        <v>132</v>
      </c>
      <c r="P1867" s="1" t="s">
        <v>36194</v>
      </c>
      <c r="Q1867" s="1" t="s">
        <v>36195</v>
      </c>
      <c r="R1867" s="1" t="s">
        <v>132</v>
      </c>
      <c r="S1867" s="1" t="s">
        <v>36196</v>
      </c>
      <c r="T1867" s="1" t="s">
        <v>132</v>
      </c>
      <c r="U1867" s="1" t="s">
        <v>36197</v>
      </c>
      <c r="V1867" s="1" t="s">
        <v>36198</v>
      </c>
      <c r="W1867" s="1" t="s">
        <v>132</v>
      </c>
      <c r="X1867" s="1" t="s">
        <v>36199</v>
      </c>
      <c r="Y1867" s="1" t="s">
        <v>132</v>
      </c>
      <c r="Z1867" s="1" t="s">
        <v>36200</v>
      </c>
      <c r="AA1867" s="1" t="s">
        <v>36201</v>
      </c>
      <c r="AB1867" s="1" t="s">
        <v>132</v>
      </c>
      <c r="AC1867" s="1" t="s">
        <v>36202</v>
      </c>
      <c r="AD1867" s="1" t="s">
        <v>36203</v>
      </c>
      <c r="AE1867" s="1" t="s">
        <v>132</v>
      </c>
      <c r="AF1867" s="1" t="s">
        <v>36204</v>
      </c>
      <c r="AG1867" s="1" t="s">
        <v>36205</v>
      </c>
      <c r="AH1867" s="1" t="s">
        <v>132</v>
      </c>
      <c r="AI1867" s="1" t="s">
        <v>132</v>
      </c>
      <c r="AJ1867" s="1" t="s">
        <v>36206</v>
      </c>
      <c r="AK1867" s="1" t="s">
        <v>36207</v>
      </c>
      <c r="AL1867" s="1" t="s">
        <v>132</v>
      </c>
      <c r="AM1867" s="1" t="s">
        <v>36208</v>
      </c>
      <c r="AN1867" s="1" t="s">
        <v>36208</v>
      </c>
    </row>
    <row r="1868" ht="15.75" customHeight="1">
      <c r="A1868" s="1" t="s">
        <v>38</v>
      </c>
      <c r="B1868" s="1" t="s">
        <v>36209</v>
      </c>
      <c r="C1868" s="1" t="s">
        <v>36210</v>
      </c>
      <c r="D1868" s="1" t="s">
        <v>132</v>
      </c>
      <c r="E1868" s="1" t="s">
        <v>132</v>
      </c>
      <c r="F1868" s="1" t="s">
        <v>132</v>
      </c>
      <c r="G1868" s="1" t="s">
        <v>132</v>
      </c>
      <c r="H1868" s="1" t="s">
        <v>132</v>
      </c>
      <c r="I1868" s="1" t="s">
        <v>36211</v>
      </c>
      <c r="J1868" s="1" t="s">
        <v>132</v>
      </c>
      <c r="K1868" s="1" t="s">
        <v>36212</v>
      </c>
      <c r="L1868" s="1" t="s">
        <v>132</v>
      </c>
      <c r="M1868" s="1" t="s">
        <v>36213</v>
      </c>
      <c r="N1868" s="1" t="s">
        <v>132</v>
      </c>
      <c r="O1868" s="1" t="s">
        <v>132</v>
      </c>
      <c r="P1868" s="1" t="s">
        <v>36214</v>
      </c>
      <c r="Q1868" s="1" t="s">
        <v>132</v>
      </c>
      <c r="R1868" s="1" t="s">
        <v>132</v>
      </c>
      <c r="S1868" s="1" t="s">
        <v>132</v>
      </c>
      <c r="T1868" s="1" t="s">
        <v>132</v>
      </c>
      <c r="U1868" s="1" t="s">
        <v>132</v>
      </c>
      <c r="V1868" s="1" t="s">
        <v>132</v>
      </c>
      <c r="W1868" s="1" t="s">
        <v>132</v>
      </c>
      <c r="X1868" s="1" t="s">
        <v>132</v>
      </c>
      <c r="Y1868" s="1" t="s">
        <v>132</v>
      </c>
      <c r="Z1868" s="1" t="s">
        <v>132</v>
      </c>
      <c r="AA1868" s="1" t="s">
        <v>132</v>
      </c>
      <c r="AB1868" s="1" t="s">
        <v>132</v>
      </c>
      <c r="AC1868" s="1" t="s">
        <v>36216</v>
      </c>
      <c r="AD1868" s="1" t="s">
        <v>132</v>
      </c>
      <c r="AE1868" s="1" t="s">
        <v>132</v>
      </c>
      <c r="AF1868" s="1" t="s">
        <v>36217</v>
      </c>
      <c r="AG1868" s="1" t="s">
        <v>132</v>
      </c>
      <c r="AH1868" s="1" t="s">
        <v>132</v>
      </c>
      <c r="AI1868" s="1" t="s">
        <v>132</v>
      </c>
      <c r="AJ1868" s="1" t="s">
        <v>132</v>
      </c>
      <c r="AK1868" s="1" t="s">
        <v>132</v>
      </c>
      <c r="AL1868" s="1" t="s">
        <v>132</v>
      </c>
      <c r="AM1868" s="1" t="s">
        <v>132</v>
      </c>
      <c r="AN1868" s="1" t="s">
        <v>132</v>
      </c>
    </row>
    <row r="1869" ht="15.75" customHeight="1">
      <c r="A1869" s="1" t="s">
        <v>38</v>
      </c>
      <c r="B1869" s="1" t="s">
        <v>36218</v>
      </c>
      <c r="C1869" s="1" t="s">
        <v>36219</v>
      </c>
      <c r="D1869" s="1" t="s">
        <v>132</v>
      </c>
      <c r="E1869" s="1" t="s">
        <v>36220</v>
      </c>
      <c r="F1869" s="1" t="s">
        <v>36221</v>
      </c>
      <c r="G1869" s="1" t="s">
        <v>132</v>
      </c>
      <c r="H1869" s="1" t="s">
        <v>132</v>
      </c>
      <c r="I1869" s="1" t="s">
        <v>36222</v>
      </c>
      <c r="J1869" s="1" t="s">
        <v>132</v>
      </c>
      <c r="K1869" s="1" t="s">
        <v>36223</v>
      </c>
      <c r="L1869" s="1" t="s">
        <v>132</v>
      </c>
      <c r="M1869" s="1" t="s">
        <v>36224</v>
      </c>
      <c r="N1869" s="1" t="s">
        <v>36225</v>
      </c>
      <c r="O1869" s="1" t="s">
        <v>132</v>
      </c>
      <c r="P1869" s="1" t="s">
        <v>36226</v>
      </c>
      <c r="Q1869" s="1" t="s">
        <v>132</v>
      </c>
      <c r="R1869" s="1" t="s">
        <v>132</v>
      </c>
      <c r="S1869" s="1" t="s">
        <v>36227</v>
      </c>
      <c r="T1869" s="1" t="s">
        <v>132</v>
      </c>
      <c r="U1869" s="1" t="s">
        <v>36228</v>
      </c>
      <c r="V1869" s="1" t="s">
        <v>36229</v>
      </c>
      <c r="W1869" s="1" t="s">
        <v>132</v>
      </c>
      <c r="X1869" s="1" t="s">
        <v>36230</v>
      </c>
      <c r="Y1869" s="1" t="s">
        <v>132</v>
      </c>
      <c r="Z1869" s="1" t="s">
        <v>36231</v>
      </c>
      <c r="AA1869" s="1" t="s">
        <v>132</v>
      </c>
      <c r="AB1869" s="1" t="s">
        <v>132</v>
      </c>
      <c r="AC1869" s="1" t="s">
        <v>36232</v>
      </c>
      <c r="AD1869" s="1" t="s">
        <v>132</v>
      </c>
      <c r="AE1869" s="1" t="s">
        <v>132</v>
      </c>
      <c r="AF1869" s="1" t="s">
        <v>36233</v>
      </c>
      <c r="AG1869" s="1" t="s">
        <v>36234</v>
      </c>
      <c r="AH1869" s="1" t="s">
        <v>132</v>
      </c>
      <c r="AI1869" s="1" t="s">
        <v>132</v>
      </c>
      <c r="AJ1869" s="1" t="s">
        <v>36235</v>
      </c>
      <c r="AK1869" s="1" t="s">
        <v>132</v>
      </c>
      <c r="AL1869" s="1" t="s">
        <v>132</v>
      </c>
      <c r="AM1869" s="1" t="s">
        <v>36236</v>
      </c>
      <c r="AN1869" s="1" t="s">
        <v>36236</v>
      </c>
    </row>
    <row r="1870" ht="15.75" customHeight="1">
      <c r="A1870" s="1" t="s">
        <v>38</v>
      </c>
      <c r="B1870" s="1" t="s">
        <v>36237</v>
      </c>
      <c r="C1870" s="1" t="s">
        <v>36238</v>
      </c>
      <c r="D1870" s="8" t="s">
        <v>36239</v>
      </c>
      <c r="E1870" s="1" t="s">
        <v>36240</v>
      </c>
      <c r="F1870" s="1" t="s">
        <v>36241</v>
      </c>
      <c r="G1870" s="1" t="s">
        <v>132</v>
      </c>
      <c r="H1870" s="1" t="s">
        <v>132</v>
      </c>
      <c r="I1870" s="1" t="s">
        <v>36242</v>
      </c>
      <c r="J1870" s="1" t="s">
        <v>132</v>
      </c>
      <c r="K1870" s="1" t="s">
        <v>36243</v>
      </c>
      <c r="L1870" s="1" t="s">
        <v>132</v>
      </c>
      <c r="M1870" s="1" t="s">
        <v>36244</v>
      </c>
      <c r="N1870" s="1" t="s">
        <v>36245</v>
      </c>
      <c r="O1870" s="1" t="s">
        <v>132</v>
      </c>
      <c r="P1870" s="1" t="s">
        <v>36246</v>
      </c>
      <c r="Q1870" s="1" t="s">
        <v>132</v>
      </c>
      <c r="R1870" s="1" t="s">
        <v>132</v>
      </c>
      <c r="S1870" s="1" t="s">
        <v>36247</v>
      </c>
      <c r="T1870" s="1" t="s">
        <v>132</v>
      </c>
      <c r="U1870" s="1" t="s">
        <v>132</v>
      </c>
      <c r="V1870" s="1" t="s">
        <v>132</v>
      </c>
      <c r="W1870" s="1" t="s">
        <v>132</v>
      </c>
      <c r="X1870" s="1" t="s">
        <v>36248</v>
      </c>
      <c r="Y1870" s="1" t="s">
        <v>132</v>
      </c>
      <c r="Z1870" s="1" t="s">
        <v>36249</v>
      </c>
      <c r="AA1870" s="1" t="s">
        <v>36250</v>
      </c>
      <c r="AB1870" s="1" t="s">
        <v>132</v>
      </c>
      <c r="AC1870" s="1" t="s">
        <v>36251</v>
      </c>
      <c r="AD1870" s="1" t="s">
        <v>132</v>
      </c>
      <c r="AE1870" s="1" t="s">
        <v>132</v>
      </c>
      <c r="AF1870" s="1" t="s">
        <v>36252</v>
      </c>
      <c r="AG1870" s="1" t="s">
        <v>132</v>
      </c>
      <c r="AH1870" s="1" t="s">
        <v>132</v>
      </c>
      <c r="AI1870" s="1" t="s">
        <v>132</v>
      </c>
      <c r="AJ1870" s="1" t="s">
        <v>132</v>
      </c>
      <c r="AK1870" s="1" t="s">
        <v>132</v>
      </c>
      <c r="AL1870" s="1" t="s">
        <v>132</v>
      </c>
      <c r="AM1870" s="1" t="s">
        <v>132</v>
      </c>
      <c r="AN1870" s="1" t="s">
        <v>132</v>
      </c>
    </row>
    <row r="1871" ht="15.75" customHeight="1">
      <c r="A1871" s="1" t="s">
        <v>127</v>
      </c>
      <c r="B1871" s="1" t="s">
        <v>36253</v>
      </c>
      <c r="C1871" s="1" t="s">
        <v>36254</v>
      </c>
      <c r="D1871" s="8" t="s">
        <v>36255</v>
      </c>
      <c r="E1871" s="1" t="s">
        <v>36254</v>
      </c>
      <c r="F1871" s="1" t="s">
        <v>132</v>
      </c>
      <c r="G1871" s="1" t="s">
        <v>36254</v>
      </c>
      <c r="H1871" s="1" t="s">
        <v>36254</v>
      </c>
      <c r="I1871" s="1" t="s">
        <v>36256</v>
      </c>
      <c r="J1871" s="1" t="s">
        <v>36254</v>
      </c>
      <c r="K1871" s="1" t="s">
        <v>36257</v>
      </c>
      <c r="L1871" s="1" t="s">
        <v>36254</v>
      </c>
      <c r="M1871" s="1" t="s">
        <v>36258</v>
      </c>
      <c r="N1871" s="1" t="s">
        <v>132</v>
      </c>
      <c r="O1871" s="1" t="s">
        <v>36259</v>
      </c>
      <c r="P1871" s="1" t="s">
        <v>36254</v>
      </c>
      <c r="Q1871" s="1" t="s">
        <v>132</v>
      </c>
      <c r="R1871" s="1" t="s">
        <v>36254</v>
      </c>
      <c r="S1871" s="1" t="s">
        <v>36254</v>
      </c>
      <c r="T1871" s="8" t="s">
        <v>36260</v>
      </c>
      <c r="U1871" s="1" t="s">
        <v>36254</v>
      </c>
      <c r="V1871" s="1" t="s">
        <v>36261</v>
      </c>
      <c r="W1871" s="1" t="s">
        <v>36254</v>
      </c>
      <c r="X1871" s="1" t="s">
        <v>36262</v>
      </c>
      <c r="Y1871" s="1" t="s">
        <v>36254</v>
      </c>
      <c r="Z1871" s="1" t="s">
        <v>36263</v>
      </c>
      <c r="AA1871" s="1" t="s">
        <v>36254</v>
      </c>
      <c r="AB1871" s="1" t="s">
        <v>36254</v>
      </c>
      <c r="AC1871" s="1" t="s">
        <v>36264</v>
      </c>
      <c r="AD1871" s="1" t="s">
        <v>36254</v>
      </c>
      <c r="AE1871" s="1" t="s">
        <v>36254</v>
      </c>
      <c r="AF1871" s="1" t="s">
        <v>36265</v>
      </c>
      <c r="AG1871" s="1" t="s">
        <v>36254</v>
      </c>
      <c r="AH1871" s="1" t="s">
        <v>36266</v>
      </c>
      <c r="AI1871" s="1" t="s">
        <v>36267</v>
      </c>
      <c r="AJ1871" s="1" t="s">
        <v>132</v>
      </c>
      <c r="AK1871" s="1" t="s">
        <v>36254</v>
      </c>
      <c r="AL1871" s="1" t="s">
        <v>36268</v>
      </c>
      <c r="AM1871" s="1" t="s">
        <v>132</v>
      </c>
      <c r="AN1871" s="1" t="s">
        <v>132</v>
      </c>
    </row>
    <row r="1872" ht="15.75" customHeight="1">
      <c r="A1872" s="1" t="s">
        <v>38</v>
      </c>
      <c r="B1872" s="1" t="s">
        <v>36269</v>
      </c>
      <c r="C1872" s="1" t="s">
        <v>25746</v>
      </c>
      <c r="D1872" s="8" t="s">
        <v>36270</v>
      </c>
      <c r="E1872" s="1" t="s">
        <v>25748</v>
      </c>
      <c r="F1872" s="1" t="s">
        <v>36271</v>
      </c>
      <c r="G1872" s="1" t="s">
        <v>132</v>
      </c>
      <c r="H1872" s="1" t="s">
        <v>132</v>
      </c>
      <c r="I1872" s="1" t="s">
        <v>25751</v>
      </c>
      <c r="J1872" s="1" t="s">
        <v>132</v>
      </c>
      <c r="K1872" s="1" t="s">
        <v>25753</v>
      </c>
      <c r="L1872" s="1" t="s">
        <v>132</v>
      </c>
      <c r="M1872" s="1" t="s">
        <v>36272</v>
      </c>
      <c r="N1872" s="1" t="s">
        <v>25753</v>
      </c>
      <c r="O1872" s="1" t="s">
        <v>132</v>
      </c>
      <c r="P1872" s="1" t="s">
        <v>2244</v>
      </c>
      <c r="Q1872" s="1" t="s">
        <v>36273</v>
      </c>
      <c r="R1872" s="1" t="s">
        <v>132</v>
      </c>
      <c r="S1872" s="1" t="s">
        <v>36274</v>
      </c>
      <c r="T1872" s="1" t="s">
        <v>132</v>
      </c>
      <c r="U1872" s="1" t="s">
        <v>16447</v>
      </c>
      <c r="V1872" s="1" t="s">
        <v>25758</v>
      </c>
      <c r="W1872" s="1" t="s">
        <v>132</v>
      </c>
      <c r="X1872" s="1" t="s">
        <v>36275</v>
      </c>
      <c r="Y1872" s="1" t="s">
        <v>132</v>
      </c>
      <c r="Z1872" s="1" t="s">
        <v>25762</v>
      </c>
      <c r="AA1872" s="1" t="s">
        <v>25753</v>
      </c>
      <c r="AB1872" s="1" t="s">
        <v>132</v>
      </c>
      <c r="AC1872" s="1" t="s">
        <v>25764</v>
      </c>
      <c r="AD1872" s="1" t="s">
        <v>25765</v>
      </c>
      <c r="AE1872" s="1" t="s">
        <v>132</v>
      </c>
      <c r="AF1872" s="1" t="s">
        <v>36276</v>
      </c>
      <c r="AG1872" s="1" t="s">
        <v>29191</v>
      </c>
      <c r="AH1872" s="1" t="s">
        <v>132</v>
      </c>
      <c r="AI1872" s="1" t="s">
        <v>132</v>
      </c>
      <c r="AJ1872" s="1" t="s">
        <v>36277</v>
      </c>
      <c r="AK1872" s="1" t="s">
        <v>25771</v>
      </c>
      <c r="AL1872" s="1" t="s">
        <v>132</v>
      </c>
      <c r="AM1872" s="1" t="s">
        <v>36278</v>
      </c>
      <c r="AN1872" s="1" t="s">
        <v>36278</v>
      </c>
    </row>
    <row r="1873" ht="15.75" customHeight="1">
      <c r="A1873" s="1" t="s">
        <v>38</v>
      </c>
      <c r="B1873" s="1" t="s">
        <v>36279</v>
      </c>
      <c r="C1873" s="1" t="s">
        <v>36280</v>
      </c>
      <c r="D1873" s="8" t="s">
        <v>36281</v>
      </c>
      <c r="E1873" s="1" t="s">
        <v>36282</v>
      </c>
      <c r="F1873" s="1" t="s">
        <v>36283</v>
      </c>
      <c r="G1873" s="1" t="s">
        <v>36284</v>
      </c>
      <c r="H1873" s="1" t="s">
        <v>24235</v>
      </c>
      <c r="I1873" s="1" t="s">
        <v>36285</v>
      </c>
      <c r="J1873" s="1" t="s">
        <v>36286</v>
      </c>
      <c r="K1873" s="1" t="s">
        <v>36287</v>
      </c>
      <c r="L1873" s="1" t="s">
        <v>36288</v>
      </c>
      <c r="M1873" s="1" t="s">
        <v>36289</v>
      </c>
      <c r="N1873" s="1" t="s">
        <v>36287</v>
      </c>
      <c r="O1873" s="1" t="s">
        <v>36290</v>
      </c>
      <c r="P1873" s="1" t="s">
        <v>36291</v>
      </c>
      <c r="Q1873" s="1" t="s">
        <v>36292</v>
      </c>
      <c r="R1873" s="1" t="s">
        <v>36292</v>
      </c>
      <c r="S1873" s="1" t="s">
        <v>36293</v>
      </c>
      <c r="T1873" s="8" t="s">
        <v>36294</v>
      </c>
      <c r="U1873" s="1" t="s">
        <v>36295</v>
      </c>
      <c r="V1873" s="1" t="s">
        <v>36296</v>
      </c>
      <c r="W1873" s="1" t="s">
        <v>36297</v>
      </c>
      <c r="X1873" s="1" t="s">
        <v>36298</v>
      </c>
      <c r="Y1873" s="1" t="s">
        <v>36299</v>
      </c>
      <c r="Z1873" s="1" t="s">
        <v>24251</v>
      </c>
      <c r="AA1873" s="1" t="s">
        <v>36287</v>
      </c>
      <c r="AB1873" s="1" t="s">
        <v>132</v>
      </c>
      <c r="AC1873" s="1" t="s">
        <v>36300</v>
      </c>
      <c r="AD1873" s="1" t="s">
        <v>36301</v>
      </c>
      <c r="AE1873" s="1" t="s">
        <v>24257</v>
      </c>
      <c r="AF1873" s="1" t="s">
        <v>24257</v>
      </c>
      <c r="AG1873" s="1" t="s">
        <v>36302</v>
      </c>
      <c r="AH1873" s="1" t="s">
        <v>36303</v>
      </c>
      <c r="AI1873" s="1" t="s">
        <v>36304</v>
      </c>
      <c r="AJ1873" s="1" t="s">
        <v>36305</v>
      </c>
      <c r="AK1873" s="1" t="s">
        <v>24261</v>
      </c>
      <c r="AL1873" s="1" t="s">
        <v>36306</v>
      </c>
      <c r="AM1873" s="1" t="s">
        <v>32342</v>
      </c>
      <c r="AN1873" s="1" t="s">
        <v>32342</v>
      </c>
    </row>
    <row r="1874" ht="15.75" customHeight="1">
      <c r="A1874" s="1" t="s">
        <v>38</v>
      </c>
      <c r="B1874" s="1" t="s">
        <v>36307</v>
      </c>
      <c r="C1874" s="1" t="s">
        <v>36308</v>
      </c>
      <c r="D1874" s="1" t="s">
        <v>132</v>
      </c>
      <c r="E1874" s="1" t="s">
        <v>132</v>
      </c>
      <c r="F1874" s="1" t="s">
        <v>132</v>
      </c>
      <c r="G1874" s="1" t="s">
        <v>132</v>
      </c>
      <c r="H1874" s="1" t="s">
        <v>132</v>
      </c>
      <c r="I1874" s="1" t="s">
        <v>36309</v>
      </c>
      <c r="J1874" s="1" t="s">
        <v>132</v>
      </c>
      <c r="K1874" s="1" t="s">
        <v>36310</v>
      </c>
      <c r="L1874" s="1" t="s">
        <v>132</v>
      </c>
      <c r="M1874" s="1" t="s">
        <v>36311</v>
      </c>
      <c r="N1874" s="1" t="s">
        <v>132</v>
      </c>
      <c r="O1874" s="1" t="s">
        <v>132</v>
      </c>
      <c r="P1874" s="1" t="s">
        <v>36308</v>
      </c>
      <c r="Q1874" s="1" t="s">
        <v>132</v>
      </c>
      <c r="R1874" s="1" t="s">
        <v>132</v>
      </c>
      <c r="S1874" s="1" t="s">
        <v>132</v>
      </c>
      <c r="T1874" s="1" t="s">
        <v>132</v>
      </c>
      <c r="U1874" s="1" t="s">
        <v>132</v>
      </c>
      <c r="V1874" s="1" t="s">
        <v>132</v>
      </c>
      <c r="W1874" s="1" t="s">
        <v>132</v>
      </c>
      <c r="X1874" s="1" t="s">
        <v>132</v>
      </c>
      <c r="Y1874" s="1" t="s">
        <v>132</v>
      </c>
      <c r="Z1874" s="1" t="s">
        <v>132</v>
      </c>
      <c r="AA1874" s="1" t="s">
        <v>132</v>
      </c>
      <c r="AB1874" s="1" t="s">
        <v>132</v>
      </c>
      <c r="AC1874" s="1" t="s">
        <v>36312</v>
      </c>
      <c r="AD1874" s="1" t="s">
        <v>132</v>
      </c>
      <c r="AE1874" s="1" t="s">
        <v>132</v>
      </c>
      <c r="AF1874" s="1" t="s">
        <v>36313</v>
      </c>
      <c r="AG1874" s="1" t="s">
        <v>132</v>
      </c>
      <c r="AH1874" s="1" t="s">
        <v>132</v>
      </c>
      <c r="AI1874" s="1" t="s">
        <v>132</v>
      </c>
      <c r="AJ1874" s="1" t="s">
        <v>132</v>
      </c>
      <c r="AK1874" s="1" t="s">
        <v>132</v>
      </c>
      <c r="AL1874" s="1" t="s">
        <v>132</v>
      </c>
      <c r="AM1874" s="1" t="s">
        <v>132</v>
      </c>
      <c r="AN1874" s="1" t="s">
        <v>132</v>
      </c>
    </row>
    <row r="1875" ht="15.75" customHeight="1">
      <c r="A1875" s="1" t="s">
        <v>38</v>
      </c>
      <c r="B1875" s="1" t="s">
        <v>36314</v>
      </c>
      <c r="C1875" s="1" t="s">
        <v>36315</v>
      </c>
      <c r="D1875" s="8" t="s">
        <v>36316</v>
      </c>
      <c r="E1875" s="1" t="s">
        <v>36317</v>
      </c>
      <c r="F1875" s="1" t="s">
        <v>36318</v>
      </c>
      <c r="G1875" s="1" t="s">
        <v>132</v>
      </c>
      <c r="H1875" s="1" t="s">
        <v>132</v>
      </c>
      <c r="I1875" s="1" t="s">
        <v>36319</v>
      </c>
      <c r="J1875" s="1" t="s">
        <v>132</v>
      </c>
      <c r="K1875" s="1" t="s">
        <v>36320</v>
      </c>
      <c r="L1875" s="1" t="s">
        <v>132</v>
      </c>
      <c r="M1875" s="1" t="s">
        <v>36321</v>
      </c>
      <c r="N1875" s="1" t="s">
        <v>36322</v>
      </c>
      <c r="O1875" s="1" t="s">
        <v>132</v>
      </c>
      <c r="P1875" s="1" t="s">
        <v>36323</v>
      </c>
      <c r="Q1875" s="1" t="s">
        <v>36324</v>
      </c>
      <c r="R1875" s="1" t="s">
        <v>132</v>
      </c>
      <c r="S1875" s="1" t="s">
        <v>36325</v>
      </c>
      <c r="T1875" s="1" t="s">
        <v>132</v>
      </c>
      <c r="U1875" s="1" t="s">
        <v>36326</v>
      </c>
      <c r="V1875" s="1" t="s">
        <v>36327</v>
      </c>
      <c r="W1875" s="1" t="s">
        <v>132</v>
      </c>
      <c r="X1875" s="1" t="s">
        <v>36328</v>
      </c>
      <c r="Y1875" s="1" t="s">
        <v>132</v>
      </c>
      <c r="Z1875" s="1" t="s">
        <v>36329</v>
      </c>
      <c r="AA1875" s="1" t="s">
        <v>36330</v>
      </c>
      <c r="AB1875" s="1" t="s">
        <v>132</v>
      </c>
      <c r="AC1875" s="1" t="s">
        <v>36331</v>
      </c>
      <c r="AD1875" s="1" t="s">
        <v>36332</v>
      </c>
      <c r="AE1875" s="1" t="s">
        <v>132</v>
      </c>
      <c r="AF1875" s="1" t="s">
        <v>36333</v>
      </c>
      <c r="AG1875" s="1" t="s">
        <v>36334</v>
      </c>
      <c r="AH1875" s="1" t="s">
        <v>132</v>
      </c>
      <c r="AI1875" s="1" t="s">
        <v>132</v>
      </c>
      <c r="AJ1875" s="1" t="s">
        <v>36335</v>
      </c>
      <c r="AK1875" s="1" t="s">
        <v>36336</v>
      </c>
      <c r="AL1875" s="1" t="s">
        <v>132</v>
      </c>
      <c r="AM1875" s="1" t="s">
        <v>36337</v>
      </c>
      <c r="AN1875" s="1" t="s">
        <v>36337</v>
      </c>
    </row>
    <row r="1876" ht="15.75" customHeight="1">
      <c r="A1876" s="1" t="s">
        <v>127</v>
      </c>
      <c r="B1876" s="1" t="s">
        <v>36338</v>
      </c>
      <c r="C1876" s="1" t="s">
        <v>36339</v>
      </c>
      <c r="D1876" s="8" t="s">
        <v>6500</v>
      </c>
      <c r="E1876" s="1" t="s">
        <v>36340</v>
      </c>
      <c r="F1876" s="1" t="s">
        <v>132</v>
      </c>
      <c r="G1876" s="1" t="s">
        <v>36341</v>
      </c>
      <c r="H1876" s="1" t="s">
        <v>36342</v>
      </c>
      <c r="I1876" s="1" t="s">
        <v>36343</v>
      </c>
      <c r="J1876" s="1" t="s">
        <v>36344</v>
      </c>
      <c r="K1876" s="1" t="s">
        <v>36345</v>
      </c>
      <c r="L1876" s="1" t="s">
        <v>36346</v>
      </c>
      <c r="M1876" s="1" t="s">
        <v>36347</v>
      </c>
      <c r="N1876" s="1" t="s">
        <v>132</v>
      </c>
      <c r="O1876" s="1" t="s">
        <v>33193</v>
      </c>
      <c r="P1876" s="1" t="s">
        <v>36348</v>
      </c>
      <c r="Q1876" s="1" t="s">
        <v>132</v>
      </c>
      <c r="R1876" s="1" t="s">
        <v>36349</v>
      </c>
      <c r="S1876" s="1" t="s">
        <v>36350</v>
      </c>
      <c r="T1876" s="8" t="s">
        <v>36351</v>
      </c>
      <c r="U1876" s="1" t="s">
        <v>36339</v>
      </c>
      <c r="V1876" s="1" t="s">
        <v>6511</v>
      </c>
      <c r="W1876" s="1" t="s">
        <v>36349</v>
      </c>
      <c r="X1876" s="1" t="s">
        <v>6512</v>
      </c>
      <c r="Y1876" s="1" t="s">
        <v>36352</v>
      </c>
      <c r="Z1876" s="1" t="s">
        <v>36353</v>
      </c>
      <c r="AA1876" s="1" t="s">
        <v>36354</v>
      </c>
      <c r="AB1876" s="1" t="s">
        <v>36355</v>
      </c>
      <c r="AC1876" s="1" t="s">
        <v>36356</v>
      </c>
      <c r="AD1876" s="1" t="s">
        <v>36357</v>
      </c>
      <c r="AE1876" s="1" t="s">
        <v>36358</v>
      </c>
      <c r="AF1876" s="1" t="s">
        <v>36359</v>
      </c>
      <c r="AG1876" s="1" t="s">
        <v>36360</v>
      </c>
      <c r="AH1876" s="1" t="s">
        <v>33201</v>
      </c>
      <c r="AI1876" s="1" t="s">
        <v>36361</v>
      </c>
      <c r="AJ1876" s="1" t="s">
        <v>132</v>
      </c>
      <c r="AK1876" s="1" t="s">
        <v>36362</v>
      </c>
      <c r="AL1876" s="1" t="s">
        <v>6520</v>
      </c>
      <c r="AM1876" s="1" t="s">
        <v>36363</v>
      </c>
      <c r="AN1876" s="1" t="s">
        <v>36363</v>
      </c>
    </row>
    <row r="1877" ht="15.75" customHeight="1">
      <c r="A1877" s="1" t="s">
        <v>38</v>
      </c>
      <c r="B1877" s="1" t="s">
        <v>36364</v>
      </c>
      <c r="C1877" s="1" t="s">
        <v>36365</v>
      </c>
      <c r="D1877" s="8" t="s">
        <v>36366</v>
      </c>
      <c r="E1877" s="1" t="s">
        <v>36367</v>
      </c>
      <c r="F1877" s="1" t="s">
        <v>36368</v>
      </c>
      <c r="G1877" s="1" t="s">
        <v>132</v>
      </c>
      <c r="H1877" s="1" t="s">
        <v>132</v>
      </c>
      <c r="I1877" s="1" t="s">
        <v>36369</v>
      </c>
      <c r="J1877" s="1" t="s">
        <v>132</v>
      </c>
      <c r="K1877" s="1" t="s">
        <v>36370</v>
      </c>
      <c r="L1877" s="1" t="s">
        <v>132</v>
      </c>
      <c r="M1877" s="1" t="s">
        <v>36371</v>
      </c>
      <c r="N1877" s="1" t="s">
        <v>36370</v>
      </c>
      <c r="O1877" s="1" t="s">
        <v>132</v>
      </c>
      <c r="P1877" s="1" t="s">
        <v>36372</v>
      </c>
      <c r="Q1877" s="1" t="s">
        <v>36373</v>
      </c>
      <c r="R1877" s="1" t="s">
        <v>132</v>
      </c>
      <c r="S1877" s="1" t="s">
        <v>36374</v>
      </c>
      <c r="T1877" s="1" t="s">
        <v>132</v>
      </c>
      <c r="U1877" s="1" t="s">
        <v>36375</v>
      </c>
      <c r="V1877" s="1" t="s">
        <v>36376</v>
      </c>
      <c r="W1877" s="1" t="s">
        <v>132</v>
      </c>
      <c r="X1877" s="1" t="s">
        <v>36377</v>
      </c>
      <c r="Y1877" s="1" t="s">
        <v>132</v>
      </c>
      <c r="Z1877" s="1" t="s">
        <v>36378</v>
      </c>
      <c r="AA1877" s="1" t="s">
        <v>36379</v>
      </c>
      <c r="AB1877" s="1" t="s">
        <v>132</v>
      </c>
      <c r="AC1877" s="1" t="s">
        <v>36380</v>
      </c>
      <c r="AD1877" s="1" t="s">
        <v>36381</v>
      </c>
      <c r="AE1877" s="1" t="s">
        <v>132</v>
      </c>
      <c r="AF1877" s="1" t="s">
        <v>36382</v>
      </c>
      <c r="AG1877" s="1" t="s">
        <v>36383</v>
      </c>
      <c r="AH1877" s="1" t="s">
        <v>132</v>
      </c>
      <c r="AI1877" s="1" t="s">
        <v>132</v>
      </c>
      <c r="AJ1877" s="1" t="s">
        <v>36384</v>
      </c>
      <c r="AK1877" s="1" t="s">
        <v>36385</v>
      </c>
      <c r="AL1877" s="1" t="s">
        <v>132</v>
      </c>
      <c r="AM1877" s="1" t="s">
        <v>36386</v>
      </c>
      <c r="AN1877" s="1" t="s">
        <v>36386</v>
      </c>
    </row>
    <row r="1878" ht="15.75" customHeight="1">
      <c r="A1878" s="1" t="s">
        <v>38</v>
      </c>
      <c r="B1878" s="1" t="s">
        <v>36387</v>
      </c>
      <c r="C1878" s="1" t="s">
        <v>11487</v>
      </c>
      <c r="D1878" s="8" t="s">
        <v>11488</v>
      </c>
      <c r="E1878" s="1" t="s">
        <v>36388</v>
      </c>
      <c r="F1878" s="1" t="s">
        <v>36389</v>
      </c>
      <c r="G1878" s="1" t="s">
        <v>132</v>
      </c>
      <c r="H1878" s="1" t="s">
        <v>132</v>
      </c>
      <c r="I1878" s="1" t="s">
        <v>11492</v>
      </c>
      <c r="J1878" s="1" t="s">
        <v>132</v>
      </c>
      <c r="K1878" s="1" t="s">
        <v>5107</v>
      </c>
      <c r="L1878" s="1" t="s">
        <v>132</v>
      </c>
      <c r="M1878" s="1" t="s">
        <v>36390</v>
      </c>
      <c r="N1878" s="1" t="s">
        <v>36391</v>
      </c>
      <c r="O1878" s="1" t="s">
        <v>132</v>
      </c>
      <c r="P1878" s="1" t="s">
        <v>11497</v>
      </c>
      <c r="Q1878" s="1" t="s">
        <v>11498</v>
      </c>
      <c r="R1878" s="1" t="s">
        <v>132</v>
      </c>
      <c r="S1878" s="1" t="s">
        <v>5113</v>
      </c>
      <c r="T1878" s="1" t="s">
        <v>132</v>
      </c>
      <c r="U1878" s="1" t="s">
        <v>11500</v>
      </c>
      <c r="V1878" s="1" t="s">
        <v>11501</v>
      </c>
      <c r="W1878" s="1" t="s">
        <v>132</v>
      </c>
      <c r="X1878" s="1" t="s">
        <v>36392</v>
      </c>
      <c r="Y1878" s="1" t="s">
        <v>132</v>
      </c>
      <c r="Z1878" s="1" t="s">
        <v>5119</v>
      </c>
      <c r="AA1878" s="1" t="s">
        <v>5107</v>
      </c>
      <c r="AB1878" s="1" t="s">
        <v>132</v>
      </c>
      <c r="AC1878" s="1" t="s">
        <v>11506</v>
      </c>
      <c r="AD1878" s="1" t="s">
        <v>11507</v>
      </c>
      <c r="AE1878" s="1" t="s">
        <v>132</v>
      </c>
      <c r="AF1878" s="1" t="s">
        <v>36393</v>
      </c>
      <c r="AG1878" s="1" t="s">
        <v>11509</v>
      </c>
      <c r="AH1878" s="1" t="s">
        <v>132</v>
      </c>
      <c r="AI1878" s="1" t="s">
        <v>132</v>
      </c>
      <c r="AJ1878" s="1" t="s">
        <v>36394</v>
      </c>
      <c r="AK1878" s="1" t="s">
        <v>11512</v>
      </c>
      <c r="AL1878" s="1" t="s">
        <v>132</v>
      </c>
      <c r="AM1878" s="1" t="s">
        <v>11500</v>
      </c>
      <c r="AN1878" s="1" t="s">
        <v>11500</v>
      </c>
    </row>
    <row r="1879" ht="15.75" customHeight="1">
      <c r="A1879" s="1" t="s">
        <v>38</v>
      </c>
      <c r="B1879" s="1" t="s">
        <v>36395</v>
      </c>
      <c r="C1879" s="1" t="s">
        <v>36396</v>
      </c>
      <c r="D1879" s="8" t="s">
        <v>36397</v>
      </c>
      <c r="E1879" s="1" t="s">
        <v>36398</v>
      </c>
      <c r="F1879" s="1" t="s">
        <v>36399</v>
      </c>
      <c r="G1879" s="1" t="s">
        <v>132</v>
      </c>
      <c r="H1879" s="1" t="s">
        <v>132</v>
      </c>
      <c r="I1879" s="1" t="s">
        <v>36400</v>
      </c>
      <c r="J1879" s="1" t="s">
        <v>132</v>
      </c>
      <c r="K1879" s="1" t="s">
        <v>36401</v>
      </c>
      <c r="L1879" s="1" t="s">
        <v>132</v>
      </c>
      <c r="M1879" s="1" t="s">
        <v>36402</v>
      </c>
      <c r="N1879" s="1" t="s">
        <v>36403</v>
      </c>
      <c r="O1879" s="1" t="s">
        <v>132</v>
      </c>
      <c r="P1879" s="1" t="s">
        <v>36404</v>
      </c>
      <c r="Q1879" s="1" t="s">
        <v>36405</v>
      </c>
      <c r="R1879" s="1" t="s">
        <v>132</v>
      </c>
      <c r="S1879" s="1" t="s">
        <v>36406</v>
      </c>
      <c r="T1879" s="1" t="s">
        <v>132</v>
      </c>
      <c r="U1879" s="1" t="s">
        <v>36407</v>
      </c>
      <c r="V1879" s="1" t="s">
        <v>36408</v>
      </c>
      <c r="W1879" s="1" t="s">
        <v>132</v>
      </c>
      <c r="X1879" s="1" t="s">
        <v>36409</v>
      </c>
      <c r="Y1879" s="1" t="s">
        <v>132</v>
      </c>
      <c r="Z1879" s="1" t="s">
        <v>36410</v>
      </c>
      <c r="AA1879" s="1" t="s">
        <v>36411</v>
      </c>
      <c r="AB1879" s="1" t="s">
        <v>132</v>
      </c>
      <c r="AC1879" s="1" t="s">
        <v>36412</v>
      </c>
      <c r="AD1879" s="1" t="s">
        <v>36413</v>
      </c>
      <c r="AE1879" s="1" t="s">
        <v>132</v>
      </c>
      <c r="AF1879" s="1" t="s">
        <v>36414</v>
      </c>
      <c r="AG1879" s="1" t="s">
        <v>36415</v>
      </c>
      <c r="AH1879" s="1" t="s">
        <v>132</v>
      </c>
      <c r="AI1879" s="1" t="s">
        <v>132</v>
      </c>
      <c r="AJ1879" s="1" t="s">
        <v>36416</v>
      </c>
      <c r="AK1879" s="1" t="s">
        <v>36417</v>
      </c>
      <c r="AL1879" s="1" t="s">
        <v>132</v>
      </c>
      <c r="AM1879" s="1" t="s">
        <v>36418</v>
      </c>
      <c r="AN1879" s="1" t="s">
        <v>36418</v>
      </c>
    </row>
    <row r="1880" ht="15.75" customHeight="1">
      <c r="A1880" s="1" t="s">
        <v>127</v>
      </c>
      <c r="B1880" s="1" t="s">
        <v>36419</v>
      </c>
      <c r="C1880" s="1" t="s">
        <v>36420</v>
      </c>
      <c r="D1880" s="8" t="s">
        <v>36421</v>
      </c>
      <c r="E1880" s="1" t="s">
        <v>36422</v>
      </c>
      <c r="F1880" s="1" t="s">
        <v>132</v>
      </c>
      <c r="G1880" s="1" t="s">
        <v>36423</v>
      </c>
      <c r="H1880" s="1" t="s">
        <v>36424</v>
      </c>
      <c r="I1880" s="1" t="s">
        <v>36425</v>
      </c>
      <c r="J1880" s="1" t="s">
        <v>36426</v>
      </c>
      <c r="K1880" s="1" t="s">
        <v>36427</v>
      </c>
      <c r="L1880" s="1" t="s">
        <v>36428</v>
      </c>
      <c r="M1880" s="1" t="s">
        <v>36429</v>
      </c>
      <c r="N1880" s="1" t="s">
        <v>132</v>
      </c>
      <c r="O1880" s="1" t="s">
        <v>36430</v>
      </c>
      <c r="P1880" s="1" t="s">
        <v>36431</v>
      </c>
      <c r="Q1880" s="1" t="s">
        <v>132</v>
      </c>
      <c r="R1880" s="1" t="s">
        <v>36432</v>
      </c>
      <c r="S1880" s="1" t="s">
        <v>36433</v>
      </c>
      <c r="T1880" s="8" t="s">
        <v>36434</v>
      </c>
      <c r="U1880" s="1" t="s">
        <v>36435</v>
      </c>
      <c r="V1880" s="1" t="s">
        <v>36436</v>
      </c>
      <c r="W1880" s="1" t="s">
        <v>36437</v>
      </c>
      <c r="X1880" s="1" t="s">
        <v>36438</v>
      </c>
      <c r="Y1880" s="1" t="s">
        <v>36439</v>
      </c>
      <c r="Z1880" s="1" t="s">
        <v>36440</v>
      </c>
      <c r="AA1880" s="1" t="s">
        <v>36441</v>
      </c>
      <c r="AB1880" s="1" t="s">
        <v>36442</v>
      </c>
      <c r="AC1880" s="1" t="s">
        <v>36443</v>
      </c>
      <c r="AD1880" s="1" t="s">
        <v>36444</v>
      </c>
      <c r="AE1880" s="1" t="s">
        <v>36445</v>
      </c>
      <c r="AF1880" s="1" t="s">
        <v>36446</v>
      </c>
      <c r="AG1880" s="1" t="s">
        <v>36447</v>
      </c>
      <c r="AH1880" s="1" t="s">
        <v>36448</v>
      </c>
      <c r="AI1880" s="1" t="s">
        <v>36449</v>
      </c>
      <c r="AJ1880" s="1" t="s">
        <v>132</v>
      </c>
      <c r="AK1880" s="1" t="s">
        <v>36450</v>
      </c>
      <c r="AL1880" s="1" t="s">
        <v>36451</v>
      </c>
      <c r="AM1880" s="1" t="s">
        <v>36452</v>
      </c>
      <c r="AN1880" s="1" t="s">
        <v>36452</v>
      </c>
    </row>
    <row r="1881" ht="15.75" customHeight="1">
      <c r="A1881" s="1" t="s">
        <v>38</v>
      </c>
      <c r="B1881" s="1" t="s">
        <v>36453</v>
      </c>
      <c r="C1881" s="1" t="s">
        <v>36454</v>
      </c>
      <c r="D1881" s="8" t="s">
        <v>36455</v>
      </c>
      <c r="E1881" s="1" t="s">
        <v>36456</v>
      </c>
      <c r="F1881" s="1" t="s">
        <v>36457</v>
      </c>
      <c r="G1881" s="1" t="s">
        <v>132</v>
      </c>
      <c r="H1881" s="1" t="s">
        <v>132</v>
      </c>
      <c r="I1881" s="1" t="s">
        <v>36458</v>
      </c>
      <c r="J1881" s="1" t="s">
        <v>132</v>
      </c>
      <c r="K1881" s="1" t="s">
        <v>36459</v>
      </c>
      <c r="L1881" s="1" t="s">
        <v>132</v>
      </c>
      <c r="M1881" s="1" t="s">
        <v>36460</v>
      </c>
      <c r="N1881" s="1" t="s">
        <v>36461</v>
      </c>
      <c r="O1881" s="1" t="s">
        <v>132</v>
      </c>
      <c r="P1881" s="1" t="s">
        <v>36462</v>
      </c>
      <c r="Q1881" s="1" t="s">
        <v>36463</v>
      </c>
      <c r="R1881" s="1" t="s">
        <v>132</v>
      </c>
      <c r="S1881" s="1" t="s">
        <v>36464</v>
      </c>
      <c r="T1881" s="1" t="s">
        <v>132</v>
      </c>
      <c r="U1881" s="1" t="s">
        <v>36465</v>
      </c>
      <c r="V1881" s="1" t="s">
        <v>36466</v>
      </c>
      <c r="W1881" s="1" t="s">
        <v>132</v>
      </c>
      <c r="X1881" s="1" t="s">
        <v>36467</v>
      </c>
      <c r="Y1881" s="1" t="s">
        <v>132</v>
      </c>
      <c r="Z1881" s="1" t="s">
        <v>36468</v>
      </c>
      <c r="AA1881" s="1" t="s">
        <v>36461</v>
      </c>
      <c r="AB1881" s="1" t="s">
        <v>132</v>
      </c>
      <c r="AC1881" s="1" t="s">
        <v>36469</v>
      </c>
      <c r="AD1881" s="1" t="s">
        <v>36470</v>
      </c>
      <c r="AE1881" s="1" t="s">
        <v>132</v>
      </c>
      <c r="AF1881" s="1" t="s">
        <v>36471</v>
      </c>
      <c r="AG1881" s="1" t="s">
        <v>36472</v>
      </c>
      <c r="AH1881" s="1" t="s">
        <v>132</v>
      </c>
      <c r="AI1881" s="1" t="s">
        <v>132</v>
      </c>
      <c r="AJ1881" s="1" t="s">
        <v>36473</v>
      </c>
      <c r="AK1881" s="1" t="s">
        <v>36474</v>
      </c>
      <c r="AL1881" s="1" t="s">
        <v>132</v>
      </c>
      <c r="AM1881" s="1" t="s">
        <v>36475</v>
      </c>
      <c r="AN1881" s="1" t="s">
        <v>36475</v>
      </c>
    </row>
    <row r="1882" ht="15.75" customHeight="1">
      <c r="A1882" s="1" t="s">
        <v>38</v>
      </c>
      <c r="B1882" s="1" t="s">
        <v>36476</v>
      </c>
      <c r="C1882" s="1" t="s">
        <v>36477</v>
      </c>
      <c r="D1882" s="8" t="s">
        <v>36478</v>
      </c>
      <c r="E1882" s="1" t="s">
        <v>36479</v>
      </c>
      <c r="F1882" s="1" t="s">
        <v>36480</v>
      </c>
      <c r="G1882" s="1" t="s">
        <v>132</v>
      </c>
      <c r="H1882" s="1" t="s">
        <v>132</v>
      </c>
      <c r="I1882" s="1" t="s">
        <v>36481</v>
      </c>
      <c r="J1882" s="1" t="s">
        <v>132</v>
      </c>
      <c r="K1882" s="1" t="s">
        <v>36482</v>
      </c>
      <c r="L1882" s="1" t="s">
        <v>132</v>
      </c>
      <c r="M1882" s="1" t="s">
        <v>36483</v>
      </c>
      <c r="N1882" s="1" t="s">
        <v>36484</v>
      </c>
      <c r="O1882" s="1" t="s">
        <v>132</v>
      </c>
      <c r="P1882" s="1" t="s">
        <v>36485</v>
      </c>
      <c r="Q1882" s="1" t="s">
        <v>36486</v>
      </c>
      <c r="R1882" s="1" t="s">
        <v>132</v>
      </c>
      <c r="S1882" s="1" t="s">
        <v>36487</v>
      </c>
      <c r="T1882" s="1" t="s">
        <v>132</v>
      </c>
      <c r="U1882" s="1" t="s">
        <v>36488</v>
      </c>
      <c r="V1882" s="1" t="s">
        <v>36489</v>
      </c>
      <c r="W1882" s="1" t="s">
        <v>132</v>
      </c>
      <c r="X1882" s="1" t="s">
        <v>36490</v>
      </c>
      <c r="Y1882" s="1" t="s">
        <v>132</v>
      </c>
      <c r="Z1882" s="1" t="s">
        <v>36491</v>
      </c>
      <c r="AA1882" s="1" t="s">
        <v>36492</v>
      </c>
      <c r="AB1882" s="1" t="s">
        <v>132</v>
      </c>
      <c r="AC1882" s="1" t="s">
        <v>36493</v>
      </c>
      <c r="AD1882" s="1" t="s">
        <v>132</v>
      </c>
      <c r="AE1882" s="1" t="s">
        <v>132</v>
      </c>
      <c r="AF1882" s="1" t="s">
        <v>36494</v>
      </c>
      <c r="AG1882" s="1" t="s">
        <v>36495</v>
      </c>
      <c r="AH1882" s="1" t="s">
        <v>132</v>
      </c>
      <c r="AI1882" s="1" t="s">
        <v>132</v>
      </c>
      <c r="AJ1882" s="1" t="s">
        <v>27124</v>
      </c>
      <c r="AK1882" s="1" t="s">
        <v>36496</v>
      </c>
      <c r="AL1882" s="1" t="s">
        <v>132</v>
      </c>
      <c r="AM1882" s="1" t="s">
        <v>36497</v>
      </c>
      <c r="AN1882" s="1" t="s">
        <v>36497</v>
      </c>
    </row>
    <row r="1883" ht="15.75" customHeight="1">
      <c r="A1883" s="1" t="s">
        <v>127</v>
      </c>
      <c r="B1883" s="1" t="s">
        <v>36498</v>
      </c>
      <c r="C1883" s="1" t="s">
        <v>36499</v>
      </c>
      <c r="D1883" s="8" t="s">
        <v>36500</v>
      </c>
      <c r="E1883" s="1" t="s">
        <v>36501</v>
      </c>
      <c r="F1883" s="1" t="s">
        <v>132</v>
      </c>
      <c r="G1883" s="1" t="s">
        <v>36502</v>
      </c>
      <c r="H1883" s="1" t="s">
        <v>36503</v>
      </c>
      <c r="I1883" s="1" t="s">
        <v>3474</v>
      </c>
      <c r="J1883" s="1" t="s">
        <v>36504</v>
      </c>
      <c r="K1883" s="1" t="s">
        <v>36505</v>
      </c>
      <c r="L1883" s="1" t="s">
        <v>36506</v>
      </c>
      <c r="M1883" s="1" t="s">
        <v>36507</v>
      </c>
      <c r="N1883" s="1" t="s">
        <v>132</v>
      </c>
      <c r="O1883" s="1" t="s">
        <v>36508</v>
      </c>
      <c r="P1883" s="1" t="s">
        <v>36509</v>
      </c>
      <c r="Q1883" s="1" t="s">
        <v>132</v>
      </c>
      <c r="R1883" s="1" t="s">
        <v>36510</v>
      </c>
      <c r="S1883" s="1" t="s">
        <v>36511</v>
      </c>
      <c r="T1883" s="8" t="s">
        <v>36512</v>
      </c>
      <c r="U1883" s="1" t="s">
        <v>36513</v>
      </c>
      <c r="V1883" s="1" t="s">
        <v>36514</v>
      </c>
      <c r="W1883" s="1" t="s">
        <v>36510</v>
      </c>
      <c r="X1883" s="1" t="s">
        <v>36515</v>
      </c>
      <c r="Y1883" s="1" t="s">
        <v>36516</v>
      </c>
      <c r="Z1883" s="1" t="s">
        <v>36517</v>
      </c>
      <c r="AA1883" s="1" t="s">
        <v>36518</v>
      </c>
      <c r="AB1883" s="1" t="s">
        <v>36519</v>
      </c>
      <c r="AC1883" s="1" t="s">
        <v>36520</v>
      </c>
      <c r="AD1883" s="1" t="s">
        <v>36521</v>
      </c>
      <c r="AE1883" s="1" t="s">
        <v>36522</v>
      </c>
      <c r="AF1883" s="1" t="s">
        <v>36523</v>
      </c>
      <c r="AG1883" s="1" t="s">
        <v>36524</v>
      </c>
      <c r="AH1883" s="1" t="s">
        <v>36525</v>
      </c>
      <c r="AI1883" s="1" t="s">
        <v>36526</v>
      </c>
      <c r="AJ1883" s="1" t="s">
        <v>132</v>
      </c>
      <c r="AK1883" s="1" t="s">
        <v>36527</v>
      </c>
      <c r="AL1883" s="1" t="s">
        <v>36528</v>
      </c>
      <c r="AM1883" s="1" t="s">
        <v>36529</v>
      </c>
      <c r="AN1883" s="1" t="s">
        <v>36529</v>
      </c>
    </row>
    <row r="1884" ht="15.75" customHeight="1">
      <c r="A1884" s="1" t="s">
        <v>38</v>
      </c>
      <c r="B1884" s="1" t="s">
        <v>36530</v>
      </c>
      <c r="C1884" s="1" t="s">
        <v>36531</v>
      </c>
      <c r="D1884" s="8" t="s">
        <v>36532</v>
      </c>
      <c r="E1884" s="1" t="s">
        <v>36533</v>
      </c>
      <c r="F1884" s="1" t="s">
        <v>36534</v>
      </c>
      <c r="G1884" s="1" t="s">
        <v>132</v>
      </c>
      <c r="H1884" s="1" t="s">
        <v>132</v>
      </c>
      <c r="I1884" s="1" t="s">
        <v>36535</v>
      </c>
      <c r="J1884" s="1" t="s">
        <v>132</v>
      </c>
      <c r="K1884" s="1" t="s">
        <v>36536</v>
      </c>
      <c r="L1884" s="1" t="s">
        <v>132</v>
      </c>
      <c r="M1884" s="1" t="s">
        <v>36537</v>
      </c>
      <c r="N1884" s="1" t="s">
        <v>36538</v>
      </c>
      <c r="O1884" s="1" t="s">
        <v>132</v>
      </c>
      <c r="P1884" s="1" t="s">
        <v>36539</v>
      </c>
      <c r="Q1884" s="1" t="s">
        <v>132</v>
      </c>
      <c r="R1884" s="1" t="s">
        <v>132</v>
      </c>
      <c r="S1884" s="1" t="s">
        <v>36540</v>
      </c>
      <c r="T1884" s="1" t="s">
        <v>132</v>
      </c>
      <c r="U1884" s="1" t="s">
        <v>36541</v>
      </c>
      <c r="V1884" s="1" t="s">
        <v>132</v>
      </c>
      <c r="W1884" s="1" t="s">
        <v>132</v>
      </c>
      <c r="X1884" s="1" t="s">
        <v>36542</v>
      </c>
      <c r="Y1884" s="1" t="s">
        <v>132</v>
      </c>
      <c r="Z1884" s="1" t="s">
        <v>36543</v>
      </c>
      <c r="AA1884" s="1" t="s">
        <v>132</v>
      </c>
      <c r="AB1884" s="1" t="s">
        <v>132</v>
      </c>
      <c r="AC1884" s="1" t="s">
        <v>36533</v>
      </c>
      <c r="AD1884" s="1" t="s">
        <v>132</v>
      </c>
      <c r="AE1884" s="1" t="s">
        <v>132</v>
      </c>
      <c r="AF1884" s="1" t="s">
        <v>36544</v>
      </c>
      <c r="AG1884" s="1" t="s">
        <v>132</v>
      </c>
      <c r="AH1884" s="1" t="s">
        <v>132</v>
      </c>
      <c r="AI1884" s="1" t="s">
        <v>132</v>
      </c>
      <c r="AJ1884" s="1" t="s">
        <v>36545</v>
      </c>
      <c r="AK1884" s="1" t="s">
        <v>132</v>
      </c>
      <c r="AL1884" s="1" t="s">
        <v>132</v>
      </c>
      <c r="AM1884" s="1" t="s">
        <v>132</v>
      </c>
      <c r="AN1884" s="1" t="s">
        <v>132</v>
      </c>
    </row>
    <row r="1885" ht="15.75" customHeight="1">
      <c r="A1885" s="1" t="s">
        <v>127</v>
      </c>
      <c r="B1885" s="1" t="s">
        <v>36546</v>
      </c>
      <c r="C1885" s="1" t="s">
        <v>27613</v>
      </c>
      <c r="D1885" s="8" t="s">
        <v>36547</v>
      </c>
      <c r="E1885" s="1" t="s">
        <v>36548</v>
      </c>
      <c r="F1885" s="1" t="s">
        <v>132</v>
      </c>
      <c r="G1885" s="1" t="s">
        <v>36549</v>
      </c>
      <c r="H1885" s="1" t="s">
        <v>36550</v>
      </c>
      <c r="I1885" s="1" t="s">
        <v>1643</v>
      </c>
      <c r="J1885" s="1" t="s">
        <v>36551</v>
      </c>
      <c r="K1885" s="1" t="s">
        <v>27614</v>
      </c>
      <c r="L1885" s="1" t="s">
        <v>36552</v>
      </c>
      <c r="M1885" s="1" t="s">
        <v>36553</v>
      </c>
      <c r="N1885" s="1" t="s">
        <v>132</v>
      </c>
      <c r="O1885" s="1" t="s">
        <v>36554</v>
      </c>
      <c r="P1885" s="1" t="s">
        <v>27616</v>
      </c>
      <c r="Q1885" s="1" t="s">
        <v>132</v>
      </c>
      <c r="R1885" s="1" t="s">
        <v>36555</v>
      </c>
      <c r="S1885" s="1" t="s">
        <v>36556</v>
      </c>
      <c r="T1885" s="8" t="s">
        <v>36557</v>
      </c>
      <c r="U1885" s="1" t="s">
        <v>36558</v>
      </c>
      <c r="V1885" s="1" t="s">
        <v>36559</v>
      </c>
      <c r="W1885" s="1" t="s">
        <v>36555</v>
      </c>
      <c r="X1885" s="1" t="s">
        <v>36560</v>
      </c>
      <c r="Y1885" s="1" t="s">
        <v>36561</v>
      </c>
      <c r="Z1885" s="1" t="s">
        <v>1649</v>
      </c>
      <c r="AA1885" s="1" t="s">
        <v>36562</v>
      </c>
      <c r="AB1885" s="1" t="s">
        <v>36563</v>
      </c>
      <c r="AC1885" s="1" t="s">
        <v>27617</v>
      </c>
      <c r="AD1885" s="1" t="s">
        <v>36564</v>
      </c>
      <c r="AE1885" s="1" t="s">
        <v>36565</v>
      </c>
      <c r="AF1885" s="1" t="s">
        <v>36566</v>
      </c>
      <c r="AG1885" s="1" t="s">
        <v>36561</v>
      </c>
      <c r="AH1885" s="1" t="s">
        <v>36567</v>
      </c>
      <c r="AI1885" s="1" t="s">
        <v>36568</v>
      </c>
      <c r="AJ1885" s="1" t="s">
        <v>132</v>
      </c>
      <c r="AK1885" s="1" t="s">
        <v>36569</v>
      </c>
      <c r="AL1885" s="1" t="s">
        <v>36570</v>
      </c>
      <c r="AM1885" s="1" t="s">
        <v>36571</v>
      </c>
      <c r="AN1885" s="1" t="s">
        <v>36571</v>
      </c>
    </row>
    <row r="1886" ht="15.75" customHeight="1">
      <c r="A1886" s="1" t="s">
        <v>127</v>
      </c>
      <c r="B1886" s="1" t="s">
        <v>36572</v>
      </c>
      <c r="C1886" s="1" t="s">
        <v>36573</v>
      </c>
      <c r="D1886" s="8" t="s">
        <v>36574</v>
      </c>
      <c r="E1886" s="1" t="s">
        <v>36575</v>
      </c>
      <c r="F1886" s="1" t="s">
        <v>132</v>
      </c>
      <c r="G1886" s="1" t="s">
        <v>36576</v>
      </c>
      <c r="H1886" s="1" t="s">
        <v>36577</v>
      </c>
      <c r="I1886" s="1" t="s">
        <v>36578</v>
      </c>
      <c r="J1886" s="1" t="s">
        <v>36579</v>
      </c>
      <c r="K1886" s="1" t="s">
        <v>36580</v>
      </c>
      <c r="L1886" s="1" t="s">
        <v>36581</v>
      </c>
      <c r="M1886" s="1" t="s">
        <v>36582</v>
      </c>
      <c r="N1886" s="1" t="s">
        <v>132</v>
      </c>
      <c r="O1886" s="1" t="s">
        <v>36583</v>
      </c>
      <c r="P1886" s="1" t="s">
        <v>36584</v>
      </c>
      <c r="Q1886" s="1" t="s">
        <v>132</v>
      </c>
      <c r="R1886" s="1" t="s">
        <v>36585</v>
      </c>
      <c r="S1886" s="1" t="s">
        <v>36586</v>
      </c>
      <c r="T1886" s="8" t="s">
        <v>36587</v>
      </c>
      <c r="U1886" s="1" t="s">
        <v>11446</v>
      </c>
      <c r="V1886" s="1" t="s">
        <v>36588</v>
      </c>
      <c r="W1886" s="1" t="s">
        <v>36589</v>
      </c>
      <c r="X1886" s="1" t="s">
        <v>36590</v>
      </c>
      <c r="Y1886" s="1" t="s">
        <v>36591</v>
      </c>
      <c r="Z1886" s="1" t="s">
        <v>36592</v>
      </c>
      <c r="AA1886" s="1" t="s">
        <v>36593</v>
      </c>
      <c r="AB1886" s="1" t="s">
        <v>36594</v>
      </c>
      <c r="AC1886" s="1" t="s">
        <v>36595</v>
      </c>
      <c r="AD1886" s="1" t="s">
        <v>36596</v>
      </c>
      <c r="AE1886" s="1" t="s">
        <v>36597</v>
      </c>
      <c r="AF1886" s="1" t="s">
        <v>36598</v>
      </c>
      <c r="AG1886" s="1" t="s">
        <v>36599</v>
      </c>
      <c r="AH1886" s="1" t="s">
        <v>36600</v>
      </c>
      <c r="AI1886" s="1" t="s">
        <v>36601</v>
      </c>
      <c r="AJ1886" s="1" t="s">
        <v>132</v>
      </c>
      <c r="AK1886" s="1" t="s">
        <v>36602</v>
      </c>
      <c r="AL1886" s="1" t="s">
        <v>36603</v>
      </c>
      <c r="AM1886" s="1" t="s">
        <v>36604</v>
      </c>
      <c r="AN1886" s="1" t="s">
        <v>36604</v>
      </c>
    </row>
    <row r="1887" ht="15.75" customHeight="1">
      <c r="A1887" s="1" t="s">
        <v>38</v>
      </c>
      <c r="B1887" s="1" t="s">
        <v>36605</v>
      </c>
      <c r="C1887" s="1" t="s">
        <v>36606</v>
      </c>
      <c r="D1887" s="8" t="s">
        <v>36607</v>
      </c>
      <c r="E1887" s="1" t="s">
        <v>36608</v>
      </c>
      <c r="F1887" s="1" t="s">
        <v>36609</v>
      </c>
      <c r="G1887" s="1" t="s">
        <v>132</v>
      </c>
      <c r="H1887" s="1" t="s">
        <v>132</v>
      </c>
      <c r="I1887" s="1" t="s">
        <v>36610</v>
      </c>
      <c r="J1887" s="1" t="s">
        <v>132</v>
      </c>
      <c r="K1887" s="1" t="s">
        <v>36611</v>
      </c>
      <c r="L1887" s="1" t="s">
        <v>132</v>
      </c>
      <c r="M1887" s="1" t="s">
        <v>36612</v>
      </c>
      <c r="N1887" s="1" t="s">
        <v>36613</v>
      </c>
      <c r="O1887" s="1" t="s">
        <v>132</v>
      </c>
      <c r="P1887" s="1" t="s">
        <v>36614</v>
      </c>
      <c r="Q1887" s="1" t="s">
        <v>36615</v>
      </c>
      <c r="R1887" s="1" t="s">
        <v>132</v>
      </c>
      <c r="S1887" s="1" t="s">
        <v>36616</v>
      </c>
      <c r="T1887" s="1" t="s">
        <v>132</v>
      </c>
      <c r="U1887" s="1" t="s">
        <v>36617</v>
      </c>
      <c r="V1887" s="1" t="s">
        <v>36618</v>
      </c>
      <c r="W1887" s="1" t="s">
        <v>132</v>
      </c>
      <c r="X1887" s="1" t="s">
        <v>36619</v>
      </c>
      <c r="Y1887" s="1" t="s">
        <v>132</v>
      </c>
      <c r="Z1887" s="1" t="s">
        <v>36620</v>
      </c>
      <c r="AA1887" s="1" t="s">
        <v>36621</v>
      </c>
      <c r="AB1887" s="1" t="s">
        <v>132</v>
      </c>
      <c r="AC1887" s="1" t="s">
        <v>36622</v>
      </c>
      <c r="AD1887" s="1" t="s">
        <v>132</v>
      </c>
      <c r="AE1887" s="1" t="s">
        <v>132</v>
      </c>
      <c r="AF1887" s="1" t="s">
        <v>36623</v>
      </c>
      <c r="AG1887" s="1" t="s">
        <v>36624</v>
      </c>
      <c r="AH1887" s="1" t="s">
        <v>132</v>
      </c>
      <c r="AI1887" s="1" t="s">
        <v>132</v>
      </c>
      <c r="AJ1887" s="1" t="s">
        <v>36625</v>
      </c>
      <c r="AK1887" s="1" t="s">
        <v>36626</v>
      </c>
      <c r="AL1887" s="1" t="s">
        <v>132</v>
      </c>
      <c r="AM1887" s="1" t="s">
        <v>36627</v>
      </c>
      <c r="AN1887" s="1" t="s">
        <v>36627</v>
      </c>
    </row>
    <row r="1888" ht="15.75" customHeight="1">
      <c r="A1888" s="1" t="s">
        <v>38</v>
      </c>
      <c r="B1888" s="1" t="s">
        <v>36628</v>
      </c>
      <c r="C1888" s="1" t="s">
        <v>36629</v>
      </c>
      <c r="D1888" s="8" t="s">
        <v>36630</v>
      </c>
      <c r="E1888" s="1" t="s">
        <v>36631</v>
      </c>
      <c r="F1888" s="1" t="s">
        <v>36632</v>
      </c>
      <c r="G1888" s="1" t="s">
        <v>132</v>
      </c>
      <c r="H1888" s="1" t="s">
        <v>132</v>
      </c>
      <c r="I1888" s="1" t="s">
        <v>36633</v>
      </c>
      <c r="J1888" s="1" t="s">
        <v>132</v>
      </c>
      <c r="K1888" s="1" t="s">
        <v>36634</v>
      </c>
      <c r="L1888" s="1" t="s">
        <v>132</v>
      </c>
      <c r="M1888" s="1" t="s">
        <v>36635</v>
      </c>
      <c r="N1888" s="1" t="s">
        <v>36636</v>
      </c>
      <c r="O1888" s="1" t="s">
        <v>132</v>
      </c>
      <c r="P1888" s="1" t="s">
        <v>36637</v>
      </c>
      <c r="Q1888" s="1" t="s">
        <v>132</v>
      </c>
      <c r="R1888" s="1" t="s">
        <v>132</v>
      </c>
      <c r="S1888" s="1" t="s">
        <v>36638</v>
      </c>
      <c r="T1888" s="1" t="s">
        <v>132</v>
      </c>
      <c r="U1888" s="1" t="s">
        <v>36639</v>
      </c>
      <c r="V1888" s="1" t="s">
        <v>36640</v>
      </c>
      <c r="W1888" s="1" t="s">
        <v>132</v>
      </c>
      <c r="X1888" s="1" t="s">
        <v>36641</v>
      </c>
      <c r="Y1888" s="1" t="s">
        <v>132</v>
      </c>
      <c r="Z1888" s="1" t="s">
        <v>36642</v>
      </c>
      <c r="AA1888" s="1" t="s">
        <v>36643</v>
      </c>
      <c r="AB1888" s="1" t="s">
        <v>132</v>
      </c>
      <c r="AC1888" s="1" t="s">
        <v>36644</v>
      </c>
      <c r="AD1888" s="1" t="s">
        <v>132</v>
      </c>
      <c r="AE1888" s="1" t="s">
        <v>132</v>
      </c>
      <c r="AF1888" s="1" t="s">
        <v>36645</v>
      </c>
      <c r="AG1888" s="1" t="s">
        <v>36646</v>
      </c>
      <c r="AH1888" s="1" t="s">
        <v>132</v>
      </c>
      <c r="AI1888" s="1" t="s">
        <v>132</v>
      </c>
      <c r="AJ1888" s="1" t="s">
        <v>36647</v>
      </c>
      <c r="AK1888" s="1" t="s">
        <v>132</v>
      </c>
      <c r="AL1888" s="1" t="s">
        <v>132</v>
      </c>
      <c r="AM1888" s="1" t="s">
        <v>36648</v>
      </c>
      <c r="AN1888" s="1" t="s">
        <v>36648</v>
      </c>
    </row>
    <row r="1889" ht="15.75" customHeight="1">
      <c r="A1889" s="1" t="s">
        <v>38</v>
      </c>
      <c r="B1889" s="1" t="s">
        <v>36649</v>
      </c>
      <c r="C1889" s="1" t="s">
        <v>36650</v>
      </c>
      <c r="D1889" s="8" t="s">
        <v>36651</v>
      </c>
      <c r="E1889" s="1" t="s">
        <v>36652</v>
      </c>
      <c r="F1889" s="1" t="s">
        <v>36653</v>
      </c>
      <c r="G1889" s="1" t="s">
        <v>132</v>
      </c>
      <c r="H1889" s="1" t="s">
        <v>132</v>
      </c>
      <c r="I1889" s="1" t="s">
        <v>36654</v>
      </c>
      <c r="J1889" s="1" t="s">
        <v>132</v>
      </c>
      <c r="K1889" s="1" t="s">
        <v>36655</v>
      </c>
      <c r="L1889" s="1" t="s">
        <v>132</v>
      </c>
      <c r="M1889" s="1" t="s">
        <v>36656</v>
      </c>
      <c r="N1889" s="1" t="s">
        <v>36657</v>
      </c>
      <c r="O1889" s="1" t="s">
        <v>132</v>
      </c>
      <c r="P1889" s="1" t="s">
        <v>36658</v>
      </c>
      <c r="Q1889" s="1" t="s">
        <v>132</v>
      </c>
      <c r="R1889" s="1" t="s">
        <v>132</v>
      </c>
      <c r="S1889" s="1" t="s">
        <v>36659</v>
      </c>
      <c r="T1889" s="1" t="s">
        <v>132</v>
      </c>
      <c r="U1889" s="1" t="s">
        <v>36660</v>
      </c>
      <c r="V1889" s="1" t="s">
        <v>36661</v>
      </c>
      <c r="W1889" s="1" t="s">
        <v>132</v>
      </c>
      <c r="X1889" s="1" t="s">
        <v>36662</v>
      </c>
      <c r="Y1889" s="1" t="s">
        <v>132</v>
      </c>
      <c r="Z1889" s="1" t="s">
        <v>36663</v>
      </c>
      <c r="AA1889" s="1" t="s">
        <v>132</v>
      </c>
      <c r="AB1889" s="1" t="s">
        <v>132</v>
      </c>
      <c r="AC1889" s="1" t="s">
        <v>36664</v>
      </c>
      <c r="AD1889" s="1" t="s">
        <v>132</v>
      </c>
      <c r="AE1889" s="1" t="s">
        <v>132</v>
      </c>
      <c r="AF1889" s="1" t="s">
        <v>36665</v>
      </c>
      <c r="AG1889" s="1" t="s">
        <v>36666</v>
      </c>
      <c r="AH1889" s="1" t="s">
        <v>132</v>
      </c>
      <c r="AI1889" s="1" t="s">
        <v>132</v>
      </c>
      <c r="AJ1889" s="1" t="s">
        <v>36667</v>
      </c>
      <c r="AK1889" s="1" t="s">
        <v>132</v>
      </c>
      <c r="AL1889" s="1" t="s">
        <v>132</v>
      </c>
      <c r="AM1889" s="1" t="s">
        <v>36668</v>
      </c>
      <c r="AN1889" s="1" t="s">
        <v>36668</v>
      </c>
    </row>
    <row r="1890" ht="15.75" customHeight="1">
      <c r="A1890" s="1" t="s">
        <v>127</v>
      </c>
      <c r="B1890" s="1" t="s">
        <v>36669</v>
      </c>
      <c r="C1890" s="1" t="s">
        <v>36670</v>
      </c>
      <c r="D1890" s="8" t="s">
        <v>9359</v>
      </c>
      <c r="E1890" s="1" t="s">
        <v>36671</v>
      </c>
      <c r="F1890" s="1" t="s">
        <v>132</v>
      </c>
      <c r="G1890" s="1" t="s">
        <v>36670</v>
      </c>
      <c r="H1890" s="1" t="s">
        <v>36670</v>
      </c>
      <c r="I1890" s="1" t="s">
        <v>36670</v>
      </c>
      <c r="J1890" s="1" t="s">
        <v>9364</v>
      </c>
      <c r="K1890" s="1" t="s">
        <v>36670</v>
      </c>
      <c r="L1890" s="1" t="s">
        <v>36670</v>
      </c>
      <c r="M1890" s="1" t="s">
        <v>36670</v>
      </c>
      <c r="N1890" s="1" t="s">
        <v>132</v>
      </c>
      <c r="O1890" s="1" t="s">
        <v>36672</v>
      </c>
      <c r="P1890" s="1" t="s">
        <v>36670</v>
      </c>
      <c r="Q1890" s="1" t="s">
        <v>132</v>
      </c>
      <c r="R1890" s="1" t="s">
        <v>36670</v>
      </c>
      <c r="S1890" s="1" t="s">
        <v>36670</v>
      </c>
      <c r="T1890" s="8" t="s">
        <v>9369</v>
      </c>
      <c r="U1890" s="1" t="s">
        <v>9370</v>
      </c>
      <c r="V1890" s="1" t="s">
        <v>9371</v>
      </c>
      <c r="W1890" s="1" t="s">
        <v>36670</v>
      </c>
      <c r="X1890" s="1" t="s">
        <v>36670</v>
      </c>
      <c r="Y1890" s="1" t="s">
        <v>36670</v>
      </c>
      <c r="Z1890" s="1" t="s">
        <v>36670</v>
      </c>
      <c r="AA1890" s="1" t="s">
        <v>36673</v>
      </c>
      <c r="AB1890" s="1" t="s">
        <v>36670</v>
      </c>
      <c r="AC1890" s="1" t="s">
        <v>36671</v>
      </c>
      <c r="AD1890" s="1" t="s">
        <v>36670</v>
      </c>
      <c r="AE1890" s="1" t="s">
        <v>36674</v>
      </c>
      <c r="AF1890" s="1" t="s">
        <v>36670</v>
      </c>
      <c r="AG1890" s="1" t="s">
        <v>36670</v>
      </c>
      <c r="AH1890" s="1" t="s">
        <v>9381</v>
      </c>
      <c r="AI1890" s="1" t="s">
        <v>36675</v>
      </c>
      <c r="AJ1890" s="1" t="s">
        <v>132</v>
      </c>
      <c r="AK1890" s="1" t="s">
        <v>9383</v>
      </c>
      <c r="AL1890" s="1" t="s">
        <v>9384</v>
      </c>
      <c r="AM1890" s="1" t="s">
        <v>9385</v>
      </c>
      <c r="AN1890" s="1" t="s">
        <v>9385</v>
      </c>
    </row>
    <row r="1891" ht="15.75" customHeight="1">
      <c r="A1891" s="1" t="s">
        <v>38</v>
      </c>
      <c r="B1891" s="1" t="s">
        <v>36676</v>
      </c>
      <c r="C1891" s="1" t="s">
        <v>36677</v>
      </c>
      <c r="D1891" s="1" t="s">
        <v>132</v>
      </c>
      <c r="E1891" s="1" t="s">
        <v>36678</v>
      </c>
      <c r="F1891" s="1" t="s">
        <v>36679</v>
      </c>
      <c r="G1891" s="1" t="s">
        <v>132</v>
      </c>
      <c r="H1891" s="1" t="s">
        <v>132</v>
      </c>
      <c r="I1891" s="1" t="s">
        <v>36680</v>
      </c>
      <c r="J1891" s="1" t="s">
        <v>132</v>
      </c>
      <c r="K1891" s="1" t="s">
        <v>36681</v>
      </c>
      <c r="L1891" s="1" t="s">
        <v>132</v>
      </c>
      <c r="M1891" s="1" t="s">
        <v>36682</v>
      </c>
      <c r="N1891" s="1" t="s">
        <v>36683</v>
      </c>
      <c r="O1891" s="1" t="s">
        <v>132</v>
      </c>
      <c r="P1891" s="1" t="s">
        <v>36684</v>
      </c>
      <c r="Q1891" s="1" t="s">
        <v>132</v>
      </c>
      <c r="R1891" s="1" t="s">
        <v>132</v>
      </c>
      <c r="S1891" s="1" t="s">
        <v>36685</v>
      </c>
      <c r="T1891" s="1" t="s">
        <v>132</v>
      </c>
      <c r="U1891" s="1" t="s">
        <v>36686</v>
      </c>
      <c r="V1891" s="1" t="s">
        <v>132</v>
      </c>
      <c r="W1891" s="1" t="s">
        <v>132</v>
      </c>
      <c r="X1891" s="1" t="s">
        <v>36687</v>
      </c>
      <c r="Y1891" s="1" t="s">
        <v>132</v>
      </c>
      <c r="Z1891" s="1" t="s">
        <v>36688</v>
      </c>
      <c r="AA1891" s="1" t="s">
        <v>36689</v>
      </c>
      <c r="AB1891" s="1" t="s">
        <v>132</v>
      </c>
      <c r="AC1891" s="1" t="s">
        <v>36690</v>
      </c>
      <c r="AD1891" s="1" t="s">
        <v>132</v>
      </c>
      <c r="AE1891" s="1" t="s">
        <v>132</v>
      </c>
      <c r="AF1891" s="1" t="s">
        <v>36691</v>
      </c>
      <c r="AG1891" s="1" t="s">
        <v>132</v>
      </c>
      <c r="AH1891" s="1" t="s">
        <v>132</v>
      </c>
      <c r="AI1891" s="1" t="s">
        <v>132</v>
      </c>
      <c r="AJ1891" s="1" t="s">
        <v>132</v>
      </c>
      <c r="AK1891" s="1" t="s">
        <v>132</v>
      </c>
      <c r="AL1891" s="1" t="s">
        <v>132</v>
      </c>
      <c r="AM1891" s="1" t="s">
        <v>132</v>
      </c>
      <c r="AN1891" s="1" t="s">
        <v>132</v>
      </c>
    </row>
    <row r="1892" ht="15.75" customHeight="1">
      <c r="A1892" s="1" t="s">
        <v>38</v>
      </c>
      <c r="B1892" s="1" t="s">
        <v>36692</v>
      </c>
      <c r="C1892" s="1" t="s">
        <v>36693</v>
      </c>
      <c r="D1892" s="1" t="s">
        <v>132</v>
      </c>
      <c r="E1892" s="1" t="s">
        <v>132</v>
      </c>
      <c r="F1892" s="1" t="s">
        <v>132</v>
      </c>
      <c r="G1892" s="1" t="s">
        <v>132</v>
      </c>
      <c r="H1892" s="1" t="s">
        <v>132</v>
      </c>
      <c r="I1892" s="1" t="s">
        <v>36694</v>
      </c>
      <c r="J1892" s="1" t="s">
        <v>132</v>
      </c>
      <c r="K1892" s="1" t="s">
        <v>36695</v>
      </c>
      <c r="L1892" s="1" t="s">
        <v>132</v>
      </c>
      <c r="M1892" s="1" t="s">
        <v>36696</v>
      </c>
      <c r="N1892" s="1" t="s">
        <v>132</v>
      </c>
      <c r="O1892" s="1" t="s">
        <v>132</v>
      </c>
      <c r="P1892" s="1" t="s">
        <v>36693</v>
      </c>
      <c r="Q1892" s="1" t="s">
        <v>132</v>
      </c>
      <c r="R1892" s="1" t="s">
        <v>132</v>
      </c>
      <c r="S1892" s="1" t="s">
        <v>132</v>
      </c>
      <c r="T1892" s="1" t="s">
        <v>132</v>
      </c>
      <c r="U1892" s="1" t="s">
        <v>132</v>
      </c>
      <c r="V1892" s="1" t="s">
        <v>132</v>
      </c>
      <c r="W1892" s="1" t="s">
        <v>132</v>
      </c>
      <c r="X1892" s="1" t="s">
        <v>132</v>
      </c>
      <c r="Y1892" s="1" t="s">
        <v>132</v>
      </c>
      <c r="Z1892" s="1" t="s">
        <v>132</v>
      </c>
      <c r="AA1892" s="1" t="s">
        <v>132</v>
      </c>
      <c r="AB1892" s="1" t="s">
        <v>132</v>
      </c>
      <c r="AC1892" s="1" t="s">
        <v>36697</v>
      </c>
      <c r="AD1892" s="1" t="s">
        <v>132</v>
      </c>
      <c r="AE1892" s="1" t="s">
        <v>132</v>
      </c>
      <c r="AF1892" s="1" t="s">
        <v>36698</v>
      </c>
      <c r="AG1892" s="1" t="s">
        <v>132</v>
      </c>
      <c r="AH1892" s="1" t="s">
        <v>132</v>
      </c>
      <c r="AI1892" s="1" t="s">
        <v>132</v>
      </c>
      <c r="AJ1892" s="1" t="s">
        <v>132</v>
      </c>
      <c r="AK1892" s="1" t="s">
        <v>132</v>
      </c>
      <c r="AL1892" s="1" t="s">
        <v>132</v>
      </c>
      <c r="AM1892" s="1" t="s">
        <v>132</v>
      </c>
      <c r="AN1892" s="1" t="s">
        <v>132</v>
      </c>
    </row>
    <row r="1893" ht="15.75" customHeight="1">
      <c r="A1893" s="1" t="s">
        <v>38</v>
      </c>
      <c r="B1893" s="1" t="s">
        <v>36699</v>
      </c>
      <c r="C1893" s="1" t="s">
        <v>36700</v>
      </c>
      <c r="D1893" s="1" t="s">
        <v>132</v>
      </c>
      <c r="E1893" s="1" t="s">
        <v>132</v>
      </c>
      <c r="F1893" s="1" t="s">
        <v>132</v>
      </c>
      <c r="G1893" s="1" t="s">
        <v>132</v>
      </c>
      <c r="H1893" s="1" t="s">
        <v>132</v>
      </c>
      <c r="I1893" s="1" t="s">
        <v>36701</v>
      </c>
      <c r="J1893" s="1" t="s">
        <v>132</v>
      </c>
      <c r="K1893" s="1" t="s">
        <v>36702</v>
      </c>
      <c r="L1893" s="1" t="s">
        <v>132</v>
      </c>
      <c r="M1893" s="1" t="s">
        <v>36703</v>
      </c>
      <c r="N1893" s="1" t="s">
        <v>132</v>
      </c>
      <c r="O1893" s="1" t="s">
        <v>132</v>
      </c>
      <c r="P1893" s="1" t="s">
        <v>36700</v>
      </c>
      <c r="Q1893" s="1" t="s">
        <v>132</v>
      </c>
      <c r="R1893" s="1" t="s">
        <v>132</v>
      </c>
      <c r="S1893" s="1" t="s">
        <v>132</v>
      </c>
      <c r="T1893" s="1" t="s">
        <v>132</v>
      </c>
      <c r="U1893" s="1" t="s">
        <v>132</v>
      </c>
      <c r="V1893" s="1" t="s">
        <v>132</v>
      </c>
      <c r="W1893" s="1" t="s">
        <v>132</v>
      </c>
      <c r="X1893" s="1" t="s">
        <v>132</v>
      </c>
      <c r="Y1893" s="1" t="s">
        <v>132</v>
      </c>
      <c r="Z1893" s="1" t="s">
        <v>132</v>
      </c>
      <c r="AA1893" s="1" t="s">
        <v>132</v>
      </c>
      <c r="AB1893" s="1" t="s">
        <v>132</v>
      </c>
      <c r="AC1893" s="1" t="s">
        <v>36704</v>
      </c>
      <c r="AD1893" s="1" t="s">
        <v>132</v>
      </c>
      <c r="AE1893" s="1" t="s">
        <v>132</v>
      </c>
      <c r="AF1893" s="1" t="s">
        <v>36705</v>
      </c>
      <c r="AG1893" s="1" t="s">
        <v>132</v>
      </c>
      <c r="AH1893" s="1" t="s">
        <v>132</v>
      </c>
      <c r="AI1893" s="1" t="s">
        <v>132</v>
      </c>
      <c r="AJ1893" s="1" t="s">
        <v>132</v>
      </c>
      <c r="AK1893" s="1" t="s">
        <v>132</v>
      </c>
      <c r="AL1893" s="1" t="s">
        <v>132</v>
      </c>
      <c r="AM1893" s="1" t="s">
        <v>132</v>
      </c>
      <c r="AN1893" s="1" t="s">
        <v>132</v>
      </c>
    </row>
    <row r="1894" ht="15.75" customHeight="1">
      <c r="A1894" s="1" t="s">
        <v>38</v>
      </c>
      <c r="B1894" s="1" t="s">
        <v>36706</v>
      </c>
      <c r="C1894" s="1" t="s">
        <v>36707</v>
      </c>
      <c r="D1894" s="1" t="s">
        <v>132</v>
      </c>
      <c r="E1894" s="1" t="s">
        <v>132</v>
      </c>
      <c r="F1894" s="1" t="s">
        <v>132</v>
      </c>
      <c r="G1894" s="1" t="s">
        <v>132</v>
      </c>
      <c r="H1894" s="1" t="s">
        <v>132</v>
      </c>
      <c r="I1894" s="1" t="s">
        <v>36708</v>
      </c>
      <c r="J1894" s="1" t="s">
        <v>132</v>
      </c>
      <c r="K1894" s="1" t="s">
        <v>36709</v>
      </c>
      <c r="L1894" s="1" t="s">
        <v>132</v>
      </c>
      <c r="M1894" s="1" t="s">
        <v>36710</v>
      </c>
      <c r="N1894" s="1" t="s">
        <v>132</v>
      </c>
      <c r="O1894" s="1" t="s">
        <v>132</v>
      </c>
      <c r="P1894" s="1" t="s">
        <v>36707</v>
      </c>
      <c r="Q1894" s="1" t="s">
        <v>132</v>
      </c>
      <c r="R1894" s="1" t="s">
        <v>132</v>
      </c>
      <c r="S1894" s="1" t="s">
        <v>132</v>
      </c>
      <c r="T1894" s="1" t="s">
        <v>132</v>
      </c>
      <c r="U1894" s="1" t="s">
        <v>132</v>
      </c>
      <c r="V1894" s="1" t="s">
        <v>132</v>
      </c>
      <c r="W1894" s="1" t="s">
        <v>132</v>
      </c>
      <c r="X1894" s="1" t="s">
        <v>132</v>
      </c>
      <c r="Y1894" s="1" t="s">
        <v>132</v>
      </c>
      <c r="Z1894" s="1" t="s">
        <v>132</v>
      </c>
      <c r="AA1894" s="1" t="s">
        <v>132</v>
      </c>
      <c r="AB1894" s="1" t="s">
        <v>132</v>
      </c>
      <c r="AC1894" s="1" t="s">
        <v>36711</v>
      </c>
      <c r="AD1894" s="1" t="s">
        <v>132</v>
      </c>
      <c r="AE1894" s="1" t="s">
        <v>132</v>
      </c>
      <c r="AF1894" s="1" t="s">
        <v>36712</v>
      </c>
      <c r="AG1894" s="1" t="s">
        <v>132</v>
      </c>
      <c r="AH1894" s="1" t="s">
        <v>132</v>
      </c>
      <c r="AI1894" s="1" t="s">
        <v>132</v>
      </c>
      <c r="AJ1894" s="1" t="s">
        <v>132</v>
      </c>
      <c r="AK1894" s="1" t="s">
        <v>132</v>
      </c>
      <c r="AL1894" s="1" t="s">
        <v>132</v>
      </c>
      <c r="AM1894" s="1" t="s">
        <v>132</v>
      </c>
      <c r="AN1894" s="1" t="s">
        <v>132</v>
      </c>
    </row>
    <row r="1895" ht="15.75" customHeight="1">
      <c r="A1895" s="1" t="s">
        <v>38</v>
      </c>
      <c r="B1895" s="1" t="s">
        <v>36713</v>
      </c>
      <c r="C1895" s="1" t="s">
        <v>36714</v>
      </c>
      <c r="D1895" s="8" t="s">
        <v>36715</v>
      </c>
      <c r="E1895" s="1" t="s">
        <v>36716</v>
      </c>
      <c r="F1895" s="1" t="s">
        <v>36717</v>
      </c>
      <c r="G1895" s="1" t="s">
        <v>132</v>
      </c>
      <c r="H1895" s="1" t="s">
        <v>132</v>
      </c>
      <c r="I1895" s="1" t="s">
        <v>36718</v>
      </c>
      <c r="J1895" s="1" t="s">
        <v>132</v>
      </c>
      <c r="K1895" s="1" t="s">
        <v>36719</v>
      </c>
      <c r="L1895" s="1" t="s">
        <v>132</v>
      </c>
      <c r="M1895" s="1" t="s">
        <v>36720</v>
      </c>
      <c r="N1895" s="1" t="s">
        <v>36721</v>
      </c>
      <c r="O1895" s="1" t="s">
        <v>132</v>
      </c>
      <c r="P1895" s="1" t="s">
        <v>36722</v>
      </c>
      <c r="Q1895" s="1" t="s">
        <v>132</v>
      </c>
      <c r="R1895" s="1" t="s">
        <v>132</v>
      </c>
      <c r="S1895" s="1" t="s">
        <v>36723</v>
      </c>
      <c r="T1895" s="1" t="s">
        <v>132</v>
      </c>
      <c r="U1895" s="1" t="s">
        <v>36724</v>
      </c>
      <c r="V1895" s="1" t="s">
        <v>36725</v>
      </c>
      <c r="W1895" s="1" t="s">
        <v>132</v>
      </c>
      <c r="X1895" s="1" t="s">
        <v>36726</v>
      </c>
      <c r="Y1895" s="1" t="s">
        <v>132</v>
      </c>
      <c r="Z1895" s="1" t="s">
        <v>36727</v>
      </c>
      <c r="AA1895" s="1" t="s">
        <v>36728</v>
      </c>
      <c r="AB1895" s="1" t="s">
        <v>132</v>
      </c>
      <c r="AC1895" s="1" t="s">
        <v>36729</v>
      </c>
      <c r="AD1895" s="1" t="s">
        <v>132</v>
      </c>
      <c r="AE1895" s="1" t="s">
        <v>132</v>
      </c>
      <c r="AF1895" s="1" t="s">
        <v>36730</v>
      </c>
      <c r="AG1895" s="1" t="s">
        <v>36731</v>
      </c>
      <c r="AH1895" s="1" t="s">
        <v>132</v>
      </c>
      <c r="AI1895" s="1" t="s">
        <v>132</v>
      </c>
      <c r="AJ1895" s="1" t="s">
        <v>36732</v>
      </c>
      <c r="AK1895" s="1" t="s">
        <v>132</v>
      </c>
      <c r="AL1895" s="1" t="s">
        <v>132</v>
      </c>
      <c r="AM1895" s="1" t="s">
        <v>36733</v>
      </c>
      <c r="AN1895" s="1" t="s">
        <v>36733</v>
      </c>
    </row>
    <row r="1896" ht="15.75" customHeight="1">
      <c r="A1896" s="1" t="s">
        <v>38</v>
      </c>
      <c r="B1896" s="1" t="s">
        <v>36734</v>
      </c>
      <c r="C1896" s="1" t="s">
        <v>36735</v>
      </c>
      <c r="D1896" s="1" t="s">
        <v>132</v>
      </c>
      <c r="E1896" s="1" t="s">
        <v>36736</v>
      </c>
      <c r="F1896" s="1" t="s">
        <v>36737</v>
      </c>
      <c r="G1896" s="1" t="s">
        <v>132</v>
      </c>
      <c r="H1896" s="1" t="s">
        <v>132</v>
      </c>
      <c r="I1896" s="1" t="s">
        <v>36738</v>
      </c>
      <c r="J1896" s="1" t="s">
        <v>132</v>
      </c>
      <c r="K1896" s="1" t="s">
        <v>36739</v>
      </c>
      <c r="L1896" s="1" t="s">
        <v>132</v>
      </c>
      <c r="M1896" s="1" t="s">
        <v>132</v>
      </c>
      <c r="N1896" s="1" t="s">
        <v>36740</v>
      </c>
      <c r="O1896" s="1" t="s">
        <v>132</v>
      </c>
      <c r="P1896" s="1" t="s">
        <v>36741</v>
      </c>
      <c r="Q1896" s="1" t="s">
        <v>132</v>
      </c>
      <c r="R1896" s="1" t="s">
        <v>132</v>
      </c>
      <c r="S1896" s="1" t="s">
        <v>36742</v>
      </c>
      <c r="T1896" s="1" t="s">
        <v>132</v>
      </c>
      <c r="U1896" s="1" t="s">
        <v>132</v>
      </c>
      <c r="V1896" s="1" t="s">
        <v>132</v>
      </c>
      <c r="W1896" s="1" t="s">
        <v>132</v>
      </c>
      <c r="X1896" s="1" t="s">
        <v>36743</v>
      </c>
      <c r="Y1896" s="1" t="s">
        <v>132</v>
      </c>
      <c r="Z1896" s="1" t="s">
        <v>36744</v>
      </c>
      <c r="AA1896" s="1" t="s">
        <v>132</v>
      </c>
      <c r="AB1896" s="1" t="s">
        <v>132</v>
      </c>
      <c r="AC1896" s="1" t="s">
        <v>132</v>
      </c>
      <c r="AD1896" s="1" t="s">
        <v>132</v>
      </c>
      <c r="AE1896" s="1" t="s">
        <v>132</v>
      </c>
      <c r="AF1896" s="1" t="s">
        <v>132</v>
      </c>
      <c r="AG1896" s="1" t="s">
        <v>132</v>
      </c>
      <c r="AH1896" s="1" t="s">
        <v>132</v>
      </c>
      <c r="AI1896" s="1" t="s">
        <v>132</v>
      </c>
      <c r="AJ1896" s="1" t="s">
        <v>132</v>
      </c>
      <c r="AK1896" s="1" t="s">
        <v>132</v>
      </c>
      <c r="AL1896" s="1" t="s">
        <v>132</v>
      </c>
      <c r="AM1896" s="1" t="s">
        <v>132</v>
      </c>
      <c r="AN1896" s="1" t="s">
        <v>132</v>
      </c>
    </row>
    <row r="1897" ht="15.75" customHeight="1">
      <c r="A1897" s="1" t="s">
        <v>127</v>
      </c>
      <c r="B1897" s="1" t="s">
        <v>36745</v>
      </c>
      <c r="C1897" s="1" t="s">
        <v>36746</v>
      </c>
      <c r="D1897" s="8" t="s">
        <v>9426</v>
      </c>
      <c r="E1897" s="1" t="s">
        <v>36747</v>
      </c>
      <c r="F1897" s="1" t="s">
        <v>132</v>
      </c>
      <c r="G1897" s="1" t="s">
        <v>36746</v>
      </c>
      <c r="H1897" s="1" t="s">
        <v>36746</v>
      </c>
      <c r="I1897" s="1" t="s">
        <v>36746</v>
      </c>
      <c r="J1897" s="1" t="s">
        <v>9431</v>
      </c>
      <c r="K1897" s="1" t="s">
        <v>36746</v>
      </c>
      <c r="L1897" s="1" t="s">
        <v>36748</v>
      </c>
      <c r="M1897" s="1" t="s">
        <v>36746</v>
      </c>
      <c r="N1897" s="1" t="s">
        <v>132</v>
      </c>
      <c r="O1897" s="1" t="s">
        <v>36749</v>
      </c>
      <c r="P1897" s="1" t="s">
        <v>36746</v>
      </c>
      <c r="Q1897" s="1" t="s">
        <v>132</v>
      </c>
      <c r="R1897" s="1" t="s">
        <v>36746</v>
      </c>
      <c r="S1897" s="1" t="s">
        <v>36746</v>
      </c>
      <c r="T1897" s="8" t="s">
        <v>9438</v>
      </c>
      <c r="U1897" s="1" t="s">
        <v>9439</v>
      </c>
      <c r="V1897" s="1" t="s">
        <v>9440</v>
      </c>
      <c r="W1897" s="1" t="s">
        <v>36746</v>
      </c>
      <c r="X1897" s="1" t="s">
        <v>36746</v>
      </c>
      <c r="Y1897" s="1" t="s">
        <v>36746</v>
      </c>
      <c r="Z1897" s="1" t="s">
        <v>36746</v>
      </c>
      <c r="AA1897" s="1" t="s">
        <v>9432</v>
      </c>
      <c r="AB1897" s="1" t="s">
        <v>36746</v>
      </c>
      <c r="AC1897" s="1" t="s">
        <v>36747</v>
      </c>
      <c r="AD1897" s="1" t="s">
        <v>36746</v>
      </c>
      <c r="AE1897" s="1" t="s">
        <v>36748</v>
      </c>
      <c r="AF1897" s="1" t="s">
        <v>36746</v>
      </c>
      <c r="AG1897" s="1" t="s">
        <v>36746</v>
      </c>
      <c r="AH1897" s="1" t="s">
        <v>9450</v>
      </c>
      <c r="AI1897" s="1" t="s">
        <v>36750</v>
      </c>
      <c r="AJ1897" s="1" t="s">
        <v>132</v>
      </c>
      <c r="AK1897" s="1" t="s">
        <v>9452</v>
      </c>
      <c r="AL1897" s="1" t="s">
        <v>9453</v>
      </c>
      <c r="AM1897" s="1" t="s">
        <v>9454</v>
      </c>
      <c r="AN1897" s="1" t="s">
        <v>9454</v>
      </c>
    </row>
    <row r="1898" ht="15.75" customHeight="1">
      <c r="A1898" s="1" t="s">
        <v>38</v>
      </c>
      <c r="B1898" s="1" t="s">
        <v>36751</v>
      </c>
      <c r="C1898" s="1" t="s">
        <v>36752</v>
      </c>
      <c r="D1898" s="1" t="s">
        <v>132</v>
      </c>
      <c r="E1898" s="1" t="s">
        <v>36753</v>
      </c>
      <c r="F1898" s="1" t="s">
        <v>36754</v>
      </c>
      <c r="G1898" s="1" t="s">
        <v>132</v>
      </c>
      <c r="H1898" s="1" t="s">
        <v>132</v>
      </c>
      <c r="I1898" s="1" t="s">
        <v>36755</v>
      </c>
      <c r="J1898" s="1" t="s">
        <v>132</v>
      </c>
      <c r="K1898" s="1" t="s">
        <v>36756</v>
      </c>
      <c r="L1898" s="1" t="s">
        <v>132</v>
      </c>
      <c r="M1898" s="1" t="s">
        <v>36757</v>
      </c>
      <c r="N1898" s="1" t="s">
        <v>36758</v>
      </c>
      <c r="O1898" s="1" t="s">
        <v>132</v>
      </c>
      <c r="P1898" s="1" t="s">
        <v>36759</v>
      </c>
      <c r="Q1898" s="1" t="s">
        <v>132</v>
      </c>
      <c r="R1898" s="1" t="s">
        <v>132</v>
      </c>
      <c r="S1898" s="1" t="s">
        <v>36760</v>
      </c>
      <c r="T1898" s="1" t="s">
        <v>132</v>
      </c>
      <c r="U1898" s="1" t="s">
        <v>132</v>
      </c>
      <c r="V1898" s="1" t="s">
        <v>132</v>
      </c>
      <c r="W1898" s="1" t="s">
        <v>132</v>
      </c>
      <c r="X1898" s="1" t="s">
        <v>36761</v>
      </c>
      <c r="Y1898" s="1" t="s">
        <v>132</v>
      </c>
      <c r="Z1898" s="1" t="s">
        <v>36762</v>
      </c>
      <c r="AA1898" s="1" t="s">
        <v>132</v>
      </c>
      <c r="AB1898" s="1" t="s">
        <v>132</v>
      </c>
      <c r="AC1898" s="1" t="s">
        <v>132</v>
      </c>
      <c r="AD1898" s="1" t="s">
        <v>132</v>
      </c>
      <c r="AE1898" s="1" t="s">
        <v>132</v>
      </c>
      <c r="AF1898" s="1" t="s">
        <v>132</v>
      </c>
      <c r="AG1898" s="1" t="s">
        <v>132</v>
      </c>
      <c r="AH1898" s="1" t="s">
        <v>132</v>
      </c>
      <c r="AI1898" s="1" t="s">
        <v>132</v>
      </c>
      <c r="AJ1898" s="1" t="s">
        <v>132</v>
      </c>
      <c r="AK1898" s="1" t="s">
        <v>132</v>
      </c>
      <c r="AL1898" s="1" t="s">
        <v>132</v>
      </c>
      <c r="AM1898" s="1" t="s">
        <v>132</v>
      </c>
      <c r="AN1898" s="1" t="s">
        <v>132</v>
      </c>
    </row>
    <row r="1899" ht="15.75" customHeight="1">
      <c r="A1899" s="1" t="s">
        <v>38</v>
      </c>
      <c r="B1899" s="1" t="s">
        <v>36763</v>
      </c>
      <c r="C1899" s="1" t="s">
        <v>36764</v>
      </c>
      <c r="D1899" s="8" t="s">
        <v>36765</v>
      </c>
      <c r="E1899" s="1" t="s">
        <v>36766</v>
      </c>
      <c r="F1899" s="1" t="s">
        <v>36767</v>
      </c>
      <c r="G1899" s="1" t="s">
        <v>132</v>
      </c>
      <c r="H1899" s="1" t="s">
        <v>132</v>
      </c>
      <c r="I1899" s="1" t="s">
        <v>36768</v>
      </c>
      <c r="J1899" s="1" t="s">
        <v>132</v>
      </c>
      <c r="K1899" s="1" t="s">
        <v>36769</v>
      </c>
      <c r="L1899" s="1" t="s">
        <v>132</v>
      </c>
      <c r="M1899" s="1" t="s">
        <v>36770</v>
      </c>
      <c r="N1899" s="1" t="s">
        <v>36771</v>
      </c>
      <c r="O1899" s="1" t="s">
        <v>132</v>
      </c>
      <c r="P1899" s="1" t="s">
        <v>36772</v>
      </c>
      <c r="Q1899" s="1" t="s">
        <v>36773</v>
      </c>
      <c r="R1899" s="1" t="s">
        <v>132</v>
      </c>
      <c r="S1899" s="1" t="s">
        <v>36774</v>
      </c>
      <c r="T1899" s="1" t="s">
        <v>132</v>
      </c>
      <c r="U1899" s="1" t="s">
        <v>36775</v>
      </c>
      <c r="V1899" s="1" t="s">
        <v>36776</v>
      </c>
      <c r="W1899" s="1" t="s">
        <v>132</v>
      </c>
      <c r="X1899" s="1" t="s">
        <v>36777</v>
      </c>
      <c r="Y1899" s="1" t="s">
        <v>132</v>
      </c>
      <c r="Z1899" s="1" t="s">
        <v>36778</v>
      </c>
      <c r="AA1899" s="1" t="s">
        <v>36779</v>
      </c>
      <c r="AB1899" s="1" t="s">
        <v>132</v>
      </c>
      <c r="AC1899" s="1" t="s">
        <v>36780</v>
      </c>
      <c r="AD1899" s="1" t="s">
        <v>36781</v>
      </c>
      <c r="AE1899" s="1" t="s">
        <v>132</v>
      </c>
      <c r="AF1899" s="1" t="s">
        <v>36782</v>
      </c>
      <c r="AG1899" s="1" t="s">
        <v>36783</v>
      </c>
      <c r="AH1899" s="1" t="s">
        <v>132</v>
      </c>
      <c r="AI1899" s="1" t="s">
        <v>132</v>
      </c>
      <c r="AJ1899" s="1" t="s">
        <v>36785</v>
      </c>
      <c r="AK1899" s="1" t="s">
        <v>36786</v>
      </c>
      <c r="AL1899" s="1" t="s">
        <v>132</v>
      </c>
      <c r="AM1899" s="1" t="s">
        <v>36787</v>
      </c>
      <c r="AN1899" s="1" t="s">
        <v>36787</v>
      </c>
    </row>
    <row r="1900" ht="15.75" customHeight="1">
      <c r="A1900" s="1" t="s">
        <v>38</v>
      </c>
      <c r="B1900" s="1" t="s">
        <v>36788</v>
      </c>
      <c r="C1900" s="1" t="s">
        <v>36789</v>
      </c>
      <c r="D1900" s="1" t="s">
        <v>132</v>
      </c>
      <c r="E1900" s="1" t="s">
        <v>132</v>
      </c>
      <c r="F1900" s="1" t="s">
        <v>132</v>
      </c>
      <c r="G1900" s="1" t="s">
        <v>132</v>
      </c>
      <c r="H1900" s="1" t="s">
        <v>132</v>
      </c>
      <c r="I1900" s="1" t="s">
        <v>36789</v>
      </c>
      <c r="J1900" s="1" t="s">
        <v>132</v>
      </c>
      <c r="K1900" s="1" t="s">
        <v>36789</v>
      </c>
      <c r="L1900" s="1" t="s">
        <v>132</v>
      </c>
      <c r="M1900" s="1" t="s">
        <v>36789</v>
      </c>
      <c r="N1900" s="1" t="s">
        <v>132</v>
      </c>
      <c r="O1900" s="1" t="s">
        <v>132</v>
      </c>
      <c r="P1900" s="1" t="s">
        <v>36789</v>
      </c>
      <c r="Q1900" s="1" t="s">
        <v>132</v>
      </c>
      <c r="R1900" s="1" t="s">
        <v>132</v>
      </c>
      <c r="S1900" s="1" t="s">
        <v>132</v>
      </c>
      <c r="T1900" s="1" t="s">
        <v>132</v>
      </c>
      <c r="U1900" s="1" t="s">
        <v>132</v>
      </c>
      <c r="V1900" s="1" t="s">
        <v>132</v>
      </c>
      <c r="W1900" s="1" t="s">
        <v>132</v>
      </c>
      <c r="X1900" s="1" t="s">
        <v>132</v>
      </c>
      <c r="Y1900" s="1" t="s">
        <v>132</v>
      </c>
      <c r="Z1900" s="1" t="s">
        <v>132</v>
      </c>
      <c r="AA1900" s="1" t="s">
        <v>132</v>
      </c>
      <c r="AB1900" s="1" t="s">
        <v>132</v>
      </c>
      <c r="AC1900" s="1" t="s">
        <v>36790</v>
      </c>
      <c r="AD1900" s="1" t="s">
        <v>132</v>
      </c>
      <c r="AE1900" s="1" t="s">
        <v>132</v>
      </c>
      <c r="AF1900" s="1" t="s">
        <v>36791</v>
      </c>
      <c r="AG1900" s="1" t="s">
        <v>132</v>
      </c>
      <c r="AH1900" s="1" t="s">
        <v>132</v>
      </c>
      <c r="AI1900" s="1" t="s">
        <v>132</v>
      </c>
      <c r="AJ1900" s="1" t="s">
        <v>132</v>
      </c>
      <c r="AK1900" s="1" t="s">
        <v>132</v>
      </c>
      <c r="AL1900" s="1" t="s">
        <v>132</v>
      </c>
      <c r="AM1900" s="1" t="s">
        <v>132</v>
      </c>
      <c r="AN1900" s="1" t="s">
        <v>132</v>
      </c>
    </row>
    <row r="1901" ht="15.75" customHeight="1">
      <c r="A1901" s="1" t="s">
        <v>38</v>
      </c>
      <c r="B1901" s="1" t="s">
        <v>36792</v>
      </c>
      <c r="C1901" s="1" t="s">
        <v>36793</v>
      </c>
      <c r="D1901" s="8" t="s">
        <v>36794</v>
      </c>
      <c r="E1901" s="1" t="s">
        <v>36795</v>
      </c>
      <c r="F1901" s="1" t="s">
        <v>36796</v>
      </c>
      <c r="G1901" s="1" t="s">
        <v>132</v>
      </c>
      <c r="H1901" s="1" t="s">
        <v>132</v>
      </c>
      <c r="I1901" s="1" t="s">
        <v>36797</v>
      </c>
      <c r="J1901" s="1" t="s">
        <v>132</v>
      </c>
      <c r="K1901" s="1" t="s">
        <v>36798</v>
      </c>
      <c r="L1901" s="1" t="s">
        <v>132</v>
      </c>
      <c r="M1901" s="1" t="s">
        <v>36799</v>
      </c>
      <c r="N1901" s="1" t="s">
        <v>36800</v>
      </c>
      <c r="O1901" s="1" t="s">
        <v>132</v>
      </c>
      <c r="P1901" s="1" t="s">
        <v>36801</v>
      </c>
      <c r="Q1901" s="1" t="s">
        <v>36802</v>
      </c>
      <c r="R1901" s="1" t="s">
        <v>132</v>
      </c>
      <c r="S1901" s="1" t="s">
        <v>36803</v>
      </c>
      <c r="T1901" s="1" t="s">
        <v>132</v>
      </c>
      <c r="U1901" s="1" t="s">
        <v>36804</v>
      </c>
      <c r="V1901" s="1" t="s">
        <v>36805</v>
      </c>
      <c r="W1901" s="1" t="s">
        <v>132</v>
      </c>
      <c r="X1901" s="1" t="s">
        <v>36806</v>
      </c>
      <c r="Y1901" s="1" t="s">
        <v>132</v>
      </c>
      <c r="Z1901" s="1" t="s">
        <v>36807</v>
      </c>
      <c r="AA1901" s="1" t="s">
        <v>36808</v>
      </c>
      <c r="AB1901" s="1" t="s">
        <v>132</v>
      </c>
      <c r="AC1901" s="1" t="s">
        <v>36809</v>
      </c>
      <c r="AD1901" s="1" t="s">
        <v>36810</v>
      </c>
      <c r="AE1901" s="1" t="s">
        <v>132</v>
      </c>
      <c r="AF1901" s="1" t="s">
        <v>36811</v>
      </c>
      <c r="AG1901" s="1" t="s">
        <v>36812</v>
      </c>
      <c r="AH1901" s="1" t="s">
        <v>132</v>
      </c>
      <c r="AI1901" s="1" t="s">
        <v>132</v>
      </c>
      <c r="AJ1901" s="1" t="s">
        <v>36813</v>
      </c>
      <c r="AK1901" s="1" t="s">
        <v>36814</v>
      </c>
      <c r="AL1901" s="1" t="s">
        <v>132</v>
      </c>
      <c r="AM1901" s="1" t="s">
        <v>36815</v>
      </c>
      <c r="AN1901" s="1" t="s">
        <v>36815</v>
      </c>
    </row>
    <row r="1902" ht="15.75" customHeight="1">
      <c r="A1902" s="1" t="s">
        <v>38</v>
      </c>
      <c r="B1902" s="1" t="s">
        <v>36816</v>
      </c>
      <c r="C1902" s="1" t="s">
        <v>36817</v>
      </c>
      <c r="D1902" s="1" t="s">
        <v>132</v>
      </c>
      <c r="E1902" s="1" t="s">
        <v>36818</v>
      </c>
      <c r="F1902" s="1" t="s">
        <v>132</v>
      </c>
      <c r="G1902" s="1" t="s">
        <v>132</v>
      </c>
      <c r="H1902" s="1" t="s">
        <v>132</v>
      </c>
      <c r="I1902" s="1" t="s">
        <v>36819</v>
      </c>
      <c r="J1902" s="1" t="s">
        <v>132</v>
      </c>
      <c r="K1902" s="1" t="s">
        <v>36820</v>
      </c>
      <c r="L1902" s="1" t="s">
        <v>132</v>
      </c>
      <c r="M1902" s="1" t="s">
        <v>132</v>
      </c>
      <c r="N1902" s="1" t="s">
        <v>36821</v>
      </c>
      <c r="O1902" s="1" t="s">
        <v>132</v>
      </c>
      <c r="P1902" s="1" t="s">
        <v>36822</v>
      </c>
      <c r="Q1902" s="1" t="s">
        <v>132</v>
      </c>
      <c r="R1902" s="1" t="s">
        <v>132</v>
      </c>
      <c r="S1902" s="1" t="s">
        <v>36823</v>
      </c>
      <c r="T1902" s="1" t="s">
        <v>132</v>
      </c>
      <c r="U1902" s="1" t="s">
        <v>132</v>
      </c>
      <c r="V1902" s="1" t="s">
        <v>132</v>
      </c>
      <c r="W1902" s="1" t="s">
        <v>132</v>
      </c>
      <c r="X1902" s="1" t="s">
        <v>36824</v>
      </c>
      <c r="Y1902" s="1" t="s">
        <v>132</v>
      </c>
      <c r="Z1902" s="1" t="s">
        <v>36825</v>
      </c>
      <c r="AA1902" s="1" t="s">
        <v>132</v>
      </c>
      <c r="AB1902" s="1" t="s">
        <v>132</v>
      </c>
      <c r="AC1902" s="1" t="s">
        <v>132</v>
      </c>
      <c r="AD1902" s="1" t="s">
        <v>132</v>
      </c>
      <c r="AE1902" s="1" t="s">
        <v>132</v>
      </c>
      <c r="AF1902" s="1" t="s">
        <v>132</v>
      </c>
      <c r="AG1902" s="1" t="s">
        <v>132</v>
      </c>
      <c r="AH1902" s="1" t="s">
        <v>132</v>
      </c>
      <c r="AI1902" s="1" t="s">
        <v>132</v>
      </c>
      <c r="AJ1902" s="1" t="s">
        <v>132</v>
      </c>
      <c r="AK1902" s="1" t="s">
        <v>132</v>
      </c>
      <c r="AL1902" s="1" t="s">
        <v>132</v>
      </c>
      <c r="AM1902" s="1" t="s">
        <v>132</v>
      </c>
      <c r="AN1902" s="1" t="s">
        <v>132</v>
      </c>
    </row>
    <row r="1903" ht="15.75" customHeight="1">
      <c r="A1903" s="1" t="s">
        <v>127</v>
      </c>
      <c r="B1903" s="1" t="s">
        <v>36826</v>
      </c>
      <c r="C1903" s="1" t="s">
        <v>36827</v>
      </c>
      <c r="D1903" s="8" t="s">
        <v>36828</v>
      </c>
      <c r="E1903" s="1" t="s">
        <v>36829</v>
      </c>
      <c r="F1903" s="1" t="s">
        <v>132</v>
      </c>
      <c r="G1903" s="1" t="s">
        <v>36830</v>
      </c>
      <c r="H1903" s="1" t="s">
        <v>36831</v>
      </c>
      <c r="I1903" s="1" t="s">
        <v>36832</v>
      </c>
      <c r="J1903" s="1" t="s">
        <v>36833</v>
      </c>
      <c r="K1903" s="1" t="s">
        <v>36834</v>
      </c>
      <c r="L1903" s="1" t="s">
        <v>36835</v>
      </c>
      <c r="M1903" s="1" t="s">
        <v>36836</v>
      </c>
      <c r="N1903" s="1" t="s">
        <v>132</v>
      </c>
      <c r="O1903" s="1" t="s">
        <v>36837</v>
      </c>
      <c r="P1903" s="1" t="s">
        <v>36838</v>
      </c>
      <c r="Q1903" s="1" t="s">
        <v>132</v>
      </c>
      <c r="R1903" s="1" t="s">
        <v>36839</v>
      </c>
      <c r="S1903" s="1" t="s">
        <v>36840</v>
      </c>
      <c r="T1903" s="8" t="s">
        <v>36841</v>
      </c>
      <c r="U1903" s="1" t="s">
        <v>36842</v>
      </c>
      <c r="V1903" s="1" t="s">
        <v>36843</v>
      </c>
      <c r="W1903" s="1" t="s">
        <v>36839</v>
      </c>
      <c r="X1903" s="1" t="s">
        <v>36844</v>
      </c>
      <c r="Y1903" s="1" t="s">
        <v>36845</v>
      </c>
      <c r="Z1903" s="1" t="s">
        <v>36846</v>
      </c>
      <c r="AA1903" s="1" t="s">
        <v>36847</v>
      </c>
      <c r="AB1903" s="1" t="s">
        <v>36848</v>
      </c>
      <c r="AC1903" s="1" t="s">
        <v>36849</v>
      </c>
      <c r="AD1903" s="1" t="s">
        <v>36850</v>
      </c>
      <c r="AE1903" s="1" t="s">
        <v>36851</v>
      </c>
      <c r="AF1903" s="1" t="s">
        <v>36852</v>
      </c>
      <c r="AG1903" s="1" t="s">
        <v>36853</v>
      </c>
      <c r="AH1903" s="1" t="s">
        <v>36854</v>
      </c>
      <c r="AI1903" s="1" t="s">
        <v>36855</v>
      </c>
      <c r="AJ1903" s="1" t="s">
        <v>132</v>
      </c>
      <c r="AK1903" s="1" t="s">
        <v>36856</v>
      </c>
      <c r="AL1903" s="1" t="s">
        <v>36857</v>
      </c>
      <c r="AM1903" s="1" t="s">
        <v>36858</v>
      </c>
      <c r="AN1903" s="1" t="s">
        <v>36858</v>
      </c>
    </row>
    <row r="1904" ht="15.75" customHeight="1">
      <c r="A1904" s="1" t="s">
        <v>38</v>
      </c>
      <c r="B1904" s="1" t="s">
        <v>36859</v>
      </c>
      <c r="C1904" s="1" t="s">
        <v>4396</v>
      </c>
      <c r="D1904" s="8" t="s">
        <v>24202</v>
      </c>
      <c r="E1904" s="1" t="s">
        <v>36860</v>
      </c>
      <c r="F1904" s="1" t="s">
        <v>36861</v>
      </c>
      <c r="G1904" s="1" t="s">
        <v>132</v>
      </c>
      <c r="H1904" s="1" t="s">
        <v>132</v>
      </c>
      <c r="I1904" s="1" t="s">
        <v>4396</v>
      </c>
      <c r="J1904" s="1" t="s">
        <v>132</v>
      </c>
      <c r="K1904" s="1" t="s">
        <v>4396</v>
      </c>
      <c r="L1904" s="1" t="s">
        <v>132</v>
      </c>
      <c r="M1904" s="1" t="s">
        <v>4396</v>
      </c>
      <c r="N1904" s="1" t="s">
        <v>4396</v>
      </c>
      <c r="O1904" s="1" t="s">
        <v>132</v>
      </c>
      <c r="P1904" s="1" t="s">
        <v>36862</v>
      </c>
      <c r="Q1904" s="1" t="s">
        <v>36863</v>
      </c>
      <c r="R1904" s="1" t="s">
        <v>132</v>
      </c>
      <c r="S1904" s="1" t="s">
        <v>4396</v>
      </c>
      <c r="T1904" s="1" t="s">
        <v>132</v>
      </c>
      <c r="U1904" s="1" t="s">
        <v>4396</v>
      </c>
      <c r="V1904" s="1" t="s">
        <v>24889</v>
      </c>
      <c r="W1904" s="1" t="s">
        <v>132</v>
      </c>
      <c r="X1904" s="1" t="s">
        <v>36864</v>
      </c>
      <c r="Y1904" s="1" t="s">
        <v>132</v>
      </c>
      <c r="Z1904" s="1" t="s">
        <v>36865</v>
      </c>
      <c r="AA1904" s="1" t="s">
        <v>4396</v>
      </c>
      <c r="AB1904" s="1" t="s">
        <v>132</v>
      </c>
      <c r="AC1904" s="1" t="s">
        <v>36866</v>
      </c>
      <c r="AD1904" s="1" t="s">
        <v>4396</v>
      </c>
      <c r="AE1904" s="1" t="s">
        <v>132</v>
      </c>
      <c r="AF1904" s="1" t="s">
        <v>36867</v>
      </c>
      <c r="AG1904" s="1" t="s">
        <v>36865</v>
      </c>
      <c r="AH1904" s="1" t="s">
        <v>132</v>
      </c>
      <c r="AI1904" s="1" t="s">
        <v>132</v>
      </c>
      <c r="AJ1904" s="1" t="s">
        <v>36868</v>
      </c>
      <c r="AK1904" s="1" t="s">
        <v>4396</v>
      </c>
      <c r="AL1904" s="1" t="s">
        <v>132</v>
      </c>
      <c r="AM1904" s="1" t="s">
        <v>2256</v>
      </c>
      <c r="AN1904" s="1" t="s">
        <v>2256</v>
      </c>
    </row>
    <row r="1905" ht="15.75" customHeight="1">
      <c r="A1905" s="1" t="s">
        <v>38</v>
      </c>
      <c r="B1905" s="1" t="s">
        <v>36869</v>
      </c>
      <c r="C1905" s="1" t="s">
        <v>36870</v>
      </c>
      <c r="D1905" s="8" t="s">
        <v>36871</v>
      </c>
      <c r="E1905" s="1" t="s">
        <v>36872</v>
      </c>
      <c r="F1905" s="1" t="s">
        <v>36873</v>
      </c>
      <c r="G1905" s="1" t="s">
        <v>132</v>
      </c>
      <c r="H1905" s="1" t="s">
        <v>132</v>
      </c>
      <c r="I1905" s="1" t="s">
        <v>36874</v>
      </c>
      <c r="J1905" s="1" t="s">
        <v>132</v>
      </c>
      <c r="K1905" s="1" t="s">
        <v>36875</v>
      </c>
      <c r="L1905" s="1" t="s">
        <v>132</v>
      </c>
      <c r="M1905" s="1" t="s">
        <v>36876</v>
      </c>
      <c r="N1905" s="1" t="s">
        <v>36877</v>
      </c>
      <c r="O1905" s="1" t="s">
        <v>132</v>
      </c>
      <c r="P1905" s="1" t="s">
        <v>36878</v>
      </c>
      <c r="Q1905" s="1" t="s">
        <v>132</v>
      </c>
      <c r="R1905" s="1" t="s">
        <v>132</v>
      </c>
      <c r="S1905" s="1" t="s">
        <v>36879</v>
      </c>
      <c r="T1905" s="1" t="s">
        <v>132</v>
      </c>
      <c r="U1905" s="1" t="s">
        <v>36880</v>
      </c>
      <c r="V1905" s="1" t="s">
        <v>132</v>
      </c>
      <c r="W1905" s="1" t="s">
        <v>132</v>
      </c>
      <c r="X1905" s="1" t="s">
        <v>36881</v>
      </c>
      <c r="Y1905" s="1" t="s">
        <v>132</v>
      </c>
      <c r="Z1905" s="1" t="s">
        <v>36882</v>
      </c>
      <c r="AA1905" s="1" t="s">
        <v>132</v>
      </c>
      <c r="AB1905" s="1" t="s">
        <v>132</v>
      </c>
      <c r="AC1905" s="1" t="s">
        <v>36883</v>
      </c>
      <c r="AD1905" s="1" t="s">
        <v>132</v>
      </c>
      <c r="AE1905" s="1" t="s">
        <v>132</v>
      </c>
      <c r="AF1905" s="1" t="s">
        <v>36884</v>
      </c>
      <c r="AG1905" s="1" t="s">
        <v>36885</v>
      </c>
      <c r="AH1905" s="1" t="s">
        <v>132</v>
      </c>
      <c r="AI1905" s="1" t="s">
        <v>132</v>
      </c>
      <c r="AJ1905" s="1" t="s">
        <v>36886</v>
      </c>
      <c r="AK1905" s="1" t="s">
        <v>132</v>
      </c>
      <c r="AL1905" s="1" t="s">
        <v>132</v>
      </c>
      <c r="AM1905" s="1" t="s">
        <v>36887</v>
      </c>
      <c r="AN1905" s="1" t="s">
        <v>36887</v>
      </c>
    </row>
    <row r="1906" ht="15.75" customHeight="1">
      <c r="A1906" s="1" t="s">
        <v>127</v>
      </c>
      <c r="B1906" s="1" t="s">
        <v>36888</v>
      </c>
      <c r="C1906" s="1" t="s">
        <v>36889</v>
      </c>
      <c r="D1906" s="8" t="s">
        <v>36890</v>
      </c>
      <c r="E1906" s="1" t="s">
        <v>36891</v>
      </c>
      <c r="F1906" s="1" t="s">
        <v>132</v>
      </c>
      <c r="G1906" s="1" t="s">
        <v>36892</v>
      </c>
      <c r="H1906" s="1" t="s">
        <v>36893</v>
      </c>
      <c r="I1906" s="1" t="s">
        <v>36894</v>
      </c>
      <c r="J1906" s="1" t="s">
        <v>36895</v>
      </c>
      <c r="K1906" s="1" t="s">
        <v>36896</v>
      </c>
      <c r="L1906" s="1" t="s">
        <v>36897</v>
      </c>
      <c r="M1906" s="1" t="s">
        <v>36898</v>
      </c>
      <c r="N1906" s="1" t="s">
        <v>132</v>
      </c>
      <c r="O1906" s="1" t="s">
        <v>36899</v>
      </c>
      <c r="P1906" s="1" t="s">
        <v>36900</v>
      </c>
      <c r="Q1906" s="1" t="s">
        <v>132</v>
      </c>
      <c r="R1906" s="1" t="s">
        <v>36901</v>
      </c>
      <c r="S1906" s="1" t="s">
        <v>36902</v>
      </c>
      <c r="T1906" s="8" t="s">
        <v>36903</v>
      </c>
      <c r="U1906" s="1" t="s">
        <v>36904</v>
      </c>
      <c r="V1906" s="1" t="s">
        <v>36905</v>
      </c>
      <c r="W1906" s="1" t="s">
        <v>36906</v>
      </c>
      <c r="X1906" s="1" t="s">
        <v>36907</v>
      </c>
      <c r="Y1906" s="1" t="s">
        <v>36908</v>
      </c>
      <c r="Z1906" s="1" t="s">
        <v>36909</v>
      </c>
      <c r="AA1906" s="1" t="s">
        <v>36910</v>
      </c>
      <c r="AB1906" s="1" t="s">
        <v>36911</v>
      </c>
      <c r="AC1906" s="1" t="s">
        <v>36912</v>
      </c>
      <c r="AD1906" s="1" t="s">
        <v>36913</v>
      </c>
      <c r="AE1906" s="1" t="s">
        <v>36914</v>
      </c>
      <c r="AF1906" s="1" t="s">
        <v>36915</v>
      </c>
      <c r="AG1906" s="1" t="s">
        <v>36916</v>
      </c>
      <c r="AH1906" s="1" t="s">
        <v>36917</v>
      </c>
      <c r="AI1906" s="1" t="s">
        <v>36918</v>
      </c>
      <c r="AJ1906" s="1" t="s">
        <v>132</v>
      </c>
      <c r="AK1906" s="1" t="s">
        <v>36919</v>
      </c>
      <c r="AL1906" s="1" t="s">
        <v>36920</v>
      </c>
      <c r="AM1906" s="1" t="s">
        <v>36921</v>
      </c>
      <c r="AN1906" s="1" t="s">
        <v>36921</v>
      </c>
    </row>
    <row r="1907" ht="15.75" customHeight="1">
      <c r="A1907" s="1" t="s">
        <v>38</v>
      </c>
      <c r="B1907" s="1" t="s">
        <v>36922</v>
      </c>
      <c r="C1907" s="1" t="s">
        <v>36923</v>
      </c>
      <c r="D1907" s="1" t="s">
        <v>132</v>
      </c>
      <c r="E1907" s="1" t="s">
        <v>132</v>
      </c>
      <c r="F1907" s="1" t="s">
        <v>132</v>
      </c>
      <c r="G1907" s="1" t="s">
        <v>132</v>
      </c>
      <c r="H1907" s="1" t="s">
        <v>132</v>
      </c>
      <c r="I1907" s="1" t="s">
        <v>36923</v>
      </c>
      <c r="J1907" s="1" t="s">
        <v>132</v>
      </c>
      <c r="K1907" s="1" t="s">
        <v>36923</v>
      </c>
      <c r="L1907" s="1" t="s">
        <v>132</v>
      </c>
      <c r="M1907" s="1" t="s">
        <v>36923</v>
      </c>
      <c r="N1907" s="1" t="s">
        <v>132</v>
      </c>
      <c r="O1907" s="1" t="s">
        <v>132</v>
      </c>
      <c r="P1907" s="1" t="s">
        <v>36923</v>
      </c>
      <c r="Q1907" s="1" t="s">
        <v>132</v>
      </c>
      <c r="R1907" s="1" t="s">
        <v>132</v>
      </c>
      <c r="S1907" s="1" t="s">
        <v>132</v>
      </c>
      <c r="T1907" s="1" t="s">
        <v>132</v>
      </c>
      <c r="U1907" s="1" t="s">
        <v>132</v>
      </c>
      <c r="V1907" s="1" t="s">
        <v>132</v>
      </c>
      <c r="W1907" s="1" t="s">
        <v>132</v>
      </c>
      <c r="X1907" s="1" t="s">
        <v>132</v>
      </c>
      <c r="Y1907" s="1" t="s">
        <v>132</v>
      </c>
      <c r="Z1907" s="1" t="s">
        <v>132</v>
      </c>
      <c r="AA1907" s="1" t="s">
        <v>132</v>
      </c>
      <c r="AB1907" s="1" t="s">
        <v>132</v>
      </c>
      <c r="AC1907" s="1" t="s">
        <v>36924</v>
      </c>
      <c r="AD1907" s="1" t="s">
        <v>132</v>
      </c>
      <c r="AE1907" s="1" t="s">
        <v>132</v>
      </c>
      <c r="AF1907" s="1" t="s">
        <v>36925</v>
      </c>
      <c r="AG1907" s="1" t="s">
        <v>132</v>
      </c>
      <c r="AH1907" s="1" t="s">
        <v>132</v>
      </c>
      <c r="AI1907" s="1" t="s">
        <v>132</v>
      </c>
      <c r="AJ1907" s="1" t="s">
        <v>132</v>
      </c>
      <c r="AK1907" s="1" t="s">
        <v>132</v>
      </c>
      <c r="AL1907" s="1" t="s">
        <v>132</v>
      </c>
      <c r="AM1907" s="1" t="s">
        <v>132</v>
      </c>
      <c r="AN1907" s="1" t="s">
        <v>132</v>
      </c>
    </row>
    <row r="1908" ht="15.75" customHeight="1">
      <c r="A1908" s="1" t="s">
        <v>38</v>
      </c>
      <c r="B1908" s="1" t="s">
        <v>36926</v>
      </c>
      <c r="C1908" s="1" t="s">
        <v>36927</v>
      </c>
      <c r="D1908" s="1" t="s">
        <v>132</v>
      </c>
      <c r="E1908" s="1" t="s">
        <v>132</v>
      </c>
      <c r="F1908" s="1" t="s">
        <v>132</v>
      </c>
      <c r="G1908" s="1" t="s">
        <v>132</v>
      </c>
      <c r="H1908" s="1" t="s">
        <v>132</v>
      </c>
      <c r="I1908" s="1" t="s">
        <v>36927</v>
      </c>
      <c r="J1908" s="1" t="s">
        <v>132</v>
      </c>
      <c r="K1908" s="1" t="s">
        <v>36928</v>
      </c>
      <c r="L1908" s="1" t="s">
        <v>132</v>
      </c>
      <c r="M1908" s="1" t="s">
        <v>36929</v>
      </c>
      <c r="N1908" s="1" t="s">
        <v>132</v>
      </c>
      <c r="O1908" s="1" t="s">
        <v>132</v>
      </c>
      <c r="P1908" s="1" t="s">
        <v>36927</v>
      </c>
      <c r="Q1908" s="1" t="s">
        <v>132</v>
      </c>
      <c r="R1908" s="1" t="s">
        <v>132</v>
      </c>
      <c r="S1908" s="1" t="s">
        <v>132</v>
      </c>
      <c r="T1908" s="1" t="s">
        <v>132</v>
      </c>
      <c r="U1908" s="1" t="s">
        <v>132</v>
      </c>
      <c r="V1908" s="1" t="s">
        <v>132</v>
      </c>
      <c r="W1908" s="1" t="s">
        <v>132</v>
      </c>
      <c r="X1908" s="1" t="s">
        <v>132</v>
      </c>
      <c r="Y1908" s="1" t="s">
        <v>132</v>
      </c>
      <c r="Z1908" s="1" t="s">
        <v>132</v>
      </c>
      <c r="AA1908" s="1" t="s">
        <v>132</v>
      </c>
      <c r="AB1908" s="1" t="s">
        <v>132</v>
      </c>
      <c r="AC1908" s="1" t="s">
        <v>36930</v>
      </c>
      <c r="AD1908" s="1" t="s">
        <v>132</v>
      </c>
      <c r="AE1908" s="1" t="s">
        <v>132</v>
      </c>
      <c r="AF1908" s="1" t="s">
        <v>36927</v>
      </c>
      <c r="AG1908" s="1" t="s">
        <v>132</v>
      </c>
      <c r="AH1908" s="1" t="s">
        <v>132</v>
      </c>
      <c r="AI1908" s="1" t="s">
        <v>132</v>
      </c>
      <c r="AJ1908" s="1" t="s">
        <v>132</v>
      </c>
      <c r="AK1908" s="1" t="s">
        <v>132</v>
      </c>
      <c r="AL1908" s="1" t="s">
        <v>132</v>
      </c>
      <c r="AM1908" s="1" t="s">
        <v>132</v>
      </c>
      <c r="AN1908" s="1" t="s">
        <v>132</v>
      </c>
    </row>
    <row r="1909" ht="15.75" customHeight="1">
      <c r="A1909" s="1" t="s">
        <v>127</v>
      </c>
      <c r="B1909" s="1" t="s">
        <v>36931</v>
      </c>
      <c r="C1909" s="1" t="s">
        <v>36932</v>
      </c>
      <c r="D1909" s="8" t="s">
        <v>36933</v>
      </c>
      <c r="E1909" s="1" t="s">
        <v>36934</v>
      </c>
      <c r="F1909" s="1" t="s">
        <v>132</v>
      </c>
      <c r="G1909" s="1" t="s">
        <v>36935</v>
      </c>
      <c r="H1909" s="1" t="s">
        <v>36936</v>
      </c>
      <c r="I1909" s="1" t="s">
        <v>36937</v>
      </c>
      <c r="J1909" s="1" t="s">
        <v>36938</v>
      </c>
      <c r="K1909" s="1" t="s">
        <v>36939</v>
      </c>
      <c r="L1909" s="1" t="s">
        <v>36940</v>
      </c>
      <c r="M1909" s="1" t="s">
        <v>36941</v>
      </c>
      <c r="N1909" s="1" t="s">
        <v>132</v>
      </c>
      <c r="O1909" s="1" t="s">
        <v>36942</v>
      </c>
      <c r="P1909" s="1" t="s">
        <v>36943</v>
      </c>
      <c r="Q1909" s="1" t="s">
        <v>132</v>
      </c>
      <c r="R1909" s="1" t="s">
        <v>36944</v>
      </c>
      <c r="S1909" s="1" t="s">
        <v>36945</v>
      </c>
      <c r="T1909" s="8" t="s">
        <v>36946</v>
      </c>
      <c r="U1909" s="1" t="s">
        <v>36947</v>
      </c>
      <c r="V1909" s="1" t="s">
        <v>36948</v>
      </c>
      <c r="W1909" s="1" t="s">
        <v>36949</v>
      </c>
      <c r="X1909" s="1" t="s">
        <v>36950</v>
      </c>
      <c r="Y1909" s="1" t="s">
        <v>36951</v>
      </c>
      <c r="Z1909" s="1" t="s">
        <v>36952</v>
      </c>
      <c r="AA1909" s="1" t="s">
        <v>36953</v>
      </c>
      <c r="AB1909" s="1" t="s">
        <v>36954</v>
      </c>
      <c r="AC1909" s="1" t="s">
        <v>36955</v>
      </c>
      <c r="AD1909" s="1" t="s">
        <v>36956</v>
      </c>
      <c r="AE1909" s="1" t="s">
        <v>36957</v>
      </c>
      <c r="AF1909" s="1" t="s">
        <v>36958</v>
      </c>
      <c r="AG1909" s="1" t="s">
        <v>36959</v>
      </c>
      <c r="AH1909" s="1" t="s">
        <v>36960</v>
      </c>
      <c r="AI1909" s="1" t="s">
        <v>36961</v>
      </c>
      <c r="AJ1909" s="1" t="s">
        <v>132</v>
      </c>
      <c r="AK1909" s="1" t="s">
        <v>36962</v>
      </c>
      <c r="AL1909" s="1" t="s">
        <v>36963</v>
      </c>
      <c r="AM1909" s="1" t="s">
        <v>36964</v>
      </c>
      <c r="AN1909" s="1" t="s">
        <v>36964</v>
      </c>
    </row>
    <row r="1910" ht="15.75" customHeight="1">
      <c r="A1910" s="1" t="s">
        <v>38</v>
      </c>
      <c r="B1910" s="1" t="s">
        <v>36965</v>
      </c>
      <c r="C1910" s="1" t="s">
        <v>36966</v>
      </c>
      <c r="D1910" s="8" t="s">
        <v>36967</v>
      </c>
      <c r="E1910" s="1" t="s">
        <v>36968</v>
      </c>
      <c r="F1910" s="1" t="s">
        <v>36969</v>
      </c>
      <c r="G1910" s="1" t="s">
        <v>132</v>
      </c>
      <c r="H1910" s="1" t="s">
        <v>132</v>
      </c>
      <c r="I1910" s="1" t="s">
        <v>36970</v>
      </c>
      <c r="J1910" s="1" t="s">
        <v>132</v>
      </c>
      <c r="K1910" s="1" t="s">
        <v>36971</v>
      </c>
      <c r="L1910" s="1" t="s">
        <v>132</v>
      </c>
      <c r="M1910" s="1" t="s">
        <v>36972</v>
      </c>
      <c r="N1910" s="1" t="s">
        <v>36973</v>
      </c>
      <c r="O1910" s="1" t="s">
        <v>132</v>
      </c>
      <c r="P1910" s="1" t="s">
        <v>36974</v>
      </c>
      <c r="Q1910" s="1" t="s">
        <v>132</v>
      </c>
      <c r="R1910" s="1" t="s">
        <v>132</v>
      </c>
      <c r="S1910" s="1" t="s">
        <v>36975</v>
      </c>
      <c r="T1910" s="1" t="s">
        <v>132</v>
      </c>
      <c r="U1910" s="1" t="s">
        <v>36976</v>
      </c>
      <c r="V1910" s="1" t="s">
        <v>132</v>
      </c>
      <c r="W1910" s="1" t="s">
        <v>132</v>
      </c>
      <c r="X1910" s="1" t="s">
        <v>36977</v>
      </c>
      <c r="Y1910" s="1" t="s">
        <v>132</v>
      </c>
      <c r="Z1910" s="1" t="s">
        <v>36978</v>
      </c>
      <c r="AA1910" s="1" t="s">
        <v>36979</v>
      </c>
      <c r="AB1910" s="1" t="s">
        <v>132</v>
      </c>
      <c r="AC1910" s="1" t="s">
        <v>36980</v>
      </c>
      <c r="AD1910" s="1" t="s">
        <v>132</v>
      </c>
      <c r="AE1910" s="1" t="s">
        <v>132</v>
      </c>
      <c r="AF1910" s="1" t="s">
        <v>36981</v>
      </c>
      <c r="AG1910" s="1" t="s">
        <v>36982</v>
      </c>
      <c r="AH1910" s="1" t="s">
        <v>132</v>
      </c>
      <c r="AI1910" s="1" t="s">
        <v>132</v>
      </c>
      <c r="AJ1910" s="1" t="s">
        <v>36983</v>
      </c>
      <c r="AK1910" s="1" t="s">
        <v>132</v>
      </c>
      <c r="AL1910" s="1" t="s">
        <v>132</v>
      </c>
      <c r="AM1910" s="1" t="s">
        <v>36984</v>
      </c>
      <c r="AN1910" s="1" t="s">
        <v>36984</v>
      </c>
    </row>
    <row r="1911" ht="15.75" customHeight="1">
      <c r="A1911" s="1" t="s">
        <v>11050</v>
      </c>
      <c r="B1911" s="1" t="s">
        <v>36985</v>
      </c>
      <c r="C1911" s="1" t="s">
        <v>132</v>
      </c>
      <c r="D1911" s="8" t="s">
        <v>36986</v>
      </c>
      <c r="E1911" s="1" t="s">
        <v>36987</v>
      </c>
      <c r="F1911" s="1" t="s">
        <v>132</v>
      </c>
      <c r="G1911" s="1" t="s">
        <v>36988</v>
      </c>
      <c r="H1911" s="1" t="s">
        <v>36989</v>
      </c>
      <c r="I1911" s="1" t="s">
        <v>132</v>
      </c>
      <c r="J1911" s="1" t="s">
        <v>36990</v>
      </c>
      <c r="K1911" s="1" t="s">
        <v>132</v>
      </c>
      <c r="L1911" s="1" t="s">
        <v>36991</v>
      </c>
      <c r="M1911" s="1" t="s">
        <v>132</v>
      </c>
      <c r="N1911" s="1" t="s">
        <v>132</v>
      </c>
      <c r="O1911" s="1" t="s">
        <v>36992</v>
      </c>
      <c r="P1911" s="1" t="s">
        <v>132</v>
      </c>
      <c r="Q1911" s="1" t="s">
        <v>132</v>
      </c>
      <c r="R1911" s="1" t="s">
        <v>132</v>
      </c>
      <c r="S1911" s="1" t="s">
        <v>132</v>
      </c>
      <c r="T1911" s="8" t="s">
        <v>36993</v>
      </c>
      <c r="U1911" s="1" t="s">
        <v>132</v>
      </c>
      <c r="V1911" s="1" t="s">
        <v>36994</v>
      </c>
      <c r="W1911" s="1" t="s">
        <v>132</v>
      </c>
      <c r="X1911" s="1" t="s">
        <v>132</v>
      </c>
      <c r="Y1911" s="1" t="s">
        <v>36995</v>
      </c>
      <c r="Z1911" s="1" t="s">
        <v>132</v>
      </c>
      <c r="AA1911" s="1" t="s">
        <v>132</v>
      </c>
      <c r="AB1911" s="1" t="s">
        <v>36996</v>
      </c>
      <c r="AC1911" s="1" t="s">
        <v>132</v>
      </c>
      <c r="AD1911" s="1" t="s">
        <v>36997</v>
      </c>
      <c r="AE1911" s="1" t="s">
        <v>36998</v>
      </c>
      <c r="AF1911" s="1" t="s">
        <v>132</v>
      </c>
      <c r="AG1911" s="1" t="s">
        <v>36999</v>
      </c>
      <c r="AH1911" s="1" t="s">
        <v>37000</v>
      </c>
      <c r="AI1911" s="1" t="s">
        <v>132</v>
      </c>
      <c r="AJ1911" s="1" t="s">
        <v>132</v>
      </c>
      <c r="AK1911" s="1" t="s">
        <v>37001</v>
      </c>
      <c r="AL1911" s="1" t="s">
        <v>132</v>
      </c>
      <c r="AM1911" s="1" t="s">
        <v>132</v>
      </c>
      <c r="AN1911" s="1" t="s">
        <v>132</v>
      </c>
    </row>
    <row r="1912" ht="15.75" customHeight="1">
      <c r="A1912" s="1" t="s">
        <v>127</v>
      </c>
      <c r="B1912" s="1" t="s">
        <v>37002</v>
      </c>
      <c r="C1912" s="13" t="s">
        <v>37003</v>
      </c>
      <c r="D1912" s="1" t="s">
        <v>132</v>
      </c>
      <c r="E1912" s="1" t="s">
        <v>132</v>
      </c>
      <c r="F1912" s="1" t="s">
        <v>132</v>
      </c>
      <c r="G1912" s="1" t="s">
        <v>132</v>
      </c>
      <c r="H1912" s="1" t="s">
        <v>132</v>
      </c>
      <c r="I1912" s="1" t="s">
        <v>37004</v>
      </c>
      <c r="J1912" s="1" t="s">
        <v>132</v>
      </c>
      <c r="K1912" s="13" t="s">
        <v>37005</v>
      </c>
      <c r="L1912" s="1" t="s">
        <v>132</v>
      </c>
      <c r="M1912" s="1" t="s">
        <v>43316</v>
      </c>
      <c r="N1912" s="1" t="s">
        <v>132</v>
      </c>
      <c r="O1912" s="1" t="s">
        <v>132</v>
      </c>
      <c r="P1912" s="1" t="s">
        <v>37007</v>
      </c>
      <c r="Q1912" s="1" t="s">
        <v>132</v>
      </c>
      <c r="R1912" s="1" t="s">
        <v>37008</v>
      </c>
      <c r="S1912" s="1" t="s">
        <v>37009</v>
      </c>
      <c r="T1912" s="1" t="s">
        <v>132</v>
      </c>
      <c r="U1912" s="1" t="s">
        <v>37010</v>
      </c>
      <c r="V1912" s="1" t="s">
        <v>132</v>
      </c>
      <c r="W1912" s="1" t="s">
        <v>37011</v>
      </c>
      <c r="X1912" s="1" t="s">
        <v>37012</v>
      </c>
      <c r="Y1912" s="1" t="s">
        <v>132</v>
      </c>
      <c r="Z1912" s="11" t="s">
        <v>37013</v>
      </c>
      <c r="AA1912" s="1" t="s">
        <v>37014</v>
      </c>
      <c r="AB1912" s="1" t="s">
        <v>132</v>
      </c>
      <c r="AC1912" s="13" t="s">
        <v>37015</v>
      </c>
      <c r="AD1912" s="1" t="s">
        <v>132</v>
      </c>
      <c r="AE1912" s="1" t="s">
        <v>132</v>
      </c>
      <c r="AF1912" s="1" t="s">
        <v>132</v>
      </c>
      <c r="AG1912" s="11" t="s">
        <v>37016</v>
      </c>
      <c r="AH1912" s="1" t="s">
        <v>132</v>
      </c>
      <c r="AI1912" s="1" t="s">
        <v>37017</v>
      </c>
      <c r="AJ1912" s="1" t="s">
        <v>132</v>
      </c>
      <c r="AK1912" s="1" t="s">
        <v>132</v>
      </c>
      <c r="AL1912" s="14" t="s">
        <v>37018</v>
      </c>
      <c r="AM1912" s="1" t="s">
        <v>132</v>
      </c>
      <c r="AN1912" s="1" t="s">
        <v>132</v>
      </c>
    </row>
    <row r="1913" ht="15.75" customHeight="1">
      <c r="A1913" s="1" t="s">
        <v>127</v>
      </c>
      <c r="B1913" s="1" t="s">
        <v>37019</v>
      </c>
      <c r="C1913" s="1" t="s">
        <v>37020</v>
      </c>
      <c r="D1913" s="8" t="s">
        <v>37021</v>
      </c>
      <c r="E1913" s="1" t="s">
        <v>37022</v>
      </c>
      <c r="F1913" s="1" t="s">
        <v>132</v>
      </c>
      <c r="G1913" s="1" t="s">
        <v>37023</v>
      </c>
      <c r="H1913" s="1" t="s">
        <v>37024</v>
      </c>
      <c r="I1913" s="1" t="s">
        <v>37025</v>
      </c>
      <c r="J1913" s="1" t="s">
        <v>37026</v>
      </c>
      <c r="K1913" s="1" t="s">
        <v>37027</v>
      </c>
      <c r="L1913" s="1" t="s">
        <v>37028</v>
      </c>
      <c r="M1913" s="1" t="s">
        <v>37029</v>
      </c>
      <c r="N1913" s="1" t="s">
        <v>132</v>
      </c>
      <c r="O1913" s="1" t="s">
        <v>37030</v>
      </c>
      <c r="P1913" s="1" t="s">
        <v>37031</v>
      </c>
      <c r="Q1913" s="1" t="s">
        <v>132</v>
      </c>
      <c r="R1913" s="1" t="s">
        <v>37032</v>
      </c>
      <c r="S1913" s="1" t="s">
        <v>37033</v>
      </c>
      <c r="T1913" s="8" t="s">
        <v>37034</v>
      </c>
      <c r="U1913" s="1" t="s">
        <v>37035</v>
      </c>
      <c r="V1913" s="1" t="s">
        <v>37036</v>
      </c>
      <c r="W1913" s="1" t="s">
        <v>37037</v>
      </c>
      <c r="X1913" s="1" t="s">
        <v>37038</v>
      </c>
      <c r="Y1913" s="1" t="s">
        <v>37039</v>
      </c>
      <c r="Z1913" s="1" t="s">
        <v>37040</v>
      </c>
      <c r="AA1913" s="1" t="s">
        <v>37041</v>
      </c>
      <c r="AB1913" s="1" t="s">
        <v>37042</v>
      </c>
      <c r="AC1913" s="1" t="s">
        <v>37043</v>
      </c>
      <c r="AD1913" s="1" t="s">
        <v>37044</v>
      </c>
      <c r="AE1913" s="1" t="s">
        <v>37045</v>
      </c>
      <c r="AF1913" s="1" t="s">
        <v>37046</v>
      </c>
      <c r="AG1913" s="1" t="s">
        <v>37047</v>
      </c>
      <c r="AH1913" s="1" t="s">
        <v>37048</v>
      </c>
      <c r="AI1913" s="1" t="s">
        <v>37049</v>
      </c>
      <c r="AJ1913" s="1" t="s">
        <v>132</v>
      </c>
      <c r="AK1913" s="1" t="s">
        <v>37050</v>
      </c>
      <c r="AL1913" s="1" t="s">
        <v>37051</v>
      </c>
      <c r="AM1913" s="1" t="s">
        <v>132</v>
      </c>
      <c r="AN1913" s="1" t="s">
        <v>132</v>
      </c>
    </row>
    <row r="1914" ht="15.75" customHeight="1">
      <c r="A1914" s="1" t="s">
        <v>127</v>
      </c>
      <c r="B1914" s="1" t="s">
        <v>37052</v>
      </c>
      <c r="C1914" s="1" t="s">
        <v>37053</v>
      </c>
      <c r="D1914" s="8" t="s">
        <v>19204</v>
      </c>
      <c r="E1914" s="1" t="s">
        <v>37054</v>
      </c>
      <c r="F1914" s="1" t="s">
        <v>132</v>
      </c>
      <c r="G1914" s="1" t="s">
        <v>37055</v>
      </c>
      <c r="H1914" s="1" t="s">
        <v>37056</v>
      </c>
      <c r="I1914" s="1" t="s">
        <v>37057</v>
      </c>
      <c r="J1914" s="1" t="s">
        <v>37058</v>
      </c>
      <c r="K1914" s="1" t="s">
        <v>37059</v>
      </c>
      <c r="L1914" s="1" t="s">
        <v>37060</v>
      </c>
      <c r="M1914" s="1" t="s">
        <v>37061</v>
      </c>
      <c r="N1914" s="1" t="s">
        <v>132</v>
      </c>
      <c r="O1914" s="1" t="s">
        <v>37062</v>
      </c>
      <c r="P1914" s="1" t="s">
        <v>37063</v>
      </c>
      <c r="Q1914" s="1" t="s">
        <v>132</v>
      </c>
      <c r="R1914" s="1" t="s">
        <v>37064</v>
      </c>
      <c r="S1914" s="1" t="s">
        <v>37065</v>
      </c>
      <c r="T1914" s="8" t="s">
        <v>37066</v>
      </c>
      <c r="U1914" s="1" t="s">
        <v>37067</v>
      </c>
      <c r="V1914" s="1" t="s">
        <v>37068</v>
      </c>
      <c r="W1914" s="1" t="s">
        <v>37069</v>
      </c>
      <c r="X1914" s="1" t="s">
        <v>37070</v>
      </c>
      <c r="Y1914" s="1" t="s">
        <v>37056</v>
      </c>
      <c r="Z1914" s="1" t="s">
        <v>37071</v>
      </c>
      <c r="AA1914" s="1" t="s">
        <v>37072</v>
      </c>
      <c r="AB1914" s="1" t="s">
        <v>37073</v>
      </c>
      <c r="AC1914" s="1" t="s">
        <v>37074</v>
      </c>
      <c r="AD1914" s="1" t="s">
        <v>37075</v>
      </c>
      <c r="AE1914" s="1" t="s">
        <v>37076</v>
      </c>
      <c r="AF1914" s="1" t="s">
        <v>37077</v>
      </c>
      <c r="AG1914" s="1" t="s">
        <v>19224</v>
      </c>
      <c r="AH1914" s="1" t="s">
        <v>37078</v>
      </c>
      <c r="AI1914" s="1" t="s">
        <v>37079</v>
      </c>
      <c r="AJ1914" s="1" t="s">
        <v>132</v>
      </c>
      <c r="AK1914" s="1" t="s">
        <v>19227</v>
      </c>
      <c r="AL1914" s="1" t="s">
        <v>37080</v>
      </c>
      <c r="AM1914" s="1" t="s">
        <v>37081</v>
      </c>
      <c r="AN1914" s="1" t="s">
        <v>37081</v>
      </c>
    </row>
    <row r="1915" ht="15.75" customHeight="1">
      <c r="A1915" s="1" t="s">
        <v>38</v>
      </c>
      <c r="B1915" s="1" t="s">
        <v>37082</v>
      </c>
      <c r="C1915" s="1" t="s">
        <v>37083</v>
      </c>
      <c r="D1915" s="8" t="s">
        <v>37084</v>
      </c>
      <c r="E1915" s="1" t="s">
        <v>37085</v>
      </c>
      <c r="F1915" s="1" t="s">
        <v>37086</v>
      </c>
      <c r="G1915" s="1" t="s">
        <v>132</v>
      </c>
      <c r="H1915" s="1" t="s">
        <v>132</v>
      </c>
      <c r="I1915" s="1" t="s">
        <v>37087</v>
      </c>
      <c r="J1915" s="1" t="s">
        <v>132</v>
      </c>
      <c r="K1915" s="1" t="s">
        <v>37088</v>
      </c>
      <c r="L1915" s="1" t="s">
        <v>132</v>
      </c>
      <c r="M1915" s="1" t="s">
        <v>37089</v>
      </c>
      <c r="N1915" s="1" t="s">
        <v>37088</v>
      </c>
      <c r="O1915" s="1" t="s">
        <v>132</v>
      </c>
      <c r="P1915" s="1" t="s">
        <v>37090</v>
      </c>
      <c r="Q1915" s="1" t="s">
        <v>37091</v>
      </c>
      <c r="R1915" s="1" t="s">
        <v>132</v>
      </c>
      <c r="S1915" s="1" t="s">
        <v>37092</v>
      </c>
      <c r="T1915" s="1" t="s">
        <v>132</v>
      </c>
      <c r="U1915" s="1" t="s">
        <v>37093</v>
      </c>
      <c r="V1915" s="1" t="s">
        <v>37094</v>
      </c>
      <c r="W1915" s="1" t="s">
        <v>132</v>
      </c>
      <c r="X1915" s="1" t="s">
        <v>37095</v>
      </c>
      <c r="Y1915" s="1" t="s">
        <v>132</v>
      </c>
      <c r="Z1915" s="1" t="s">
        <v>37096</v>
      </c>
      <c r="AA1915" s="1" t="s">
        <v>37097</v>
      </c>
      <c r="AB1915" s="1" t="s">
        <v>132</v>
      </c>
      <c r="AC1915" s="1" t="s">
        <v>37098</v>
      </c>
      <c r="AD1915" s="1" t="s">
        <v>37099</v>
      </c>
      <c r="AE1915" s="1" t="s">
        <v>132</v>
      </c>
      <c r="AF1915" s="1" t="s">
        <v>37100</v>
      </c>
      <c r="AG1915" s="1" t="s">
        <v>37101</v>
      </c>
      <c r="AH1915" s="1" t="s">
        <v>132</v>
      </c>
      <c r="AI1915" s="1" t="s">
        <v>132</v>
      </c>
      <c r="AJ1915" s="1" t="s">
        <v>37102</v>
      </c>
      <c r="AK1915" s="1" t="s">
        <v>37103</v>
      </c>
      <c r="AL1915" s="1" t="s">
        <v>132</v>
      </c>
      <c r="AM1915" s="1" t="s">
        <v>37104</v>
      </c>
      <c r="AN1915" s="1" t="s">
        <v>37104</v>
      </c>
    </row>
    <row r="1916" ht="15.75" customHeight="1">
      <c r="A1916" s="1" t="s">
        <v>127</v>
      </c>
      <c r="B1916" s="1" t="s">
        <v>37105</v>
      </c>
      <c r="C1916" s="1" t="s">
        <v>37106</v>
      </c>
      <c r="D1916" s="8" t="s">
        <v>37107</v>
      </c>
      <c r="E1916" s="1" t="s">
        <v>37108</v>
      </c>
      <c r="F1916" s="1" t="s">
        <v>132</v>
      </c>
      <c r="G1916" s="1" t="s">
        <v>37109</v>
      </c>
      <c r="H1916" s="1" t="s">
        <v>37110</v>
      </c>
      <c r="I1916" s="1" t="s">
        <v>37111</v>
      </c>
      <c r="J1916" s="1" t="s">
        <v>37112</v>
      </c>
      <c r="K1916" s="1" t="s">
        <v>37113</v>
      </c>
      <c r="L1916" s="1" t="s">
        <v>37114</v>
      </c>
      <c r="M1916" s="1" t="s">
        <v>37115</v>
      </c>
      <c r="N1916" s="1" t="s">
        <v>132</v>
      </c>
      <c r="O1916" s="1" t="s">
        <v>37116</v>
      </c>
      <c r="P1916" s="1" t="s">
        <v>37117</v>
      </c>
      <c r="Q1916" s="1" t="s">
        <v>132</v>
      </c>
      <c r="R1916" s="1" t="s">
        <v>37118</v>
      </c>
      <c r="S1916" s="1" t="s">
        <v>37119</v>
      </c>
      <c r="T1916" s="8" t="s">
        <v>37120</v>
      </c>
      <c r="U1916" s="1" t="s">
        <v>37121</v>
      </c>
      <c r="V1916" s="1" t="s">
        <v>37122</v>
      </c>
      <c r="W1916" s="1" t="s">
        <v>37123</v>
      </c>
      <c r="X1916" s="1" t="s">
        <v>37124</v>
      </c>
      <c r="Y1916" s="1" t="s">
        <v>37110</v>
      </c>
      <c r="Z1916" s="1" t="s">
        <v>37125</v>
      </c>
      <c r="AA1916" s="1" t="s">
        <v>37126</v>
      </c>
      <c r="AB1916" s="1" t="s">
        <v>37127</v>
      </c>
      <c r="AC1916" s="1" t="s">
        <v>37128</v>
      </c>
      <c r="AD1916" s="1" t="s">
        <v>37129</v>
      </c>
      <c r="AE1916" s="1" t="s">
        <v>37130</v>
      </c>
      <c r="AF1916" s="1" t="s">
        <v>37106</v>
      </c>
      <c r="AG1916" s="1" t="s">
        <v>37131</v>
      </c>
      <c r="AH1916" s="1" t="s">
        <v>37132</v>
      </c>
      <c r="AI1916" s="1" t="s">
        <v>37133</v>
      </c>
      <c r="AJ1916" s="1" t="s">
        <v>132</v>
      </c>
      <c r="AK1916" s="1" t="s">
        <v>37134</v>
      </c>
      <c r="AL1916" s="1" t="s">
        <v>37135</v>
      </c>
      <c r="AM1916" s="1" t="s">
        <v>37136</v>
      </c>
      <c r="AN1916" s="1" t="s">
        <v>37136</v>
      </c>
    </row>
    <row r="1917" ht="15.75" customHeight="1">
      <c r="A1917" s="1" t="s">
        <v>127</v>
      </c>
      <c r="B1917" s="1" t="s">
        <v>37137</v>
      </c>
      <c r="C1917" s="1" t="s">
        <v>1088</v>
      </c>
      <c r="D1917" s="8" t="s">
        <v>1089</v>
      </c>
      <c r="E1917" s="1" t="s">
        <v>1090</v>
      </c>
      <c r="F1917" s="1" t="s">
        <v>132</v>
      </c>
      <c r="G1917" s="1" t="s">
        <v>1091</v>
      </c>
      <c r="H1917" s="1" t="s">
        <v>1092</v>
      </c>
      <c r="I1917" s="1" t="s">
        <v>1093</v>
      </c>
      <c r="J1917" s="1" t="s">
        <v>1094</v>
      </c>
      <c r="K1917" s="1" t="s">
        <v>1095</v>
      </c>
      <c r="L1917" s="1" t="s">
        <v>1096</v>
      </c>
      <c r="M1917" s="1" t="s">
        <v>1097</v>
      </c>
      <c r="N1917" s="1" t="s">
        <v>132</v>
      </c>
      <c r="O1917" s="1" t="s">
        <v>1098</v>
      </c>
      <c r="P1917" s="1" t="s">
        <v>1099</v>
      </c>
      <c r="Q1917" s="1" t="s">
        <v>132</v>
      </c>
      <c r="R1917" s="1" t="s">
        <v>1100</v>
      </c>
      <c r="S1917" s="1" t="s">
        <v>1101</v>
      </c>
      <c r="T1917" s="8" t="s">
        <v>1102</v>
      </c>
      <c r="U1917" s="1" t="s">
        <v>1103</v>
      </c>
      <c r="V1917" s="1" t="s">
        <v>1104</v>
      </c>
      <c r="W1917" s="1" t="s">
        <v>1100</v>
      </c>
      <c r="X1917" s="1" t="s">
        <v>1092</v>
      </c>
      <c r="Y1917" s="1" t="s">
        <v>1092</v>
      </c>
      <c r="Z1917" s="1" t="s">
        <v>1105</v>
      </c>
      <c r="AA1917" s="1" t="s">
        <v>37138</v>
      </c>
      <c r="AB1917" s="1" t="s">
        <v>1107</v>
      </c>
      <c r="AC1917" s="1" t="s">
        <v>1108</v>
      </c>
      <c r="AD1917" s="1" t="s">
        <v>1109</v>
      </c>
      <c r="AE1917" s="1" t="s">
        <v>1110</v>
      </c>
      <c r="AF1917" s="1" t="s">
        <v>1110</v>
      </c>
      <c r="AG1917" s="1" t="s">
        <v>1092</v>
      </c>
      <c r="AH1917" s="1" t="s">
        <v>1111</v>
      </c>
      <c r="AI1917" s="1" t="s">
        <v>1112</v>
      </c>
      <c r="AJ1917" s="1" t="s">
        <v>132</v>
      </c>
      <c r="AK1917" s="1" t="s">
        <v>1113</v>
      </c>
      <c r="AL1917" s="1" t="s">
        <v>1103</v>
      </c>
      <c r="AM1917" s="1" t="s">
        <v>37139</v>
      </c>
      <c r="AN1917" s="1" t="s">
        <v>37139</v>
      </c>
    </row>
    <row r="1918" ht="15.75" customHeight="1">
      <c r="A1918" s="1" t="s">
        <v>127</v>
      </c>
      <c r="B1918" s="1" t="s">
        <v>37140</v>
      </c>
      <c r="C1918" s="1" t="s">
        <v>37141</v>
      </c>
      <c r="D1918" s="8" t="s">
        <v>37142</v>
      </c>
      <c r="E1918" s="1" t="s">
        <v>37141</v>
      </c>
      <c r="F1918" s="1" t="s">
        <v>132</v>
      </c>
      <c r="G1918" s="1" t="s">
        <v>37141</v>
      </c>
      <c r="H1918" s="1" t="s">
        <v>37141</v>
      </c>
      <c r="I1918" s="1" t="s">
        <v>37143</v>
      </c>
      <c r="J1918" s="1" t="s">
        <v>37141</v>
      </c>
      <c r="K1918" s="1" t="s">
        <v>37141</v>
      </c>
      <c r="L1918" s="1" t="s">
        <v>37144</v>
      </c>
      <c r="M1918" s="1" t="s">
        <v>37141</v>
      </c>
      <c r="N1918" s="1" t="s">
        <v>132</v>
      </c>
      <c r="O1918" s="1" t="s">
        <v>25083</v>
      </c>
      <c r="P1918" s="1" t="s">
        <v>37145</v>
      </c>
      <c r="Q1918" s="1" t="s">
        <v>132</v>
      </c>
      <c r="R1918" s="1" t="s">
        <v>37141</v>
      </c>
      <c r="S1918" s="1" t="s">
        <v>37141</v>
      </c>
      <c r="T1918" s="8" t="s">
        <v>37146</v>
      </c>
      <c r="U1918" s="1" t="s">
        <v>37147</v>
      </c>
      <c r="V1918" s="1" t="s">
        <v>28565</v>
      </c>
      <c r="W1918" s="1" t="s">
        <v>37141</v>
      </c>
      <c r="X1918" s="1" t="s">
        <v>37148</v>
      </c>
      <c r="Y1918" s="1" t="s">
        <v>37144</v>
      </c>
      <c r="Z1918" s="1" t="s">
        <v>37149</v>
      </c>
      <c r="AA1918" s="1" t="s">
        <v>37141</v>
      </c>
      <c r="AB1918" s="1" t="s">
        <v>37141</v>
      </c>
      <c r="AC1918" s="1" t="s">
        <v>37150</v>
      </c>
      <c r="AD1918" s="1" t="s">
        <v>37151</v>
      </c>
      <c r="AE1918" s="1" t="s">
        <v>37141</v>
      </c>
      <c r="AF1918" s="1" t="s">
        <v>37152</v>
      </c>
      <c r="AG1918" s="1" t="s">
        <v>37153</v>
      </c>
      <c r="AH1918" s="1" t="s">
        <v>28572</v>
      </c>
      <c r="AI1918" s="1" t="s">
        <v>37154</v>
      </c>
      <c r="AJ1918" s="1" t="s">
        <v>132</v>
      </c>
      <c r="AK1918" s="1" t="s">
        <v>33089</v>
      </c>
      <c r="AL1918" s="1" t="s">
        <v>28575</v>
      </c>
      <c r="AM1918" s="1" t="s">
        <v>132</v>
      </c>
      <c r="AN1918" s="1" t="s">
        <v>132</v>
      </c>
    </row>
    <row r="1919" ht="15.75" customHeight="1">
      <c r="A1919" s="1" t="s">
        <v>38</v>
      </c>
      <c r="B1919" s="1" t="s">
        <v>23</v>
      </c>
      <c r="C1919" s="1" t="s">
        <v>3338</v>
      </c>
      <c r="D1919" s="1" t="s">
        <v>132</v>
      </c>
      <c r="E1919" s="1" t="s">
        <v>37155</v>
      </c>
      <c r="F1919" s="1" t="s">
        <v>132</v>
      </c>
      <c r="G1919" s="1" t="s">
        <v>132</v>
      </c>
      <c r="H1919" s="1" t="s">
        <v>132</v>
      </c>
      <c r="I1919" s="1" t="s">
        <v>37156</v>
      </c>
      <c r="J1919" s="1" t="s">
        <v>132</v>
      </c>
      <c r="K1919" s="1" t="s">
        <v>3338</v>
      </c>
      <c r="L1919" s="1" t="s">
        <v>132</v>
      </c>
      <c r="M1919" s="1" t="s">
        <v>132</v>
      </c>
      <c r="N1919" s="1" t="s">
        <v>37157</v>
      </c>
      <c r="O1919" s="1" t="s">
        <v>132</v>
      </c>
      <c r="P1919" s="1" t="s">
        <v>37158</v>
      </c>
      <c r="Q1919" s="1" t="s">
        <v>132</v>
      </c>
      <c r="R1919" s="1" t="s">
        <v>132</v>
      </c>
      <c r="S1919" s="1" t="s">
        <v>3338</v>
      </c>
      <c r="T1919" s="1" t="s">
        <v>132</v>
      </c>
      <c r="U1919" s="1" t="s">
        <v>3613</v>
      </c>
      <c r="V1919" s="1" t="s">
        <v>132</v>
      </c>
      <c r="W1919" s="1" t="s">
        <v>132</v>
      </c>
      <c r="X1919" s="1" t="s">
        <v>37159</v>
      </c>
      <c r="Y1919" s="1" t="s">
        <v>132</v>
      </c>
      <c r="Z1919" s="1" t="s">
        <v>37160</v>
      </c>
      <c r="AA1919" s="1" t="s">
        <v>132</v>
      </c>
      <c r="AB1919" s="1" t="s">
        <v>132</v>
      </c>
      <c r="AC1919" s="1" t="s">
        <v>132</v>
      </c>
      <c r="AD1919" s="1" t="s">
        <v>132</v>
      </c>
      <c r="AE1919" s="1" t="s">
        <v>132</v>
      </c>
      <c r="AF1919" s="1" t="s">
        <v>132</v>
      </c>
      <c r="AG1919" s="1" t="s">
        <v>132</v>
      </c>
      <c r="AH1919" s="1" t="s">
        <v>132</v>
      </c>
      <c r="AI1919" s="1" t="s">
        <v>132</v>
      </c>
      <c r="AJ1919" s="1" t="s">
        <v>132</v>
      </c>
      <c r="AK1919" s="1" t="s">
        <v>132</v>
      </c>
      <c r="AL1919" s="1" t="s">
        <v>132</v>
      </c>
      <c r="AM1919" s="1" t="s">
        <v>132</v>
      </c>
      <c r="AN1919" s="1" t="s">
        <v>132</v>
      </c>
    </row>
    <row r="1920" ht="15.75" customHeight="1">
      <c r="A1920" s="1" t="s">
        <v>38</v>
      </c>
      <c r="B1920" s="1" t="s">
        <v>37161</v>
      </c>
      <c r="C1920" s="1" t="s">
        <v>37162</v>
      </c>
      <c r="D1920" s="8" t="s">
        <v>37163</v>
      </c>
      <c r="E1920" s="1" t="s">
        <v>37164</v>
      </c>
      <c r="F1920" s="1" t="s">
        <v>37165</v>
      </c>
      <c r="G1920" s="1" t="s">
        <v>132</v>
      </c>
      <c r="H1920" s="1" t="s">
        <v>132</v>
      </c>
      <c r="I1920" s="1" t="s">
        <v>37166</v>
      </c>
      <c r="J1920" s="1" t="s">
        <v>132</v>
      </c>
      <c r="K1920" s="1" t="s">
        <v>37167</v>
      </c>
      <c r="L1920" s="1" t="s">
        <v>132</v>
      </c>
      <c r="M1920" s="1" t="s">
        <v>37168</v>
      </c>
      <c r="N1920" s="1" t="s">
        <v>37169</v>
      </c>
      <c r="O1920" s="1" t="s">
        <v>132</v>
      </c>
      <c r="P1920" s="1" t="s">
        <v>37170</v>
      </c>
      <c r="Q1920" s="1" t="s">
        <v>37171</v>
      </c>
      <c r="R1920" s="1" t="s">
        <v>132</v>
      </c>
      <c r="S1920" s="1" t="s">
        <v>37172</v>
      </c>
      <c r="T1920" s="1" t="s">
        <v>132</v>
      </c>
      <c r="U1920" s="1" t="s">
        <v>37173</v>
      </c>
      <c r="V1920" s="1" t="s">
        <v>37174</v>
      </c>
      <c r="W1920" s="1" t="s">
        <v>132</v>
      </c>
      <c r="X1920" s="1" t="s">
        <v>37175</v>
      </c>
      <c r="Y1920" s="1" t="s">
        <v>132</v>
      </c>
      <c r="Z1920" s="1" t="s">
        <v>7255</v>
      </c>
      <c r="AA1920" s="1" t="s">
        <v>37176</v>
      </c>
      <c r="AB1920" s="1" t="s">
        <v>132</v>
      </c>
      <c r="AC1920" s="1" t="s">
        <v>37177</v>
      </c>
      <c r="AD1920" s="1" t="s">
        <v>37178</v>
      </c>
      <c r="AE1920" s="1" t="s">
        <v>132</v>
      </c>
      <c r="AF1920" s="1" t="s">
        <v>37179</v>
      </c>
      <c r="AG1920" s="1" t="s">
        <v>37180</v>
      </c>
      <c r="AH1920" s="1" t="s">
        <v>132</v>
      </c>
      <c r="AI1920" s="1" t="s">
        <v>132</v>
      </c>
      <c r="AJ1920" s="1" t="s">
        <v>37181</v>
      </c>
      <c r="AK1920" s="1" t="s">
        <v>37182</v>
      </c>
      <c r="AL1920" s="1" t="s">
        <v>132</v>
      </c>
      <c r="AM1920" s="1" t="s">
        <v>37183</v>
      </c>
      <c r="AN1920" s="1" t="s">
        <v>37183</v>
      </c>
    </row>
    <row r="1921" ht="15.75" customHeight="1">
      <c r="A1921" s="1" t="s">
        <v>127</v>
      </c>
      <c r="B1921" s="1" t="s">
        <v>37184</v>
      </c>
      <c r="C1921" s="1" t="s">
        <v>25832</v>
      </c>
      <c r="D1921" s="8" t="s">
        <v>25833</v>
      </c>
      <c r="E1921" s="1" t="s">
        <v>25834</v>
      </c>
      <c r="F1921" s="1" t="s">
        <v>132</v>
      </c>
      <c r="G1921" s="1" t="s">
        <v>25835</v>
      </c>
      <c r="H1921" s="1" t="s">
        <v>25836</v>
      </c>
      <c r="I1921" s="1" t="s">
        <v>25837</v>
      </c>
      <c r="J1921" s="1" t="s">
        <v>25838</v>
      </c>
      <c r="K1921" s="1" t="s">
        <v>25852</v>
      </c>
      <c r="L1921" s="1" t="s">
        <v>25840</v>
      </c>
      <c r="M1921" s="1" t="s">
        <v>25841</v>
      </c>
      <c r="N1921" s="1" t="s">
        <v>132</v>
      </c>
      <c r="O1921" s="1" t="s">
        <v>25842</v>
      </c>
      <c r="P1921" s="1" t="s">
        <v>25843</v>
      </c>
      <c r="Q1921" s="1" t="s">
        <v>132</v>
      </c>
      <c r="R1921" s="1" t="s">
        <v>25844</v>
      </c>
      <c r="S1921" s="1" t="s">
        <v>25845</v>
      </c>
      <c r="T1921" s="8" t="s">
        <v>25846</v>
      </c>
      <c r="U1921" s="1" t="s">
        <v>37185</v>
      </c>
      <c r="V1921" s="1" t="s">
        <v>25848</v>
      </c>
      <c r="W1921" s="1" t="s">
        <v>25844</v>
      </c>
      <c r="X1921" s="1" t="s">
        <v>25849</v>
      </c>
      <c r="Y1921" s="1" t="s">
        <v>25850</v>
      </c>
      <c r="Z1921" s="1" t="s">
        <v>25851</v>
      </c>
      <c r="AA1921" s="1" t="s">
        <v>25852</v>
      </c>
      <c r="AB1921" s="1" t="s">
        <v>25853</v>
      </c>
      <c r="AC1921" s="1" t="s">
        <v>25854</v>
      </c>
      <c r="AD1921" s="1" t="s">
        <v>25855</v>
      </c>
      <c r="AE1921" s="1" t="s">
        <v>25856</v>
      </c>
      <c r="AF1921" s="1" t="s">
        <v>25856</v>
      </c>
      <c r="AG1921" s="1" t="s">
        <v>25837</v>
      </c>
      <c r="AH1921" s="1" t="s">
        <v>25857</v>
      </c>
      <c r="AI1921" s="1" t="s">
        <v>25858</v>
      </c>
      <c r="AJ1921" s="1" t="s">
        <v>132</v>
      </c>
      <c r="AK1921" s="1" t="s">
        <v>25859</v>
      </c>
      <c r="AL1921" s="1" t="s">
        <v>25860</v>
      </c>
      <c r="AM1921" s="1" t="s">
        <v>37186</v>
      </c>
      <c r="AN1921" s="1" t="s">
        <v>37186</v>
      </c>
    </row>
    <row r="1922" ht="15.75" customHeight="1">
      <c r="A1922" s="1" t="s">
        <v>127</v>
      </c>
      <c r="B1922" s="1" t="s">
        <v>37187</v>
      </c>
      <c r="C1922" s="1" t="s">
        <v>37188</v>
      </c>
      <c r="D1922" s="8" t="s">
        <v>37189</v>
      </c>
      <c r="E1922" s="1" t="s">
        <v>37190</v>
      </c>
      <c r="F1922" s="1" t="s">
        <v>132</v>
      </c>
      <c r="G1922" s="1" t="s">
        <v>37191</v>
      </c>
      <c r="H1922" s="1" t="s">
        <v>37192</v>
      </c>
      <c r="I1922" s="1" t="s">
        <v>37193</v>
      </c>
      <c r="J1922" s="1" t="s">
        <v>37194</v>
      </c>
      <c r="K1922" s="1" t="s">
        <v>37195</v>
      </c>
      <c r="L1922" s="1" t="s">
        <v>37196</v>
      </c>
      <c r="M1922" s="1" t="s">
        <v>37197</v>
      </c>
      <c r="N1922" s="1" t="s">
        <v>132</v>
      </c>
      <c r="O1922" s="1" t="s">
        <v>37198</v>
      </c>
      <c r="P1922" s="1" t="s">
        <v>37199</v>
      </c>
      <c r="Q1922" s="1" t="s">
        <v>132</v>
      </c>
      <c r="R1922" s="1" t="s">
        <v>37200</v>
      </c>
      <c r="S1922" s="1" t="s">
        <v>37201</v>
      </c>
      <c r="T1922" s="8" t="s">
        <v>37202</v>
      </c>
      <c r="U1922" s="1" t="s">
        <v>37203</v>
      </c>
      <c r="V1922" s="1" t="s">
        <v>37204</v>
      </c>
      <c r="W1922" s="1" t="s">
        <v>37205</v>
      </c>
      <c r="X1922" s="1" t="s">
        <v>37206</v>
      </c>
      <c r="Y1922" s="1" t="s">
        <v>37192</v>
      </c>
      <c r="Z1922" s="1" t="s">
        <v>37207</v>
      </c>
      <c r="AA1922" s="1" t="s">
        <v>37208</v>
      </c>
      <c r="AB1922" s="1" t="s">
        <v>37209</v>
      </c>
      <c r="AC1922" s="1" t="s">
        <v>37210</v>
      </c>
      <c r="AD1922" s="1" t="s">
        <v>37211</v>
      </c>
      <c r="AE1922" s="1" t="s">
        <v>37191</v>
      </c>
      <c r="AF1922" s="1" t="s">
        <v>37212</v>
      </c>
      <c r="AG1922" s="1" t="s">
        <v>37192</v>
      </c>
      <c r="AH1922" s="1" t="s">
        <v>37213</v>
      </c>
      <c r="AI1922" s="1" t="s">
        <v>37214</v>
      </c>
      <c r="AJ1922" s="1" t="s">
        <v>132</v>
      </c>
      <c r="AK1922" s="1" t="s">
        <v>37215</v>
      </c>
      <c r="AL1922" s="1" t="s">
        <v>37216</v>
      </c>
      <c r="AM1922" s="1" t="s">
        <v>37217</v>
      </c>
      <c r="AN1922" s="1" t="s">
        <v>37217</v>
      </c>
    </row>
    <row r="1923" ht="15.75" customHeight="1">
      <c r="A1923" s="1" t="s">
        <v>38</v>
      </c>
      <c r="B1923" s="1" t="s">
        <v>37218</v>
      </c>
      <c r="C1923" s="1" t="s">
        <v>37219</v>
      </c>
      <c r="D1923" s="1" t="s">
        <v>132</v>
      </c>
      <c r="E1923" s="1" t="s">
        <v>132</v>
      </c>
      <c r="F1923" s="1" t="s">
        <v>132</v>
      </c>
      <c r="G1923" s="1" t="s">
        <v>132</v>
      </c>
      <c r="H1923" s="1" t="s">
        <v>132</v>
      </c>
      <c r="I1923" s="1" t="s">
        <v>37219</v>
      </c>
      <c r="J1923" s="1" t="s">
        <v>132</v>
      </c>
      <c r="K1923" s="1" t="s">
        <v>37219</v>
      </c>
      <c r="L1923" s="1" t="s">
        <v>132</v>
      </c>
      <c r="M1923" s="1" t="s">
        <v>37220</v>
      </c>
      <c r="N1923" s="1" t="s">
        <v>132</v>
      </c>
      <c r="O1923" s="1" t="s">
        <v>132</v>
      </c>
      <c r="P1923" s="1" t="s">
        <v>37219</v>
      </c>
      <c r="Q1923" s="1" t="s">
        <v>132</v>
      </c>
      <c r="R1923" s="1" t="s">
        <v>132</v>
      </c>
      <c r="S1923" s="1" t="s">
        <v>132</v>
      </c>
      <c r="T1923" s="1" t="s">
        <v>132</v>
      </c>
      <c r="U1923" s="1" t="s">
        <v>132</v>
      </c>
      <c r="V1923" s="1" t="s">
        <v>132</v>
      </c>
      <c r="W1923" s="1" t="s">
        <v>132</v>
      </c>
      <c r="X1923" s="1" t="s">
        <v>132</v>
      </c>
      <c r="Y1923" s="1" t="s">
        <v>132</v>
      </c>
      <c r="Z1923" s="1" t="s">
        <v>132</v>
      </c>
      <c r="AA1923" s="1" t="s">
        <v>132</v>
      </c>
      <c r="AB1923" s="1" t="s">
        <v>132</v>
      </c>
      <c r="AC1923" s="1" t="s">
        <v>37221</v>
      </c>
      <c r="AD1923" s="1" t="s">
        <v>132</v>
      </c>
      <c r="AE1923" s="1" t="s">
        <v>132</v>
      </c>
      <c r="AF1923" s="1" t="s">
        <v>37222</v>
      </c>
      <c r="AG1923" s="1" t="s">
        <v>132</v>
      </c>
      <c r="AH1923" s="1" t="s">
        <v>132</v>
      </c>
      <c r="AI1923" s="1" t="s">
        <v>132</v>
      </c>
      <c r="AJ1923" s="1" t="s">
        <v>132</v>
      </c>
      <c r="AK1923" s="1" t="s">
        <v>132</v>
      </c>
      <c r="AL1923" s="1" t="s">
        <v>132</v>
      </c>
      <c r="AM1923" s="1" t="s">
        <v>132</v>
      </c>
      <c r="AN1923" s="1" t="s">
        <v>132</v>
      </c>
    </row>
    <row r="1924" ht="15.75" customHeight="1">
      <c r="A1924" s="1" t="s">
        <v>38</v>
      </c>
      <c r="B1924" s="1" t="s">
        <v>37223</v>
      </c>
      <c r="C1924" s="1" t="s">
        <v>37224</v>
      </c>
      <c r="D1924" s="8" t="s">
        <v>37225</v>
      </c>
      <c r="E1924" s="1" t="s">
        <v>37226</v>
      </c>
      <c r="F1924" s="1" t="s">
        <v>37227</v>
      </c>
      <c r="G1924" s="1" t="s">
        <v>132</v>
      </c>
      <c r="H1924" s="1" t="s">
        <v>132</v>
      </c>
      <c r="I1924" s="1" t="s">
        <v>37228</v>
      </c>
      <c r="J1924" s="1" t="s">
        <v>132</v>
      </c>
      <c r="K1924" s="1" t="s">
        <v>37229</v>
      </c>
      <c r="L1924" s="1" t="s">
        <v>132</v>
      </c>
      <c r="M1924" s="1" t="s">
        <v>37230</v>
      </c>
      <c r="N1924" s="1" t="s">
        <v>37231</v>
      </c>
      <c r="O1924" s="1" t="s">
        <v>132</v>
      </c>
      <c r="P1924" s="1" t="s">
        <v>37232</v>
      </c>
      <c r="Q1924" s="1" t="s">
        <v>37233</v>
      </c>
      <c r="R1924" s="1" t="s">
        <v>132</v>
      </c>
      <c r="S1924" s="1" t="s">
        <v>37234</v>
      </c>
      <c r="T1924" s="1" t="s">
        <v>132</v>
      </c>
      <c r="U1924" s="1" t="s">
        <v>37235</v>
      </c>
      <c r="V1924" s="1" t="s">
        <v>37236</v>
      </c>
      <c r="W1924" s="1" t="s">
        <v>132</v>
      </c>
      <c r="X1924" s="1" t="s">
        <v>37237</v>
      </c>
      <c r="Y1924" s="1" t="s">
        <v>132</v>
      </c>
      <c r="Z1924" s="1" t="s">
        <v>37238</v>
      </c>
      <c r="AA1924" s="1" t="s">
        <v>37231</v>
      </c>
      <c r="AB1924" s="1" t="s">
        <v>132</v>
      </c>
      <c r="AC1924" s="1" t="s">
        <v>37239</v>
      </c>
      <c r="AD1924" s="1" t="s">
        <v>37240</v>
      </c>
      <c r="AE1924" s="1" t="s">
        <v>132</v>
      </c>
      <c r="AF1924" s="1" t="s">
        <v>37241</v>
      </c>
      <c r="AG1924" s="1" t="s">
        <v>37242</v>
      </c>
      <c r="AH1924" s="1" t="s">
        <v>132</v>
      </c>
      <c r="AI1924" s="1" t="s">
        <v>132</v>
      </c>
      <c r="AJ1924" s="1" t="s">
        <v>37241</v>
      </c>
      <c r="AK1924" s="1" t="s">
        <v>37243</v>
      </c>
      <c r="AL1924" s="1" t="s">
        <v>132</v>
      </c>
      <c r="AM1924" s="1" t="s">
        <v>37244</v>
      </c>
      <c r="AN1924" s="1" t="s">
        <v>37244</v>
      </c>
    </row>
    <row r="1925" ht="15.75" customHeight="1">
      <c r="A1925" s="1" t="s">
        <v>127</v>
      </c>
      <c r="B1925" s="1" t="s">
        <v>37245</v>
      </c>
      <c r="C1925" s="1" t="s">
        <v>37246</v>
      </c>
      <c r="D1925" s="8" t="s">
        <v>37247</v>
      </c>
      <c r="E1925" s="1" t="s">
        <v>37248</v>
      </c>
      <c r="F1925" s="1" t="s">
        <v>132</v>
      </c>
      <c r="G1925" s="1" t="s">
        <v>37249</v>
      </c>
      <c r="H1925" s="1" t="s">
        <v>37250</v>
      </c>
      <c r="I1925" s="1" t="s">
        <v>37246</v>
      </c>
      <c r="J1925" s="1" t="s">
        <v>37251</v>
      </c>
      <c r="K1925" s="1" t="s">
        <v>37248</v>
      </c>
      <c r="L1925" s="1" t="s">
        <v>37252</v>
      </c>
      <c r="M1925" s="1" t="s">
        <v>37248</v>
      </c>
      <c r="N1925" s="1" t="s">
        <v>132</v>
      </c>
      <c r="O1925" s="1" t="s">
        <v>37253</v>
      </c>
      <c r="P1925" s="1" t="s">
        <v>37248</v>
      </c>
      <c r="Q1925" s="1" t="s">
        <v>132</v>
      </c>
      <c r="R1925" s="1" t="s">
        <v>37254</v>
      </c>
      <c r="S1925" s="1" t="s">
        <v>37248</v>
      </c>
      <c r="T1925" s="8" t="s">
        <v>37255</v>
      </c>
      <c r="U1925" s="1" t="s">
        <v>37248</v>
      </c>
      <c r="V1925" s="1" t="s">
        <v>37256</v>
      </c>
      <c r="W1925" s="1" t="s">
        <v>37254</v>
      </c>
      <c r="X1925" s="1" t="s">
        <v>37248</v>
      </c>
      <c r="Y1925" s="1" t="s">
        <v>37250</v>
      </c>
      <c r="Z1925" s="1" t="s">
        <v>37248</v>
      </c>
      <c r="AA1925" s="1" t="s">
        <v>37257</v>
      </c>
      <c r="AB1925" s="1" t="s">
        <v>37258</v>
      </c>
      <c r="AC1925" s="1" t="s">
        <v>37259</v>
      </c>
      <c r="AD1925" s="1" t="s">
        <v>37260</v>
      </c>
      <c r="AE1925" s="1" t="s">
        <v>37248</v>
      </c>
      <c r="AF1925" s="1" t="s">
        <v>37248</v>
      </c>
      <c r="AG1925" s="1" t="s">
        <v>37250</v>
      </c>
      <c r="AH1925" s="1" t="s">
        <v>37261</v>
      </c>
      <c r="AI1925" s="1" t="s">
        <v>37262</v>
      </c>
      <c r="AJ1925" s="1" t="s">
        <v>132</v>
      </c>
      <c r="AK1925" s="1" t="s">
        <v>37263</v>
      </c>
      <c r="AL1925" s="1" t="s">
        <v>37248</v>
      </c>
      <c r="AM1925" s="1" t="s">
        <v>37264</v>
      </c>
      <c r="AN1925" s="1" t="s">
        <v>37264</v>
      </c>
    </row>
    <row r="1926" ht="15.75" customHeight="1">
      <c r="A1926" s="1" t="s">
        <v>38</v>
      </c>
      <c r="B1926" s="1" t="s">
        <v>37265</v>
      </c>
      <c r="C1926" s="1" t="s">
        <v>37266</v>
      </c>
      <c r="D1926" s="1" t="s">
        <v>132</v>
      </c>
      <c r="E1926" s="1" t="s">
        <v>132</v>
      </c>
      <c r="F1926" s="1" t="s">
        <v>132</v>
      </c>
      <c r="G1926" s="1" t="s">
        <v>132</v>
      </c>
      <c r="H1926" s="1" t="s">
        <v>132</v>
      </c>
      <c r="I1926" s="1" t="s">
        <v>37267</v>
      </c>
      <c r="J1926" s="1" t="s">
        <v>132</v>
      </c>
      <c r="K1926" s="1" t="s">
        <v>37268</v>
      </c>
      <c r="L1926" s="1" t="s">
        <v>132</v>
      </c>
      <c r="M1926" s="1" t="s">
        <v>37269</v>
      </c>
      <c r="N1926" s="1" t="s">
        <v>132</v>
      </c>
      <c r="O1926" s="1" t="s">
        <v>132</v>
      </c>
      <c r="P1926" s="1" t="s">
        <v>37266</v>
      </c>
      <c r="Q1926" s="1" t="s">
        <v>132</v>
      </c>
      <c r="R1926" s="1" t="s">
        <v>132</v>
      </c>
      <c r="S1926" s="1" t="s">
        <v>132</v>
      </c>
      <c r="T1926" s="1" t="s">
        <v>132</v>
      </c>
      <c r="U1926" s="1" t="s">
        <v>132</v>
      </c>
      <c r="V1926" s="1" t="s">
        <v>132</v>
      </c>
      <c r="W1926" s="1" t="s">
        <v>132</v>
      </c>
      <c r="X1926" s="1" t="s">
        <v>132</v>
      </c>
      <c r="Y1926" s="1" t="s">
        <v>132</v>
      </c>
      <c r="Z1926" s="1" t="s">
        <v>132</v>
      </c>
      <c r="AA1926" s="1" t="s">
        <v>132</v>
      </c>
      <c r="AB1926" s="1" t="s">
        <v>132</v>
      </c>
      <c r="AC1926" s="1" t="s">
        <v>37270</v>
      </c>
      <c r="AD1926" s="1" t="s">
        <v>132</v>
      </c>
      <c r="AE1926" s="1" t="s">
        <v>132</v>
      </c>
      <c r="AF1926" s="1" t="s">
        <v>37271</v>
      </c>
      <c r="AG1926" s="1" t="s">
        <v>132</v>
      </c>
      <c r="AH1926" s="1" t="s">
        <v>132</v>
      </c>
      <c r="AI1926" s="1" t="s">
        <v>132</v>
      </c>
      <c r="AJ1926" s="1" t="s">
        <v>132</v>
      </c>
      <c r="AK1926" s="1" t="s">
        <v>132</v>
      </c>
      <c r="AL1926" s="1" t="s">
        <v>132</v>
      </c>
      <c r="AM1926" s="1" t="s">
        <v>132</v>
      </c>
      <c r="AN1926" s="1" t="s">
        <v>132</v>
      </c>
    </row>
    <row r="1927" ht="15.75" customHeight="1">
      <c r="A1927" s="1" t="s">
        <v>38</v>
      </c>
      <c r="B1927" s="1" t="s">
        <v>37272</v>
      </c>
      <c r="C1927" s="1" t="s">
        <v>37273</v>
      </c>
      <c r="D1927" s="8" t="s">
        <v>37274</v>
      </c>
      <c r="E1927" s="1" t="s">
        <v>37275</v>
      </c>
      <c r="F1927" s="1" t="s">
        <v>37276</v>
      </c>
      <c r="G1927" s="1" t="s">
        <v>132</v>
      </c>
      <c r="H1927" s="1" t="s">
        <v>132</v>
      </c>
      <c r="I1927" s="1" t="s">
        <v>37277</v>
      </c>
      <c r="J1927" s="1" t="s">
        <v>132</v>
      </c>
      <c r="K1927" s="1" t="s">
        <v>37278</v>
      </c>
      <c r="L1927" s="1" t="s">
        <v>132</v>
      </c>
      <c r="M1927" s="1" t="s">
        <v>37279</v>
      </c>
      <c r="N1927" s="1" t="s">
        <v>37280</v>
      </c>
      <c r="O1927" s="1" t="s">
        <v>132</v>
      </c>
      <c r="P1927" s="1" t="s">
        <v>37281</v>
      </c>
      <c r="Q1927" s="1" t="s">
        <v>37282</v>
      </c>
      <c r="R1927" s="1" t="s">
        <v>132</v>
      </c>
      <c r="S1927" s="1" t="s">
        <v>37283</v>
      </c>
      <c r="T1927" s="1" t="s">
        <v>132</v>
      </c>
      <c r="U1927" s="1" t="s">
        <v>3577</v>
      </c>
      <c r="V1927" s="1" t="s">
        <v>37284</v>
      </c>
      <c r="W1927" s="1" t="s">
        <v>132</v>
      </c>
      <c r="X1927" s="1" t="s">
        <v>37285</v>
      </c>
      <c r="Y1927" s="1" t="s">
        <v>132</v>
      </c>
      <c r="Z1927" s="1" t="s">
        <v>37286</v>
      </c>
      <c r="AA1927" s="1" t="s">
        <v>37287</v>
      </c>
      <c r="AB1927" s="1" t="s">
        <v>132</v>
      </c>
      <c r="AC1927" s="1" t="s">
        <v>37288</v>
      </c>
      <c r="AD1927" s="1" t="s">
        <v>37289</v>
      </c>
      <c r="AE1927" s="1" t="s">
        <v>132</v>
      </c>
      <c r="AF1927" s="1" t="s">
        <v>37290</v>
      </c>
      <c r="AG1927" s="1" t="s">
        <v>37291</v>
      </c>
      <c r="AH1927" s="1" t="s">
        <v>132</v>
      </c>
      <c r="AI1927" s="1" t="s">
        <v>132</v>
      </c>
      <c r="AJ1927" s="1" t="s">
        <v>37292</v>
      </c>
      <c r="AK1927" s="1" t="s">
        <v>37293</v>
      </c>
      <c r="AL1927" s="1" t="s">
        <v>132</v>
      </c>
      <c r="AM1927" s="1" t="s">
        <v>37294</v>
      </c>
      <c r="AN1927" s="1" t="s">
        <v>37294</v>
      </c>
    </row>
    <row r="1928" ht="15.75" customHeight="1">
      <c r="A1928" s="1" t="s">
        <v>38</v>
      </c>
      <c r="B1928" s="1" t="s">
        <v>37295</v>
      </c>
      <c r="C1928" s="1" t="s">
        <v>37296</v>
      </c>
      <c r="D1928" s="1" t="s">
        <v>132</v>
      </c>
      <c r="E1928" s="1" t="s">
        <v>132</v>
      </c>
      <c r="F1928" s="1" t="s">
        <v>132</v>
      </c>
      <c r="G1928" s="1" t="s">
        <v>132</v>
      </c>
      <c r="H1928" s="1" t="s">
        <v>132</v>
      </c>
      <c r="I1928" s="1" t="s">
        <v>37296</v>
      </c>
      <c r="J1928" s="1" t="s">
        <v>132</v>
      </c>
      <c r="K1928" s="1" t="s">
        <v>37297</v>
      </c>
      <c r="L1928" s="1" t="s">
        <v>132</v>
      </c>
      <c r="M1928" s="1" t="s">
        <v>37298</v>
      </c>
      <c r="N1928" s="1" t="s">
        <v>132</v>
      </c>
      <c r="O1928" s="1" t="s">
        <v>132</v>
      </c>
      <c r="P1928" s="1" t="s">
        <v>37296</v>
      </c>
      <c r="Q1928" s="1" t="s">
        <v>132</v>
      </c>
      <c r="R1928" s="1" t="s">
        <v>132</v>
      </c>
      <c r="S1928" s="1" t="s">
        <v>132</v>
      </c>
      <c r="T1928" s="1" t="s">
        <v>132</v>
      </c>
      <c r="U1928" s="1" t="s">
        <v>132</v>
      </c>
      <c r="V1928" s="1" t="s">
        <v>132</v>
      </c>
      <c r="W1928" s="1" t="s">
        <v>132</v>
      </c>
      <c r="X1928" s="1" t="s">
        <v>132</v>
      </c>
      <c r="Y1928" s="1" t="s">
        <v>132</v>
      </c>
      <c r="Z1928" s="1" t="s">
        <v>132</v>
      </c>
      <c r="AA1928" s="1" t="s">
        <v>132</v>
      </c>
      <c r="AB1928" s="1" t="s">
        <v>132</v>
      </c>
      <c r="AC1928" s="1" t="s">
        <v>37299</v>
      </c>
      <c r="AD1928" s="1" t="s">
        <v>132</v>
      </c>
      <c r="AE1928" s="1" t="s">
        <v>132</v>
      </c>
      <c r="AF1928" s="1" t="s">
        <v>37300</v>
      </c>
      <c r="AG1928" s="1" t="s">
        <v>132</v>
      </c>
      <c r="AH1928" s="1" t="s">
        <v>132</v>
      </c>
      <c r="AI1928" s="1" t="s">
        <v>132</v>
      </c>
      <c r="AJ1928" s="1" t="s">
        <v>132</v>
      </c>
      <c r="AK1928" s="1" t="s">
        <v>132</v>
      </c>
      <c r="AL1928" s="1" t="s">
        <v>132</v>
      </c>
      <c r="AM1928" s="1" t="s">
        <v>132</v>
      </c>
      <c r="AN1928" s="1" t="s">
        <v>132</v>
      </c>
    </row>
    <row r="1929" ht="15.75" customHeight="1">
      <c r="A1929" s="1" t="s">
        <v>38</v>
      </c>
      <c r="B1929" s="1" t="s">
        <v>37301</v>
      </c>
      <c r="C1929" s="1" t="s">
        <v>37302</v>
      </c>
      <c r="D1929" s="1" t="s">
        <v>132</v>
      </c>
      <c r="E1929" s="1" t="s">
        <v>132</v>
      </c>
      <c r="F1929" s="1" t="s">
        <v>132</v>
      </c>
      <c r="G1929" s="1" t="s">
        <v>132</v>
      </c>
      <c r="H1929" s="1" t="s">
        <v>132</v>
      </c>
      <c r="I1929" s="1" t="s">
        <v>37303</v>
      </c>
      <c r="J1929" s="1" t="s">
        <v>132</v>
      </c>
      <c r="K1929" s="1" t="s">
        <v>37304</v>
      </c>
      <c r="L1929" s="1" t="s">
        <v>132</v>
      </c>
      <c r="M1929" s="1" t="s">
        <v>37305</v>
      </c>
      <c r="N1929" s="1" t="s">
        <v>132</v>
      </c>
      <c r="O1929" s="1" t="s">
        <v>132</v>
      </c>
      <c r="P1929" s="1" t="s">
        <v>37302</v>
      </c>
      <c r="Q1929" s="1" t="s">
        <v>132</v>
      </c>
      <c r="R1929" s="1" t="s">
        <v>132</v>
      </c>
      <c r="S1929" s="1" t="s">
        <v>132</v>
      </c>
      <c r="T1929" s="1" t="s">
        <v>132</v>
      </c>
      <c r="U1929" s="1" t="s">
        <v>132</v>
      </c>
      <c r="V1929" s="1" t="s">
        <v>132</v>
      </c>
      <c r="W1929" s="1" t="s">
        <v>132</v>
      </c>
      <c r="X1929" s="1" t="s">
        <v>132</v>
      </c>
      <c r="Y1929" s="1" t="s">
        <v>132</v>
      </c>
      <c r="Z1929" s="1" t="s">
        <v>132</v>
      </c>
      <c r="AA1929" s="1" t="s">
        <v>132</v>
      </c>
      <c r="AB1929" s="1" t="s">
        <v>132</v>
      </c>
      <c r="AC1929" s="1" t="s">
        <v>37306</v>
      </c>
      <c r="AD1929" s="1" t="s">
        <v>132</v>
      </c>
      <c r="AE1929" s="1" t="s">
        <v>132</v>
      </c>
      <c r="AF1929" s="1" t="s">
        <v>37307</v>
      </c>
      <c r="AG1929" s="1" t="s">
        <v>132</v>
      </c>
      <c r="AH1929" s="1" t="s">
        <v>132</v>
      </c>
      <c r="AI1929" s="1" t="s">
        <v>132</v>
      </c>
      <c r="AJ1929" s="1" t="s">
        <v>132</v>
      </c>
      <c r="AK1929" s="1" t="s">
        <v>132</v>
      </c>
      <c r="AL1929" s="1" t="s">
        <v>132</v>
      </c>
      <c r="AM1929" s="1" t="s">
        <v>132</v>
      </c>
      <c r="AN1929" s="1" t="s">
        <v>132</v>
      </c>
    </row>
    <row r="1930" ht="15.75" customHeight="1">
      <c r="A1930" s="1" t="s">
        <v>38</v>
      </c>
      <c r="B1930" s="1" t="s">
        <v>37308</v>
      </c>
      <c r="C1930" s="1" t="s">
        <v>37309</v>
      </c>
      <c r="D1930" s="1" t="s">
        <v>132</v>
      </c>
      <c r="E1930" s="1" t="s">
        <v>132</v>
      </c>
      <c r="F1930" s="1" t="s">
        <v>132</v>
      </c>
      <c r="G1930" s="1" t="s">
        <v>132</v>
      </c>
      <c r="H1930" s="1" t="s">
        <v>132</v>
      </c>
      <c r="I1930" s="1" t="s">
        <v>37310</v>
      </c>
      <c r="J1930" s="1" t="s">
        <v>132</v>
      </c>
      <c r="K1930" s="1" t="s">
        <v>37311</v>
      </c>
      <c r="L1930" s="1" t="s">
        <v>132</v>
      </c>
      <c r="M1930" s="1" t="s">
        <v>37312</v>
      </c>
      <c r="N1930" s="1" t="s">
        <v>132</v>
      </c>
      <c r="O1930" s="1" t="s">
        <v>132</v>
      </c>
      <c r="P1930" s="1" t="s">
        <v>37309</v>
      </c>
      <c r="Q1930" s="1" t="s">
        <v>132</v>
      </c>
      <c r="R1930" s="1" t="s">
        <v>132</v>
      </c>
      <c r="S1930" s="1" t="s">
        <v>132</v>
      </c>
      <c r="T1930" s="1" t="s">
        <v>132</v>
      </c>
      <c r="U1930" s="1" t="s">
        <v>132</v>
      </c>
      <c r="V1930" s="1" t="s">
        <v>132</v>
      </c>
      <c r="W1930" s="1" t="s">
        <v>132</v>
      </c>
      <c r="X1930" s="1" t="s">
        <v>132</v>
      </c>
      <c r="Y1930" s="1" t="s">
        <v>132</v>
      </c>
      <c r="Z1930" s="1" t="s">
        <v>132</v>
      </c>
      <c r="AA1930" s="1" t="s">
        <v>132</v>
      </c>
      <c r="AB1930" s="1" t="s">
        <v>132</v>
      </c>
      <c r="AC1930" s="1" t="s">
        <v>37313</v>
      </c>
      <c r="AD1930" s="1" t="s">
        <v>132</v>
      </c>
      <c r="AE1930" s="1" t="s">
        <v>132</v>
      </c>
      <c r="AF1930" s="1" t="s">
        <v>37314</v>
      </c>
      <c r="AG1930" s="1" t="s">
        <v>132</v>
      </c>
      <c r="AH1930" s="1" t="s">
        <v>132</v>
      </c>
      <c r="AI1930" s="1" t="s">
        <v>132</v>
      </c>
      <c r="AJ1930" s="1" t="s">
        <v>132</v>
      </c>
      <c r="AK1930" s="1" t="s">
        <v>132</v>
      </c>
      <c r="AL1930" s="1" t="s">
        <v>132</v>
      </c>
      <c r="AM1930" s="1" t="s">
        <v>132</v>
      </c>
      <c r="AN1930" s="1" t="s">
        <v>132</v>
      </c>
    </row>
    <row r="1931" ht="15.75" customHeight="1">
      <c r="A1931" s="1" t="s">
        <v>127</v>
      </c>
      <c r="B1931" s="1" t="s">
        <v>37315</v>
      </c>
      <c r="C1931" s="1" t="s">
        <v>37316</v>
      </c>
      <c r="D1931" s="8" t="s">
        <v>37317</v>
      </c>
      <c r="E1931" s="1" t="s">
        <v>37318</v>
      </c>
      <c r="F1931" s="1" t="s">
        <v>132</v>
      </c>
      <c r="G1931" s="1" t="s">
        <v>37319</v>
      </c>
      <c r="H1931" s="1" t="s">
        <v>37320</v>
      </c>
      <c r="I1931" s="1" t="s">
        <v>37321</v>
      </c>
      <c r="J1931" s="1" t="s">
        <v>37322</v>
      </c>
      <c r="K1931" s="1" t="s">
        <v>37323</v>
      </c>
      <c r="L1931" s="1" t="s">
        <v>37324</v>
      </c>
      <c r="M1931" s="1" t="s">
        <v>37325</v>
      </c>
      <c r="N1931" s="1" t="s">
        <v>132</v>
      </c>
      <c r="O1931" s="1" t="s">
        <v>37326</v>
      </c>
      <c r="P1931" s="1" t="s">
        <v>37327</v>
      </c>
      <c r="Q1931" s="1" t="s">
        <v>132</v>
      </c>
      <c r="R1931" s="1" t="s">
        <v>37328</v>
      </c>
      <c r="S1931" s="1" t="s">
        <v>37329</v>
      </c>
      <c r="T1931" s="8" t="s">
        <v>37330</v>
      </c>
      <c r="U1931" s="1" t="s">
        <v>37331</v>
      </c>
      <c r="V1931" s="1" t="s">
        <v>37332</v>
      </c>
      <c r="W1931" s="1" t="s">
        <v>37328</v>
      </c>
      <c r="X1931" s="1" t="s">
        <v>37333</v>
      </c>
      <c r="Y1931" s="1" t="s">
        <v>37334</v>
      </c>
      <c r="Z1931" s="1" t="s">
        <v>37335</v>
      </c>
      <c r="AA1931" s="1" t="s">
        <v>37336</v>
      </c>
      <c r="AB1931" s="1" t="s">
        <v>37337</v>
      </c>
      <c r="AC1931" s="1" t="s">
        <v>37338</v>
      </c>
      <c r="AD1931" s="1" t="s">
        <v>37339</v>
      </c>
      <c r="AE1931" s="1" t="s">
        <v>37340</v>
      </c>
      <c r="AF1931" s="1" t="s">
        <v>37341</v>
      </c>
      <c r="AG1931" s="1" t="s">
        <v>37342</v>
      </c>
      <c r="AH1931" s="1" t="s">
        <v>37343</v>
      </c>
      <c r="AI1931" s="1" t="s">
        <v>37344</v>
      </c>
      <c r="AJ1931" s="1" t="s">
        <v>132</v>
      </c>
      <c r="AK1931" s="1" t="s">
        <v>37345</v>
      </c>
      <c r="AL1931" s="1" t="s">
        <v>37346</v>
      </c>
      <c r="AM1931" s="1" t="s">
        <v>132</v>
      </c>
      <c r="AN1931" s="1" t="s">
        <v>132</v>
      </c>
    </row>
    <row r="1932" ht="15.75" customHeight="1">
      <c r="A1932" s="1" t="s">
        <v>127</v>
      </c>
      <c r="B1932" s="1" t="s">
        <v>37347</v>
      </c>
      <c r="C1932" s="1" t="s">
        <v>15849</v>
      </c>
      <c r="D1932" s="8" t="s">
        <v>15850</v>
      </c>
      <c r="E1932" s="1" t="s">
        <v>37348</v>
      </c>
      <c r="F1932" s="1" t="s">
        <v>132</v>
      </c>
      <c r="G1932" s="1" t="s">
        <v>15852</v>
      </c>
      <c r="H1932" s="1" t="s">
        <v>15853</v>
      </c>
      <c r="I1932" s="1" t="s">
        <v>15849</v>
      </c>
      <c r="J1932" s="1" t="s">
        <v>15854</v>
      </c>
      <c r="K1932" s="1" t="s">
        <v>15849</v>
      </c>
      <c r="L1932" s="1" t="s">
        <v>15856</v>
      </c>
      <c r="M1932" s="1" t="s">
        <v>15857</v>
      </c>
      <c r="N1932" s="1" t="s">
        <v>132</v>
      </c>
      <c r="O1932" s="1" t="s">
        <v>15858</v>
      </c>
      <c r="P1932" s="1" t="s">
        <v>15849</v>
      </c>
      <c r="Q1932" s="1" t="s">
        <v>132</v>
      </c>
      <c r="R1932" s="1" t="s">
        <v>15859</v>
      </c>
      <c r="S1932" s="1" t="s">
        <v>15849</v>
      </c>
      <c r="T1932" s="8" t="s">
        <v>37349</v>
      </c>
      <c r="U1932" s="1" t="s">
        <v>15860</v>
      </c>
      <c r="V1932" s="1" t="s">
        <v>15861</v>
      </c>
      <c r="W1932" s="1" t="s">
        <v>15862</v>
      </c>
      <c r="X1932" s="1" t="s">
        <v>15849</v>
      </c>
      <c r="Y1932" s="1" t="s">
        <v>15863</v>
      </c>
      <c r="Z1932" s="1" t="s">
        <v>37350</v>
      </c>
      <c r="AA1932" s="1" t="s">
        <v>15865</v>
      </c>
      <c r="AB1932" s="1" t="s">
        <v>15866</v>
      </c>
      <c r="AC1932" s="1" t="s">
        <v>15867</v>
      </c>
      <c r="AD1932" s="1" t="s">
        <v>15868</v>
      </c>
      <c r="AE1932" s="1" t="s">
        <v>15869</v>
      </c>
      <c r="AF1932" s="1" t="s">
        <v>37351</v>
      </c>
      <c r="AG1932" s="1" t="s">
        <v>15853</v>
      </c>
      <c r="AH1932" s="1" t="s">
        <v>15871</v>
      </c>
      <c r="AI1932" s="1" t="s">
        <v>15872</v>
      </c>
      <c r="AJ1932" s="1" t="s">
        <v>132</v>
      </c>
      <c r="AK1932" s="1" t="s">
        <v>15873</v>
      </c>
      <c r="AL1932" s="1" t="s">
        <v>15874</v>
      </c>
      <c r="AM1932" s="1" t="s">
        <v>15875</v>
      </c>
      <c r="AN1932" s="1" t="s">
        <v>15875</v>
      </c>
    </row>
    <row r="1933" ht="15.75" customHeight="1">
      <c r="A1933" s="1" t="s">
        <v>127</v>
      </c>
      <c r="B1933" s="1" t="s">
        <v>37352</v>
      </c>
      <c r="C1933" s="1" t="s">
        <v>37353</v>
      </c>
      <c r="D1933" s="8" t="s">
        <v>37354</v>
      </c>
      <c r="E1933" s="1" t="s">
        <v>37355</v>
      </c>
      <c r="F1933" s="1" t="s">
        <v>132</v>
      </c>
      <c r="G1933" s="1" t="s">
        <v>37356</v>
      </c>
      <c r="H1933" s="1" t="s">
        <v>37357</v>
      </c>
      <c r="I1933" s="1" t="s">
        <v>37358</v>
      </c>
      <c r="J1933" s="1" t="s">
        <v>37359</v>
      </c>
      <c r="K1933" s="1" t="s">
        <v>37360</v>
      </c>
      <c r="L1933" s="1" t="s">
        <v>37361</v>
      </c>
      <c r="M1933" s="1" t="s">
        <v>37362</v>
      </c>
      <c r="N1933" s="1" t="s">
        <v>132</v>
      </c>
      <c r="O1933" s="1" t="s">
        <v>37363</v>
      </c>
      <c r="P1933" s="1" t="s">
        <v>37364</v>
      </c>
      <c r="Q1933" s="1" t="s">
        <v>132</v>
      </c>
      <c r="R1933" s="1" t="s">
        <v>37365</v>
      </c>
      <c r="S1933" s="1" t="s">
        <v>37366</v>
      </c>
      <c r="T1933" s="8" t="s">
        <v>37367</v>
      </c>
      <c r="U1933" s="1" t="s">
        <v>37368</v>
      </c>
      <c r="V1933" s="1" t="s">
        <v>37369</v>
      </c>
      <c r="W1933" s="1" t="s">
        <v>37370</v>
      </c>
      <c r="X1933" s="1" t="s">
        <v>37371</v>
      </c>
      <c r="Y1933" s="1" t="s">
        <v>37372</v>
      </c>
      <c r="Z1933" s="1" t="s">
        <v>37373</v>
      </c>
      <c r="AA1933" s="1" t="s">
        <v>37374</v>
      </c>
      <c r="AB1933" s="1" t="s">
        <v>37375</v>
      </c>
      <c r="AC1933" s="1" t="s">
        <v>37376</v>
      </c>
      <c r="AD1933" s="1" t="s">
        <v>37377</v>
      </c>
      <c r="AE1933" s="1" t="s">
        <v>37378</v>
      </c>
      <c r="AF1933" s="1" t="s">
        <v>37379</v>
      </c>
      <c r="AG1933" s="1" t="s">
        <v>37380</v>
      </c>
      <c r="AH1933" s="1" t="s">
        <v>37381</v>
      </c>
      <c r="AI1933" s="1" t="s">
        <v>37382</v>
      </c>
      <c r="AJ1933" s="1" t="s">
        <v>132</v>
      </c>
      <c r="AK1933" s="1" t="s">
        <v>37383</v>
      </c>
      <c r="AL1933" s="1" t="s">
        <v>32091</v>
      </c>
      <c r="AM1933" s="1" t="s">
        <v>32092</v>
      </c>
      <c r="AN1933" s="1" t="s">
        <v>32092</v>
      </c>
    </row>
    <row r="1934" ht="15.75" customHeight="1">
      <c r="A1934" s="1" t="s">
        <v>127</v>
      </c>
      <c r="B1934" s="1" t="s">
        <v>37384</v>
      </c>
      <c r="C1934" s="1" t="s">
        <v>37385</v>
      </c>
      <c r="D1934" s="8" t="s">
        <v>37386</v>
      </c>
      <c r="E1934" s="1" t="s">
        <v>37387</v>
      </c>
      <c r="F1934" s="1" t="s">
        <v>132</v>
      </c>
      <c r="G1934" s="1" t="s">
        <v>37388</v>
      </c>
      <c r="H1934" s="1" t="s">
        <v>37389</v>
      </c>
      <c r="I1934" s="1" t="s">
        <v>37390</v>
      </c>
      <c r="J1934" s="1" t="s">
        <v>37391</v>
      </c>
      <c r="K1934" s="1" t="s">
        <v>37392</v>
      </c>
      <c r="L1934" s="1" t="s">
        <v>37393</v>
      </c>
      <c r="M1934" s="1" t="s">
        <v>37394</v>
      </c>
      <c r="N1934" s="1" t="s">
        <v>132</v>
      </c>
      <c r="O1934" s="1" t="s">
        <v>37395</v>
      </c>
      <c r="P1934" s="1" t="s">
        <v>37396</v>
      </c>
      <c r="Q1934" s="1" t="s">
        <v>132</v>
      </c>
      <c r="R1934" s="1" t="s">
        <v>37397</v>
      </c>
      <c r="S1934" s="1" t="s">
        <v>37398</v>
      </c>
      <c r="T1934" s="8" t="s">
        <v>37399</v>
      </c>
      <c r="U1934" s="1" t="s">
        <v>37400</v>
      </c>
      <c r="V1934" s="1" t="s">
        <v>37401</v>
      </c>
      <c r="W1934" s="1" t="s">
        <v>37402</v>
      </c>
      <c r="X1934" s="1" t="s">
        <v>37403</v>
      </c>
      <c r="Y1934" s="1" t="s">
        <v>37404</v>
      </c>
      <c r="Z1934" s="1" t="s">
        <v>37405</v>
      </c>
      <c r="AA1934" s="1" t="s">
        <v>37406</v>
      </c>
      <c r="AB1934" s="1" t="s">
        <v>37407</v>
      </c>
      <c r="AC1934" s="1" t="s">
        <v>37408</v>
      </c>
      <c r="AD1934" s="1" t="s">
        <v>37409</v>
      </c>
      <c r="AE1934" s="1" t="s">
        <v>37410</v>
      </c>
      <c r="AF1934" s="1" t="s">
        <v>37411</v>
      </c>
      <c r="AG1934" s="1" t="s">
        <v>37412</v>
      </c>
      <c r="AH1934" s="1" t="s">
        <v>37413</v>
      </c>
      <c r="AI1934" s="1" t="s">
        <v>37414</v>
      </c>
      <c r="AJ1934" s="1" t="s">
        <v>132</v>
      </c>
      <c r="AK1934" s="1" t="s">
        <v>37415</v>
      </c>
      <c r="AL1934" s="1" t="s">
        <v>37416</v>
      </c>
      <c r="AM1934" s="1" t="s">
        <v>37417</v>
      </c>
      <c r="AN1934" s="1" t="s">
        <v>37417</v>
      </c>
    </row>
    <row r="1935" ht="15.75" customHeight="1">
      <c r="A1935" s="1" t="s">
        <v>38</v>
      </c>
      <c r="B1935" s="1" t="s">
        <v>37418</v>
      </c>
      <c r="C1935" s="1" t="s">
        <v>37419</v>
      </c>
      <c r="D1935" s="8" t="s">
        <v>37420</v>
      </c>
      <c r="E1935" s="1" t="s">
        <v>37421</v>
      </c>
      <c r="F1935" s="1" t="s">
        <v>37422</v>
      </c>
      <c r="G1935" s="1" t="s">
        <v>132</v>
      </c>
      <c r="H1935" s="1" t="s">
        <v>132</v>
      </c>
      <c r="I1935" s="1" t="s">
        <v>37423</v>
      </c>
      <c r="J1935" s="1" t="s">
        <v>132</v>
      </c>
      <c r="K1935" s="1" t="s">
        <v>37424</v>
      </c>
      <c r="L1935" s="1" t="s">
        <v>132</v>
      </c>
      <c r="M1935" s="1" t="s">
        <v>37425</v>
      </c>
      <c r="N1935" s="1" t="s">
        <v>37424</v>
      </c>
      <c r="O1935" s="1" t="s">
        <v>132</v>
      </c>
      <c r="P1935" s="1" t="s">
        <v>37426</v>
      </c>
      <c r="Q1935" s="1" t="s">
        <v>132</v>
      </c>
      <c r="R1935" s="1" t="s">
        <v>132</v>
      </c>
      <c r="S1935" s="1" t="s">
        <v>37427</v>
      </c>
      <c r="T1935" s="1" t="s">
        <v>132</v>
      </c>
      <c r="U1935" s="1" t="s">
        <v>37428</v>
      </c>
      <c r="V1935" s="1" t="s">
        <v>37429</v>
      </c>
      <c r="W1935" s="1" t="s">
        <v>132</v>
      </c>
      <c r="X1935" s="1" t="s">
        <v>37430</v>
      </c>
      <c r="Y1935" s="1" t="s">
        <v>132</v>
      </c>
      <c r="Z1935" s="1" t="s">
        <v>37431</v>
      </c>
      <c r="AA1935" s="1" t="s">
        <v>37432</v>
      </c>
      <c r="AB1935" s="1" t="s">
        <v>132</v>
      </c>
      <c r="AC1935" s="1" t="s">
        <v>37433</v>
      </c>
      <c r="AD1935" s="1" t="s">
        <v>132</v>
      </c>
      <c r="AE1935" s="1" t="s">
        <v>132</v>
      </c>
      <c r="AF1935" s="1" t="s">
        <v>37434</v>
      </c>
      <c r="AG1935" s="1" t="s">
        <v>37435</v>
      </c>
      <c r="AH1935" s="1" t="s">
        <v>132</v>
      </c>
      <c r="AI1935" s="1" t="s">
        <v>132</v>
      </c>
      <c r="AJ1935" s="1" t="s">
        <v>37436</v>
      </c>
      <c r="AK1935" s="1" t="s">
        <v>132</v>
      </c>
      <c r="AL1935" s="1" t="s">
        <v>132</v>
      </c>
      <c r="AM1935" s="1" t="s">
        <v>37437</v>
      </c>
      <c r="AN1935" s="1" t="s">
        <v>37437</v>
      </c>
    </row>
    <row r="1936" ht="15.75" customHeight="1">
      <c r="A1936" s="1" t="s">
        <v>127</v>
      </c>
      <c r="B1936" s="1" t="s">
        <v>37438</v>
      </c>
      <c r="C1936" s="1" t="s">
        <v>37439</v>
      </c>
      <c r="D1936" s="8" t="s">
        <v>37440</v>
      </c>
      <c r="E1936" s="1" t="s">
        <v>37441</v>
      </c>
      <c r="F1936" s="1" t="s">
        <v>132</v>
      </c>
      <c r="G1936" s="1" t="s">
        <v>37442</v>
      </c>
      <c r="H1936" s="1" t="s">
        <v>37443</v>
      </c>
      <c r="I1936" s="1" t="s">
        <v>37444</v>
      </c>
      <c r="J1936" s="1" t="s">
        <v>37445</v>
      </c>
      <c r="K1936" s="1" t="s">
        <v>37446</v>
      </c>
      <c r="L1936" s="1" t="s">
        <v>37447</v>
      </c>
      <c r="M1936" s="1" t="s">
        <v>37448</v>
      </c>
      <c r="N1936" s="1" t="s">
        <v>132</v>
      </c>
      <c r="O1936" s="1" t="s">
        <v>37449</v>
      </c>
      <c r="P1936" s="1" t="s">
        <v>37450</v>
      </c>
      <c r="Q1936" s="1" t="s">
        <v>132</v>
      </c>
      <c r="R1936" s="1" t="s">
        <v>37451</v>
      </c>
      <c r="S1936" s="1" t="s">
        <v>37452</v>
      </c>
      <c r="T1936" s="8" t="s">
        <v>37453</v>
      </c>
      <c r="U1936" s="1" t="s">
        <v>37454</v>
      </c>
      <c r="V1936" s="1" t="s">
        <v>37455</v>
      </c>
      <c r="W1936" s="1" t="s">
        <v>37451</v>
      </c>
      <c r="X1936" s="1" t="s">
        <v>37456</v>
      </c>
      <c r="Y1936" s="1" t="s">
        <v>37457</v>
      </c>
      <c r="Z1936" s="1" t="s">
        <v>37458</v>
      </c>
      <c r="AA1936" s="1" t="s">
        <v>37459</v>
      </c>
      <c r="AB1936" s="1" t="s">
        <v>37460</v>
      </c>
      <c r="AC1936" s="1" t="s">
        <v>37461</v>
      </c>
      <c r="AD1936" s="1" t="s">
        <v>37462</v>
      </c>
      <c r="AE1936" s="1" t="s">
        <v>37463</v>
      </c>
      <c r="AF1936" s="1" t="s">
        <v>37464</v>
      </c>
      <c r="AG1936" s="1" t="s">
        <v>37465</v>
      </c>
      <c r="AH1936" s="1" t="s">
        <v>37466</v>
      </c>
      <c r="AI1936" s="1" t="s">
        <v>37467</v>
      </c>
      <c r="AJ1936" s="1" t="s">
        <v>132</v>
      </c>
      <c r="AK1936" s="1" t="s">
        <v>37468</v>
      </c>
      <c r="AL1936" s="1" t="s">
        <v>37469</v>
      </c>
      <c r="AM1936" s="1" t="s">
        <v>37470</v>
      </c>
      <c r="AN1936" s="1" t="s">
        <v>37470</v>
      </c>
    </row>
    <row r="1937" ht="15.75" customHeight="1">
      <c r="A1937" s="1" t="s">
        <v>127</v>
      </c>
      <c r="B1937" s="1" t="s">
        <v>37471</v>
      </c>
      <c r="C1937" s="1" t="s">
        <v>37472</v>
      </c>
      <c r="D1937" s="8" t="s">
        <v>37473</v>
      </c>
      <c r="E1937" s="1" t="s">
        <v>37474</v>
      </c>
      <c r="F1937" s="1" t="s">
        <v>132</v>
      </c>
      <c r="G1937" s="1" t="s">
        <v>37475</v>
      </c>
      <c r="H1937" s="1" t="s">
        <v>37476</v>
      </c>
      <c r="I1937" s="1" t="s">
        <v>37477</v>
      </c>
      <c r="J1937" s="1" t="s">
        <v>37478</v>
      </c>
      <c r="K1937" s="1" t="s">
        <v>37479</v>
      </c>
      <c r="L1937" s="1" t="s">
        <v>37480</v>
      </c>
      <c r="M1937" s="1" t="s">
        <v>37481</v>
      </c>
      <c r="N1937" s="1" t="s">
        <v>132</v>
      </c>
      <c r="O1937" s="1" t="s">
        <v>37482</v>
      </c>
      <c r="P1937" s="1" t="s">
        <v>37483</v>
      </c>
      <c r="Q1937" s="1" t="s">
        <v>132</v>
      </c>
      <c r="R1937" s="1" t="s">
        <v>37484</v>
      </c>
      <c r="S1937" s="1" t="s">
        <v>37485</v>
      </c>
      <c r="T1937" s="8" t="s">
        <v>37486</v>
      </c>
      <c r="U1937" s="1" t="s">
        <v>37487</v>
      </c>
      <c r="V1937" s="1" t="s">
        <v>37488</v>
      </c>
      <c r="W1937" s="1" t="s">
        <v>37489</v>
      </c>
      <c r="X1937" s="1" t="s">
        <v>37490</v>
      </c>
      <c r="Y1937" s="1" t="s">
        <v>37491</v>
      </c>
      <c r="Z1937" s="1" t="s">
        <v>37492</v>
      </c>
      <c r="AA1937" s="1" t="s">
        <v>37493</v>
      </c>
      <c r="AB1937" s="1" t="s">
        <v>37494</v>
      </c>
      <c r="AC1937" s="1" t="s">
        <v>37495</v>
      </c>
      <c r="AD1937" s="1" t="s">
        <v>37496</v>
      </c>
      <c r="AE1937" s="1" t="s">
        <v>37497</v>
      </c>
      <c r="AF1937" s="1" t="s">
        <v>37498</v>
      </c>
      <c r="AG1937" s="1" t="s">
        <v>37499</v>
      </c>
      <c r="AH1937" s="1" t="s">
        <v>37500</v>
      </c>
      <c r="AI1937" s="1" t="s">
        <v>37501</v>
      </c>
      <c r="AJ1937" s="1" t="s">
        <v>132</v>
      </c>
      <c r="AK1937" s="1" t="s">
        <v>37502</v>
      </c>
      <c r="AL1937" s="1" t="s">
        <v>37503</v>
      </c>
      <c r="AM1937" s="1" t="s">
        <v>132</v>
      </c>
      <c r="AN1937" s="1" t="s">
        <v>132</v>
      </c>
    </row>
    <row r="1938" ht="15.75" customHeight="1">
      <c r="A1938" s="1" t="s">
        <v>38</v>
      </c>
      <c r="B1938" s="1" t="s">
        <v>37504</v>
      </c>
      <c r="C1938" s="1" t="s">
        <v>37505</v>
      </c>
      <c r="D1938" s="1" t="s">
        <v>132</v>
      </c>
      <c r="E1938" s="1" t="s">
        <v>132</v>
      </c>
      <c r="F1938" s="1" t="s">
        <v>132</v>
      </c>
      <c r="G1938" s="1" t="s">
        <v>132</v>
      </c>
      <c r="H1938" s="1" t="s">
        <v>132</v>
      </c>
      <c r="I1938" s="1" t="s">
        <v>37505</v>
      </c>
      <c r="J1938" s="1" t="s">
        <v>132</v>
      </c>
      <c r="K1938" s="1" t="s">
        <v>37506</v>
      </c>
      <c r="L1938" s="1" t="s">
        <v>132</v>
      </c>
      <c r="M1938" s="1" t="s">
        <v>37505</v>
      </c>
      <c r="N1938" s="1" t="s">
        <v>132</v>
      </c>
      <c r="O1938" s="1" t="s">
        <v>132</v>
      </c>
      <c r="P1938" s="1" t="s">
        <v>37505</v>
      </c>
      <c r="Q1938" s="1" t="s">
        <v>132</v>
      </c>
      <c r="R1938" s="1" t="s">
        <v>132</v>
      </c>
      <c r="S1938" s="1" t="s">
        <v>132</v>
      </c>
      <c r="T1938" s="1" t="s">
        <v>132</v>
      </c>
      <c r="U1938" s="1" t="s">
        <v>132</v>
      </c>
      <c r="V1938" s="1" t="s">
        <v>132</v>
      </c>
      <c r="W1938" s="1" t="s">
        <v>132</v>
      </c>
      <c r="X1938" s="1" t="s">
        <v>132</v>
      </c>
      <c r="Y1938" s="1" t="s">
        <v>132</v>
      </c>
      <c r="Z1938" s="1" t="s">
        <v>132</v>
      </c>
      <c r="AA1938" s="1" t="s">
        <v>132</v>
      </c>
      <c r="AB1938" s="1" t="s">
        <v>132</v>
      </c>
      <c r="AC1938" s="1" t="s">
        <v>37507</v>
      </c>
      <c r="AD1938" s="1" t="s">
        <v>132</v>
      </c>
      <c r="AE1938" s="1" t="s">
        <v>132</v>
      </c>
      <c r="AF1938" s="1" t="s">
        <v>37508</v>
      </c>
      <c r="AG1938" s="1" t="s">
        <v>132</v>
      </c>
      <c r="AH1938" s="1" t="s">
        <v>132</v>
      </c>
      <c r="AI1938" s="1" t="s">
        <v>132</v>
      </c>
      <c r="AJ1938" s="1" t="s">
        <v>132</v>
      </c>
      <c r="AK1938" s="1" t="s">
        <v>132</v>
      </c>
      <c r="AL1938" s="1" t="s">
        <v>132</v>
      </c>
      <c r="AM1938" s="1" t="s">
        <v>132</v>
      </c>
      <c r="AN1938" s="1" t="s">
        <v>132</v>
      </c>
    </row>
    <row r="1939" ht="15.75" customHeight="1">
      <c r="A1939" s="1" t="s">
        <v>127</v>
      </c>
      <c r="B1939" s="1" t="s">
        <v>37509</v>
      </c>
      <c r="C1939" s="1" t="s">
        <v>21637</v>
      </c>
      <c r="D1939" s="8" t="s">
        <v>21638</v>
      </c>
      <c r="E1939" s="1" t="s">
        <v>21639</v>
      </c>
      <c r="F1939" s="1" t="s">
        <v>132</v>
      </c>
      <c r="G1939" s="1" t="s">
        <v>21637</v>
      </c>
      <c r="H1939" s="1" t="s">
        <v>21637</v>
      </c>
      <c r="I1939" s="1" t="s">
        <v>21637</v>
      </c>
      <c r="J1939" s="1" t="s">
        <v>21640</v>
      </c>
      <c r="K1939" s="1" t="s">
        <v>21637</v>
      </c>
      <c r="L1939" s="1" t="s">
        <v>21641</v>
      </c>
      <c r="M1939" s="1" t="s">
        <v>21637</v>
      </c>
      <c r="N1939" s="1" t="s">
        <v>132</v>
      </c>
      <c r="O1939" s="1" t="s">
        <v>21642</v>
      </c>
      <c r="P1939" s="1" t="s">
        <v>21637</v>
      </c>
      <c r="Q1939" s="1" t="s">
        <v>132</v>
      </c>
      <c r="R1939" s="1" t="s">
        <v>21653</v>
      </c>
      <c r="S1939" s="1" t="s">
        <v>21637</v>
      </c>
      <c r="T1939" s="8" t="s">
        <v>21644</v>
      </c>
      <c r="U1939" s="1" t="s">
        <v>21655</v>
      </c>
      <c r="V1939" s="1" t="s">
        <v>21646</v>
      </c>
      <c r="W1939" s="1" t="s">
        <v>21647</v>
      </c>
      <c r="X1939" s="1" t="s">
        <v>21637</v>
      </c>
      <c r="Y1939" s="1" t="s">
        <v>21648</v>
      </c>
      <c r="Z1939" s="1" t="s">
        <v>21637</v>
      </c>
      <c r="AA1939" s="1" t="s">
        <v>37510</v>
      </c>
      <c r="AB1939" s="1" t="s">
        <v>21637</v>
      </c>
      <c r="AC1939" s="1" t="s">
        <v>37511</v>
      </c>
      <c r="AD1939" s="1" t="s">
        <v>21650</v>
      </c>
      <c r="AE1939" s="1" t="s">
        <v>21651</v>
      </c>
      <c r="AF1939" s="1" t="s">
        <v>21637</v>
      </c>
      <c r="AG1939" s="1" t="s">
        <v>21637</v>
      </c>
      <c r="AH1939" s="1" t="s">
        <v>21652</v>
      </c>
      <c r="AI1939" s="1" t="s">
        <v>21653</v>
      </c>
      <c r="AJ1939" s="1" t="s">
        <v>132</v>
      </c>
      <c r="AK1939" s="1" t="s">
        <v>21654</v>
      </c>
      <c r="AL1939" s="1" t="s">
        <v>21655</v>
      </c>
      <c r="AM1939" s="1" t="s">
        <v>21656</v>
      </c>
      <c r="AN1939" s="1" t="s">
        <v>21656</v>
      </c>
    </row>
    <row r="1940" ht="15.75" customHeight="1">
      <c r="A1940" s="1" t="s">
        <v>38</v>
      </c>
      <c r="B1940" s="1" t="s">
        <v>37512</v>
      </c>
      <c r="C1940" s="1" t="s">
        <v>37513</v>
      </c>
      <c r="D1940" s="8" t="s">
        <v>37514</v>
      </c>
      <c r="E1940" s="1" t="s">
        <v>37515</v>
      </c>
      <c r="F1940" s="1" t="s">
        <v>37516</v>
      </c>
      <c r="G1940" s="1" t="s">
        <v>132</v>
      </c>
      <c r="H1940" s="1" t="s">
        <v>132</v>
      </c>
      <c r="I1940" s="1" t="s">
        <v>37517</v>
      </c>
      <c r="J1940" s="1" t="s">
        <v>132</v>
      </c>
      <c r="K1940" s="1" t="s">
        <v>37518</v>
      </c>
      <c r="L1940" s="1" t="s">
        <v>132</v>
      </c>
      <c r="M1940" s="1" t="s">
        <v>37519</v>
      </c>
      <c r="N1940" s="1" t="s">
        <v>37520</v>
      </c>
      <c r="O1940" s="1" t="s">
        <v>132</v>
      </c>
      <c r="P1940" s="1" t="s">
        <v>37521</v>
      </c>
      <c r="Q1940" s="1" t="s">
        <v>37522</v>
      </c>
      <c r="R1940" s="1" t="s">
        <v>132</v>
      </c>
      <c r="S1940" s="1" t="s">
        <v>37523</v>
      </c>
      <c r="T1940" s="1" t="s">
        <v>132</v>
      </c>
      <c r="U1940" s="1" t="s">
        <v>37524</v>
      </c>
      <c r="V1940" s="1" t="s">
        <v>37525</v>
      </c>
      <c r="W1940" s="1" t="s">
        <v>132</v>
      </c>
      <c r="X1940" s="1" t="s">
        <v>37526</v>
      </c>
      <c r="Y1940" s="1" t="s">
        <v>132</v>
      </c>
      <c r="Z1940" s="1" t="s">
        <v>37527</v>
      </c>
      <c r="AA1940" s="1" t="s">
        <v>37528</v>
      </c>
      <c r="AB1940" s="1" t="s">
        <v>132</v>
      </c>
      <c r="AC1940" s="1" t="s">
        <v>37529</v>
      </c>
      <c r="AD1940" s="1" t="s">
        <v>37530</v>
      </c>
      <c r="AE1940" s="1" t="s">
        <v>132</v>
      </c>
      <c r="AF1940" s="1" t="s">
        <v>37531</v>
      </c>
      <c r="AG1940" s="1" t="s">
        <v>37532</v>
      </c>
      <c r="AH1940" s="1" t="s">
        <v>132</v>
      </c>
      <c r="AI1940" s="1" t="s">
        <v>132</v>
      </c>
      <c r="AJ1940" s="1" t="s">
        <v>37533</v>
      </c>
      <c r="AK1940" s="1" t="s">
        <v>37534</v>
      </c>
      <c r="AL1940" s="1" t="s">
        <v>132</v>
      </c>
      <c r="AM1940" s="1" t="s">
        <v>37535</v>
      </c>
      <c r="AN1940" s="1" t="s">
        <v>37535</v>
      </c>
    </row>
    <row r="1941" ht="15.75" customHeight="1">
      <c r="A1941" s="1" t="s">
        <v>127</v>
      </c>
      <c r="B1941" s="1" t="s">
        <v>37536</v>
      </c>
      <c r="C1941" s="1" t="s">
        <v>37537</v>
      </c>
      <c r="D1941" s="8" t="s">
        <v>37538</v>
      </c>
      <c r="E1941" s="1" t="s">
        <v>37539</v>
      </c>
      <c r="F1941" s="1" t="s">
        <v>132</v>
      </c>
      <c r="G1941" s="1" t="s">
        <v>37540</v>
      </c>
      <c r="H1941" s="1" t="s">
        <v>37541</v>
      </c>
      <c r="I1941" s="1" t="s">
        <v>37542</v>
      </c>
      <c r="J1941" s="1" t="s">
        <v>37543</v>
      </c>
      <c r="K1941" s="1" t="s">
        <v>37544</v>
      </c>
      <c r="L1941" s="1" t="s">
        <v>37545</v>
      </c>
      <c r="M1941" s="1" t="s">
        <v>33299</v>
      </c>
      <c r="N1941" s="1" t="s">
        <v>132</v>
      </c>
      <c r="O1941" s="1" t="s">
        <v>37546</v>
      </c>
      <c r="P1941" s="1" t="s">
        <v>37547</v>
      </c>
      <c r="Q1941" s="1" t="s">
        <v>132</v>
      </c>
      <c r="R1941" s="1" t="s">
        <v>37548</v>
      </c>
      <c r="S1941" s="1" t="s">
        <v>37549</v>
      </c>
      <c r="T1941" s="8" t="s">
        <v>37550</v>
      </c>
      <c r="U1941" s="1" t="s">
        <v>37551</v>
      </c>
      <c r="V1941" s="1" t="s">
        <v>37552</v>
      </c>
      <c r="W1941" s="1" t="s">
        <v>37553</v>
      </c>
      <c r="X1941" s="1" t="s">
        <v>37554</v>
      </c>
      <c r="Y1941" s="1" t="s">
        <v>37541</v>
      </c>
      <c r="Z1941" s="1" t="s">
        <v>37555</v>
      </c>
      <c r="AA1941" s="1" t="s">
        <v>37556</v>
      </c>
      <c r="AB1941" s="1" t="s">
        <v>37557</v>
      </c>
      <c r="AC1941" s="1" t="s">
        <v>37558</v>
      </c>
      <c r="AD1941" s="1" t="s">
        <v>37559</v>
      </c>
      <c r="AE1941" s="1" t="s">
        <v>37560</v>
      </c>
      <c r="AF1941" s="1" t="s">
        <v>37537</v>
      </c>
      <c r="AG1941" s="1" t="s">
        <v>37561</v>
      </c>
      <c r="AH1941" s="1" t="s">
        <v>37562</v>
      </c>
      <c r="AI1941" s="1" t="s">
        <v>37563</v>
      </c>
      <c r="AJ1941" s="1" t="s">
        <v>132</v>
      </c>
      <c r="AK1941" s="1" t="s">
        <v>37564</v>
      </c>
      <c r="AL1941" s="1" t="s">
        <v>37565</v>
      </c>
      <c r="AM1941" s="1" t="s">
        <v>37566</v>
      </c>
      <c r="AN1941" s="1" t="s">
        <v>37566</v>
      </c>
    </row>
    <row r="1942" ht="15.75" customHeight="1">
      <c r="A1942" s="1" t="s">
        <v>38</v>
      </c>
      <c r="B1942" s="1" t="s">
        <v>37567</v>
      </c>
      <c r="C1942" s="1" t="s">
        <v>37568</v>
      </c>
      <c r="D1942" s="8" t="s">
        <v>37569</v>
      </c>
      <c r="E1942" s="1" t="s">
        <v>37570</v>
      </c>
      <c r="F1942" s="1" t="s">
        <v>37571</v>
      </c>
      <c r="G1942" s="1" t="s">
        <v>132</v>
      </c>
      <c r="H1942" s="1" t="s">
        <v>132</v>
      </c>
      <c r="I1942" s="1" t="s">
        <v>37572</v>
      </c>
      <c r="J1942" s="1" t="s">
        <v>132</v>
      </c>
      <c r="K1942" s="1" t="s">
        <v>37573</v>
      </c>
      <c r="L1942" s="1" t="s">
        <v>132</v>
      </c>
      <c r="M1942" s="1" t="s">
        <v>37574</v>
      </c>
      <c r="N1942" s="1" t="s">
        <v>37575</v>
      </c>
      <c r="O1942" s="1" t="s">
        <v>132</v>
      </c>
      <c r="P1942" s="1" t="s">
        <v>37576</v>
      </c>
      <c r="Q1942" s="1" t="s">
        <v>37577</v>
      </c>
      <c r="R1942" s="1" t="s">
        <v>132</v>
      </c>
      <c r="S1942" s="1" t="s">
        <v>37578</v>
      </c>
      <c r="T1942" s="1" t="s">
        <v>132</v>
      </c>
      <c r="U1942" s="1" t="s">
        <v>37579</v>
      </c>
      <c r="V1942" s="1" t="s">
        <v>37580</v>
      </c>
      <c r="W1942" s="1" t="s">
        <v>132</v>
      </c>
      <c r="X1942" s="1" t="s">
        <v>37581</v>
      </c>
      <c r="Y1942" s="1" t="s">
        <v>132</v>
      </c>
      <c r="Z1942" s="1" t="s">
        <v>37582</v>
      </c>
      <c r="AA1942" s="1" t="s">
        <v>37583</v>
      </c>
      <c r="AB1942" s="1" t="s">
        <v>132</v>
      </c>
      <c r="AC1942" s="1" t="s">
        <v>37584</v>
      </c>
      <c r="AD1942" s="1" t="s">
        <v>132</v>
      </c>
      <c r="AE1942" s="1" t="s">
        <v>132</v>
      </c>
      <c r="AF1942" s="1" t="s">
        <v>37585</v>
      </c>
      <c r="AG1942" s="1" t="s">
        <v>37586</v>
      </c>
      <c r="AH1942" s="1" t="s">
        <v>132</v>
      </c>
      <c r="AI1942" s="1" t="s">
        <v>132</v>
      </c>
      <c r="AJ1942" s="1" t="s">
        <v>37587</v>
      </c>
      <c r="AK1942" s="1" t="s">
        <v>37588</v>
      </c>
      <c r="AL1942" s="1" t="s">
        <v>132</v>
      </c>
      <c r="AM1942" s="1" t="s">
        <v>37589</v>
      </c>
      <c r="AN1942" s="1" t="s">
        <v>37589</v>
      </c>
    </row>
    <row r="1943" ht="15.75" customHeight="1">
      <c r="A1943" s="1" t="s">
        <v>38</v>
      </c>
      <c r="B1943" s="1" t="s">
        <v>37590</v>
      </c>
      <c r="C1943" s="1" t="s">
        <v>37591</v>
      </c>
      <c r="D1943" s="8" t="s">
        <v>37592</v>
      </c>
      <c r="E1943" s="1" t="s">
        <v>37593</v>
      </c>
      <c r="F1943" s="1" t="s">
        <v>37594</v>
      </c>
      <c r="G1943" s="1" t="s">
        <v>132</v>
      </c>
      <c r="H1943" s="1" t="s">
        <v>132</v>
      </c>
      <c r="I1943" s="1" t="s">
        <v>37595</v>
      </c>
      <c r="J1943" s="1" t="s">
        <v>132</v>
      </c>
      <c r="K1943" s="1" t="s">
        <v>37596</v>
      </c>
      <c r="L1943" s="1" t="s">
        <v>132</v>
      </c>
      <c r="M1943" s="1" t="s">
        <v>37597</v>
      </c>
      <c r="N1943" s="1" t="s">
        <v>37598</v>
      </c>
      <c r="O1943" s="1" t="s">
        <v>132</v>
      </c>
      <c r="P1943" s="1" t="s">
        <v>37599</v>
      </c>
      <c r="Q1943" s="1" t="s">
        <v>132</v>
      </c>
      <c r="R1943" s="1" t="s">
        <v>132</v>
      </c>
      <c r="S1943" s="1" t="s">
        <v>37600</v>
      </c>
      <c r="T1943" s="1" t="s">
        <v>132</v>
      </c>
      <c r="U1943" s="1" t="s">
        <v>37601</v>
      </c>
      <c r="V1943" s="1" t="s">
        <v>37602</v>
      </c>
      <c r="W1943" s="1" t="s">
        <v>132</v>
      </c>
      <c r="X1943" s="1" t="s">
        <v>37603</v>
      </c>
      <c r="Y1943" s="1" t="s">
        <v>132</v>
      </c>
      <c r="Z1943" s="1" t="s">
        <v>3461</v>
      </c>
      <c r="AA1943" s="1" t="s">
        <v>37598</v>
      </c>
      <c r="AB1943" s="1" t="s">
        <v>132</v>
      </c>
      <c r="AC1943" s="1" t="s">
        <v>37604</v>
      </c>
      <c r="AD1943" s="1" t="s">
        <v>132</v>
      </c>
      <c r="AE1943" s="1" t="s">
        <v>132</v>
      </c>
      <c r="AF1943" s="1" t="s">
        <v>37605</v>
      </c>
      <c r="AG1943" s="1" t="s">
        <v>37606</v>
      </c>
      <c r="AH1943" s="1" t="s">
        <v>132</v>
      </c>
      <c r="AI1943" s="1" t="s">
        <v>132</v>
      </c>
      <c r="AJ1943" s="1" t="s">
        <v>37604</v>
      </c>
      <c r="AK1943" s="1" t="s">
        <v>132</v>
      </c>
      <c r="AL1943" s="1" t="s">
        <v>132</v>
      </c>
      <c r="AM1943" s="1" t="s">
        <v>37607</v>
      </c>
      <c r="AN1943" s="1" t="s">
        <v>37607</v>
      </c>
    </row>
    <row r="1944" ht="15.75" customHeight="1">
      <c r="A1944" s="1" t="s">
        <v>38</v>
      </c>
      <c r="B1944" s="1" t="s">
        <v>37608</v>
      </c>
      <c r="C1944" s="1" t="s">
        <v>37609</v>
      </c>
      <c r="D1944" s="8" t="s">
        <v>37610</v>
      </c>
      <c r="E1944" s="1" t="s">
        <v>37611</v>
      </c>
      <c r="F1944" s="1" t="s">
        <v>37612</v>
      </c>
      <c r="G1944" s="1" t="s">
        <v>132</v>
      </c>
      <c r="H1944" s="1" t="s">
        <v>132</v>
      </c>
      <c r="I1944" s="1" t="s">
        <v>37613</v>
      </c>
      <c r="J1944" s="1" t="s">
        <v>132</v>
      </c>
      <c r="K1944" s="1" t="s">
        <v>37614</v>
      </c>
      <c r="L1944" s="1" t="s">
        <v>132</v>
      </c>
      <c r="M1944" s="1" t="s">
        <v>20189</v>
      </c>
      <c r="N1944" s="1" t="s">
        <v>37615</v>
      </c>
      <c r="O1944" s="1" t="s">
        <v>132</v>
      </c>
      <c r="P1944" s="1" t="s">
        <v>37616</v>
      </c>
      <c r="Q1944" s="1" t="s">
        <v>37617</v>
      </c>
      <c r="R1944" s="1" t="s">
        <v>132</v>
      </c>
      <c r="S1944" s="1" t="s">
        <v>37618</v>
      </c>
      <c r="T1944" s="1" t="s">
        <v>132</v>
      </c>
      <c r="U1944" s="1" t="s">
        <v>37619</v>
      </c>
      <c r="V1944" s="1" t="s">
        <v>37620</v>
      </c>
      <c r="W1944" s="1" t="s">
        <v>132</v>
      </c>
      <c r="X1944" s="1" t="s">
        <v>37621</v>
      </c>
      <c r="Y1944" s="1" t="s">
        <v>132</v>
      </c>
      <c r="Z1944" s="1" t="s">
        <v>37622</v>
      </c>
      <c r="AA1944" s="1" t="s">
        <v>37623</v>
      </c>
      <c r="AB1944" s="1" t="s">
        <v>132</v>
      </c>
      <c r="AC1944" s="1" t="s">
        <v>37624</v>
      </c>
      <c r="AD1944" s="1" t="s">
        <v>37625</v>
      </c>
      <c r="AE1944" s="1" t="s">
        <v>132</v>
      </c>
      <c r="AF1944" s="1" t="s">
        <v>37626</v>
      </c>
      <c r="AG1944" s="1" t="s">
        <v>37627</v>
      </c>
      <c r="AH1944" s="1" t="s">
        <v>132</v>
      </c>
      <c r="AI1944" s="1" t="s">
        <v>132</v>
      </c>
      <c r="AJ1944" s="1" t="s">
        <v>37628</v>
      </c>
      <c r="AK1944" s="1" t="s">
        <v>37629</v>
      </c>
      <c r="AL1944" s="1" t="s">
        <v>132</v>
      </c>
      <c r="AM1944" s="1" t="s">
        <v>37630</v>
      </c>
      <c r="AN1944" s="1" t="s">
        <v>37630</v>
      </c>
    </row>
    <row r="1945" ht="15.75" customHeight="1">
      <c r="A1945" s="1" t="s">
        <v>127</v>
      </c>
      <c r="B1945" s="1" t="s">
        <v>37631</v>
      </c>
      <c r="C1945" s="1" t="s">
        <v>26440</v>
      </c>
      <c r="D1945" s="8" t="s">
        <v>26441</v>
      </c>
      <c r="E1945" s="1" t="s">
        <v>24730</v>
      </c>
      <c r="F1945" s="1" t="s">
        <v>132</v>
      </c>
      <c r="G1945" s="1" t="s">
        <v>24750</v>
      </c>
      <c r="H1945" s="1" t="s">
        <v>24732</v>
      </c>
      <c r="I1945" s="1" t="s">
        <v>26442</v>
      </c>
      <c r="J1945" s="1" t="s">
        <v>26443</v>
      </c>
      <c r="K1945" s="1" t="s">
        <v>24735</v>
      </c>
      <c r="L1945" s="1" t="s">
        <v>24736</v>
      </c>
      <c r="M1945" s="1" t="s">
        <v>24737</v>
      </c>
      <c r="N1945" s="1" t="s">
        <v>132</v>
      </c>
      <c r="O1945" s="1" t="s">
        <v>26444</v>
      </c>
      <c r="P1945" s="1" t="s">
        <v>24739</v>
      </c>
      <c r="Q1945" s="1" t="s">
        <v>132</v>
      </c>
      <c r="R1945" s="1" t="s">
        <v>24740</v>
      </c>
      <c r="S1945" s="1" t="s">
        <v>24741</v>
      </c>
      <c r="T1945" s="8" t="s">
        <v>24742</v>
      </c>
      <c r="U1945" s="1" t="s">
        <v>24743</v>
      </c>
      <c r="V1945" s="1" t="s">
        <v>24744</v>
      </c>
      <c r="W1945" s="1" t="s">
        <v>24740</v>
      </c>
      <c r="X1945" s="1" t="s">
        <v>24745</v>
      </c>
      <c r="Y1945" s="1" t="s">
        <v>24746</v>
      </c>
      <c r="Z1945" s="1" t="s">
        <v>24747</v>
      </c>
      <c r="AA1945" s="1" t="s">
        <v>24748</v>
      </c>
      <c r="AB1945" s="1" t="s">
        <v>37632</v>
      </c>
      <c r="AC1945" s="1" t="s">
        <v>24730</v>
      </c>
      <c r="AD1945" s="1" t="s">
        <v>26446</v>
      </c>
      <c r="AE1945" s="1" t="s">
        <v>26447</v>
      </c>
      <c r="AF1945" s="1" t="s">
        <v>24752</v>
      </c>
      <c r="AG1945" s="1" t="s">
        <v>24732</v>
      </c>
      <c r="AH1945" s="1" t="s">
        <v>24753</v>
      </c>
      <c r="AI1945" s="1" t="s">
        <v>26448</v>
      </c>
      <c r="AJ1945" s="1" t="s">
        <v>132</v>
      </c>
      <c r="AK1945" s="1" t="s">
        <v>24755</v>
      </c>
      <c r="AL1945" s="1" t="s">
        <v>26449</v>
      </c>
      <c r="AM1945" s="1" t="s">
        <v>26450</v>
      </c>
      <c r="AN1945" s="1" t="s">
        <v>26450</v>
      </c>
    </row>
    <row r="1946" ht="15.75" customHeight="1">
      <c r="A1946" s="1" t="s">
        <v>38</v>
      </c>
      <c r="B1946" s="1" t="s">
        <v>37633</v>
      </c>
      <c r="C1946" s="1" t="s">
        <v>37634</v>
      </c>
      <c r="D1946" s="1" t="s">
        <v>132</v>
      </c>
      <c r="E1946" s="1" t="s">
        <v>37635</v>
      </c>
      <c r="F1946" s="1" t="s">
        <v>37636</v>
      </c>
      <c r="G1946" s="1" t="s">
        <v>132</v>
      </c>
      <c r="H1946" s="1" t="s">
        <v>132</v>
      </c>
      <c r="I1946" s="1" t="s">
        <v>37637</v>
      </c>
      <c r="J1946" s="1" t="s">
        <v>132</v>
      </c>
      <c r="K1946" s="1" t="s">
        <v>37638</v>
      </c>
      <c r="L1946" s="1" t="s">
        <v>132</v>
      </c>
      <c r="M1946" s="1" t="s">
        <v>37639</v>
      </c>
      <c r="N1946" s="1" t="s">
        <v>37638</v>
      </c>
      <c r="O1946" s="1" t="s">
        <v>132</v>
      </c>
      <c r="P1946" s="1" t="s">
        <v>37640</v>
      </c>
      <c r="Q1946" s="1" t="s">
        <v>132</v>
      </c>
      <c r="R1946" s="1" t="s">
        <v>132</v>
      </c>
      <c r="S1946" s="1" t="s">
        <v>37641</v>
      </c>
      <c r="T1946" s="1" t="s">
        <v>132</v>
      </c>
      <c r="U1946" s="1" t="s">
        <v>132</v>
      </c>
      <c r="V1946" s="1" t="s">
        <v>132</v>
      </c>
      <c r="W1946" s="1" t="s">
        <v>132</v>
      </c>
      <c r="X1946" s="1" t="s">
        <v>37642</v>
      </c>
      <c r="Y1946" s="1" t="s">
        <v>132</v>
      </c>
      <c r="Z1946" s="1" t="s">
        <v>37643</v>
      </c>
      <c r="AA1946" s="1" t="s">
        <v>37644</v>
      </c>
      <c r="AB1946" s="1" t="s">
        <v>132</v>
      </c>
      <c r="AC1946" s="1" t="s">
        <v>37645</v>
      </c>
      <c r="AD1946" s="1" t="s">
        <v>132</v>
      </c>
      <c r="AE1946" s="1" t="s">
        <v>132</v>
      </c>
      <c r="AF1946" s="1" t="s">
        <v>37646</v>
      </c>
      <c r="AG1946" s="1" t="s">
        <v>132</v>
      </c>
      <c r="AH1946" s="1" t="s">
        <v>132</v>
      </c>
      <c r="AI1946" s="1" t="s">
        <v>132</v>
      </c>
      <c r="AJ1946" s="1" t="s">
        <v>132</v>
      </c>
      <c r="AK1946" s="1" t="s">
        <v>132</v>
      </c>
      <c r="AL1946" s="1" t="s">
        <v>132</v>
      </c>
      <c r="AM1946" s="1" t="s">
        <v>132</v>
      </c>
      <c r="AN1946" s="1" t="s">
        <v>132</v>
      </c>
    </row>
    <row r="1947" ht="15.75" customHeight="1">
      <c r="A1947" s="1" t="s">
        <v>38</v>
      </c>
      <c r="B1947" s="1" t="s">
        <v>37647</v>
      </c>
      <c r="C1947" s="1" t="s">
        <v>37648</v>
      </c>
      <c r="D1947" s="8" t="s">
        <v>37649</v>
      </c>
      <c r="E1947" s="1" t="s">
        <v>37650</v>
      </c>
      <c r="F1947" s="1" t="s">
        <v>37651</v>
      </c>
      <c r="G1947" s="1" t="s">
        <v>132</v>
      </c>
      <c r="H1947" s="1" t="s">
        <v>132</v>
      </c>
      <c r="I1947" s="1" t="s">
        <v>37652</v>
      </c>
      <c r="J1947" s="1" t="s">
        <v>132</v>
      </c>
      <c r="K1947" s="1" t="s">
        <v>37653</v>
      </c>
      <c r="L1947" s="1" t="s">
        <v>132</v>
      </c>
      <c r="M1947" s="1" t="s">
        <v>37654</v>
      </c>
      <c r="N1947" s="1" t="s">
        <v>37655</v>
      </c>
      <c r="O1947" s="1" t="s">
        <v>132</v>
      </c>
      <c r="P1947" s="1" t="s">
        <v>37656</v>
      </c>
      <c r="Q1947" s="1" t="s">
        <v>37657</v>
      </c>
      <c r="R1947" s="1" t="s">
        <v>132</v>
      </c>
      <c r="S1947" s="1" t="s">
        <v>37658</v>
      </c>
      <c r="T1947" s="1" t="s">
        <v>132</v>
      </c>
      <c r="U1947" s="1" t="s">
        <v>37659</v>
      </c>
      <c r="V1947" s="1" t="s">
        <v>37660</v>
      </c>
      <c r="W1947" s="1" t="s">
        <v>132</v>
      </c>
      <c r="X1947" s="1" t="s">
        <v>37661</v>
      </c>
      <c r="Y1947" s="1" t="s">
        <v>132</v>
      </c>
      <c r="Z1947" s="1" t="s">
        <v>37662</v>
      </c>
      <c r="AA1947" s="1" t="s">
        <v>37663</v>
      </c>
      <c r="AB1947" s="1" t="s">
        <v>132</v>
      </c>
      <c r="AC1947" s="1" t="s">
        <v>37664</v>
      </c>
      <c r="AD1947" s="1" t="s">
        <v>37665</v>
      </c>
      <c r="AE1947" s="1" t="s">
        <v>132</v>
      </c>
      <c r="AF1947" s="1" t="s">
        <v>37666</v>
      </c>
      <c r="AG1947" s="1" t="s">
        <v>37667</v>
      </c>
      <c r="AH1947" s="1" t="s">
        <v>132</v>
      </c>
      <c r="AI1947" s="1" t="s">
        <v>132</v>
      </c>
      <c r="AJ1947" s="1" t="s">
        <v>37668</v>
      </c>
      <c r="AK1947" s="1" t="s">
        <v>37669</v>
      </c>
      <c r="AL1947" s="1" t="s">
        <v>132</v>
      </c>
      <c r="AM1947" s="1" t="s">
        <v>37670</v>
      </c>
      <c r="AN1947" s="1" t="s">
        <v>37670</v>
      </c>
    </row>
    <row r="1948" ht="15.75" customHeight="1">
      <c r="A1948" s="1" t="s">
        <v>127</v>
      </c>
      <c r="B1948" s="1" t="s">
        <v>37671</v>
      </c>
      <c r="C1948" s="1" t="s">
        <v>34129</v>
      </c>
      <c r="D1948" s="8" t="s">
        <v>37672</v>
      </c>
      <c r="E1948" s="1" t="s">
        <v>34131</v>
      </c>
      <c r="F1948" s="1" t="s">
        <v>132</v>
      </c>
      <c r="G1948" s="1" t="s">
        <v>34143</v>
      </c>
      <c r="H1948" s="1" t="s">
        <v>37673</v>
      </c>
      <c r="I1948" s="1" t="s">
        <v>19235</v>
      </c>
      <c r="J1948" s="1" t="s">
        <v>37674</v>
      </c>
      <c r="K1948" s="1" t="s">
        <v>34133</v>
      </c>
      <c r="L1948" s="1" t="s">
        <v>37675</v>
      </c>
      <c r="M1948" s="1" t="s">
        <v>34134</v>
      </c>
      <c r="N1948" s="1" t="s">
        <v>132</v>
      </c>
      <c r="O1948" s="1" t="s">
        <v>37676</v>
      </c>
      <c r="P1948" s="1" t="s">
        <v>34136</v>
      </c>
      <c r="Q1948" s="1" t="s">
        <v>132</v>
      </c>
      <c r="R1948" s="1" t="s">
        <v>37677</v>
      </c>
      <c r="S1948" s="1" t="s">
        <v>34129</v>
      </c>
      <c r="T1948" s="8" t="s">
        <v>37678</v>
      </c>
      <c r="U1948" s="1" t="s">
        <v>34137</v>
      </c>
      <c r="V1948" s="1" t="s">
        <v>37679</v>
      </c>
      <c r="W1948" s="1" t="s">
        <v>37680</v>
      </c>
      <c r="X1948" s="1" t="s">
        <v>34129</v>
      </c>
      <c r="Y1948" s="1" t="s">
        <v>37681</v>
      </c>
      <c r="Z1948" s="1" t="s">
        <v>34140</v>
      </c>
      <c r="AA1948" s="1" t="s">
        <v>37682</v>
      </c>
      <c r="AB1948" s="1" t="s">
        <v>37683</v>
      </c>
      <c r="AC1948" s="1" t="s">
        <v>34142</v>
      </c>
      <c r="AD1948" s="1" t="s">
        <v>34143</v>
      </c>
      <c r="AE1948" s="1" t="s">
        <v>37684</v>
      </c>
      <c r="AF1948" s="1" t="s">
        <v>37685</v>
      </c>
      <c r="AG1948" s="1" t="s">
        <v>34145</v>
      </c>
      <c r="AH1948" s="1" t="s">
        <v>37686</v>
      </c>
      <c r="AI1948" s="1" t="s">
        <v>37687</v>
      </c>
      <c r="AJ1948" s="1" t="s">
        <v>132</v>
      </c>
      <c r="AK1948" s="1" t="s">
        <v>34146</v>
      </c>
      <c r="AL1948" s="1" t="s">
        <v>37688</v>
      </c>
      <c r="AM1948" s="1" t="s">
        <v>37689</v>
      </c>
      <c r="AN1948" s="1" t="s">
        <v>37689</v>
      </c>
    </row>
    <row r="1949" ht="15.75" customHeight="1">
      <c r="A1949" s="1" t="s">
        <v>127</v>
      </c>
      <c r="B1949" s="1" t="s">
        <v>37690</v>
      </c>
      <c r="C1949" s="1" t="s">
        <v>22215</v>
      </c>
      <c r="D1949" s="8" t="s">
        <v>22216</v>
      </c>
      <c r="E1949" s="1" t="s">
        <v>16637</v>
      </c>
      <c r="F1949" s="1" t="s">
        <v>132</v>
      </c>
      <c r="G1949" s="1" t="s">
        <v>22217</v>
      </c>
      <c r="H1949" s="1" t="s">
        <v>22218</v>
      </c>
      <c r="I1949" s="1" t="s">
        <v>37691</v>
      </c>
      <c r="J1949" s="1" t="s">
        <v>22220</v>
      </c>
      <c r="K1949" s="1" t="s">
        <v>22221</v>
      </c>
      <c r="L1949" s="1" t="s">
        <v>22222</v>
      </c>
      <c r="M1949" s="1" t="s">
        <v>22223</v>
      </c>
      <c r="N1949" s="1" t="s">
        <v>132</v>
      </c>
      <c r="O1949" s="1" t="s">
        <v>22224</v>
      </c>
      <c r="P1949" s="1" t="s">
        <v>37692</v>
      </c>
      <c r="Q1949" s="1" t="s">
        <v>132</v>
      </c>
      <c r="R1949" s="1" t="s">
        <v>22225</v>
      </c>
      <c r="S1949" s="1" t="s">
        <v>37693</v>
      </c>
      <c r="T1949" s="8" t="s">
        <v>22227</v>
      </c>
      <c r="U1949" s="1" t="s">
        <v>29023</v>
      </c>
      <c r="V1949" s="1" t="s">
        <v>22229</v>
      </c>
      <c r="W1949" s="1" t="s">
        <v>22225</v>
      </c>
      <c r="X1949" s="1" t="s">
        <v>22230</v>
      </c>
      <c r="Y1949" s="1" t="s">
        <v>22231</v>
      </c>
      <c r="Z1949" s="1" t="s">
        <v>29024</v>
      </c>
      <c r="AA1949" s="1" t="s">
        <v>22221</v>
      </c>
      <c r="AB1949" s="1" t="s">
        <v>22233</v>
      </c>
      <c r="AC1949" s="1" t="s">
        <v>22234</v>
      </c>
      <c r="AD1949" s="1" t="s">
        <v>22235</v>
      </c>
      <c r="AE1949" s="1" t="s">
        <v>22236</v>
      </c>
      <c r="AF1949" s="1" t="s">
        <v>22237</v>
      </c>
      <c r="AG1949" s="1" t="s">
        <v>22238</v>
      </c>
      <c r="AH1949" s="1" t="s">
        <v>22239</v>
      </c>
      <c r="AI1949" s="1" t="s">
        <v>29026</v>
      </c>
      <c r="AJ1949" s="1" t="s">
        <v>132</v>
      </c>
      <c r="AK1949" s="1" t="s">
        <v>16660</v>
      </c>
      <c r="AL1949" s="1" t="s">
        <v>22241</v>
      </c>
      <c r="AM1949" s="1" t="s">
        <v>22242</v>
      </c>
      <c r="AN1949" s="1" t="s">
        <v>22242</v>
      </c>
    </row>
    <row r="1950" ht="15.75" customHeight="1">
      <c r="A1950" s="1" t="s">
        <v>38</v>
      </c>
      <c r="B1950" s="1" t="s">
        <v>37694</v>
      </c>
      <c r="C1950" s="1" t="s">
        <v>37695</v>
      </c>
      <c r="D1950" s="8" t="s">
        <v>37696</v>
      </c>
      <c r="E1950" s="1" t="s">
        <v>37697</v>
      </c>
      <c r="F1950" s="1" t="s">
        <v>37698</v>
      </c>
      <c r="G1950" s="1" t="s">
        <v>132</v>
      </c>
      <c r="H1950" s="1" t="s">
        <v>132</v>
      </c>
      <c r="I1950" s="1" t="s">
        <v>37699</v>
      </c>
      <c r="J1950" s="1" t="s">
        <v>132</v>
      </c>
      <c r="K1950" s="1" t="s">
        <v>37700</v>
      </c>
      <c r="L1950" s="1" t="s">
        <v>132</v>
      </c>
      <c r="M1950" s="1" t="s">
        <v>37701</v>
      </c>
      <c r="N1950" s="1" t="s">
        <v>37702</v>
      </c>
      <c r="O1950" s="1" t="s">
        <v>132</v>
      </c>
      <c r="P1950" s="1" t="s">
        <v>7683</v>
      </c>
      <c r="Q1950" s="1" t="s">
        <v>132</v>
      </c>
      <c r="R1950" s="1" t="s">
        <v>132</v>
      </c>
      <c r="S1950" s="1" t="s">
        <v>37703</v>
      </c>
      <c r="T1950" s="1" t="s">
        <v>132</v>
      </c>
      <c r="U1950" s="1" t="s">
        <v>37704</v>
      </c>
      <c r="V1950" s="1" t="s">
        <v>7687</v>
      </c>
      <c r="W1950" s="1" t="s">
        <v>132</v>
      </c>
      <c r="X1950" s="1" t="s">
        <v>37705</v>
      </c>
      <c r="Y1950" s="1" t="s">
        <v>132</v>
      </c>
      <c r="Z1950" s="1" t="s">
        <v>37706</v>
      </c>
      <c r="AA1950" s="1" t="s">
        <v>37707</v>
      </c>
      <c r="AB1950" s="1" t="s">
        <v>132</v>
      </c>
      <c r="AC1950" s="1" t="s">
        <v>37708</v>
      </c>
      <c r="AD1950" s="1" t="s">
        <v>132</v>
      </c>
      <c r="AE1950" s="1" t="s">
        <v>132</v>
      </c>
      <c r="AF1950" s="1" t="s">
        <v>37709</v>
      </c>
      <c r="AG1950" s="1" t="s">
        <v>7694</v>
      </c>
      <c r="AH1950" s="1" t="s">
        <v>132</v>
      </c>
      <c r="AI1950" s="1" t="s">
        <v>132</v>
      </c>
      <c r="AJ1950" s="1" t="s">
        <v>37710</v>
      </c>
      <c r="AK1950" s="1" t="s">
        <v>132</v>
      </c>
      <c r="AL1950" s="1" t="s">
        <v>132</v>
      </c>
      <c r="AM1950" s="1" t="s">
        <v>7697</v>
      </c>
      <c r="AN1950" s="1" t="s">
        <v>7697</v>
      </c>
    </row>
    <row r="1951" ht="15.75" customHeight="1">
      <c r="A1951" s="1" t="s">
        <v>38</v>
      </c>
      <c r="B1951" s="1" t="s">
        <v>37711</v>
      </c>
      <c r="C1951" s="1" t="s">
        <v>37712</v>
      </c>
      <c r="D1951" s="1" t="s">
        <v>132</v>
      </c>
      <c r="E1951" s="1" t="s">
        <v>132</v>
      </c>
      <c r="F1951" s="1" t="s">
        <v>132</v>
      </c>
      <c r="G1951" s="1" t="s">
        <v>132</v>
      </c>
      <c r="H1951" s="1" t="s">
        <v>132</v>
      </c>
      <c r="I1951" s="1" t="s">
        <v>37713</v>
      </c>
      <c r="J1951" s="1" t="s">
        <v>132</v>
      </c>
      <c r="K1951" s="1" t="s">
        <v>37714</v>
      </c>
      <c r="L1951" s="1" t="s">
        <v>132</v>
      </c>
      <c r="M1951" s="1" t="s">
        <v>37715</v>
      </c>
      <c r="N1951" s="1" t="s">
        <v>132</v>
      </c>
      <c r="O1951" s="1" t="s">
        <v>132</v>
      </c>
      <c r="P1951" s="1" t="s">
        <v>37712</v>
      </c>
      <c r="Q1951" s="1" t="s">
        <v>132</v>
      </c>
      <c r="R1951" s="1" t="s">
        <v>132</v>
      </c>
      <c r="S1951" s="1" t="s">
        <v>132</v>
      </c>
      <c r="T1951" s="1" t="s">
        <v>132</v>
      </c>
      <c r="U1951" s="1" t="s">
        <v>132</v>
      </c>
      <c r="V1951" s="1" t="s">
        <v>132</v>
      </c>
      <c r="W1951" s="1" t="s">
        <v>132</v>
      </c>
      <c r="X1951" s="1" t="s">
        <v>132</v>
      </c>
      <c r="Y1951" s="1" t="s">
        <v>132</v>
      </c>
      <c r="Z1951" s="1" t="s">
        <v>132</v>
      </c>
      <c r="AA1951" s="1" t="s">
        <v>132</v>
      </c>
      <c r="AB1951" s="1" t="s">
        <v>132</v>
      </c>
      <c r="AC1951" s="1" t="s">
        <v>37716</v>
      </c>
      <c r="AD1951" s="1" t="s">
        <v>132</v>
      </c>
      <c r="AE1951" s="1" t="s">
        <v>132</v>
      </c>
      <c r="AF1951" s="1" t="s">
        <v>37717</v>
      </c>
      <c r="AG1951" s="1" t="s">
        <v>132</v>
      </c>
      <c r="AH1951" s="1" t="s">
        <v>132</v>
      </c>
      <c r="AI1951" s="1" t="s">
        <v>132</v>
      </c>
      <c r="AJ1951" s="1" t="s">
        <v>132</v>
      </c>
      <c r="AK1951" s="1" t="s">
        <v>132</v>
      </c>
      <c r="AL1951" s="1" t="s">
        <v>132</v>
      </c>
      <c r="AM1951" s="1" t="s">
        <v>132</v>
      </c>
      <c r="AN1951" s="1" t="s">
        <v>132</v>
      </c>
    </row>
    <row r="1952" ht="15.75" customHeight="1">
      <c r="A1952" s="1" t="s">
        <v>127</v>
      </c>
      <c r="B1952" s="1" t="s">
        <v>37718</v>
      </c>
      <c r="C1952" s="1" t="s">
        <v>11018</v>
      </c>
      <c r="D1952" s="8" t="s">
        <v>11019</v>
      </c>
      <c r="E1952" s="1" t="s">
        <v>11020</v>
      </c>
      <c r="F1952" s="1" t="s">
        <v>132</v>
      </c>
      <c r="G1952" s="1" t="s">
        <v>11021</v>
      </c>
      <c r="H1952" s="1" t="s">
        <v>11022</v>
      </c>
      <c r="I1952" s="1" t="s">
        <v>11023</v>
      </c>
      <c r="J1952" s="1" t="s">
        <v>11024</v>
      </c>
      <c r="K1952" s="1" t="s">
        <v>37719</v>
      </c>
      <c r="L1952" s="1" t="s">
        <v>11026</v>
      </c>
      <c r="M1952" s="1" t="s">
        <v>11027</v>
      </c>
      <c r="N1952" s="1" t="s">
        <v>132</v>
      </c>
      <c r="O1952" s="1" t="s">
        <v>11028</v>
      </c>
      <c r="P1952" s="1" t="s">
        <v>11029</v>
      </c>
      <c r="Q1952" s="1" t="s">
        <v>132</v>
      </c>
      <c r="R1952" s="1" t="s">
        <v>11030</v>
      </c>
      <c r="S1952" s="1" t="s">
        <v>37720</v>
      </c>
      <c r="T1952" s="8" t="s">
        <v>11032</v>
      </c>
      <c r="U1952" s="1" t="s">
        <v>11033</v>
      </c>
      <c r="V1952" s="1" t="s">
        <v>11034</v>
      </c>
      <c r="W1952" s="1" t="s">
        <v>11030</v>
      </c>
      <c r="X1952" s="1" t="s">
        <v>37721</v>
      </c>
      <c r="Y1952" s="1" t="s">
        <v>11036</v>
      </c>
      <c r="Z1952" s="1" t="s">
        <v>11037</v>
      </c>
      <c r="AA1952" s="1" t="s">
        <v>11038</v>
      </c>
      <c r="AB1952" s="1" t="s">
        <v>11039</v>
      </c>
      <c r="AC1952" s="1" t="s">
        <v>11040</v>
      </c>
      <c r="AD1952" s="1" t="s">
        <v>11041</v>
      </c>
      <c r="AE1952" s="1" t="s">
        <v>11042</v>
      </c>
      <c r="AF1952" s="1" t="s">
        <v>11043</v>
      </c>
      <c r="AG1952" s="1" t="s">
        <v>11044</v>
      </c>
      <c r="AH1952" s="1" t="s">
        <v>11045</v>
      </c>
      <c r="AI1952" s="1" t="s">
        <v>11046</v>
      </c>
      <c r="AJ1952" s="1" t="s">
        <v>132</v>
      </c>
      <c r="AK1952" s="1" t="s">
        <v>11047</v>
      </c>
      <c r="AL1952" s="1" t="s">
        <v>11048</v>
      </c>
      <c r="AM1952" s="1" t="s">
        <v>11049</v>
      </c>
      <c r="AN1952" s="1" t="s">
        <v>11049</v>
      </c>
    </row>
    <row r="1953" ht="15.75" customHeight="1">
      <c r="A1953" s="1" t="s">
        <v>38</v>
      </c>
      <c r="B1953" s="1" t="s">
        <v>37722</v>
      </c>
      <c r="C1953" s="1" t="s">
        <v>37723</v>
      </c>
      <c r="D1953" s="1" t="s">
        <v>132</v>
      </c>
      <c r="E1953" s="1" t="s">
        <v>37724</v>
      </c>
      <c r="F1953" s="1" t="s">
        <v>37725</v>
      </c>
      <c r="G1953" s="1" t="s">
        <v>132</v>
      </c>
      <c r="H1953" s="1" t="s">
        <v>132</v>
      </c>
      <c r="I1953" s="1" t="s">
        <v>37726</v>
      </c>
      <c r="J1953" s="1" t="s">
        <v>132</v>
      </c>
      <c r="K1953" s="1" t="s">
        <v>37727</v>
      </c>
      <c r="L1953" s="1" t="s">
        <v>132</v>
      </c>
      <c r="M1953" s="1" t="s">
        <v>37728</v>
      </c>
      <c r="N1953" s="1" t="s">
        <v>37729</v>
      </c>
      <c r="O1953" s="1" t="s">
        <v>132</v>
      </c>
      <c r="P1953" s="1" t="s">
        <v>37730</v>
      </c>
      <c r="Q1953" s="1" t="s">
        <v>37731</v>
      </c>
      <c r="R1953" s="1" t="s">
        <v>132</v>
      </c>
      <c r="S1953" s="1" t="s">
        <v>37732</v>
      </c>
      <c r="T1953" s="1" t="s">
        <v>132</v>
      </c>
      <c r="U1953" s="1" t="s">
        <v>37733</v>
      </c>
      <c r="V1953" s="1" t="s">
        <v>37734</v>
      </c>
      <c r="W1953" s="1" t="s">
        <v>132</v>
      </c>
      <c r="X1953" s="1" t="s">
        <v>37735</v>
      </c>
      <c r="Y1953" s="1" t="s">
        <v>132</v>
      </c>
      <c r="Z1953" s="1" t="s">
        <v>37736</v>
      </c>
      <c r="AA1953" s="1" t="s">
        <v>37737</v>
      </c>
      <c r="AB1953" s="1" t="s">
        <v>132</v>
      </c>
      <c r="AC1953" s="1" t="s">
        <v>37738</v>
      </c>
      <c r="AD1953" s="1" t="s">
        <v>37739</v>
      </c>
      <c r="AE1953" s="1" t="s">
        <v>132</v>
      </c>
      <c r="AF1953" s="1" t="s">
        <v>37740</v>
      </c>
      <c r="AG1953" s="1" t="s">
        <v>37741</v>
      </c>
      <c r="AH1953" s="1" t="s">
        <v>132</v>
      </c>
      <c r="AI1953" s="1" t="s">
        <v>132</v>
      </c>
      <c r="AJ1953" s="1" t="s">
        <v>37742</v>
      </c>
      <c r="AK1953" s="1" t="s">
        <v>37743</v>
      </c>
      <c r="AL1953" s="1" t="s">
        <v>132</v>
      </c>
      <c r="AM1953" s="1" t="s">
        <v>37744</v>
      </c>
      <c r="AN1953" s="1" t="s">
        <v>37744</v>
      </c>
    </row>
    <row r="1954" ht="15.75" customHeight="1">
      <c r="A1954" s="1" t="s">
        <v>127</v>
      </c>
      <c r="B1954" s="1" t="s">
        <v>37745</v>
      </c>
      <c r="C1954" s="1" t="s">
        <v>37746</v>
      </c>
      <c r="D1954" s="8" t="s">
        <v>37747</v>
      </c>
      <c r="E1954" s="1" t="s">
        <v>37748</v>
      </c>
      <c r="F1954" s="1" t="s">
        <v>132</v>
      </c>
      <c r="G1954" s="1" t="s">
        <v>37749</v>
      </c>
      <c r="H1954" s="1" t="s">
        <v>37750</v>
      </c>
      <c r="I1954" s="1" t="s">
        <v>37751</v>
      </c>
      <c r="J1954" s="1" t="s">
        <v>37752</v>
      </c>
      <c r="K1954" s="1" t="s">
        <v>37753</v>
      </c>
      <c r="L1954" s="1" t="s">
        <v>37754</v>
      </c>
      <c r="M1954" s="1" t="s">
        <v>37755</v>
      </c>
      <c r="N1954" s="1" t="s">
        <v>132</v>
      </c>
      <c r="O1954" s="1" t="s">
        <v>37756</v>
      </c>
      <c r="P1954" s="1" t="s">
        <v>37746</v>
      </c>
      <c r="Q1954" s="1" t="s">
        <v>132</v>
      </c>
      <c r="R1954" s="1" t="s">
        <v>37757</v>
      </c>
      <c r="S1954" s="1" t="s">
        <v>37758</v>
      </c>
      <c r="T1954" s="8" t="s">
        <v>37759</v>
      </c>
      <c r="U1954" s="1" t="s">
        <v>37760</v>
      </c>
      <c r="V1954" s="1" t="s">
        <v>37761</v>
      </c>
      <c r="W1954" s="1" t="s">
        <v>37762</v>
      </c>
      <c r="X1954" s="1" t="s">
        <v>37763</v>
      </c>
      <c r="Y1954" s="1" t="s">
        <v>37764</v>
      </c>
      <c r="Z1954" s="1" t="s">
        <v>37765</v>
      </c>
      <c r="AA1954" s="1" t="s">
        <v>37766</v>
      </c>
      <c r="AB1954" s="1" t="s">
        <v>37767</v>
      </c>
      <c r="AC1954" s="1" t="s">
        <v>37768</v>
      </c>
      <c r="AD1954" s="1" t="s">
        <v>37769</v>
      </c>
      <c r="AE1954" s="1" t="s">
        <v>37770</v>
      </c>
      <c r="AF1954" s="1" t="s">
        <v>37771</v>
      </c>
      <c r="AG1954" s="1" t="s">
        <v>37772</v>
      </c>
      <c r="AH1954" s="1" t="s">
        <v>37773</v>
      </c>
      <c r="AI1954" s="1" t="s">
        <v>37774</v>
      </c>
      <c r="AJ1954" s="1" t="s">
        <v>132</v>
      </c>
      <c r="AK1954" s="1" t="s">
        <v>37775</v>
      </c>
      <c r="AL1954" s="1" t="s">
        <v>37776</v>
      </c>
      <c r="AM1954" s="1" t="s">
        <v>132</v>
      </c>
      <c r="AN1954" s="1" t="s">
        <v>132</v>
      </c>
    </row>
    <row r="1955" ht="15.75" customHeight="1">
      <c r="A1955" s="1" t="s">
        <v>127</v>
      </c>
      <c r="B1955" s="1" t="s">
        <v>37777</v>
      </c>
      <c r="C1955" s="1" t="s">
        <v>37778</v>
      </c>
      <c r="D1955" s="8" t="s">
        <v>37779</v>
      </c>
      <c r="E1955" s="1" t="s">
        <v>37780</v>
      </c>
      <c r="F1955" s="1" t="s">
        <v>132</v>
      </c>
      <c r="G1955" s="1" t="s">
        <v>37781</v>
      </c>
      <c r="H1955" s="1" t="s">
        <v>37782</v>
      </c>
      <c r="I1955" s="1" t="s">
        <v>37783</v>
      </c>
      <c r="J1955" s="1" t="s">
        <v>37784</v>
      </c>
      <c r="K1955" s="1" t="s">
        <v>37785</v>
      </c>
      <c r="L1955" s="1" t="s">
        <v>37786</v>
      </c>
      <c r="M1955" s="1" t="s">
        <v>37787</v>
      </c>
      <c r="N1955" s="1" t="s">
        <v>132</v>
      </c>
      <c r="O1955" s="1" t="s">
        <v>37788</v>
      </c>
      <c r="P1955" s="1" t="s">
        <v>37789</v>
      </c>
      <c r="Q1955" s="1" t="s">
        <v>132</v>
      </c>
      <c r="R1955" s="1" t="s">
        <v>37790</v>
      </c>
      <c r="S1955" s="1" t="s">
        <v>37791</v>
      </c>
      <c r="T1955" s="8" t="s">
        <v>37792</v>
      </c>
      <c r="U1955" s="1" t="s">
        <v>37793</v>
      </c>
      <c r="V1955" s="1" t="s">
        <v>37794</v>
      </c>
      <c r="W1955" s="1" t="s">
        <v>37790</v>
      </c>
      <c r="X1955" s="1" t="s">
        <v>37795</v>
      </c>
      <c r="Y1955" s="1" t="s">
        <v>37796</v>
      </c>
      <c r="Z1955" s="1" t="s">
        <v>37797</v>
      </c>
      <c r="AA1955" s="1" t="s">
        <v>37798</v>
      </c>
      <c r="AB1955" s="1" t="s">
        <v>37799</v>
      </c>
      <c r="AC1955" s="1" t="s">
        <v>37800</v>
      </c>
      <c r="AD1955" s="1" t="s">
        <v>37801</v>
      </c>
      <c r="AE1955" s="1" t="s">
        <v>37802</v>
      </c>
      <c r="AF1955" s="1" t="s">
        <v>37803</v>
      </c>
      <c r="AG1955" s="1" t="s">
        <v>37778</v>
      </c>
      <c r="AH1955" s="1" t="s">
        <v>37804</v>
      </c>
      <c r="AI1955" s="1" t="s">
        <v>37805</v>
      </c>
      <c r="AJ1955" s="1" t="s">
        <v>132</v>
      </c>
      <c r="AK1955" s="1" t="s">
        <v>37806</v>
      </c>
      <c r="AL1955" s="1" t="s">
        <v>37807</v>
      </c>
      <c r="AM1955" s="1" t="s">
        <v>37808</v>
      </c>
      <c r="AN1955" s="1" t="s">
        <v>37808</v>
      </c>
    </row>
    <row r="1956" ht="15.75" customHeight="1">
      <c r="A1956" s="1" t="s">
        <v>38</v>
      </c>
      <c r="B1956" s="1" t="s">
        <v>37809</v>
      </c>
      <c r="C1956" s="1" t="s">
        <v>37810</v>
      </c>
      <c r="D1956" s="1" t="s">
        <v>132</v>
      </c>
      <c r="E1956" s="1" t="s">
        <v>132</v>
      </c>
      <c r="F1956" s="1" t="s">
        <v>132</v>
      </c>
      <c r="G1956" s="1" t="s">
        <v>132</v>
      </c>
      <c r="H1956" s="1" t="s">
        <v>132</v>
      </c>
      <c r="I1956" s="1" t="s">
        <v>37810</v>
      </c>
      <c r="J1956" s="1" t="s">
        <v>132</v>
      </c>
      <c r="K1956" s="1" t="s">
        <v>37810</v>
      </c>
      <c r="L1956" s="1" t="s">
        <v>132</v>
      </c>
      <c r="M1956" s="1" t="s">
        <v>37810</v>
      </c>
      <c r="N1956" s="1" t="s">
        <v>132</v>
      </c>
      <c r="O1956" s="1" t="s">
        <v>132</v>
      </c>
      <c r="P1956" s="1" t="s">
        <v>37810</v>
      </c>
      <c r="Q1956" s="1" t="s">
        <v>132</v>
      </c>
      <c r="R1956" s="1" t="s">
        <v>132</v>
      </c>
      <c r="S1956" s="1" t="s">
        <v>132</v>
      </c>
      <c r="T1956" s="1" t="s">
        <v>132</v>
      </c>
      <c r="U1956" s="1" t="s">
        <v>132</v>
      </c>
      <c r="V1956" s="1" t="s">
        <v>132</v>
      </c>
      <c r="W1956" s="1" t="s">
        <v>132</v>
      </c>
      <c r="X1956" s="1" t="s">
        <v>132</v>
      </c>
      <c r="Y1956" s="1" t="s">
        <v>132</v>
      </c>
      <c r="Z1956" s="1" t="s">
        <v>132</v>
      </c>
      <c r="AA1956" s="1" t="s">
        <v>132</v>
      </c>
      <c r="AB1956" s="1" t="s">
        <v>132</v>
      </c>
      <c r="AC1956" s="1" t="s">
        <v>37811</v>
      </c>
      <c r="AD1956" s="1" t="s">
        <v>132</v>
      </c>
      <c r="AE1956" s="1" t="s">
        <v>132</v>
      </c>
      <c r="AF1956" s="1" t="s">
        <v>37812</v>
      </c>
      <c r="AG1956" s="1" t="s">
        <v>132</v>
      </c>
      <c r="AH1956" s="1" t="s">
        <v>132</v>
      </c>
      <c r="AI1956" s="1" t="s">
        <v>132</v>
      </c>
      <c r="AJ1956" s="1" t="s">
        <v>132</v>
      </c>
      <c r="AK1956" s="1" t="s">
        <v>132</v>
      </c>
      <c r="AL1956" s="1" t="s">
        <v>132</v>
      </c>
      <c r="AM1956" s="1" t="s">
        <v>132</v>
      </c>
      <c r="AN1956" s="1" t="s">
        <v>132</v>
      </c>
    </row>
    <row r="1957" ht="15.75" customHeight="1">
      <c r="A1957" s="1" t="s">
        <v>38</v>
      </c>
      <c r="B1957" s="1" t="s">
        <v>37813</v>
      </c>
      <c r="C1957" s="1" t="s">
        <v>37814</v>
      </c>
      <c r="D1957" s="8" t="s">
        <v>37815</v>
      </c>
      <c r="E1957" s="1" t="s">
        <v>37816</v>
      </c>
      <c r="F1957" s="1" t="s">
        <v>37814</v>
      </c>
      <c r="G1957" s="1" t="s">
        <v>132</v>
      </c>
      <c r="H1957" s="1" t="s">
        <v>132</v>
      </c>
      <c r="I1957" s="1" t="s">
        <v>37814</v>
      </c>
      <c r="J1957" s="1" t="s">
        <v>132</v>
      </c>
      <c r="K1957" s="1" t="s">
        <v>37817</v>
      </c>
      <c r="L1957" s="1" t="s">
        <v>132</v>
      </c>
      <c r="M1957" s="1" t="s">
        <v>37814</v>
      </c>
      <c r="N1957" s="1" t="s">
        <v>37818</v>
      </c>
      <c r="O1957" s="1" t="s">
        <v>132</v>
      </c>
      <c r="P1957" s="1" t="s">
        <v>37814</v>
      </c>
      <c r="Q1957" s="1" t="s">
        <v>37814</v>
      </c>
      <c r="R1957" s="1" t="s">
        <v>132</v>
      </c>
      <c r="S1957" s="1" t="s">
        <v>37819</v>
      </c>
      <c r="T1957" s="1" t="s">
        <v>132</v>
      </c>
      <c r="U1957" s="1" t="s">
        <v>37820</v>
      </c>
      <c r="V1957" s="1" t="s">
        <v>37821</v>
      </c>
      <c r="W1957" s="1" t="s">
        <v>132</v>
      </c>
      <c r="X1957" s="1" t="s">
        <v>37822</v>
      </c>
      <c r="Y1957" s="1" t="s">
        <v>132</v>
      </c>
      <c r="Z1957" s="1" t="s">
        <v>37814</v>
      </c>
      <c r="AA1957" s="1" t="s">
        <v>37818</v>
      </c>
      <c r="AB1957" s="1" t="s">
        <v>132</v>
      </c>
      <c r="AC1957" s="1" t="s">
        <v>37816</v>
      </c>
      <c r="AD1957" s="1" t="s">
        <v>132</v>
      </c>
      <c r="AE1957" s="1" t="s">
        <v>132</v>
      </c>
      <c r="AF1957" s="1" t="s">
        <v>37816</v>
      </c>
      <c r="AG1957" s="1" t="s">
        <v>37814</v>
      </c>
      <c r="AH1957" s="1" t="s">
        <v>132</v>
      </c>
      <c r="AI1957" s="1" t="s">
        <v>132</v>
      </c>
      <c r="AJ1957" s="1" t="s">
        <v>37816</v>
      </c>
      <c r="AK1957" s="1" t="s">
        <v>37823</v>
      </c>
      <c r="AL1957" s="1" t="s">
        <v>132</v>
      </c>
      <c r="AM1957" s="1" t="s">
        <v>37824</v>
      </c>
      <c r="AN1957" s="1" t="s">
        <v>37824</v>
      </c>
    </row>
    <row r="1958" ht="15.75" customHeight="1">
      <c r="A1958" s="1" t="s">
        <v>127</v>
      </c>
      <c r="B1958" s="1" t="s">
        <v>37825</v>
      </c>
      <c r="C1958" s="1" t="s">
        <v>37826</v>
      </c>
      <c r="D1958" s="8" t="s">
        <v>37827</v>
      </c>
      <c r="E1958" s="1" t="s">
        <v>37828</v>
      </c>
      <c r="F1958" s="1" t="s">
        <v>132</v>
      </c>
      <c r="G1958" s="1" t="s">
        <v>37829</v>
      </c>
      <c r="H1958" s="1" t="s">
        <v>37830</v>
      </c>
      <c r="I1958" s="1" t="s">
        <v>37831</v>
      </c>
      <c r="J1958" s="1" t="s">
        <v>37832</v>
      </c>
      <c r="K1958" s="1" t="s">
        <v>37833</v>
      </c>
      <c r="L1958" s="1" t="s">
        <v>37834</v>
      </c>
      <c r="M1958" s="1" t="s">
        <v>37835</v>
      </c>
      <c r="N1958" s="1" t="s">
        <v>132</v>
      </c>
      <c r="O1958" s="1" t="s">
        <v>37836</v>
      </c>
      <c r="P1958" s="1" t="s">
        <v>37837</v>
      </c>
      <c r="Q1958" s="1" t="s">
        <v>132</v>
      </c>
      <c r="R1958" s="1" t="s">
        <v>37838</v>
      </c>
      <c r="S1958" s="1" t="s">
        <v>30014</v>
      </c>
      <c r="T1958" s="8" t="s">
        <v>30015</v>
      </c>
      <c r="U1958" s="1" t="s">
        <v>37839</v>
      </c>
      <c r="V1958" s="1" t="s">
        <v>37840</v>
      </c>
      <c r="W1958" s="1" t="s">
        <v>37841</v>
      </c>
      <c r="X1958" s="1" t="s">
        <v>37826</v>
      </c>
      <c r="Y1958" s="1" t="s">
        <v>37842</v>
      </c>
      <c r="Z1958" s="1" t="s">
        <v>37843</v>
      </c>
      <c r="AA1958" s="1" t="s">
        <v>37844</v>
      </c>
      <c r="AB1958" s="1" t="s">
        <v>37845</v>
      </c>
      <c r="AC1958" s="1" t="s">
        <v>37846</v>
      </c>
      <c r="AD1958" s="1" t="s">
        <v>37847</v>
      </c>
      <c r="AE1958" s="1" t="s">
        <v>37848</v>
      </c>
      <c r="AF1958" s="1" t="s">
        <v>37849</v>
      </c>
      <c r="AG1958" s="1" t="s">
        <v>37850</v>
      </c>
      <c r="AH1958" s="1" t="s">
        <v>37851</v>
      </c>
      <c r="AI1958" s="1" t="s">
        <v>37852</v>
      </c>
      <c r="AJ1958" s="1" t="s">
        <v>132</v>
      </c>
      <c r="AK1958" s="1" t="s">
        <v>37853</v>
      </c>
      <c r="AL1958" s="1" t="s">
        <v>37854</v>
      </c>
      <c r="AM1958" s="1" t="s">
        <v>37855</v>
      </c>
      <c r="AN1958" s="1" t="s">
        <v>37855</v>
      </c>
    </row>
    <row r="1959" ht="15.75" customHeight="1">
      <c r="A1959" s="1" t="s">
        <v>127</v>
      </c>
      <c r="B1959" s="1" t="s">
        <v>37856</v>
      </c>
      <c r="C1959" s="1" t="s">
        <v>37857</v>
      </c>
      <c r="D1959" s="1" t="s">
        <v>132</v>
      </c>
      <c r="E1959" s="1" t="s">
        <v>132</v>
      </c>
      <c r="F1959" s="1" t="s">
        <v>132</v>
      </c>
      <c r="G1959" s="1" t="s">
        <v>132</v>
      </c>
      <c r="H1959" s="1" t="s">
        <v>37859</v>
      </c>
      <c r="I1959" s="1" t="s">
        <v>37860</v>
      </c>
      <c r="J1959" s="1" t="s">
        <v>132</v>
      </c>
      <c r="K1959" s="1" t="s">
        <v>132</v>
      </c>
      <c r="L1959" s="1" t="s">
        <v>37861</v>
      </c>
      <c r="M1959" s="1" t="s">
        <v>37862</v>
      </c>
      <c r="N1959" s="1" t="s">
        <v>132</v>
      </c>
      <c r="O1959" s="1" t="s">
        <v>132</v>
      </c>
      <c r="P1959" s="1" t="s">
        <v>37863</v>
      </c>
      <c r="Q1959" s="1" t="s">
        <v>132</v>
      </c>
      <c r="R1959" s="1" t="s">
        <v>37864</v>
      </c>
      <c r="S1959" s="1" t="s">
        <v>37865</v>
      </c>
      <c r="T1959" s="1" t="s">
        <v>132</v>
      </c>
      <c r="U1959" s="1" t="s">
        <v>37866</v>
      </c>
      <c r="V1959" s="1" t="s">
        <v>132</v>
      </c>
      <c r="W1959" s="1" t="s">
        <v>37864</v>
      </c>
      <c r="X1959" s="1" t="s">
        <v>37867</v>
      </c>
      <c r="Y1959" s="1" t="s">
        <v>37868</v>
      </c>
      <c r="Z1959" s="11" t="s">
        <v>37869</v>
      </c>
      <c r="AA1959" s="1" t="s">
        <v>37870</v>
      </c>
      <c r="AB1959" s="1" t="s">
        <v>132</v>
      </c>
      <c r="AC1959" s="1" t="s">
        <v>37871</v>
      </c>
      <c r="AD1959" s="1" t="s">
        <v>132</v>
      </c>
      <c r="AE1959" s="1" t="s">
        <v>132</v>
      </c>
      <c r="AF1959" s="1" t="s">
        <v>132</v>
      </c>
      <c r="AG1959" s="11" t="s">
        <v>37873</v>
      </c>
      <c r="AH1959" s="1" t="s">
        <v>132</v>
      </c>
      <c r="AI1959" s="1" t="s">
        <v>37874</v>
      </c>
      <c r="AJ1959" s="1" t="s">
        <v>132</v>
      </c>
      <c r="AK1959" s="1" t="s">
        <v>132</v>
      </c>
      <c r="AL1959" s="14" t="s">
        <v>37875</v>
      </c>
      <c r="AM1959" s="1" t="s">
        <v>132</v>
      </c>
      <c r="AN1959" s="1" t="s">
        <v>132</v>
      </c>
    </row>
    <row r="1960" ht="15.75" customHeight="1">
      <c r="A1960" s="1" t="s">
        <v>38</v>
      </c>
      <c r="B1960" s="1" t="s">
        <v>37876</v>
      </c>
      <c r="C1960" s="1" t="s">
        <v>37877</v>
      </c>
      <c r="D1960" s="1" t="s">
        <v>132</v>
      </c>
      <c r="E1960" s="1" t="s">
        <v>37878</v>
      </c>
      <c r="F1960" s="1" t="s">
        <v>132</v>
      </c>
      <c r="G1960" s="1" t="s">
        <v>132</v>
      </c>
      <c r="H1960" s="1" t="s">
        <v>132</v>
      </c>
      <c r="I1960" s="1" t="s">
        <v>37879</v>
      </c>
      <c r="J1960" s="1" t="s">
        <v>132</v>
      </c>
      <c r="K1960" s="1" t="s">
        <v>37880</v>
      </c>
      <c r="L1960" s="1" t="s">
        <v>132</v>
      </c>
      <c r="M1960" s="1" t="s">
        <v>132</v>
      </c>
      <c r="N1960" s="1" t="s">
        <v>37880</v>
      </c>
      <c r="O1960" s="1" t="s">
        <v>132</v>
      </c>
      <c r="P1960" s="1" t="s">
        <v>37882</v>
      </c>
      <c r="Q1960" s="1" t="s">
        <v>132</v>
      </c>
      <c r="R1960" s="1" t="s">
        <v>132</v>
      </c>
      <c r="S1960" s="1" t="s">
        <v>37883</v>
      </c>
      <c r="T1960" s="1" t="s">
        <v>132</v>
      </c>
      <c r="U1960" s="1" t="s">
        <v>132</v>
      </c>
      <c r="V1960" s="1" t="s">
        <v>132</v>
      </c>
      <c r="W1960" s="1" t="s">
        <v>132</v>
      </c>
      <c r="X1960" s="1" t="s">
        <v>37884</v>
      </c>
      <c r="Y1960" s="1" t="s">
        <v>132</v>
      </c>
      <c r="Z1960" s="1" t="s">
        <v>37885</v>
      </c>
      <c r="AA1960" s="1" t="s">
        <v>132</v>
      </c>
      <c r="AB1960" s="1" t="s">
        <v>132</v>
      </c>
      <c r="AC1960" s="1" t="s">
        <v>132</v>
      </c>
      <c r="AD1960" s="1" t="s">
        <v>132</v>
      </c>
      <c r="AE1960" s="1" t="s">
        <v>132</v>
      </c>
      <c r="AF1960" s="1" t="s">
        <v>132</v>
      </c>
      <c r="AG1960" s="1" t="s">
        <v>132</v>
      </c>
      <c r="AH1960" s="1" t="s">
        <v>132</v>
      </c>
      <c r="AI1960" s="1" t="s">
        <v>132</v>
      </c>
      <c r="AJ1960" s="1" t="s">
        <v>132</v>
      </c>
      <c r="AK1960" s="1" t="s">
        <v>132</v>
      </c>
      <c r="AL1960" s="1" t="s">
        <v>132</v>
      </c>
      <c r="AM1960" s="1" t="s">
        <v>132</v>
      </c>
      <c r="AN1960" s="1" t="s">
        <v>132</v>
      </c>
    </row>
    <row r="1961" ht="15.75" customHeight="1">
      <c r="A1961" s="1" t="s">
        <v>38</v>
      </c>
      <c r="B1961" s="1" t="s">
        <v>37886</v>
      </c>
      <c r="C1961" s="1" t="s">
        <v>37887</v>
      </c>
      <c r="D1961" s="8" t="s">
        <v>37888</v>
      </c>
      <c r="E1961" s="1" t="s">
        <v>37889</v>
      </c>
      <c r="F1961" s="1" t="s">
        <v>37890</v>
      </c>
      <c r="G1961" s="1" t="s">
        <v>132</v>
      </c>
      <c r="H1961" s="1" t="s">
        <v>132</v>
      </c>
      <c r="I1961" s="1" t="s">
        <v>37891</v>
      </c>
      <c r="J1961" s="1" t="s">
        <v>132</v>
      </c>
      <c r="K1961" s="1" t="s">
        <v>37892</v>
      </c>
      <c r="L1961" s="1" t="s">
        <v>132</v>
      </c>
      <c r="M1961" s="1" t="s">
        <v>37893</v>
      </c>
      <c r="N1961" s="1" t="s">
        <v>37894</v>
      </c>
      <c r="O1961" s="1" t="s">
        <v>132</v>
      </c>
      <c r="P1961" s="1" t="s">
        <v>37895</v>
      </c>
      <c r="Q1961" s="1" t="s">
        <v>132</v>
      </c>
      <c r="R1961" s="1" t="s">
        <v>132</v>
      </c>
      <c r="S1961" s="1" t="s">
        <v>37896</v>
      </c>
      <c r="T1961" s="1" t="s">
        <v>132</v>
      </c>
      <c r="U1961" s="1" t="s">
        <v>132</v>
      </c>
      <c r="V1961" s="1" t="s">
        <v>132</v>
      </c>
      <c r="W1961" s="1" t="s">
        <v>132</v>
      </c>
      <c r="X1961" s="1" t="s">
        <v>37897</v>
      </c>
      <c r="Y1961" s="1" t="s">
        <v>132</v>
      </c>
      <c r="Z1961" s="1" t="s">
        <v>37898</v>
      </c>
      <c r="AA1961" s="1" t="s">
        <v>37899</v>
      </c>
      <c r="AB1961" s="1" t="s">
        <v>132</v>
      </c>
      <c r="AC1961" s="1" t="s">
        <v>37900</v>
      </c>
      <c r="AD1961" s="1" t="s">
        <v>132</v>
      </c>
      <c r="AE1961" s="1" t="s">
        <v>132</v>
      </c>
      <c r="AF1961" s="1" t="s">
        <v>132</v>
      </c>
      <c r="AG1961" s="1" t="s">
        <v>132</v>
      </c>
      <c r="AH1961" s="1" t="s">
        <v>132</v>
      </c>
      <c r="AI1961" s="1" t="s">
        <v>132</v>
      </c>
      <c r="AJ1961" s="1" t="s">
        <v>132</v>
      </c>
      <c r="AK1961" s="1" t="s">
        <v>132</v>
      </c>
      <c r="AL1961" s="1" t="s">
        <v>132</v>
      </c>
      <c r="AM1961" s="1" t="s">
        <v>132</v>
      </c>
      <c r="AN1961" s="1" t="s">
        <v>132</v>
      </c>
    </row>
    <row r="1962" ht="15.75" customHeight="1">
      <c r="A1962" s="1" t="s">
        <v>38</v>
      </c>
      <c r="B1962" s="1" t="s">
        <v>37901</v>
      </c>
      <c r="C1962" s="1" t="s">
        <v>37902</v>
      </c>
      <c r="D1962" s="1" t="s">
        <v>132</v>
      </c>
      <c r="E1962" s="1" t="s">
        <v>132</v>
      </c>
      <c r="F1962" s="1" t="s">
        <v>132</v>
      </c>
      <c r="G1962" s="1" t="s">
        <v>132</v>
      </c>
      <c r="H1962" s="1" t="s">
        <v>132</v>
      </c>
      <c r="I1962" s="1" t="s">
        <v>37902</v>
      </c>
      <c r="J1962" s="1" t="s">
        <v>132</v>
      </c>
      <c r="K1962" s="1" t="s">
        <v>37902</v>
      </c>
      <c r="L1962" s="1" t="s">
        <v>132</v>
      </c>
      <c r="M1962" s="1" t="s">
        <v>37903</v>
      </c>
      <c r="N1962" s="1" t="s">
        <v>132</v>
      </c>
      <c r="O1962" s="1" t="s">
        <v>132</v>
      </c>
      <c r="P1962" s="1" t="s">
        <v>37902</v>
      </c>
      <c r="Q1962" s="1" t="s">
        <v>132</v>
      </c>
      <c r="R1962" s="1" t="s">
        <v>132</v>
      </c>
      <c r="S1962" s="1" t="s">
        <v>132</v>
      </c>
      <c r="T1962" s="1" t="s">
        <v>132</v>
      </c>
      <c r="U1962" s="1" t="s">
        <v>132</v>
      </c>
      <c r="V1962" s="1" t="s">
        <v>132</v>
      </c>
      <c r="W1962" s="1" t="s">
        <v>132</v>
      </c>
      <c r="X1962" s="1" t="s">
        <v>132</v>
      </c>
      <c r="Y1962" s="1" t="s">
        <v>132</v>
      </c>
      <c r="Z1962" s="1" t="s">
        <v>132</v>
      </c>
      <c r="AA1962" s="1" t="s">
        <v>132</v>
      </c>
      <c r="AB1962" s="1" t="s">
        <v>132</v>
      </c>
      <c r="AC1962" s="1" t="s">
        <v>37904</v>
      </c>
      <c r="AD1962" s="1" t="s">
        <v>132</v>
      </c>
      <c r="AE1962" s="1" t="s">
        <v>132</v>
      </c>
      <c r="AF1962" s="1" t="s">
        <v>37902</v>
      </c>
      <c r="AG1962" s="1" t="s">
        <v>132</v>
      </c>
      <c r="AH1962" s="1" t="s">
        <v>132</v>
      </c>
      <c r="AI1962" s="1" t="s">
        <v>132</v>
      </c>
      <c r="AJ1962" s="1" t="s">
        <v>132</v>
      </c>
      <c r="AK1962" s="1" t="s">
        <v>132</v>
      </c>
      <c r="AL1962" s="1" t="s">
        <v>132</v>
      </c>
      <c r="AM1962" s="1" t="s">
        <v>132</v>
      </c>
      <c r="AN1962" s="1" t="s">
        <v>132</v>
      </c>
    </row>
    <row r="1963" ht="15.75" customHeight="1">
      <c r="A1963" s="1" t="s">
        <v>127</v>
      </c>
      <c r="B1963" s="1" t="s">
        <v>37905</v>
      </c>
      <c r="C1963" s="1" t="s">
        <v>37906</v>
      </c>
      <c r="D1963" s="8" t="s">
        <v>37907</v>
      </c>
      <c r="E1963" s="1" t="s">
        <v>37908</v>
      </c>
      <c r="F1963" s="1" t="s">
        <v>132</v>
      </c>
      <c r="G1963" s="1" t="s">
        <v>37909</v>
      </c>
      <c r="H1963" s="1" t="s">
        <v>37910</v>
      </c>
      <c r="I1963" s="1" t="s">
        <v>37906</v>
      </c>
      <c r="J1963" s="1" t="s">
        <v>37911</v>
      </c>
      <c r="K1963" s="1" t="s">
        <v>37912</v>
      </c>
      <c r="L1963" s="1" t="s">
        <v>37913</v>
      </c>
      <c r="M1963" s="1" t="s">
        <v>37906</v>
      </c>
      <c r="N1963" s="1" t="s">
        <v>132</v>
      </c>
      <c r="O1963" s="1" t="s">
        <v>37914</v>
      </c>
      <c r="P1963" s="1" t="s">
        <v>37906</v>
      </c>
      <c r="Q1963" s="1" t="s">
        <v>132</v>
      </c>
      <c r="R1963" s="1" t="s">
        <v>37915</v>
      </c>
      <c r="S1963" s="1" t="s">
        <v>37916</v>
      </c>
      <c r="T1963" s="8" t="s">
        <v>37917</v>
      </c>
      <c r="U1963" s="1" t="s">
        <v>37918</v>
      </c>
      <c r="V1963" s="1" t="s">
        <v>37919</v>
      </c>
      <c r="W1963" s="1" t="s">
        <v>37915</v>
      </c>
      <c r="X1963" s="1" t="s">
        <v>37920</v>
      </c>
      <c r="Y1963" s="1" t="s">
        <v>37921</v>
      </c>
      <c r="Z1963" s="1" t="s">
        <v>37906</v>
      </c>
      <c r="AA1963" s="1" t="s">
        <v>37922</v>
      </c>
      <c r="AB1963" s="1" t="s">
        <v>37923</v>
      </c>
      <c r="AC1963" s="1" t="s">
        <v>37924</v>
      </c>
      <c r="AD1963" s="1" t="s">
        <v>37925</v>
      </c>
      <c r="AE1963" s="1" t="s">
        <v>37926</v>
      </c>
      <c r="AF1963" s="1" t="s">
        <v>37906</v>
      </c>
      <c r="AG1963" s="1" t="s">
        <v>37906</v>
      </c>
      <c r="AH1963" s="1" t="s">
        <v>37927</v>
      </c>
      <c r="AI1963" s="1" t="s">
        <v>37928</v>
      </c>
      <c r="AJ1963" s="1" t="s">
        <v>132</v>
      </c>
      <c r="AK1963" s="1" t="s">
        <v>37929</v>
      </c>
      <c r="AL1963" s="1" t="s">
        <v>37930</v>
      </c>
      <c r="AM1963" s="1" t="s">
        <v>37931</v>
      </c>
      <c r="AN1963" s="1" t="s">
        <v>37931</v>
      </c>
    </row>
    <row r="1964" ht="15.75" customHeight="1">
      <c r="A1964" s="1" t="s">
        <v>38</v>
      </c>
      <c r="B1964" s="1" t="s">
        <v>37932</v>
      </c>
      <c r="C1964" s="1" t="s">
        <v>37933</v>
      </c>
      <c r="D1964" s="1" t="s">
        <v>132</v>
      </c>
      <c r="E1964" s="1" t="s">
        <v>132</v>
      </c>
      <c r="F1964" s="1" t="s">
        <v>132</v>
      </c>
      <c r="G1964" s="1" t="s">
        <v>132</v>
      </c>
      <c r="H1964" s="1" t="s">
        <v>132</v>
      </c>
      <c r="I1964" s="1" t="s">
        <v>37934</v>
      </c>
      <c r="J1964" s="1" t="s">
        <v>132</v>
      </c>
      <c r="K1964" s="1" t="s">
        <v>37935</v>
      </c>
      <c r="L1964" s="1" t="s">
        <v>132</v>
      </c>
      <c r="M1964" s="1" t="s">
        <v>37936</v>
      </c>
      <c r="N1964" s="1" t="s">
        <v>132</v>
      </c>
      <c r="O1964" s="1" t="s">
        <v>132</v>
      </c>
      <c r="P1964" s="1" t="s">
        <v>37933</v>
      </c>
      <c r="Q1964" s="1" t="s">
        <v>132</v>
      </c>
      <c r="R1964" s="1" t="s">
        <v>132</v>
      </c>
      <c r="S1964" s="1" t="s">
        <v>132</v>
      </c>
      <c r="T1964" s="1" t="s">
        <v>132</v>
      </c>
      <c r="U1964" s="1" t="s">
        <v>132</v>
      </c>
      <c r="V1964" s="1" t="s">
        <v>132</v>
      </c>
      <c r="W1964" s="1" t="s">
        <v>132</v>
      </c>
      <c r="X1964" s="1" t="s">
        <v>132</v>
      </c>
      <c r="Y1964" s="1" t="s">
        <v>132</v>
      </c>
      <c r="Z1964" s="1" t="s">
        <v>132</v>
      </c>
      <c r="AA1964" s="1" t="s">
        <v>132</v>
      </c>
      <c r="AB1964" s="1" t="s">
        <v>132</v>
      </c>
      <c r="AC1964" s="1" t="s">
        <v>37937</v>
      </c>
      <c r="AD1964" s="1" t="s">
        <v>132</v>
      </c>
      <c r="AE1964" s="1" t="s">
        <v>132</v>
      </c>
      <c r="AF1964" s="1" t="s">
        <v>37938</v>
      </c>
      <c r="AG1964" s="1" t="s">
        <v>132</v>
      </c>
      <c r="AH1964" s="1" t="s">
        <v>132</v>
      </c>
      <c r="AI1964" s="1" t="s">
        <v>132</v>
      </c>
      <c r="AJ1964" s="1" t="s">
        <v>132</v>
      </c>
      <c r="AK1964" s="1" t="s">
        <v>132</v>
      </c>
      <c r="AL1964" s="1" t="s">
        <v>132</v>
      </c>
      <c r="AM1964" s="1" t="s">
        <v>132</v>
      </c>
      <c r="AN1964" s="1" t="s">
        <v>132</v>
      </c>
    </row>
    <row r="1965" ht="15.75" customHeight="1">
      <c r="A1965" s="1" t="s">
        <v>38</v>
      </c>
      <c r="B1965" s="1" t="s">
        <v>37939</v>
      </c>
      <c r="C1965" s="1" t="s">
        <v>37940</v>
      </c>
      <c r="D1965" s="8" t="s">
        <v>37941</v>
      </c>
      <c r="E1965" s="1" t="s">
        <v>37942</v>
      </c>
      <c r="F1965" s="1" t="s">
        <v>37943</v>
      </c>
      <c r="G1965" s="1" t="s">
        <v>132</v>
      </c>
      <c r="H1965" s="1" t="s">
        <v>132</v>
      </c>
      <c r="I1965" s="1" t="s">
        <v>37944</v>
      </c>
      <c r="J1965" s="1" t="s">
        <v>132</v>
      </c>
      <c r="K1965" s="1" t="s">
        <v>37945</v>
      </c>
      <c r="L1965" s="1" t="s">
        <v>132</v>
      </c>
      <c r="M1965" s="1" t="s">
        <v>37946</v>
      </c>
      <c r="N1965" s="1" t="s">
        <v>37947</v>
      </c>
      <c r="O1965" s="1" t="s">
        <v>132</v>
      </c>
      <c r="P1965" s="1" t="s">
        <v>37948</v>
      </c>
      <c r="Q1965" s="1" t="s">
        <v>132</v>
      </c>
      <c r="R1965" s="1" t="s">
        <v>132</v>
      </c>
      <c r="S1965" s="1" t="s">
        <v>37949</v>
      </c>
      <c r="T1965" s="1" t="s">
        <v>132</v>
      </c>
      <c r="U1965" s="1" t="s">
        <v>37950</v>
      </c>
      <c r="V1965" s="1" t="s">
        <v>37951</v>
      </c>
      <c r="W1965" s="1" t="s">
        <v>132</v>
      </c>
      <c r="X1965" s="1" t="s">
        <v>37952</v>
      </c>
      <c r="Y1965" s="1" t="s">
        <v>132</v>
      </c>
      <c r="Z1965" s="1" t="s">
        <v>37953</v>
      </c>
      <c r="AA1965" s="1" t="s">
        <v>37954</v>
      </c>
      <c r="AB1965" s="1" t="s">
        <v>132</v>
      </c>
      <c r="AC1965" s="1" t="s">
        <v>37955</v>
      </c>
      <c r="AD1965" s="1" t="s">
        <v>132</v>
      </c>
      <c r="AE1965" s="1" t="s">
        <v>132</v>
      </c>
      <c r="AF1965" s="1" t="s">
        <v>37956</v>
      </c>
      <c r="AG1965" s="1" t="s">
        <v>37957</v>
      </c>
      <c r="AH1965" s="1" t="s">
        <v>132</v>
      </c>
      <c r="AI1965" s="1" t="s">
        <v>132</v>
      </c>
      <c r="AJ1965" s="1" t="s">
        <v>37958</v>
      </c>
      <c r="AK1965" s="1" t="s">
        <v>132</v>
      </c>
      <c r="AL1965" s="1" t="s">
        <v>132</v>
      </c>
      <c r="AM1965" s="1" t="s">
        <v>37959</v>
      </c>
      <c r="AN1965" s="1" t="s">
        <v>37959</v>
      </c>
    </row>
    <row r="1966" ht="15.75" customHeight="1">
      <c r="A1966" s="1" t="s">
        <v>127</v>
      </c>
      <c r="B1966" s="1" t="s">
        <v>37960</v>
      </c>
      <c r="C1966" s="1" t="s">
        <v>37961</v>
      </c>
      <c r="D1966" s="8" t="s">
        <v>37962</v>
      </c>
      <c r="E1966" s="1" t="s">
        <v>37963</v>
      </c>
      <c r="F1966" s="1" t="s">
        <v>132</v>
      </c>
      <c r="G1966" s="1" t="s">
        <v>37964</v>
      </c>
      <c r="H1966" s="1" t="s">
        <v>37965</v>
      </c>
      <c r="I1966" s="1" t="s">
        <v>37966</v>
      </c>
      <c r="J1966" s="1" t="s">
        <v>37967</v>
      </c>
      <c r="K1966" s="1" t="s">
        <v>37968</v>
      </c>
      <c r="L1966" s="1" t="s">
        <v>37969</v>
      </c>
      <c r="M1966" s="1" t="s">
        <v>37970</v>
      </c>
      <c r="N1966" s="1" t="s">
        <v>132</v>
      </c>
      <c r="O1966" s="1" t="s">
        <v>37971</v>
      </c>
      <c r="P1966" s="1" t="s">
        <v>37972</v>
      </c>
      <c r="Q1966" s="1" t="s">
        <v>132</v>
      </c>
      <c r="R1966" s="1" t="s">
        <v>37973</v>
      </c>
      <c r="S1966" s="1" t="s">
        <v>37968</v>
      </c>
      <c r="T1966" s="8" t="s">
        <v>37974</v>
      </c>
      <c r="U1966" s="1" t="s">
        <v>37975</v>
      </c>
      <c r="V1966" s="1" t="s">
        <v>37976</v>
      </c>
      <c r="W1966" s="1" t="s">
        <v>37973</v>
      </c>
      <c r="X1966" s="1" t="s">
        <v>37961</v>
      </c>
      <c r="Y1966" s="1" t="s">
        <v>37977</v>
      </c>
      <c r="Z1966" s="1" t="s">
        <v>37978</v>
      </c>
      <c r="AA1966" s="1" t="s">
        <v>37979</v>
      </c>
      <c r="AB1966" s="1" t="s">
        <v>37980</v>
      </c>
      <c r="AC1966" s="1" t="s">
        <v>37981</v>
      </c>
      <c r="AD1966" s="1" t="s">
        <v>37982</v>
      </c>
      <c r="AE1966" s="1" t="s">
        <v>37983</v>
      </c>
      <c r="AF1966" s="1" t="s">
        <v>37984</v>
      </c>
      <c r="AG1966" s="1" t="s">
        <v>37985</v>
      </c>
      <c r="AH1966" s="1" t="s">
        <v>37986</v>
      </c>
      <c r="AI1966" s="1" t="s">
        <v>37987</v>
      </c>
      <c r="AJ1966" s="1" t="s">
        <v>132</v>
      </c>
      <c r="AK1966" s="1" t="s">
        <v>37988</v>
      </c>
      <c r="AL1966" s="1" t="s">
        <v>37989</v>
      </c>
      <c r="AM1966" s="1" t="s">
        <v>37990</v>
      </c>
      <c r="AN1966" s="1" t="s">
        <v>37990</v>
      </c>
    </row>
    <row r="1967" ht="15.75" customHeight="1">
      <c r="A1967" s="1" t="s">
        <v>38</v>
      </c>
      <c r="B1967" s="1" t="s">
        <v>37991</v>
      </c>
      <c r="C1967" s="1" t="s">
        <v>37992</v>
      </c>
      <c r="D1967" s="1" t="s">
        <v>132</v>
      </c>
      <c r="E1967" s="1" t="s">
        <v>132</v>
      </c>
      <c r="F1967" s="1" t="s">
        <v>132</v>
      </c>
      <c r="G1967" s="1" t="s">
        <v>132</v>
      </c>
      <c r="H1967" s="1" t="s">
        <v>132</v>
      </c>
      <c r="I1967" s="1" t="s">
        <v>37993</v>
      </c>
      <c r="J1967" s="1" t="s">
        <v>132</v>
      </c>
      <c r="K1967" s="1" t="s">
        <v>37994</v>
      </c>
      <c r="L1967" s="1" t="s">
        <v>132</v>
      </c>
      <c r="M1967" s="1" t="s">
        <v>37995</v>
      </c>
      <c r="N1967" s="1" t="s">
        <v>132</v>
      </c>
      <c r="O1967" s="1" t="s">
        <v>132</v>
      </c>
      <c r="P1967" s="1" t="s">
        <v>37992</v>
      </c>
      <c r="Q1967" s="1" t="s">
        <v>132</v>
      </c>
      <c r="R1967" s="1" t="s">
        <v>132</v>
      </c>
      <c r="S1967" s="1" t="s">
        <v>132</v>
      </c>
      <c r="T1967" s="1" t="s">
        <v>132</v>
      </c>
      <c r="U1967" s="1" t="s">
        <v>132</v>
      </c>
      <c r="V1967" s="1" t="s">
        <v>132</v>
      </c>
      <c r="W1967" s="1" t="s">
        <v>132</v>
      </c>
      <c r="X1967" s="1" t="s">
        <v>132</v>
      </c>
      <c r="Y1967" s="1" t="s">
        <v>132</v>
      </c>
      <c r="Z1967" s="1" t="s">
        <v>132</v>
      </c>
      <c r="AA1967" s="1" t="s">
        <v>132</v>
      </c>
      <c r="AB1967" s="1" t="s">
        <v>132</v>
      </c>
      <c r="AC1967" s="1" t="s">
        <v>37996</v>
      </c>
      <c r="AD1967" s="1" t="s">
        <v>132</v>
      </c>
      <c r="AE1967" s="1" t="s">
        <v>132</v>
      </c>
      <c r="AF1967" s="1" t="s">
        <v>37997</v>
      </c>
      <c r="AG1967" s="1" t="s">
        <v>132</v>
      </c>
      <c r="AH1967" s="1" t="s">
        <v>132</v>
      </c>
      <c r="AI1967" s="1" t="s">
        <v>132</v>
      </c>
      <c r="AJ1967" s="1" t="s">
        <v>132</v>
      </c>
      <c r="AK1967" s="1" t="s">
        <v>132</v>
      </c>
      <c r="AL1967" s="1" t="s">
        <v>132</v>
      </c>
      <c r="AM1967" s="1" t="s">
        <v>132</v>
      </c>
      <c r="AN1967" s="1" t="s">
        <v>132</v>
      </c>
    </row>
    <row r="1968" ht="15.75" customHeight="1">
      <c r="A1968" s="1" t="s">
        <v>2265</v>
      </c>
      <c r="B1968" s="1" t="s">
        <v>37998</v>
      </c>
      <c r="C1968" s="1" t="s">
        <v>17694</v>
      </c>
      <c r="D1968" s="8" t="s">
        <v>17695</v>
      </c>
      <c r="E1968" s="1" t="s">
        <v>17696</v>
      </c>
      <c r="F1968" s="1" t="s">
        <v>132</v>
      </c>
      <c r="G1968" s="1" t="s">
        <v>17697</v>
      </c>
      <c r="H1968" s="1" t="s">
        <v>17698</v>
      </c>
      <c r="I1968" s="1" t="s">
        <v>17699</v>
      </c>
      <c r="J1968" s="1" t="s">
        <v>17700</v>
      </c>
      <c r="K1968" s="1" t="s">
        <v>17701</v>
      </c>
      <c r="L1968" s="1" t="s">
        <v>17702</v>
      </c>
      <c r="M1968" s="1" t="s">
        <v>17703</v>
      </c>
      <c r="N1968" s="1" t="s">
        <v>132</v>
      </c>
      <c r="O1968" s="1" t="s">
        <v>17704</v>
      </c>
      <c r="P1968" s="1" t="s">
        <v>37999</v>
      </c>
      <c r="Q1968" s="1" t="s">
        <v>132</v>
      </c>
      <c r="R1968" s="1" t="s">
        <v>17706</v>
      </c>
      <c r="S1968" s="1" t="s">
        <v>38000</v>
      </c>
      <c r="T1968" s="8" t="s">
        <v>17708</v>
      </c>
      <c r="U1968" s="1" t="s">
        <v>17723</v>
      </c>
      <c r="V1968" s="1" t="s">
        <v>17710</v>
      </c>
      <c r="W1968" s="1" t="s">
        <v>38001</v>
      </c>
      <c r="X1968" s="1" t="s">
        <v>17711</v>
      </c>
      <c r="Y1968" s="1" t="s">
        <v>17698</v>
      </c>
      <c r="Z1968" s="1" t="s">
        <v>17712</v>
      </c>
      <c r="AA1968" s="1" t="s">
        <v>17713</v>
      </c>
      <c r="AB1968" s="1" t="s">
        <v>17714</v>
      </c>
      <c r="AC1968" s="1" t="s">
        <v>38002</v>
      </c>
      <c r="AD1968" s="1" t="s">
        <v>17716</v>
      </c>
      <c r="AE1968" s="1" t="s">
        <v>17717</v>
      </c>
      <c r="AF1968" s="1" t="s">
        <v>23092</v>
      </c>
      <c r="AG1968" s="1" t="s">
        <v>17719</v>
      </c>
      <c r="AH1968" s="1" t="s">
        <v>17720</v>
      </c>
      <c r="AI1968" s="1" t="s">
        <v>38003</v>
      </c>
      <c r="AJ1968" s="1" t="s">
        <v>132</v>
      </c>
      <c r="AK1968" s="1" t="s">
        <v>17722</v>
      </c>
      <c r="AL1968" s="14" t="s">
        <v>17723</v>
      </c>
      <c r="AM1968" s="1" t="s">
        <v>132</v>
      </c>
      <c r="AN1968" s="1" t="s">
        <v>132</v>
      </c>
    </row>
    <row r="1969" ht="15.75" customHeight="1">
      <c r="A1969" s="1" t="s">
        <v>38</v>
      </c>
      <c r="B1969" s="1" t="s">
        <v>38004</v>
      </c>
      <c r="C1969" s="1" t="s">
        <v>38005</v>
      </c>
      <c r="D1969" s="1" t="s">
        <v>132</v>
      </c>
      <c r="E1969" s="1" t="s">
        <v>132</v>
      </c>
      <c r="F1969" s="1" t="s">
        <v>132</v>
      </c>
      <c r="G1969" s="1" t="s">
        <v>132</v>
      </c>
      <c r="H1969" s="1" t="s">
        <v>132</v>
      </c>
      <c r="I1969" s="1" t="s">
        <v>38005</v>
      </c>
      <c r="J1969" s="1" t="s">
        <v>132</v>
      </c>
      <c r="K1969" s="1" t="s">
        <v>38005</v>
      </c>
      <c r="L1969" s="1" t="s">
        <v>132</v>
      </c>
      <c r="M1969" s="1" t="s">
        <v>38006</v>
      </c>
      <c r="N1969" s="1" t="s">
        <v>132</v>
      </c>
      <c r="O1969" s="1" t="s">
        <v>132</v>
      </c>
      <c r="P1969" s="1" t="s">
        <v>38005</v>
      </c>
      <c r="Q1969" s="1" t="s">
        <v>132</v>
      </c>
      <c r="R1969" s="1" t="s">
        <v>132</v>
      </c>
      <c r="S1969" s="1" t="s">
        <v>132</v>
      </c>
      <c r="T1969" s="1" t="s">
        <v>132</v>
      </c>
      <c r="U1969" s="1" t="s">
        <v>132</v>
      </c>
      <c r="V1969" s="1" t="s">
        <v>132</v>
      </c>
      <c r="W1969" s="1" t="s">
        <v>132</v>
      </c>
      <c r="X1969" s="1" t="s">
        <v>132</v>
      </c>
      <c r="Y1969" s="1" t="s">
        <v>132</v>
      </c>
      <c r="Z1969" s="1" t="s">
        <v>132</v>
      </c>
      <c r="AA1969" s="1" t="s">
        <v>132</v>
      </c>
      <c r="AB1969" s="1" t="s">
        <v>132</v>
      </c>
      <c r="AC1969" s="1" t="s">
        <v>38007</v>
      </c>
      <c r="AD1969" s="1" t="s">
        <v>132</v>
      </c>
      <c r="AE1969" s="1" t="s">
        <v>132</v>
      </c>
      <c r="AF1969" s="1" t="s">
        <v>38008</v>
      </c>
      <c r="AG1969" s="1" t="s">
        <v>132</v>
      </c>
      <c r="AH1969" s="1" t="s">
        <v>132</v>
      </c>
      <c r="AI1969" s="1" t="s">
        <v>132</v>
      </c>
      <c r="AJ1969" s="1" t="s">
        <v>132</v>
      </c>
      <c r="AK1969" s="1" t="s">
        <v>132</v>
      </c>
      <c r="AL1969" s="1" t="s">
        <v>132</v>
      </c>
      <c r="AM1969" s="1" t="s">
        <v>132</v>
      </c>
      <c r="AN1969" s="1" t="s">
        <v>132</v>
      </c>
    </row>
    <row r="1970" ht="15.75" customHeight="1">
      <c r="A1970" s="1" t="s">
        <v>127</v>
      </c>
      <c r="B1970" s="1" t="s">
        <v>38009</v>
      </c>
      <c r="C1970" s="1" t="s">
        <v>38010</v>
      </c>
      <c r="D1970" s="8" t="s">
        <v>4555</v>
      </c>
      <c r="E1970" s="1" t="s">
        <v>38011</v>
      </c>
      <c r="F1970" s="1" t="s">
        <v>132</v>
      </c>
      <c r="G1970" s="1" t="s">
        <v>38012</v>
      </c>
      <c r="H1970" s="1" t="s">
        <v>38013</v>
      </c>
      <c r="I1970" s="1" t="s">
        <v>38014</v>
      </c>
      <c r="J1970" s="1" t="s">
        <v>38015</v>
      </c>
      <c r="K1970" s="1" t="s">
        <v>38016</v>
      </c>
      <c r="L1970" s="1" t="s">
        <v>38017</v>
      </c>
      <c r="M1970" s="1" t="s">
        <v>38018</v>
      </c>
      <c r="N1970" s="1" t="s">
        <v>132</v>
      </c>
      <c r="O1970" s="1" t="s">
        <v>38019</v>
      </c>
      <c r="P1970" s="1" t="s">
        <v>38020</v>
      </c>
      <c r="Q1970" s="1" t="s">
        <v>132</v>
      </c>
      <c r="R1970" s="1" t="s">
        <v>4566</v>
      </c>
      <c r="S1970" s="1" t="s">
        <v>38021</v>
      </c>
      <c r="T1970" s="8" t="s">
        <v>38022</v>
      </c>
      <c r="U1970" s="1" t="s">
        <v>4569</v>
      </c>
      <c r="V1970" s="1" t="s">
        <v>4570</v>
      </c>
      <c r="W1970" s="1" t="s">
        <v>4566</v>
      </c>
      <c r="X1970" s="1" t="s">
        <v>38023</v>
      </c>
      <c r="Y1970" s="1" t="s">
        <v>38024</v>
      </c>
      <c r="Z1970" s="1" t="s">
        <v>38025</v>
      </c>
      <c r="AA1970" s="1" t="s">
        <v>38026</v>
      </c>
      <c r="AB1970" s="1" t="s">
        <v>38027</v>
      </c>
      <c r="AC1970" s="1" t="s">
        <v>38028</v>
      </c>
      <c r="AD1970" s="1" t="s">
        <v>38029</v>
      </c>
      <c r="AE1970" s="1" t="s">
        <v>38030</v>
      </c>
      <c r="AF1970" s="1" t="s">
        <v>38031</v>
      </c>
      <c r="AG1970" s="1" t="s">
        <v>38032</v>
      </c>
      <c r="AH1970" s="1" t="s">
        <v>38033</v>
      </c>
      <c r="AI1970" s="1" t="s">
        <v>38034</v>
      </c>
      <c r="AJ1970" s="1" t="s">
        <v>132</v>
      </c>
      <c r="AK1970" s="1" t="s">
        <v>38035</v>
      </c>
      <c r="AL1970" s="1" t="s">
        <v>4584</v>
      </c>
      <c r="AM1970" s="1" t="s">
        <v>4585</v>
      </c>
      <c r="AN1970" s="1" t="s">
        <v>4585</v>
      </c>
    </row>
    <row r="1971" ht="15.75" customHeight="1">
      <c r="A1971" s="1" t="s">
        <v>38</v>
      </c>
      <c r="B1971" s="1" t="s">
        <v>38036</v>
      </c>
      <c r="C1971" s="1" t="s">
        <v>38037</v>
      </c>
      <c r="D1971" s="8" t="s">
        <v>38038</v>
      </c>
      <c r="E1971" s="1" t="s">
        <v>38039</v>
      </c>
      <c r="F1971" s="1" t="s">
        <v>38040</v>
      </c>
      <c r="G1971" s="1" t="s">
        <v>132</v>
      </c>
      <c r="H1971" s="1" t="s">
        <v>132</v>
      </c>
      <c r="I1971" s="1" t="s">
        <v>38041</v>
      </c>
      <c r="J1971" s="1" t="s">
        <v>132</v>
      </c>
      <c r="K1971" s="1" t="s">
        <v>38042</v>
      </c>
      <c r="L1971" s="1" t="s">
        <v>132</v>
      </c>
      <c r="M1971" s="1" t="s">
        <v>38043</v>
      </c>
      <c r="N1971" s="1" t="s">
        <v>38044</v>
      </c>
      <c r="O1971" s="1" t="s">
        <v>132</v>
      </c>
      <c r="P1971" s="1" t="s">
        <v>38045</v>
      </c>
      <c r="Q1971" s="1" t="s">
        <v>38046</v>
      </c>
      <c r="R1971" s="1" t="s">
        <v>132</v>
      </c>
      <c r="S1971" s="1" t="s">
        <v>38047</v>
      </c>
      <c r="T1971" s="1" t="s">
        <v>132</v>
      </c>
      <c r="U1971" s="1" t="s">
        <v>38048</v>
      </c>
      <c r="V1971" s="1" t="s">
        <v>38049</v>
      </c>
      <c r="W1971" s="1" t="s">
        <v>132</v>
      </c>
      <c r="X1971" s="1" t="s">
        <v>38050</v>
      </c>
      <c r="Y1971" s="1" t="s">
        <v>132</v>
      </c>
      <c r="Z1971" s="1" t="s">
        <v>38051</v>
      </c>
      <c r="AA1971" s="1" t="s">
        <v>38052</v>
      </c>
      <c r="AB1971" s="1" t="s">
        <v>132</v>
      </c>
      <c r="AC1971" s="1" t="s">
        <v>38053</v>
      </c>
      <c r="AD1971" s="1" t="s">
        <v>38054</v>
      </c>
      <c r="AE1971" s="1" t="s">
        <v>132</v>
      </c>
      <c r="AF1971" s="1" t="s">
        <v>38055</v>
      </c>
      <c r="AG1971" s="1" t="s">
        <v>38056</v>
      </c>
      <c r="AH1971" s="1" t="s">
        <v>132</v>
      </c>
      <c r="AI1971" s="1" t="s">
        <v>132</v>
      </c>
      <c r="AJ1971" s="1" t="s">
        <v>38057</v>
      </c>
      <c r="AK1971" s="1" t="s">
        <v>38058</v>
      </c>
      <c r="AL1971" s="1" t="s">
        <v>132</v>
      </c>
      <c r="AM1971" s="1" t="s">
        <v>38059</v>
      </c>
      <c r="AN1971" s="1" t="s">
        <v>38059</v>
      </c>
    </row>
    <row r="1972" ht="15.75" customHeight="1">
      <c r="A1972" s="1" t="s">
        <v>127</v>
      </c>
      <c r="B1972" s="1" t="s">
        <v>38060</v>
      </c>
      <c r="C1972" s="1" t="s">
        <v>38061</v>
      </c>
      <c r="D1972" s="8" t="s">
        <v>38062</v>
      </c>
      <c r="E1972" s="1" t="s">
        <v>38063</v>
      </c>
      <c r="F1972" s="1" t="s">
        <v>132</v>
      </c>
      <c r="G1972" s="1" t="s">
        <v>38064</v>
      </c>
      <c r="H1972" s="1" t="s">
        <v>38065</v>
      </c>
      <c r="I1972" s="1" t="s">
        <v>38066</v>
      </c>
      <c r="J1972" s="1" t="s">
        <v>38067</v>
      </c>
      <c r="K1972" s="1" t="s">
        <v>38068</v>
      </c>
      <c r="L1972" s="1" t="s">
        <v>38069</v>
      </c>
      <c r="M1972" s="1" t="s">
        <v>38061</v>
      </c>
      <c r="N1972" s="1" t="s">
        <v>132</v>
      </c>
      <c r="O1972" s="1" t="s">
        <v>38070</v>
      </c>
      <c r="P1972" s="1" t="s">
        <v>38061</v>
      </c>
      <c r="Q1972" s="1" t="s">
        <v>132</v>
      </c>
      <c r="R1972" s="1" t="s">
        <v>38071</v>
      </c>
      <c r="S1972" s="1" t="s">
        <v>38061</v>
      </c>
      <c r="T1972" s="8" t="s">
        <v>38072</v>
      </c>
      <c r="U1972" s="1" t="s">
        <v>38073</v>
      </c>
      <c r="V1972" s="1" t="s">
        <v>38074</v>
      </c>
      <c r="W1972" s="1" t="s">
        <v>38071</v>
      </c>
      <c r="X1972" s="1" t="s">
        <v>38061</v>
      </c>
      <c r="Y1972" s="1" t="s">
        <v>38061</v>
      </c>
      <c r="Z1972" s="1" t="s">
        <v>38075</v>
      </c>
      <c r="AA1972" s="1" t="s">
        <v>38061</v>
      </c>
      <c r="AB1972" s="1" t="s">
        <v>38076</v>
      </c>
      <c r="AC1972" s="1" t="s">
        <v>38077</v>
      </c>
      <c r="AD1972" s="1" t="s">
        <v>38078</v>
      </c>
      <c r="AE1972" s="1" t="s">
        <v>38079</v>
      </c>
      <c r="AF1972" s="1" t="s">
        <v>38061</v>
      </c>
      <c r="AG1972" s="1" t="s">
        <v>38061</v>
      </c>
      <c r="AH1972" s="1" t="s">
        <v>38080</v>
      </c>
      <c r="AI1972" s="1" t="s">
        <v>38081</v>
      </c>
      <c r="AJ1972" s="1" t="s">
        <v>132</v>
      </c>
      <c r="AK1972" s="1" t="s">
        <v>38082</v>
      </c>
      <c r="AL1972" s="1" t="s">
        <v>38083</v>
      </c>
      <c r="AM1972" s="1" t="s">
        <v>38084</v>
      </c>
      <c r="AN1972" s="1" t="s">
        <v>38084</v>
      </c>
    </row>
    <row r="1973" ht="15.75" customHeight="1">
      <c r="A1973" s="1" t="s">
        <v>127</v>
      </c>
      <c r="B1973" s="1" t="s">
        <v>38085</v>
      </c>
      <c r="C1973" s="1" t="s">
        <v>38086</v>
      </c>
      <c r="D1973" s="8" t="s">
        <v>38087</v>
      </c>
      <c r="E1973" s="1" t="s">
        <v>38088</v>
      </c>
      <c r="F1973" s="1" t="s">
        <v>132</v>
      </c>
      <c r="G1973" s="1" t="s">
        <v>38089</v>
      </c>
      <c r="H1973" s="1" t="s">
        <v>38090</v>
      </c>
      <c r="I1973" s="1" t="s">
        <v>38091</v>
      </c>
      <c r="J1973" s="1" t="s">
        <v>38092</v>
      </c>
      <c r="K1973" s="1" t="s">
        <v>38093</v>
      </c>
      <c r="L1973" s="1" t="s">
        <v>38094</v>
      </c>
      <c r="M1973" s="1" t="s">
        <v>38095</v>
      </c>
      <c r="N1973" s="1" t="s">
        <v>132</v>
      </c>
      <c r="O1973" s="1" t="s">
        <v>38096</v>
      </c>
      <c r="P1973" s="1" t="s">
        <v>38097</v>
      </c>
      <c r="Q1973" s="1" t="s">
        <v>132</v>
      </c>
      <c r="R1973" s="1" t="s">
        <v>38098</v>
      </c>
      <c r="S1973" s="1" t="s">
        <v>38099</v>
      </c>
      <c r="T1973" s="8" t="s">
        <v>38100</v>
      </c>
      <c r="U1973" s="1" t="s">
        <v>38101</v>
      </c>
      <c r="V1973" s="1" t="s">
        <v>38102</v>
      </c>
      <c r="W1973" s="1" t="s">
        <v>38098</v>
      </c>
      <c r="X1973" s="1" t="s">
        <v>38103</v>
      </c>
      <c r="Y1973" s="1" t="s">
        <v>38104</v>
      </c>
      <c r="Z1973" s="1" t="s">
        <v>38105</v>
      </c>
      <c r="AA1973" s="1" t="s">
        <v>38106</v>
      </c>
      <c r="AB1973" s="1" t="s">
        <v>38107</v>
      </c>
      <c r="AC1973" s="1" t="s">
        <v>38108</v>
      </c>
      <c r="AD1973" s="1" t="s">
        <v>38089</v>
      </c>
      <c r="AE1973" s="1" t="s">
        <v>38109</v>
      </c>
      <c r="AF1973" s="1" t="s">
        <v>38109</v>
      </c>
      <c r="AG1973" s="1" t="s">
        <v>38104</v>
      </c>
      <c r="AH1973" s="1" t="s">
        <v>38110</v>
      </c>
      <c r="AI1973" s="1" t="s">
        <v>38111</v>
      </c>
      <c r="AJ1973" s="1" t="s">
        <v>132</v>
      </c>
      <c r="AK1973" s="1" t="s">
        <v>38112</v>
      </c>
      <c r="AL1973" s="1" t="s">
        <v>38113</v>
      </c>
      <c r="AM1973" s="1" t="s">
        <v>38114</v>
      </c>
      <c r="AN1973" s="1" t="s">
        <v>38114</v>
      </c>
    </row>
    <row r="1974" ht="15.75" customHeight="1">
      <c r="A1974" s="1" t="s">
        <v>127</v>
      </c>
      <c r="B1974" s="1" t="s">
        <v>38115</v>
      </c>
      <c r="C1974" s="1" t="s">
        <v>2762</v>
      </c>
      <c r="D1974" s="8" t="s">
        <v>2763</v>
      </c>
      <c r="E1974" s="1" t="s">
        <v>2764</v>
      </c>
      <c r="F1974" s="1" t="s">
        <v>132</v>
      </c>
      <c r="G1974" s="1" t="s">
        <v>2765</v>
      </c>
      <c r="H1974" s="1" t="s">
        <v>2766</v>
      </c>
      <c r="I1974" s="1" t="s">
        <v>2767</v>
      </c>
      <c r="J1974" s="1" t="s">
        <v>2768</v>
      </c>
      <c r="K1974" s="1" t="s">
        <v>2769</v>
      </c>
      <c r="L1974" s="1" t="s">
        <v>2770</v>
      </c>
      <c r="M1974" s="1" t="s">
        <v>2762</v>
      </c>
      <c r="N1974" s="1" t="s">
        <v>132</v>
      </c>
      <c r="O1974" s="1" t="s">
        <v>38116</v>
      </c>
      <c r="P1974" s="1" t="s">
        <v>2772</v>
      </c>
      <c r="Q1974" s="1" t="s">
        <v>132</v>
      </c>
      <c r="R1974" s="1" t="s">
        <v>2773</v>
      </c>
      <c r="S1974" s="1" t="s">
        <v>38117</v>
      </c>
      <c r="T1974" s="8" t="s">
        <v>2775</v>
      </c>
      <c r="U1974" s="1" t="s">
        <v>2762</v>
      </c>
      <c r="V1974" s="1" t="s">
        <v>2777</v>
      </c>
      <c r="W1974" s="1" t="s">
        <v>2773</v>
      </c>
      <c r="X1974" s="1" t="s">
        <v>38118</v>
      </c>
      <c r="Y1974" s="1" t="s">
        <v>2779</v>
      </c>
      <c r="Z1974" s="1" t="s">
        <v>2780</v>
      </c>
      <c r="AA1974" s="1" t="s">
        <v>2762</v>
      </c>
      <c r="AB1974" s="1" t="s">
        <v>2781</v>
      </c>
      <c r="AC1974" s="1" t="s">
        <v>2782</v>
      </c>
      <c r="AD1974" s="1" t="s">
        <v>2783</v>
      </c>
      <c r="AE1974" s="1" t="s">
        <v>2784</v>
      </c>
      <c r="AF1974" s="1" t="s">
        <v>38119</v>
      </c>
      <c r="AG1974" s="1" t="s">
        <v>2786</v>
      </c>
      <c r="AH1974" s="1" t="s">
        <v>2787</v>
      </c>
      <c r="AI1974" s="1" t="s">
        <v>38120</v>
      </c>
      <c r="AJ1974" s="1" t="s">
        <v>132</v>
      </c>
      <c r="AK1974" s="1" t="s">
        <v>2789</v>
      </c>
      <c r="AL1974" s="1" t="s">
        <v>2790</v>
      </c>
      <c r="AM1974" s="1" t="s">
        <v>2791</v>
      </c>
      <c r="AN1974" s="1" t="s">
        <v>2791</v>
      </c>
    </row>
    <row r="1975" ht="15.75" customHeight="1">
      <c r="A1975" s="1" t="s">
        <v>38</v>
      </c>
      <c r="B1975" s="1" t="s">
        <v>38121</v>
      </c>
      <c r="C1975" s="1" t="s">
        <v>38122</v>
      </c>
      <c r="D1975" s="1" t="s">
        <v>132</v>
      </c>
      <c r="E1975" s="1" t="s">
        <v>132</v>
      </c>
      <c r="F1975" s="1" t="s">
        <v>132</v>
      </c>
      <c r="G1975" s="1" t="s">
        <v>132</v>
      </c>
      <c r="H1975" s="1" t="s">
        <v>132</v>
      </c>
      <c r="I1975" s="1" t="s">
        <v>38123</v>
      </c>
      <c r="J1975" s="1" t="s">
        <v>132</v>
      </c>
      <c r="K1975" s="1" t="s">
        <v>38124</v>
      </c>
      <c r="L1975" s="1" t="s">
        <v>132</v>
      </c>
      <c r="M1975" s="1" t="s">
        <v>38125</v>
      </c>
      <c r="N1975" s="1" t="s">
        <v>132</v>
      </c>
      <c r="O1975" s="1" t="s">
        <v>132</v>
      </c>
      <c r="P1975" s="1" t="s">
        <v>38126</v>
      </c>
      <c r="Q1975" s="1" t="s">
        <v>132</v>
      </c>
      <c r="R1975" s="1" t="s">
        <v>132</v>
      </c>
      <c r="S1975" s="1" t="s">
        <v>132</v>
      </c>
      <c r="T1975" s="1" t="s">
        <v>132</v>
      </c>
      <c r="U1975" s="1" t="s">
        <v>132</v>
      </c>
      <c r="V1975" s="1" t="s">
        <v>132</v>
      </c>
      <c r="W1975" s="1" t="s">
        <v>132</v>
      </c>
      <c r="X1975" s="1" t="s">
        <v>132</v>
      </c>
      <c r="Y1975" s="1" t="s">
        <v>132</v>
      </c>
      <c r="Z1975" s="1" t="s">
        <v>132</v>
      </c>
      <c r="AA1975" s="1" t="s">
        <v>132</v>
      </c>
      <c r="AB1975" s="1" t="s">
        <v>132</v>
      </c>
      <c r="AC1975" s="1" t="s">
        <v>38127</v>
      </c>
      <c r="AD1975" s="1" t="s">
        <v>132</v>
      </c>
      <c r="AE1975" s="1" t="s">
        <v>132</v>
      </c>
      <c r="AF1975" s="1" t="s">
        <v>38128</v>
      </c>
      <c r="AG1975" s="1" t="s">
        <v>132</v>
      </c>
      <c r="AH1975" s="1" t="s">
        <v>132</v>
      </c>
      <c r="AI1975" s="1" t="s">
        <v>132</v>
      </c>
      <c r="AJ1975" s="1" t="s">
        <v>132</v>
      </c>
      <c r="AK1975" s="1" t="s">
        <v>132</v>
      </c>
      <c r="AL1975" s="1" t="s">
        <v>132</v>
      </c>
      <c r="AM1975" s="1" t="s">
        <v>132</v>
      </c>
      <c r="AN1975" s="1" t="s">
        <v>132</v>
      </c>
    </row>
    <row r="1976" ht="15.75" customHeight="1">
      <c r="A1976" s="1" t="s">
        <v>38</v>
      </c>
      <c r="B1976" s="1" t="s">
        <v>38129</v>
      </c>
      <c r="C1976" s="1" t="s">
        <v>38130</v>
      </c>
      <c r="D1976" s="8" t="s">
        <v>38131</v>
      </c>
      <c r="E1976" s="1" t="s">
        <v>38132</v>
      </c>
      <c r="F1976" s="1" t="s">
        <v>38133</v>
      </c>
      <c r="G1976" s="1" t="s">
        <v>132</v>
      </c>
      <c r="H1976" s="1" t="s">
        <v>132</v>
      </c>
      <c r="I1976" s="1" t="s">
        <v>38134</v>
      </c>
      <c r="J1976" s="1" t="s">
        <v>132</v>
      </c>
      <c r="K1976" s="1" t="s">
        <v>38135</v>
      </c>
      <c r="L1976" s="1" t="s">
        <v>132</v>
      </c>
      <c r="M1976" s="1" t="s">
        <v>38136</v>
      </c>
      <c r="N1976" s="1" t="s">
        <v>38135</v>
      </c>
      <c r="O1976" s="1" t="s">
        <v>132</v>
      </c>
      <c r="P1976" s="1" t="s">
        <v>38137</v>
      </c>
      <c r="Q1976" s="1" t="s">
        <v>38138</v>
      </c>
      <c r="R1976" s="1" t="s">
        <v>132</v>
      </c>
      <c r="S1976" s="1" t="s">
        <v>38139</v>
      </c>
      <c r="T1976" s="1" t="s">
        <v>132</v>
      </c>
      <c r="U1976" s="1" t="s">
        <v>38140</v>
      </c>
      <c r="V1976" s="1" t="s">
        <v>38141</v>
      </c>
      <c r="W1976" s="1" t="s">
        <v>132</v>
      </c>
      <c r="X1976" s="1" t="s">
        <v>38142</v>
      </c>
      <c r="Y1976" s="1" t="s">
        <v>132</v>
      </c>
      <c r="Z1976" s="1" t="s">
        <v>38143</v>
      </c>
      <c r="AA1976" s="1" t="s">
        <v>38144</v>
      </c>
      <c r="AB1976" s="1" t="s">
        <v>132</v>
      </c>
      <c r="AC1976" s="1" t="s">
        <v>38145</v>
      </c>
      <c r="AD1976" s="1" t="s">
        <v>38146</v>
      </c>
      <c r="AE1976" s="1" t="s">
        <v>132</v>
      </c>
      <c r="AF1976" s="1" t="s">
        <v>38147</v>
      </c>
      <c r="AG1976" s="1" t="s">
        <v>38148</v>
      </c>
      <c r="AH1976" s="1" t="s">
        <v>132</v>
      </c>
      <c r="AI1976" s="1" t="s">
        <v>132</v>
      </c>
      <c r="AJ1976" s="1" t="s">
        <v>38149</v>
      </c>
      <c r="AK1976" s="1" t="s">
        <v>38150</v>
      </c>
      <c r="AL1976" s="1" t="s">
        <v>132</v>
      </c>
      <c r="AM1976" s="1" t="s">
        <v>38151</v>
      </c>
      <c r="AN1976" s="1" t="s">
        <v>38151</v>
      </c>
    </row>
    <row r="1977" ht="15.75" customHeight="1">
      <c r="A1977" s="13" t="s">
        <v>127</v>
      </c>
      <c r="B1977" s="1" t="s">
        <v>38152</v>
      </c>
      <c r="C1977" s="1" t="s">
        <v>9855</v>
      </c>
      <c r="D1977" s="1" t="s">
        <v>132</v>
      </c>
      <c r="E1977" s="1" t="s">
        <v>132</v>
      </c>
      <c r="F1977" s="1" t="s">
        <v>132</v>
      </c>
      <c r="G1977" s="1" t="s">
        <v>132</v>
      </c>
      <c r="H1977" s="1" t="s">
        <v>9855</v>
      </c>
      <c r="I1977" s="1" t="s">
        <v>9855</v>
      </c>
      <c r="J1977" s="1" t="s">
        <v>132</v>
      </c>
      <c r="K1977" s="1" t="s">
        <v>9855</v>
      </c>
      <c r="L1977" s="1" t="s">
        <v>9855</v>
      </c>
      <c r="M1977" s="1" t="s">
        <v>9855</v>
      </c>
      <c r="N1977" s="1" t="s">
        <v>132</v>
      </c>
      <c r="O1977" s="1" t="s">
        <v>132</v>
      </c>
      <c r="P1977" s="1" t="s">
        <v>38153</v>
      </c>
      <c r="Q1977" s="1" t="s">
        <v>132</v>
      </c>
      <c r="R1977" s="1" t="s">
        <v>38154</v>
      </c>
      <c r="S1977" s="1" t="s">
        <v>9855</v>
      </c>
      <c r="T1977" s="1" t="s">
        <v>132</v>
      </c>
      <c r="U1977" s="1" t="s">
        <v>38155</v>
      </c>
      <c r="V1977" s="1" t="s">
        <v>38156</v>
      </c>
      <c r="W1977" s="1" t="s">
        <v>9855</v>
      </c>
      <c r="X1977" s="1" t="s">
        <v>38157</v>
      </c>
      <c r="Y1977" s="1" t="s">
        <v>9855</v>
      </c>
      <c r="Z1977" s="1" t="s">
        <v>9855</v>
      </c>
      <c r="AA1977" s="1" t="s">
        <v>9855</v>
      </c>
      <c r="AB1977" s="1" t="s">
        <v>132</v>
      </c>
      <c r="AC1977" s="1" t="s">
        <v>9855</v>
      </c>
      <c r="AD1977" s="1" t="s">
        <v>132</v>
      </c>
      <c r="AE1977" s="1" t="s">
        <v>132</v>
      </c>
      <c r="AF1977" s="1" t="s">
        <v>9855</v>
      </c>
      <c r="AG1977" s="1" t="s">
        <v>9855</v>
      </c>
      <c r="AH1977" s="1" t="s">
        <v>132</v>
      </c>
      <c r="AI1977" s="1" t="s">
        <v>38158</v>
      </c>
      <c r="AJ1977" s="1" t="s">
        <v>132</v>
      </c>
      <c r="AK1977" s="1" t="s">
        <v>132</v>
      </c>
      <c r="AL1977" s="1" t="s">
        <v>9855</v>
      </c>
      <c r="AM1977" s="1" t="s">
        <v>132</v>
      </c>
      <c r="AN1977" s="1" t="s">
        <v>132</v>
      </c>
    </row>
    <row r="1978" ht="15.75" customHeight="1">
      <c r="A1978" s="1" t="s">
        <v>38</v>
      </c>
      <c r="B1978" s="1" t="s">
        <v>38159</v>
      </c>
      <c r="C1978" s="1" t="s">
        <v>38160</v>
      </c>
      <c r="D1978" s="8" t="s">
        <v>35258</v>
      </c>
      <c r="E1978" s="1" t="s">
        <v>35259</v>
      </c>
      <c r="F1978" s="1" t="s">
        <v>35260</v>
      </c>
      <c r="G1978" s="1" t="s">
        <v>132</v>
      </c>
      <c r="H1978" s="1" t="s">
        <v>132</v>
      </c>
      <c r="I1978" s="1" t="s">
        <v>35261</v>
      </c>
      <c r="J1978" s="1" t="s">
        <v>132</v>
      </c>
      <c r="K1978" s="1" t="s">
        <v>38161</v>
      </c>
      <c r="L1978" s="1" t="s">
        <v>132</v>
      </c>
      <c r="M1978" s="1" t="s">
        <v>11575</v>
      </c>
      <c r="N1978" s="1" t="s">
        <v>38162</v>
      </c>
      <c r="O1978" s="1" t="s">
        <v>132</v>
      </c>
      <c r="P1978" s="1" t="s">
        <v>38163</v>
      </c>
      <c r="Q1978" s="1" t="s">
        <v>132</v>
      </c>
      <c r="R1978" s="1" t="s">
        <v>132</v>
      </c>
      <c r="S1978" s="1" t="s">
        <v>38164</v>
      </c>
      <c r="T1978" s="1" t="s">
        <v>132</v>
      </c>
      <c r="U1978" s="1" t="s">
        <v>35267</v>
      </c>
      <c r="V1978" s="1" t="s">
        <v>132</v>
      </c>
      <c r="W1978" s="1" t="s">
        <v>132</v>
      </c>
      <c r="X1978" s="1" t="s">
        <v>35268</v>
      </c>
      <c r="Y1978" s="1" t="s">
        <v>132</v>
      </c>
      <c r="Z1978" s="1" t="s">
        <v>35269</v>
      </c>
      <c r="AA1978" s="1" t="s">
        <v>132</v>
      </c>
      <c r="AB1978" s="1" t="s">
        <v>132</v>
      </c>
      <c r="AC1978" s="1" t="s">
        <v>35270</v>
      </c>
      <c r="AD1978" s="1" t="s">
        <v>132</v>
      </c>
      <c r="AE1978" s="1" t="s">
        <v>132</v>
      </c>
      <c r="AF1978" s="1" t="s">
        <v>35271</v>
      </c>
      <c r="AG1978" s="1" t="s">
        <v>132</v>
      </c>
      <c r="AH1978" s="1" t="s">
        <v>132</v>
      </c>
      <c r="AI1978" s="1" t="s">
        <v>132</v>
      </c>
      <c r="AJ1978" s="1" t="s">
        <v>132</v>
      </c>
      <c r="AK1978" s="1" t="s">
        <v>132</v>
      </c>
      <c r="AL1978" s="1" t="s">
        <v>132</v>
      </c>
      <c r="AM1978" s="1" t="s">
        <v>132</v>
      </c>
      <c r="AN1978" s="1" t="s">
        <v>132</v>
      </c>
    </row>
    <row r="1979" ht="15.75" customHeight="1">
      <c r="A1979" s="1" t="s">
        <v>127</v>
      </c>
      <c r="B1979" s="1" t="s">
        <v>38165</v>
      </c>
      <c r="C1979" s="1" t="s">
        <v>38166</v>
      </c>
      <c r="D1979" s="8" t="s">
        <v>38167</v>
      </c>
      <c r="E1979" s="1" t="s">
        <v>38166</v>
      </c>
      <c r="F1979" s="1" t="s">
        <v>132</v>
      </c>
      <c r="G1979" s="1" t="s">
        <v>38166</v>
      </c>
      <c r="H1979" s="1" t="s">
        <v>38166</v>
      </c>
      <c r="I1979" s="1" t="s">
        <v>38166</v>
      </c>
      <c r="J1979" s="1" t="s">
        <v>38166</v>
      </c>
      <c r="K1979" s="1" t="s">
        <v>38166</v>
      </c>
      <c r="L1979" s="1" t="s">
        <v>38168</v>
      </c>
      <c r="M1979" s="1" t="s">
        <v>38169</v>
      </c>
      <c r="N1979" s="1" t="s">
        <v>132</v>
      </c>
      <c r="O1979" s="1" t="s">
        <v>38170</v>
      </c>
      <c r="P1979" s="1" t="s">
        <v>38166</v>
      </c>
      <c r="Q1979" s="1" t="s">
        <v>132</v>
      </c>
      <c r="R1979" s="1" t="s">
        <v>38166</v>
      </c>
      <c r="S1979" s="1" t="s">
        <v>38166</v>
      </c>
      <c r="T1979" s="8" t="s">
        <v>38171</v>
      </c>
      <c r="U1979" s="1" t="s">
        <v>38172</v>
      </c>
      <c r="V1979" s="1" t="s">
        <v>38173</v>
      </c>
      <c r="W1979" s="1" t="s">
        <v>38166</v>
      </c>
      <c r="X1979" s="1" t="s">
        <v>38174</v>
      </c>
      <c r="Y1979" s="1" t="s">
        <v>38166</v>
      </c>
      <c r="Z1979" s="1" t="s">
        <v>38166</v>
      </c>
      <c r="AA1979" s="1" t="s">
        <v>38166</v>
      </c>
      <c r="AB1979" s="1" t="s">
        <v>38166</v>
      </c>
      <c r="AC1979" s="1" t="s">
        <v>38175</v>
      </c>
      <c r="AD1979" s="1" t="s">
        <v>38166</v>
      </c>
      <c r="AE1979" s="1" t="s">
        <v>38166</v>
      </c>
      <c r="AF1979" s="1" t="s">
        <v>38166</v>
      </c>
      <c r="AG1979" s="1" t="s">
        <v>38166</v>
      </c>
      <c r="AH1979" s="1" t="s">
        <v>38166</v>
      </c>
      <c r="AI1979" s="1" t="s">
        <v>38176</v>
      </c>
      <c r="AJ1979" s="1" t="s">
        <v>132</v>
      </c>
      <c r="AK1979" s="1" t="s">
        <v>38166</v>
      </c>
      <c r="AL1979" s="1" t="s">
        <v>38166</v>
      </c>
      <c r="AM1979" s="1" t="s">
        <v>132</v>
      </c>
      <c r="AN1979" s="1" t="s">
        <v>132</v>
      </c>
    </row>
    <row r="1980" ht="15.75" customHeight="1">
      <c r="A1980" s="1" t="s">
        <v>43182</v>
      </c>
      <c r="B1980" s="1" t="s">
        <v>43317</v>
      </c>
      <c r="C1980" s="1" t="s">
        <v>43318</v>
      </c>
      <c r="D1980" s="1" t="s">
        <v>132</v>
      </c>
      <c r="E1980" s="1" t="s">
        <v>132</v>
      </c>
      <c r="F1980" s="1" t="s">
        <v>132</v>
      </c>
      <c r="G1980" s="1" t="s">
        <v>132</v>
      </c>
      <c r="H1980" s="1" t="s">
        <v>132</v>
      </c>
      <c r="I1980" s="1" t="s">
        <v>132</v>
      </c>
      <c r="J1980" s="1" t="s">
        <v>132</v>
      </c>
      <c r="K1980" s="1" t="s">
        <v>132</v>
      </c>
      <c r="L1980" s="1" t="s">
        <v>132</v>
      </c>
      <c r="M1980" s="1" t="s">
        <v>132</v>
      </c>
      <c r="N1980" s="1" t="s">
        <v>132</v>
      </c>
      <c r="O1980" s="1" t="s">
        <v>132</v>
      </c>
      <c r="P1980" s="1" t="s">
        <v>132</v>
      </c>
      <c r="Q1980" s="1" t="s">
        <v>132</v>
      </c>
      <c r="R1980" s="1" t="s">
        <v>132</v>
      </c>
      <c r="S1980" s="1" t="s">
        <v>132</v>
      </c>
      <c r="T1980" s="1" t="s">
        <v>132</v>
      </c>
      <c r="U1980" s="1" t="s">
        <v>132</v>
      </c>
      <c r="V1980" s="1" t="s">
        <v>132</v>
      </c>
      <c r="W1980" s="1" t="s">
        <v>132</v>
      </c>
      <c r="X1980" s="1" t="s">
        <v>132</v>
      </c>
      <c r="Y1980" s="1" t="s">
        <v>132</v>
      </c>
      <c r="Z1980" s="1" t="s">
        <v>132</v>
      </c>
      <c r="AA1980" s="1" t="s">
        <v>132</v>
      </c>
      <c r="AB1980" s="1" t="s">
        <v>132</v>
      </c>
      <c r="AC1980" s="1" t="s">
        <v>132</v>
      </c>
      <c r="AD1980" s="1" t="s">
        <v>132</v>
      </c>
      <c r="AE1980" s="1" t="s">
        <v>132</v>
      </c>
      <c r="AF1980" s="1" t="s">
        <v>132</v>
      </c>
      <c r="AG1980" s="1" t="s">
        <v>132</v>
      </c>
      <c r="AH1980" s="1" t="s">
        <v>132</v>
      </c>
      <c r="AI1980" s="1" t="s">
        <v>132</v>
      </c>
      <c r="AJ1980" s="1" t="s">
        <v>132</v>
      </c>
      <c r="AK1980" s="1" t="s">
        <v>132</v>
      </c>
      <c r="AL1980" s="1" t="s">
        <v>132</v>
      </c>
      <c r="AM1980" s="1" t="s">
        <v>132</v>
      </c>
      <c r="AN1980" s="1" t="s">
        <v>132</v>
      </c>
    </row>
    <row r="1981" ht="15.75" customHeight="1">
      <c r="A1981" s="1" t="s">
        <v>2265</v>
      </c>
      <c r="B1981" s="1" t="s">
        <v>38177</v>
      </c>
      <c r="C1981" s="1" t="s">
        <v>38178</v>
      </c>
      <c r="D1981" s="8" t="s">
        <v>38179</v>
      </c>
      <c r="E1981" s="1" t="s">
        <v>38180</v>
      </c>
      <c r="F1981" s="1" t="s">
        <v>132</v>
      </c>
      <c r="G1981" s="1" t="s">
        <v>38181</v>
      </c>
      <c r="H1981" s="1" t="s">
        <v>38182</v>
      </c>
      <c r="I1981" s="1" t="s">
        <v>38183</v>
      </c>
      <c r="J1981" s="1" t="s">
        <v>38184</v>
      </c>
      <c r="K1981" s="1" t="s">
        <v>38185</v>
      </c>
      <c r="L1981" s="1" t="s">
        <v>38186</v>
      </c>
      <c r="M1981" s="1" t="s">
        <v>38187</v>
      </c>
      <c r="N1981" s="1" t="s">
        <v>132</v>
      </c>
      <c r="O1981" s="1" t="s">
        <v>38188</v>
      </c>
      <c r="P1981" s="1" t="s">
        <v>38189</v>
      </c>
      <c r="Q1981" s="1" t="s">
        <v>132</v>
      </c>
      <c r="R1981" s="1" t="s">
        <v>38190</v>
      </c>
      <c r="S1981" s="1" t="s">
        <v>38191</v>
      </c>
      <c r="T1981" s="8" t="s">
        <v>38192</v>
      </c>
      <c r="U1981" s="1" t="s">
        <v>38193</v>
      </c>
      <c r="V1981" s="1" t="s">
        <v>38194</v>
      </c>
      <c r="W1981" s="1" t="s">
        <v>38195</v>
      </c>
      <c r="X1981" s="1" t="s">
        <v>38196</v>
      </c>
      <c r="Y1981" s="1" t="s">
        <v>38197</v>
      </c>
      <c r="Z1981" s="1" t="s">
        <v>38198</v>
      </c>
      <c r="AA1981" s="1" t="s">
        <v>38199</v>
      </c>
      <c r="AB1981" s="1" t="s">
        <v>38200</v>
      </c>
      <c r="AC1981" s="1" t="s">
        <v>38201</v>
      </c>
      <c r="AD1981" s="1" t="s">
        <v>38202</v>
      </c>
      <c r="AE1981" s="1" t="s">
        <v>38203</v>
      </c>
      <c r="AF1981" s="1" t="s">
        <v>38204</v>
      </c>
      <c r="AG1981" s="1" t="s">
        <v>38205</v>
      </c>
      <c r="AH1981" s="1" t="s">
        <v>38206</v>
      </c>
      <c r="AI1981" s="1" t="s">
        <v>38207</v>
      </c>
      <c r="AJ1981" s="1" t="s">
        <v>132</v>
      </c>
      <c r="AK1981" s="1" t="s">
        <v>38208</v>
      </c>
      <c r="AL1981" s="14" t="s">
        <v>38193</v>
      </c>
      <c r="AM1981" s="1" t="s">
        <v>132</v>
      </c>
      <c r="AN1981" s="1" t="s">
        <v>132</v>
      </c>
    </row>
    <row r="1982" ht="15.75" customHeight="1">
      <c r="A1982" s="1" t="s">
        <v>38</v>
      </c>
      <c r="B1982" s="1" t="s">
        <v>38209</v>
      </c>
      <c r="C1982" s="1" t="s">
        <v>38210</v>
      </c>
      <c r="D1982" s="8" t="s">
        <v>38211</v>
      </c>
      <c r="E1982" s="1" t="s">
        <v>38212</v>
      </c>
      <c r="F1982" s="1" t="s">
        <v>38213</v>
      </c>
      <c r="G1982" s="1" t="s">
        <v>132</v>
      </c>
      <c r="H1982" s="1" t="s">
        <v>132</v>
      </c>
      <c r="I1982" s="1" t="s">
        <v>38214</v>
      </c>
      <c r="J1982" s="1" t="s">
        <v>132</v>
      </c>
      <c r="K1982" s="1" t="s">
        <v>38215</v>
      </c>
      <c r="L1982" s="1" t="s">
        <v>132</v>
      </c>
      <c r="M1982" s="1" t="s">
        <v>38216</v>
      </c>
      <c r="N1982" s="1" t="s">
        <v>38217</v>
      </c>
      <c r="O1982" s="1" t="s">
        <v>132</v>
      </c>
      <c r="P1982" s="1" t="s">
        <v>38218</v>
      </c>
      <c r="Q1982" s="1" t="s">
        <v>38219</v>
      </c>
      <c r="R1982" s="1" t="s">
        <v>132</v>
      </c>
      <c r="S1982" s="1" t="s">
        <v>38220</v>
      </c>
      <c r="T1982" s="1" t="s">
        <v>132</v>
      </c>
      <c r="U1982" s="1" t="s">
        <v>38221</v>
      </c>
      <c r="V1982" s="1" t="s">
        <v>38222</v>
      </c>
      <c r="W1982" s="1" t="s">
        <v>132</v>
      </c>
      <c r="X1982" s="1" t="s">
        <v>38223</v>
      </c>
      <c r="Y1982" s="1" t="s">
        <v>132</v>
      </c>
      <c r="Z1982" s="1" t="s">
        <v>38224</v>
      </c>
      <c r="AA1982" s="1" t="s">
        <v>38225</v>
      </c>
      <c r="AB1982" s="1" t="s">
        <v>132</v>
      </c>
      <c r="AC1982" s="1" t="s">
        <v>38226</v>
      </c>
      <c r="AD1982" s="1" t="s">
        <v>38227</v>
      </c>
      <c r="AE1982" s="1" t="s">
        <v>132</v>
      </c>
      <c r="AF1982" s="1" t="s">
        <v>38228</v>
      </c>
      <c r="AG1982" s="1" t="s">
        <v>38229</v>
      </c>
      <c r="AH1982" s="1" t="s">
        <v>132</v>
      </c>
      <c r="AI1982" s="1" t="s">
        <v>132</v>
      </c>
      <c r="AJ1982" s="1" t="s">
        <v>38230</v>
      </c>
      <c r="AK1982" s="1" t="s">
        <v>38231</v>
      </c>
      <c r="AL1982" s="1" t="s">
        <v>132</v>
      </c>
      <c r="AM1982" s="1" t="s">
        <v>38232</v>
      </c>
      <c r="AN1982" s="1" t="s">
        <v>38232</v>
      </c>
    </row>
    <row r="1983" ht="15.75" customHeight="1">
      <c r="A1983" s="1" t="s">
        <v>127</v>
      </c>
      <c r="B1983" s="1" t="s">
        <v>38233</v>
      </c>
      <c r="C1983" s="1" t="s">
        <v>38234</v>
      </c>
      <c r="D1983" s="1" t="s">
        <v>38235</v>
      </c>
      <c r="E1983" s="1" t="s">
        <v>38236</v>
      </c>
      <c r="F1983" s="1" t="s">
        <v>132</v>
      </c>
      <c r="G1983" s="1" t="s">
        <v>38236</v>
      </c>
      <c r="H1983" s="1" t="s">
        <v>38236</v>
      </c>
      <c r="I1983" s="1" t="s">
        <v>38234</v>
      </c>
      <c r="J1983" s="1" t="s">
        <v>38236</v>
      </c>
      <c r="K1983" s="1" t="s">
        <v>38234</v>
      </c>
      <c r="L1983" s="1" t="s">
        <v>38236</v>
      </c>
      <c r="M1983" s="1" t="s">
        <v>38236</v>
      </c>
      <c r="N1983" s="1" t="s">
        <v>132</v>
      </c>
      <c r="O1983" s="1" t="s">
        <v>38236</v>
      </c>
      <c r="P1983" s="1" t="s">
        <v>38236</v>
      </c>
      <c r="Q1983" s="1" t="s">
        <v>132</v>
      </c>
      <c r="R1983" s="1" t="s">
        <v>38235</v>
      </c>
      <c r="S1983" s="1" t="s">
        <v>38236</v>
      </c>
      <c r="T1983" s="1" t="s">
        <v>38236</v>
      </c>
      <c r="U1983" s="1" t="s">
        <v>38236</v>
      </c>
      <c r="V1983" s="1" t="s">
        <v>38235</v>
      </c>
      <c r="W1983" s="1" t="s">
        <v>38235</v>
      </c>
      <c r="X1983" s="1" t="s">
        <v>38236</v>
      </c>
      <c r="Y1983" s="1" t="s">
        <v>38236</v>
      </c>
      <c r="Z1983" s="1" t="s">
        <v>38236</v>
      </c>
      <c r="AA1983" s="1" t="s">
        <v>38236</v>
      </c>
      <c r="AB1983" s="1" t="s">
        <v>38236</v>
      </c>
      <c r="AC1983" s="1" t="s">
        <v>38236</v>
      </c>
      <c r="AD1983" s="1" t="s">
        <v>38236</v>
      </c>
      <c r="AE1983" s="1" t="s">
        <v>38236</v>
      </c>
      <c r="AF1983" s="1" t="s">
        <v>38236</v>
      </c>
      <c r="AG1983" s="1" t="s">
        <v>38236</v>
      </c>
      <c r="AH1983" s="1" t="s">
        <v>38236</v>
      </c>
      <c r="AI1983" s="1" t="s">
        <v>38235</v>
      </c>
      <c r="AJ1983" s="1" t="s">
        <v>132</v>
      </c>
      <c r="AK1983" s="1" t="s">
        <v>38236</v>
      </c>
      <c r="AL1983" s="1" t="s">
        <v>38236</v>
      </c>
      <c r="AM1983" s="1" t="s">
        <v>38237</v>
      </c>
      <c r="AN1983" s="1" t="s">
        <v>38237</v>
      </c>
    </row>
    <row r="1984" ht="15.75" customHeight="1">
      <c r="A1984" s="1" t="s">
        <v>127</v>
      </c>
      <c r="B1984" s="1" t="s">
        <v>38238</v>
      </c>
      <c r="C1984" s="1" t="s">
        <v>38239</v>
      </c>
      <c r="D1984" s="8" t="s">
        <v>38240</v>
      </c>
      <c r="E1984" s="1" t="s">
        <v>38241</v>
      </c>
      <c r="F1984" s="1" t="s">
        <v>132</v>
      </c>
      <c r="G1984" s="1" t="s">
        <v>38242</v>
      </c>
      <c r="H1984" s="1" t="s">
        <v>38243</v>
      </c>
      <c r="I1984" s="1" t="s">
        <v>38244</v>
      </c>
      <c r="J1984" s="1" t="s">
        <v>38245</v>
      </c>
      <c r="K1984" s="1" t="s">
        <v>38246</v>
      </c>
      <c r="L1984" s="1" t="s">
        <v>38247</v>
      </c>
      <c r="M1984" s="1" t="s">
        <v>38248</v>
      </c>
      <c r="N1984" s="1" t="s">
        <v>132</v>
      </c>
      <c r="O1984" s="1" t="s">
        <v>38249</v>
      </c>
      <c r="P1984" s="1" t="s">
        <v>38250</v>
      </c>
      <c r="Q1984" s="1" t="s">
        <v>132</v>
      </c>
      <c r="R1984" s="1" t="s">
        <v>38251</v>
      </c>
      <c r="S1984" s="1" t="s">
        <v>38252</v>
      </c>
      <c r="T1984" s="8" t="s">
        <v>38253</v>
      </c>
      <c r="U1984" s="1" t="s">
        <v>38254</v>
      </c>
      <c r="V1984" s="1" t="s">
        <v>38255</v>
      </c>
      <c r="W1984" s="1" t="s">
        <v>38251</v>
      </c>
      <c r="X1984" s="1" t="s">
        <v>38256</v>
      </c>
      <c r="Y1984" s="1" t="s">
        <v>38257</v>
      </c>
      <c r="Z1984" s="1" t="s">
        <v>6724</v>
      </c>
      <c r="AA1984" s="1" t="s">
        <v>38258</v>
      </c>
      <c r="AB1984" s="1" t="s">
        <v>38259</v>
      </c>
      <c r="AC1984" s="1" t="s">
        <v>38260</v>
      </c>
      <c r="AD1984" s="1" t="s">
        <v>38261</v>
      </c>
      <c r="AE1984" s="1" t="s">
        <v>38262</v>
      </c>
      <c r="AF1984" s="1" t="s">
        <v>38263</v>
      </c>
      <c r="AG1984" s="1" t="s">
        <v>38264</v>
      </c>
      <c r="AH1984" s="1" t="s">
        <v>38265</v>
      </c>
      <c r="AI1984" s="1" t="s">
        <v>38266</v>
      </c>
      <c r="AJ1984" s="1" t="s">
        <v>132</v>
      </c>
      <c r="AK1984" s="1" t="s">
        <v>38267</v>
      </c>
      <c r="AL1984" s="1" t="s">
        <v>38268</v>
      </c>
      <c r="AM1984" s="1" t="s">
        <v>132</v>
      </c>
      <c r="AN1984" s="1" t="s">
        <v>132</v>
      </c>
    </row>
    <row r="1985" ht="15.75" customHeight="1">
      <c r="A1985" s="1" t="s">
        <v>127</v>
      </c>
      <c r="B1985" s="1" t="s">
        <v>38269</v>
      </c>
      <c r="C1985" s="1" t="s">
        <v>38270</v>
      </c>
      <c r="D1985" s="8" t="s">
        <v>38271</v>
      </c>
      <c r="E1985" s="1" t="s">
        <v>38272</v>
      </c>
      <c r="F1985" s="1" t="s">
        <v>132</v>
      </c>
      <c r="G1985" s="1" t="s">
        <v>38273</v>
      </c>
      <c r="H1985" s="1" t="s">
        <v>38274</v>
      </c>
      <c r="I1985" s="1" t="s">
        <v>38275</v>
      </c>
      <c r="J1985" s="1" t="s">
        <v>38276</v>
      </c>
      <c r="K1985" s="1" t="s">
        <v>38277</v>
      </c>
      <c r="L1985" s="1" t="s">
        <v>38278</v>
      </c>
      <c r="M1985" s="1" t="s">
        <v>38275</v>
      </c>
      <c r="N1985" s="1" t="s">
        <v>132</v>
      </c>
      <c r="O1985" s="1" t="s">
        <v>38279</v>
      </c>
      <c r="P1985" s="1" t="s">
        <v>38250</v>
      </c>
      <c r="Q1985" s="1" t="s">
        <v>132</v>
      </c>
      <c r="R1985" s="1" t="s">
        <v>38274</v>
      </c>
      <c r="S1985" s="1" t="s">
        <v>38280</v>
      </c>
      <c r="T1985" s="8" t="s">
        <v>38281</v>
      </c>
      <c r="U1985" s="1" t="s">
        <v>38282</v>
      </c>
      <c r="V1985" s="1" t="s">
        <v>38283</v>
      </c>
      <c r="W1985" s="1" t="s">
        <v>38274</v>
      </c>
      <c r="X1985" s="1" t="s">
        <v>38275</v>
      </c>
      <c r="Y1985" s="1" t="s">
        <v>38274</v>
      </c>
      <c r="Z1985" s="1" t="s">
        <v>38284</v>
      </c>
      <c r="AA1985" s="1" t="s">
        <v>38280</v>
      </c>
      <c r="AB1985" s="1" t="s">
        <v>38285</v>
      </c>
      <c r="AC1985" s="1" t="s">
        <v>38286</v>
      </c>
      <c r="AD1985" s="1" t="s">
        <v>38287</v>
      </c>
      <c r="AE1985" s="1" t="s">
        <v>38288</v>
      </c>
      <c r="AF1985" s="1" t="s">
        <v>38288</v>
      </c>
      <c r="AG1985" s="1" t="s">
        <v>38274</v>
      </c>
      <c r="AH1985" s="1" t="s">
        <v>38289</v>
      </c>
      <c r="AI1985" s="1" t="s">
        <v>38290</v>
      </c>
      <c r="AJ1985" s="1" t="s">
        <v>132</v>
      </c>
      <c r="AK1985" s="1" t="s">
        <v>38291</v>
      </c>
      <c r="AL1985" s="1" t="s">
        <v>38292</v>
      </c>
      <c r="AM1985" s="1" t="s">
        <v>132</v>
      </c>
      <c r="AN1985" s="1" t="s">
        <v>132</v>
      </c>
    </row>
    <row r="1986" ht="15.75" customHeight="1">
      <c r="A1986" s="1" t="s">
        <v>127</v>
      </c>
      <c r="B1986" s="1" t="s">
        <v>38293</v>
      </c>
      <c r="C1986" s="1" t="s">
        <v>38294</v>
      </c>
      <c r="D1986" s="8" t="s">
        <v>38295</v>
      </c>
      <c r="E1986" s="1" t="s">
        <v>38296</v>
      </c>
      <c r="F1986" s="1" t="s">
        <v>132</v>
      </c>
      <c r="G1986" s="1" t="s">
        <v>38297</v>
      </c>
      <c r="H1986" s="1" t="s">
        <v>38298</v>
      </c>
      <c r="I1986" s="1" t="s">
        <v>38299</v>
      </c>
      <c r="J1986" s="1" t="s">
        <v>38300</v>
      </c>
      <c r="K1986" s="1" t="s">
        <v>38301</v>
      </c>
      <c r="L1986" s="1" t="s">
        <v>38302</v>
      </c>
      <c r="M1986" s="1" t="s">
        <v>38303</v>
      </c>
      <c r="N1986" s="1" t="s">
        <v>132</v>
      </c>
      <c r="O1986" s="1" t="s">
        <v>38304</v>
      </c>
      <c r="P1986" s="1" t="s">
        <v>38305</v>
      </c>
      <c r="Q1986" s="1" t="s">
        <v>132</v>
      </c>
      <c r="R1986" s="1" t="s">
        <v>38306</v>
      </c>
      <c r="S1986" s="1" t="s">
        <v>38307</v>
      </c>
      <c r="T1986" s="8" t="s">
        <v>38308</v>
      </c>
      <c r="U1986" s="1" t="s">
        <v>38309</v>
      </c>
      <c r="V1986" s="1" t="s">
        <v>38310</v>
      </c>
      <c r="W1986" s="1" t="s">
        <v>38311</v>
      </c>
      <c r="X1986" s="1" t="s">
        <v>38312</v>
      </c>
      <c r="Y1986" s="1" t="s">
        <v>38313</v>
      </c>
      <c r="Z1986" s="1" t="s">
        <v>38314</v>
      </c>
      <c r="AA1986" s="1" t="s">
        <v>38315</v>
      </c>
      <c r="AB1986" s="1" t="s">
        <v>38316</v>
      </c>
      <c r="AC1986" s="1" t="s">
        <v>38317</v>
      </c>
      <c r="AD1986" s="1" t="s">
        <v>38318</v>
      </c>
      <c r="AE1986" s="1" t="s">
        <v>38319</v>
      </c>
      <c r="AF1986" s="1" t="s">
        <v>38320</v>
      </c>
      <c r="AG1986" s="1" t="s">
        <v>38321</v>
      </c>
      <c r="AH1986" s="1" t="s">
        <v>38322</v>
      </c>
      <c r="AI1986" s="1" t="s">
        <v>38323</v>
      </c>
      <c r="AJ1986" s="1" t="s">
        <v>132</v>
      </c>
      <c r="AK1986" s="1" t="s">
        <v>38324</v>
      </c>
      <c r="AL1986" s="1" t="s">
        <v>38325</v>
      </c>
      <c r="AM1986" s="1" t="s">
        <v>132</v>
      </c>
      <c r="AN1986" s="1" t="s">
        <v>132</v>
      </c>
    </row>
    <row r="1987" ht="15.75" customHeight="1">
      <c r="A1987" s="1" t="s">
        <v>127</v>
      </c>
      <c r="B1987" s="1" t="s">
        <v>38326</v>
      </c>
      <c r="C1987" s="1" t="s">
        <v>38327</v>
      </c>
      <c r="D1987" s="8" t="s">
        <v>38328</v>
      </c>
      <c r="E1987" s="1" t="s">
        <v>38329</v>
      </c>
      <c r="F1987" s="1" t="s">
        <v>132</v>
      </c>
      <c r="G1987" s="1" t="s">
        <v>38330</v>
      </c>
      <c r="H1987" s="1" t="s">
        <v>38331</v>
      </c>
      <c r="I1987" s="1" t="s">
        <v>32388</v>
      </c>
      <c r="J1987" s="1" t="s">
        <v>38332</v>
      </c>
      <c r="K1987" s="1" t="s">
        <v>38333</v>
      </c>
      <c r="L1987" s="1" t="s">
        <v>38334</v>
      </c>
      <c r="M1987" s="1" t="s">
        <v>38335</v>
      </c>
      <c r="N1987" s="1" t="s">
        <v>132</v>
      </c>
      <c r="O1987" s="1" t="s">
        <v>38336</v>
      </c>
      <c r="P1987" s="1" t="s">
        <v>16841</v>
      </c>
      <c r="Q1987" s="1" t="s">
        <v>132</v>
      </c>
      <c r="R1987" s="1" t="s">
        <v>38337</v>
      </c>
      <c r="S1987" s="1" t="s">
        <v>38338</v>
      </c>
      <c r="T1987" s="8" t="s">
        <v>38339</v>
      </c>
      <c r="U1987" s="1" t="s">
        <v>38340</v>
      </c>
      <c r="V1987" s="1" t="s">
        <v>38341</v>
      </c>
      <c r="W1987" s="1" t="s">
        <v>38337</v>
      </c>
      <c r="X1987" s="1" t="s">
        <v>38342</v>
      </c>
      <c r="Y1987" s="1" t="s">
        <v>38343</v>
      </c>
      <c r="Z1987" s="1" t="s">
        <v>38344</v>
      </c>
      <c r="AA1987" s="1" t="s">
        <v>38345</v>
      </c>
      <c r="AB1987" s="1" t="s">
        <v>38346</v>
      </c>
      <c r="AC1987" s="1" t="s">
        <v>38347</v>
      </c>
      <c r="AD1987" s="1" t="s">
        <v>38348</v>
      </c>
      <c r="AE1987" s="1" t="s">
        <v>38349</v>
      </c>
      <c r="AF1987" s="1" t="s">
        <v>38350</v>
      </c>
      <c r="AG1987" s="1" t="s">
        <v>38351</v>
      </c>
      <c r="AH1987" s="1" t="s">
        <v>38352</v>
      </c>
      <c r="AI1987" s="1" t="s">
        <v>38353</v>
      </c>
      <c r="AJ1987" s="1" t="s">
        <v>132</v>
      </c>
      <c r="AK1987" s="1" t="s">
        <v>14788</v>
      </c>
      <c r="AL1987" s="1" t="s">
        <v>38354</v>
      </c>
      <c r="AM1987" s="1" t="s">
        <v>132</v>
      </c>
      <c r="AN1987" s="1" t="s">
        <v>132</v>
      </c>
    </row>
    <row r="1988" ht="15.75" customHeight="1">
      <c r="A1988" s="1" t="s">
        <v>127</v>
      </c>
      <c r="B1988" s="1" t="s">
        <v>38355</v>
      </c>
      <c r="C1988" s="1" t="s">
        <v>38356</v>
      </c>
      <c r="D1988" s="8" t="s">
        <v>38357</v>
      </c>
      <c r="E1988" s="1" t="s">
        <v>38358</v>
      </c>
      <c r="F1988" s="1" t="s">
        <v>132</v>
      </c>
      <c r="G1988" s="1" t="s">
        <v>38359</v>
      </c>
      <c r="H1988" s="1" t="s">
        <v>38360</v>
      </c>
      <c r="I1988" s="1" t="s">
        <v>38361</v>
      </c>
      <c r="J1988" s="1" t="s">
        <v>38362</v>
      </c>
      <c r="K1988" s="1" t="s">
        <v>38363</v>
      </c>
      <c r="L1988" s="1" t="s">
        <v>38364</v>
      </c>
      <c r="M1988" s="1" t="s">
        <v>38365</v>
      </c>
      <c r="N1988" s="1" t="s">
        <v>132</v>
      </c>
      <c r="O1988" s="1" t="s">
        <v>38366</v>
      </c>
      <c r="P1988" s="1" t="s">
        <v>38367</v>
      </c>
      <c r="Q1988" s="1" t="s">
        <v>132</v>
      </c>
      <c r="R1988" s="1" t="s">
        <v>38368</v>
      </c>
      <c r="S1988" s="1" t="s">
        <v>38369</v>
      </c>
      <c r="T1988" s="8" t="s">
        <v>38370</v>
      </c>
      <c r="U1988" s="1" t="s">
        <v>38371</v>
      </c>
      <c r="V1988" s="1" t="s">
        <v>38372</v>
      </c>
      <c r="W1988" s="1" t="s">
        <v>38373</v>
      </c>
      <c r="X1988" s="1" t="s">
        <v>38374</v>
      </c>
      <c r="Y1988" s="1" t="s">
        <v>38375</v>
      </c>
      <c r="Z1988" s="1" t="s">
        <v>38376</v>
      </c>
      <c r="AA1988" s="1" t="s">
        <v>38377</v>
      </c>
      <c r="AB1988" s="1" t="s">
        <v>38378</v>
      </c>
      <c r="AC1988" s="1" t="s">
        <v>38379</v>
      </c>
      <c r="AD1988" s="1" t="s">
        <v>38380</v>
      </c>
      <c r="AE1988" s="1" t="s">
        <v>38381</v>
      </c>
      <c r="AF1988" s="1" t="s">
        <v>38382</v>
      </c>
      <c r="AG1988" s="1" t="s">
        <v>38383</v>
      </c>
      <c r="AH1988" s="1" t="s">
        <v>38384</v>
      </c>
      <c r="AI1988" s="1" t="s">
        <v>38385</v>
      </c>
      <c r="AJ1988" s="1" t="s">
        <v>132</v>
      </c>
      <c r="AK1988" s="1" t="s">
        <v>38386</v>
      </c>
      <c r="AL1988" s="1" t="s">
        <v>38387</v>
      </c>
      <c r="AM1988" s="1" t="s">
        <v>132</v>
      </c>
      <c r="AN1988" s="1" t="s">
        <v>132</v>
      </c>
    </row>
    <row r="1989" ht="15.75" customHeight="1">
      <c r="A1989" s="1" t="s">
        <v>127</v>
      </c>
      <c r="B1989" s="1" t="s">
        <v>38388</v>
      </c>
      <c r="C1989" s="1" t="s">
        <v>38389</v>
      </c>
      <c r="D1989" s="8" t="s">
        <v>38390</v>
      </c>
      <c r="E1989" s="1" t="s">
        <v>38391</v>
      </c>
      <c r="F1989" s="1" t="s">
        <v>132</v>
      </c>
      <c r="G1989" s="1" t="s">
        <v>38392</v>
      </c>
      <c r="H1989" s="1" t="s">
        <v>38393</v>
      </c>
      <c r="I1989" s="1" t="s">
        <v>9392</v>
      </c>
      <c r="J1989" s="1" t="s">
        <v>38394</v>
      </c>
      <c r="K1989" s="1" t="s">
        <v>38395</v>
      </c>
      <c r="L1989" s="1" t="s">
        <v>38396</v>
      </c>
      <c r="M1989" s="1" t="s">
        <v>19091</v>
      </c>
      <c r="N1989" s="1" t="s">
        <v>132</v>
      </c>
      <c r="O1989" s="1" t="s">
        <v>38397</v>
      </c>
      <c r="P1989" s="1" t="s">
        <v>38398</v>
      </c>
      <c r="Q1989" s="1" t="s">
        <v>132</v>
      </c>
      <c r="R1989" s="1" t="s">
        <v>38399</v>
      </c>
      <c r="S1989" s="1" t="s">
        <v>19094</v>
      </c>
      <c r="T1989" s="8" t="s">
        <v>19095</v>
      </c>
      <c r="U1989" s="1" t="s">
        <v>38400</v>
      </c>
      <c r="V1989" s="1" t="s">
        <v>38401</v>
      </c>
      <c r="W1989" s="1" t="s">
        <v>38402</v>
      </c>
      <c r="X1989" s="1" t="s">
        <v>38403</v>
      </c>
      <c r="Y1989" s="1" t="s">
        <v>38404</v>
      </c>
      <c r="Z1989" s="1" t="s">
        <v>38405</v>
      </c>
      <c r="AA1989" s="1" t="s">
        <v>38406</v>
      </c>
      <c r="AB1989" s="1" t="s">
        <v>38407</v>
      </c>
      <c r="AC1989" s="1" t="s">
        <v>19102</v>
      </c>
      <c r="AD1989" s="1" t="s">
        <v>38408</v>
      </c>
      <c r="AE1989" s="1" t="s">
        <v>38409</v>
      </c>
      <c r="AF1989" s="1" t="s">
        <v>38410</v>
      </c>
      <c r="AG1989" s="1" t="s">
        <v>38411</v>
      </c>
      <c r="AH1989" s="1" t="s">
        <v>38412</v>
      </c>
      <c r="AI1989" s="1" t="s">
        <v>38413</v>
      </c>
      <c r="AJ1989" s="1" t="s">
        <v>132</v>
      </c>
      <c r="AK1989" s="1" t="s">
        <v>38414</v>
      </c>
      <c r="AL1989" s="1" t="s">
        <v>38415</v>
      </c>
      <c r="AM1989" s="1" t="s">
        <v>38416</v>
      </c>
      <c r="AN1989" s="1" t="s">
        <v>38416</v>
      </c>
    </row>
    <row r="1990" ht="15.75" customHeight="1">
      <c r="A1990" s="1" t="s">
        <v>38</v>
      </c>
      <c r="B1990" s="1" t="s">
        <v>38417</v>
      </c>
      <c r="C1990" s="1" t="s">
        <v>38418</v>
      </c>
      <c r="D1990" s="8" t="s">
        <v>38419</v>
      </c>
      <c r="E1990" s="1" t="s">
        <v>38420</v>
      </c>
      <c r="F1990" s="1" t="s">
        <v>38421</v>
      </c>
      <c r="G1990" s="1" t="s">
        <v>132</v>
      </c>
      <c r="H1990" s="1" t="s">
        <v>132</v>
      </c>
      <c r="I1990" s="1" t="s">
        <v>38422</v>
      </c>
      <c r="J1990" s="1" t="s">
        <v>132</v>
      </c>
      <c r="K1990" s="1" t="s">
        <v>38423</v>
      </c>
      <c r="L1990" s="1" t="s">
        <v>132</v>
      </c>
      <c r="M1990" s="1" t="s">
        <v>38424</v>
      </c>
      <c r="N1990" s="1" t="s">
        <v>38425</v>
      </c>
      <c r="O1990" s="1" t="s">
        <v>132</v>
      </c>
      <c r="P1990" s="1" t="s">
        <v>38426</v>
      </c>
      <c r="Q1990" s="1" t="s">
        <v>38427</v>
      </c>
      <c r="R1990" s="1" t="s">
        <v>132</v>
      </c>
      <c r="S1990" s="1" t="s">
        <v>38428</v>
      </c>
      <c r="T1990" s="1" t="s">
        <v>132</v>
      </c>
      <c r="U1990" s="1" t="s">
        <v>38429</v>
      </c>
      <c r="V1990" s="1" t="s">
        <v>38430</v>
      </c>
      <c r="W1990" s="1" t="s">
        <v>132</v>
      </c>
      <c r="X1990" s="1" t="s">
        <v>38431</v>
      </c>
      <c r="Y1990" s="1" t="s">
        <v>132</v>
      </c>
      <c r="Z1990" s="1" t="s">
        <v>38432</v>
      </c>
      <c r="AA1990" s="1" t="s">
        <v>38423</v>
      </c>
      <c r="AB1990" s="1" t="s">
        <v>132</v>
      </c>
      <c r="AC1990" s="1" t="s">
        <v>38433</v>
      </c>
      <c r="AD1990" s="1" t="s">
        <v>132</v>
      </c>
      <c r="AE1990" s="1" t="s">
        <v>132</v>
      </c>
      <c r="AF1990" s="1" t="s">
        <v>38434</v>
      </c>
      <c r="AG1990" s="1" t="s">
        <v>38435</v>
      </c>
      <c r="AH1990" s="1" t="s">
        <v>132</v>
      </c>
      <c r="AI1990" s="1" t="s">
        <v>132</v>
      </c>
      <c r="AJ1990" s="1" t="s">
        <v>38436</v>
      </c>
      <c r="AK1990" s="1" t="s">
        <v>132</v>
      </c>
      <c r="AL1990" s="1" t="s">
        <v>132</v>
      </c>
      <c r="AM1990" s="1" t="s">
        <v>23332</v>
      </c>
      <c r="AN1990" s="1" t="s">
        <v>23332</v>
      </c>
    </row>
    <row r="1991" ht="15.75" customHeight="1">
      <c r="A1991" s="1" t="s">
        <v>38</v>
      </c>
      <c r="B1991" s="1" t="s">
        <v>38437</v>
      </c>
      <c r="C1991" s="1" t="s">
        <v>38438</v>
      </c>
      <c r="D1991" s="8" t="s">
        <v>38439</v>
      </c>
      <c r="E1991" s="1" t="s">
        <v>38440</v>
      </c>
      <c r="F1991" s="1" t="s">
        <v>38441</v>
      </c>
      <c r="G1991" s="1" t="s">
        <v>132</v>
      </c>
      <c r="H1991" s="1" t="s">
        <v>132</v>
      </c>
      <c r="I1991" s="1" t="s">
        <v>38442</v>
      </c>
      <c r="J1991" s="1" t="s">
        <v>132</v>
      </c>
      <c r="K1991" s="1" t="s">
        <v>38443</v>
      </c>
      <c r="L1991" s="1" t="s">
        <v>132</v>
      </c>
      <c r="M1991" s="1" t="s">
        <v>38444</v>
      </c>
      <c r="N1991" s="1" t="s">
        <v>38445</v>
      </c>
      <c r="O1991" s="1" t="s">
        <v>132</v>
      </c>
      <c r="P1991" s="1" t="s">
        <v>38446</v>
      </c>
      <c r="Q1991" s="1" t="s">
        <v>38447</v>
      </c>
      <c r="R1991" s="1" t="s">
        <v>132</v>
      </c>
      <c r="S1991" s="1" t="s">
        <v>38448</v>
      </c>
      <c r="T1991" s="1" t="s">
        <v>132</v>
      </c>
      <c r="U1991" s="1" t="s">
        <v>38449</v>
      </c>
      <c r="V1991" s="1" t="s">
        <v>38450</v>
      </c>
      <c r="W1991" s="1" t="s">
        <v>132</v>
      </c>
      <c r="X1991" s="1" t="s">
        <v>38451</v>
      </c>
      <c r="Y1991" s="1" t="s">
        <v>132</v>
      </c>
      <c r="Z1991" s="1" t="s">
        <v>38452</v>
      </c>
      <c r="AA1991" s="1" t="s">
        <v>38453</v>
      </c>
      <c r="AB1991" s="1" t="s">
        <v>132</v>
      </c>
      <c r="AC1991" s="1" t="s">
        <v>38454</v>
      </c>
      <c r="AD1991" s="1" t="s">
        <v>132</v>
      </c>
      <c r="AE1991" s="1" t="s">
        <v>132</v>
      </c>
      <c r="AF1991" s="1" t="s">
        <v>38455</v>
      </c>
      <c r="AG1991" s="1" t="s">
        <v>38456</v>
      </c>
      <c r="AH1991" s="1" t="s">
        <v>132</v>
      </c>
      <c r="AI1991" s="1" t="s">
        <v>132</v>
      </c>
      <c r="AJ1991" s="1" t="s">
        <v>38457</v>
      </c>
      <c r="AK1991" s="1" t="s">
        <v>132</v>
      </c>
      <c r="AL1991" s="1" t="s">
        <v>132</v>
      </c>
      <c r="AM1991" s="1" t="s">
        <v>38458</v>
      </c>
      <c r="AN1991" s="1" t="s">
        <v>38458</v>
      </c>
    </row>
    <row r="1992" ht="15.75" customHeight="1">
      <c r="A1992" s="1" t="s">
        <v>38</v>
      </c>
      <c r="B1992" s="1" t="s">
        <v>38459</v>
      </c>
      <c r="C1992" s="1" t="s">
        <v>38460</v>
      </c>
      <c r="D1992" s="1" t="s">
        <v>132</v>
      </c>
      <c r="E1992" s="1" t="s">
        <v>38461</v>
      </c>
      <c r="F1992" s="1" t="s">
        <v>38462</v>
      </c>
      <c r="G1992" s="1" t="s">
        <v>132</v>
      </c>
      <c r="H1992" s="1" t="s">
        <v>132</v>
      </c>
      <c r="I1992" s="1" t="s">
        <v>38463</v>
      </c>
      <c r="J1992" s="1" t="s">
        <v>132</v>
      </c>
      <c r="K1992" s="1" t="s">
        <v>38464</v>
      </c>
      <c r="L1992" s="1" t="s">
        <v>132</v>
      </c>
      <c r="M1992" s="1" t="s">
        <v>38465</v>
      </c>
      <c r="N1992" s="1" t="s">
        <v>38466</v>
      </c>
      <c r="O1992" s="1" t="s">
        <v>132</v>
      </c>
      <c r="P1992" s="1" t="s">
        <v>38467</v>
      </c>
      <c r="Q1992" s="1" t="s">
        <v>132</v>
      </c>
      <c r="R1992" s="1" t="s">
        <v>132</v>
      </c>
      <c r="S1992" s="1" t="s">
        <v>38468</v>
      </c>
      <c r="T1992" s="1" t="s">
        <v>132</v>
      </c>
      <c r="U1992" s="1" t="s">
        <v>38469</v>
      </c>
      <c r="V1992" s="1" t="s">
        <v>38470</v>
      </c>
      <c r="W1992" s="1" t="s">
        <v>132</v>
      </c>
      <c r="X1992" s="1" t="s">
        <v>38471</v>
      </c>
      <c r="Y1992" s="1" t="s">
        <v>132</v>
      </c>
      <c r="Z1992" s="1" t="s">
        <v>38472</v>
      </c>
      <c r="AA1992" s="1" t="s">
        <v>132</v>
      </c>
      <c r="AB1992" s="1" t="s">
        <v>132</v>
      </c>
      <c r="AC1992" s="1" t="s">
        <v>38473</v>
      </c>
      <c r="AD1992" s="1" t="s">
        <v>132</v>
      </c>
      <c r="AE1992" s="1" t="s">
        <v>132</v>
      </c>
      <c r="AF1992" s="1" t="s">
        <v>38474</v>
      </c>
      <c r="AG1992" s="1" t="s">
        <v>38475</v>
      </c>
      <c r="AH1992" s="1" t="s">
        <v>132</v>
      </c>
      <c r="AI1992" s="1" t="s">
        <v>132</v>
      </c>
      <c r="AJ1992" s="1" t="s">
        <v>38476</v>
      </c>
      <c r="AK1992" s="1" t="s">
        <v>38477</v>
      </c>
      <c r="AL1992" s="1" t="s">
        <v>132</v>
      </c>
      <c r="AM1992" s="1" t="s">
        <v>38478</v>
      </c>
      <c r="AN1992" s="1" t="s">
        <v>38478</v>
      </c>
    </row>
    <row r="1993" ht="15.75" customHeight="1">
      <c r="A1993" s="1" t="s">
        <v>127</v>
      </c>
      <c r="B1993" s="1" t="s">
        <v>38479</v>
      </c>
      <c r="C1993" s="1" t="s">
        <v>4471</v>
      </c>
      <c r="D1993" s="8" t="s">
        <v>4472</v>
      </c>
      <c r="E1993" s="1" t="s">
        <v>4473</v>
      </c>
      <c r="F1993" s="1" t="s">
        <v>132</v>
      </c>
      <c r="G1993" s="1" t="s">
        <v>4474</v>
      </c>
      <c r="H1993" s="1" t="s">
        <v>4475</v>
      </c>
      <c r="I1993" s="1" t="s">
        <v>4471</v>
      </c>
      <c r="J1993" s="1" t="s">
        <v>4476</v>
      </c>
      <c r="K1993" s="1" t="s">
        <v>4477</v>
      </c>
      <c r="L1993" s="1" t="s">
        <v>4478</v>
      </c>
      <c r="M1993" s="1" t="s">
        <v>4479</v>
      </c>
      <c r="N1993" s="1" t="s">
        <v>132</v>
      </c>
      <c r="O1993" s="1" t="s">
        <v>4480</v>
      </c>
      <c r="P1993" s="1" t="s">
        <v>4481</v>
      </c>
      <c r="Q1993" s="1" t="s">
        <v>132</v>
      </c>
      <c r="R1993" s="1" t="s">
        <v>4482</v>
      </c>
      <c r="S1993" s="1" t="s">
        <v>4477</v>
      </c>
      <c r="T1993" s="8" t="s">
        <v>4483</v>
      </c>
      <c r="U1993" s="1" t="s">
        <v>4484</v>
      </c>
      <c r="V1993" s="1" t="s">
        <v>4485</v>
      </c>
      <c r="W1993" s="1" t="s">
        <v>4482</v>
      </c>
      <c r="X1993" s="1" t="s">
        <v>4486</v>
      </c>
      <c r="Y1993" s="1" t="s">
        <v>4487</v>
      </c>
      <c r="Z1993" s="1" t="s">
        <v>4488</v>
      </c>
      <c r="AA1993" s="1" t="s">
        <v>4489</v>
      </c>
      <c r="AB1993" s="1" t="s">
        <v>4490</v>
      </c>
      <c r="AC1993" s="1" t="s">
        <v>4491</v>
      </c>
      <c r="AD1993" s="1" t="s">
        <v>4474</v>
      </c>
      <c r="AE1993" s="1" t="s">
        <v>4474</v>
      </c>
      <c r="AF1993" s="1" t="s">
        <v>4474</v>
      </c>
      <c r="AG1993" s="1" t="s">
        <v>4475</v>
      </c>
      <c r="AH1993" s="1" t="s">
        <v>4492</v>
      </c>
      <c r="AI1993" s="1" t="s">
        <v>4493</v>
      </c>
      <c r="AJ1993" s="1" t="s">
        <v>132</v>
      </c>
      <c r="AK1993" s="1" t="s">
        <v>4494</v>
      </c>
      <c r="AL1993" s="1" t="s">
        <v>4495</v>
      </c>
      <c r="AM1993" s="1" t="s">
        <v>4496</v>
      </c>
      <c r="AN1993" s="1" t="s">
        <v>4496</v>
      </c>
    </row>
    <row r="1994" ht="15.75" customHeight="1">
      <c r="A1994" s="1" t="s">
        <v>38</v>
      </c>
      <c r="B1994" s="1" t="s">
        <v>38480</v>
      </c>
      <c r="C1994" s="1" t="s">
        <v>38481</v>
      </c>
      <c r="D1994" s="8" t="s">
        <v>38482</v>
      </c>
      <c r="E1994" s="1" t="s">
        <v>38483</v>
      </c>
      <c r="F1994" s="1" t="s">
        <v>38484</v>
      </c>
      <c r="G1994" s="1" t="s">
        <v>132</v>
      </c>
      <c r="H1994" s="1" t="s">
        <v>132</v>
      </c>
      <c r="I1994" s="1" t="s">
        <v>38485</v>
      </c>
      <c r="J1994" s="1" t="s">
        <v>132</v>
      </c>
      <c r="K1994" s="1" t="s">
        <v>38486</v>
      </c>
      <c r="L1994" s="1" t="s">
        <v>132</v>
      </c>
      <c r="M1994" s="1" t="s">
        <v>38487</v>
      </c>
      <c r="N1994" s="1" t="s">
        <v>38486</v>
      </c>
      <c r="O1994" s="1" t="s">
        <v>132</v>
      </c>
      <c r="P1994" s="1" t="s">
        <v>38488</v>
      </c>
      <c r="Q1994" s="1" t="s">
        <v>38489</v>
      </c>
      <c r="R1994" s="1" t="s">
        <v>132</v>
      </c>
      <c r="S1994" s="1" t="s">
        <v>38484</v>
      </c>
      <c r="T1994" s="1" t="s">
        <v>132</v>
      </c>
      <c r="U1994" s="1" t="s">
        <v>38490</v>
      </c>
      <c r="V1994" s="1" t="s">
        <v>38491</v>
      </c>
      <c r="W1994" s="1" t="s">
        <v>132</v>
      </c>
      <c r="X1994" s="1" t="s">
        <v>38492</v>
      </c>
      <c r="Y1994" s="1" t="s">
        <v>132</v>
      </c>
      <c r="Z1994" s="1" t="s">
        <v>38493</v>
      </c>
      <c r="AA1994" s="1" t="s">
        <v>38494</v>
      </c>
      <c r="AB1994" s="1" t="s">
        <v>132</v>
      </c>
      <c r="AC1994" s="1" t="s">
        <v>38495</v>
      </c>
      <c r="AD1994" s="1" t="s">
        <v>38496</v>
      </c>
      <c r="AE1994" s="1" t="s">
        <v>132</v>
      </c>
      <c r="AF1994" s="1" t="s">
        <v>38497</v>
      </c>
      <c r="AG1994" s="1" t="s">
        <v>38498</v>
      </c>
      <c r="AH1994" s="1" t="s">
        <v>132</v>
      </c>
      <c r="AI1994" s="1" t="s">
        <v>132</v>
      </c>
      <c r="AJ1994" s="1" t="s">
        <v>38499</v>
      </c>
      <c r="AK1994" s="1" t="s">
        <v>38500</v>
      </c>
      <c r="AL1994" s="1" t="s">
        <v>132</v>
      </c>
      <c r="AM1994" s="1" t="s">
        <v>38501</v>
      </c>
      <c r="AN1994" s="1" t="s">
        <v>38501</v>
      </c>
    </row>
    <row r="1995" ht="15.75" customHeight="1">
      <c r="A1995" s="1" t="s">
        <v>38</v>
      </c>
      <c r="B1995" s="1" t="s">
        <v>38502</v>
      </c>
      <c r="C1995" s="1" t="s">
        <v>38503</v>
      </c>
      <c r="D1995" s="1" t="s">
        <v>132</v>
      </c>
      <c r="E1995" s="1" t="s">
        <v>132</v>
      </c>
      <c r="F1995" s="1" t="s">
        <v>132</v>
      </c>
      <c r="G1995" s="1" t="s">
        <v>132</v>
      </c>
      <c r="H1995" s="1" t="s">
        <v>132</v>
      </c>
      <c r="I1995" s="1" t="s">
        <v>38504</v>
      </c>
      <c r="J1995" s="1" t="s">
        <v>132</v>
      </c>
      <c r="K1995" s="1" t="s">
        <v>38505</v>
      </c>
      <c r="L1995" s="1" t="s">
        <v>132</v>
      </c>
      <c r="M1995" s="1" t="s">
        <v>38506</v>
      </c>
      <c r="N1995" s="1" t="s">
        <v>132</v>
      </c>
      <c r="O1995" s="1" t="s">
        <v>132</v>
      </c>
      <c r="P1995" s="1" t="s">
        <v>38507</v>
      </c>
      <c r="Q1995" s="1" t="s">
        <v>132</v>
      </c>
      <c r="R1995" s="1" t="s">
        <v>132</v>
      </c>
      <c r="S1995" s="1" t="s">
        <v>132</v>
      </c>
      <c r="T1995" s="1" t="s">
        <v>132</v>
      </c>
      <c r="U1995" s="1" t="s">
        <v>132</v>
      </c>
      <c r="V1995" s="1" t="s">
        <v>132</v>
      </c>
      <c r="W1995" s="1" t="s">
        <v>132</v>
      </c>
      <c r="X1995" s="1" t="s">
        <v>132</v>
      </c>
      <c r="Y1995" s="1" t="s">
        <v>132</v>
      </c>
      <c r="Z1995" s="1" t="s">
        <v>132</v>
      </c>
      <c r="AA1995" s="1" t="s">
        <v>132</v>
      </c>
      <c r="AB1995" s="1" t="s">
        <v>132</v>
      </c>
      <c r="AC1995" s="1" t="s">
        <v>38508</v>
      </c>
      <c r="AD1995" s="1" t="s">
        <v>132</v>
      </c>
      <c r="AE1995" s="1" t="s">
        <v>132</v>
      </c>
      <c r="AF1995" s="1" t="s">
        <v>38509</v>
      </c>
      <c r="AG1995" s="1" t="s">
        <v>132</v>
      </c>
      <c r="AH1995" s="1" t="s">
        <v>132</v>
      </c>
      <c r="AI1995" s="1" t="s">
        <v>132</v>
      </c>
      <c r="AJ1995" s="1" t="s">
        <v>132</v>
      </c>
      <c r="AK1995" s="1" t="s">
        <v>132</v>
      </c>
      <c r="AL1995" s="1" t="s">
        <v>132</v>
      </c>
      <c r="AM1995" s="1" t="s">
        <v>132</v>
      </c>
      <c r="AN1995" s="1" t="s">
        <v>132</v>
      </c>
    </row>
    <row r="1996" ht="15.75" customHeight="1">
      <c r="A1996" s="1" t="s">
        <v>38</v>
      </c>
      <c r="B1996" s="1" t="s">
        <v>38510</v>
      </c>
      <c r="C1996" s="1" t="s">
        <v>38511</v>
      </c>
      <c r="D1996" s="1" t="s">
        <v>132</v>
      </c>
      <c r="E1996" s="1" t="s">
        <v>132</v>
      </c>
      <c r="F1996" s="1" t="s">
        <v>132</v>
      </c>
      <c r="G1996" s="1" t="s">
        <v>132</v>
      </c>
      <c r="H1996" s="1" t="s">
        <v>132</v>
      </c>
      <c r="I1996" s="1" t="s">
        <v>38511</v>
      </c>
      <c r="J1996" s="1" t="s">
        <v>132</v>
      </c>
      <c r="K1996" s="1" t="s">
        <v>38511</v>
      </c>
      <c r="L1996" s="1" t="s">
        <v>132</v>
      </c>
      <c r="M1996" s="1" t="s">
        <v>38512</v>
      </c>
      <c r="N1996" s="1" t="s">
        <v>132</v>
      </c>
      <c r="O1996" s="1" t="s">
        <v>132</v>
      </c>
      <c r="P1996" s="1" t="s">
        <v>38511</v>
      </c>
      <c r="Q1996" s="1" t="s">
        <v>132</v>
      </c>
      <c r="R1996" s="1" t="s">
        <v>132</v>
      </c>
      <c r="S1996" s="1" t="s">
        <v>132</v>
      </c>
      <c r="T1996" s="1" t="s">
        <v>132</v>
      </c>
      <c r="U1996" s="1" t="s">
        <v>132</v>
      </c>
      <c r="V1996" s="1" t="s">
        <v>132</v>
      </c>
      <c r="W1996" s="1" t="s">
        <v>132</v>
      </c>
      <c r="X1996" s="1" t="s">
        <v>132</v>
      </c>
      <c r="Y1996" s="1" t="s">
        <v>132</v>
      </c>
      <c r="Z1996" s="1" t="s">
        <v>132</v>
      </c>
      <c r="AA1996" s="1" t="s">
        <v>132</v>
      </c>
      <c r="AB1996" s="1" t="s">
        <v>132</v>
      </c>
      <c r="AC1996" s="1" t="s">
        <v>38513</v>
      </c>
      <c r="AD1996" s="1" t="s">
        <v>132</v>
      </c>
      <c r="AE1996" s="1" t="s">
        <v>132</v>
      </c>
      <c r="AF1996" s="1" t="s">
        <v>38514</v>
      </c>
      <c r="AG1996" s="1" t="s">
        <v>132</v>
      </c>
      <c r="AH1996" s="1" t="s">
        <v>132</v>
      </c>
      <c r="AI1996" s="1" t="s">
        <v>132</v>
      </c>
      <c r="AJ1996" s="1" t="s">
        <v>132</v>
      </c>
      <c r="AK1996" s="1" t="s">
        <v>132</v>
      </c>
      <c r="AL1996" s="1" t="s">
        <v>132</v>
      </c>
      <c r="AM1996" s="1" t="s">
        <v>132</v>
      </c>
      <c r="AN1996" s="1" t="s">
        <v>132</v>
      </c>
    </row>
    <row r="1997" ht="15.75" customHeight="1">
      <c r="A1997" s="1" t="s">
        <v>127</v>
      </c>
      <c r="B1997" s="1" t="s">
        <v>38515</v>
      </c>
      <c r="C1997" s="1" t="s">
        <v>38516</v>
      </c>
      <c r="D1997" s="8" t="s">
        <v>38517</v>
      </c>
      <c r="E1997" s="1" t="s">
        <v>38518</v>
      </c>
      <c r="F1997" s="1" t="s">
        <v>132</v>
      </c>
      <c r="G1997" s="1" t="s">
        <v>38519</v>
      </c>
      <c r="H1997" s="1" t="s">
        <v>38520</v>
      </c>
      <c r="I1997" s="1" t="s">
        <v>38521</v>
      </c>
      <c r="J1997" s="1" t="s">
        <v>38522</v>
      </c>
      <c r="K1997" s="1" t="s">
        <v>38523</v>
      </c>
      <c r="L1997" s="1" t="s">
        <v>38524</v>
      </c>
      <c r="M1997" s="1" t="s">
        <v>38525</v>
      </c>
      <c r="N1997" s="1" t="s">
        <v>132</v>
      </c>
      <c r="O1997" s="1" t="s">
        <v>38526</v>
      </c>
      <c r="P1997" s="1" t="s">
        <v>38516</v>
      </c>
      <c r="Q1997" s="1" t="s">
        <v>132</v>
      </c>
      <c r="R1997" s="1" t="s">
        <v>38527</v>
      </c>
      <c r="S1997" s="1" t="s">
        <v>38528</v>
      </c>
      <c r="T1997" s="8" t="s">
        <v>38529</v>
      </c>
      <c r="U1997" s="1" t="s">
        <v>38530</v>
      </c>
      <c r="V1997" s="1" t="s">
        <v>38531</v>
      </c>
      <c r="W1997" s="1" t="s">
        <v>38532</v>
      </c>
      <c r="X1997" s="1" t="s">
        <v>38533</v>
      </c>
      <c r="Y1997" s="1" t="s">
        <v>38534</v>
      </c>
      <c r="Z1997" s="1" t="s">
        <v>38535</v>
      </c>
      <c r="AA1997" s="1" t="s">
        <v>38536</v>
      </c>
      <c r="AB1997" s="1" t="s">
        <v>38537</v>
      </c>
      <c r="AC1997" s="1" t="s">
        <v>38538</v>
      </c>
      <c r="AD1997" s="1" t="s">
        <v>38539</v>
      </c>
      <c r="AE1997" s="1" t="s">
        <v>38540</v>
      </c>
      <c r="AF1997" s="1" t="s">
        <v>38541</v>
      </c>
      <c r="AG1997" s="1" t="s">
        <v>38542</v>
      </c>
      <c r="AH1997" s="1" t="s">
        <v>38543</v>
      </c>
      <c r="AI1997" s="1" t="s">
        <v>38544</v>
      </c>
      <c r="AJ1997" s="1" t="s">
        <v>132</v>
      </c>
      <c r="AK1997" s="1" t="s">
        <v>38545</v>
      </c>
      <c r="AL1997" s="1" t="s">
        <v>38546</v>
      </c>
      <c r="AM1997" s="1" t="s">
        <v>38547</v>
      </c>
      <c r="AN1997" s="1" t="s">
        <v>38547</v>
      </c>
    </row>
    <row r="1998" ht="15.75" customHeight="1">
      <c r="A1998" s="1" t="s">
        <v>127</v>
      </c>
      <c r="B1998" s="1" t="s">
        <v>38548</v>
      </c>
      <c r="C1998" s="1" t="s">
        <v>38549</v>
      </c>
      <c r="D1998" s="8" t="s">
        <v>38550</v>
      </c>
      <c r="E1998" s="1" t="s">
        <v>38551</v>
      </c>
      <c r="F1998" s="1" t="s">
        <v>132</v>
      </c>
      <c r="G1998" s="1" t="s">
        <v>38552</v>
      </c>
      <c r="H1998" s="1" t="s">
        <v>38553</v>
      </c>
      <c r="I1998" s="1" t="s">
        <v>38554</v>
      </c>
      <c r="J1998" s="1" t="s">
        <v>38555</v>
      </c>
      <c r="K1998" s="1" t="s">
        <v>38556</v>
      </c>
      <c r="L1998" s="1" t="s">
        <v>38557</v>
      </c>
      <c r="M1998" s="1" t="s">
        <v>38558</v>
      </c>
      <c r="N1998" s="1" t="s">
        <v>132</v>
      </c>
      <c r="O1998" s="1" t="s">
        <v>38559</v>
      </c>
      <c r="P1998" s="1" t="s">
        <v>38560</v>
      </c>
      <c r="Q1998" s="1" t="s">
        <v>132</v>
      </c>
      <c r="R1998" s="1" t="s">
        <v>38561</v>
      </c>
      <c r="S1998" s="1" t="s">
        <v>6688</v>
      </c>
      <c r="T1998" s="8" t="s">
        <v>38562</v>
      </c>
      <c r="U1998" s="1" t="s">
        <v>38563</v>
      </c>
      <c r="V1998" s="1" t="s">
        <v>38564</v>
      </c>
      <c r="W1998" s="1" t="s">
        <v>38565</v>
      </c>
      <c r="X1998" s="1" t="s">
        <v>38566</v>
      </c>
      <c r="Y1998" s="1" t="s">
        <v>38567</v>
      </c>
      <c r="Z1998" s="1" t="s">
        <v>38568</v>
      </c>
      <c r="AA1998" s="1" t="s">
        <v>38556</v>
      </c>
      <c r="AB1998" s="1" t="s">
        <v>38569</v>
      </c>
      <c r="AC1998" s="1" t="s">
        <v>38570</v>
      </c>
      <c r="AD1998" s="1" t="s">
        <v>38571</v>
      </c>
      <c r="AE1998" s="1" t="s">
        <v>38549</v>
      </c>
      <c r="AF1998" s="1" t="s">
        <v>38572</v>
      </c>
      <c r="AG1998" s="1" t="s">
        <v>38573</v>
      </c>
      <c r="AH1998" s="1" t="s">
        <v>38574</v>
      </c>
      <c r="AI1998" s="1" t="s">
        <v>38575</v>
      </c>
      <c r="AJ1998" s="1" t="s">
        <v>132</v>
      </c>
      <c r="AK1998" s="1" t="s">
        <v>38576</v>
      </c>
      <c r="AL1998" s="1" t="s">
        <v>38577</v>
      </c>
      <c r="AM1998" s="1" t="s">
        <v>38578</v>
      </c>
      <c r="AN1998" s="1" t="s">
        <v>38578</v>
      </c>
    </row>
    <row r="1999" ht="15.75" customHeight="1">
      <c r="A1999" s="1" t="s">
        <v>127</v>
      </c>
      <c r="B1999" s="1" t="s">
        <v>38579</v>
      </c>
      <c r="C1999" s="1" t="s">
        <v>38580</v>
      </c>
      <c r="D1999" s="8" t="s">
        <v>38581</v>
      </c>
      <c r="E1999" s="1" t="s">
        <v>38582</v>
      </c>
      <c r="F1999" s="1" t="s">
        <v>132</v>
      </c>
      <c r="G1999" s="1" t="s">
        <v>38583</v>
      </c>
      <c r="H1999" s="1" t="s">
        <v>38584</v>
      </c>
      <c r="I1999" s="1" t="s">
        <v>38585</v>
      </c>
      <c r="J1999" s="1" t="s">
        <v>38586</v>
      </c>
      <c r="K1999" s="1" t="s">
        <v>38587</v>
      </c>
      <c r="L1999" s="1" t="s">
        <v>38588</v>
      </c>
      <c r="M1999" s="1" t="s">
        <v>38589</v>
      </c>
      <c r="N1999" s="1" t="s">
        <v>132</v>
      </c>
      <c r="O1999" s="1" t="s">
        <v>38590</v>
      </c>
      <c r="P1999" s="1" t="s">
        <v>38591</v>
      </c>
      <c r="Q1999" s="1" t="s">
        <v>132</v>
      </c>
      <c r="R1999" s="1" t="s">
        <v>38592</v>
      </c>
      <c r="S1999" s="1" t="s">
        <v>38593</v>
      </c>
      <c r="T1999" s="8" t="s">
        <v>38594</v>
      </c>
      <c r="U1999" s="1" t="s">
        <v>38595</v>
      </c>
      <c r="V1999" s="1" t="s">
        <v>2402</v>
      </c>
      <c r="W1999" s="1" t="s">
        <v>38592</v>
      </c>
      <c r="X1999" s="1" t="s">
        <v>38596</v>
      </c>
      <c r="Y1999" s="1" t="s">
        <v>38597</v>
      </c>
      <c r="Z1999" s="1" t="s">
        <v>38598</v>
      </c>
      <c r="AA1999" s="1" t="s">
        <v>38599</v>
      </c>
      <c r="AB1999" s="1" t="s">
        <v>38600</v>
      </c>
      <c r="AC1999" s="1" t="s">
        <v>38601</v>
      </c>
      <c r="AD1999" s="1" t="s">
        <v>38602</v>
      </c>
      <c r="AE1999" s="1" t="s">
        <v>38603</v>
      </c>
      <c r="AF1999" s="1" t="s">
        <v>38604</v>
      </c>
      <c r="AG1999" s="1" t="s">
        <v>38605</v>
      </c>
      <c r="AH1999" s="1" t="s">
        <v>38606</v>
      </c>
      <c r="AI1999" s="1" t="s">
        <v>38607</v>
      </c>
      <c r="AJ1999" s="1" t="s">
        <v>132</v>
      </c>
      <c r="AK1999" s="1" t="s">
        <v>38608</v>
      </c>
      <c r="AL1999" s="1" t="s">
        <v>38609</v>
      </c>
      <c r="AM1999" s="1" t="s">
        <v>38610</v>
      </c>
      <c r="AN1999" s="1" t="s">
        <v>38610</v>
      </c>
    </row>
    <row r="2000" ht="15.75" customHeight="1">
      <c r="A2000" s="1" t="s">
        <v>127</v>
      </c>
      <c r="B2000" s="1" t="s">
        <v>38611</v>
      </c>
      <c r="C2000" s="1" t="s">
        <v>38612</v>
      </c>
      <c r="D2000" s="8" t="s">
        <v>38613</v>
      </c>
      <c r="E2000" s="1" t="s">
        <v>38614</v>
      </c>
      <c r="F2000" s="1" t="s">
        <v>132</v>
      </c>
      <c r="G2000" s="1" t="s">
        <v>38615</v>
      </c>
      <c r="H2000" s="1" t="s">
        <v>38616</v>
      </c>
      <c r="I2000" s="1" t="s">
        <v>38617</v>
      </c>
      <c r="J2000" s="1" t="s">
        <v>38618</v>
      </c>
      <c r="K2000" s="1" t="s">
        <v>38619</v>
      </c>
      <c r="L2000" s="1" t="s">
        <v>38620</v>
      </c>
      <c r="M2000" s="1" t="s">
        <v>38621</v>
      </c>
      <c r="N2000" s="1" t="s">
        <v>132</v>
      </c>
      <c r="O2000" s="1" t="s">
        <v>38622</v>
      </c>
      <c r="P2000" s="1" t="s">
        <v>38623</v>
      </c>
      <c r="Q2000" s="1" t="s">
        <v>132</v>
      </c>
      <c r="R2000" s="1" t="s">
        <v>38624</v>
      </c>
      <c r="S2000" s="1" t="s">
        <v>38625</v>
      </c>
      <c r="T2000" s="8" t="s">
        <v>38626</v>
      </c>
      <c r="U2000" s="1" t="s">
        <v>38627</v>
      </c>
      <c r="V2000" s="1" t="s">
        <v>38628</v>
      </c>
      <c r="W2000" s="1" t="s">
        <v>38629</v>
      </c>
      <c r="X2000" s="1" t="s">
        <v>38630</v>
      </c>
      <c r="Y2000" s="1" t="s">
        <v>38631</v>
      </c>
      <c r="Z2000" s="1" t="s">
        <v>38632</v>
      </c>
      <c r="AA2000" s="1" t="s">
        <v>38612</v>
      </c>
      <c r="AB2000" s="1" t="s">
        <v>132</v>
      </c>
      <c r="AC2000" s="1" t="s">
        <v>38633</v>
      </c>
      <c r="AD2000" s="1" t="s">
        <v>38634</v>
      </c>
      <c r="AE2000" s="1" t="s">
        <v>38635</v>
      </c>
      <c r="AF2000" s="1" t="s">
        <v>38636</v>
      </c>
      <c r="AG2000" s="1" t="s">
        <v>38637</v>
      </c>
      <c r="AH2000" s="1" t="s">
        <v>16427</v>
      </c>
      <c r="AI2000" s="1" t="s">
        <v>38638</v>
      </c>
      <c r="AJ2000" s="1" t="s">
        <v>132</v>
      </c>
      <c r="AK2000" s="1" t="s">
        <v>38639</v>
      </c>
      <c r="AL2000" s="1" t="s">
        <v>16430</v>
      </c>
      <c r="AM2000" s="1" t="s">
        <v>132</v>
      </c>
      <c r="AN2000" s="1" t="s">
        <v>132</v>
      </c>
    </row>
    <row r="2001" ht="15.75" customHeight="1">
      <c r="A2001" s="1" t="s">
        <v>127</v>
      </c>
      <c r="B2001" s="1" t="s">
        <v>38640</v>
      </c>
      <c r="C2001" s="1" t="s">
        <v>38641</v>
      </c>
      <c r="D2001" s="8" t="s">
        <v>38642</v>
      </c>
      <c r="E2001" s="1" t="s">
        <v>38643</v>
      </c>
      <c r="F2001" s="1" t="s">
        <v>132</v>
      </c>
      <c r="G2001" s="1" t="s">
        <v>38644</v>
      </c>
      <c r="H2001" s="1" t="s">
        <v>38645</v>
      </c>
      <c r="I2001" s="1" t="s">
        <v>38646</v>
      </c>
      <c r="J2001" s="1" t="s">
        <v>38647</v>
      </c>
      <c r="K2001" s="1" t="s">
        <v>38648</v>
      </c>
      <c r="L2001" s="1" t="s">
        <v>38649</v>
      </c>
      <c r="M2001" s="1" t="s">
        <v>38650</v>
      </c>
      <c r="N2001" s="1" t="s">
        <v>132</v>
      </c>
      <c r="O2001" s="1" t="s">
        <v>38651</v>
      </c>
      <c r="P2001" s="1" t="s">
        <v>38652</v>
      </c>
      <c r="Q2001" s="1" t="s">
        <v>132</v>
      </c>
      <c r="R2001" s="1" t="s">
        <v>38653</v>
      </c>
      <c r="S2001" s="1" t="s">
        <v>38654</v>
      </c>
      <c r="T2001" s="8" t="s">
        <v>38655</v>
      </c>
      <c r="U2001" s="1" t="s">
        <v>38627</v>
      </c>
      <c r="V2001" s="1" t="s">
        <v>38656</v>
      </c>
      <c r="W2001" s="1" t="s">
        <v>38657</v>
      </c>
      <c r="X2001" s="1" t="s">
        <v>38658</v>
      </c>
      <c r="Y2001" s="1" t="s">
        <v>38659</v>
      </c>
      <c r="Z2001" s="1" t="s">
        <v>38660</v>
      </c>
      <c r="AA2001" s="1" t="s">
        <v>38661</v>
      </c>
      <c r="AB2001" s="1" t="s">
        <v>132</v>
      </c>
      <c r="AC2001" s="1" t="s">
        <v>38662</v>
      </c>
      <c r="AD2001" s="1" t="s">
        <v>38663</v>
      </c>
      <c r="AE2001" s="1" t="s">
        <v>38664</v>
      </c>
      <c r="AF2001" s="1" t="s">
        <v>132</v>
      </c>
      <c r="AG2001" s="1" t="s">
        <v>36383</v>
      </c>
      <c r="AH2001" s="1" t="s">
        <v>38665</v>
      </c>
      <c r="AI2001" s="1" t="s">
        <v>38666</v>
      </c>
      <c r="AJ2001" s="1" t="s">
        <v>132</v>
      </c>
      <c r="AK2001" s="1" t="s">
        <v>38667</v>
      </c>
      <c r="AL2001" s="1" t="s">
        <v>38668</v>
      </c>
      <c r="AM2001" s="1" t="s">
        <v>132</v>
      </c>
      <c r="AN2001" s="1" t="s">
        <v>132</v>
      </c>
    </row>
    <row r="2002" ht="15.75" customHeight="1">
      <c r="A2002" s="1" t="s">
        <v>38</v>
      </c>
      <c r="B2002" s="1" t="s">
        <v>38669</v>
      </c>
      <c r="C2002" s="1" t="s">
        <v>38670</v>
      </c>
      <c r="D2002" s="1" t="s">
        <v>132</v>
      </c>
      <c r="E2002" s="1" t="s">
        <v>38671</v>
      </c>
      <c r="F2002" s="1" t="s">
        <v>38672</v>
      </c>
      <c r="G2002" s="1" t="s">
        <v>132</v>
      </c>
      <c r="H2002" s="1" t="s">
        <v>132</v>
      </c>
      <c r="I2002" s="1" t="s">
        <v>38673</v>
      </c>
      <c r="J2002" s="1" t="s">
        <v>132</v>
      </c>
      <c r="K2002" s="1" t="s">
        <v>38674</v>
      </c>
      <c r="L2002" s="1" t="s">
        <v>132</v>
      </c>
      <c r="M2002" s="1" t="s">
        <v>38675</v>
      </c>
      <c r="N2002" s="1" t="s">
        <v>38674</v>
      </c>
      <c r="O2002" s="1" t="s">
        <v>132</v>
      </c>
      <c r="P2002" s="1" t="s">
        <v>38676</v>
      </c>
      <c r="Q2002" s="1" t="s">
        <v>132</v>
      </c>
      <c r="R2002" s="1" t="s">
        <v>132</v>
      </c>
      <c r="S2002" s="1" t="s">
        <v>38677</v>
      </c>
      <c r="T2002" s="1" t="s">
        <v>132</v>
      </c>
      <c r="U2002" s="1" t="s">
        <v>132</v>
      </c>
      <c r="V2002" s="1" t="s">
        <v>132</v>
      </c>
      <c r="W2002" s="1" t="s">
        <v>132</v>
      </c>
      <c r="X2002" s="1" t="s">
        <v>38678</v>
      </c>
      <c r="Y2002" s="1" t="s">
        <v>132</v>
      </c>
      <c r="Z2002" s="1" t="s">
        <v>38679</v>
      </c>
      <c r="AA2002" s="1" t="s">
        <v>38680</v>
      </c>
      <c r="AB2002" s="1" t="s">
        <v>132</v>
      </c>
      <c r="AC2002" s="1" t="s">
        <v>38681</v>
      </c>
      <c r="AD2002" s="1" t="s">
        <v>132</v>
      </c>
      <c r="AE2002" s="1" t="s">
        <v>132</v>
      </c>
      <c r="AF2002" s="1" t="s">
        <v>38682</v>
      </c>
      <c r="AG2002" s="1" t="s">
        <v>132</v>
      </c>
      <c r="AH2002" s="1" t="s">
        <v>132</v>
      </c>
      <c r="AI2002" s="1" t="s">
        <v>132</v>
      </c>
      <c r="AJ2002" s="1" t="s">
        <v>132</v>
      </c>
      <c r="AK2002" s="1" t="s">
        <v>132</v>
      </c>
      <c r="AL2002" s="1" t="s">
        <v>132</v>
      </c>
      <c r="AM2002" s="1" t="s">
        <v>132</v>
      </c>
      <c r="AN2002" s="1" t="s">
        <v>132</v>
      </c>
    </row>
    <row r="2003" ht="15.75" customHeight="1">
      <c r="A2003" s="1" t="s">
        <v>127</v>
      </c>
      <c r="B2003" s="1" t="s">
        <v>38683</v>
      </c>
      <c r="C2003" s="1" t="s">
        <v>11018</v>
      </c>
      <c r="D2003" s="8" t="s">
        <v>11019</v>
      </c>
      <c r="E2003" s="1" t="s">
        <v>11020</v>
      </c>
      <c r="F2003" s="1" t="s">
        <v>132</v>
      </c>
      <c r="G2003" s="1" t="s">
        <v>11021</v>
      </c>
      <c r="H2003" s="1" t="s">
        <v>11022</v>
      </c>
      <c r="I2003" s="1" t="s">
        <v>11023</v>
      </c>
      <c r="J2003" s="1" t="s">
        <v>38684</v>
      </c>
      <c r="K2003" s="1" t="s">
        <v>37719</v>
      </c>
      <c r="L2003" s="1" t="s">
        <v>11026</v>
      </c>
      <c r="M2003" s="1" t="s">
        <v>38685</v>
      </c>
      <c r="N2003" s="1" t="s">
        <v>132</v>
      </c>
      <c r="O2003" s="1" t="s">
        <v>11028</v>
      </c>
      <c r="P2003" s="1" t="s">
        <v>38686</v>
      </c>
      <c r="Q2003" s="1" t="s">
        <v>132</v>
      </c>
      <c r="R2003" s="1" t="s">
        <v>11030</v>
      </c>
      <c r="S2003" s="1" t="s">
        <v>11031</v>
      </c>
      <c r="T2003" s="8" t="s">
        <v>11032</v>
      </c>
      <c r="U2003" s="1" t="s">
        <v>11033</v>
      </c>
      <c r="V2003" s="1" t="s">
        <v>11034</v>
      </c>
      <c r="W2003" s="1" t="s">
        <v>11030</v>
      </c>
      <c r="X2003" s="1" t="s">
        <v>11035</v>
      </c>
      <c r="Y2003" s="1" t="s">
        <v>11036</v>
      </c>
      <c r="Z2003" s="1" t="s">
        <v>38687</v>
      </c>
      <c r="AA2003" s="1" t="s">
        <v>11038</v>
      </c>
      <c r="AB2003" s="1" t="s">
        <v>132</v>
      </c>
      <c r="AC2003" s="1" t="s">
        <v>38688</v>
      </c>
      <c r="AD2003" s="1" t="s">
        <v>38689</v>
      </c>
      <c r="AE2003" s="1" t="s">
        <v>11042</v>
      </c>
      <c r="AF2003" s="1" t="s">
        <v>38690</v>
      </c>
      <c r="AG2003" s="1" t="s">
        <v>11044</v>
      </c>
      <c r="AH2003" s="1" t="s">
        <v>11045</v>
      </c>
      <c r="AI2003" s="1" t="s">
        <v>11046</v>
      </c>
      <c r="AJ2003" s="1" t="s">
        <v>132</v>
      </c>
      <c r="AK2003" s="1" t="s">
        <v>11047</v>
      </c>
      <c r="AL2003" s="1" t="s">
        <v>11048</v>
      </c>
      <c r="AM2003" s="1" t="s">
        <v>132</v>
      </c>
      <c r="AN2003" s="1" t="s">
        <v>132</v>
      </c>
    </row>
    <row r="2004" ht="15.75" customHeight="1">
      <c r="A2004" s="1" t="s">
        <v>127</v>
      </c>
      <c r="B2004" s="1" t="s">
        <v>38691</v>
      </c>
      <c r="C2004" s="1" t="s">
        <v>38692</v>
      </c>
      <c r="D2004" s="8" t="s">
        <v>38693</v>
      </c>
      <c r="E2004" s="1" t="s">
        <v>38694</v>
      </c>
      <c r="F2004" s="1" t="s">
        <v>132</v>
      </c>
      <c r="G2004" s="1" t="s">
        <v>38695</v>
      </c>
      <c r="H2004" s="1" t="s">
        <v>38696</v>
      </c>
      <c r="I2004" s="1" t="s">
        <v>38692</v>
      </c>
      <c r="J2004" s="1" t="s">
        <v>38697</v>
      </c>
      <c r="K2004" s="1" t="s">
        <v>38698</v>
      </c>
      <c r="L2004" s="1" t="s">
        <v>38699</v>
      </c>
      <c r="M2004" s="1" t="s">
        <v>38692</v>
      </c>
      <c r="N2004" s="1" t="s">
        <v>132</v>
      </c>
      <c r="O2004" s="1" t="s">
        <v>38700</v>
      </c>
      <c r="P2004" s="1" t="s">
        <v>38692</v>
      </c>
      <c r="Q2004" s="1" t="s">
        <v>132</v>
      </c>
      <c r="R2004" s="1" t="s">
        <v>38701</v>
      </c>
      <c r="S2004" s="1" t="s">
        <v>38692</v>
      </c>
      <c r="T2004" s="8" t="s">
        <v>38702</v>
      </c>
      <c r="U2004" s="1" t="s">
        <v>38703</v>
      </c>
      <c r="V2004" s="1" t="s">
        <v>38704</v>
      </c>
      <c r="W2004" s="1" t="s">
        <v>38701</v>
      </c>
      <c r="X2004" s="1" t="s">
        <v>38705</v>
      </c>
      <c r="Y2004" s="1" t="s">
        <v>38706</v>
      </c>
      <c r="Z2004" s="1" t="s">
        <v>38692</v>
      </c>
      <c r="AA2004" s="1" t="s">
        <v>38707</v>
      </c>
      <c r="AB2004" s="1" t="s">
        <v>132</v>
      </c>
      <c r="AC2004" s="1" t="s">
        <v>38708</v>
      </c>
      <c r="AD2004" s="1" t="s">
        <v>38709</v>
      </c>
      <c r="AE2004" s="1" t="s">
        <v>38710</v>
      </c>
      <c r="AF2004" s="1" t="s">
        <v>38692</v>
      </c>
      <c r="AG2004" s="1" t="s">
        <v>38692</v>
      </c>
      <c r="AH2004" s="1" t="s">
        <v>38711</v>
      </c>
      <c r="AI2004" s="1" t="s">
        <v>38712</v>
      </c>
      <c r="AJ2004" s="1" t="s">
        <v>132</v>
      </c>
      <c r="AK2004" s="1" t="s">
        <v>38713</v>
      </c>
      <c r="AL2004" s="1" t="s">
        <v>38714</v>
      </c>
      <c r="AM2004" s="1" t="s">
        <v>38715</v>
      </c>
      <c r="AN2004" s="1" t="s">
        <v>38715</v>
      </c>
    </row>
    <row r="2005" ht="15.75" customHeight="1">
      <c r="A2005" s="1" t="s">
        <v>127</v>
      </c>
      <c r="B2005" s="1" t="s">
        <v>38716</v>
      </c>
      <c r="C2005" s="1" t="s">
        <v>38717</v>
      </c>
      <c r="D2005" s="8" t="s">
        <v>38718</v>
      </c>
      <c r="E2005" s="1" t="s">
        <v>38719</v>
      </c>
      <c r="F2005" s="1" t="s">
        <v>132</v>
      </c>
      <c r="G2005" s="1" t="s">
        <v>38720</v>
      </c>
      <c r="H2005" s="1" t="s">
        <v>38721</v>
      </c>
      <c r="I2005" s="1" t="s">
        <v>38722</v>
      </c>
      <c r="J2005" s="1" t="s">
        <v>38723</v>
      </c>
      <c r="K2005" s="1" t="s">
        <v>38724</v>
      </c>
      <c r="L2005" s="1" t="s">
        <v>38725</v>
      </c>
      <c r="M2005" s="1" t="s">
        <v>38726</v>
      </c>
      <c r="N2005" s="1" t="s">
        <v>132</v>
      </c>
      <c r="O2005" s="1" t="s">
        <v>38727</v>
      </c>
      <c r="P2005" s="1" t="s">
        <v>38728</v>
      </c>
      <c r="Q2005" s="1" t="s">
        <v>132</v>
      </c>
      <c r="R2005" s="1" t="s">
        <v>38729</v>
      </c>
      <c r="S2005" s="1" t="s">
        <v>38730</v>
      </c>
      <c r="T2005" s="8" t="s">
        <v>38731</v>
      </c>
      <c r="U2005" s="1" t="s">
        <v>38732</v>
      </c>
      <c r="V2005" s="1" t="s">
        <v>38733</v>
      </c>
      <c r="W2005" s="1" t="s">
        <v>38729</v>
      </c>
      <c r="X2005" s="1" t="s">
        <v>38734</v>
      </c>
      <c r="Y2005" s="1" t="s">
        <v>38735</v>
      </c>
      <c r="Z2005" s="1" t="s">
        <v>38736</v>
      </c>
      <c r="AA2005" s="1" t="s">
        <v>38737</v>
      </c>
      <c r="AB2005" s="1" t="s">
        <v>132</v>
      </c>
      <c r="AC2005" s="1" t="s">
        <v>38738</v>
      </c>
      <c r="AD2005" s="1" t="s">
        <v>38739</v>
      </c>
      <c r="AE2005" s="1" t="s">
        <v>38740</v>
      </c>
      <c r="AF2005" s="1" t="s">
        <v>38741</v>
      </c>
      <c r="AG2005" s="1" t="s">
        <v>38742</v>
      </c>
      <c r="AH2005" s="1" t="s">
        <v>38743</v>
      </c>
      <c r="AI2005" s="1" t="s">
        <v>38744</v>
      </c>
      <c r="AJ2005" s="1" t="s">
        <v>132</v>
      </c>
      <c r="AK2005" s="1" t="s">
        <v>38745</v>
      </c>
      <c r="AL2005" s="1" t="s">
        <v>38746</v>
      </c>
      <c r="AM2005" s="1" t="s">
        <v>132</v>
      </c>
      <c r="AN2005" s="1" t="s">
        <v>132</v>
      </c>
    </row>
    <row r="2006" ht="15.75" customHeight="1">
      <c r="A2006" s="1" t="s">
        <v>38</v>
      </c>
      <c r="B2006" s="1" t="s">
        <v>38747</v>
      </c>
      <c r="C2006" s="1" t="s">
        <v>38748</v>
      </c>
      <c r="D2006" s="8" t="s">
        <v>38749</v>
      </c>
      <c r="E2006" s="1" t="s">
        <v>38750</v>
      </c>
      <c r="F2006" s="1" t="s">
        <v>38751</v>
      </c>
      <c r="G2006" s="1" t="s">
        <v>132</v>
      </c>
      <c r="H2006" s="1" t="s">
        <v>132</v>
      </c>
      <c r="I2006" s="1" t="s">
        <v>38753</v>
      </c>
      <c r="J2006" s="1" t="s">
        <v>132</v>
      </c>
      <c r="K2006" s="1" t="s">
        <v>38754</v>
      </c>
      <c r="L2006" s="1" t="s">
        <v>132</v>
      </c>
      <c r="M2006" s="1" t="s">
        <v>38756</v>
      </c>
      <c r="N2006" s="1" t="s">
        <v>38757</v>
      </c>
      <c r="O2006" s="1" t="s">
        <v>132</v>
      </c>
      <c r="P2006" s="1" t="s">
        <v>38758</v>
      </c>
      <c r="Q2006" s="1" t="s">
        <v>38759</v>
      </c>
      <c r="R2006" s="1" t="s">
        <v>132</v>
      </c>
      <c r="S2006" s="1" t="s">
        <v>38760</v>
      </c>
      <c r="T2006" s="1" t="s">
        <v>132</v>
      </c>
      <c r="U2006" s="1" t="s">
        <v>38761</v>
      </c>
      <c r="V2006" s="1" t="s">
        <v>38762</v>
      </c>
      <c r="W2006" s="1" t="s">
        <v>132</v>
      </c>
      <c r="X2006" s="1" t="s">
        <v>38763</v>
      </c>
      <c r="Y2006" s="1" t="s">
        <v>132</v>
      </c>
      <c r="Z2006" s="1" t="s">
        <v>38765</v>
      </c>
      <c r="AA2006" s="1" t="s">
        <v>38766</v>
      </c>
      <c r="AB2006" s="1" t="s">
        <v>132</v>
      </c>
      <c r="AC2006" s="1" t="s">
        <v>38767</v>
      </c>
      <c r="AD2006" s="1" t="s">
        <v>38768</v>
      </c>
      <c r="AE2006" s="1" t="s">
        <v>132</v>
      </c>
      <c r="AF2006" s="1" t="s">
        <v>38769</v>
      </c>
      <c r="AG2006" s="1" t="s">
        <v>38770</v>
      </c>
      <c r="AH2006" s="1" t="s">
        <v>132</v>
      </c>
      <c r="AI2006" s="1" t="s">
        <v>132</v>
      </c>
      <c r="AJ2006" s="1" t="s">
        <v>38772</v>
      </c>
      <c r="AK2006" s="1" t="s">
        <v>38773</v>
      </c>
      <c r="AL2006" s="1" t="s">
        <v>132</v>
      </c>
      <c r="AM2006" s="1" t="s">
        <v>38774</v>
      </c>
      <c r="AN2006" s="1" t="s">
        <v>38774</v>
      </c>
    </row>
    <row r="2007" ht="15.75" customHeight="1">
      <c r="A2007" s="1" t="s">
        <v>127</v>
      </c>
      <c r="B2007" s="1" t="s">
        <v>38775</v>
      </c>
      <c r="C2007" s="1" t="s">
        <v>38776</v>
      </c>
      <c r="D2007" s="8" t="s">
        <v>38777</v>
      </c>
      <c r="E2007" s="1" t="s">
        <v>38778</v>
      </c>
      <c r="F2007" s="1" t="s">
        <v>132</v>
      </c>
      <c r="G2007" s="1" t="s">
        <v>38779</v>
      </c>
      <c r="H2007" s="1" t="s">
        <v>38780</v>
      </c>
      <c r="I2007" s="1" t="s">
        <v>38781</v>
      </c>
      <c r="J2007" s="1" t="s">
        <v>38782</v>
      </c>
      <c r="K2007" s="1" t="s">
        <v>38783</v>
      </c>
      <c r="L2007" s="1" t="s">
        <v>38784</v>
      </c>
      <c r="M2007" s="1" t="s">
        <v>38785</v>
      </c>
      <c r="N2007" s="1" t="s">
        <v>132</v>
      </c>
      <c r="O2007" s="1" t="s">
        <v>38786</v>
      </c>
      <c r="P2007" s="1" t="s">
        <v>38787</v>
      </c>
      <c r="Q2007" s="1" t="s">
        <v>132</v>
      </c>
      <c r="R2007" s="1" t="s">
        <v>38788</v>
      </c>
      <c r="S2007" s="1" t="s">
        <v>38789</v>
      </c>
      <c r="T2007" s="8" t="s">
        <v>38790</v>
      </c>
      <c r="U2007" s="1" t="s">
        <v>38791</v>
      </c>
      <c r="V2007" s="1" t="s">
        <v>38792</v>
      </c>
      <c r="W2007" s="1" t="s">
        <v>38793</v>
      </c>
      <c r="X2007" s="1" t="s">
        <v>38794</v>
      </c>
      <c r="Y2007" s="1" t="s">
        <v>38795</v>
      </c>
      <c r="Z2007" s="1" t="s">
        <v>38796</v>
      </c>
      <c r="AA2007" s="1" t="s">
        <v>38797</v>
      </c>
      <c r="AB2007" s="1" t="s">
        <v>132</v>
      </c>
      <c r="AC2007" s="1" t="s">
        <v>38798</v>
      </c>
      <c r="AD2007" s="1" t="s">
        <v>38799</v>
      </c>
      <c r="AE2007" s="1" t="s">
        <v>2732</v>
      </c>
      <c r="AF2007" s="1" t="s">
        <v>38800</v>
      </c>
      <c r="AG2007" s="1" t="s">
        <v>38801</v>
      </c>
      <c r="AH2007" s="1" t="s">
        <v>38802</v>
      </c>
      <c r="AI2007" s="1" t="s">
        <v>38803</v>
      </c>
      <c r="AJ2007" s="1" t="s">
        <v>132</v>
      </c>
      <c r="AK2007" s="1" t="s">
        <v>38804</v>
      </c>
      <c r="AL2007" s="1" t="s">
        <v>38805</v>
      </c>
      <c r="AM2007" s="1" t="s">
        <v>38806</v>
      </c>
      <c r="AN2007" s="1" t="s">
        <v>38806</v>
      </c>
    </row>
    <row r="2008" ht="15.75" customHeight="1">
      <c r="A2008" s="1" t="s">
        <v>38</v>
      </c>
      <c r="B2008" s="1" t="s">
        <v>38807</v>
      </c>
      <c r="C2008" s="1" t="s">
        <v>38808</v>
      </c>
      <c r="D2008" s="1" t="s">
        <v>132</v>
      </c>
      <c r="E2008" s="1" t="s">
        <v>132</v>
      </c>
      <c r="F2008" s="1" t="s">
        <v>132</v>
      </c>
      <c r="G2008" s="1" t="s">
        <v>132</v>
      </c>
      <c r="H2008" s="1" t="s">
        <v>132</v>
      </c>
      <c r="I2008" s="1" t="s">
        <v>38809</v>
      </c>
      <c r="J2008" s="1" t="s">
        <v>132</v>
      </c>
      <c r="K2008" s="1" t="s">
        <v>38810</v>
      </c>
      <c r="L2008" s="1" t="s">
        <v>132</v>
      </c>
      <c r="M2008" s="1" t="s">
        <v>38811</v>
      </c>
      <c r="N2008" s="1" t="s">
        <v>132</v>
      </c>
      <c r="O2008" s="1" t="s">
        <v>132</v>
      </c>
      <c r="P2008" s="1" t="s">
        <v>38810</v>
      </c>
      <c r="Q2008" s="1" t="s">
        <v>132</v>
      </c>
      <c r="R2008" s="1" t="s">
        <v>132</v>
      </c>
      <c r="S2008" s="1" t="s">
        <v>132</v>
      </c>
      <c r="T2008" s="1" t="s">
        <v>132</v>
      </c>
      <c r="U2008" s="1" t="s">
        <v>132</v>
      </c>
      <c r="V2008" s="1" t="s">
        <v>132</v>
      </c>
      <c r="W2008" s="1" t="s">
        <v>132</v>
      </c>
      <c r="X2008" s="1" t="s">
        <v>132</v>
      </c>
      <c r="Y2008" s="1" t="s">
        <v>132</v>
      </c>
      <c r="Z2008" s="1" t="s">
        <v>132</v>
      </c>
      <c r="AA2008" s="1" t="s">
        <v>132</v>
      </c>
      <c r="AB2008" s="1" t="s">
        <v>132</v>
      </c>
      <c r="AC2008" s="1" t="s">
        <v>38810</v>
      </c>
      <c r="AD2008" s="1" t="s">
        <v>132</v>
      </c>
      <c r="AE2008" s="1" t="s">
        <v>132</v>
      </c>
      <c r="AF2008" s="1" t="s">
        <v>38812</v>
      </c>
      <c r="AG2008" s="1" t="s">
        <v>132</v>
      </c>
      <c r="AH2008" s="1" t="s">
        <v>132</v>
      </c>
      <c r="AI2008" s="1" t="s">
        <v>132</v>
      </c>
      <c r="AJ2008" s="1" t="s">
        <v>132</v>
      </c>
      <c r="AK2008" s="1" t="s">
        <v>132</v>
      </c>
      <c r="AL2008" s="1" t="s">
        <v>132</v>
      </c>
      <c r="AM2008" s="1" t="s">
        <v>132</v>
      </c>
      <c r="AN2008" s="1" t="s">
        <v>132</v>
      </c>
    </row>
    <row r="2009" ht="15.75" customHeight="1">
      <c r="A2009" s="1" t="s">
        <v>127</v>
      </c>
      <c r="B2009" s="1" t="s">
        <v>38813</v>
      </c>
      <c r="C2009" s="1" t="s">
        <v>38814</v>
      </c>
      <c r="D2009" s="8" t="s">
        <v>38815</v>
      </c>
      <c r="E2009" s="1" t="s">
        <v>38814</v>
      </c>
      <c r="F2009" s="1" t="s">
        <v>132</v>
      </c>
      <c r="G2009" s="1" t="s">
        <v>38814</v>
      </c>
      <c r="H2009" s="1" t="s">
        <v>38816</v>
      </c>
      <c r="I2009" s="1" t="s">
        <v>38814</v>
      </c>
      <c r="J2009" s="1" t="s">
        <v>38814</v>
      </c>
      <c r="K2009" s="1" t="s">
        <v>38814</v>
      </c>
      <c r="L2009" s="1" t="s">
        <v>38817</v>
      </c>
      <c r="M2009" s="1" t="s">
        <v>38814</v>
      </c>
      <c r="N2009" s="1" t="s">
        <v>132</v>
      </c>
      <c r="O2009" s="1" t="s">
        <v>38818</v>
      </c>
      <c r="P2009" s="1" t="s">
        <v>38814</v>
      </c>
      <c r="Q2009" s="1" t="s">
        <v>132</v>
      </c>
      <c r="R2009" s="1" t="s">
        <v>38819</v>
      </c>
      <c r="S2009" s="1" t="s">
        <v>38814</v>
      </c>
      <c r="T2009" s="1" t="s">
        <v>38820</v>
      </c>
      <c r="U2009" s="1" t="s">
        <v>38814</v>
      </c>
      <c r="V2009" s="1" t="s">
        <v>38821</v>
      </c>
      <c r="W2009" s="1" t="s">
        <v>38822</v>
      </c>
      <c r="X2009" s="1" t="s">
        <v>38816</v>
      </c>
      <c r="Y2009" s="1" t="s">
        <v>38816</v>
      </c>
      <c r="Z2009" s="1" t="s">
        <v>38814</v>
      </c>
      <c r="AA2009" s="1" t="s">
        <v>38823</v>
      </c>
      <c r="AB2009" s="1" t="s">
        <v>132</v>
      </c>
      <c r="AC2009" s="1" t="s">
        <v>38824</v>
      </c>
      <c r="AD2009" s="1" t="s">
        <v>38825</v>
      </c>
      <c r="AE2009" s="1" t="s">
        <v>38814</v>
      </c>
      <c r="AF2009" s="1" t="s">
        <v>38814</v>
      </c>
      <c r="AG2009" s="1" t="s">
        <v>38814</v>
      </c>
      <c r="AH2009" s="1" t="s">
        <v>38826</v>
      </c>
      <c r="AI2009" s="1" t="s">
        <v>38827</v>
      </c>
      <c r="AJ2009" s="1" t="s">
        <v>132</v>
      </c>
      <c r="AK2009" s="1" t="s">
        <v>38814</v>
      </c>
      <c r="AL2009" s="1" t="s">
        <v>38828</v>
      </c>
      <c r="AM2009" s="1" t="s">
        <v>38829</v>
      </c>
      <c r="AN2009" s="1" t="s">
        <v>38829</v>
      </c>
    </row>
    <row r="2010" ht="15.75" customHeight="1">
      <c r="A2010" s="1" t="s">
        <v>127</v>
      </c>
      <c r="B2010" s="1" t="s">
        <v>38830</v>
      </c>
      <c r="C2010" s="1" t="s">
        <v>1745</v>
      </c>
      <c r="D2010" s="8" t="s">
        <v>1746</v>
      </c>
      <c r="E2010" s="1" t="s">
        <v>1747</v>
      </c>
      <c r="F2010" s="1" t="s">
        <v>132</v>
      </c>
      <c r="G2010" s="1" t="s">
        <v>1748</v>
      </c>
      <c r="H2010" s="1" t="s">
        <v>1749</v>
      </c>
      <c r="I2010" s="1" t="s">
        <v>1748</v>
      </c>
      <c r="J2010" s="1" t="s">
        <v>1750</v>
      </c>
      <c r="K2010" s="1" t="s">
        <v>1751</v>
      </c>
      <c r="L2010" s="1" t="s">
        <v>1752</v>
      </c>
      <c r="M2010" s="1" t="s">
        <v>1753</v>
      </c>
      <c r="N2010" s="1" t="s">
        <v>132</v>
      </c>
      <c r="O2010" s="1" t="s">
        <v>1754</v>
      </c>
      <c r="P2010" s="1" t="s">
        <v>1752</v>
      </c>
      <c r="Q2010" s="1" t="s">
        <v>132</v>
      </c>
      <c r="R2010" s="1" t="s">
        <v>1755</v>
      </c>
      <c r="S2010" s="1" t="s">
        <v>1752</v>
      </c>
      <c r="T2010" s="8" t="s">
        <v>1757</v>
      </c>
      <c r="U2010" s="1" t="s">
        <v>1758</v>
      </c>
      <c r="V2010" s="1" t="s">
        <v>1759</v>
      </c>
      <c r="W2010" s="1" t="s">
        <v>1755</v>
      </c>
      <c r="X2010" s="1" t="s">
        <v>1748</v>
      </c>
      <c r="Y2010" s="1" t="s">
        <v>1749</v>
      </c>
      <c r="Z2010" s="1" t="s">
        <v>1752</v>
      </c>
      <c r="AA2010" s="1" t="s">
        <v>1752</v>
      </c>
      <c r="AB2010" s="1" t="s">
        <v>132</v>
      </c>
      <c r="AC2010" s="1" t="s">
        <v>38831</v>
      </c>
      <c r="AD2010" s="1" t="s">
        <v>1752</v>
      </c>
      <c r="AE2010" s="1" t="s">
        <v>1762</v>
      </c>
      <c r="AF2010" s="1" t="s">
        <v>1762</v>
      </c>
      <c r="AG2010" s="1" t="s">
        <v>1749</v>
      </c>
      <c r="AH2010" s="1" t="s">
        <v>1763</v>
      </c>
      <c r="AI2010" s="1" t="s">
        <v>1764</v>
      </c>
      <c r="AJ2010" s="1" t="s">
        <v>132</v>
      </c>
      <c r="AK2010" s="1" t="s">
        <v>1765</v>
      </c>
      <c r="AL2010" s="1" t="s">
        <v>1766</v>
      </c>
      <c r="AM2010" s="1" t="s">
        <v>132</v>
      </c>
      <c r="AN2010" s="1" t="s">
        <v>132</v>
      </c>
    </row>
    <row r="2011" ht="15.75" customHeight="1">
      <c r="A2011" s="1" t="s">
        <v>127</v>
      </c>
      <c r="B2011" s="1" t="s">
        <v>38832</v>
      </c>
      <c r="C2011" s="1" t="s">
        <v>4084</v>
      </c>
      <c r="D2011" s="8" t="s">
        <v>4085</v>
      </c>
      <c r="E2011" s="1" t="s">
        <v>4086</v>
      </c>
      <c r="F2011" s="1" t="s">
        <v>132</v>
      </c>
      <c r="G2011" s="1" t="s">
        <v>4087</v>
      </c>
      <c r="H2011" s="1" t="s">
        <v>4088</v>
      </c>
      <c r="I2011" s="1" t="s">
        <v>4089</v>
      </c>
      <c r="J2011" s="1" t="s">
        <v>4090</v>
      </c>
      <c r="K2011" s="1" t="s">
        <v>4091</v>
      </c>
      <c r="L2011" s="1" t="s">
        <v>4092</v>
      </c>
      <c r="M2011" s="1" t="s">
        <v>38833</v>
      </c>
      <c r="N2011" s="1" t="s">
        <v>132</v>
      </c>
      <c r="O2011" s="1" t="s">
        <v>4094</v>
      </c>
      <c r="P2011" s="1" t="s">
        <v>4095</v>
      </c>
      <c r="Q2011" s="1" t="s">
        <v>132</v>
      </c>
      <c r="R2011" s="1" t="s">
        <v>4096</v>
      </c>
      <c r="S2011" s="1" t="s">
        <v>33129</v>
      </c>
      <c r="T2011" s="8" t="s">
        <v>4098</v>
      </c>
      <c r="U2011" s="1" t="s">
        <v>38834</v>
      </c>
      <c r="V2011" s="1" t="s">
        <v>4100</v>
      </c>
      <c r="W2011" s="1" t="s">
        <v>4101</v>
      </c>
      <c r="X2011" s="1" t="s">
        <v>4102</v>
      </c>
      <c r="Y2011" s="1" t="s">
        <v>4088</v>
      </c>
      <c r="Z2011" s="1" t="s">
        <v>4084</v>
      </c>
      <c r="AA2011" s="1" t="s">
        <v>4084</v>
      </c>
      <c r="AB2011" s="1" t="s">
        <v>132</v>
      </c>
      <c r="AC2011" s="1" t="s">
        <v>4106</v>
      </c>
      <c r="AD2011" s="1" t="s">
        <v>4087</v>
      </c>
      <c r="AE2011" s="1" t="s">
        <v>4107</v>
      </c>
      <c r="AF2011" s="1" t="s">
        <v>38835</v>
      </c>
      <c r="AG2011" s="1" t="s">
        <v>4109</v>
      </c>
      <c r="AH2011" s="1" t="s">
        <v>33132</v>
      </c>
      <c r="AI2011" s="1" t="s">
        <v>4111</v>
      </c>
      <c r="AJ2011" s="1" t="s">
        <v>132</v>
      </c>
      <c r="AK2011" s="1" t="s">
        <v>4112</v>
      </c>
      <c r="AL2011" s="1" t="s">
        <v>4099</v>
      </c>
      <c r="AM2011" s="1" t="s">
        <v>132</v>
      </c>
      <c r="AN2011" s="1" t="s">
        <v>132</v>
      </c>
    </row>
    <row r="2012" ht="15.75" customHeight="1">
      <c r="A2012" s="1" t="s">
        <v>38</v>
      </c>
      <c r="B2012" s="1" t="s">
        <v>38836</v>
      </c>
      <c r="C2012" s="1" t="s">
        <v>38837</v>
      </c>
      <c r="D2012" s="8" t="s">
        <v>38838</v>
      </c>
      <c r="E2012" s="1" t="s">
        <v>19935</v>
      </c>
      <c r="F2012" s="1" t="s">
        <v>38839</v>
      </c>
      <c r="G2012" s="1" t="s">
        <v>132</v>
      </c>
      <c r="H2012" s="1" t="s">
        <v>132</v>
      </c>
      <c r="I2012" s="1" t="s">
        <v>19937</v>
      </c>
      <c r="J2012" s="1" t="s">
        <v>132</v>
      </c>
      <c r="K2012" s="1" t="s">
        <v>38840</v>
      </c>
      <c r="L2012" s="1" t="s">
        <v>132</v>
      </c>
      <c r="M2012" s="1" t="s">
        <v>19939</v>
      </c>
      <c r="N2012" s="1" t="s">
        <v>38841</v>
      </c>
      <c r="O2012" s="1" t="s">
        <v>132</v>
      </c>
      <c r="P2012" s="1" t="s">
        <v>38842</v>
      </c>
      <c r="Q2012" s="1" t="s">
        <v>132</v>
      </c>
      <c r="R2012" s="1" t="s">
        <v>132</v>
      </c>
      <c r="S2012" s="1" t="s">
        <v>38843</v>
      </c>
      <c r="T2012" s="1" t="s">
        <v>132</v>
      </c>
      <c r="U2012" s="1" t="s">
        <v>38844</v>
      </c>
      <c r="V2012" s="1" t="s">
        <v>132</v>
      </c>
      <c r="W2012" s="1" t="s">
        <v>132</v>
      </c>
      <c r="X2012" s="1" t="s">
        <v>38845</v>
      </c>
      <c r="Y2012" s="1" t="s">
        <v>132</v>
      </c>
      <c r="Z2012" s="1" t="s">
        <v>38846</v>
      </c>
      <c r="AA2012" s="1" t="s">
        <v>19940</v>
      </c>
      <c r="AB2012" s="1" t="s">
        <v>132</v>
      </c>
      <c r="AC2012" s="1" t="s">
        <v>19948</v>
      </c>
      <c r="AD2012" s="1" t="s">
        <v>132</v>
      </c>
      <c r="AE2012" s="1" t="s">
        <v>132</v>
      </c>
      <c r="AF2012" s="1" t="s">
        <v>19950</v>
      </c>
      <c r="AG2012" s="1" t="s">
        <v>132</v>
      </c>
      <c r="AH2012" s="1" t="s">
        <v>132</v>
      </c>
      <c r="AI2012" s="1" t="s">
        <v>132</v>
      </c>
      <c r="AJ2012" s="1" t="s">
        <v>132</v>
      </c>
      <c r="AK2012" s="1" t="s">
        <v>132</v>
      </c>
      <c r="AL2012" s="1" t="s">
        <v>132</v>
      </c>
      <c r="AM2012" s="1" t="s">
        <v>132</v>
      </c>
      <c r="AN2012" s="1" t="s">
        <v>132</v>
      </c>
    </row>
    <row r="2013" ht="15.75" customHeight="1">
      <c r="A2013" s="1" t="s">
        <v>127</v>
      </c>
      <c r="B2013" s="1" t="s">
        <v>38847</v>
      </c>
      <c r="C2013" s="1" t="s">
        <v>24816</v>
      </c>
      <c r="D2013" s="8" t="s">
        <v>38848</v>
      </c>
      <c r="E2013" s="1" t="s">
        <v>38849</v>
      </c>
      <c r="F2013" s="1" t="s">
        <v>132</v>
      </c>
      <c r="G2013" s="1" t="s">
        <v>38850</v>
      </c>
      <c r="H2013" s="1" t="s">
        <v>38851</v>
      </c>
      <c r="I2013" s="1" t="s">
        <v>38852</v>
      </c>
      <c r="J2013" s="1" t="s">
        <v>38853</v>
      </c>
      <c r="K2013" s="1" t="s">
        <v>21826</v>
      </c>
      <c r="L2013" s="1" t="s">
        <v>38854</v>
      </c>
      <c r="M2013" s="1" t="s">
        <v>38855</v>
      </c>
      <c r="N2013" s="1" t="s">
        <v>132</v>
      </c>
      <c r="O2013" s="1" t="s">
        <v>38856</v>
      </c>
      <c r="P2013" s="1" t="s">
        <v>38857</v>
      </c>
      <c r="Q2013" s="1" t="s">
        <v>132</v>
      </c>
      <c r="R2013" s="1" t="s">
        <v>38858</v>
      </c>
      <c r="S2013" s="1" t="s">
        <v>24816</v>
      </c>
      <c r="T2013" s="8" t="s">
        <v>38859</v>
      </c>
      <c r="U2013" s="1" t="s">
        <v>38860</v>
      </c>
      <c r="V2013" s="1" t="s">
        <v>38861</v>
      </c>
      <c r="W2013" s="1" t="s">
        <v>38862</v>
      </c>
      <c r="X2013" s="1" t="s">
        <v>38863</v>
      </c>
      <c r="Y2013" s="1" t="s">
        <v>38864</v>
      </c>
      <c r="Z2013" s="1" t="s">
        <v>38865</v>
      </c>
      <c r="AA2013" s="1" t="s">
        <v>38866</v>
      </c>
      <c r="AB2013" s="1" t="s">
        <v>132</v>
      </c>
      <c r="AC2013" s="1" t="s">
        <v>38867</v>
      </c>
      <c r="AD2013" s="1" t="s">
        <v>1592</v>
      </c>
      <c r="AE2013" s="1" t="s">
        <v>38868</v>
      </c>
      <c r="AF2013" s="1" t="s">
        <v>24816</v>
      </c>
      <c r="AG2013" s="1" t="s">
        <v>38869</v>
      </c>
      <c r="AH2013" s="1" t="s">
        <v>38870</v>
      </c>
      <c r="AI2013" s="1" t="s">
        <v>38871</v>
      </c>
      <c r="AJ2013" s="1" t="s">
        <v>132</v>
      </c>
      <c r="AK2013" s="1" t="s">
        <v>38872</v>
      </c>
      <c r="AL2013" s="1" t="s">
        <v>38873</v>
      </c>
      <c r="AM2013" s="1" t="s">
        <v>38874</v>
      </c>
      <c r="AN2013" s="1" t="s">
        <v>38874</v>
      </c>
    </row>
    <row r="2014" ht="15.75" customHeight="1">
      <c r="A2014" s="1" t="s">
        <v>38</v>
      </c>
      <c r="B2014" s="1" t="s">
        <v>38875</v>
      </c>
      <c r="C2014" s="1" t="s">
        <v>38876</v>
      </c>
      <c r="D2014" s="1" t="s">
        <v>132</v>
      </c>
      <c r="E2014" s="1" t="s">
        <v>132</v>
      </c>
      <c r="F2014" s="1" t="s">
        <v>132</v>
      </c>
      <c r="G2014" s="1" t="s">
        <v>132</v>
      </c>
      <c r="H2014" s="1" t="s">
        <v>132</v>
      </c>
      <c r="I2014" s="1" t="s">
        <v>38877</v>
      </c>
      <c r="J2014" s="1" t="s">
        <v>132</v>
      </c>
      <c r="K2014" s="1" t="s">
        <v>38878</v>
      </c>
      <c r="L2014" s="1" t="s">
        <v>132</v>
      </c>
      <c r="M2014" s="1" t="s">
        <v>38879</v>
      </c>
      <c r="N2014" s="1" t="s">
        <v>132</v>
      </c>
      <c r="O2014" s="1" t="s">
        <v>132</v>
      </c>
      <c r="P2014" s="1" t="s">
        <v>38876</v>
      </c>
      <c r="Q2014" s="1" t="s">
        <v>132</v>
      </c>
      <c r="R2014" s="1" t="s">
        <v>132</v>
      </c>
      <c r="S2014" s="1" t="s">
        <v>132</v>
      </c>
      <c r="T2014" s="1" t="s">
        <v>132</v>
      </c>
      <c r="U2014" s="1" t="s">
        <v>132</v>
      </c>
      <c r="V2014" s="1" t="s">
        <v>132</v>
      </c>
      <c r="W2014" s="1" t="s">
        <v>132</v>
      </c>
      <c r="X2014" s="1" t="s">
        <v>132</v>
      </c>
      <c r="Y2014" s="1" t="s">
        <v>132</v>
      </c>
      <c r="Z2014" s="1" t="s">
        <v>132</v>
      </c>
      <c r="AA2014" s="1" t="s">
        <v>132</v>
      </c>
      <c r="AB2014" s="1" t="s">
        <v>132</v>
      </c>
      <c r="AC2014" s="1" t="s">
        <v>38880</v>
      </c>
      <c r="AD2014" s="1" t="s">
        <v>132</v>
      </c>
      <c r="AE2014" s="1" t="s">
        <v>132</v>
      </c>
      <c r="AF2014" s="1" t="s">
        <v>38881</v>
      </c>
      <c r="AG2014" s="1" t="s">
        <v>132</v>
      </c>
      <c r="AH2014" s="1" t="s">
        <v>132</v>
      </c>
      <c r="AI2014" s="1" t="s">
        <v>132</v>
      </c>
      <c r="AJ2014" s="1" t="s">
        <v>132</v>
      </c>
      <c r="AK2014" s="1" t="s">
        <v>132</v>
      </c>
      <c r="AL2014" s="1" t="s">
        <v>132</v>
      </c>
      <c r="AM2014" s="1" t="s">
        <v>132</v>
      </c>
      <c r="AN2014" s="1" t="s">
        <v>132</v>
      </c>
    </row>
    <row r="2015" ht="15.75" customHeight="1">
      <c r="A2015" s="1" t="s">
        <v>38</v>
      </c>
      <c r="B2015" s="1" t="s">
        <v>38882</v>
      </c>
      <c r="C2015" s="1" t="s">
        <v>38883</v>
      </c>
      <c r="D2015" s="8" t="s">
        <v>38884</v>
      </c>
      <c r="E2015" s="1" t="s">
        <v>38885</v>
      </c>
      <c r="F2015" s="1" t="s">
        <v>38886</v>
      </c>
      <c r="G2015" s="1" t="s">
        <v>132</v>
      </c>
      <c r="H2015" s="1" t="s">
        <v>132</v>
      </c>
      <c r="I2015" s="1" t="s">
        <v>38887</v>
      </c>
      <c r="J2015" s="1" t="s">
        <v>132</v>
      </c>
      <c r="K2015" s="1" t="s">
        <v>38888</v>
      </c>
      <c r="L2015" s="1" t="s">
        <v>132</v>
      </c>
      <c r="M2015" s="1" t="s">
        <v>38889</v>
      </c>
      <c r="N2015" s="1" t="s">
        <v>38888</v>
      </c>
      <c r="O2015" s="1" t="s">
        <v>132</v>
      </c>
      <c r="P2015" s="1" t="s">
        <v>38890</v>
      </c>
      <c r="Q2015" s="1" t="s">
        <v>38891</v>
      </c>
      <c r="R2015" s="1" t="s">
        <v>132</v>
      </c>
      <c r="S2015" s="1" t="s">
        <v>38892</v>
      </c>
      <c r="T2015" s="1" t="s">
        <v>132</v>
      </c>
      <c r="U2015" s="1" t="s">
        <v>38893</v>
      </c>
      <c r="V2015" s="1" t="s">
        <v>38894</v>
      </c>
      <c r="W2015" s="1" t="s">
        <v>132</v>
      </c>
      <c r="X2015" s="1" t="s">
        <v>38895</v>
      </c>
      <c r="Y2015" s="1" t="s">
        <v>132</v>
      </c>
      <c r="Z2015" s="1" t="s">
        <v>38896</v>
      </c>
      <c r="AA2015" s="1" t="s">
        <v>38888</v>
      </c>
      <c r="AB2015" s="1" t="s">
        <v>132</v>
      </c>
      <c r="AC2015" s="1" t="s">
        <v>38897</v>
      </c>
      <c r="AD2015" s="1" t="s">
        <v>38898</v>
      </c>
      <c r="AE2015" s="1" t="s">
        <v>132</v>
      </c>
      <c r="AF2015" s="1" t="s">
        <v>38899</v>
      </c>
      <c r="AG2015" s="1" t="s">
        <v>38900</v>
      </c>
      <c r="AH2015" s="1" t="s">
        <v>132</v>
      </c>
      <c r="AI2015" s="1" t="s">
        <v>132</v>
      </c>
      <c r="AJ2015" s="1" t="s">
        <v>38901</v>
      </c>
      <c r="AK2015" s="1" t="s">
        <v>38902</v>
      </c>
      <c r="AL2015" s="1" t="s">
        <v>132</v>
      </c>
      <c r="AM2015" s="1" t="s">
        <v>38903</v>
      </c>
      <c r="AN2015" s="1" t="s">
        <v>38903</v>
      </c>
    </row>
    <row r="2016" ht="15.75" customHeight="1">
      <c r="A2016" s="1" t="s">
        <v>127</v>
      </c>
      <c r="B2016" s="1" t="s">
        <v>38904</v>
      </c>
      <c r="C2016" s="1" t="s">
        <v>38905</v>
      </c>
      <c r="D2016" s="8" t="s">
        <v>38906</v>
      </c>
      <c r="E2016" s="1" t="s">
        <v>38907</v>
      </c>
      <c r="F2016" s="1" t="s">
        <v>132</v>
      </c>
      <c r="G2016" s="1" t="s">
        <v>38908</v>
      </c>
      <c r="H2016" s="1" t="s">
        <v>38909</v>
      </c>
      <c r="I2016" s="1" t="s">
        <v>38905</v>
      </c>
      <c r="J2016" s="1" t="s">
        <v>38910</v>
      </c>
      <c r="K2016" s="1" t="s">
        <v>38905</v>
      </c>
      <c r="L2016" s="1" t="s">
        <v>38911</v>
      </c>
      <c r="M2016" s="1" t="s">
        <v>38912</v>
      </c>
      <c r="N2016" s="1" t="s">
        <v>132</v>
      </c>
      <c r="O2016" s="1" t="s">
        <v>38913</v>
      </c>
      <c r="P2016" s="1" t="s">
        <v>38914</v>
      </c>
      <c r="Q2016" s="1" t="s">
        <v>132</v>
      </c>
      <c r="R2016" s="1" t="s">
        <v>38915</v>
      </c>
      <c r="S2016" s="1" t="s">
        <v>38905</v>
      </c>
      <c r="T2016" s="8" t="s">
        <v>38916</v>
      </c>
      <c r="U2016" s="1" t="s">
        <v>38917</v>
      </c>
      <c r="V2016" s="1" t="s">
        <v>38918</v>
      </c>
      <c r="W2016" s="1" t="s">
        <v>38919</v>
      </c>
      <c r="X2016" s="1" t="s">
        <v>38905</v>
      </c>
      <c r="Y2016" s="1" t="s">
        <v>38920</v>
      </c>
      <c r="Z2016" s="1" t="s">
        <v>38921</v>
      </c>
      <c r="AA2016" s="1" t="s">
        <v>38922</v>
      </c>
      <c r="AB2016" s="1" t="s">
        <v>132</v>
      </c>
      <c r="AC2016" s="1" t="s">
        <v>23752</v>
      </c>
      <c r="AD2016" s="1" t="s">
        <v>38923</v>
      </c>
      <c r="AE2016" s="1" t="s">
        <v>38924</v>
      </c>
      <c r="AF2016" s="1" t="s">
        <v>38905</v>
      </c>
      <c r="AG2016" s="1" t="s">
        <v>38925</v>
      </c>
      <c r="AH2016" s="1" t="s">
        <v>38926</v>
      </c>
      <c r="AI2016" s="1" t="s">
        <v>38927</v>
      </c>
      <c r="AJ2016" s="1" t="s">
        <v>132</v>
      </c>
      <c r="AK2016" s="1" t="s">
        <v>38928</v>
      </c>
      <c r="AL2016" s="1" t="s">
        <v>38929</v>
      </c>
      <c r="AM2016" s="1" t="s">
        <v>38930</v>
      </c>
      <c r="AN2016" s="1" t="s">
        <v>38930</v>
      </c>
    </row>
    <row r="2017" ht="15.75" customHeight="1">
      <c r="A2017" s="1" t="s">
        <v>127</v>
      </c>
      <c r="B2017" s="1" t="s">
        <v>38931</v>
      </c>
      <c r="C2017" s="1" t="s">
        <v>132</v>
      </c>
      <c r="D2017" s="1" t="s">
        <v>132</v>
      </c>
      <c r="E2017" s="1" t="s">
        <v>38932</v>
      </c>
      <c r="F2017" s="1" t="s">
        <v>132</v>
      </c>
      <c r="G2017" s="1" t="s">
        <v>38933</v>
      </c>
      <c r="H2017" s="1" t="s">
        <v>38934</v>
      </c>
      <c r="I2017" s="1" t="s">
        <v>132</v>
      </c>
      <c r="J2017" s="1" t="s">
        <v>38935</v>
      </c>
      <c r="K2017" s="1" t="s">
        <v>132</v>
      </c>
      <c r="L2017" s="1" t="s">
        <v>38936</v>
      </c>
      <c r="M2017" s="1" t="s">
        <v>132</v>
      </c>
      <c r="N2017" s="1" t="s">
        <v>132</v>
      </c>
      <c r="O2017" s="1" t="s">
        <v>132</v>
      </c>
      <c r="P2017" s="1" t="s">
        <v>132</v>
      </c>
      <c r="Q2017" s="1" t="s">
        <v>132</v>
      </c>
      <c r="R2017" s="1" t="s">
        <v>132</v>
      </c>
      <c r="S2017" s="1" t="s">
        <v>132</v>
      </c>
      <c r="T2017" s="1" t="s">
        <v>132</v>
      </c>
      <c r="U2017" s="1" t="s">
        <v>132</v>
      </c>
      <c r="V2017" s="1" t="s">
        <v>132</v>
      </c>
      <c r="W2017" s="1" t="s">
        <v>132</v>
      </c>
      <c r="X2017" s="1" t="s">
        <v>132</v>
      </c>
      <c r="Y2017" s="1" t="s">
        <v>38937</v>
      </c>
      <c r="Z2017" s="1" t="s">
        <v>132</v>
      </c>
      <c r="AA2017" s="1" t="s">
        <v>132</v>
      </c>
      <c r="AB2017" s="1" t="s">
        <v>132</v>
      </c>
      <c r="AC2017" s="1" t="s">
        <v>132</v>
      </c>
      <c r="AD2017" s="1" t="s">
        <v>38938</v>
      </c>
      <c r="AE2017" s="1" t="s">
        <v>38939</v>
      </c>
      <c r="AF2017" s="1" t="s">
        <v>132</v>
      </c>
      <c r="AG2017" s="1" t="s">
        <v>132</v>
      </c>
      <c r="AH2017" s="1" t="s">
        <v>132</v>
      </c>
      <c r="AI2017" s="1" t="s">
        <v>132</v>
      </c>
      <c r="AJ2017" s="1" t="s">
        <v>132</v>
      </c>
      <c r="AK2017" s="1" t="s">
        <v>132</v>
      </c>
      <c r="AL2017" s="1" t="s">
        <v>132</v>
      </c>
      <c r="AM2017" s="1" t="s">
        <v>132</v>
      </c>
      <c r="AN2017" s="1" t="s">
        <v>132</v>
      </c>
    </row>
    <row r="2018" ht="15.75" customHeight="1">
      <c r="A2018" s="1" t="s">
        <v>38</v>
      </c>
      <c r="B2018" s="1" t="s">
        <v>38940</v>
      </c>
      <c r="C2018" s="1" t="s">
        <v>38941</v>
      </c>
      <c r="D2018" s="1" t="s">
        <v>132</v>
      </c>
      <c r="E2018" s="1" t="s">
        <v>37421</v>
      </c>
      <c r="F2018" s="1" t="s">
        <v>132</v>
      </c>
      <c r="G2018" s="1" t="s">
        <v>132</v>
      </c>
      <c r="H2018" s="1" t="s">
        <v>132</v>
      </c>
      <c r="I2018" s="1" t="s">
        <v>38942</v>
      </c>
      <c r="J2018" s="1" t="s">
        <v>132</v>
      </c>
      <c r="K2018" s="1" t="s">
        <v>37424</v>
      </c>
      <c r="L2018" s="1" t="s">
        <v>132</v>
      </c>
      <c r="M2018" s="1" t="s">
        <v>38943</v>
      </c>
      <c r="N2018" s="1" t="s">
        <v>37424</v>
      </c>
      <c r="O2018" s="1" t="s">
        <v>132</v>
      </c>
      <c r="P2018" s="1" t="s">
        <v>38944</v>
      </c>
      <c r="Q2018" s="1" t="s">
        <v>132</v>
      </c>
      <c r="R2018" s="1" t="s">
        <v>132</v>
      </c>
      <c r="S2018" s="1" t="s">
        <v>38945</v>
      </c>
      <c r="T2018" s="1" t="s">
        <v>132</v>
      </c>
      <c r="U2018" s="1" t="s">
        <v>132</v>
      </c>
      <c r="V2018" s="1" t="s">
        <v>132</v>
      </c>
      <c r="W2018" s="1" t="s">
        <v>132</v>
      </c>
      <c r="X2018" s="1" t="s">
        <v>37430</v>
      </c>
      <c r="Y2018" s="1" t="s">
        <v>132</v>
      </c>
      <c r="Z2018" s="1" t="s">
        <v>38946</v>
      </c>
      <c r="AA2018" s="1" t="s">
        <v>132</v>
      </c>
      <c r="AB2018" s="1" t="s">
        <v>132</v>
      </c>
      <c r="AC2018" s="1" t="s">
        <v>132</v>
      </c>
      <c r="AD2018" s="1" t="s">
        <v>132</v>
      </c>
      <c r="AE2018" s="1" t="s">
        <v>132</v>
      </c>
      <c r="AF2018" s="1" t="s">
        <v>132</v>
      </c>
      <c r="AG2018" s="1" t="s">
        <v>132</v>
      </c>
      <c r="AH2018" s="1" t="s">
        <v>132</v>
      </c>
      <c r="AI2018" s="1" t="s">
        <v>132</v>
      </c>
      <c r="AJ2018" s="1" t="s">
        <v>132</v>
      </c>
      <c r="AK2018" s="1" t="s">
        <v>132</v>
      </c>
      <c r="AL2018" s="1" t="s">
        <v>132</v>
      </c>
      <c r="AM2018" s="1" t="s">
        <v>132</v>
      </c>
      <c r="AN2018" s="1" t="s">
        <v>132</v>
      </c>
    </row>
    <row r="2019" ht="15.75" customHeight="1">
      <c r="A2019" s="1" t="s">
        <v>127</v>
      </c>
      <c r="B2019" s="1" t="s">
        <v>38947</v>
      </c>
      <c r="C2019" s="1" t="s">
        <v>38948</v>
      </c>
      <c r="D2019" s="8" t="s">
        <v>38949</v>
      </c>
      <c r="E2019" s="1" t="s">
        <v>38950</v>
      </c>
      <c r="F2019" s="1" t="s">
        <v>132</v>
      </c>
      <c r="G2019" s="1" t="s">
        <v>38951</v>
      </c>
      <c r="H2019" s="1" t="s">
        <v>38952</v>
      </c>
      <c r="I2019" s="1" t="s">
        <v>38953</v>
      </c>
      <c r="J2019" s="1" t="s">
        <v>38954</v>
      </c>
      <c r="K2019" s="1" t="s">
        <v>38955</v>
      </c>
      <c r="L2019" s="1" t="s">
        <v>38956</v>
      </c>
      <c r="M2019" s="1" t="s">
        <v>38957</v>
      </c>
      <c r="N2019" s="1" t="s">
        <v>132</v>
      </c>
      <c r="O2019" s="1" t="s">
        <v>38958</v>
      </c>
      <c r="P2019" s="1" t="s">
        <v>38959</v>
      </c>
      <c r="Q2019" s="1" t="s">
        <v>132</v>
      </c>
      <c r="R2019" s="1" t="s">
        <v>38960</v>
      </c>
      <c r="S2019" s="1" t="s">
        <v>38961</v>
      </c>
      <c r="T2019" s="8" t="s">
        <v>38962</v>
      </c>
      <c r="U2019" s="1" t="s">
        <v>21320</v>
      </c>
      <c r="V2019" s="1" t="s">
        <v>38963</v>
      </c>
      <c r="W2019" s="1" t="s">
        <v>38964</v>
      </c>
      <c r="X2019" s="1" t="s">
        <v>38965</v>
      </c>
      <c r="Y2019" s="1" t="s">
        <v>38966</v>
      </c>
      <c r="Z2019" s="1" t="s">
        <v>38967</v>
      </c>
      <c r="AA2019" s="1" t="s">
        <v>38968</v>
      </c>
      <c r="AB2019" s="1" t="s">
        <v>132</v>
      </c>
      <c r="AC2019" s="1" t="s">
        <v>38969</v>
      </c>
      <c r="AD2019" s="1" t="s">
        <v>38970</v>
      </c>
      <c r="AE2019" s="1" t="s">
        <v>38971</v>
      </c>
      <c r="AF2019" s="1" t="s">
        <v>38972</v>
      </c>
      <c r="AG2019" s="1" t="s">
        <v>38973</v>
      </c>
      <c r="AH2019" s="1" t="s">
        <v>38974</v>
      </c>
      <c r="AI2019" s="1" t="s">
        <v>38975</v>
      </c>
      <c r="AJ2019" s="1" t="s">
        <v>132</v>
      </c>
      <c r="AK2019" s="1" t="s">
        <v>38976</v>
      </c>
      <c r="AL2019" s="1" t="s">
        <v>1583</v>
      </c>
      <c r="AM2019" s="1" t="s">
        <v>1599</v>
      </c>
      <c r="AN2019" s="1" t="s">
        <v>1599</v>
      </c>
    </row>
    <row r="2020" ht="15.75" customHeight="1">
      <c r="A2020" s="1" t="s">
        <v>38</v>
      </c>
      <c r="B2020" s="1" t="s">
        <v>38977</v>
      </c>
      <c r="C2020" s="1" t="s">
        <v>38978</v>
      </c>
      <c r="D2020" s="8" t="s">
        <v>38979</v>
      </c>
      <c r="E2020" s="1" t="s">
        <v>38980</v>
      </c>
      <c r="F2020" s="1" t="s">
        <v>38981</v>
      </c>
      <c r="G2020" s="1" t="s">
        <v>132</v>
      </c>
      <c r="H2020" s="1" t="s">
        <v>132</v>
      </c>
      <c r="I2020" s="1" t="s">
        <v>38982</v>
      </c>
      <c r="J2020" s="1" t="s">
        <v>132</v>
      </c>
      <c r="K2020" s="1" t="s">
        <v>38983</v>
      </c>
      <c r="L2020" s="1" t="s">
        <v>132</v>
      </c>
      <c r="M2020" s="1" t="s">
        <v>38984</v>
      </c>
      <c r="N2020" s="1" t="s">
        <v>38985</v>
      </c>
      <c r="O2020" s="1" t="s">
        <v>132</v>
      </c>
      <c r="P2020" s="1" t="s">
        <v>38986</v>
      </c>
      <c r="Q2020" s="1" t="s">
        <v>132</v>
      </c>
      <c r="R2020" s="1" t="s">
        <v>132</v>
      </c>
      <c r="S2020" s="1" t="s">
        <v>38987</v>
      </c>
      <c r="T2020" s="1" t="s">
        <v>132</v>
      </c>
      <c r="U2020" s="1" t="s">
        <v>38988</v>
      </c>
      <c r="V2020" s="1" t="s">
        <v>38989</v>
      </c>
      <c r="W2020" s="1" t="s">
        <v>132</v>
      </c>
      <c r="X2020" s="1" t="s">
        <v>38990</v>
      </c>
      <c r="Y2020" s="1" t="s">
        <v>132</v>
      </c>
      <c r="Z2020" s="1" t="s">
        <v>38991</v>
      </c>
      <c r="AA2020" s="1" t="s">
        <v>38992</v>
      </c>
      <c r="AB2020" s="1" t="s">
        <v>132</v>
      </c>
      <c r="AC2020" s="1" t="s">
        <v>38993</v>
      </c>
      <c r="AD2020" s="1" t="s">
        <v>132</v>
      </c>
      <c r="AE2020" s="1" t="s">
        <v>132</v>
      </c>
      <c r="AF2020" s="1" t="s">
        <v>38994</v>
      </c>
      <c r="AG2020" s="1" t="s">
        <v>38995</v>
      </c>
      <c r="AH2020" s="1" t="s">
        <v>132</v>
      </c>
      <c r="AI2020" s="1" t="s">
        <v>132</v>
      </c>
      <c r="AJ2020" s="1" t="s">
        <v>38996</v>
      </c>
      <c r="AK2020" s="1" t="s">
        <v>132</v>
      </c>
      <c r="AL2020" s="1" t="s">
        <v>132</v>
      </c>
      <c r="AM2020" s="1" t="s">
        <v>38997</v>
      </c>
      <c r="AN2020" s="1" t="s">
        <v>38997</v>
      </c>
    </row>
    <row r="2021" ht="15.75" customHeight="1">
      <c r="A2021" s="1" t="s">
        <v>38</v>
      </c>
      <c r="B2021" s="1" t="s">
        <v>38998</v>
      </c>
      <c r="C2021" s="1" t="s">
        <v>38999</v>
      </c>
      <c r="D2021" s="1" t="s">
        <v>132</v>
      </c>
      <c r="E2021" s="1" t="s">
        <v>39000</v>
      </c>
      <c r="F2021" s="1" t="s">
        <v>132</v>
      </c>
      <c r="G2021" s="1" t="s">
        <v>132</v>
      </c>
      <c r="H2021" s="1" t="s">
        <v>132</v>
      </c>
      <c r="I2021" s="1" t="s">
        <v>39001</v>
      </c>
      <c r="J2021" s="1" t="s">
        <v>132</v>
      </c>
      <c r="K2021" s="1" t="s">
        <v>39002</v>
      </c>
      <c r="L2021" s="1" t="s">
        <v>132</v>
      </c>
      <c r="M2021" s="1" t="s">
        <v>132</v>
      </c>
      <c r="N2021" s="1" t="s">
        <v>39004</v>
      </c>
      <c r="O2021" s="1" t="s">
        <v>132</v>
      </c>
      <c r="P2021" s="1" t="s">
        <v>39005</v>
      </c>
      <c r="Q2021" s="1" t="s">
        <v>132</v>
      </c>
      <c r="R2021" s="1" t="s">
        <v>132</v>
      </c>
      <c r="S2021" s="1" t="s">
        <v>39006</v>
      </c>
      <c r="T2021" s="1" t="s">
        <v>132</v>
      </c>
      <c r="U2021" s="1" t="s">
        <v>132</v>
      </c>
      <c r="V2021" s="1" t="s">
        <v>132</v>
      </c>
      <c r="W2021" s="1" t="s">
        <v>132</v>
      </c>
      <c r="X2021" s="1" t="s">
        <v>39007</v>
      </c>
      <c r="Y2021" s="1" t="s">
        <v>132</v>
      </c>
      <c r="Z2021" s="1" t="s">
        <v>39008</v>
      </c>
      <c r="AA2021" s="1" t="s">
        <v>132</v>
      </c>
      <c r="AB2021" s="1" t="s">
        <v>132</v>
      </c>
      <c r="AC2021" s="1" t="s">
        <v>132</v>
      </c>
      <c r="AD2021" s="1" t="s">
        <v>132</v>
      </c>
      <c r="AE2021" s="1" t="s">
        <v>132</v>
      </c>
      <c r="AF2021" s="1" t="s">
        <v>132</v>
      </c>
      <c r="AG2021" s="1" t="s">
        <v>132</v>
      </c>
      <c r="AH2021" s="1" t="s">
        <v>132</v>
      </c>
      <c r="AI2021" s="1" t="s">
        <v>132</v>
      </c>
      <c r="AJ2021" s="1" t="s">
        <v>132</v>
      </c>
      <c r="AK2021" s="1" t="s">
        <v>132</v>
      </c>
      <c r="AL2021" s="1" t="s">
        <v>132</v>
      </c>
      <c r="AM2021" s="1" t="s">
        <v>132</v>
      </c>
      <c r="AN2021" s="1" t="s">
        <v>132</v>
      </c>
    </row>
    <row r="2022" ht="15.75" customHeight="1">
      <c r="A2022" s="1" t="s">
        <v>127</v>
      </c>
      <c r="B2022" s="1" t="s">
        <v>39009</v>
      </c>
      <c r="C2022" s="1" t="s">
        <v>39010</v>
      </c>
      <c r="D2022" s="8" t="s">
        <v>39011</v>
      </c>
      <c r="E2022" s="1" t="s">
        <v>39012</v>
      </c>
      <c r="F2022" s="1" t="s">
        <v>132</v>
      </c>
      <c r="G2022" s="1" t="s">
        <v>39013</v>
      </c>
      <c r="H2022" s="1" t="s">
        <v>39014</v>
      </c>
      <c r="I2022" s="1" t="s">
        <v>39015</v>
      </c>
      <c r="J2022" s="1" t="s">
        <v>39016</v>
      </c>
      <c r="K2022" s="1" t="s">
        <v>39017</v>
      </c>
      <c r="L2022" s="1" t="s">
        <v>39018</v>
      </c>
      <c r="M2022" s="1" t="s">
        <v>39019</v>
      </c>
      <c r="N2022" s="1" t="s">
        <v>132</v>
      </c>
      <c r="O2022" s="1" t="s">
        <v>39020</v>
      </c>
      <c r="P2022" s="1" t="s">
        <v>39021</v>
      </c>
      <c r="Q2022" s="1" t="s">
        <v>132</v>
      </c>
      <c r="R2022" s="1" t="s">
        <v>39022</v>
      </c>
      <c r="S2022" s="1" t="s">
        <v>39023</v>
      </c>
      <c r="T2022" s="8" t="s">
        <v>39024</v>
      </c>
      <c r="U2022" s="1" t="s">
        <v>39025</v>
      </c>
      <c r="V2022" s="1" t="s">
        <v>39026</v>
      </c>
      <c r="W2022" s="1" t="s">
        <v>39027</v>
      </c>
      <c r="X2022" s="1" t="s">
        <v>39028</v>
      </c>
      <c r="Y2022" s="1" t="s">
        <v>39029</v>
      </c>
      <c r="Z2022" s="1" t="s">
        <v>39030</v>
      </c>
      <c r="AA2022" s="1" t="s">
        <v>39031</v>
      </c>
      <c r="AB2022" s="1" t="s">
        <v>132</v>
      </c>
      <c r="AC2022" s="1" t="s">
        <v>39032</v>
      </c>
      <c r="AD2022" s="1" t="s">
        <v>39033</v>
      </c>
      <c r="AE2022" s="1" t="s">
        <v>39034</v>
      </c>
      <c r="AF2022" s="1" t="s">
        <v>39035</v>
      </c>
      <c r="AG2022" s="1" t="s">
        <v>39036</v>
      </c>
      <c r="AH2022" s="1" t="s">
        <v>39037</v>
      </c>
      <c r="AI2022" s="1" t="s">
        <v>39038</v>
      </c>
      <c r="AJ2022" s="1" t="s">
        <v>132</v>
      </c>
      <c r="AK2022" s="1" t="s">
        <v>39039</v>
      </c>
      <c r="AL2022" s="1" t="s">
        <v>39040</v>
      </c>
      <c r="AM2022" s="1" t="s">
        <v>39041</v>
      </c>
      <c r="AN2022" s="1" t="s">
        <v>39041</v>
      </c>
    </row>
    <row r="2023" ht="15.75" customHeight="1">
      <c r="A2023" s="1" t="s">
        <v>38</v>
      </c>
      <c r="B2023" s="1" t="s">
        <v>39042</v>
      </c>
      <c r="C2023" s="1" t="s">
        <v>39043</v>
      </c>
      <c r="D2023" s="1" t="s">
        <v>132</v>
      </c>
      <c r="E2023" s="1" t="s">
        <v>39044</v>
      </c>
      <c r="F2023" s="1" t="s">
        <v>39045</v>
      </c>
      <c r="G2023" s="1" t="s">
        <v>132</v>
      </c>
      <c r="H2023" s="1" t="s">
        <v>132</v>
      </c>
      <c r="I2023" s="1" t="s">
        <v>39046</v>
      </c>
      <c r="J2023" s="1" t="s">
        <v>132</v>
      </c>
      <c r="K2023" s="1" t="s">
        <v>39047</v>
      </c>
      <c r="L2023" s="1" t="s">
        <v>132</v>
      </c>
      <c r="M2023" s="1" t="s">
        <v>39048</v>
      </c>
      <c r="N2023" s="1" t="s">
        <v>39049</v>
      </c>
      <c r="O2023" s="1" t="s">
        <v>132</v>
      </c>
      <c r="P2023" s="1" t="s">
        <v>39050</v>
      </c>
      <c r="Q2023" s="1" t="s">
        <v>132</v>
      </c>
      <c r="R2023" s="1" t="s">
        <v>132</v>
      </c>
      <c r="S2023" s="1" t="s">
        <v>39051</v>
      </c>
      <c r="T2023" s="1" t="s">
        <v>132</v>
      </c>
      <c r="U2023" s="1" t="s">
        <v>39052</v>
      </c>
      <c r="V2023" s="1" t="s">
        <v>39053</v>
      </c>
      <c r="W2023" s="1" t="s">
        <v>132</v>
      </c>
      <c r="X2023" s="1" t="s">
        <v>39054</v>
      </c>
      <c r="Y2023" s="1" t="s">
        <v>132</v>
      </c>
      <c r="Z2023" s="1" t="s">
        <v>39055</v>
      </c>
      <c r="AA2023" s="1" t="s">
        <v>39056</v>
      </c>
      <c r="AB2023" s="1" t="s">
        <v>132</v>
      </c>
      <c r="AC2023" s="1" t="s">
        <v>39057</v>
      </c>
      <c r="AD2023" s="1" t="s">
        <v>132</v>
      </c>
      <c r="AE2023" s="1" t="s">
        <v>132</v>
      </c>
      <c r="AF2023" s="1" t="s">
        <v>39058</v>
      </c>
      <c r="AG2023" s="1" t="s">
        <v>39059</v>
      </c>
      <c r="AH2023" s="1" t="s">
        <v>132</v>
      </c>
      <c r="AI2023" s="1" t="s">
        <v>132</v>
      </c>
      <c r="AJ2023" s="1" t="s">
        <v>39060</v>
      </c>
      <c r="AK2023" s="1" t="s">
        <v>132</v>
      </c>
      <c r="AL2023" s="1" t="s">
        <v>132</v>
      </c>
      <c r="AM2023" s="1" t="s">
        <v>39061</v>
      </c>
      <c r="AN2023" s="1" t="s">
        <v>39061</v>
      </c>
    </row>
    <row r="2024" ht="15.75" customHeight="1">
      <c r="A2024" s="1" t="s">
        <v>38</v>
      </c>
      <c r="B2024" s="1" t="s">
        <v>39062</v>
      </c>
      <c r="C2024" s="1" t="s">
        <v>39063</v>
      </c>
      <c r="D2024" s="8" t="s">
        <v>39064</v>
      </c>
      <c r="E2024" s="1" t="s">
        <v>39065</v>
      </c>
      <c r="F2024" s="1" t="s">
        <v>39066</v>
      </c>
      <c r="G2024" s="1" t="s">
        <v>132</v>
      </c>
      <c r="H2024" s="1" t="s">
        <v>132</v>
      </c>
      <c r="I2024" s="1" t="s">
        <v>39067</v>
      </c>
      <c r="J2024" s="1" t="s">
        <v>132</v>
      </c>
      <c r="K2024" s="1" t="s">
        <v>39068</v>
      </c>
      <c r="L2024" s="1" t="s">
        <v>132</v>
      </c>
      <c r="M2024" s="1" t="s">
        <v>39069</v>
      </c>
      <c r="N2024" s="1" t="s">
        <v>39070</v>
      </c>
      <c r="O2024" s="1" t="s">
        <v>132</v>
      </c>
      <c r="P2024" s="1" t="s">
        <v>39071</v>
      </c>
      <c r="Q2024" s="1" t="s">
        <v>132</v>
      </c>
      <c r="R2024" s="1" t="s">
        <v>132</v>
      </c>
      <c r="S2024" s="1" t="s">
        <v>39072</v>
      </c>
      <c r="T2024" s="1" t="s">
        <v>132</v>
      </c>
      <c r="U2024" s="1" t="s">
        <v>39073</v>
      </c>
      <c r="V2024" s="1" t="s">
        <v>132</v>
      </c>
      <c r="W2024" s="1" t="s">
        <v>132</v>
      </c>
      <c r="X2024" s="1" t="s">
        <v>39074</v>
      </c>
      <c r="Y2024" s="1" t="s">
        <v>132</v>
      </c>
      <c r="Z2024" s="1" t="s">
        <v>39075</v>
      </c>
      <c r="AA2024" s="1" t="s">
        <v>132</v>
      </c>
      <c r="AB2024" s="1" t="s">
        <v>132</v>
      </c>
      <c r="AC2024" s="1" t="s">
        <v>39076</v>
      </c>
      <c r="AD2024" s="1" t="s">
        <v>132</v>
      </c>
      <c r="AE2024" s="1" t="s">
        <v>132</v>
      </c>
      <c r="AF2024" s="1" t="s">
        <v>39077</v>
      </c>
      <c r="AG2024" s="1" t="s">
        <v>132</v>
      </c>
      <c r="AH2024" s="1" t="s">
        <v>132</v>
      </c>
      <c r="AI2024" s="1" t="s">
        <v>132</v>
      </c>
      <c r="AJ2024" s="1" t="s">
        <v>132</v>
      </c>
      <c r="AK2024" s="1" t="s">
        <v>132</v>
      </c>
      <c r="AL2024" s="1" t="s">
        <v>132</v>
      </c>
      <c r="AM2024" s="1" t="s">
        <v>132</v>
      </c>
      <c r="AN2024" s="1" t="s">
        <v>132</v>
      </c>
    </row>
    <row r="2025" ht="15.75" customHeight="1">
      <c r="A2025" s="1" t="s">
        <v>38</v>
      </c>
      <c r="B2025" s="1" t="s">
        <v>39078</v>
      </c>
      <c r="C2025" s="1" t="s">
        <v>39079</v>
      </c>
      <c r="D2025" s="1" t="s">
        <v>132</v>
      </c>
      <c r="E2025" s="1" t="s">
        <v>39080</v>
      </c>
      <c r="F2025" s="1" t="s">
        <v>39081</v>
      </c>
      <c r="G2025" s="1" t="s">
        <v>132</v>
      </c>
      <c r="H2025" s="1" t="s">
        <v>132</v>
      </c>
      <c r="I2025" s="1" t="s">
        <v>39082</v>
      </c>
      <c r="J2025" s="1" t="s">
        <v>132</v>
      </c>
      <c r="K2025" s="1" t="s">
        <v>39083</v>
      </c>
      <c r="L2025" s="1" t="s">
        <v>132</v>
      </c>
      <c r="M2025" s="1" t="s">
        <v>39084</v>
      </c>
      <c r="N2025" s="1" t="s">
        <v>39085</v>
      </c>
      <c r="O2025" s="1" t="s">
        <v>132</v>
      </c>
      <c r="P2025" s="1" t="s">
        <v>39086</v>
      </c>
      <c r="Q2025" s="1" t="s">
        <v>132</v>
      </c>
      <c r="R2025" s="1" t="s">
        <v>132</v>
      </c>
      <c r="S2025" s="1" t="s">
        <v>39087</v>
      </c>
      <c r="T2025" s="1" t="s">
        <v>132</v>
      </c>
      <c r="U2025" s="1" t="s">
        <v>132</v>
      </c>
      <c r="V2025" s="1" t="s">
        <v>132</v>
      </c>
      <c r="W2025" s="1" t="s">
        <v>132</v>
      </c>
      <c r="X2025" s="1" t="s">
        <v>39088</v>
      </c>
      <c r="Y2025" s="1" t="s">
        <v>132</v>
      </c>
      <c r="Z2025" s="1" t="s">
        <v>39089</v>
      </c>
      <c r="AA2025" s="1" t="s">
        <v>132</v>
      </c>
      <c r="AB2025" s="1" t="s">
        <v>132</v>
      </c>
      <c r="AC2025" s="1" t="s">
        <v>132</v>
      </c>
      <c r="AD2025" s="1" t="s">
        <v>132</v>
      </c>
      <c r="AE2025" s="1" t="s">
        <v>132</v>
      </c>
      <c r="AF2025" s="1" t="s">
        <v>132</v>
      </c>
      <c r="AG2025" s="1" t="s">
        <v>132</v>
      </c>
      <c r="AH2025" s="1" t="s">
        <v>132</v>
      </c>
      <c r="AI2025" s="1" t="s">
        <v>132</v>
      </c>
      <c r="AJ2025" s="1" t="s">
        <v>132</v>
      </c>
      <c r="AK2025" s="1" t="s">
        <v>132</v>
      </c>
      <c r="AL2025" s="1" t="s">
        <v>132</v>
      </c>
      <c r="AM2025" s="1" t="s">
        <v>132</v>
      </c>
      <c r="AN2025" s="1" t="s">
        <v>132</v>
      </c>
    </row>
    <row r="2026" ht="15.75" customHeight="1">
      <c r="A2026" s="1" t="s">
        <v>38</v>
      </c>
      <c r="B2026" s="1" t="s">
        <v>39090</v>
      </c>
      <c r="C2026" s="1" t="s">
        <v>39091</v>
      </c>
      <c r="D2026" s="1" t="s">
        <v>132</v>
      </c>
      <c r="E2026" s="1" t="s">
        <v>132</v>
      </c>
      <c r="F2026" s="1" t="s">
        <v>132</v>
      </c>
      <c r="G2026" s="1" t="s">
        <v>132</v>
      </c>
      <c r="H2026" s="1" t="s">
        <v>132</v>
      </c>
      <c r="I2026" s="1" t="s">
        <v>39092</v>
      </c>
      <c r="J2026" s="1" t="s">
        <v>132</v>
      </c>
      <c r="K2026" s="1" t="s">
        <v>39091</v>
      </c>
      <c r="L2026" s="1" t="s">
        <v>132</v>
      </c>
      <c r="M2026" s="1" t="s">
        <v>39091</v>
      </c>
      <c r="N2026" s="1" t="s">
        <v>132</v>
      </c>
      <c r="O2026" s="1" t="s">
        <v>132</v>
      </c>
      <c r="P2026" s="1" t="s">
        <v>39091</v>
      </c>
      <c r="Q2026" s="1" t="s">
        <v>132</v>
      </c>
      <c r="R2026" s="1" t="s">
        <v>132</v>
      </c>
      <c r="S2026" s="1" t="s">
        <v>132</v>
      </c>
      <c r="T2026" s="1" t="s">
        <v>132</v>
      </c>
      <c r="U2026" s="1" t="s">
        <v>132</v>
      </c>
      <c r="V2026" s="1" t="s">
        <v>132</v>
      </c>
      <c r="W2026" s="1" t="s">
        <v>132</v>
      </c>
      <c r="X2026" s="1" t="s">
        <v>132</v>
      </c>
      <c r="Y2026" s="1" t="s">
        <v>132</v>
      </c>
      <c r="Z2026" s="1" t="s">
        <v>132</v>
      </c>
      <c r="AA2026" s="1" t="s">
        <v>132</v>
      </c>
      <c r="AB2026" s="1" t="s">
        <v>132</v>
      </c>
      <c r="AC2026" s="1" t="s">
        <v>39093</v>
      </c>
      <c r="AD2026" s="1" t="s">
        <v>132</v>
      </c>
      <c r="AE2026" s="1" t="s">
        <v>132</v>
      </c>
      <c r="AF2026" s="1" t="s">
        <v>39094</v>
      </c>
      <c r="AG2026" s="1" t="s">
        <v>132</v>
      </c>
      <c r="AH2026" s="1" t="s">
        <v>132</v>
      </c>
      <c r="AI2026" s="1" t="s">
        <v>132</v>
      </c>
      <c r="AJ2026" s="1" t="s">
        <v>132</v>
      </c>
      <c r="AK2026" s="1" t="s">
        <v>132</v>
      </c>
      <c r="AL2026" s="1" t="s">
        <v>132</v>
      </c>
      <c r="AM2026" s="1" t="s">
        <v>132</v>
      </c>
      <c r="AN2026" s="1" t="s">
        <v>132</v>
      </c>
    </row>
    <row r="2027" ht="15.75" customHeight="1">
      <c r="A2027" s="1" t="s">
        <v>38</v>
      </c>
      <c r="B2027" s="1" t="s">
        <v>39095</v>
      </c>
      <c r="C2027" s="1" t="s">
        <v>39096</v>
      </c>
      <c r="D2027" s="1" t="s">
        <v>132</v>
      </c>
      <c r="E2027" s="1" t="s">
        <v>132</v>
      </c>
      <c r="F2027" s="1" t="s">
        <v>132</v>
      </c>
      <c r="G2027" s="1" t="s">
        <v>132</v>
      </c>
      <c r="H2027" s="1" t="s">
        <v>132</v>
      </c>
      <c r="I2027" s="1" t="s">
        <v>39096</v>
      </c>
      <c r="J2027" s="1" t="s">
        <v>132</v>
      </c>
      <c r="K2027" s="1" t="s">
        <v>39096</v>
      </c>
      <c r="L2027" s="1" t="s">
        <v>132</v>
      </c>
      <c r="M2027" s="1" t="s">
        <v>39096</v>
      </c>
      <c r="N2027" s="1" t="s">
        <v>132</v>
      </c>
      <c r="O2027" s="1" t="s">
        <v>132</v>
      </c>
      <c r="P2027" s="1" t="s">
        <v>39096</v>
      </c>
      <c r="Q2027" s="1" t="s">
        <v>132</v>
      </c>
      <c r="R2027" s="1" t="s">
        <v>132</v>
      </c>
      <c r="S2027" s="1" t="s">
        <v>132</v>
      </c>
      <c r="T2027" s="1" t="s">
        <v>132</v>
      </c>
      <c r="U2027" s="1" t="s">
        <v>132</v>
      </c>
      <c r="V2027" s="1" t="s">
        <v>132</v>
      </c>
      <c r="W2027" s="1" t="s">
        <v>132</v>
      </c>
      <c r="X2027" s="1" t="s">
        <v>132</v>
      </c>
      <c r="Y2027" s="1" t="s">
        <v>132</v>
      </c>
      <c r="Z2027" s="1" t="s">
        <v>132</v>
      </c>
      <c r="AA2027" s="1" t="s">
        <v>132</v>
      </c>
      <c r="AB2027" s="1" t="s">
        <v>132</v>
      </c>
      <c r="AC2027" s="1" t="s">
        <v>39097</v>
      </c>
      <c r="AD2027" s="1" t="s">
        <v>132</v>
      </c>
      <c r="AE2027" s="1" t="s">
        <v>132</v>
      </c>
      <c r="AF2027" s="1" t="s">
        <v>39096</v>
      </c>
      <c r="AG2027" s="1" t="s">
        <v>132</v>
      </c>
      <c r="AH2027" s="1" t="s">
        <v>132</v>
      </c>
      <c r="AI2027" s="1" t="s">
        <v>132</v>
      </c>
      <c r="AJ2027" s="1" t="s">
        <v>132</v>
      </c>
      <c r="AK2027" s="1" t="s">
        <v>132</v>
      </c>
      <c r="AL2027" s="1" t="s">
        <v>132</v>
      </c>
      <c r="AM2027" s="1" t="s">
        <v>132</v>
      </c>
      <c r="AN2027" s="1" t="s">
        <v>132</v>
      </c>
    </row>
    <row r="2028" ht="15.75" customHeight="1">
      <c r="A2028" s="1" t="s">
        <v>127</v>
      </c>
      <c r="B2028" s="1" t="s">
        <v>39098</v>
      </c>
      <c r="C2028" s="1" t="s">
        <v>39099</v>
      </c>
      <c r="D2028" s="8" t="s">
        <v>39100</v>
      </c>
      <c r="E2028" s="1" t="s">
        <v>39101</v>
      </c>
      <c r="F2028" s="1" t="s">
        <v>132</v>
      </c>
      <c r="G2028" s="1" t="s">
        <v>39102</v>
      </c>
      <c r="H2028" s="1" t="s">
        <v>39099</v>
      </c>
      <c r="I2028" s="1" t="s">
        <v>39099</v>
      </c>
      <c r="J2028" s="1" t="s">
        <v>39103</v>
      </c>
      <c r="K2028" s="1" t="s">
        <v>39104</v>
      </c>
      <c r="L2028" s="1" t="s">
        <v>39105</v>
      </c>
      <c r="M2028" s="1" t="s">
        <v>39099</v>
      </c>
      <c r="N2028" s="1" t="s">
        <v>132</v>
      </c>
      <c r="O2028" s="1" t="s">
        <v>39106</v>
      </c>
      <c r="P2028" s="1" t="s">
        <v>39107</v>
      </c>
      <c r="Q2028" s="1" t="s">
        <v>132</v>
      </c>
      <c r="R2028" s="1" t="s">
        <v>39108</v>
      </c>
      <c r="S2028" s="1" t="s">
        <v>39109</v>
      </c>
      <c r="T2028" s="8" t="s">
        <v>39110</v>
      </c>
      <c r="U2028" s="1" t="s">
        <v>39099</v>
      </c>
      <c r="V2028" s="1" t="s">
        <v>39111</v>
      </c>
      <c r="W2028" s="1" t="s">
        <v>39108</v>
      </c>
      <c r="X2028" s="1" t="s">
        <v>39112</v>
      </c>
      <c r="Y2028" s="1" t="s">
        <v>39113</v>
      </c>
      <c r="Z2028" s="1" t="s">
        <v>39114</v>
      </c>
      <c r="AA2028" s="1" t="s">
        <v>39115</v>
      </c>
      <c r="AB2028" s="1" t="s">
        <v>132</v>
      </c>
      <c r="AC2028" s="1" t="s">
        <v>39101</v>
      </c>
      <c r="AD2028" s="1" t="s">
        <v>39116</v>
      </c>
      <c r="AE2028" s="1" t="s">
        <v>39117</v>
      </c>
      <c r="AF2028" s="1" t="s">
        <v>39118</v>
      </c>
      <c r="AG2028" s="1" t="s">
        <v>39099</v>
      </c>
      <c r="AH2028" s="1" t="s">
        <v>39119</v>
      </c>
      <c r="AI2028" s="1" t="s">
        <v>39120</v>
      </c>
      <c r="AJ2028" s="1" t="s">
        <v>132</v>
      </c>
      <c r="AK2028" s="1" t="s">
        <v>39121</v>
      </c>
      <c r="AL2028" s="1" t="s">
        <v>39122</v>
      </c>
      <c r="AM2028" s="1" t="s">
        <v>39123</v>
      </c>
      <c r="AN2028" s="1" t="s">
        <v>39123</v>
      </c>
    </row>
    <row r="2029" ht="15.75" customHeight="1">
      <c r="A2029" s="1" t="s">
        <v>38</v>
      </c>
      <c r="B2029" s="1" t="s">
        <v>39124</v>
      </c>
      <c r="C2029" s="1" t="s">
        <v>39125</v>
      </c>
      <c r="D2029" s="1" t="s">
        <v>132</v>
      </c>
      <c r="E2029" s="1" t="s">
        <v>39126</v>
      </c>
      <c r="F2029" s="1" t="s">
        <v>39127</v>
      </c>
      <c r="G2029" s="1" t="s">
        <v>132</v>
      </c>
      <c r="H2029" s="1" t="s">
        <v>132</v>
      </c>
      <c r="I2029" s="1" t="s">
        <v>39128</v>
      </c>
      <c r="J2029" s="1" t="s">
        <v>132</v>
      </c>
      <c r="K2029" s="1" t="s">
        <v>39129</v>
      </c>
      <c r="L2029" s="1" t="s">
        <v>132</v>
      </c>
      <c r="M2029" s="1" t="s">
        <v>39130</v>
      </c>
      <c r="N2029" s="1" t="s">
        <v>39131</v>
      </c>
      <c r="O2029" s="1" t="s">
        <v>132</v>
      </c>
      <c r="P2029" s="1" t="s">
        <v>39132</v>
      </c>
      <c r="Q2029" s="1" t="s">
        <v>132</v>
      </c>
      <c r="R2029" s="1" t="s">
        <v>132</v>
      </c>
      <c r="S2029" s="1" t="s">
        <v>39133</v>
      </c>
      <c r="T2029" s="1" t="s">
        <v>132</v>
      </c>
      <c r="U2029" s="1" t="s">
        <v>132</v>
      </c>
      <c r="V2029" s="1" t="s">
        <v>132</v>
      </c>
      <c r="W2029" s="1" t="s">
        <v>132</v>
      </c>
      <c r="X2029" s="1" t="s">
        <v>39134</v>
      </c>
      <c r="Y2029" s="1" t="s">
        <v>132</v>
      </c>
      <c r="Z2029" s="1" t="s">
        <v>39135</v>
      </c>
      <c r="AA2029" s="1" t="s">
        <v>132</v>
      </c>
      <c r="AB2029" s="1" t="s">
        <v>132</v>
      </c>
      <c r="AC2029" s="1" t="s">
        <v>132</v>
      </c>
      <c r="AD2029" s="1" t="s">
        <v>132</v>
      </c>
      <c r="AE2029" s="1" t="s">
        <v>132</v>
      </c>
      <c r="AF2029" s="1" t="s">
        <v>132</v>
      </c>
      <c r="AG2029" s="1" t="s">
        <v>132</v>
      </c>
      <c r="AH2029" s="1" t="s">
        <v>132</v>
      </c>
      <c r="AI2029" s="1" t="s">
        <v>132</v>
      </c>
      <c r="AJ2029" s="1" t="s">
        <v>132</v>
      </c>
      <c r="AK2029" s="1" t="s">
        <v>132</v>
      </c>
      <c r="AL2029" s="1" t="s">
        <v>132</v>
      </c>
      <c r="AM2029" s="1" t="s">
        <v>39136</v>
      </c>
      <c r="AN2029" s="1" t="s">
        <v>39136</v>
      </c>
    </row>
    <row r="2030" ht="15.75" customHeight="1">
      <c r="A2030" s="1" t="s">
        <v>127</v>
      </c>
      <c r="B2030" s="1" t="s">
        <v>39137</v>
      </c>
      <c r="C2030" s="1" t="s">
        <v>39138</v>
      </c>
      <c r="D2030" s="8" t="s">
        <v>20463</v>
      </c>
      <c r="E2030" s="1" t="s">
        <v>39139</v>
      </c>
      <c r="F2030" s="1" t="s">
        <v>132</v>
      </c>
      <c r="G2030" s="1" t="s">
        <v>39140</v>
      </c>
      <c r="H2030" s="1" t="s">
        <v>39141</v>
      </c>
      <c r="I2030" s="1" t="s">
        <v>39142</v>
      </c>
      <c r="J2030" s="1" t="s">
        <v>39143</v>
      </c>
      <c r="K2030" s="1" t="s">
        <v>39144</v>
      </c>
      <c r="L2030" s="1" t="s">
        <v>20470</v>
      </c>
      <c r="M2030" s="1" t="s">
        <v>20471</v>
      </c>
      <c r="N2030" s="1" t="s">
        <v>132</v>
      </c>
      <c r="O2030" s="1" t="s">
        <v>39145</v>
      </c>
      <c r="P2030" s="1" t="s">
        <v>20473</v>
      </c>
      <c r="Q2030" s="1" t="s">
        <v>132</v>
      </c>
      <c r="R2030" s="1" t="s">
        <v>39146</v>
      </c>
      <c r="S2030" s="1" t="s">
        <v>39147</v>
      </c>
      <c r="T2030" s="8" t="s">
        <v>39148</v>
      </c>
      <c r="U2030" s="1" t="s">
        <v>39149</v>
      </c>
      <c r="V2030" s="1" t="s">
        <v>39150</v>
      </c>
      <c r="W2030" s="1" t="s">
        <v>39151</v>
      </c>
      <c r="X2030" s="1" t="s">
        <v>39152</v>
      </c>
      <c r="Y2030" s="1" t="s">
        <v>39141</v>
      </c>
      <c r="Z2030" s="1" t="s">
        <v>39153</v>
      </c>
      <c r="AA2030" s="1" t="s">
        <v>39154</v>
      </c>
      <c r="AB2030" s="1" t="s">
        <v>132</v>
      </c>
      <c r="AC2030" s="1" t="s">
        <v>20485</v>
      </c>
      <c r="AD2030" s="1" t="s">
        <v>39155</v>
      </c>
      <c r="AE2030" s="1" t="s">
        <v>39140</v>
      </c>
      <c r="AF2030" s="1" t="s">
        <v>39156</v>
      </c>
      <c r="AG2030" s="1" t="s">
        <v>39157</v>
      </c>
      <c r="AH2030" s="1" t="s">
        <v>39158</v>
      </c>
      <c r="AI2030" s="1" t="s">
        <v>39159</v>
      </c>
      <c r="AJ2030" s="1" t="s">
        <v>132</v>
      </c>
      <c r="AK2030" s="1" t="s">
        <v>39160</v>
      </c>
      <c r="AL2030" s="1" t="s">
        <v>20492</v>
      </c>
      <c r="AM2030" s="1" t="s">
        <v>39161</v>
      </c>
      <c r="AN2030" s="1" t="s">
        <v>39161</v>
      </c>
    </row>
    <row r="2031" ht="15.75" customHeight="1">
      <c r="A2031" s="1" t="s">
        <v>38</v>
      </c>
      <c r="B2031" s="1" t="s">
        <v>39162</v>
      </c>
      <c r="C2031" s="1" t="s">
        <v>39163</v>
      </c>
      <c r="D2031" s="1" t="s">
        <v>132</v>
      </c>
      <c r="E2031" s="1" t="s">
        <v>132</v>
      </c>
      <c r="F2031" s="1" t="s">
        <v>132</v>
      </c>
      <c r="G2031" s="1" t="s">
        <v>132</v>
      </c>
      <c r="H2031" s="1" t="s">
        <v>132</v>
      </c>
      <c r="I2031" s="1" t="s">
        <v>39164</v>
      </c>
      <c r="J2031" s="1" t="s">
        <v>132</v>
      </c>
      <c r="K2031" s="1" t="s">
        <v>39165</v>
      </c>
      <c r="L2031" s="1" t="s">
        <v>132</v>
      </c>
      <c r="M2031" s="1" t="s">
        <v>39166</v>
      </c>
      <c r="N2031" s="1" t="s">
        <v>132</v>
      </c>
      <c r="O2031" s="1" t="s">
        <v>132</v>
      </c>
      <c r="P2031" s="1" t="s">
        <v>39167</v>
      </c>
      <c r="Q2031" s="1" t="s">
        <v>132</v>
      </c>
      <c r="R2031" s="1" t="s">
        <v>132</v>
      </c>
      <c r="S2031" s="1" t="s">
        <v>132</v>
      </c>
      <c r="T2031" s="1" t="s">
        <v>132</v>
      </c>
      <c r="U2031" s="1" t="s">
        <v>132</v>
      </c>
      <c r="V2031" s="1" t="s">
        <v>132</v>
      </c>
      <c r="W2031" s="1" t="s">
        <v>132</v>
      </c>
      <c r="X2031" s="1" t="s">
        <v>132</v>
      </c>
      <c r="Y2031" s="1" t="s">
        <v>132</v>
      </c>
      <c r="Z2031" s="1" t="s">
        <v>132</v>
      </c>
      <c r="AA2031" s="1" t="s">
        <v>132</v>
      </c>
      <c r="AB2031" s="1" t="s">
        <v>132</v>
      </c>
      <c r="AC2031" s="1" t="s">
        <v>39168</v>
      </c>
      <c r="AD2031" s="1" t="s">
        <v>132</v>
      </c>
      <c r="AE2031" s="1" t="s">
        <v>132</v>
      </c>
      <c r="AF2031" s="1" t="s">
        <v>39169</v>
      </c>
      <c r="AG2031" s="1" t="s">
        <v>132</v>
      </c>
      <c r="AH2031" s="1" t="s">
        <v>132</v>
      </c>
      <c r="AI2031" s="1" t="s">
        <v>132</v>
      </c>
      <c r="AJ2031" s="1" t="s">
        <v>132</v>
      </c>
      <c r="AK2031" s="1" t="s">
        <v>132</v>
      </c>
      <c r="AL2031" s="1" t="s">
        <v>132</v>
      </c>
      <c r="AM2031" s="1" t="s">
        <v>132</v>
      </c>
      <c r="AN2031" s="1" t="s">
        <v>132</v>
      </c>
    </row>
    <row r="2032" ht="15.75" customHeight="1">
      <c r="A2032" s="1" t="s">
        <v>127</v>
      </c>
      <c r="B2032" s="1" t="s">
        <v>39170</v>
      </c>
      <c r="C2032" s="1" t="s">
        <v>39171</v>
      </c>
      <c r="D2032" s="8" t="s">
        <v>39172</v>
      </c>
      <c r="E2032" s="1" t="s">
        <v>39173</v>
      </c>
      <c r="F2032" s="1" t="s">
        <v>132</v>
      </c>
      <c r="G2032" s="1" t="s">
        <v>39174</v>
      </c>
      <c r="H2032" s="1" t="s">
        <v>39171</v>
      </c>
      <c r="I2032" s="1" t="s">
        <v>39175</v>
      </c>
      <c r="J2032" s="1" t="s">
        <v>39171</v>
      </c>
      <c r="K2032" s="1" t="s">
        <v>39176</v>
      </c>
      <c r="L2032" s="1" t="s">
        <v>39177</v>
      </c>
      <c r="M2032" s="1" t="s">
        <v>39178</v>
      </c>
      <c r="N2032" s="1" t="s">
        <v>132</v>
      </c>
      <c r="O2032" s="1" t="s">
        <v>39179</v>
      </c>
      <c r="P2032" s="1" t="s">
        <v>39171</v>
      </c>
      <c r="Q2032" s="1" t="s">
        <v>132</v>
      </c>
      <c r="R2032" s="1" t="s">
        <v>39180</v>
      </c>
      <c r="S2032" s="1" t="s">
        <v>39171</v>
      </c>
      <c r="T2032" s="8" t="s">
        <v>39181</v>
      </c>
      <c r="U2032" s="1" t="s">
        <v>39182</v>
      </c>
      <c r="V2032" s="1" t="s">
        <v>39183</v>
      </c>
      <c r="W2032" s="1" t="s">
        <v>39180</v>
      </c>
      <c r="X2032" s="1" t="s">
        <v>39171</v>
      </c>
      <c r="Y2032" s="1" t="s">
        <v>39184</v>
      </c>
      <c r="Z2032" s="1" t="s">
        <v>39185</v>
      </c>
      <c r="AA2032" s="1" t="s">
        <v>39171</v>
      </c>
      <c r="AB2032" s="1" t="s">
        <v>132</v>
      </c>
      <c r="AC2032" s="1" t="s">
        <v>39186</v>
      </c>
      <c r="AD2032" s="1" t="s">
        <v>39171</v>
      </c>
      <c r="AE2032" s="1" t="s">
        <v>39187</v>
      </c>
      <c r="AF2032" s="1" t="s">
        <v>30878</v>
      </c>
      <c r="AG2032" s="1" t="s">
        <v>39188</v>
      </c>
      <c r="AH2032" s="1" t="s">
        <v>39189</v>
      </c>
      <c r="AI2032" s="1" t="s">
        <v>39190</v>
      </c>
      <c r="AJ2032" s="1" t="s">
        <v>132</v>
      </c>
      <c r="AK2032" s="1" t="s">
        <v>39191</v>
      </c>
      <c r="AL2032" s="1" t="s">
        <v>39192</v>
      </c>
      <c r="AM2032" s="1" t="s">
        <v>39193</v>
      </c>
      <c r="AN2032" s="1" t="s">
        <v>39193</v>
      </c>
    </row>
    <row r="2033" ht="15.75" customHeight="1">
      <c r="A2033" s="1" t="s">
        <v>127</v>
      </c>
      <c r="B2033" s="1" t="s">
        <v>39194</v>
      </c>
      <c r="C2033" s="1" t="s">
        <v>39195</v>
      </c>
      <c r="D2033" s="8" t="s">
        <v>39196</v>
      </c>
      <c r="E2033" s="1" t="s">
        <v>39197</v>
      </c>
      <c r="F2033" s="1" t="s">
        <v>132</v>
      </c>
      <c r="G2033" s="1" t="s">
        <v>39198</v>
      </c>
      <c r="H2033" s="1" t="s">
        <v>39199</v>
      </c>
      <c r="I2033" s="1" t="s">
        <v>39200</v>
      </c>
      <c r="J2033" s="1" t="s">
        <v>39201</v>
      </c>
      <c r="K2033" s="1" t="s">
        <v>39202</v>
      </c>
      <c r="L2033" s="1" t="s">
        <v>39203</v>
      </c>
      <c r="M2033" s="1" t="s">
        <v>39204</v>
      </c>
      <c r="N2033" s="1" t="s">
        <v>132</v>
      </c>
      <c r="O2033" s="1" t="s">
        <v>39205</v>
      </c>
      <c r="P2033" s="1" t="s">
        <v>39206</v>
      </c>
      <c r="Q2033" s="1" t="s">
        <v>132</v>
      </c>
      <c r="R2033" s="1" t="s">
        <v>39207</v>
      </c>
      <c r="S2033" s="1" t="s">
        <v>39208</v>
      </c>
      <c r="T2033" s="8" t="s">
        <v>39209</v>
      </c>
      <c r="U2033" s="1" t="s">
        <v>35114</v>
      </c>
      <c r="V2033" s="1" t="s">
        <v>39210</v>
      </c>
      <c r="W2033" s="1" t="s">
        <v>39211</v>
      </c>
      <c r="X2033" s="1" t="s">
        <v>39212</v>
      </c>
      <c r="Y2033" s="1" t="s">
        <v>39213</v>
      </c>
      <c r="Z2033" s="1" t="s">
        <v>39214</v>
      </c>
      <c r="AA2033" s="1" t="s">
        <v>39215</v>
      </c>
      <c r="AB2033" s="1" t="s">
        <v>132</v>
      </c>
      <c r="AC2033" s="1" t="s">
        <v>39216</v>
      </c>
      <c r="AD2033" s="1" t="s">
        <v>39217</v>
      </c>
      <c r="AE2033" s="1" t="s">
        <v>39218</v>
      </c>
      <c r="AF2033" s="1" t="s">
        <v>39219</v>
      </c>
      <c r="AG2033" s="1" t="s">
        <v>39220</v>
      </c>
      <c r="AH2033" s="1" t="s">
        <v>39221</v>
      </c>
      <c r="AI2033" s="1" t="s">
        <v>39222</v>
      </c>
      <c r="AJ2033" s="1" t="s">
        <v>132</v>
      </c>
      <c r="AK2033" s="1" t="s">
        <v>39223</v>
      </c>
      <c r="AL2033" s="1" t="s">
        <v>39224</v>
      </c>
      <c r="AM2033" s="1" t="s">
        <v>39225</v>
      </c>
      <c r="AN2033" s="1" t="s">
        <v>39225</v>
      </c>
    </row>
    <row r="2034" ht="15.75" customHeight="1">
      <c r="A2034" s="1" t="s">
        <v>38</v>
      </c>
      <c r="B2034" s="1" t="s">
        <v>39226</v>
      </c>
      <c r="C2034" s="1" t="s">
        <v>39227</v>
      </c>
      <c r="D2034" s="1" t="s">
        <v>132</v>
      </c>
      <c r="E2034" s="1" t="s">
        <v>39228</v>
      </c>
      <c r="F2034" s="1" t="s">
        <v>39229</v>
      </c>
      <c r="G2034" s="1" t="s">
        <v>132</v>
      </c>
      <c r="H2034" s="1" t="s">
        <v>132</v>
      </c>
      <c r="I2034" s="1" t="s">
        <v>39230</v>
      </c>
      <c r="J2034" s="1" t="s">
        <v>132</v>
      </c>
      <c r="K2034" s="1" t="s">
        <v>39231</v>
      </c>
      <c r="L2034" s="1" t="s">
        <v>132</v>
      </c>
      <c r="M2034" s="1" t="s">
        <v>39232</v>
      </c>
      <c r="N2034" s="1" t="s">
        <v>39233</v>
      </c>
      <c r="O2034" s="1" t="s">
        <v>132</v>
      </c>
      <c r="P2034" s="1" t="s">
        <v>39234</v>
      </c>
      <c r="Q2034" s="1" t="s">
        <v>132</v>
      </c>
      <c r="R2034" s="1" t="s">
        <v>132</v>
      </c>
      <c r="S2034" s="1" t="s">
        <v>39235</v>
      </c>
      <c r="T2034" s="1" t="s">
        <v>132</v>
      </c>
      <c r="U2034" s="1" t="s">
        <v>39236</v>
      </c>
      <c r="V2034" s="1" t="s">
        <v>39237</v>
      </c>
      <c r="W2034" s="1" t="s">
        <v>132</v>
      </c>
      <c r="X2034" s="1" t="s">
        <v>39238</v>
      </c>
      <c r="Y2034" s="1" t="s">
        <v>132</v>
      </c>
      <c r="Z2034" s="1" t="s">
        <v>39239</v>
      </c>
      <c r="AA2034" s="1" t="s">
        <v>39240</v>
      </c>
      <c r="AB2034" s="1" t="s">
        <v>132</v>
      </c>
      <c r="AC2034" s="1" t="s">
        <v>39241</v>
      </c>
      <c r="AD2034" s="1" t="s">
        <v>132</v>
      </c>
      <c r="AE2034" s="1" t="s">
        <v>132</v>
      </c>
      <c r="AF2034" s="1" t="s">
        <v>39242</v>
      </c>
      <c r="AG2034" s="1" t="s">
        <v>39243</v>
      </c>
      <c r="AH2034" s="1" t="s">
        <v>132</v>
      </c>
      <c r="AI2034" s="1" t="s">
        <v>132</v>
      </c>
      <c r="AJ2034" s="1" t="s">
        <v>39245</v>
      </c>
      <c r="AK2034" s="1" t="s">
        <v>39246</v>
      </c>
      <c r="AL2034" s="1" t="s">
        <v>132</v>
      </c>
      <c r="AM2034" s="1" t="s">
        <v>10363</v>
      </c>
      <c r="AN2034" s="1" t="s">
        <v>10363</v>
      </c>
    </row>
    <row r="2035" ht="15.75" customHeight="1">
      <c r="A2035" s="1" t="s">
        <v>38</v>
      </c>
      <c r="B2035" s="1" t="s">
        <v>39247</v>
      </c>
      <c r="C2035" s="1" t="s">
        <v>39248</v>
      </c>
      <c r="D2035" s="1" t="s">
        <v>132</v>
      </c>
      <c r="E2035" s="1" t="s">
        <v>132</v>
      </c>
      <c r="F2035" s="1" t="s">
        <v>132</v>
      </c>
      <c r="G2035" s="1" t="s">
        <v>132</v>
      </c>
      <c r="H2035" s="1" t="s">
        <v>132</v>
      </c>
      <c r="I2035" s="1" t="s">
        <v>39248</v>
      </c>
      <c r="J2035" s="1" t="s">
        <v>132</v>
      </c>
      <c r="K2035" s="1" t="s">
        <v>39248</v>
      </c>
      <c r="L2035" s="1" t="s">
        <v>132</v>
      </c>
      <c r="M2035" s="1" t="s">
        <v>39248</v>
      </c>
      <c r="N2035" s="1" t="s">
        <v>132</v>
      </c>
      <c r="O2035" s="1" t="s">
        <v>132</v>
      </c>
      <c r="P2035" s="1" t="s">
        <v>39248</v>
      </c>
      <c r="Q2035" s="1" t="s">
        <v>132</v>
      </c>
      <c r="R2035" s="1" t="s">
        <v>132</v>
      </c>
      <c r="S2035" s="1" t="s">
        <v>132</v>
      </c>
      <c r="T2035" s="1" t="s">
        <v>132</v>
      </c>
      <c r="U2035" s="1" t="s">
        <v>132</v>
      </c>
      <c r="V2035" s="1" t="s">
        <v>132</v>
      </c>
      <c r="W2035" s="1" t="s">
        <v>132</v>
      </c>
      <c r="X2035" s="1" t="s">
        <v>132</v>
      </c>
      <c r="Y2035" s="1" t="s">
        <v>132</v>
      </c>
      <c r="Z2035" s="1" t="s">
        <v>132</v>
      </c>
      <c r="AA2035" s="1" t="s">
        <v>132</v>
      </c>
      <c r="AB2035" s="1" t="s">
        <v>132</v>
      </c>
      <c r="AC2035" s="1" t="s">
        <v>39249</v>
      </c>
      <c r="AD2035" s="1" t="s">
        <v>132</v>
      </c>
      <c r="AE2035" s="1" t="s">
        <v>132</v>
      </c>
      <c r="AF2035" s="1" t="s">
        <v>39250</v>
      </c>
      <c r="AG2035" s="1" t="s">
        <v>132</v>
      </c>
      <c r="AH2035" s="1" t="s">
        <v>132</v>
      </c>
      <c r="AI2035" s="1" t="s">
        <v>132</v>
      </c>
      <c r="AJ2035" s="1" t="s">
        <v>132</v>
      </c>
      <c r="AK2035" s="1" t="s">
        <v>132</v>
      </c>
      <c r="AL2035" s="1" t="s">
        <v>132</v>
      </c>
      <c r="AM2035" s="1" t="s">
        <v>132</v>
      </c>
      <c r="AN2035" s="1" t="s">
        <v>132</v>
      </c>
    </row>
    <row r="2036" ht="15.75" customHeight="1">
      <c r="A2036" s="1" t="s">
        <v>127</v>
      </c>
      <c r="B2036" s="1" t="s">
        <v>39251</v>
      </c>
      <c r="C2036" s="1" t="s">
        <v>39252</v>
      </c>
      <c r="D2036" s="8" t="s">
        <v>8780</v>
      </c>
      <c r="E2036" s="1" t="s">
        <v>39253</v>
      </c>
      <c r="F2036" s="1" t="s">
        <v>132</v>
      </c>
      <c r="G2036" s="1" t="s">
        <v>39254</v>
      </c>
      <c r="H2036" s="1" t="s">
        <v>39255</v>
      </c>
      <c r="I2036" s="1" t="s">
        <v>39256</v>
      </c>
      <c r="J2036" s="1" t="s">
        <v>39257</v>
      </c>
      <c r="K2036" s="1" t="s">
        <v>39258</v>
      </c>
      <c r="L2036" s="1" t="s">
        <v>39259</v>
      </c>
      <c r="M2036" s="1" t="s">
        <v>39260</v>
      </c>
      <c r="N2036" s="1" t="s">
        <v>132</v>
      </c>
      <c r="O2036" s="1" t="s">
        <v>39261</v>
      </c>
      <c r="P2036" s="1" t="s">
        <v>8790</v>
      </c>
      <c r="Q2036" s="1" t="s">
        <v>132</v>
      </c>
      <c r="R2036" s="1" t="s">
        <v>39262</v>
      </c>
      <c r="S2036" s="1" t="s">
        <v>39263</v>
      </c>
      <c r="T2036" s="8" t="s">
        <v>8793</v>
      </c>
      <c r="U2036" s="1" t="s">
        <v>39252</v>
      </c>
      <c r="V2036" s="1" t="s">
        <v>8795</v>
      </c>
      <c r="W2036" s="1" t="s">
        <v>39262</v>
      </c>
      <c r="X2036" s="1" t="s">
        <v>39264</v>
      </c>
      <c r="Y2036" s="1" t="s">
        <v>39265</v>
      </c>
      <c r="Z2036" s="1" t="s">
        <v>39266</v>
      </c>
      <c r="AA2036" s="1" t="s">
        <v>39267</v>
      </c>
      <c r="AB2036" s="1" t="s">
        <v>132</v>
      </c>
      <c r="AC2036" s="1" t="s">
        <v>39268</v>
      </c>
      <c r="AD2036" s="1" t="s">
        <v>39269</v>
      </c>
      <c r="AE2036" s="1" t="s">
        <v>27640</v>
      </c>
      <c r="AF2036" s="1" t="s">
        <v>39252</v>
      </c>
      <c r="AG2036" s="1" t="s">
        <v>39270</v>
      </c>
      <c r="AH2036" s="1" t="s">
        <v>8805</v>
      </c>
      <c r="AI2036" s="1" t="s">
        <v>39271</v>
      </c>
      <c r="AJ2036" s="1" t="s">
        <v>132</v>
      </c>
      <c r="AK2036" s="1" t="s">
        <v>39272</v>
      </c>
      <c r="AL2036" s="1" t="s">
        <v>39273</v>
      </c>
      <c r="AM2036" s="1" t="s">
        <v>132</v>
      </c>
      <c r="AN2036" s="1" t="s">
        <v>132</v>
      </c>
    </row>
    <row r="2037" ht="15.75" customHeight="1">
      <c r="A2037" s="1" t="s">
        <v>127</v>
      </c>
      <c r="B2037" s="1" t="s">
        <v>39274</v>
      </c>
      <c r="C2037" s="1" t="s">
        <v>39275</v>
      </c>
      <c r="D2037" s="8" t="s">
        <v>39276</v>
      </c>
      <c r="E2037" s="1" t="s">
        <v>39277</v>
      </c>
      <c r="F2037" s="1" t="s">
        <v>132</v>
      </c>
      <c r="G2037" s="1" t="s">
        <v>39278</v>
      </c>
      <c r="H2037" s="1" t="s">
        <v>39279</v>
      </c>
      <c r="I2037" s="1" t="s">
        <v>39275</v>
      </c>
      <c r="J2037" s="1" t="s">
        <v>39280</v>
      </c>
      <c r="K2037" s="1" t="s">
        <v>39275</v>
      </c>
      <c r="L2037" s="1" t="s">
        <v>39275</v>
      </c>
      <c r="M2037" s="1" t="s">
        <v>39281</v>
      </c>
      <c r="N2037" s="1" t="s">
        <v>132</v>
      </c>
      <c r="O2037" s="1" t="s">
        <v>39282</v>
      </c>
      <c r="P2037" s="1" t="s">
        <v>39275</v>
      </c>
      <c r="Q2037" s="1" t="s">
        <v>132</v>
      </c>
      <c r="R2037" s="1" t="s">
        <v>39283</v>
      </c>
      <c r="S2037" s="1" t="s">
        <v>39284</v>
      </c>
      <c r="T2037" s="8" t="s">
        <v>39285</v>
      </c>
      <c r="U2037" s="1" t="s">
        <v>39286</v>
      </c>
      <c r="V2037" s="1" t="s">
        <v>39287</v>
      </c>
      <c r="W2037" s="1" t="s">
        <v>39288</v>
      </c>
      <c r="X2037" s="1" t="s">
        <v>39289</v>
      </c>
      <c r="Y2037" s="1" t="s">
        <v>39290</v>
      </c>
      <c r="Z2037" s="1" t="s">
        <v>39291</v>
      </c>
      <c r="AA2037" s="1" t="s">
        <v>39292</v>
      </c>
      <c r="AB2037" s="1" t="s">
        <v>132</v>
      </c>
      <c r="AC2037" s="1" t="s">
        <v>39293</v>
      </c>
      <c r="AD2037" s="1" t="s">
        <v>39294</v>
      </c>
      <c r="AE2037" s="1" t="s">
        <v>39295</v>
      </c>
      <c r="AF2037" s="1" t="s">
        <v>39275</v>
      </c>
      <c r="AG2037" s="1" t="s">
        <v>39296</v>
      </c>
      <c r="AH2037" s="1" t="s">
        <v>39297</v>
      </c>
      <c r="AI2037" s="1" t="s">
        <v>39298</v>
      </c>
      <c r="AJ2037" s="1" t="s">
        <v>132</v>
      </c>
      <c r="AK2037" s="1" t="s">
        <v>39299</v>
      </c>
      <c r="AL2037" s="1" t="s">
        <v>39300</v>
      </c>
      <c r="AM2037" s="1" t="s">
        <v>39301</v>
      </c>
      <c r="AN2037" s="1" t="s">
        <v>39301</v>
      </c>
    </row>
    <row r="2038" ht="15.75" customHeight="1">
      <c r="A2038" s="1" t="s">
        <v>127</v>
      </c>
      <c r="B2038" s="1" t="s">
        <v>39302</v>
      </c>
      <c r="C2038" s="1" t="s">
        <v>39303</v>
      </c>
      <c r="D2038" s="8" t="s">
        <v>39304</v>
      </c>
      <c r="E2038" s="1" t="s">
        <v>39305</v>
      </c>
      <c r="F2038" s="1" t="s">
        <v>132</v>
      </c>
      <c r="G2038" s="1" t="s">
        <v>39306</v>
      </c>
      <c r="H2038" s="1" t="s">
        <v>39307</v>
      </c>
      <c r="I2038" s="1" t="s">
        <v>25408</v>
      </c>
      <c r="J2038" s="1" t="s">
        <v>39308</v>
      </c>
      <c r="K2038" s="1" t="s">
        <v>39309</v>
      </c>
      <c r="L2038" s="1" t="s">
        <v>39310</v>
      </c>
      <c r="M2038" s="1" t="s">
        <v>39311</v>
      </c>
      <c r="N2038" s="1" t="s">
        <v>132</v>
      </c>
      <c r="O2038" s="1" t="s">
        <v>39312</v>
      </c>
      <c r="P2038" s="1" t="s">
        <v>39313</v>
      </c>
      <c r="Q2038" s="1" t="s">
        <v>132</v>
      </c>
      <c r="R2038" s="1" t="s">
        <v>39314</v>
      </c>
      <c r="S2038" s="1" t="s">
        <v>39309</v>
      </c>
      <c r="T2038" s="8" t="s">
        <v>39315</v>
      </c>
      <c r="U2038" s="1" t="s">
        <v>39316</v>
      </c>
      <c r="V2038" s="1" t="s">
        <v>39317</v>
      </c>
      <c r="W2038" s="1" t="s">
        <v>39318</v>
      </c>
      <c r="X2038" s="1" t="s">
        <v>25408</v>
      </c>
      <c r="Y2038" s="1" t="s">
        <v>39319</v>
      </c>
      <c r="Z2038" s="1" t="s">
        <v>39320</v>
      </c>
      <c r="AA2038" s="1" t="s">
        <v>39321</v>
      </c>
      <c r="AB2038" s="1" t="s">
        <v>132</v>
      </c>
      <c r="AC2038" s="1" t="s">
        <v>6410</v>
      </c>
      <c r="AD2038" s="1" t="s">
        <v>39306</v>
      </c>
      <c r="AE2038" s="1" t="s">
        <v>22919</v>
      </c>
      <c r="AF2038" s="1" t="s">
        <v>39322</v>
      </c>
      <c r="AG2038" s="1" t="s">
        <v>39323</v>
      </c>
      <c r="AH2038" s="1" t="s">
        <v>39324</v>
      </c>
      <c r="AI2038" s="1" t="s">
        <v>39325</v>
      </c>
      <c r="AJ2038" s="1" t="s">
        <v>132</v>
      </c>
      <c r="AK2038" s="1" t="s">
        <v>39326</v>
      </c>
      <c r="AL2038" s="1" t="s">
        <v>39327</v>
      </c>
      <c r="AM2038" s="1" t="s">
        <v>39328</v>
      </c>
      <c r="AN2038" s="1" t="s">
        <v>39328</v>
      </c>
    </row>
    <row r="2039" ht="15.75" customHeight="1">
      <c r="A2039" s="1" t="s">
        <v>127</v>
      </c>
      <c r="B2039" s="1" t="s">
        <v>39329</v>
      </c>
      <c r="C2039" s="1" t="s">
        <v>39330</v>
      </c>
      <c r="D2039" s="8" t="s">
        <v>39331</v>
      </c>
      <c r="E2039" s="1" t="s">
        <v>39332</v>
      </c>
      <c r="F2039" s="1" t="s">
        <v>132</v>
      </c>
      <c r="G2039" s="1" t="s">
        <v>39333</v>
      </c>
      <c r="H2039" s="1" t="s">
        <v>39334</v>
      </c>
      <c r="I2039" s="1" t="s">
        <v>39335</v>
      </c>
      <c r="J2039" s="1" t="s">
        <v>39336</v>
      </c>
      <c r="K2039" s="1" t="s">
        <v>39337</v>
      </c>
      <c r="L2039" s="1" t="s">
        <v>39338</v>
      </c>
      <c r="M2039" s="1" t="s">
        <v>39339</v>
      </c>
      <c r="N2039" s="1" t="s">
        <v>132</v>
      </c>
      <c r="O2039" s="1" t="s">
        <v>39340</v>
      </c>
      <c r="P2039" s="1" t="s">
        <v>39341</v>
      </c>
      <c r="Q2039" s="1" t="s">
        <v>132</v>
      </c>
      <c r="R2039" s="1" t="s">
        <v>39342</v>
      </c>
      <c r="S2039" s="1" t="s">
        <v>39343</v>
      </c>
      <c r="T2039" s="8" t="s">
        <v>39344</v>
      </c>
      <c r="U2039" s="1" t="s">
        <v>39345</v>
      </c>
      <c r="V2039" s="1" t="s">
        <v>39346</v>
      </c>
      <c r="W2039" s="1" t="s">
        <v>39347</v>
      </c>
      <c r="X2039" s="1" t="s">
        <v>39330</v>
      </c>
      <c r="Y2039" s="1" t="s">
        <v>39348</v>
      </c>
      <c r="Z2039" s="1" t="s">
        <v>39349</v>
      </c>
      <c r="AA2039" s="1" t="s">
        <v>39350</v>
      </c>
      <c r="AB2039" s="1" t="s">
        <v>132</v>
      </c>
      <c r="AC2039" s="1" t="s">
        <v>39351</v>
      </c>
      <c r="AD2039" s="1" t="s">
        <v>39352</v>
      </c>
      <c r="AE2039" s="1" t="s">
        <v>39353</v>
      </c>
      <c r="AF2039" s="1" t="s">
        <v>39330</v>
      </c>
      <c r="AG2039" s="1" t="s">
        <v>39335</v>
      </c>
      <c r="AH2039" s="1" t="s">
        <v>39354</v>
      </c>
      <c r="AI2039" s="1" t="s">
        <v>39355</v>
      </c>
      <c r="AJ2039" s="1" t="s">
        <v>132</v>
      </c>
      <c r="AK2039" s="1" t="s">
        <v>39356</v>
      </c>
      <c r="AL2039" s="1" t="s">
        <v>39357</v>
      </c>
      <c r="AM2039" s="1" t="s">
        <v>132</v>
      </c>
      <c r="AN2039" s="1" t="s">
        <v>132</v>
      </c>
    </row>
    <row r="2040" ht="15.75" customHeight="1">
      <c r="A2040" s="1" t="s">
        <v>38</v>
      </c>
      <c r="B2040" s="1" t="s">
        <v>39358</v>
      </c>
      <c r="C2040" s="1" t="s">
        <v>39359</v>
      </c>
      <c r="D2040" s="1" t="s">
        <v>132</v>
      </c>
      <c r="E2040" s="1" t="s">
        <v>132</v>
      </c>
      <c r="F2040" s="1" t="s">
        <v>132</v>
      </c>
      <c r="G2040" s="1" t="s">
        <v>132</v>
      </c>
      <c r="H2040" s="1" t="s">
        <v>132</v>
      </c>
      <c r="I2040" s="1" t="s">
        <v>39359</v>
      </c>
      <c r="J2040" s="1" t="s">
        <v>132</v>
      </c>
      <c r="K2040" s="1" t="s">
        <v>39359</v>
      </c>
      <c r="L2040" s="1" t="s">
        <v>132</v>
      </c>
      <c r="M2040" s="1" t="s">
        <v>39360</v>
      </c>
      <c r="N2040" s="1" t="s">
        <v>132</v>
      </c>
      <c r="O2040" s="1" t="s">
        <v>132</v>
      </c>
      <c r="P2040" s="1" t="s">
        <v>39359</v>
      </c>
      <c r="Q2040" s="1" t="s">
        <v>132</v>
      </c>
      <c r="R2040" s="1" t="s">
        <v>132</v>
      </c>
      <c r="S2040" s="1" t="s">
        <v>132</v>
      </c>
      <c r="T2040" s="1" t="s">
        <v>132</v>
      </c>
      <c r="U2040" s="1" t="s">
        <v>132</v>
      </c>
      <c r="V2040" s="1" t="s">
        <v>132</v>
      </c>
      <c r="W2040" s="1" t="s">
        <v>132</v>
      </c>
      <c r="X2040" s="1" t="s">
        <v>132</v>
      </c>
      <c r="Y2040" s="1" t="s">
        <v>132</v>
      </c>
      <c r="Z2040" s="1" t="s">
        <v>132</v>
      </c>
      <c r="AA2040" s="1" t="s">
        <v>132</v>
      </c>
      <c r="AB2040" s="1" t="s">
        <v>132</v>
      </c>
      <c r="AC2040" s="1" t="s">
        <v>39361</v>
      </c>
      <c r="AD2040" s="1" t="s">
        <v>132</v>
      </c>
      <c r="AE2040" s="1" t="s">
        <v>132</v>
      </c>
      <c r="AF2040" s="1" t="s">
        <v>39359</v>
      </c>
      <c r="AG2040" s="1" t="s">
        <v>132</v>
      </c>
      <c r="AH2040" s="1" t="s">
        <v>132</v>
      </c>
      <c r="AI2040" s="1" t="s">
        <v>132</v>
      </c>
      <c r="AJ2040" s="1" t="s">
        <v>132</v>
      </c>
      <c r="AK2040" s="1" t="s">
        <v>132</v>
      </c>
      <c r="AL2040" s="1" t="s">
        <v>132</v>
      </c>
      <c r="AM2040" s="1" t="s">
        <v>132</v>
      </c>
      <c r="AN2040" s="1" t="s">
        <v>132</v>
      </c>
    </row>
    <row r="2041" ht="15.75" customHeight="1">
      <c r="A2041" s="1" t="s">
        <v>127</v>
      </c>
      <c r="B2041" s="1" t="s">
        <v>39362</v>
      </c>
      <c r="C2041" s="1" t="s">
        <v>852</v>
      </c>
      <c r="D2041" s="8" t="s">
        <v>853</v>
      </c>
      <c r="E2041" s="1" t="s">
        <v>854</v>
      </c>
      <c r="F2041" s="1" t="s">
        <v>132</v>
      </c>
      <c r="G2041" s="1" t="s">
        <v>855</v>
      </c>
      <c r="H2041" s="1" t="s">
        <v>856</v>
      </c>
      <c r="I2041" s="1" t="s">
        <v>857</v>
      </c>
      <c r="J2041" s="1" t="s">
        <v>858</v>
      </c>
      <c r="K2041" s="1" t="s">
        <v>859</v>
      </c>
      <c r="L2041" s="1" t="s">
        <v>860</v>
      </c>
      <c r="M2041" s="1" t="s">
        <v>11638</v>
      </c>
      <c r="N2041" s="1" t="s">
        <v>132</v>
      </c>
      <c r="O2041" s="1" t="s">
        <v>862</v>
      </c>
      <c r="P2041" s="1" t="s">
        <v>11639</v>
      </c>
      <c r="Q2041" s="1" t="s">
        <v>132</v>
      </c>
      <c r="R2041" s="1" t="s">
        <v>864</v>
      </c>
      <c r="S2041" s="1" t="s">
        <v>865</v>
      </c>
      <c r="T2041" s="8" t="s">
        <v>866</v>
      </c>
      <c r="U2041" s="1" t="s">
        <v>867</v>
      </c>
      <c r="V2041" s="1" t="s">
        <v>868</v>
      </c>
      <c r="W2041" s="1" t="s">
        <v>869</v>
      </c>
      <c r="X2041" s="1" t="s">
        <v>11640</v>
      </c>
      <c r="Y2041" s="1" t="s">
        <v>856</v>
      </c>
      <c r="Z2041" s="1" t="s">
        <v>871</v>
      </c>
      <c r="AA2041" s="1" t="s">
        <v>872</v>
      </c>
      <c r="AB2041" s="1" t="s">
        <v>132</v>
      </c>
      <c r="AC2041" s="1" t="s">
        <v>29656</v>
      </c>
      <c r="AD2041" s="1" t="s">
        <v>874</v>
      </c>
      <c r="AE2041" s="1" t="s">
        <v>865</v>
      </c>
      <c r="AF2041" s="1" t="s">
        <v>29645</v>
      </c>
      <c r="AG2041" s="1" t="s">
        <v>875</v>
      </c>
      <c r="AH2041" s="1" t="s">
        <v>876</v>
      </c>
      <c r="AI2041" s="1" t="s">
        <v>11641</v>
      </c>
      <c r="AJ2041" s="1" t="s">
        <v>132</v>
      </c>
      <c r="AK2041" s="1" t="s">
        <v>878</v>
      </c>
      <c r="AL2041" s="1" t="s">
        <v>879</v>
      </c>
      <c r="AM2041" s="1" t="s">
        <v>29659</v>
      </c>
      <c r="AN2041" s="1" t="s">
        <v>29659</v>
      </c>
    </row>
    <row r="2042" ht="15.75" customHeight="1">
      <c r="A2042" s="1" t="s">
        <v>127</v>
      </c>
      <c r="B2042" s="1" t="s">
        <v>39363</v>
      </c>
      <c r="C2042" s="1" t="s">
        <v>39364</v>
      </c>
      <c r="D2042" s="8" t="s">
        <v>39365</v>
      </c>
      <c r="E2042" s="1" t="s">
        <v>39366</v>
      </c>
      <c r="F2042" s="1" t="s">
        <v>132</v>
      </c>
      <c r="G2042" s="1" t="s">
        <v>39367</v>
      </c>
      <c r="H2042" s="1" t="s">
        <v>39368</v>
      </c>
      <c r="I2042" s="1" t="s">
        <v>39369</v>
      </c>
      <c r="J2042" s="1" t="s">
        <v>39370</v>
      </c>
      <c r="K2042" s="1" t="s">
        <v>39371</v>
      </c>
      <c r="L2042" s="1" t="s">
        <v>39372</v>
      </c>
      <c r="M2042" s="1" t="s">
        <v>39373</v>
      </c>
      <c r="N2042" s="1" t="s">
        <v>132</v>
      </c>
      <c r="O2042" s="1" t="s">
        <v>39374</v>
      </c>
      <c r="P2042" s="1" t="s">
        <v>39375</v>
      </c>
      <c r="Q2042" s="1" t="s">
        <v>132</v>
      </c>
      <c r="R2042" s="1" t="s">
        <v>39376</v>
      </c>
      <c r="S2042" s="1" t="s">
        <v>39377</v>
      </c>
      <c r="T2042" s="8" t="s">
        <v>39378</v>
      </c>
      <c r="U2042" s="1" t="s">
        <v>39379</v>
      </c>
      <c r="V2042" s="1" t="s">
        <v>39380</v>
      </c>
      <c r="W2042" s="1" t="s">
        <v>39381</v>
      </c>
      <c r="X2042" s="1" t="s">
        <v>39382</v>
      </c>
      <c r="Y2042" s="1" t="s">
        <v>39383</v>
      </c>
      <c r="Z2042" s="1" t="s">
        <v>39384</v>
      </c>
      <c r="AA2042" s="1" t="s">
        <v>39371</v>
      </c>
      <c r="AB2042" s="1" t="s">
        <v>132</v>
      </c>
      <c r="AC2042" s="1" t="s">
        <v>39385</v>
      </c>
      <c r="AD2042" s="1" t="s">
        <v>39386</v>
      </c>
      <c r="AE2042" s="1" t="s">
        <v>39387</v>
      </c>
      <c r="AF2042" s="1" t="s">
        <v>39388</v>
      </c>
      <c r="AG2042" s="1" t="s">
        <v>39389</v>
      </c>
      <c r="AH2042" s="1" t="s">
        <v>39390</v>
      </c>
      <c r="AI2042" s="1" t="s">
        <v>39391</v>
      </c>
      <c r="AJ2042" s="1" t="s">
        <v>132</v>
      </c>
      <c r="AK2042" s="1" t="s">
        <v>39392</v>
      </c>
      <c r="AL2042" s="1" t="s">
        <v>39393</v>
      </c>
      <c r="AM2042" s="1" t="s">
        <v>39394</v>
      </c>
      <c r="AN2042" s="1" t="s">
        <v>39394</v>
      </c>
    </row>
    <row r="2043" ht="15.75" customHeight="1">
      <c r="A2043" s="1" t="s">
        <v>38</v>
      </c>
      <c r="B2043" s="1" t="s">
        <v>39395</v>
      </c>
      <c r="C2043" s="1" t="s">
        <v>39396</v>
      </c>
      <c r="D2043" s="8" t="s">
        <v>39397</v>
      </c>
      <c r="E2043" s="1" t="s">
        <v>39398</v>
      </c>
      <c r="F2043" s="1" t="s">
        <v>39399</v>
      </c>
      <c r="G2043" s="1" t="s">
        <v>132</v>
      </c>
      <c r="H2043" s="1" t="s">
        <v>132</v>
      </c>
      <c r="I2043" s="1" t="s">
        <v>39400</v>
      </c>
      <c r="J2043" s="1" t="s">
        <v>132</v>
      </c>
      <c r="K2043" s="1" t="s">
        <v>39401</v>
      </c>
      <c r="L2043" s="1" t="s">
        <v>132</v>
      </c>
      <c r="M2043" s="1" t="s">
        <v>39402</v>
      </c>
      <c r="N2043" s="1" t="s">
        <v>39401</v>
      </c>
      <c r="O2043" s="1" t="s">
        <v>132</v>
      </c>
      <c r="P2043" s="1" t="s">
        <v>39403</v>
      </c>
      <c r="Q2043" s="1" t="s">
        <v>39404</v>
      </c>
      <c r="R2043" s="1" t="s">
        <v>132</v>
      </c>
      <c r="S2043" s="1" t="s">
        <v>39405</v>
      </c>
      <c r="T2043" s="1" t="s">
        <v>132</v>
      </c>
      <c r="U2043" s="1" t="s">
        <v>39406</v>
      </c>
      <c r="V2043" s="1" t="s">
        <v>39407</v>
      </c>
      <c r="W2043" s="1" t="s">
        <v>132</v>
      </c>
      <c r="X2043" s="1" t="s">
        <v>39408</v>
      </c>
      <c r="Y2043" s="1" t="s">
        <v>132</v>
      </c>
      <c r="Z2043" s="1" t="s">
        <v>39409</v>
      </c>
      <c r="AA2043" s="1" t="s">
        <v>39410</v>
      </c>
      <c r="AB2043" s="1" t="s">
        <v>132</v>
      </c>
      <c r="AC2043" s="1" t="s">
        <v>39411</v>
      </c>
      <c r="AD2043" s="1" t="s">
        <v>39412</v>
      </c>
      <c r="AE2043" s="1" t="s">
        <v>132</v>
      </c>
      <c r="AF2043" s="1" t="s">
        <v>39413</v>
      </c>
      <c r="AG2043" s="1" t="s">
        <v>39414</v>
      </c>
      <c r="AH2043" s="1" t="s">
        <v>132</v>
      </c>
      <c r="AI2043" s="1" t="s">
        <v>132</v>
      </c>
      <c r="AJ2043" s="1" t="s">
        <v>39415</v>
      </c>
      <c r="AK2043" s="1" t="s">
        <v>39416</v>
      </c>
      <c r="AL2043" s="1" t="s">
        <v>132</v>
      </c>
      <c r="AM2043" s="1" t="s">
        <v>39417</v>
      </c>
      <c r="AN2043" s="1" t="s">
        <v>39417</v>
      </c>
    </row>
    <row r="2044" ht="15.75" customHeight="1">
      <c r="A2044" s="1" t="s">
        <v>127</v>
      </c>
      <c r="B2044" s="1" t="s">
        <v>39418</v>
      </c>
      <c r="C2044" s="1" t="s">
        <v>39419</v>
      </c>
      <c r="D2044" s="8" t="s">
        <v>39420</v>
      </c>
      <c r="E2044" s="1" t="s">
        <v>39421</v>
      </c>
      <c r="F2044" s="1" t="s">
        <v>132</v>
      </c>
      <c r="G2044" s="1" t="s">
        <v>39422</v>
      </c>
      <c r="H2044" s="1" t="s">
        <v>39423</v>
      </c>
      <c r="I2044" s="1" t="s">
        <v>39424</v>
      </c>
      <c r="J2044" s="1" t="s">
        <v>39425</v>
      </c>
      <c r="K2044" s="1" t="s">
        <v>39426</v>
      </c>
      <c r="L2044" s="1" t="s">
        <v>39427</v>
      </c>
      <c r="M2044" s="1" t="s">
        <v>39428</v>
      </c>
      <c r="N2044" s="1" t="s">
        <v>132</v>
      </c>
      <c r="O2044" s="1" t="s">
        <v>39429</v>
      </c>
      <c r="P2044" s="1" t="s">
        <v>39430</v>
      </c>
      <c r="Q2044" s="1" t="s">
        <v>132</v>
      </c>
      <c r="R2044" s="1" t="s">
        <v>39431</v>
      </c>
      <c r="S2044" s="1" t="s">
        <v>39432</v>
      </c>
      <c r="T2044" s="8" t="s">
        <v>39433</v>
      </c>
      <c r="U2044" s="1" t="s">
        <v>39434</v>
      </c>
      <c r="V2044" s="1" t="s">
        <v>39435</v>
      </c>
      <c r="W2044" s="1" t="s">
        <v>39436</v>
      </c>
      <c r="X2044" s="1" t="s">
        <v>39437</v>
      </c>
      <c r="Y2044" s="1" t="s">
        <v>39438</v>
      </c>
      <c r="Z2044" s="1" t="s">
        <v>39439</v>
      </c>
      <c r="AA2044" s="1" t="s">
        <v>39440</v>
      </c>
      <c r="AB2044" s="1" t="s">
        <v>132</v>
      </c>
      <c r="AC2044" s="1" t="s">
        <v>39441</v>
      </c>
      <c r="AD2044" s="1" t="s">
        <v>39442</v>
      </c>
      <c r="AE2044" s="1" t="s">
        <v>39443</v>
      </c>
      <c r="AF2044" s="1" t="s">
        <v>39444</v>
      </c>
      <c r="AG2044" s="1" t="s">
        <v>39445</v>
      </c>
      <c r="AH2044" s="1" t="s">
        <v>39446</v>
      </c>
      <c r="AI2044" s="1" t="s">
        <v>39447</v>
      </c>
      <c r="AJ2044" s="1" t="s">
        <v>132</v>
      </c>
      <c r="AK2044" s="1" t="s">
        <v>39448</v>
      </c>
      <c r="AL2044" s="1" t="s">
        <v>39449</v>
      </c>
      <c r="AM2044" s="1" t="s">
        <v>39450</v>
      </c>
      <c r="AN2044" s="1" t="s">
        <v>39450</v>
      </c>
    </row>
    <row r="2045" ht="15.75" customHeight="1">
      <c r="A2045" s="1" t="s">
        <v>38</v>
      </c>
      <c r="B2045" s="1" t="s">
        <v>39451</v>
      </c>
      <c r="C2045" s="1" t="s">
        <v>39452</v>
      </c>
      <c r="D2045" s="1" t="s">
        <v>132</v>
      </c>
      <c r="E2045" s="1" t="s">
        <v>39453</v>
      </c>
      <c r="F2045" s="1" t="s">
        <v>39454</v>
      </c>
      <c r="G2045" s="1" t="s">
        <v>132</v>
      </c>
      <c r="H2045" s="1" t="s">
        <v>132</v>
      </c>
      <c r="I2045" s="1" t="s">
        <v>39455</v>
      </c>
      <c r="J2045" s="1" t="s">
        <v>132</v>
      </c>
      <c r="K2045" s="1" t="s">
        <v>39456</v>
      </c>
      <c r="L2045" s="1" t="s">
        <v>132</v>
      </c>
      <c r="M2045" s="1" t="s">
        <v>39457</v>
      </c>
      <c r="N2045" s="1" t="s">
        <v>39458</v>
      </c>
      <c r="O2045" s="1" t="s">
        <v>132</v>
      </c>
      <c r="P2045" s="1" t="s">
        <v>39459</v>
      </c>
      <c r="Q2045" s="1" t="s">
        <v>132</v>
      </c>
      <c r="R2045" s="1" t="s">
        <v>132</v>
      </c>
      <c r="S2045" s="1" t="s">
        <v>39460</v>
      </c>
      <c r="T2045" s="1" t="s">
        <v>132</v>
      </c>
      <c r="U2045" s="1" t="s">
        <v>132</v>
      </c>
      <c r="V2045" s="1" t="s">
        <v>132</v>
      </c>
      <c r="W2045" s="1" t="s">
        <v>132</v>
      </c>
      <c r="X2045" s="1" t="s">
        <v>39461</v>
      </c>
      <c r="Y2045" s="1" t="s">
        <v>132</v>
      </c>
      <c r="Z2045" s="1" t="s">
        <v>39462</v>
      </c>
      <c r="AA2045" s="1" t="s">
        <v>132</v>
      </c>
      <c r="AB2045" s="1" t="s">
        <v>132</v>
      </c>
      <c r="AC2045" s="1" t="s">
        <v>39463</v>
      </c>
      <c r="AD2045" s="1" t="s">
        <v>132</v>
      </c>
      <c r="AE2045" s="1" t="s">
        <v>132</v>
      </c>
      <c r="AF2045" s="1" t="s">
        <v>132</v>
      </c>
      <c r="AG2045" s="1" t="s">
        <v>132</v>
      </c>
      <c r="AH2045" s="1" t="s">
        <v>132</v>
      </c>
      <c r="AI2045" s="1" t="s">
        <v>132</v>
      </c>
      <c r="AJ2045" s="1" t="s">
        <v>132</v>
      </c>
      <c r="AK2045" s="1" t="s">
        <v>132</v>
      </c>
      <c r="AL2045" s="1" t="s">
        <v>132</v>
      </c>
      <c r="AM2045" s="1" t="s">
        <v>132</v>
      </c>
      <c r="AN2045" s="1" t="s">
        <v>132</v>
      </c>
    </row>
    <row r="2046" ht="15.75" customHeight="1">
      <c r="A2046" s="1" t="s">
        <v>127</v>
      </c>
      <c r="B2046" s="1" t="s">
        <v>39464</v>
      </c>
      <c r="C2046" s="1" t="s">
        <v>5370</v>
      </c>
      <c r="D2046" s="8" t="s">
        <v>5371</v>
      </c>
      <c r="E2046" s="1" t="s">
        <v>5372</v>
      </c>
      <c r="F2046" s="1" t="s">
        <v>132</v>
      </c>
      <c r="G2046" s="1" t="s">
        <v>5373</v>
      </c>
      <c r="H2046" s="1" t="s">
        <v>5374</v>
      </c>
      <c r="I2046" s="1" t="s">
        <v>5375</v>
      </c>
      <c r="J2046" s="1" t="s">
        <v>5376</v>
      </c>
      <c r="K2046" s="1" t="s">
        <v>5377</v>
      </c>
      <c r="L2046" s="1" t="s">
        <v>5378</v>
      </c>
      <c r="M2046" s="1" t="s">
        <v>5379</v>
      </c>
      <c r="N2046" s="1" t="s">
        <v>132</v>
      </c>
      <c r="O2046" s="1" t="s">
        <v>5380</v>
      </c>
      <c r="P2046" s="1" t="s">
        <v>5381</v>
      </c>
      <c r="Q2046" s="1" t="s">
        <v>132</v>
      </c>
      <c r="R2046" s="1" t="s">
        <v>5382</v>
      </c>
      <c r="S2046" s="1" t="s">
        <v>5383</v>
      </c>
      <c r="T2046" s="8" t="s">
        <v>5384</v>
      </c>
      <c r="U2046" s="1" t="s">
        <v>5385</v>
      </c>
      <c r="V2046" s="1" t="s">
        <v>5386</v>
      </c>
      <c r="W2046" s="1" t="s">
        <v>5382</v>
      </c>
      <c r="X2046" s="1" t="s">
        <v>5387</v>
      </c>
      <c r="Y2046" s="1" t="s">
        <v>5374</v>
      </c>
      <c r="Z2046" s="1" t="s">
        <v>39465</v>
      </c>
      <c r="AA2046" s="1" t="s">
        <v>39466</v>
      </c>
      <c r="AB2046" s="1" t="s">
        <v>132</v>
      </c>
      <c r="AC2046" s="1" t="s">
        <v>39467</v>
      </c>
      <c r="AD2046" s="1" t="s">
        <v>5373</v>
      </c>
      <c r="AE2046" s="1" t="s">
        <v>5391</v>
      </c>
      <c r="AF2046" s="1" t="s">
        <v>39468</v>
      </c>
      <c r="AG2046" s="1" t="s">
        <v>5374</v>
      </c>
      <c r="AH2046" s="1" t="s">
        <v>5393</v>
      </c>
      <c r="AI2046" s="1" t="s">
        <v>15310</v>
      </c>
      <c r="AJ2046" s="1" t="s">
        <v>132</v>
      </c>
      <c r="AK2046" s="1" t="s">
        <v>5395</v>
      </c>
      <c r="AL2046" s="1" t="s">
        <v>5396</v>
      </c>
      <c r="AM2046" s="1" t="s">
        <v>5397</v>
      </c>
      <c r="AN2046" s="1" t="s">
        <v>5397</v>
      </c>
    </row>
    <row r="2047" ht="15.75" customHeight="1">
      <c r="A2047" s="1" t="s">
        <v>127</v>
      </c>
      <c r="B2047" s="1" t="s">
        <v>39469</v>
      </c>
      <c r="C2047" s="1" t="s">
        <v>39470</v>
      </c>
      <c r="D2047" s="8" t="s">
        <v>39471</v>
      </c>
      <c r="E2047" s="1" t="s">
        <v>39472</v>
      </c>
      <c r="F2047" s="1" t="s">
        <v>132</v>
      </c>
      <c r="G2047" s="1" t="s">
        <v>39473</v>
      </c>
      <c r="H2047" s="1" t="s">
        <v>39474</v>
      </c>
      <c r="I2047" s="1" t="s">
        <v>39475</v>
      </c>
      <c r="J2047" s="1" t="s">
        <v>39476</v>
      </c>
      <c r="K2047" s="1" t="s">
        <v>39477</v>
      </c>
      <c r="L2047" s="1" t="s">
        <v>39478</v>
      </c>
      <c r="M2047" s="1" t="s">
        <v>39479</v>
      </c>
      <c r="N2047" s="1" t="s">
        <v>132</v>
      </c>
      <c r="O2047" s="1" t="s">
        <v>39480</v>
      </c>
      <c r="P2047" s="1" t="s">
        <v>39481</v>
      </c>
      <c r="Q2047" s="1" t="s">
        <v>132</v>
      </c>
      <c r="R2047" s="1" t="s">
        <v>39482</v>
      </c>
      <c r="S2047" s="1" t="s">
        <v>39483</v>
      </c>
      <c r="T2047" s="8" t="s">
        <v>39484</v>
      </c>
      <c r="U2047" s="1" t="s">
        <v>39485</v>
      </c>
      <c r="V2047" s="1" t="s">
        <v>39486</v>
      </c>
      <c r="W2047" s="1" t="s">
        <v>39487</v>
      </c>
      <c r="X2047" s="1" t="s">
        <v>39488</v>
      </c>
      <c r="Y2047" s="1" t="s">
        <v>39489</v>
      </c>
      <c r="Z2047" s="1" t="s">
        <v>39490</v>
      </c>
      <c r="AA2047" s="1" t="s">
        <v>39491</v>
      </c>
      <c r="AB2047" s="1" t="s">
        <v>132</v>
      </c>
      <c r="AC2047" s="1" t="s">
        <v>39492</v>
      </c>
      <c r="AD2047" s="1" t="s">
        <v>39493</v>
      </c>
      <c r="AE2047" s="1" t="s">
        <v>39494</v>
      </c>
      <c r="AF2047" s="1" t="s">
        <v>39495</v>
      </c>
      <c r="AG2047" s="1" t="s">
        <v>39496</v>
      </c>
      <c r="AH2047" s="1" t="s">
        <v>39497</v>
      </c>
      <c r="AI2047" s="1" t="s">
        <v>39498</v>
      </c>
      <c r="AJ2047" s="1" t="s">
        <v>132</v>
      </c>
      <c r="AK2047" s="1" t="s">
        <v>39499</v>
      </c>
      <c r="AL2047" s="1" t="s">
        <v>39500</v>
      </c>
      <c r="AM2047" s="1" t="s">
        <v>39501</v>
      </c>
      <c r="AN2047" s="1" t="s">
        <v>39501</v>
      </c>
    </row>
    <row r="2048" ht="15.75" customHeight="1">
      <c r="A2048" s="1" t="s">
        <v>38</v>
      </c>
      <c r="B2048" s="1" t="s">
        <v>39502</v>
      </c>
      <c r="C2048" s="1" t="s">
        <v>39503</v>
      </c>
      <c r="D2048" s="1" t="s">
        <v>132</v>
      </c>
      <c r="E2048" s="1" t="s">
        <v>132</v>
      </c>
      <c r="F2048" s="1" t="s">
        <v>132</v>
      </c>
      <c r="G2048" s="1" t="s">
        <v>132</v>
      </c>
      <c r="H2048" s="1" t="s">
        <v>132</v>
      </c>
      <c r="I2048" s="1" t="s">
        <v>132</v>
      </c>
      <c r="J2048" s="1" t="s">
        <v>132</v>
      </c>
      <c r="K2048" s="1" t="s">
        <v>132</v>
      </c>
      <c r="L2048" s="1" t="s">
        <v>132</v>
      </c>
      <c r="M2048" s="1" t="s">
        <v>132</v>
      </c>
      <c r="N2048" s="1" t="s">
        <v>132</v>
      </c>
      <c r="O2048" s="1" t="s">
        <v>132</v>
      </c>
      <c r="P2048" s="1" t="s">
        <v>132</v>
      </c>
      <c r="Q2048" s="1" t="s">
        <v>132</v>
      </c>
      <c r="R2048" s="1" t="s">
        <v>132</v>
      </c>
      <c r="S2048" s="1" t="s">
        <v>132</v>
      </c>
      <c r="T2048" s="1" t="s">
        <v>132</v>
      </c>
      <c r="U2048" s="1" t="s">
        <v>132</v>
      </c>
      <c r="V2048" s="1" t="s">
        <v>132</v>
      </c>
      <c r="W2048" s="1" t="s">
        <v>132</v>
      </c>
      <c r="X2048" s="1" t="s">
        <v>132</v>
      </c>
      <c r="Y2048" s="1" t="s">
        <v>132</v>
      </c>
      <c r="Z2048" s="1" t="s">
        <v>132</v>
      </c>
      <c r="AA2048" s="1" t="s">
        <v>132</v>
      </c>
      <c r="AB2048" s="1" t="s">
        <v>132</v>
      </c>
      <c r="AC2048" s="1" t="s">
        <v>132</v>
      </c>
      <c r="AD2048" s="1" t="s">
        <v>132</v>
      </c>
      <c r="AE2048" s="1" t="s">
        <v>132</v>
      </c>
      <c r="AF2048" s="1" t="s">
        <v>132</v>
      </c>
      <c r="AG2048" s="1" t="s">
        <v>132</v>
      </c>
      <c r="AH2048" s="1" t="s">
        <v>132</v>
      </c>
      <c r="AI2048" s="1" t="s">
        <v>132</v>
      </c>
      <c r="AJ2048" s="1" t="s">
        <v>132</v>
      </c>
      <c r="AK2048" s="1" t="s">
        <v>132</v>
      </c>
      <c r="AL2048" s="1" t="s">
        <v>132</v>
      </c>
      <c r="AM2048" s="1" t="s">
        <v>132</v>
      </c>
      <c r="AN2048" s="1" t="s">
        <v>132</v>
      </c>
    </row>
    <row r="2049" ht="15.75" customHeight="1">
      <c r="A2049" s="1" t="s">
        <v>38</v>
      </c>
      <c r="B2049" s="1" t="s">
        <v>39504</v>
      </c>
      <c r="C2049" s="1" t="s">
        <v>39505</v>
      </c>
      <c r="D2049" s="8" t="s">
        <v>39506</v>
      </c>
      <c r="E2049" s="1" t="s">
        <v>39507</v>
      </c>
      <c r="F2049" s="1" t="s">
        <v>39508</v>
      </c>
      <c r="G2049" s="1" t="s">
        <v>132</v>
      </c>
      <c r="H2049" s="1" t="s">
        <v>132</v>
      </c>
      <c r="I2049" s="1" t="s">
        <v>39509</v>
      </c>
      <c r="J2049" s="1" t="s">
        <v>132</v>
      </c>
      <c r="K2049" s="1" t="s">
        <v>39510</v>
      </c>
      <c r="L2049" s="1" t="s">
        <v>132</v>
      </c>
      <c r="M2049" s="1" t="s">
        <v>39511</v>
      </c>
      <c r="N2049" s="1" t="s">
        <v>39512</v>
      </c>
      <c r="O2049" s="1" t="s">
        <v>132</v>
      </c>
      <c r="P2049" s="1" t="s">
        <v>39513</v>
      </c>
      <c r="Q2049" s="1" t="s">
        <v>39514</v>
      </c>
      <c r="R2049" s="1" t="s">
        <v>132</v>
      </c>
      <c r="S2049" s="1" t="s">
        <v>39515</v>
      </c>
      <c r="T2049" s="1" t="s">
        <v>132</v>
      </c>
      <c r="U2049" s="1" t="s">
        <v>39516</v>
      </c>
      <c r="V2049" s="1" t="s">
        <v>39517</v>
      </c>
      <c r="W2049" s="1" t="s">
        <v>132</v>
      </c>
      <c r="X2049" s="1" t="s">
        <v>39518</v>
      </c>
      <c r="Y2049" s="1" t="s">
        <v>132</v>
      </c>
      <c r="Z2049" s="1" t="s">
        <v>39519</v>
      </c>
      <c r="AA2049" s="1" t="s">
        <v>39520</v>
      </c>
      <c r="AB2049" s="1" t="s">
        <v>132</v>
      </c>
      <c r="AC2049" s="1" t="s">
        <v>39521</v>
      </c>
      <c r="AD2049" s="1" t="s">
        <v>39522</v>
      </c>
      <c r="AE2049" s="1" t="s">
        <v>132</v>
      </c>
      <c r="AF2049" s="1" t="s">
        <v>39523</v>
      </c>
      <c r="AG2049" s="1" t="s">
        <v>39524</v>
      </c>
      <c r="AH2049" s="1" t="s">
        <v>132</v>
      </c>
      <c r="AI2049" s="1" t="s">
        <v>132</v>
      </c>
      <c r="AJ2049" s="1" t="s">
        <v>39525</v>
      </c>
      <c r="AK2049" s="1" t="s">
        <v>39526</v>
      </c>
      <c r="AL2049" s="1" t="s">
        <v>132</v>
      </c>
      <c r="AM2049" s="1" t="s">
        <v>39527</v>
      </c>
      <c r="AN2049" s="1" t="s">
        <v>39527</v>
      </c>
    </row>
    <row r="2050" ht="15.75" customHeight="1">
      <c r="A2050" s="1" t="s">
        <v>38</v>
      </c>
      <c r="B2050" s="1" t="s">
        <v>39528</v>
      </c>
      <c r="C2050" s="1" t="s">
        <v>39529</v>
      </c>
      <c r="D2050" s="8" t="s">
        <v>39530</v>
      </c>
      <c r="E2050" s="1" t="s">
        <v>39531</v>
      </c>
      <c r="F2050" s="1" t="s">
        <v>39532</v>
      </c>
      <c r="G2050" s="1" t="s">
        <v>132</v>
      </c>
      <c r="H2050" s="1" t="s">
        <v>132</v>
      </c>
      <c r="I2050" s="1" t="s">
        <v>39533</v>
      </c>
      <c r="J2050" s="1" t="s">
        <v>132</v>
      </c>
      <c r="K2050" s="1" t="s">
        <v>39534</v>
      </c>
      <c r="L2050" s="1" t="s">
        <v>132</v>
      </c>
      <c r="M2050" s="1" t="s">
        <v>39535</v>
      </c>
      <c r="N2050" s="1" t="s">
        <v>39536</v>
      </c>
      <c r="O2050" s="1" t="s">
        <v>132</v>
      </c>
      <c r="P2050" s="1" t="s">
        <v>39537</v>
      </c>
      <c r="Q2050" s="1" t="s">
        <v>39538</v>
      </c>
      <c r="R2050" s="1" t="s">
        <v>132</v>
      </c>
      <c r="S2050" s="1" t="s">
        <v>39539</v>
      </c>
      <c r="T2050" s="1" t="s">
        <v>132</v>
      </c>
      <c r="U2050" s="1" t="s">
        <v>39540</v>
      </c>
      <c r="V2050" s="1" t="s">
        <v>39541</v>
      </c>
      <c r="W2050" s="1" t="s">
        <v>132</v>
      </c>
      <c r="X2050" s="1" t="s">
        <v>39542</v>
      </c>
      <c r="Y2050" s="1" t="s">
        <v>132</v>
      </c>
      <c r="Z2050" s="1" t="s">
        <v>39543</v>
      </c>
      <c r="AA2050" s="1" t="s">
        <v>39544</v>
      </c>
      <c r="AB2050" s="1" t="s">
        <v>132</v>
      </c>
      <c r="AC2050" s="1" t="s">
        <v>39545</v>
      </c>
      <c r="AD2050" s="1" t="s">
        <v>39546</v>
      </c>
      <c r="AE2050" s="1" t="s">
        <v>132</v>
      </c>
      <c r="AF2050" s="1" t="s">
        <v>39547</v>
      </c>
      <c r="AG2050" s="1" t="s">
        <v>39548</v>
      </c>
      <c r="AH2050" s="1" t="s">
        <v>132</v>
      </c>
      <c r="AI2050" s="1" t="s">
        <v>132</v>
      </c>
      <c r="AJ2050" s="1" t="s">
        <v>39549</v>
      </c>
      <c r="AK2050" s="1" t="s">
        <v>39550</v>
      </c>
      <c r="AL2050" s="1" t="s">
        <v>132</v>
      </c>
      <c r="AM2050" s="1" t="s">
        <v>39551</v>
      </c>
      <c r="AN2050" s="1" t="s">
        <v>39551</v>
      </c>
    </row>
    <row r="2051" ht="15.75" customHeight="1">
      <c r="A2051" s="1" t="s">
        <v>38</v>
      </c>
      <c r="B2051" s="1" t="s">
        <v>39552</v>
      </c>
      <c r="C2051" s="1" t="s">
        <v>39553</v>
      </c>
      <c r="D2051" s="1" t="s">
        <v>132</v>
      </c>
      <c r="E2051" s="1" t="s">
        <v>132</v>
      </c>
      <c r="F2051" s="1" t="s">
        <v>132</v>
      </c>
      <c r="G2051" s="1" t="s">
        <v>132</v>
      </c>
      <c r="H2051" s="1" t="s">
        <v>132</v>
      </c>
      <c r="I2051" s="1" t="s">
        <v>39554</v>
      </c>
      <c r="J2051" s="1" t="s">
        <v>132</v>
      </c>
      <c r="K2051" s="1" t="s">
        <v>39553</v>
      </c>
      <c r="L2051" s="1" t="s">
        <v>132</v>
      </c>
      <c r="M2051" s="1" t="s">
        <v>39553</v>
      </c>
      <c r="N2051" s="1" t="s">
        <v>132</v>
      </c>
      <c r="O2051" s="1" t="s">
        <v>132</v>
      </c>
      <c r="P2051" s="1" t="s">
        <v>39553</v>
      </c>
      <c r="Q2051" s="1" t="s">
        <v>132</v>
      </c>
      <c r="R2051" s="1" t="s">
        <v>132</v>
      </c>
      <c r="S2051" s="1" t="s">
        <v>132</v>
      </c>
      <c r="T2051" s="1" t="s">
        <v>132</v>
      </c>
      <c r="U2051" s="1" t="s">
        <v>132</v>
      </c>
      <c r="V2051" s="1" t="s">
        <v>132</v>
      </c>
      <c r="W2051" s="1" t="s">
        <v>132</v>
      </c>
      <c r="X2051" s="1" t="s">
        <v>132</v>
      </c>
      <c r="Y2051" s="1" t="s">
        <v>132</v>
      </c>
      <c r="Z2051" s="1" t="s">
        <v>132</v>
      </c>
      <c r="AA2051" s="1" t="s">
        <v>132</v>
      </c>
      <c r="AB2051" s="1" t="s">
        <v>132</v>
      </c>
      <c r="AC2051" s="1" t="s">
        <v>39555</v>
      </c>
      <c r="AD2051" s="1" t="s">
        <v>132</v>
      </c>
      <c r="AE2051" s="1" t="s">
        <v>132</v>
      </c>
      <c r="AF2051" s="1" t="s">
        <v>39556</v>
      </c>
      <c r="AG2051" s="1" t="s">
        <v>132</v>
      </c>
      <c r="AH2051" s="1" t="s">
        <v>132</v>
      </c>
      <c r="AI2051" s="1" t="s">
        <v>132</v>
      </c>
      <c r="AJ2051" s="1" t="s">
        <v>132</v>
      </c>
      <c r="AK2051" s="1" t="s">
        <v>132</v>
      </c>
      <c r="AL2051" s="1" t="s">
        <v>132</v>
      </c>
      <c r="AM2051" s="1" t="s">
        <v>132</v>
      </c>
      <c r="AN2051" s="1" t="s">
        <v>132</v>
      </c>
    </row>
    <row r="2052" ht="15.75" customHeight="1">
      <c r="A2052" s="1" t="s">
        <v>38</v>
      </c>
      <c r="B2052" s="1" t="s">
        <v>39557</v>
      </c>
      <c r="C2052" s="1" t="s">
        <v>39558</v>
      </c>
      <c r="D2052" s="8" t="s">
        <v>39559</v>
      </c>
      <c r="E2052" s="1" t="s">
        <v>39560</v>
      </c>
      <c r="F2052" s="1" t="s">
        <v>39561</v>
      </c>
      <c r="G2052" s="1" t="s">
        <v>132</v>
      </c>
      <c r="H2052" s="1" t="s">
        <v>132</v>
      </c>
      <c r="I2052" s="1" t="s">
        <v>39562</v>
      </c>
      <c r="J2052" s="1" t="s">
        <v>132</v>
      </c>
      <c r="K2052" s="1" t="s">
        <v>39563</v>
      </c>
      <c r="L2052" s="1" t="s">
        <v>132</v>
      </c>
      <c r="M2052" s="1" t="s">
        <v>39564</v>
      </c>
      <c r="N2052" s="1" t="s">
        <v>39565</v>
      </c>
      <c r="O2052" s="1" t="s">
        <v>132</v>
      </c>
      <c r="P2052" s="1" t="s">
        <v>39566</v>
      </c>
      <c r="Q2052" s="1" t="s">
        <v>132</v>
      </c>
      <c r="R2052" s="1" t="s">
        <v>132</v>
      </c>
      <c r="S2052" s="1" t="s">
        <v>39567</v>
      </c>
      <c r="T2052" s="1" t="s">
        <v>132</v>
      </c>
      <c r="U2052" s="1" t="s">
        <v>39568</v>
      </c>
      <c r="V2052" s="1" t="s">
        <v>39569</v>
      </c>
      <c r="W2052" s="1" t="s">
        <v>132</v>
      </c>
      <c r="X2052" s="1" t="s">
        <v>39570</v>
      </c>
      <c r="Y2052" s="1" t="s">
        <v>132</v>
      </c>
      <c r="Z2052" s="1" t="s">
        <v>39571</v>
      </c>
      <c r="AA2052" s="1" t="s">
        <v>39572</v>
      </c>
      <c r="AB2052" s="1" t="s">
        <v>132</v>
      </c>
      <c r="AC2052" s="1" t="s">
        <v>39573</v>
      </c>
      <c r="AD2052" s="1" t="s">
        <v>132</v>
      </c>
      <c r="AE2052" s="1" t="s">
        <v>132</v>
      </c>
      <c r="AF2052" s="1" t="s">
        <v>39574</v>
      </c>
      <c r="AG2052" s="1" t="s">
        <v>39575</v>
      </c>
      <c r="AH2052" s="1" t="s">
        <v>132</v>
      </c>
      <c r="AI2052" s="1" t="s">
        <v>132</v>
      </c>
      <c r="AJ2052" s="1" t="s">
        <v>39576</v>
      </c>
      <c r="AK2052" s="1" t="s">
        <v>132</v>
      </c>
      <c r="AL2052" s="1" t="s">
        <v>132</v>
      </c>
      <c r="AM2052" s="1" t="s">
        <v>39577</v>
      </c>
      <c r="AN2052" s="1" t="s">
        <v>39577</v>
      </c>
    </row>
    <row r="2053" ht="15.75" customHeight="1">
      <c r="A2053" s="1" t="s">
        <v>127</v>
      </c>
      <c r="B2053" s="1" t="s">
        <v>39578</v>
      </c>
      <c r="C2053" s="1" t="s">
        <v>4748</v>
      </c>
      <c r="D2053" s="8" t="s">
        <v>4749</v>
      </c>
      <c r="E2053" s="1" t="s">
        <v>4750</v>
      </c>
      <c r="F2053" s="1" t="s">
        <v>132</v>
      </c>
      <c r="G2053" s="1" t="s">
        <v>4751</v>
      </c>
      <c r="H2053" s="1" t="s">
        <v>4752</v>
      </c>
      <c r="I2053" s="1" t="s">
        <v>4753</v>
      </c>
      <c r="J2053" s="1" t="s">
        <v>4754</v>
      </c>
      <c r="K2053" s="1" t="s">
        <v>4755</v>
      </c>
      <c r="L2053" s="1" t="s">
        <v>4756</v>
      </c>
      <c r="M2053" s="1" t="s">
        <v>4757</v>
      </c>
      <c r="N2053" s="1" t="s">
        <v>132</v>
      </c>
      <c r="O2053" s="1" t="s">
        <v>4758</v>
      </c>
      <c r="P2053" s="1" t="s">
        <v>4759</v>
      </c>
      <c r="Q2053" s="1" t="s">
        <v>132</v>
      </c>
      <c r="R2053" s="1" t="s">
        <v>4760</v>
      </c>
      <c r="S2053" s="1" t="s">
        <v>4761</v>
      </c>
      <c r="T2053" s="8" t="s">
        <v>4762</v>
      </c>
      <c r="U2053" s="1" t="s">
        <v>4763</v>
      </c>
      <c r="V2053" s="1" t="s">
        <v>4764</v>
      </c>
      <c r="W2053" s="1" t="s">
        <v>4765</v>
      </c>
      <c r="X2053" s="1" t="s">
        <v>4766</v>
      </c>
      <c r="Y2053" s="1" t="s">
        <v>4767</v>
      </c>
      <c r="Z2053" s="1" t="s">
        <v>4768</v>
      </c>
      <c r="AA2053" s="1" t="s">
        <v>4769</v>
      </c>
      <c r="AB2053" s="1" t="s">
        <v>132</v>
      </c>
      <c r="AC2053" s="1" t="s">
        <v>4771</v>
      </c>
      <c r="AD2053" s="1" t="s">
        <v>4772</v>
      </c>
      <c r="AE2053" s="1" t="s">
        <v>4773</v>
      </c>
      <c r="AF2053" s="1" t="s">
        <v>4774</v>
      </c>
      <c r="AG2053" s="1" t="s">
        <v>4775</v>
      </c>
      <c r="AH2053" s="1" t="s">
        <v>4776</v>
      </c>
      <c r="AI2053" s="1" t="s">
        <v>4777</v>
      </c>
      <c r="AJ2053" s="1" t="s">
        <v>132</v>
      </c>
      <c r="AK2053" s="1" t="s">
        <v>1531</v>
      </c>
      <c r="AL2053" s="1" t="s">
        <v>4778</v>
      </c>
      <c r="AM2053" s="1" t="s">
        <v>4779</v>
      </c>
      <c r="AN2053" s="1" t="s">
        <v>4779</v>
      </c>
    </row>
    <row r="2054" ht="15.75" customHeight="1">
      <c r="A2054" s="1" t="s">
        <v>127</v>
      </c>
      <c r="B2054" s="1" t="s">
        <v>39579</v>
      </c>
      <c r="C2054" s="1" t="s">
        <v>39580</v>
      </c>
      <c r="D2054" s="8" t="s">
        <v>39581</v>
      </c>
      <c r="E2054" s="1" t="s">
        <v>39582</v>
      </c>
      <c r="F2054" s="1" t="s">
        <v>132</v>
      </c>
      <c r="G2054" s="1" t="s">
        <v>39583</v>
      </c>
      <c r="H2054" s="1" t="s">
        <v>39584</v>
      </c>
      <c r="I2054" s="1" t="s">
        <v>39585</v>
      </c>
      <c r="J2054" s="1" t="s">
        <v>39586</v>
      </c>
      <c r="K2054" s="1" t="s">
        <v>39587</v>
      </c>
      <c r="L2054" s="1" t="s">
        <v>39588</v>
      </c>
      <c r="M2054" s="1" t="s">
        <v>39589</v>
      </c>
      <c r="N2054" s="1" t="s">
        <v>132</v>
      </c>
      <c r="O2054" s="1" t="s">
        <v>39590</v>
      </c>
      <c r="P2054" s="1" t="s">
        <v>39591</v>
      </c>
      <c r="Q2054" s="1" t="s">
        <v>132</v>
      </c>
      <c r="R2054" s="1" t="s">
        <v>39592</v>
      </c>
      <c r="S2054" s="1" t="s">
        <v>39593</v>
      </c>
      <c r="T2054" s="8" t="s">
        <v>39594</v>
      </c>
      <c r="U2054" s="1" t="s">
        <v>39595</v>
      </c>
      <c r="V2054" s="1" t="s">
        <v>39596</v>
      </c>
      <c r="W2054" s="1" t="s">
        <v>39597</v>
      </c>
      <c r="X2054" s="1" t="s">
        <v>39598</v>
      </c>
      <c r="Y2054" s="1" t="s">
        <v>39599</v>
      </c>
      <c r="Z2054" s="1" t="s">
        <v>39580</v>
      </c>
      <c r="AA2054" s="1" t="s">
        <v>39600</v>
      </c>
      <c r="AB2054" s="1" t="s">
        <v>132</v>
      </c>
      <c r="AC2054" s="1" t="s">
        <v>39601</v>
      </c>
      <c r="AD2054" s="1" t="s">
        <v>39602</v>
      </c>
      <c r="AE2054" s="1" t="s">
        <v>39603</v>
      </c>
      <c r="AF2054" s="1" t="s">
        <v>39580</v>
      </c>
      <c r="AG2054" s="1" t="s">
        <v>39604</v>
      </c>
      <c r="AH2054" s="1" t="s">
        <v>39605</v>
      </c>
      <c r="AI2054" s="1" t="s">
        <v>39606</v>
      </c>
      <c r="AJ2054" s="1" t="s">
        <v>132</v>
      </c>
      <c r="AK2054" s="1" t="s">
        <v>39607</v>
      </c>
      <c r="AL2054" s="1" t="s">
        <v>39608</v>
      </c>
      <c r="AM2054" s="1" t="s">
        <v>39609</v>
      </c>
      <c r="AN2054" s="1" t="s">
        <v>39609</v>
      </c>
    </row>
    <row r="2055" ht="15.75" customHeight="1">
      <c r="A2055" s="1" t="s">
        <v>127</v>
      </c>
      <c r="B2055" s="1" t="s">
        <v>39610</v>
      </c>
      <c r="C2055" s="1" t="s">
        <v>39611</v>
      </c>
      <c r="D2055" s="8" t="s">
        <v>39612</v>
      </c>
      <c r="E2055" s="1" t="s">
        <v>39613</v>
      </c>
      <c r="F2055" s="1" t="s">
        <v>132</v>
      </c>
      <c r="G2055" s="1" t="s">
        <v>39614</v>
      </c>
      <c r="H2055" s="1" t="s">
        <v>39615</v>
      </c>
      <c r="I2055" s="1" t="s">
        <v>39616</v>
      </c>
      <c r="J2055" s="1" t="s">
        <v>39617</v>
      </c>
      <c r="K2055" s="1" t="s">
        <v>39618</v>
      </c>
      <c r="L2055" s="1" t="s">
        <v>39619</v>
      </c>
      <c r="M2055" s="1" t="s">
        <v>39620</v>
      </c>
      <c r="N2055" s="1" t="s">
        <v>132</v>
      </c>
      <c r="O2055" s="1" t="s">
        <v>39621</v>
      </c>
      <c r="P2055" s="1" t="s">
        <v>39622</v>
      </c>
      <c r="Q2055" s="1" t="s">
        <v>132</v>
      </c>
      <c r="R2055" s="1" t="s">
        <v>39623</v>
      </c>
      <c r="S2055" s="1" t="s">
        <v>39624</v>
      </c>
      <c r="T2055" s="8" t="s">
        <v>39625</v>
      </c>
      <c r="U2055" s="1" t="s">
        <v>39626</v>
      </c>
      <c r="V2055" s="1" t="s">
        <v>39627</v>
      </c>
      <c r="W2055" s="1" t="s">
        <v>39628</v>
      </c>
      <c r="X2055" s="1" t="s">
        <v>39629</v>
      </c>
      <c r="Y2055" s="1" t="s">
        <v>39615</v>
      </c>
      <c r="Z2055" s="1" t="s">
        <v>39611</v>
      </c>
      <c r="AA2055" s="1" t="s">
        <v>39630</v>
      </c>
      <c r="AB2055" s="1" t="s">
        <v>132</v>
      </c>
      <c r="AC2055" s="1" t="s">
        <v>39631</v>
      </c>
      <c r="AD2055" s="1" t="s">
        <v>39632</v>
      </c>
      <c r="AE2055" s="1" t="s">
        <v>39633</v>
      </c>
      <c r="AF2055" s="1" t="s">
        <v>39611</v>
      </c>
      <c r="AG2055" s="1" t="s">
        <v>39634</v>
      </c>
      <c r="AH2055" s="1" t="s">
        <v>39635</v>
      </c>
      <c r="AI2055" s="1" t="s">
        <v>39636</v>
      </c>
      <c r="AJ2055" s="1" t="s">
        <v>132</v>
      </c>
      <c r="AK2055" s="1" t="s">
        <v>39637</v>
      </c>
      <c r="AL2055" s="1" t="s">
        <v>39638</v>
      </c>
      <c r="AM2055" s="1" t="s">
        <v>39639</v>
      </c>
      <c r="AN2055" s="1" t="s">
        <v>39639</v>
      </c>
    </row>
    <row r="2056" ht="15.75" customHeight="1">
      <c r="A2056" s="1" t="s">
        <v>38</v>
      </c>
      <c r="B2056" s="1" t="s">
        <v>39640</v>
      </c>
      <c r="C2056" s="1" t="s">
        <v>39641</v>
      </c>
      <c r="D2056" s="8" t="s">
        <v>39642</v>
      </c>
      <c r="E2056" s="1" t="s">
        <v>39643</v>
      </c>
      <c r="F2056" s="1" t="s">
        <v>39644</v>
      </c>
      <c r="G2056" s="1" t="s">
        <v>132</v>
      </c>
      <c r="H2056" s="1" t="s">
        <v>132</v>
      </c>
      <c r="I2056" s="1" t="s">
        <v>39645</v>
      </c>
      <c r="J2056" s="1" t="s">
        <v>132</v>
      </c>
      <c r="K2056" s="1" t="s">
        <v>39646</v>
      </c>
      <c r="L2056" s="1" t="s">
        <v>132</v>
      </c>
      <c r="M2056" s="1" t="s">
        <v>39647</v>
      </c>
      <c r="N2056" s="1" t="s">
        <v>39648</v>
      </c>
      <c r="O2056" s="1" t="s">
        <v>132</v>
      </c>
      <c r="P2056" s="1" t="s">
        <v>39649</v>
      </c>
      <c r="Q2056" s="1" t="s">
        <v>39650</v>
      </c>
      <c r="R2056" s="1" t="s">
        <v>132</v>
      </c>
      <c r="S2056" s="1" t="s">
        <v>39651</v>
      </c>
      <c r="T2056" s="1" t="s">
        <v>132</v>
      </c>
      <c r="U2056" s="1" t="s">
        <v>39652</v>
      </c>
      <c r="V2056" s="1" t="s">
        <v>39653</v>
      </c>
      <c r="W2056" s="1" t="s">
        <v>132</v>
      </c>
      <c r="X2056" s="1" t="s">
        <v>39654</v>
      </c>
      <c r="Y2056" s="1" t="s">
        <v>132</v>
      </c>
      <c r="Z2056" s="1" t="s">
        <v>39655</v>
      </c>
      <c r="AA2056" s="1" t="s">
        <v>39656</v>
      </c>
      <c r="AB2056" s="1" t="s">
        <v>132</v>
      </c>
      <c r="AC2056" s="1" t="s">
        <v>18254</v>
      </c>
      <c r="AD2056" s="1" t="s">
        <v>39657</v>
      </c>
      <c r="AE2056" s="1" t="s">
        <v>132</v>
      </c>
      <c r="AF2056" s="1" t="s">
        <v>39658</v>
      </c>
      <c r="AG2056" s="1" t="s">
        <v>39659</v>
      </c>
      <c r="AH2056" s="1" t="s">
        <v>132</v>
      </c>
      <c r="AI2056" s="1" t="s">
        <v>132</v>
      </c>
      <c r="AJ2056" s="1" t="s">
        <v>39660</v>
      </c>
      <c r="AK2056" s="1" t="s">
        <v>39661</v>
      </c>
      <c r="AL2056" s="1" t="s">
        <v>132</v>
      </c>
      <c r="AM2056" s="1" t="s">
        <v>39662</v>
      </c>
      <c r="AN2056" s="1" t="s">
        <v>39662</v>
      </c>
    </row>
    <row r="2057" ht="15.75" customHeight="1">
      <c r="A2057" s="1" t="s">
        <v>38</v>
      </c>
      <c r="B2057" s="1" t="s">
        <v>39663</v>
      </c>
      <c r="C2057" s="1" t="s">
        <v>39664</v>
      </c>
      <c r="D2057" s="1" t="s">
        <v>132</v>
      </c>
      <c r="E2057" s="1" t="s">
        <v>39665</v>
      </c>
      <c r="F2057" s="1" t="s">
        <v>39666</v>
      </c>
      <c r="G2057" s="1" t="s">
        <v>132</v>
      </c>
      <c r="H2057" s="1" t="s">
        <v>132</v>
      </c>
      <c r="I2057" s="1" t="s">
        <v>39667</v>
      </c>
      <c r="J2057" s="1" t="s">
        <v>132</v>
      </c>
      <c r="K2057" s="1" t="s">
        <v>39668</v>
      </c>
      <c r="L2057" s="1" t="s">
        <v>132</v>
      </c>
      <c r="M2057" s="1" t="s">
        <v>39669</v>
      </c>
      <c r="N2057" s="1" t="s">
        <v>39670</v>
      </c>
      <c r="O2057" s="1" t="s">
        <v>132</v>
      </c>
      <c r="P2057" s="1" t="s">
        <v>39671</v>
      </c>
      <c r="Q2057" s="1" t="s">
        <v>132</v>
      </c>
      <c r="R2057" s="1" t="s">
        <v>132</v>
      </c>
      <c r="S2057" s="1" t="s">
        <v>39672</v>
      </c>
      <c r="T2057" s="1" t="s">
        <v>132</v>
      </c>
      <c r="U2057" s="1" t="s">
        <v>39673</v>
      </c>
      <c r="V2057" s="1" t="s">
        <v>132</v>
      </c>
      <c r="W2057" s="1" t="s">
        <v>132</v>
      </c>
      <c r="X2057" s="1" t="s">
        <v>39674</v>
      </c>
      <c r="Y2057" s="1" t="s">
        <v>132</v>
      </c>
      <c r="Z2057" s="1" t="s">
        <v>39675</v>
      </c>
      <c r="AA2057" s="1" t="s">
        <v>132</v>
      </c>
      <c r="AB2057" s="1" t="s">
        <v>132</v>
      </c>
      <c r="AC2057" s="1" t="s">
        <v>39676</v>
      </c>
      <c r="AD2057" s="1" t="s">
        <v>132</v>
      </c>
      <c r="AE2057" s="1" t="s">
        <v>132</v>
      </c>
      <c r="AF2057" s="1" t="s">
        <v>39677</v>
      </c>
      <c r="AG2057" s="1" t="s">
        <v>132</v>
      </c>
      <c r="AH2057" s="1" t="s">
        <v>132</v>
      </c>
      <c r="AI2057" s="1" t="s">
        <v>132</v>
      </c>
      <c r="AJ2057" s="1" t="s">
        <v>132</v>
      </c>
      <c r="AK2057" s="1" t="s">
        <v>132</v>
      </c>
      <c r="AL2057" s="1" t="s">
        <v>132</v>
      </c>
      <c r="AM2057" s="1" t="s">
        <v>39678</v>
      </c>
      <c r="AN2057" s="1" t="s">
        <v>39678</v>
      </c>
    </row>
    <row r="2058" ht="15.75" customHeight="1">
      <c r="A2058" s="1" t="s">
        <v>127</v>
      </c>
      <c r="B2058" s="1" t="s">
        <v>39679</v>
      </c>
      <c r="C2058" s="1" t="s">
        <v>39680</v>
      </c>
      <c r="D2058" s="8" t="s">
        <v>39681</v>
      </c>
      <c r="E2058" s="1" t="s">
        <v>39682</v>
      </c>
      <c r="F2058" s="1" t="s">
        <v>132</v>
      </c>
      <c r="G2058" s="1" t="s">
        <v>39683</v>
      </c>
      <c r="H2058" s="1" t="s">
        <v>39684</v>
      </c>
      <c r="I2058" s="1" t="s">
        <v>39685</v>
      </c>
      <c r="J2058" s="1" t="s">
        <v>39686</v>
      </c>
      <c r="K2058" s="1" t="s">
        <v>39687</v>
      </c>
      <c r="L2058" s="1" t="s">
        <v>39688</v>
      </c>
      <c r="M2058" s="1" t="s">
        <v>39689</v>
      </c>
      <c r="N2058" s="1" t="s">
        <v>132</v>
      </c>
      <c r="O2058" s="1" t="s">
        <v>39690</v>
      </c>
      <c r="P2058" s="1" t="s">
        <v>39691</v>
      </c>
      <c r="Q2058" s="1" t="s">
        <v>132</v>
      </c>
      <c r="R2058" s="1" t="s">
        <v>39692</v>
      </c>
      <c r="S2058" s="1" t="s">
        <v>39693</v>
      </c>
      <c r="T2058" s="8" t="s">
        <v>39694</v>
      </c>
      <c r="U2058" s="1" t="s">
        <v>39695</v>
      </c>
      <c r="V2058" s="1" t="s">
        <v>39696</v>
      </c>
      <c r="W2058" s="1" t="s">
        <v>39697</v>
      </c>
      <c r="X2058" s="1" t="s">
        <v>39698</v>
      </c>
      <c r="Y2058" s="1" t="s">
        <v>39699</v>
      </c>
      <c r="Z2058" s="1" t="s">
        <v>39680</v>
      </c>
      <c r="AA2058" s="1" t="s">
        <v>39700</v>
      </c>
      <c r="AB2058" s="1" t="s">
        <v>132</v>
      </c>
      <c r="AC2058" s="1" t="s">
        <v>39701</v>
      </c>
      <c r="AD2058" s="1" t="s">
        <v>39702</v>
      </c>
      <c r="AE2058" s="1" t="s">
        <v>39703</v>
      </c>
      <c r="AF2058" s="1" t="s">
        <v>39680</v>
      </c>
      <c r="AG2058" s="1" t="s">
        <v>39704</v>
      </c>
      <c r="AH2058" s="1" t="s">
        <v>39705</v>
      </c>
      <c r="AI2058" s="1" t="s">
        <v>39706</v>
      </c>
      <c r="AJ2058" s="1" t="s">
        <v>132</v>
      </c>
      <c r="AK2058" s="1" t="s">
        <v>39707</v>
      </c>
      <c r="AL2058" s="1" t="s">
        <v>39708</v>
      </c>
      <c r="AM2058" s="1" t="s">
        <v>39709</v>
      </c>
      <c r="AN2058" s="1" t="s">
        <v>39709</v>
      </c>
    </row>
    <row r="2059" ht="15.75" customHeight="1">
      <c r="A2059" s="1" t="s">
        <v>127</v>
      </c>
      <c r="B2059" s="1" t="s">
        <v>39710</v>
      </c>
      <c r="C2059" s="1" t="s">
        <v>13067</v>
      </c>
      <c r="D2059" s="8" t="s">
        <v>13068</v>
      </c>
      <c r="E2059" s="1" t="s">
        <v>13069</v>
      </c>
      <c r="F2059" s="1" t="s">
        <v>132</v>
      </c>
      <c r="G2059" s="1" t="s">
        <v>39711</v>
      </c>
      <c r="H2059" s="1" t="s">
        <v>39712</v>
      </c>
      <c r="I2059" s="1" t="s">
        <v>39713</v>
      </c>
      <c r="J2059" s="1" t="s">
        <v>39714</v>
      </c>
      <c r="K2059" s="1" t="s">
        <v>13072</v>
      </c>
      <c r="L2059" s="1" t="s">
        <v>39715</v>
      </c>
      <c r="M2059" s="1" t="s">
        <v>39716</v>
      </c>
      <c r="N2059" s="1" t="s">
        <v>132</v>
      </c>
      <c r="O2059" s="1" t="s">
        <v>39717</v>
      </c>
      <c r="P2059" s="1" t="s">
        <v>13074</v>
      </c>
      <c r="Q2059" s="1" t="s">
        <v>132</v>
      </c>
      <c r="R2059" s="1" t="s">
        <v>13075</v>
      </c>
      <c r="S2059" s="1" t="s">
        <v>13070</v>
      </c>
      <c r="T2059" s="8" t="s">
        <v>39718</v>
      </c>
      <c r="U2059" s="1" t="s">
        <v>13076</v>
      </c>
      <c r="V2059" s="1" t="s">
        <v>13077</v>
      </c>
      <c r="W2059" s="1" t="s">
        <v>13075</v>
      </c>
      <c r="X2059" s="1" t="s">
        <v>39719</v>
      </c>
      <c r="Y2059" s="1" t="s">
        <v>39720</v>
      </c>
      <c r="Z2059" s="1" t="s">
        <v>13079</v>
      </c>
      <c r="AA2059" s="1" t="s">
        <v>13072</v>
      </c>
      <c r="AB2059" s="1" t="s">
        <v>132</v>
      </c>
      <c r="AC2059" s="1" t="s">
        <v>13081</v>
      </c>
      <c r="AD2059" s="1" t="s">
        <v>39721</v>
      </c>
      <c r="AE2059" s="1" t="s">
        <v>39722</v>
      </c>
      <c r="AF2059" s="1" t="s">
        <v>39723</v>
      </c>
      <c r="AG2059" s="1" t="s">
        <v>13084</v>
      </c>
      <c r="AH2059" s="1" t="s">
        <v>39724</v>
      </c>
      <c r="AI2059" s="1" t="s">
        <v>39725</v>
      </c>
      <c r="AJ2059" s="1" t="s">
        <v>132</v>
      </c>
      <c r="AK2059" s="1" t="s">
        <v>13086</v>
      </c>
      <c r="AL2059" s="1" t="s">
        <v>39726</v>
      </c>
      <c r="AM2059" s="1" t="s">
        <v>39727</v>
      </c>
      <c r="AN2059" s="1" t="s">
        <v>39727</v>
      </c>
    </row>
    <row r="2060" ht="15.75" customHeight="1">
      <c r="A2060" s="1" t="s">
        <v>127</v>
      </c>
      <c r="B2060" s="1" t="s">
        <v>39728</v>
      </c>
      <c r="C2060" s="1" t="s">
        <v>39729</v>
      </c>
      <c r="D2060" s="8" t="s">
        <v>39730</v>
      </c>
      <c r="E2060" s="1" t="s">
        <v>39731</v>
      </c>
      <c r="F2060" s="1" t="s">
        <v>132</v>
      </c>
      <c r="G2060" s="1" t="s">
        <v>39732</v>
      </c>
      <c r="H2060" s="1" t="s">
        <v>39733</v>
      </c>
      <c r="I2060" s="1" t="s">
        <v>39734</v>
      </c>
      <c r="J2060" s="1" t="s">
        <v>39735</v>
      </c>
      <c r="K2060" s="1" t="s">
        <v>39736</v>
      </c>
      <c r="L2060" s="1" t="s">
        <v>39737</v>
      </c>
      <c r="M2060" s="1" t="s">
        <v>39738</v>
      </c>
      <c r="N2060" s="1" t="s">
        <v>132</v>
      </c>
      <c r="O2060" s="1" t="s">
        <v>39739</v>
      </c>
      <c r="P2060" s="1" t="s">
        <v>39740</v>
      </c>
      <c r="Q2060" s="1" t="s">
        <v>132</v>
      </c>
      <c r="R2060" s="1" t="s">
        <v>39741</v>
      </c>
      <c r="S2060" s="1" t="s">
        <v>39742</v>
      </c>
      <c r="T2060" s="8" t="s">
        <v>39743</v>
      </c>
      <c r="U2060" s="1" t="s">
        <v>39744</v>
      </c>
      <c r="V2060" s="1" t="s">
        <v>39745</v>
      </c>
      <c r="W2060" s="1" t="s">
        <v>39741</v>
      </c>
      <c r="X2060" s="1" t="s">
        <v>39746</v>
      </c>
      <c r="Y2060" s="1" t="s">
        <v>39733</v>
      </c>
      <c r="Z2060" s="1" t="s">
        <v>39747</v>
      </c>
      <c r="AA2060" s="1" t="s">
        <v>39748</v>
      </c>
      <c r="AB2060" s="1" t="s">
        <v>132</v>
      </c>
      <c r="AC2060" s="1" t="s">
        <v>39749</v>
      </c>
      <c r="AD2060" s="1" t="s">
        <v>39750</v>
      </c>
      <c r="AE2060" s="1" t="s">
        <v>39751</v>
      </c>
      <c r="AF2060" s="1" t="s">
        <v>39752</v>
      </c>
      <c r="AG2060" s="1" t="s">
        <v>39753</v>
      </c>
      <c r="AH2060" s="1" t="s">
        <v>39754</v>
      </c>
      <c r="AI2060" s="1" t="s">
        <v>39755</v>
      </c>
      <c r="AJ2060" s="1" t="s">
        <v>132</v>
      </c>
      <c r="AK2060" s="1" t="s">
        <v>39756</v>
      </c>
      <c r="AL2060" s="1" t="s">
        <v>39757</v>
      </c>
      <c r="AM2060" s="1" t="s">
        <v>39758</v>
      </c>
      <c r="AN2060" s="1" t="s">
        <v>39758</v>
      </c>
    </row>
    <row r="2061" ht="15.75" customHeight="1">
      <c r="A2061" s="1" t="s">
        <v>127</v>
      </c>
      <c r="B2061" s="1" t="s">
        <v>39759</v>
      </c>
      <c r="C2061" s="1" t="s">
        <v>39760</v>
      </c>
      <c r="D2061" s="8" t="s">
        <v>39761</v>
      </c>
      <c r="E2061" s="1" t="s">
        <v>39762</v>
      </c>
      <c r="F2061" s="1" t="s">
        <v>132</v>
      </c>
      <c r="G2061" s="1" t="s">
        <v>39763</v>
      </c>
      <c r="H2061" s="1" t="s">
        <v>39764</v>
      </c>
      <c r="I2061" s="1" t="s">
        <v>39765</v>
      </c>
      <c r="J2061" s="1" t="s">
        <v>39766</v>
      </c>
      <c r="K2061" s="1" t="s">
        <v>39767</v>
      </c>
      <c r="L2061" s="1" t="s">
        <v>39768</v>
      </c>
      <c r="M2061" s="1" t="s">
        <v>39769</v>
      </c>
      <c r="N2061" s="1" t="s">
        <v>132</v>
      </c>
      <c r="O2061" s="1" t="s">
        <v>39770</v>
      </c>
      <c r="P2061" s="1" t="s">
        <v>39771</v>
      </c>
      <c r="Q2061" s="1" t="s">
        <v>132</v>
      </c>
      <c r="R2061" s="1" t="s">
        <v>39772</v>
      </c>
      <c r="S2061" s="1" t="s">
        <v>39773</v>
      </c>
      <c r="T2061" s="8" t="s">
        <v>39774</v>
      </c>
      <c r="U2061" s="1" t="s">
        <v>39775</v>
      </c>
      <c r="V2061" s="1" t="s">
        <v>39776</v>
      </c>
      <c r="W2061" s="1" t="s">
        <v>39772</v>
      </c>
      <c r="X2061" s="1" t="s">
        <v>39777</v>
      </c>
      <c r="Y2061" s="1" t="s">
        <v>39778</v>
      </c>
      <c r="Z2061" s="1" t="s">
        <v>39779</v>
      </c>
      <c r="AA2061" s="1" t="s">
        <v>39780</v>
      </c>
      <c r="AB2061" s="1" t="s">
        <v>132</v>
      </c>
      <c r="AC2061" s="1" t="s">
        <v>39781</v>
      </c>
      <c r="AD2061" s="1" t="s">
        <v>39782</v>
      </c>
      <c r="AE2061" s="1" t="s">
        <v>39783</v>
      </c>
      <c r="AF2061" s="1" t="s">
        <v>39784</v>
      </c>
      <c r="AG2061" s="1" t="s">
        <v>39785</v>
      </c>
      <c r="AH2061" s="1" t="s">
        <v>39786</v>
      </c>
      <c r="AI2061" s="1" t="s">
        <v>39787</v>
      </c>
      <c r="AJ2061" s="1" t="s">
        <v>132</v>
      </c>
      <c r="AK2061" s="1" t="s">
        <v>39788</v>
      </c>
      <c r="AL2061" s="1" t="s">
        <v>39789</v>
      </c>
      <c r="AM2061" s="1" t="s">
        <v>132</v>
      </c>
      <c r="AN2061" s="1" t="s">
        <v>132</v>
      </c>
    </row>
    <row r="2062" ht="15.75" customHeight="1">
      <c r="A2062" s="1" t="s">
        <v>38</v>
      </c>
      <c r="B2062" s="1" t="s">
        <v>39790</v>
      </c>
      <c r="C2062" s="1" t="s">
        <v>39791</v>
      </c>
      <c r="D2062" s="1" t="s">
        <v>132</v>
      </c>
      <c r="E2062" s="1" t="s">
        <v>39792</v>
      </c>
      <c r="F2062" s="1" t="s">
        <v>39793</v>
      </c>
      <c r="G2062" s="1" t="s">
        <v>132</v>
      </c>
      <c r="H2062" s="1" t="s">
        <v>132</v>
      </c>
      <c r="I2062" s="1" t="s">
        <v>39794</v>
      </c>
      <c r="J2062" s="1" t="s">
        <v>132</v>
      </c>
      <c r="K2062" s="1" t="s">
        <v>39795</v>
      </c>
      <c r="L2062" s="1" t="s">
        <v>132</v>
      </c>
      <c r="M2062" s="1" t="s">
        <v>39796</v>
      </c>
      <c r="N2062" s="1" t="s">
        <v>39797</v>
      </c>
      <c r="O2062" s="1" t="s">
        <v>132</v>
      </c>
      <c r="P2062" s="1" t="s">
        <v>39798</v>
      </c>
      <c r="Q2062" s="1" t="s">
        <v>132</v>
      </c>
      <c r="R2062" s="1" t="s">
        <v>132</v>
      </c>
      <c r="S2062" s="1" t="s">
        <v>39799</v>
      </c>
      <c r="T2062" s="1" t="s">
        <v>132</v>
      </c>
      <c r="U2062" s="1" t="s">
        <v>39800</v>
      </c>
      <c r="V2062" s="1" t="s">
        <v>132</v>
      </c>
      <c r="W2062" s="1" t="s">
        <v>132</v>
      </c>
      <c r="X2062" s="1" t="s">
        <v>39801</v>
      </c>
      <c r="Y2062" s="1" t="s">
        <v>132</v>
      </c>
      <c r="Z2062" s="1" t="s">
        <v>39802</v>
      </c>
      <c r="AA2062" s="1" t="s">
        <v>132</v>
      </c>
      <c r="AB2062" s="1" t="s">
        <v>132</v>
      </c>
      <c r="AC2062" s="1" t="s">
        <v>39803</v>
      </c>
      <c r="AD2062" s="1" t="s">
        <v>132</v>
      </c>
      <c r="AE2062" s="1" t="s">
        <v>132</v>
      </c>
      <c r="AF2062" s="1" t="s">
        <v>39804</v>
      </c>
      <c r="AG2062" s="1" t="s">
        <v>132</v>
      </c>
      <c r="AH2062" s="1" t="s">
        <v>132</v>
      </c>
      <c r="AI2062" s="1" t="s">
        <v>132</v>
      </c>
      <c r="AJ2062" s="1" t="s">
        <v>132</v>
      </c>
      <c r="AK2062" s="1" t="s">
        <v>132</v>
      </c>
      <c r="AL2062" s="1" t="s">
        <v>132</v>
      </c>
      <c r="AM2062" s="1" t="s">
        <v>132</v>
      </c>
      <c r="AN2062" s="1" t="s">
        <v>132</v>
      </c>
    </row>
    <row r="2063" ht="15.75" customHeight="1">
      <c r="A2063" s="1" t="s">
        <v>38</v>
      </c>
      <c r="B2063" s="1" t="s">
        <v>39805</v>
      </c>
      <c r="C2063" s="1" t="s">
        <v>39806</v>
      </c>
      <c r="D2063" s="1" t="s">
        <v>132</v>
      </c>
      <c r="E2063" s="1" t="s">
        <v>39807</v>
      </c>
      <c r="F2063" s="1" t="s">
        <v>132</v>
      </c>
      <c r="G2063" s="1" t="s">
        <v>132</v>
      </c>
      <c r="H2063" s="1" t="s">
        <v>132</v>
      </c>
      <c r="I2063" s="1" t="s">
        <v>39808</v>
      </c>
      <c r="J2063" s="1" t="s">
        <v>132</v>
      </c>
      <c r="K2063" s="1" t="s">
        <v>39809</v>
      </c>
      <c r="L2063" s="1" t="s">
        <v>132</v>
      </c>
      <c r="M2063" s="1" t="s">
        <v>132</v>
      </c>
      <c r="N2063" s="1" t="s">
        <v>39810</v>
      </c>
      <c r="O2063" s="1" t="s">
        <v>132</v>
      </c>
      <c r="P2063" s="1" t="s">
        <v>39811</v>
      </c>
      <c r="Q2063" s="1" t="s">
        <v>132</v>
      </c>
      <c r="R2063" s="1" t="s">
        <v>132</v>
      </c>
      <c r="S2063" s="1" t="s">
        <v>39812</v>
      </c>
      <c r="T2063" s="1" t="s">
        <v>132</v>
      </c>
      <c r="U2063" s="1" t="s">
        <v>132</v>
      </c>
      <c r="V2063" s="1" t="s">
        <v>132</v>
      </c>
      <c r="W2063" s="1" t="s">
        <v>132</v>
      </c>
      <c r="X2063" s="1" t="s">
        <v>39813</v>
      </c>
      <c r="Y2063" s="1" t="s">
        <v>132</v>
      </c>
      <c r="Z2063" s="1" t="s">
        <v>39814</v>
      </c>
      <c r="AA2063" s="1" t="s">
        <v>132</v>
      </c>
      <c r="AB2063" s="1" t="s">
        <v>132</v>
      </c>
      <c r="AC2063" s="1" t="s">
        <v>132</v>
      </c>
      <c r="AD2063" s="1" t="s">
        <v>132</v>
      </c>
      <c r="AE2063" s="1" t="s">
        <v>132</v>
      </c>
      <c r="AF2063" s="1" t="s">
        <v>132</v>
      </c>
      <c r="AG2063" s="1" t="s">
        <v>132</v>
      </c>
      <c r="AH2063" s="1" t="s">
        <v>132</v>
      </c>
      <c r="AI2063" s="1" t="s">
        <v>132</v>
      </c>
      <c r="AJ2063" s="1" t="s">
        <v>132</v>
      </c>
      <c r="AK2063" s="1" t="s">
        <v>132</v>
      </c>
      <c r="AL2063" s="1" t="s">
        <v>132</v>
      </c>
      <c r="AM2063" s="1" t="s">
        <v>132</v>
      </c>
      <c r="AN2063" s="1" t="s">
        <v>132</v>
      </c>
    </row>
    <row r="2064" ht="15.75" customHeight="1">
      <c r="A2064" s="1" t="s">
        <v>127</v>
      </c>
      <c r="B2064" s="1" t="s">
        <v>39815</v>
      </c>
      <c r="C2064" s="1" t="s">
        <v>3604</v>
      </c>
      <c r="D2064" s="8" t="s">
        <v>39816</v>
      </c>
      <c r="E2064" s="1" t="s">
        <v>30081</v>
      </c>
      <c r="F2064" s="1" t="s">
        <v>132</v>
      </c>
      <c r="G2064" s="1" t="s">
        <v>30083</v>
      </c>
      <c r="H2064" s="1" t="s">
        <v>3605</v>
      </c>
      <c r="I2064" s="1" t="s">
        <v>37160</v>
      </c>
      <c r="J2064" s="1" t="s">
        <v>39817</v>
      </c>
      <c r="K2064" s="1" t="s">
        <v>3607</v>
      </c>
      <c r="L2064" s="1" t="s">
        <v>3608</v>
      </c>
      <c r="M2064" s="1" t="s">
        <v>3609</v>
      </c>
      <c r="N2064" s="1" t="s">
        <v>132</v>
      </c>
      <c r="O2064" s="1" t="s">
        <v>39818</v>
      </c>
      <c r="P2064" s="1" t="s">
        <v>3610</v>
      </c>
      <c r="Q2064" s="1" t="s">
        <v>132</v>
      </c>
      <c r="R2064" s="1" t="s">
        <v>39819</v>
      </c>
      <c r="S2064" s="1" t="s">
        <v>3612</v>
      </c>
      <c r="T2064" s="8" t="s">
        <v>39820</v>
      </c>
      <c r="U2064" s="1" t="s">
        <v>39821</v>
      </c>
      <c r="V2064" s="1" t="s">
        <v>39822</v>
      </c>
      <c r="W2064" s="1" t="s">
        <v>39823</v>
      </c>
      <c r="X2064" s="1" t="s">
        <v>3616</v>
      </c>
      <c r="Y2064" s="1" t="s">
        <v>3617</v>
      </c>
      <c r="Z2064" s="1" t="s">
        <v>3618</v>
      </c>
      <c r="AA2064" s="1" t="s">
        <v>3607</v>
      </c>
      <c r="AB2064" s="1" t="s">
        <v>132</v>
      </c>
      <c r="AC2064" s="1" t="s">
        <v>3619</v>
      </c>
      <c r="AD2064" s="1" t="s">
        <v>30083</v>
      </c>
      <c r="AE2064" s="1" t="s">
        <v>39824</v>
      </c>
      <c r="AF2064" s="1" t="s">
        <v>39825</v>
      </c>
      <c r="AG2064" s="1" t="s">
        <v>3605</v>
      </c>
      <c r="AH2064" s="1" t="s">
        <v>39826</v>
      </c>
      <c r="AI2064" s="1" t="s">
        <v>39827</v>
      </c>
      <c r="AJ2064" s="1" t="s">
        <v>132</v>
      </c>
      <c r="AK2064" s="1" t="s">
        <v>39828</v>
      </c>
      <c r="AL2064" s="1" t="s">
        <v>39829</v>
      </c>
      <c r="AM2064" s="1" t="s">
        <v>132</v>
      </c>
      <c r="AN2064" s="1" t="s">
        <v>132</v>
      </c>
    </row>
    <row r="2065" ht="15.75" customHeight="1">
      <c r="A2065" s="1" t="s">
        <v>127</v>
      </c>
      <c r="B2065" s="1" t="s">
        <v>39830</v>
      </c>
      <c r="C2065" s="1" t="s">
        <v>39831</v>
      </c>
      <c r="D2065" s="8" t="s">
        <v>39832</v>
      </c>
      <c r="E2065" s="1" t="s">
        <v>39833</v>
      </c>
      <c r="F2065" s="1" t="s">
        <v>132</v>
      </c>
      <c r="G2065" s="1" t="s">
        <v>39834</v>
      </c>
      <c r="H2065" s="1" t="s">
        <v>39835</v>
      </c>
      <c r="I2065" s="1" t="s">
        <v>39836</v>
      </c>
      <c r="J2065" s="1" t="s">
        <v>39837</v>
      </c>
      <c r="K2065" s="1" t="s">
        <v>39838</v>
      </c>
      <c r="L2065" s="1" t="s">
        <v>39839</v>
      </c>
      <c r="M2065" s="1" t="s">
        <v>39840</v>
      </c>
      <c r="N2065" s="1" t="s">
        <v>132</v>
      </c>
      <c r="O2065" s="1" t="s">
        <v>39841</v>
      </c>
      <c r="P2065" s="1" t="s">
        <v>39842</v>
      </c>
      <c r="Q2065" s="1" t="s">
        <v>132</v>
      </c>
      <c r="R2065" s="1" t="s">
        <v>39843</v>
      </c>
      <c r="S2065" s="1" t="s">
        <v>39844</v>
      </c>
      <c r="T2065" s="8" t="s">
        <v>39845</v>
      </c>
      <c r="U2065" s="1" t="s">
        <v>39846</v>
      </c>
      <c r="V2065" s="1" t="s">
        <v>39847</v>
      </c>
      <c r="W2065" s="1" t="s">
        <v>39843</v>
      </c>
      <c r="X2065" s="1" t="s">
        <v>39848</v>
      </c>
      <c r="Y2065" s="1" t="s">
        <v>39849</v>
      </c>
      <c r="Z2065" s="1" t="s">
        <v>39850</v>
      </c>
      <c r="AA2065" s="1" t="s">
        <v>39838</v>
      </c>
      <c r="AB2065" s="1" t="s">
        <v>132</v>
      </c>
      <c r="AC2065" s="1" t="s">
        <v>39851</v>
      </c>
      <c r="AD2065" s="1" t="s">
        <v>39852</v>
      </c>
      <c r="AE2065" s="1" t="s">
        <v>39853</v>
      </c>
      <c r="AF2065" s="1" t="s">
        <v>39854</v>
      </c>
      <c r="AG2065" s="1" t="s">
        <v>39855</v>
      </c>
      <c r="AH2065" s="1" t="s">
        <v>39856</v>
      </c>
      <c r="AI2065" s="1" t="s">
        <v>39857</v>
      </c>
      <c r="AJ2065" s="1" t="s">
        <v>132</v>
      </c>
      <c r="AK2065" s="1" t="s">
        <v>39858</v>
      </c>
      <c r="AL2065" s="1" t="s">
        <v>39859</v>
      </c>
      <c r="AM2065" s="1" t="s">
        <v>39860</v>
      </c>
      <c r="AN2065" s="1" t="s">
        <v>39860</v>
      </c>
    </row>
    <row r="2066" ht="15.75" customHeight="1">
      <c r="A2066" s="1" t="s">
        <v>38</v>
      </c>
      <c r="B2066" s="1" t="s">
        <v>39861</v>
      </c>
      <c r="C2066" s="1" t="s">
        <v>39862</v>
      </c>
      <c r="D2066" s="8" t="s">
        <v>39863</v>
      </c>
      <c r="E2066" s="1" t="s">
        <v>39864</v>
      </c>
      <c r="F2066" s="1" t="s">
        <v>39865</v>
      </c>
      <c r="G2066" s="1" t="s">
        <v>132</v>
      </c>
      <c r="H2066" s="1" t="s">
        <v>132</v>
      </c>
      <c r="I2066" s="1" t="s">
        <v>39866</v>
      </c>
      <c r="J2066" s="1" t="s">
        <v>132</v>
      </c>
      <c r="K2066" s="1" t="s">
        <v>39867</v>
      </c>
      <c r="L2066" s="1" t="s">
        <v>132</v>
      </c>
      <c r="M2066" s="1" t="s">
        <v>39868</v>
      </c>
      <c r="N2066" s="1" t="s">
        <v>39869</v>
      </c>
      <c r="O2066" s="1" t="s">
        <v>132</v>
      </c>
      <c r="P2066" s="1" t="s">
        <v>39870</v>
      </c>
      <c r="Q2066" s="1" t="s">
        <v>132</v>
      </c>
      <c r="R2066" s="1" t="s">
        <v>132</v>
      </c>
      <c r="S2066" s="1" t="s">
        <v>39871</v>
      </c>
      <c r="T2066" s="1" t="s">
        <v>132</v>
      </c>
      <c r="U2066" s="1" t="s">
        <v>39872</v>
      </c>
      <c r="V2066" s="1" t="s">
        <v>39873</v>
      </c>
      <c r="W2066" s="1" t="s">
        <v>132</v>
      </c>
      <c r="X2066" s="1" t="s">
        <v>39874</v>
      </c>
      <c r="Y2066" s="1" t="s">
        <v>132</v>
      </c>
      <c r="Z2066" s="1" t="s">
        <v>39875</v>
      </c>
      <c r="AA2066" s="1" t="s">
        <v>39876</v>
      </c>
      <c r="AB2066" s="1" t="s">
        <v>132</v>
      </c>
      <c r="AC2066" s="1" t="s">
        <v>39877</v>
      </c>
      <c r="AD2066" s="1" t="s">
        <v>39878</v>
      </c>
      <c r="AE2066" s="1" t="s">
        <v>132</v>
      </c>
      <c r="AF2066" s="1" t="s">
        <v>39879</v>
      </c>
      <c r="AG2066" s="1" t="s">
        <v>39880</v>
      </c>
      <c r="AH2066" s="1" t="s">
        <v>132</v>
      </c>
      <c r="AI2066" s="1" t="s">
        <v>132</v>
      </c>
      <c r="AJ2066" s="1" t="s">
        <v>39881</v>
      </c>
      <c r="AK2066" s="1" t="s">
        <v>39882</v>
      </c>
      <c r="AL2066" s="1" t="s">
        <v>132</v>
      </c>
      <c r="AM2066" s="1" t="s">
        <v>39883</v>
      </c>
      <c r="AN2066" s="1" t="s">
        <v>39883</v>
      </c>
    </row>
    <row r="2067" ht="15.75" customHeight="1">
      <c r="A2067" s="1" t="s">
        <v>38</v>
      </c>
      <c r="B2067" s="1" t="s">
        <v>39884</v>
      </c>
      <c r="C2067" s="1" t="s">
        <v>39885</v>
      </c>
      <c r="D2067" s="8" t="s">
        <v>39886</v>
      </c>
      <c r="E2067" s="1" t="s">
        <v>39887</v>
      </c>
      <c r="F2067" s="1" t="s">
        <v>39888</v>
      </c>
      <c r="G2067" s="1" t="s">
        <v>132</v>
      </c>
      <c r="H2067" s="1" t="s">
        <v>132</v>
      </c>
      <c r="I2067" s="1" t="s">
        <v>39889</v>
      </c>
      <c r="J2067" s="1" t="s">
        <v>132</v>
      </c>
      <c r="K2067" s="1" t="s">
        <v>39890</v>
      </c>
      <c r="L2067" s="1" t="s">
        <v>132</v>
      </c>
      <c r="M2067" s="1" t="s">
        <v>39891</v>
      </c>
      <c r="N2067" s="1" t="s">
        <v>39892</v>
      </c>
      <c r="O2067" s="1" t="s">
        <v>132</v>
      </c>
      <c r="P2067" s="1" t="s">
        <v>39893</v>
      </c>
      <c r="Q2067" s="1" t="s">
        <v>132</v>
      </c>
      <c r="R2067" s="1" t="s">
        <v>132</v>
      </c>
      <c r="S2067" s="1" t="s">
        <v>39894</v>
      </c>
      <c r="T2067" s="1" t="s">
        <v>132</v>
      </c>
      <c r="U2067" s="1" t="s">
        <v>39895</v>
      </c>
      <c r="V2067" s="1" t="s">
        <v>132</v>
      </c>
      <c r="W2067" s="1" t="s">
        <v>132</v>
      </c>
      <c r="X2067" s="1" t="s">
        <v>39896</v>
      </c>
      <c r="Y2067" s="1" t="s">
        <v>132</v>
      </c>
      <c r="Z2067" s="1" t="s">
        <v>39897</v>
      </c>
      <c r="AA2067" s="1" t="s">
        <v>39898</v>
      </c>
      <c r="AB2067" s="1" t="s">
        <v>132</v>
      </c>
      <c r="AC2067" s="1" t="s">
        <v>39899</v>
      </c>
      <c r="AD2067" s="1" t="s">
        <v>132</v>
      </c>
      <c r="AE2067" s="1" t="s">
        <v>132</v>
      </c>
      <c r="AF2067" s="1" t="s">
        <v>39900</v>
      </c>
      <c r="AG2067" s="1" t="s">
        <v>132</v>
      </c>
      <c r="AH2067" s="1" t="s">
        <v>132</v>
      </c>
      <c r="AI2067" s="1" t="s">
        <v>132</v>
      </c>
      <c r="AJ2067" s="1" t="s">
        <v>132</v>
      </c>
      <c r="AK2067" s="1" t="s">
        <v>132</v>
      </c>
      <c r="AL2067" s="1" t="s">
        <v>132</v>
      </c>
      <c r="AM2067" s="1" t="s">
        <v>132</v>
      </c>
      <c r="AN2067" s="1" t="s">
        <v>132</v>
      </c>
    </row>
    <row r="2068" ht="15.75" customHeight="1">
      <c r="A2068" s="1" t="s">
        <v>38</v>
      </c>
      <c r="B2068" s="1" t="s">
        <v>39901</v>
      </c>
      <c r="C2068" s="1" t="s">
        <v>39902</v>
      </c>
      <c r="D2068" s="8" t="s">
        <v>39903</v>
      </c>
      <c r="E2068" s="1" t="s">
        <v>39904</v>
      </c>
      <c r="F2068" s="1" t="s">
        <v>39905</v>
      </c>
      <c r="G2068" s="1" t="s">
        <v>132</v>
      </c>
      <c r="H2068" s="1" t="s">
        <v>132</v>
      </c>
      <c r="I2068" s="1" t="s">
        <v>39906</v>
      </c>
      <c r="J2068" s="1" t="s">
        <v>132</v>
      </c>
      <c r="K2068" s="1" t="s">
        <v>39907</v>
      </c>
      <c r="L2068" s="1" t="s">
        <v>132</v>
      </c>
      <c r="M2068" s="1" t="s">
        <v>39908</v>
      </c>
      <c r="N2068" s="1" t="s">
        <v>39909</v>
      </c>
      <c r="O2068" s="1" t="s">
        <v>132</v>
      </c>
      <c r="P2068" s="1" t="s">
        <v>39910</v>
      </c>
      <c r="Q2068" s="1" t="s">
        <v>39911</v>
      </c>
      <c r="R2068" s="1" t="s">
        <v>132</v>
      </c>
      <c r="S2068" s="1" t="s">
        <v>39912</v>
      </c>
      <c r="T2068" s="1" t="s">
        <v>132</v>
      </c>
      <c r="U2068" s="1" t="s">
        <v>39913</v>
      </c>
      <c r="V2068" s="1" t="s">
        <v>39914</v>
      </c>
      <c r="W2068" s="1" t="s">
        <v>132</v>
      </c>
      <c r="X2068" s="1" t="s">
        <v>39915</v>
      </c>
      <c r="Y2068" s="1" t="s">
        <v>132</v>
      </c>
      <c r="Z2068" s="1" t="s">
        <v>39916</v>
      </c>
      <c r="AA2068" s="1" t="s">
        <v>39917</v>
      </c>
      <c r="AB2068" s="1" t="s">
        <v>132</v>
      </c>
      <c r="AC2068" s="1" t="s">
        <v>36331</v>
      </c>
      <c r="AD2068" s="1" t="s">
        <v>39918</v>
      </c>
      <c r="AE2068" s="1" t="s">
        <v>132</v>
      </c>
      <c r="AF2068" s="1" t="s">
        <v>39919</v>
      </c>
      <c r="AG2068" s="1" t="s">
        <v>39920</v>
      </c>
      <c r="AH2068" s="1" t="s">
        <v>132</v>
      </c>
      <c r="AI2068" s="1" t="s">
        <v>132</v>
      </c>
      <c r="AJ2068" s="1" t="s">
        <v>39921</v>
      </c>
      <c r="AK2068" s="1" t="s">
        <v>39922</v>
      </c>
      <c r="AL2068" s="1" t="s">
        <v>132</v>
      </c>
      <c r="AM2068" s="1" t="s">
        <v>39923</v>
      </c>
      <c r="AN2068" s="1" t="s">
        <v>39923</v>
      </c>
    </row>
    <row r="2069" ht="15.75" customHeight="1">
      <c r="A2069" s="1" t="s">
        <v>127</v>
      </c>
      <c r="B2069" s="1" t="s">
        <v>39924</v>
      </c>
      <c r="C2069" s="1" t="s">
        <v>39925</v>
      </c>
      <c r="D2069" s="8" t="s">
        <v>39926</v>
      </c>
      <c r="E2069" s="1" t="s">
        <v>39927</v>
      </c>
      <c r="F2069" s="1" t="s">
        <v>132</v>
      </c>
      <c r="G2069" s="1" t="s">
        <v>39928</v>
      </c>
      <c r="H2069" s="1" t="s">
        <v>39929</v>
      </c>
      <c r="I2069" s="1" t="s">
        <v>39930</v>
      </c>
      <c r="J2069" s="1" t="s">
        <v>39931</v>
      </c>
      <c r="K2069" s="1" t="s">
        <v>39932</v>
      </c>
      <c r="L2069" s="1" t="s">
        <v>39933</v>
      </c>
      <c r="M2069" s="1" t="s">
        <v>39934</v>
      </c>
      <c r="N2069" s="1" t="s">
        <v>132</v>
      </c>
      <c r="O2069" s="1" t="s">
        <v>39935</v>
      </c>
      <c r="P2069" s="1" t="s">
        <v>39936</v>
      </c>
      <c r="Q2069" s="1" t="s">
        <v>132</v>
      </c>
      <c r="R2069" s="1" t="s">
        <v>39937</v>
      </c>
      <c r="S2069" s="1" t="s">
        <v>39938</v>
      </c>
      <c r="T2069" s="8" t="s">
        <v>39939</v>
      </c>
      <c r="U2069" s="1" t="s">
        <v>39940</v>
      </c>
      <c r="V2069" s="1" t="s">
        <v>39941</v>
      </c>
      <c r="W2069" s="1" t="s">
        <v>39937</v>
      </c>
      <c r="X2069" s="1" t="s">
        <v>39942</v>
      </c>
      <c r="Y2069" s="1" t="s">
        <v>39943</v>
      </c>
      <c r="Z2069" s="1" t="s">
        <v>39944</v>
      </c>
      <c r="AA2069" s="1" t="s">
        <v>39945</v>
      </c>
      <c r="AB2069" s="1" t="s">
        <v>132</v>
      </c>
      <c r="AC2069" s="1" t="s">
        <v>39946</v>
      </c>
      <c r="AD2069" s="1" t="s">
        <v>39947</v>
      </c>
      <c r="AE2069" s="1" t="s">
        <v>39948</v>
      </c>
      <c r="AF2069" s="1" t="s">
        <v>39949</v>
      </c>
      <c r="AG2069" s="1" t="s">
        <v>39950</v>
      </c>
      <c r="AH2069" s="1" t="s">
        <v>39951</v>
      </c>
      <c r="AI2069" s="1" t="s">
        <v>39952</v>
      </c>
      <c r="AJ2069" s="1" t="s">
        <v>132</v>
      </c>
      <c r="AK2069" s="1" t="s">
        <v>39953</v>
      </c>
      <c r="AL2069" s="1" t="s">
        <v>39954</v>
      </c>
      <c r="AM2069" s="1" t="s">
        <v>132</v>
      </c>
      <c r="AN2069" s="1" t="s">
        <v>132</v>
      </c>
    </row>
    <row r="2070" ht="15.75" customHeight="1">
      <c r="A2070" s="1" t="s">
        <v>38</v>
      </c>
      <c r="B2070" s="1" t="s">
        <v>39955</v>
      </c>
      <c r="C2070" s="1" t="s">
        <v>39956</v>
      </c>
      <c r="D2070" s="8" t="s">
        <v>39957</v>
      </c>
      <c r="E2070" s="1" t="s">
        <v>39958</v>
      </c>
      <c r="F2070" s="1" t="s">
        <v>39959</v>
      </c>
      <c r="G2070" s="1" t="s">
        <v>132</v>
      </c>
      <c r="H2070" s="1" t="s">
        <v>132</v>
      </c>
      <c r="I2070" s="1" t="s">
        <v>39960</v>
      </c>
      <c r="J2070" s="1" t="s">
        <v>132</v>
      </c>
      <c r="K2070" s="1" t="s">
        <v>39961</v>
      </c>
      <c r="L2070" s="1" t="s">
        <v>132</v>
      </c>
      <c r="M2070" s="1" t="s">
        <v>39962</v>
      </c>
      <c r="N2070" s="1" t="s">
        <v>39963</v>
      </c>
      <c r="O2070" s="1" t="s">
        <v>132</v>
      </c>
      <c r="P2070" s="1" t="s">
        <v>39964</v>
      </c>
      <c r="Q2070" s="1" t="s">
        <v>39965</v>
      </c>
      <c r="R2070" s="1" t="s">
        <v>132</v>
      </c>
      <c r="S2070" s="1" t="s">
        <v>39966</v>
      </c>
      <c r="T2070" s="1" t="s">
        <v>132</v>
      </c>
      <c r="U2070" s="1" t="s">
        <v>39967</v>
      </c>
      <c r="V2070" s="1" t="s">
        <v>39968</v>
      </c>
      <c r="W2070" s="1" t="s">
        <v>132</v>
      </c>
      <c r="X2070" s="1" t="s">
        <v>39969</v>
      </c>
      <c r="Y2070" s="1" t="s">
        <v>132</v>
      </c>
      <c r="Z2070" s="1" t="s">
        <v>39970</v>
      </c>
      <c r="AA2070" s="1" t="s">
        <v>39971</v>
      </c>
      <c r="AB2070" s="1" t="s">
        <v>132</v>
      </c>
      <c r="AC2070" s="1" t="s">
        <v>39972</v>
      </c>
      <c r="AD2070" s="1" t="s">
        <v>39973</v>
      </c>
      <c r="AE2070" s="1" t="s">
        <v>132</v>
      </c>
      <c r="AF2070" s="1" t="s">
        <v>39974</v>
      </c>
      <c r="AG2070" s="1" t="s">
        <v>39975</v>
      </c>
      <c r="AH2070" s="1" t="s">
        <v>132</v>
      </c>
      <c r="AI2070" s="1" t="s">
        <v>132</v>
      </c>
      <c r="AJ2070" s="1" t="s">
        <v>39976</v>
      </c>
      <c r="AK2070" s="1" t="s">
        <v>39977</v>
      </c>
      <c r="AL2070" s="1" t="s">
        <v>132</v>
      </c>
      <c r="AM2070" s="1" t="s">
        <v>39978</v>
      </c>
      <c r="AN2070" s="1" t="s">
        <v>39978</v>
      </c>
    </row>
    <row r="2071" ht="15.75" customHeight="1">
      <c r="A2071" s="1" t="s">
        <v>127</v>
      </c>
      <c r="B2071" s="1" t="s">
        <v>39979</v>
      </c>
      <c r="C2071" s="1" t="s">
        <v>3279</v>
      </c>
      <c r="D2071" s="8" t="s">
        <v>23953</v>
      </c>
      <c r="E2071" s="1" t="s">
        <v>23954</v>
      </c>
      <c r="F2071" s="1" t="s">
        <v>132</v>
      </c>
      <c r="G2071" s="1" t="s">
        <v>23955</v>
      </c>
      <c r="H2071" s="1" t="s">
        <v>23956</v>
      </c>
      <c r="I2071" s="1" t="s">
        <v>3279</v>
      </c>
      <c r="J2071" s="1" t="s">
        <v>3279</v>
      </c>
      <c r="K2071" s="1" t="s">
        <v>3279</v>
      </c>
      <c r="L2071" s="1" t="s">
        <v>23957</v>
      </c>
      <c r="M2071" s="1" t="s">
        <v>3279</v>
      </c>
      <c r="N2071" s="1" t="s">
        <v>132</v>
      </c>
      <c r="O2071" s="1" t="s">
        <v>23958</v>
      </c>
      <c r="P2071" s="1" t="s">
        <v>3279</v>
      </c>
      <c r="Q2071" s="1" t="s">
        <v>132</v>
      </c>
      <c r="R2071" s="1" t="s">
        <v>23959</v>
      </c>
      <c r="S2071" s="1" t="s">
        <v>3279</v>
      </c>
      <c r="T2071" s="8" t="s">
        <v>23960</v>
      </c>
      <c r="U2071" s="1" t="s">
        <v>3271</v>
      </c>
      <c r="V2071" s="1" t="s">
        <v>3279</v>
      </c>
      <c r="W2071" s="1" t="s">
        <v>23959</v>
      </c>
      <c r="X2071" s="1" t="s">
        <v>3279</v>
      </c>
      <c r="Y2071" s="1" t="s">
        <v>23956</v>
      </c>
      <c r="Z2071" s="1" t="s">
        <v>3279</v>
      </c>
      <c r="AA2071" s="1" t="s">
        <v>39980</v>
      </c>
      <c r="AB2071" s="1" t="s">
        <v>132</v>
      </c>
      <c r="AC2071" s="1" t="s">
        <v>23961</v>
      </c>
      <c r="AD2071" s="1" t="s">
        <v>3279</v>
      </c>
      <c r="AE2071" s="1" t="s">
        <v>23962</v>
      </c>
      <c r="AF2071" s="1" t="s">
        <v>3279</v>
      </c>
      <c r="AG2071" s="1" t="s">
        <v>3279</v>
      </c>
      <c r="AH2071" s="1" t="s">
        <v>3279</v>
      </c>
      <c r="AI2071" s="1" t="s">
        <v>23963</v>
      </c>
      <c r="AJ2071" s="1" t="s">
        <v>132</v>
      </c>
      <c r="AK2071" s="1" t="s">
        <v>3279</v>
      </c>
      <c r="AL2071" s="1" t="s">
        <v>23964</v>
      </c>
      <c r="AM2071" s="1" t="s">
        <v>23965</v>
      </c>
      <c r="AN2071" s="1" t="s">
        <v>23965</v>
      </c>
    </row>
    <row r="2072" ht="15.75" customHeight="1">
      <c r="A2072" s="1" t="s">
        <v>38</v>
      </c>
      <c r="B2072" s="1" t="s">
        <v>39981</v>
      </c>
      <c r="C2072" s="1" t="s">
        <v>39982</v>
      </c>
      <c r="D2072" s="8" t="s">
        <v>39983</v>
      </c>
      <c r="E2072" s="1" t="s">
        <v>39984</v>
      </c>
      <c r="F2072" s="1" t="s">
        <v>39985</v>
      </c>
      <c r="G2072" s="1" t="s">
        <v>132</v>
      </c>
      <c r="H2072" s="1" t="s">
        <v>132</v>
      </c>
      <c r="I2072" s="1" t="s">
        <v>39986</v>
      </c>
      <c r="J2072" s="1" t="s">
        <v>132</v>
      </c>
      <c r="K2072" s="1" t="s">
        <v>39987</v>
      </c>
      <c r="L2072" s="1" t="s">
        <v>132</v>
      </c>
      <c r="M2072" s="1" t="s">
        <v>39988</v>
      </c>
      <c r="N2072" s="1" t="s">
        <v>39989</v>
      </c>
      <c r="O2072" s="1" t="s">
        <v>132</v>
      </c>
      <c r="P2072" s="1" t="s">
        <v>39990</v>
      </c>
      <c r="Q2072" s="1" t="s">
        <v>39991</v>
      </c>
      <c r="R2072" s="1" t="s">
        <v>132</v>
      </c>
      <c r="S2072" s="1" t="s">
        <v>39992</v>
      </c>
      <c r="T2072" s="1" t="s">
        <v>132</v>
      </c>
      <c r="U2072" s="1" t="s">
        <v>39993</v>
      </c>
      <c r="V2072" s="1" t="s">
        <v>39994</v>
      </c>
      <c r="W2072" s="1" t="s">
        <v>132</v>
      </c>
      <c r="X2072" s="1" t="s">
        <v>39995</v>
      </c>
      <c r="Y2072" s="1" t="s">
        <v>132</v>
      </c>
      <c r="Z2072" s="1" t="s">
        <v>39996</v>
      </c>
      <c r="AA2072" s="1" t="s">
        <v>39997</v>
      </c>
      <c r="AB2072" s="1" t="s">
        <v>132</v>
      </c>
      <c r="AC2072" s="1" t="s">
        <v>39998</v>
      </c>
      <c r="AD2072" s="1" t="s">
        <v>39999</v>
      </c>
      <c r="AE2072" s="1" t="s">
        <v>132</v>
      </c>
      <c r="AF2072" s="1" t="s">
        <v>40000</v>
      </c>
      <c r="AG2072" s="1" t="s">
        <v>40001</v>
      </c>
      <c r="AH2072" s="1" t="s">
        <v>132</v>
      </c>
      <c r="AI2072" s="1" t="s">
        <v>132</v>
      </c>
      <c r="AJ2072" s="1" t="s">
        <v>40002</v>
      </c>
      <c r="AK2072" s="1" t="s">
        <v>40003</v>
      </c>
      <c r="AL2072" s="1" t="s">
        <v>132</v>
      </c>
      <c r="AM2072" s="1" t="s">
        <v>40004</v>
      </c>
      <c r="AN2072" s="1" t="s">
        <v>40004</v>
      </c>
    </row>
    <row r="2073" ht="15.75" customHeight="1">
      <c r="A2073" s="1" t="s">
        <v>127</v>
      </c>
      <c r="B2073" s="1" t="s">
        <v>40005</v>
      </c>
      <c r="C2073" s="1" t="s">
        <v>40006</v>
      </c>
      <c r="D2073" s="8" t="s">
        <v>40007</v>
      </c>
      <c r="E2073" s="1" t="s">
        <v>40008</v>
      </c>
      <c r="F2073" s="1" t="s">
        <v>132</v>
      </c>
      <c r="G2073" s="1" t="s">
        <v>40009</v>
      </c>
      <c r="H2073" s="1" t="s">
        <v>40010</v>
      </c>
      <c r="I2073" s="1" t="s">
        <v>40011</v>
      </c>
      <c r="J2073" s="1" t="s">
        <v>4795</v>
      </c>
      <c r="K2073" s="1" t="s">
        <v>40012</v>
      </c>
      <c r="L2073" s="1" t="s">
        <v>4797</v>
      </c>
      <c r="M2073" s="1" t="s">
        <v>40013</v>
      </c>
      <c r="N2073" s="1" t="s">
        <v>132</v>
      </c>
      <c r="O2073" s="1" t="s">
        <v>40014</v>
      </c>
      <c r="P2073" s="1" t="s">
        <v>40015</v>
      </c>
      <c r="Q2073" s="1" t="s">
        <v>132</v>
      </c>
      <c r="R2073" s="1" t="s">
        <v>40016</v>
      </c>
      <c r="S2073" s="1" t="s">
        <v>40017</v>
      </c>
      <c r="T2073" s="8" t="s">
        <v>40018</v>
      </c>
      <c r="U2073" s="1" t="s">
        <v>40019</v>
      </c>
      <c r="V2073" s="1" t="s">
        <v>40020</v>
      </c>
      <c r="W2073" s="1" t="s">
        <v>40021</v>
      </c>
      <c r="X2073" s="1" t="s">
        <v>40022</v>
      </c>
      <c r="Y2073" s="1" t="s">
        <v>40023</v>
      </c>
      <c r="Z2073" s="1" t="s">
        <v>40024</v>
      </c>
      <c r="AA2073" s="1" t="s">
        <v>40025</v>
      </c>
      <c r="AB2073" s="1" t="s">
        <v>132</v>
      </c>
      <c r="AC2073" s="1" t="s">
        <v>40026</v>
      </c>
      <c r="AD2073" s="1" t="s">
        <v>40027</v>
      </c>
      <c r="AE2073" s="1" t="s">
        <v>40028</v>
      </c>
      <c r="AF2073" s="1" t="s">
        <v>40029</v>
      </c>
      <c r="AG2073" s="1" t="s">
        <v>4815</v>
      </c>
      <c r="AH2073" s="1" t="s">
        <v>40030</v>
      </c>
      <c r="AI2073" s="1" t="s">
        <v>40031</v>
      </c>
      <c r="AJ2073" s="1" t="s">
        <v>132</v>
      </c>
      <c r="AK2073" s="1" t="s">
        <v>40032</v>
      </c>
      <c r="AL2073" s="1" t="s">
        <v>40033</v>
      </c>
      <c r="AM2073" s="1" t="s">
        <v>40034</v>
      </c>
      <c r="AN2073" s="1" t="s">
        <v>40034</v>
      </c>
    </row>
    <row r="2074" ht="15.75" customHeight="1">
      <c r="A2074" s="1" t="s">
        <v>127</v>
      </c>
      <c r="B2074" s="1" t="s">
        <v>40035</v>
      </c>
      <c r="C2074" s="1" t="s">
        <v>40036</v>
      </c>
      <c r="D2074" s="8" t="s">
        <v>40037</v>
      </c>
      <c r="E2074" s="1" t="s">
        <v>40038</v>
      </c>
      <c r="F2074" s="1" t="s">
        <v>132</v>
      </c>
      <c r="G2074" s="1" t="s">
        <v>40039</v>
      </c>
      <c r="H2074" s="1" t="s">
        <v>40040</v>
      </c>
      <c r="I2074" s="1" t="s">
        <v>40036</v>
      </c>
      <c r="J2074" s="1" t="s">
        <v>40041</v>
      </c>
      <c r="K2074" s="1" t="s">
        <v>40042</v>
      </c>
      <c r="L2074" s="1" t="s">
        <v>36552</v>
      </c>
      <c r="M2074" s="1" t="s">
        <v>40043</v>
      </c>
      <c r="N2074" s="1" t="s">
        <v>132</v>
      </c>
      <c r="O2074" s="1" t="s">
        <v>40044</v>
      </c>
      <c r="P2074" s="1" t="s">
        <v>40045</v>
      </c>
      <c r="Q2074" s="1" t="s">
        <v>132</v>
      </c>
      <c r="R2074" s="1" t="s">
        <v>40046</v>
      </c>
      <c r="S2074" s="1" t="s">
        <v>40047</v>
      </c>
      <c r="T2074" s="8" t="s">
        <v>40048</v>
      </c>
      <c r="U2074" s="1" t="s">
        <v>40049</v>
      </c>
      <c r="V2074" s="1" t="s">
        <v>40050</v>
      </c>
      <c r="W2074" s="1" t="s">
        <v>40046</v>
      </c>
      <c r="X2074" s="1" t="s">
        <v>40051</v>
      </c>
      <c r="Y2074" s="1" t="s">
        <v>40052</v>
      </c>
      <c r="Z2074" s="1" t="s">
        <v>40053</v>
      </c>
      <c r="AA2074" s="1" t="s">
        <v>40054</v>
      </c>
      <c r="AB2074" s="1" t="s">
        <v>132</v>
      </c>
      <c r="AC2074" s="1" t="s">
        <v>40055</v>
      </c>
      <c r="AD2074" s="1" t="s">
        <v>40056</v>
      </c>
      <c r="AE2074" s="1" t="s">
        <v>40057</v>
      </c>
      <c r="AF2074" s="1" t="s">
        <v>40058</v>
      </c>
      <c r="AG2074" s="1" t="s">
        <v>40052</v>
      </c>
      <c r="AH2074" s="1" t="s">
        <v>40059</v>
      </c>
      <c r="AI2074" s="1" t="s">
        <v>40060</v>
      </c>
      <c r="AJ2074" s="1" t="s">
        <v>132</v>
      </c>
      <c r="AK2074" s="1" t="s">
        <v>40061</v>
      </c>
      <c r="AL2074" s="1" t="s">
        <v>40062</v>
      </c>
      <c r="AM2074" s="1" t="s">
        <v>40063</v>
      </c>
      <c r="AN2074" s="1" t="s">
        <v>40063</v>
      </c>
    </row>
    <row r="2075" ht="15.75" customHeight="1">
      <c r="A2075" s="1" t="s">
        <v>38</v>
      </c>
      <c r="B2075" s="1" t="s">
        <v>40064</v>
      </c>
      <c r="C2075" s="1" t="s">
        <v>40065</v>
      </c>
      <c r="D2075" s="8" t="s">
        <v>40066</v>
      </c>
      <c r="E2075" s="1" t="s">
        <v>40067</v>
      </c>
      <c r="F2075" s="1" t="s">
        <v>40068</v>
      </c>
      <c r="G2075" s="1" t="s">
        <v>132</v>
      </c>
      <c r="H2075" s="1" t="s">
        <v>132</v>
      </c>
      <c r="I2075" s="1" t="s">
        <v>40069</v>
      </c>
      <c r="J2075" s="1" t="s">
        <v>132</v>
      </c>
      <c r="K2075" s="1" t="s">
        <v>40068</v>
      </c>
      <c r="L2075" s="1" t="s">
        <v>132</v>
      </c>
      <c r="M2075" s="1" t="s">
        <v>40070</v>
      </c>
      <c r="N2075" s="1" t="s">
        <v>40068</v>
      </c>
      <c r="O2075" s="1" t="s">
        <v>132</v>
      </c>
      <c r="P2075" s="1" t="s">
        <v>40071</v>
      </c>
      <c r="Q2075" s="1" t="s">
        <v>40072</v>
      </c>
      <c r="R2075" s="1" t="s">
        <v>132</v>
      </c>
      <c r="S2075" s="1" t="s">
        <v>40073</v>
      </c>
      <c r="T2075" s="1" t="s">
        <v>132</v>
      </c>
      <c r="U2075" s="1" t="s">
        <v>40074</v>
      </c>
      <c r="V2075" s="1" t="s">
        <v>40075</v>
      </c>
      <c r="W2075" s="1" t="s">
        <v>132</v>
      </c>
      <c r="X2075" s="1" t="s">
        <v>40076</v>
      </c>
      <c r="Y2075" s="1" t="s">
        <v>132</v>
      </c>
      <c r="Z2075" s="1" t="s">
        <v>40077</v>
      </c>
      <c r="AA2075" s="1" t="s">
        <v>40078</v>
      </c>
      <c r="AB2075" s="1" t="s">
        <v>132</v>
      </c>
      <c r="AC2075" s="1" t="s">
        <v>40079</v>
      </c>
      <c r="AD2075" s="1" t="s">
        <v>40080</v>
      </c>
      <c r="AE2075" s="1" t="s">
        <v>132</v>
      </c>
      <c r="AF2075" s="1" t="s">
        <v>40081</v>
      </c>
      <c r="AG2075" s="1" t="s">
        <v>40082</v>
      </c>
      <c r="AH2075" s="1" t="s">
        <v>132</v>
      </c>
      <c r="AI2075" s="1" t="s">
        <v>132</v>
      </c>
      <c r="AJ2075" s="1" t="s">
        <v>40083</v>
      </c>
      <c r="AK2075" s="1" t="s">
        <v>40084</v>
      </c>
      <c r="AL2075" s="1" t="s">
        <v>132</v>
      </c>
      <c r="AM2075" s="1" t="s">
        <v>40085</v>
      </c>
      <c r="AN2075" s="1" t="s">
        <v>40085</v>
      </c>
    </row>
    <row r="2076" ht="15.75" customHeight="1">
      <c r="A2076" s="1" t="s">
        <v>127</v>
      </c>
      <c r="B2076" s="1" t="s">
        <v>40086</v>
      </c>
      <c r="C2076" s="1" t="s">
        <v>40087</v>
      </c>
      <c r="D2076" s="8" t="s">
        <v>40088</v>
      </c>
      <c r="E2076" s="1" t="s">
        <v>40089</v>
      </c>
      <c r="F2076" s="1" t="s">
        <v>132</v>
      </c>
      <c r="G2076" s="1" t="s">
        <v>40090</v>
      </c>
      <c r="H2076" s="1" t="s">
        <v>40091</v>
      </c>
      <c r="I2076" s="1" t="s">
        <v>40092</v>
      </c>
      <c r="J2076" s="1" t="s">
        <v>40093</v>
      </c>
      <c r="K2076" s="1" t="s">
        <v>40094</v>
      </c>
      <c r="L2076" s="1" t="s">
        <v>40095</v>
      </c>
      <c r="M2076" s="1" t="s">
        <v>40096</v>
      </c>
      <c r="N2076" s="1" t="s">
        <v>132</v>
      </c>
      <c r="O2076" s="1" t="s">
        <v>40097</v>
      </c>
      <c r="P2076" s="1" t="s">
        <v>40098</v>
      </c>
      <c r="Q2076" s="1" t="s">
        <v>132</v>
      </c>
      <c r="R2076" s="1" t="s">
        <v>40099</v>
      </c>
      <c r="S2076" s="1" t="s">
        <v>40100</v>
      </c>
      <c r="T2076" s="8" t="s">
        <v>40101</v>
      </c>
      <c r="U2076" s="1" t="s">
        <v>40102</v>
      </c>
      <c r="V2076" s="1" t="s">
        <v>40103</v>
      </c>
      <c r="W2076" s="1" t="s">
        <v>40099</v>
      </c>
      <c r="X2076" s="1" t="s">
        <v>40104</v>
      </c>
      <c r="Y2076" s="1" t="s">
        <v>40105</v>
      </c>
      <c r="Z2076" s="1" t="s">
        <v>40087</v>
      </c>
      <c r="AA2076" s="1" t="s">
        <v>40106</v>
      </c>
      <c r="AB2076" s="1" t="s">
        <v>132</v>
      </c>
      <c r="AC2076" s="1" t="s">
        <v>40107</v>
      </c>
      <c r="AD2076" s="1" t="s">
        <v>40108</v>
      </c>
      <c r="AE2076" s="1" t="s">
        <v>40109</v>
      </c>
      <c r="AF2076" s="1" t="s">
        <v>40087</v>
      </c>
      <c r="AG2076" s="1" t="s">
        <v>40110</v>
      </c>
      <c r="AH2076" s="1" t="s">
        <v>40111</v>
      </c>
      <c r="AI2076" s="1" t="s">
        <v>40112</v>
      </c>
      <c r="AJ2076" s="1" t="s">
        <v>132</v>
      </c>
      <c r="AK2076" s="1" t="s">
        <v>40113</v>
      </c>
      <c r="AL2076" s="1" t="s">
        <v>40114</v>
      </c>
      <c r="AM2076" s="1" t="s">
        <v>40115</v>
      </c>
      <c r="AN2076" s="1" t="s">
        <v>40115</v>
      </c>
    </row>
    <row r="2077" ht="15.75" customHeight="1">
      <c r="A2077" s="1" t="s">
        <v>127</v>
      </c>
      <c r="B2077" s="1" t="s">
        <v>40116</v>
      </c>
      <c r="C2077" s="1" t="s">
        <v>40117</v>
      </c>
      <c r="D2077" s="8" t="s">
        <v>40118</v>
      </c>
      <c r="E2077" s="1" t="s">
        <v>40119</v>
      </c>
      <c r="F2077" s="1" t="s">
        <v>132</v>
      </c>
      <c r="G2077" s="1" t="s">
        <v>40120</v>
      </c>
      <c r="H2077" s="1" t="s">
        <v>40121</v>
      </c>
      <c r="I2077" s="1" t="s">
        <v>4559</v>
      </c>
      <c r="J2077" s="1" t="s">
        <v>40122</v>
      </c>
      <c r="K2077" s="1" t="s">
        <v>29612</v>
      </c>
      <c r="L2077" s="1" t="s">
        <v>40123</v>
      </c>
      <c r="M2077" s="1" t="s">
        <v>40124</v>
      </c>
      <c r="N2077" s="1" t="s">
        <v>132</v>
      </c>
      <c r="O2077" s="1" t="s">
        <v>40125</v>
      </c>
      <c r="P2077" s="1" t="s">
        <v>40126</v>
      </c>
      <c r="Q2077" s="1" t="s">
        <v>132</v>
      </c>
      <c r="R2077" s="1" t="s">
        <v>4566</v>
      </c>
      <c r="S2077" s="1" t="s">
        <v>40127</v>
      </c>
      <c r="T2077" s="8" t="s">
        <v>40128</v>
      </c>
      <c r="U2077" s="1" t="s">
        <v>4569</v>
      </c>
      <c r="V2077" s="1" t="s">
        <v>4570</v>
      </c>
      <c r="W2077" s="1" t="s">
        <v>4566</v>
      </c>
      <c r="X2077" s="1" t="s">
        <v>40129</v>
      </c>
      <c r="Y2077" s="1" t="s">
        <v>40130</v>
      </c>
      <c r="Z2077" s="1" t="s">
        <v>4573</v>
      </c>
      <c r="AA2077" s="1" t="s">
        <v>29613</v>
      </c>
      <c r="AB2077" s="1" t="s">
        <v>132</v>
      </c>
      <c r="AC2077" s="1" t="s">
        <v>40131</v>
      </c>
      <c r="AD2077" s="1" t="s">
        <v>40132</v>
      </c>
      <c r="AE2077" s="1" t="s">
        <v>40133</v>
      </c>
      <c r="AF2077" s="1" t="s">
        <v>40134</v>
      </c>
      <c r="AG2077" s="1" t="s">
        <v>40135</v>
      </c>
      <c r="AH2077" s="1" t="s">
        <v>4581</v>
      </c>
      <c r="AI2077" s="1" t="s">
        <v>40136</v>
      </c>
      <c r="AJ2077" s="1" t="s">
        <v>132</v>
      </c>
      <c r="AK2077" s="1" t="s">
        <v>4583</v>
      </c>
      <c r="AL2077" s="1" t="s">
        <v>4584</v>
      </c>
      <c r="AM2077" s="1" t="s">
        <v>4585</v>
      </c>
      <c r="AN2077" s="1" t="s">
        <v>4585</v>
      </c>
    </row>
    <row r="2078" ht="15.75" customHeight="1">
      <c r="A2078" s="1" t="s">
        <v>127</v>
      </c>
      <c r="B2078" s="1" t="s">
        <v>40137</v>
      </c>
      <c r="C2078" s="1" t="s">
        <v>40138</v>
      </c>
      <c r="D2078" s="8" t="s">
        <v>40139</v>
      </c>
      <c r="E2078" s="1" t="s">
        <v>40140</v>
      </c>
      <c r="F2078" s="1" t="s">
        <v>132</v>
      </c>
      <c r="G2078" s="1" t="s">
        <v>40141</v>
      </c>
      <c r="H2078" s="1" t="s">
        <v>40142</v>
      </c>
      <c r="I2078" s="1" t="s">
        <v>40143</v>
      </c>
      <c r="J2078" s="1" t="s">
        <v>40144</v>
      </c>
      <c r="K2078" s="1" t="s">
        <v>40145</v>
      </c>
      <c r="L2078" s="1" t="s">
        <v>40146</v>
      </c>
      <c r="M2078" s="1" t="s">
        <v>40147</v>
      </c>
      <c r="N2078" s="1" t="s">
        <v>132</v>
      </c>
      <c r="O2078" s="1" t="s">
        <v>40148</v>
      </c>
      <c r="P2078" s="1" t="s">
        <v>40149</v>
      </c>
      <c r="Q2078" s="1" t="s">
        <v>132</v>
      </c>
      <c r="R2078" s="1" t="s">
        <v>40150</v>
      </c>
      <c r="S2078" s="1" t="s">
        <v>40151</v>
      </c>
      <c r="T2078" s="8" t="s">
        <v>40152</v>
      </c>
      <c r="U2078" s="1" t="s">
        <v>40153</v>
      </c>
      <c r="V2078" s="1" t="s">
        <v>40154</v>
      </c>
      <c r="W2078" s="1" t="s">
        <v>40155</v>
      </c>
      <c r="X2078" s="1" t="s">
        <v>40156</v>
      </c>
      <c r="Y2078" s="1" t="s">
        <v>40142</v>
      </c>
      <c r="Z2078" s="1" t="s">
        <v>40157</v>
      </c>
      <c r="AA2078" s="1" t="s">
        <v>40158</v>
      </c>
      <c r="AB2078" s="1" t="s">
        <v>132</v>
      </c>
      <c r="AC2078" s="1" t="s">
        <v>40159</v>
      </c>
      <c r="AD2078" s="1" t="s">
        <v>40160</v>
      </c>
      <c r="AE2078" s="1" t="s">
        <v>40161</v>
      </c>
      <c r="AF2078" s="1" t="s">
        <v>40162</v>
      </c>
      <c r="AG2078" s="1" t="s">
        <v>40163</v>
      </c>
      <c r="AH2078" s="1" t="s">
        <v>40164</v>
      </c>
      <c r="AI2078" s="1" t="s">
        <v>40165</v>
      </c>
      <c r="AJ2078" s="1" t="s">
        <v>132</v>
      </c>
      <c r="AK2078" s="1" t="s">
        <v>40166</v>
      </c>
      <c r="AL2078" s="1" t="s">
        <v>40167</v>
      </c>
      <c r="AM2078" s="1" t="s">
        <v>40168</v>
      </c>
      <c r="AN2078" s="1" t="s">
        <v>40168</v>
      </c>
    </row>
    <row r="2079" ht="15.75" customHeight="1">
      <c r="A2079" s="1" t="s">
        <v>127</v>
      </c>
      <c r="B2079" s="1" t="s">
        <v>40169</v>
      </c>
      <c r="C2079" s="1" t="s">
        <v>40170</v>
      </c>
      <c r="D2079" s="8" t="s">
        <v>40171</v>
      </c>
      <c r="E2079" s="1" t="s">
        <v>40172</v>
      </c>
      <c r="F2079" s="1" t="s">
        <v>132</v>
      </c>
      <c r="G2079" s="1" t="s">
        <v>40173</v>
      </c>
      <c r="H2079" s="1" t="s">
        <v>40174</v>
      </c>
      <c r="I2079" s="1" t="s">
        <v>40175</v>
      </c>
      <c r="J2079" s="1" t="s">
        <v>40170</v>
      </c>
      <c r="K2079" s="1" t="s">
        <v>40176</v>
      </c>
      <c r="L2079" s="1" t="s">
        <v>40170</v>
      </c>
      <c r="M2079" s="1" t="s">
        <v>40177</v>
      </c>
      <c r="N2079" s="1" t="s">
        <v>132</v>
      </c>
      <c r="O2079" s="1" t="s">
        <v>40178</v>
      </c>
      <c r="P2079" s="1" t="s">
        <v>40179</v>
      </c>
      <c r="Q2079" s="1" t="s">
        <v>132</v>
      </c>
      <c r="R2079" s="1" t="s">
        <v>40180</v>
      </c>
      <c r="S2079" s="1" t="s">
        <v>40181</v>
      </c>
      <c r="T2079" s="1" t="s">
        <v>40170</v>
      </c>
      <c r="U2079" s="1" t="s">
        <v>40182</v>
      </c>
      <c r="V2079" s="1" t="s">
        <v>40170</v>
      </c>
      <c r="W2079" s="1" t="s">
        <v>40183</v>
      </c>
      <c r="X2079" s="1" t="s">
        <v>40184</v>
      </c>
      <c r="Y2079" s="1" t="s">
        <v>40185</v>
      </c>
      <c r="Z2079" s="1" t="s">
        <v>40186</v>
      </c>
      <c r="AA2079" s="1" t="s">
        <v>40187</v>
      </c>
      <c r="AB2079" s="1" t="s">
        <v>132</v>
      </c>
      <c r="AC2079" s="1" t="s">
        <v>40188</v>
      </c>
      <c r="AD2079" s="1" t="s">
        <v>40189</v>
      </c>
      <c r="AE2079" s="1" t="s">
        <v>40190</v>
      </c>
      <c r="AF2079" s="1" t="s">
        <v>40170</v>
      </c>
      <c r="AG2079" s="1" t="s">
        <v>40191</v>
      </c>
      <c r="AH2079" s="1" t="s">
        <v>40192</v>
      </c>
      <c r="AI2079" s="1" t="s">
        <v>40193</v>
      </c>
      <c r="AJ2079" s="1" t="s">
        <v>132</v>
      </c>
      <c r="AK2079" s="1" t="s">
        <v>40194</v>
      </c>
      <c r="AL2079" s="1" t="s">
        <v>40195</v>
      </c>
      <c r="AM2079" s="1" t="s">
        <v>40196</v>
      </c>
      <c r="AN2079" s="1" t="s">
        <v>40196</v>
      </c>
    </row>
    <row r="2080" ht="15.75" customHeight="1">
      <c r="A2080" s="1" t="s">
        <v>127</v>
      </c>
      <c r="B2080" s="1" t="s">
        <v>40197</v>
      </c>
      <c r="C2080" s="1" t="s">
        <v>40198</v>
      </c>
      <c r="D2080" s="8" t="s">
        <v>40199</v>
      </c>
      <c r="E2080" s="1" t="s">
        <v>40200</v>
      </c>
      <c r="F2080" s="1" t="s">
        <v>132</v>
      </c>
      <c r="G2080" s="1" t="s">
        <v>40201</v>
      </c>
      <c r="H2080" s="1" t="s">
        <v>40202</v>
      </c>
      <c r="I2080" s="1" t="s">
        <v>40203</v>
      </c>
      <c r="J2080" s="1" t="s">
        <v>40204</v>
      </c>
      <c r="K2080" s="1" t="s">
        <v>40205</v>
      </c>
      <c r="L2080" s="1" t="s">
        <v>40206</v>
      </c>
      <c r="M2080" s="1" t="s">
        <v>40207</v>
      </c>
      <c r="N2080" s="1" t="s">
        <v>132</v>
      </c>
      <c r="O2080" s="1" t="s">
        <v>40208</v>
      </c>
      <c r="P2080" s="1" t="s">
        <v>40209</v>
      </c>
      <c r="Q2080" s="1" t="s">
        <v>132</v>
      </c>
      <c r="R2080" s="1" t="s">
        <v>40210</v>
      </c>
      <c r="S2080" s="1" t="s">
        <v>40211</v>
      </c>
      <c r="T2080" s="8" t="s">
        <v>40212</v>
      </c>
      <c r="U2080" s="1" t="s">
        <v>40213</v>
      </c>
      <c r="V2080" s="1" t="s">
        <v>40214</v>
      </c>
      <c r="W2080" s="1" t="s">
        <v>40215</v>
      </c>
      <c r="X2080" s="1" t="s">
        <v>40216</v>
      </c>
      <c r="Y2080" s="1" t="s">
        <v>40217</v>
      </c>
      <c r="Z2080" s="1" t="s">
        <v>40218</v>
      </c>
      <c r="AA2080" s="1" t="s">
        <v>40219</v>
      </c>
      <c r="AB2080" s="1" t="s">
        <v>132</v>
      </c>
      <c r="AC2080" s="1" t="s">
        <v>40220</v>
      </c>
      <c r="AD2080" s="1" t="s">
        <v>40221</v>
      </c>
      <c r="AE2080" s="1" t="s">
        <v>40222</v>
      </c>
      <c r="AF2080" s="1" t="s">
        <v>40223</v>
      </c>
      <c r="AG2080" s="1" t="s">
        <v>40224</v>
      </c>
      <c r="AH2080" s="1" t="s">
        <v>40225</v>
      </c>
      <c r="AI2080" s="1" t="s">
        <v>40226</v>
      </c>
      <c r="AJ2080" s="1" t="s">
        <v>132</v>
      </c>
      <c r="AK2080" s="1" t="s">
        <v>40227</v>
      </c>
      <c r="AL2080" s="1" t="s">
        <v>40228</v>
      </c>
      <c r="AM2080" s="1" t="s">
        <v>132</v>
      </c>
      <c r="AN2080" s="1" t="s">
        <v>132</v>
      </c>
    </row>
    <row r="2081" ht="15.75" customHeight="1">
      <c r="A2081" s="1" t="s">
        <v>127</v>
      </c>
      <c r="B2081" s="1" t="s">
        <v>40229</v>
      </c>
      <c r="C2081" s="1" t="s">
        <v>40230</v>
      </c>
      <c r="D2081" s="8" t="s">
        <v>40231</v>
      </c>
      <c r="E2081" s="1" t="s">
        <v>40232</v>
      </c>
      <c r="F2081" s="1" t="s">
        <v>132</v>
      </c>
      <c r="G2081" s="1" t="s">
        <v>40233</v>
      </c>
      <c r="H2081" s="1" t="s">
        <v>40234</v>
      </c>
      <c r="I2081" s="1" t="s">
        <v>40235</v>
      </c>
      <c r="J2081" s="1" t="s">
        <v>40236</v>
      </c>
      <c r="K2081" s="1" t="s">
        <v>40237</v>
      </c>
      <c r="L2081" s="1" t="s">
        <v>40238</v>
      </c>
      <c r="M2081" s="1" t="s">
        <v>40239</v>
      </c>
      <c r="N2081" s="1" t="s">
        <v>132</v>
      </c>
      <c r="O2081" s="1" t="s">
        <v>40240</v>
      </c>
      <c r="P2081" s="1" t="s">
        <v>40230</v>
      </c>
      <c r="Q2081" s="1" t="s">
        <v>132</v>
      </c>
      <c r="R2081" s="1" t="s">
        <v>40241</v>
      </c>
      <c r="S2081" s="1" t="s">
        <v>40242</v>
      </c>
      <c r="T2081" s="8" t="s">
        <v>40243</v>
      </c>
      <c r="U2081" s="1" t="s">
        <v>40244</v>
      </c>
      <c r="V2081" s="1" t="s">
        <v>40245</v>
      </c>
      <c r="W2081" s="1" t="s">
        <v>40246</v>
      </c>
      <c r="X2081" s="1" t="s">
        <v>40247</v>
      </c>
      <c r="Y2081" s="1" t="s">
        <v>40248</v>
      </c>
      <c r="Z2081" s="1" t="s">
        <v>40249</v>
      </c>
      <c r="AA2081" s="1" t="s">
        <v>40250</v>
      </c>
      <c r="AB2081" s="1" t="s">
        <v>132</v>
      </c>
      <c r="AC2081" s="1" t="s">
        <v>40251</v>
      </c>
      <c r="AD2081" s="1" t="s">
        <v>40252</v>
      </c>
      <c r="AE2081" s="1" t="s">
        <v>40253</v>
      </c>
      <c r="AF2081" s="1" t="s">
        <v>40254</v>
      </c>
      <c r="AG2081" s="1" t="s">
        <v>40255</v>
      </c>
      <c r="AH2081" s="1" t="s">
        <v>40256</v>
      </c>
      <c r="AI2081" s="1" t="s">
        <v>40257</v>
      </c>
      <c r="AJ2081" s="1" t="s">
        <v>132</v>
      </c>
      <c r="AK2081" s="1" t="s">
        <v>40258</v>
      </c>
      <c r="AL2081" s="1" t="s">
        <v>40259</v>
      </c>
      <c r="AM2081" s="1" t="s">
        <v>132</v>
      </c>
      <c r="AN2081" s="1" t="s">
        <v>132</v>
      </c>
    </row>
    <row r="2082" ht="15.75" customHeight="1">
      <c r="A2082" s="1" t="s">
        <v>127</v>
      </c>
      <c r="B2082" s="1" t="s">
        <v>40260</v>
      </c>
      <c r="C2082" s="1" t="s">
        <v>40261</v>
      </c>
      <c r="D2082" s="8" t="s">
        <v>40262</v>
      </c>
      <c r="E2082" s="1" t="s">
        <v>40263</v>
      </c>
      <c r="F2082" s="1" t="s">
        <v>132</v>
      </c>
      <c r="G2082" s="1" t="s">
        <v>40264</v>
      </c>
      <c r="H2082" s="1" t="s">
        <v>40265</v>
      </c>
      <c r="I2082" s="1" t="s">
        <v>40265</v>
      </c>
      <c r="J2082" s="1" t="s">
        <v>40266</v>
      </c>
      <c r="K2082" s="1" t="s">
        <v>40267</v>
      </c>
      <c r="L2082" s="1" t="s">
        <v>40268</v>
      </c>
      <c r="M2082" s="1" t="s">
        <v>40269</v>
      </c>
      <c r="N2082" s="1" t="s">
        <v>132</v>
      </c>
      <c r="O2082" s="1" t="s">
        <v>40270</v>
      </c>
      <c r="P2082" s="1" t="s">
        <v>40264</v>
      </c>
      <c r="Q2082" s="1" t="s">
        <v>132</v>
      </c>
      <c r="R2082" s="1" t="s">
        <v>40265</v>
      </c>
      <c r="S2082" s="1" t="s">
        <v>40271</v>
      </c>
      <c r="T2082" s="8" t="s">
        <v>40272</v>
      </c>
      <c r="U2082" s="1" t="s">
        <v>40273</v>
      </c>
      <c r="V2082" s="1" t="s">
        <v>40274</v>
      </c>
      <c r="W2082" s="1" t="s">
        <v>40265</v>
      </c>
      <c r="X2082" s="1" t="s">
        <v>40275</v>
      </c>
      <c r="Y2082" s="1" t="s">
        <v>40276</v>
      </c>
      <c r="Z2082" s="1" t="s">
        <v>40277</v>
      </c>
      <c r="AA2082" s="1" t="s">
        <v>40267</v>
      </c>
      <c r="AB2082" s="1" t="s">
        <v>132</v>
      </c>
      <c r="AC2082" s="1" t="s">
        <v>40263</v>
      </c>
      <c r="AD2082" s="1" t="s">
        <v>40264</v>
      </c>
      <c r="AE2082" s="1" t="s">
        <v>40264</v>
      </c>
      <c r="AF2082" s="1" t="s">
        <v>40264</v>
      </c>
      <c r="AG2082" s="1" t="s">
        <v>40265</v>
      </c>
      <c r="AH2082" s="1" t="s">
        <v>40278</v>
      </c>
      <c r="AI2082" s="1" t="s">
        <v>40264</v>
      </c>
      <c r="AJ2082" s="1" t="s">
        <v>132</v>
      </c>
      <c r="AK2082" s="1" t="s">
        <v>40279</v>
      </c>
      <c r="AL2082" s="1" t="s">
        <v>40273</v>
      </c>
      <c r="AM2082" s="1" t="s">
        <v>40280</v>
      </c>
      <c r="AN2082" s="1" t="s">
        <v>40280</v>
      </c>
    </row>
    <row r="2083" ht="15.75" customHeight="1">
      <c r="A2083" s="1" t="s">
        <v>38</v>
      </c>
      <c r="B2083" s="1" t="s">
        <v>40281</v>
      </c>
      <c r="C2083" s="1" t="s">
        <v>40282</v>
      </c>
      <c r="D2083" s="1" t="s">
        <v>132</v>
      </c>
      <c r="E2083" s="1" t="s">
        <v>40283</v>
      </c>
      <c r="F2083" s="1" t="s">
        <v>40284</v>
      </c>
      <c r="G2083" s="1" t="s">
        <v>132</v>
      </c>
      <c r="H2083" s="1" t="s">
        <v>132</v>
      </c>
      <c r="I2083" s="1" t="s">
        <v>40285</v>
      </c>
      <c r="J2083" s="1" t="s">
        <v>132</v>
      </c>
      <c r="K2083" s="1" t="s">
        <v>40286</v>
      </c>
      <c r="L2083" s="1" t="s">
        <v>132</v>
      </c>
      <c r="M2083" s="1" t="s">
        <v>40287</v>
      </c>
      <c r="N2083" s="1" t="s">
        <v>40288</v>
      </c>
      <c r="O2083" s="1" t="s">
        <v>132</v>
      </c>
      <c r="P2083" s="1" t="s">
        <v>40289</v>
      </c>
      <c r="Q2083" s="1" t="s">
        <v>132</v>
      </c>
      <c r="R2083" s="1" t="s">
        <v>132</v>
      </c>
      <c r="S2083" s="1" t="s">
        <v>40290</v>
      </c>
      <c r="T2083" s="1" t="s">
        <v>132</v>
      </c>
      <c r="U2083" s="1" t="s">
        <v>132</v>
      </c>
      <c r="V2083" s="1" t="s">
        <v>132</v>
      </c>
      <c r="W2083" s="1" t="s">
        <v>132</v>
      </c>
      <c r="X2083" s="1" t="s">
        <v>40291</v>
      </c>
      <c r="Y2083" s="1" t="s">
        <v>132</v>
      </c>
      <c r="Z2083" s="1" t="s">
        <v>40292</v>
      </c>
      <c r="AA2083" s="1" t="s">
        <v>132</v>
      </c>
      <c r="AB2083" s="1" t="s">
        <v>132</v>
      </c>
      <c r="AC2083" s="1" t="s">
        <v>132</v>
      </c>
      <c r="AD2083" s="1" t="s">
        <v>132</v>
      </c>
      <c r="AE2083" s="1" t="s">
        <v>132</v>
      </c>
      <c r="AF2083" s="1" t="s">
        <v>40293</v>
      </c>
      <c r="AG2083" s="1" t="s">
        <v>132</v>
      </c>
      <c r="AH2083" s="1" t="s">
        <v>132</v>
      </c>
      <c r="AI2083" s="1" t="s">
        <v>132</v>
      </c>
      <c r="AJ2083" s="1" t="s">
        <v>132</v>
      </c>
      <c r="AK2083" s="1" t="s">
        <v>132</v>
      </c>
      <c r="AL2083" s="1" t="s">
        <v>132</v>
      </c>
      <c r="AM2083" s="1" t="s">
        <v>132</v>
      </c>
      <c r="AN2083" s="1" t="s">
        <v>132</v>
      </c>
    </row>
    <row r="2084" ht="15.75" customHeight="1">
      <c r="A2084" s="1" t="s">
        <v>127</v>
      </c>
      <c r="B2084" s="1" t="s">
        <v>40294</v>
      </c>
      <c r="C2084" s="1" t="s">
        <v>40295</v>
      </c>
      <c r="D2084" s="8" t="s">
        <v>40296</v>
      </c>
      <c r="E2084" s="1" t="s">
        <v>40297</v>
      </c>
      <c r="F2084" s="1" t="s">
        <v>132</v>
      </c>
      <c r="G2084" s="1" t="s">
        <v>40298</v>
      </c>
      <c r="H2084" s="1" t="s">
        <v>40299</v>
      </c>
      <c r="I2084" s="1" t="s">
        <v>40300</v>
      </c>
      <c r="J2084" s="1" t="s">
        <v>40301</v>
      </c>
      <c r="K2084" s="1" t="s">
        <v>40302</v>
      </c>
      <c r="L2084" s="1" t="s">
        <v>40303</v>
      </c>
      <c r="M2084" s="1" t="s">
        <v>40304</v>
      </c>
      <c r="N2084" s="1" t="s">
        <v>132</v>
      </c>
      <c r="O2084" s="1" t="s">
        <v>40305</v>
      </c>
      <c r="P2084" s="1" t="s">
        <v>40306</v>
      </c>
      <c r="Q2084" s="1" t="s">
        <v>132</v>
      </c>
      <c r="R2084" s="1" t="s">
        <v>40307</v>
      </c>
      <c r="S2084" s="1" t="s">
        <v>40308</v>
      </c>
      <c r="T2084" s="8" t="s">
        <v>40309</v>
      </c>
      <c r="U2084" s="1" t="s">
        <v>40310</v>
      </c>
      <c r="V2084" s="1" t="s">
        <v>40311</v>
      </c>
      <c r="W2084" s="1" t="s">
        <v>40307</v>
      </c>
      <c r="X2084" s="1" t="s">
        <v>40312</v>
      </c>
      <c r="Y2084" s="1" t="s">
        <v>40313</v>
      </c>
      <c r="Z2084" s="1" t="s">
        <v>40314</v>
      </c>
      <c r="AA2084" s="1" t="s">
        <v>40315</v>
      </c>
      <c r="AB2084" s="1" t="s">
        <v>132</v>
      </c>
      <c r="AC2084" s="1" t="s">
        <v>40316</v>
      </c>
      <c r="AD2084" s="1" t="s">
        <v>40317</v>
      </c>
      <c r="AE2084" s="1" t="s">
        <v>40318</v>
      </c>
      <c r="AF2084" s="1" t="s">
        <v>40319</v>
      </c>
      <c r="AG2084" s="1" t="s">
        <v>40320</v>
      </c>
      <c r="AH2084" s="1" t="s">
        <v>40321</v>
      </c>
      <c r="AI2084" s="1" t="s">
        <v>40322</v>
      </c>
      <c r="AJ2084" s="1" t="s">
        <v>132</v>
      </c>
      <c r="AK2084" s="1" t="s">
        <v>40323</v>
      </c>
      <c r="AL2084" s="1" t="s">
        <v>40324</v>
      </c>
      <c r="AM2084" s="1" t="s">
        <v>132</v>
      </c>
      <c r="AN2084" s="1" t="s">
        <v>132</v>
      </c>
    </row>
    <row r="2085" ht="15.75" customHeight="1">
      <c r="A2085" s="1" t="s">
        <v>127</v>
      </c>
      <c r="B2085" s="1" t="s">
        <v>40325</v>
      </c>
      <c r="C2085" s="1" t="s">
        <v>40326</v>
      </c>
      <c r="D2085" s="8" t="s">
        <v>40327</v>
      </c>
      <c r="E2085" s="1" t="s">
        <v>40328</v>
      </c>
      <c r="F2085" s="1" t="s">
        <v>132</v>
      </c>
      <c r="G2085" s="1" t="s">
        <v>40329</v>
      </c>
      <c r="H2085" s="1" t="s">
        <v>40330</v>
      </c>
      <c r="I2085" s="1" t="s">
        <v>40331</v>
      </c>
      <c r="J2085" s="1" t="s">
        <v>40332</v>
      </c>
      <c r="K2085" s="1" t="s">
        <v>40333</v>
      </c>
      <c r="L2085" s="1" t="s">
        <v>40334</v>
      </c>
      <c r="M2085" s="1" t="s">
        <v>40335</v>
      </c>
      <c r="N2085" s="1" t="s">
        <v>132</v>
      </c>
      <c r="O2085" s="1" t="s">
        <v>40336</v>
      </c>
      <c r="P2085" s="1" t="s">
        <v>40337</v>
      </c>
      <c r="Q2085" s="1" t="s">
        <v>132</v>
      </c>
      <c r="R2085" s="1" t="s">
        <v>40338</v>
      </c>
      <c r="S2085" s="1" t="s">
        <v>40339</v>
      </c>
      <c r="T2085" s="8" t="s">
        <v>40340</v>
      </c>
      <c r="U2085" s="1" t="s">
        <v>40341</v>
      </c>
      <c r="V2085" s="1" t="s">
        <v>40342</v>
      </c>
      <c r="W2085" s="1" t="s">
        <v>40338</v>
      </c>
      <c r="X2085" s="1" t="s">
        <v>40343</v>
      </c>
      <c r="Y2085" s="1" t="s">
        <v>40330</v>
      </c>
      <c r="Z2085" s="1" t="s">
        <v>40344</v>
      </c>
      <c r="AA2085" s="1" t="s">
        <v>40339</v>
      </c>
      <c r="AB2085" s="1" t="s">
        <v>132</v>
      </c>
      <c r="AC2085" s="1" t="s">
        <v>40345</v>
      </c>
      <c r="AD2085" s="1" t="s">
        <v>40346</v>
      </c>
      <c r="AE2085" s="1" t="s">
        <v>40347</v>
      </c>
      <c r="AF2085" s="1" t="s">
        <v>40348</v>
      </c>
      <c r="AG2085" s="1" t="s">
        <v>40338</v>
      </c>
      <c r="AH2085" s="1" t="s">
        <v>40349</v>
      </c>
      <c r="AI2085" s="1" t="s">
        <v>40338</v>
      </c>
      <c r="AJ2085" s="1" t="s">
        <v>132</v>
      </c>
      <c r="AK2085" s="1" t="s">
        <v>40350</v>
      </c>
      <c r="AL2085" s="1" t="s">
        <v>40351</v>
      </c>
      <c r="AM2085" s="1" t="s">
        <v>40352</v>
      </c>
      <c r="AN2085" s="1" t="s">
        <v>40352</v>
      </c>
    </row>
    <row r="2086" ht="15.75" customHeight="1">
      <c r="A2086" s="1" t="s">
        <v>127</v>
      </c>
      <c r="B2086" s="1" t="s">
        <v>40353</v>
      </c>
      <c r="C2086" s="1" t="s">
        <v>25048</v>
      </c>
      <c r="D2086" s="8" t="s">
        <v>25049</v>
      </c>
      <c r="E2086" s="1" t="s">
        <v>25050</v>
      </c>
      <c r="F2086" s="1" t="s">
        <v>132</v>
      </c>
      <c r="G2086" s="1" t="s">
        <v>25051</v>
      </c>
      <c r="H2086" s="1" t="s">
        <v>25052</v>
      </c>
      <c r="I2086" s="1" t="s">
        <v>25053</v>
      </c>
      <c r="J2086" s="1" t="s">
        <v>25054</v>
      </c>
      <c r="K2086" s="1" t="s">
        <v>25055</v>
      </c>
      <c r="L2086" s="1" t="s">
        <v>25056</v>
      </c>
      <c r="M2086" s="1" t="s">
        <v>25057</v>
      </c>
      <c r="N2086" s="1" t="s">
        <v>132</v>
      </c>
      <c r="O2086" s="1" t="s">
        <v>25058</v>
      </c>
      <c r="P2086" s="1" t="s">
        <v>25059</v>
      </c>
      <c r="Q2086" s="1" t="s">
        <v>132</v>
      </c>
      <c r="R2086" s="1" t="s">
        <v>25060</v>
      </c>
      <c r="S2086" s="1" t="s">
        <v>25061</v>
      </c>
      <c r="T2086" s="8" t="s">
        <v>25062</v>
      </c>
      <c r="U2086" s="1" t="s">
        <v>40354</v>
      </c>
      <c r="V2086" s="1" t="s">
        <v>25064</v>
      </c>
      <c r="W2086" s="1" t="s">
        <v>25065</v>
      </c>
      <c r="X2086" s="1" t="s">
        <v>25048</v>
      </c>
      <c r="Y2086" s="1" t="s">
        <v>25052</v>
      </c>
      <c r="Z2086" s="1" t="s">
        <v>25067</v>
      </c>
      <c r="AA2086" s="1" t="s">
        <v>25055</v>
      </c>
      <c r="AB2086" s="1" t="s">
        <v>132</v>
      </c>
      <c r="AC2086" s="1" t="s">
        <v>25070</v>
      </c>
      <c r="AD2086" s="1" t="s">
        <v>25051</v>
      </c>
      <c r="AE2086" s="1" t="s">
        <v>25071</v>
      </c>
      <c r="AF2086" s="1" t="s">
        <v>25072</v>
      </c>
      <c r="AG2086" s="1" t="s">
        <v>25073</v>
      </c>
      <c r="AH2086" s="1" t="s">
        <v>17691</v>
      </c>
      <c r="AI2086" s="1" t="s">
        <v>25074</v>
      </c>
      <c r="AJ2086" s="1" t="s">
        <v>132</v>
      </c>
      <c r="AK2086" s="1" t="s">
        <v>25075</v>
      </c>
      <c r="AL2086" s="1" t="s">
        <v>25076</v>
      </c>
      <c r="AM2086" s="1" t="s">
        <v>132</v>
      </c>
      <c r="AN2086" s="1" t="s">
        <v>132</v>
      </c>
    </row>
    <row r="2087" ht="15.75" customHeight="1">
      <c r="A2087" s="1" t="s">
        <v>127</v>
      </c>
      <c r="B2087" s="1" t="s">
        <v>40355</v>
      </c>
      <c r="C2087" s="1" t="s">
        <v>40356</v>
      </c>
      <c r="D2087" s="8" t="s">
        <v>40357</v>
      </c>
      <c r="E2087" s="1" t="s">
        <v>40358</v>
      </c>
      <c r="F2087" s="1" t="s">
        <v>132</v>
      </c>
      <c r="G2087" s="1" t="s">
        <v>40359</v>
      </c>
      <c r="H2087" s="1" t="s">
        <v>40360</v>
      </c>
      <c r="I2087" s="1" t="s">
        <v>40361</v>
      </c>
      <c r="J2087" s="1" t="s">
        <v>40362</v>
      </c>
      <c r="K2087" s="1" t="s">
        <v>40363</v>
      </c>
      <c r="L2087" s="1" t="s">
        <v>40364</v>
      </c>
      <c r="M2087" s="1" t="s">
        <v>40365</v>
      </c>
      <c r="N2087" s="1" t="s">
        <v>132</v>
      </c>
      <c r="O2087" s="1" t="s">
        <v>40366</v>
      </c>
      <c r="P2087" s="1" t="s">
        <v>40367</v>
      </c>
      <c r="Q2087" s="1" t="s">
        <v>132</v>
      </c>
      <c r="R2087" s="1" t="s">
        <v>40368</v>
      </c>
      <c r="S2087" s="1" t="s">
        <v>40369</v>
      </c>
      <c r="T2087" s="8" t="s">
        <v>40370</v>
      </c>
      <c r="U2087" s="1" t="s">
        <v>40371</v>
      </c>
      <c r="V2087" s="1" t="s">
        <v>40372</v>
      </c>
      <c r="W2087" s="1" t="s">
        <v>40373</v>
      </c>
      <c r="X2087" s="1" t="s">
        <v>40374</v>
      </c>
      <c r="Y2087" s="1" t="s">
        <v>40375</v>
      </c>
      <c r="Z2087" s="1" t="s">
        <v>40376</v>
      </c>
      <c r="AA2087" s="1" t="s">
        <v>40377</v>
      </c>
      <c r="AB2087" s="1" t="s">
        <v>132</v>
      </c>
      <c r="AC2087" s="1" t="s">
        <v>40358</v>
      </c>
      <c r="AD2087" s="1" t="s">
        <v>40378</v>
      </c>
      <c r="AE2087" s="1" t="s">
        <v>40379</v>
      </c>
      <c r="AF2087" s="1" t="s">
        <v>40380</v>
      </c>
      <c r="AG2087" s="1" t="s">
        <v>40381</v>
      </c>
      <c r="AH2087" s="1" t="s">
        <v>40382</v>
      </c>
      <c r="AI2087" s="1" t="s">
        <v>40383</v>
      </c>
      <c r="AJ2087" s="1" t="s">
        <v>132</v>
      </c>
      <c r="AK2087" s="1" t="s">
        <v>40384</v>
      </c>
      <c r="AL2087" s="1" t="s">
        <v>40385</v>
      </c>
      <c r="AM2087" s="1" t="s">
        <v>132</v>
      </c>
      <c r="AN2087" s="1" t="s">
        <v>132</v>
      </c>
    </row>
    <row r="2088" ht="15.75" customHeight="1">
      <c r="A2088" s="1" t="s">
        <v>38</v>
      </c>
      <c r="B2088" s="1" t="s">
        <v>40386</v>
      </c>
      <c r="C2088" s="1" t="s">
        <v>40387</v>
      </c>
      <c r="D2088" s="1" t="s">
        <v>132</v>
      </c>
      <c r="E2088" s="1" t="s">
        <v>132</v>
      </c>
      <c r="F2088" s="1" t="s">
        <v>132</v>
      </c>
      <c r="G2088" s="1" t="s">
        <v>132</v>
      </c>
      <c r="H2088" s="1" t="s">
        <v>132</v>
      </c>
      <c r="I2088" s="1" t="s">
        <v>40387</v>
      </c>
      <c r="J2088" s="1" t="s">
        <v>132</v>
      </c>
      <c r="K2088" s="1" t="s">
        <v>40387</v>
      </c>
      <c r="L2088" s="1" t="s">
        <v>132</v>
      </c>
      <c r="M2088" s="1" t="s">
        <v>40388</v>
      </c>
      <c r="N2088" s="1" t="s">
        <v>132</v>
      </c>
      <c r="O2088" s="1" t="s">
        <v>132</v>
      </c>
      <c r="P2088" s="1" t="s">
        <v>40387</v>
      </c>
      <c r="Q2088" s="1" t="s">
        <v>132</v>
      </c>
      <c r="R2088" s="1" t="s">
        <v>132</v>
      </c>
      <c r="S2088" s="1" t="s">
        <v>132</v>
      </c>
      <c r="T2088" s="1" t="s">
        <v>132</v>
      </c>
      <c r="U2088" s="1" t="s">
        <v>132</v>
      </c>
      <c r="V2088" s="1" t="s">
        <v>132</v>
      </c>
      <c r="W2088" s="1" t="s">
        <v>132</v>
      </c>
      <c r="X2088" s="1" t="s">
        <v>132</v>
      </c>
      <c r="Y2088" s="1" t="s">
        <v>132</v>
      </c>
      <c r="Z2088" s="1" t="s">
        <v>132</v>
      </c>
      <c r="AA2088" s="1" t="s">
        <v>132</v>
      </c>
      <c r="AB2088" s="1" t="s">
        <v>132</v>
      </c>
      <c r="AC2088" s="1" t="s">
        <v>40389</v>
      </c>
      <c r="AD2088" s="1" t="s">
        <v>132</v>
      </c>
      <c r="AE2088" s="1" t="s">
        <v>132</v>
      </c>
      <c r="AF2088" s="1" t="s">
        <v>40390</v>
      </c>
      <c r="AG2088" s="1" t="s">
        <v>132</v>
      </c>
      <c r="AH2088" s="1" t="s">
        <v>132</v>
      </c>
      <c r="AI2088" s="1" t="s">
        <v>132</v>
      </c>
      <c r="AJ2088" s="1" t="s">
        <v>132</v>
      </c>
      <c r="AK2088" s="1" t="s">
        <v>132</v>
      </c>
      <c r="AL2088" s="1" t="s">
        <v>132</v>
      </c>
      <c r="AM2088" s="1" t="s">
        <v>132</v>
      </c>
      <c r="AN2088" s="1" t="s">
        <v>132</v>
      </c>
    </row>
    <row r="2089" ht="15.75" customHeight="1">
      <c r="A2089" s="1" t="s">
        <v>127</v>
      </c>
      <c r="B2089" s="1" t="s">
        <v>40391</v>
      </c>
      <c r="C2089" s="1" t="s">
        <v>35326</v>
      </c>
      <c r="D2089" s="8" t="s">
        <v>40392</v>
      </c>
      <c r="E2089" s="1" t="s">
        <v>35327</v>
      </c>
      <c r="F2089" s="1" t="s">
        <v>132</v>
      </c>
      <c r="G2089" s="1" t="s">
        <v>35328</v>
      </c>
      <c r="H2089" s="1" t="s">
        <v>35329</v>
      </c>
      <c r="I2089" s="1" t="s">
        <v>35326</v>
      </c>
      <c r="J2089" s="1" t="s">
        <v>35330</v>
      </c>
      <c r="K2089" s="1" t="s">
        <v>15925</v>
      </c>
      <c r="L2089" s="1" t="s">
        <v>35332</v>
      </c>
      <c r="M2089" s="1" t="s">
        <v>35333</v>
      </c>
      <c r="N2089" s="1" t="s">
        <v>132</v>
      </c>
      <c r="O2089" s="1" t="s">
        <v>35334</v>
      </c>
      <c r="P2089" s="1" t="s">
        <v>35335</v>
      </c>
      <c r="Q2089" s="1" t="s">
        <v>132</v>
      </c>
      <c r="R2089" s="1" t="s">
        <v>40393</v>
      </c>
      <c r="S2089" s="1" t="s">
        <v>35337</v>
      </c>
      <c r="T2089" s="8" t="s">
        <v>40394</v>
      </c>
      <c r="U2089" s="1" t="s">
        <v>35339</v>
      </c>
      <c r="V2089" s="1" t="s">
        <v>17685</v>
      </c>
      <c r="W2089" s="1" t="s">
        <v>17686</v>
      </c>
      <c r="X2089" s="1" t="s">
        <v>40395</v>
      </c>
      <c r="Y2089" s="1" t="s">
        <v>35341</v>
      </c>
      <c r="Z2089" s="1" t="s">
        <v>15925</v>
      </c>
      <c r="AA2089" s="1" t="s">
        <v>40396</v>
      </c>
      <c r="AB2089" s="1" t="s">
        <v>132</v>
      </c>
      <c r="AC2089" s="1" t="s">
        <v>35344</v>
      </c>
      <c r="AD2089" s="1" t="s">
        <v>35345</v>
      </c>
      <c r="AE2089" s="1" t="s">
        <v>35326</v>
      </c>
      <c r="AF2089" s="1" t="s">
        <v>35326</v>
      </c>
      <c r="AG2089" s="1" t="s">
        <v>35346</v>
      </c>
      <c r="AH2089" s="1" t="s">
        <v>35347</v>
      </c>
      <c r="AI2089" s="1" t="s">
        <v>35348</v>
      </c>
      <c r="AJ2089" s="1" t="s">
        <v>132</v>
      </c>
      <c r="AK2089" s="1" t="s">
        <v>35349</v>
      </c>
      <c r="AL2089" s="1" t="s">
        <v>35350</v>
      </c>
      <c r="AM2089" s="1" t="s">
        <v>132</v>
      </c>
      <c r="AN2089" s="1" t="s">
        <v>132</v>
      </c>
    </row>
    <row r="2090" ht="15.75" customHeight="1">
      <c r="A2090" s="1" t="s">
        <v>127</v>
      </c>
      <c r="B2090" s="1" t="s">
        <v>40397</v>
      </c>
      <c r="C2090" s="1" t="s">
        <v>40398</v>
      </c>
      <c r="D2090" s="8" t="s">
        <v>40399</v>
      </c>
      <c r="E2090" s="1" t="s">
        <v>40400</v>
      </c>
      <c r="F2090" s="1" t="s">
        <v>132</v>
      </c>
      <c r="G2090" s="1" t="s">
        <v>40401</v>
      </c>
      <c r="H2090" s="1" t="s">
        <v>40402</v>
      </c>
      <c r="I2090" s="1" t="s">
        <v>40403</v>
      </c>
      <c r="J2090" s="1" t="s">
        <v>40404</v>
      </c>
      <c r="K2090" s="1" t="s">
        <v>40405</v>
      </c>
      <c r="L2090" s="1" t="s">
        <v>40406</v>
      </c>
      <c r="M2090" s="1" t="s">
        <v>40407</v>
      </c>
      <c r="N2090" s="1" t="s">
        <v>132</v>
      </c>
      <c r="O2090" s="1" t="s">
        <v>40408</v>
      </c>
      <c r="P2090" s="1" t="s">
        <v>27954</v>
      </c>
      <c r="Q2090" s="1" t="s">
        <v>132</v>
      </c>
      <c r="R2090" s="1" t="s">
        <v>40409</v>
      </c>
      <c r="S2090" s="1" t="s">
        <v>40410</v>
      </c>
      <c r="T2090" s="8" t="s">
        <v>40411</v>
      </c>
      <c r="U2090" s="1" t="s">
        <v>40412</v>
      </c>
      <c r="V2090" s="1" t="s">
        <v>40413</v>
      </c>
      <c r="W2090" s="1" t="s">
        <v>40414</v>
      </c>
      <c r="X2090" s="1" t="s">
        <v>40415</v>
      </c>
      <c r="Y2090" s="1" t="s">
        <v>40416</v>
      </c>
      <c r="Z2090" s="1" t="s">
        <v>27963</v>
      </c>
      <c r="AA2090" s="1" t="s">
        <v>40417</v>
      </c>
      <c r="AB2090" s="1" t="s">
        <v>132</v>
      </c>
      <c r="AC2090" s="1" t="s">
        <v>27966</v>
      </c>
      <c r="AD2090" s="1" t="s">
        <v>40418</v>
      </c>
      <c r="AE2090" s="1" t="s">
        <v>40419</v>
      </c>
      <c r="AF2090" s="1" t="s">
        <v>40420</v>
      </c>
      <c r="AG2090" s="1" t="s">
        <v>40421</v>
      </c>
      <c r="AH2090" s="1" t="s">
        <v>40422</v>
      </c>
      <c r="AI2090" s="1" t="s">
        <v>40423</v>
      </c>
      <c r="AJ2090" s="1" t="s">
        <v>132</v>
      </c>
      <c r="AK2090" s="1" t="s">
        <v>40424</v>
      </c>
      <c r="AL2090" s="1" t="s">
        <v>40425</v>
      </c>
      <c r="AM2090" s="1" t="s">
        <v>40426</v>
      </c>
      <c r="AN2090" s="1" t="s">
        <v>40426</v>
      </c>
    </row>
    <row r="2091" ht="15.75" customHeight="1">
      <c r="A2091" s="1" t="s">
        <v>38</v>
      </c>
      <c r="B2091" s="1" t="s">
        <v>40427</v>
      </c>
      <c r="C2091" s="1" t="s">
        <v>40428</v>
      </c>
      <c r="D2091" s="1" t="s">
        <v>132</v>
      </c>
      <c r="E2091" s="1" t="s">
        <v>40429</v>
      </c>
      <c r="F2091" s="1" t="s">
        <v>40430</v>
      </c>
      <c r="G2091" s="1" t="s">
        <v>132</v>
      </c>
      <c r="H2091" s="1" t="s">
        <v>132</v>
      </c>
      <c r="I2091" s="1" t="s">
        <v>40431</v>
      </c>
      <c r="J2091" s="1" t="s">
        <v>132</v>
      </c>
      <c r="K2091" s="1" t="s">
        <v>40432</v>
      </c>
      <c r="L2091" s="1" t="s">
        <v>132</v>
      </c>
      <c r="M2091" s="1" t="s">
        <v>40433</v>
      </c>
      <c r="N2091" s="1" t="s">
        <v>40434</v>
      </c>
      <c r="O2091" s="1" t="s">
        <v>132</v>
      </c>
      <c r="P2091" s="1" t="s">
        <v>40435</v>
      </c>
      <c r="Q2091" s="1" t="s">
        <v>132</v>
      </c>
      <c r="R2091" s="1" t="s">
        <v>132</v>
      </c>
      <c r="S2091" s="1" t="s">
        <v>40436</v>
      </c>
      <c r="T2091" s="1" t="s">
        <v>132</v>
      </c>
      <c r="U2091" s="1" t="s">
        <v>40437</v>
      </c>
      <c r="V2091" s="1" t="s">
        <v>132</v>
      </c>
      <c r="W2091" s="1" t="s">
        <v>132</v>
      </c>
      <c r="X2091" s="1" t="s">
        <v>40438</v>
      </c>
      <c r="Y2091" s="1" t="s">
        <v>132</v>
      </c>
      <c r="Z2091" s="1" t="s">
        <v>40439</v>
      </c>
      <c r="AA2091" s="1" t="s">
        <v>132</v>
      </c>
      <c r="AB2091" s="1" t="s">
        <v>132</v>
      </c>
      <c r="AC2091" s="1" t="s">
        <v>132</v>
      </c>
      <c r="AD2091" s="1" t="s">
        <v>132</v>
      </c>
      <c r="AE2091" s="1" t="s">
        <v>132</v>
      </c>
      <c r="AF2091" s="1" t="s">
        <v>132</v>
      </c>
      <c r="AG2091" s="1" t="s">
        <v>132</v>
      </c>
      <c r="AH2091" s="1" t="s">
        <v>132</v>
      </c>
      <c r="AI2091" s="1" t="s">
        <v>132</v>
      </c>
      <c r="AJ2091" s="1" t="s">
        <v>132</v>
      </c>
      <c r="AK2091" s="1" t="s">
        <v>132</v>
      </c>
      <c r="AL2091" s="1" t="s">
        <v>132</v>
      </c>
      <c r="AM2091" s="1" t="s">
        <v>40440</v>
      </c>
      <c r="AN2091" s="1" t="s">
        <v>40440</v>
      </c>
    </row>
    <row r="2092" ht="15.75" customHeight="1">
      <c r="A2092" s="1" t="s">
        <v>38</v>
      </c>
      <c r="B2092" s="1" t="s">
        <v>40441</v>
      </c>
      <c r="C2092" s="1" t="s">
        <v>40442</v>
      </c>
      <c r="D2092" s="1" t="s">
        <v>132</v>
      </c>
      <c r="E2092" s="1" t="s">
        <v>132</v>
      </c>
      <c r="F2092" s="1" t="s">
        <v>132</v>
      </c>
      <c r="G2092" s="1" t="s">
        <v>132</v>
      </c>
      <c r="H2092" s="1" t="s">
        <v>132</v>
      </c>
      <c r="I2092" s="1" t="s">
        <v>40443</v>
      </c>
      <c r="J2092" s="1" t="s">
        <v>132</v>
      </c>
      <c r="K2092" s="1" t="s">
        <v>40444</v>
      </c>
      <c r="L2092" s="1" t="s">
        <v>132</v>
      </c>
      <c r="M2092" s="1" t="s">
        <v>40445</v>
      </c>
      <c r="N2092" s="1" t="s">
        <v>132</v>
      </c>
      <c r="O2092" s="1" t="s">
        <v>132</v>
      </c>
      <c r="P2092" s="1" t="s">
        <v>2804</v>
      </c>
      <c r="Q2092" s="1" t="s">
        <v>132</v>
      </c>
      <c r="R2092" s="1" t="s">
        <v>132</v>
      </c>
      <c r="S2092" s="1" t="s">
        <v>132</v>
      </c>
      <c r="T2092" s="1" t="s">
        <v>132</v>
      </c>
      <c r="U2092" s="1" t="s">
        <v>132</v>
      </c>
      <c r="V2092" s="1" t="s">
        <v>132</v>
      </c>
      <c r="W2092" s="1" t="s">
        <v>132</v>
      </c>
      <c r="X2092" s="1" t="s">
        <v>132</v>
      </c>
      <c r="Y2092" s="1" t="s">
        <v>132</v>
      </c>
      <c r="Z2092" s="1" t="s">
        <v>132</v>
      </c>
      <c r="AA2092" s="1" t="s">
        <v>132</v>
      </c>
      <c r="AB2092" s="1" t="s">
        <v>132</v>
      </c>
      <c r="AC2092" s="1" t="s">
        <v>40446</v>
      </c>
      <c r="AD2092" s="1" t="s">
        <v>132</v>
      </c>
      <c r="AE2092" s="1" t="s">
        <v>132</v>
      </c>
      <c r="AF2092" s="1" t="s">
        <v>21083</v>
      </c>
      <c r="AG2092" s="1" t="s">
        <v>132</v>
      </c>
      <c r="AH2092" s="1" t="s">
        <v>132</v>
      </c>
      <c r="AI2092" s="1" t="s">
        <v>132</v>
      </c>
      <c r="AJ2092" s="1" t="s">
        <v>132</v>
      </c>
      <c r="AK2092" s="1" t="s">
        <v>132</v>
      </c>
      <c r="AL2092" s="1" t="s">
        <v>132</v>
      </c>
      <c r="AM2092" s="1" t="s">
        <v>132</v>
      </c>
      <c r="AN2092" s="1" t="s">
        <v>132</v>
      </c>
    </row>
    <row r="2093" ht="15.75" customHeight="1">
      <c r="A2093" s="1" t="s">
        <v>127</v>
      </c>
      <c r="B2093" s="1" t="s">
        <v>40447</v>
      </c>
      <c r="C2093" s="1" t="s">
        <v>40448</v>
      </c>
      <c r="D2093" s="8" t="s">
        <v>40449</v>
      </c>
      <c r="E2093" s="1" t="s">
        <v>40450</v>
      </c>
      <c r="F2093" s="1" t="s">
        <v>132</v>
      </c>
      <c r="G2093" s="1" t="s">
        <v>40451</v>
      </c>
      <c r="H2093" s="1" t="s">
        <v>40452</v>
      </c>
      <c r="I2093" s="1" t="s">
        <v>40452</v>
      </c>
      <c r="J2093" s="1" t="s">
        <v>4015</v>
      </c>
      <c r="K2093" s="1" t="s">
        <v>40453</v>
      </c>
      <c r="L2093" s="1" t="s">
        <v>40454</v>
      </c>
      <c r="M2093" s="1" t="s">
        <v>40455</v>
      </c>
      <c r="N2093" s="1" t="s">
        <v>132</v>
      </c>
      <c r="O2093" s="1" t="s">
        <v>23081</v>
      </c>
      <c r="P2093" s="1" t="s">
        <v>40451</v>
      </c>
      <c r="Q2093" s="1" t="s">
        <v>132</v>
      </c>
      <c r="R2093" s="1" t="s">
        <v>23083</v>
      </c>
      <c r="S2093" s="1" t="s">
        <v>40456</v>
      </c>
      <c r="T2093" s="8" t="s">
        <v>40457</v>
      </c>
      <c r="U2093" s="1" t="s">
        <v>23086</v>
      </c>
      <c r="V2093" s="1" t="s">
        <v>4022</v>
      </c>
      <c r="W2093" s="1" t="s">
        <v>23083</v>
      </c>
      <c r="X2093" s="1" t="s">
        <v>40448</v>
      </c>
      <c r="Y2093" s="1" t="s">
        <v>40452</v>
      </c>
      <c r="Z2093" s="1" t="s">
        <v>29917</v>
      </c>
      <c r="AA2093" s="1" t="s">
        <v>40453</v>
      </c>
      <c r="AB2093" s="1" t="s">
        <v>132</v>
      </c>
      <c r="AC2093" s="1" t="s">
        <v>40450</v>
      </c>
      <c r="AD2093" s="1" t="s">
        <v>40458</v>
      </c>
      <c r="AE2093" s="1" t="s">
        <v>40459</v>
      </c>
      <c r="AF2093" s="1" t="s">
        <v>40460</v>
      </c>
      <c r="AG2093" s="1" t="s">
        <v>40452</v>
      </c>
      <c r="AH2093" s="1" t="s">
        <v>23093</v>
      </c>
      <c r="AI2093" s="1" t="s">
        <v>40461</v>
      </c>
      <c r="AJ2093" s="1" t="s">
        <v>132</v>
      </c>
      <c r="AK2093" s="1" t="s">
        <v>40462</v>
      </c>
      <c r="AL2093" s="1" t="s">
        <v>23095</v>
      </c>
      <c r="AM2093" s="1" t="s">
        <v>23096</v>
      </c>
      <c r="AN2093" s="1" t="s">
        <v>23096</v>
      </c>
    </row>
    <row r="2094" ht="15.75" customHeight="1">
      <c r="A2094" s="1" t="s">
        <v>38</v>
      </c>
      <c r="B2094" s="1" t="s">
        <v>40463</v>
      </c>
      <c r="C2094" s="1" t="s">
        <v>40464</v>
      </c>
      <c r="D2094" s="1" t="s">
        <v>132</v>
      </c>
      <c r="E2094" s="1" t="s">
        <v>40465</v>
      </c>
      <c r="F2094" s="1" t="s">
        <v>40466</v>
      </c>
      <c r="G2094" s="1" t="s">
        <v>132</v>
      </c>
      <c r="H2094" s="1" t="s">
        <v>132</v>
      </c>
      <c r="I2094" s="1" t="s">
        <v>40467</v>
      </c>
      <c r="J2094" s="1" t="s">
        <v>132</v>
      </c>
      <c r="K2094" s="1" t="s">
        <v>40468</v>
      </c>
      <c r="L2094" s="1" t="s">
        <v>132</v>
      </c>
      <c r="M2094" s="1" t="s">
        <v>40469</v>
      </c>
      <c r="N2094" s="1" t="s">
        <v>40470</v>
      </c>
      <c r="O2094" s="1" t="s">
        <v>132</v>
      </c>
      <c r="P2094" s="1" t="s">
        <v>40471</v>
      </c>
      <c r="Q2094" s="1" t="s">
        <v>132</v>
      </c>
      <c r="R2094" s="1" t="s">
        <v>132</v>
      </c>
      <c r="S2094" s="1" t="s">
        <v>40472</v>
      </c>
      <c r="T2094" s="1" t="s">
        <v>132</v>
      </c>
      <c r="U2094" s="1" t="s">
        <v>40473</v>
      </c>
      <c r="V2094" s="1" t="s">
        <v>40474</v>
      </c>
      <c r="W2094" s="1" t="s">
        <v>132</v>
      </c>
      <c r="X2094" s="1" t="s">
        <v>40475</v>
      </c>
      <c r="Y2094" s="1" t="s">
        <v>132</v>
      </c>
      <c r="Z2094" s="1" t="s">
        <v>40476</v>
      </c>
      <c r="AA2094" s="1" t="s">
        <v>132</v>
      </c>
      <c r="AB2094" s="1" t="s">
        <v>132</v>
      </c>
      <c r="AC2094" s="1" t="s">
        <v>40477</v>
      </c>
      <c r="AD2094" s="1" t="s">
        <v>132</v>
      </c>
      <c r="AE2094" s="1" t="s">
        <v>132</v>
      </c>
      <c r="AF2094" s="1" t="s">
        <v>40478</v>
      </c>
      <c r="AG2094" s="1" t="s">
        <v>40479</v>
      </c>
      <c r="AH2094" s="1" t="s">
        <v>132</v>
      </c>
      <c r="AI2094" s="1" t="s">
        <v>132</v>
      </c>
      <c r="AJ2094" s="1" t="s">
        <v>40480</v>
      </c>
      <c r="AK2094" s="1" t="s">
        <v>132</v>
      </c>
      <c r="AL2094" s="1" t="s">
        <v>132</v>
      </c>
      <c r="AM2094" s="1" t="s">
        <v>40481</v>
      </c>
      <c r="AN2094" s="1" t="s">
        <v>40481</v>
      </c>
    </row>
    <row r="2095" ht="15.75" customHeight="1">
      <c r="A2095" s="1" t="s">
        <v>38</v>
      </c>
      <c r="B2095" s="1" t="s">
        <v>40482</v>
      </c>
      <c r="C2095" s="1" t="s">
        <v>40483</v>
      </c>
      <c r="D2095" s="8" t="s">
        <v>40484</v>
      </c>
      <c r="E2095" s="1" t="s">
        <v>40485</v>
      </c>
      <c r="F2095" s="1" t="s">
        <v>40486</v>
      </c>
      <c r="G2095" s="1" t="s">
        <v>132</v>
      </c>
      <c r="H2095" s="1" t="s">
        <v>132</v>
      </c>
      <c r="I2095" s="1" t="s">
        <v>40487</v>
      </c>
      <c r="J2095" s="1" t="s">
        <v>132</v>
      </c>
      <c r="K2095" s="1" t="s">
        <v>40488</v>
      </c>
      <c r="L2095" s="1" t="s">
        <v>132</v>
      </c>
      <c r="M2095" s="1" t="s">
        <v>40489</v>
      </c>
      <c r="N2095" s="1" t="s">
        <v>40488</v>
      </c>
      <c r="O2095" s="1" t="s">
        <v>132</v>
      </c>
      <c r="P2095" s="1" t="s">
        <v>40490</v>
      </c>
      <c r="Q2095" s="1" t="s">
        <v>40491</v>
      </c>
      <c r="R2095" s="1" t="s">
        <v>132</v>
      </c>
      <c r="S2095" s="1" t="s">
        <v>40492</v>
      </c>
      <c r="T2095" s="1" t="s">
        <v>132</v>
      </c>
      <c r="U2095" s="1" t="s">
        <v>40493</v>
      </c>
      <c r="V2095" s="1" t="s">
        <v>40494</v>
      </c>
      <c r="W2095" s="1" t="s">
        <v>132</v>
      </c>
      <c r="X2095" s="1" t="s">
        <v>40495</v>
      </c>
      <c r="Y2095" s="1" t="s">
        <v>132</v>
      </c>
      <c r="Z2095" s="1" t="s">
        <v>40496</v>
      </c>
      <c r="AA2095" s="1" t="s">
        <v>40497</v>
      </c>
      <c r="AB2095" s="1" t="s">
        <v>132</v>
      </c>
      <c r="AC2095" s="1" t="s">
        <v>40498</v>
      </c>
      <c r="AD2095" s="1" t="s">
        <v>40499</v>
      </c>
      <c r="AE2095" s="1" t="s">
        <v>132</v>
      </c>
      <c r="AF2095" s="1" t="s">
        <v>40500</v>
      </c>
      <c r="AG2095" s="1" t="s">
        <v>40501</v>
      </c>
      <c r="AH2095" s="1" t="s">
        <v>132</v>
      </c>
      <c r="AI2095" s="1" t="s">
        <v>132</v>
      </c>
      <c r="AJ2095" s="1" t="s">
        <v>40502</v>
      </c>
      <c r="AK2095" s="1" t="s">
        <v>40503</v>
      </c>
      <c r="AL2095" s="1" t="s">
        <v>132</v>
      </c>
      <c r="AM2095" s="1" t="s">
        <v>132</v>
      </c>
      <c r="AN2095" s="1" t="s">
        <v>132</v>
      </c>
    </row>
    <row r="2096" ht="15.75" customHeight="1">
      <c r="A2096" s="1" t="s">
        <v>127</v>
      </c>
      <c r="B2096" s="1" t="s">
        <v>40504</v>
      </c>
      <c r="C2096" s="1" t="s">
        <v>40505</v>
      </c>
      <c r="D2096" s="8" t="s">
        <v>40506</v>
      </c>
      <c r="E2096" s="1" t="s">
        <v>40507</v>
      </c>
      <c r="F2096" s="1" t="s">
        <v>132</v>
      </c>
      <c r="G2096" s="1" t="s">
        <v>40508</v>
      </c>
      <c r="H2096" s="1" t="s">
        <v>40509</v>
      </c>
      <c r="I2096" s="1" t="s">
        <v>40510</v>
      </c>
      <c r="J2096" s="1" t="s">
        <v>40511</v>
      </c>
      <c r="K2096" s="1" t="s">
        <v>40512</v>
      </c>
      <c r="L2096" s="1" t="s">
        <v>40513</v>
      </c>
      <c r="M2096" s="1" t="s">
        <v>40514</v>
      </c>
      <c r="N2096" s="1" t="s">
        <v>132</v>
      </c>
      <c r="O2096" s="1" t="s">
        <v>40515</v>
      </c>
      <c r="P2096" s="1" t="s">
        <v>40516</v>
      </c>
      <c r="Q2096" s="1" t="s">
        <v>132</v>
      </c>
      <c r="R2096" s="1" t="s">
        <v>40517</v>
      </c>
      <c r="S2096" s="1" t="s">
        <v>40518</v>
      </c>
      <c r="T2096" s="8" t="s">
        <v>40519</v>
      </c>
      <c r="U2096" s="1" t="s">
        <v>40520</v>
      </c>
      <c r="V2096" s="1" t="s">
        <v>40521</v>
      </c>
      <c r="W2096" s="1" t="s">
        <v>40517</v>
      </c>
      <c r="X2096" s="1" t="s">
        <v>40522</v>
      </c>
      <c r="Y2096" s="1" t="s">
        <v>40523</v>
      </c>
      <c r="Z2096" s="1" t="s">
        <v>40524</v>
      </c>
      <c r="AA2096" s="1" t="s">
        <v>40525</v>
      </c>
      <c r="AB2096" s="1" t="s">
        <v>132</v>
      </c>
      <c r="AC2096" s="1" t="s">
        <v>40526</v>
      </c>
      <c r="AD2096" s="1" t="s">
        <v>40508</v>
      </c>
      <c r="AE2096" s="1" t="s">
        <v>40527</v>
      </c>
      <c r="AF2096" s="1" t="s">
        <v>40528</v>
      </c>
      <c r="AG2096" s="1" t="s">
        <v>40529</v>
      </c>
      <c r="AH2096" s="1" t="s">
        <v>40530</v>
      </c>
      <c r="AI2096" s="1" t="s">
        <v>40531</v>
      </c>
      <c r="AJ2096" s="1" t="s">
        <v>132</v>
      </c>
      <c r="AK2096" s="1" t="s">
        <v>40532</v>
      </c>
      <c r="AL2096" s="1" t="s">
        <v>40533</v>
      </c>
      <c r="AM2096" s="1" t="s">
        <v>132</v>
      </c>
      <c r="AN2096" s="1" t="s">
        <v>132</v>
      </c>
    </row>
    <row r="2097" ht="15.75" customHeight="1">
      <c r="A2097" s="1" t="s">
        <v>38</v>
      </c>
      <c r="B2097" s="1" t="s">
        <v>40534</v>
      </c>
      <c r="C2097" s="1" t="s">
        <v>40535</v>
      </c>
      <c r="D2097" s="8" t="s">
        <v>40536</v>
      </c>
      <c r="E2097" s="1" t="s">
        <v>40537</v>
      </c>
      <c r="F2097" s="1" t="s">
        <v>40538</v>
      </c>
      <c r="G2097" s="1" t="s">
        <v>132</v>
      </c>
      <c r="H2097" s="1" t="s">
        <v>132</v>
      </c>
      <c r="I2097" s="1" t="s">
        <v>40539</v>
      </c>
      <c r="J2097" s="1" t="s">
        <v>132</v>
      </c>
      <c r="K2097" s="1" t="s">
        <v>40540</v>
      </c>
      <c r="L2097" s="1" t="s">
        <v>132</v>
      </c>
      <c r="M2097" s="1" t="s">
        <v>40541</v>
      </c>
      <c r="N2097" s="1" t="s">
        <v>40542</v>
      </c>
      <c r="O2097" s="1" t="s">
        <v>132</v>
      </c>
      <c r="P2097" s="1" t="s">
        <v>40543</v>
      </c>
      <c r="Q2097" s="1" t="s">
        <v>40544</v>
      </c>
      <c r="R2097" s="1" t="s">
        <v>132</v>
      </c>
      <c r="S2097" s="1" t="s">
        <v>40545</v>
      </c>
      <c r="T2097" s="1" t="s">
        <v>132</v>
      </c>
      <c r="U2097" s="1" t="s">
        <v>40546</v>
      </c>
      <c r="V2097" s="1" t="s">
        <v>40547</v>
      </c>
      <c r="W2097" s="1" t="s">
        <v>132</v>
      </c>
      <c r="X2097" s="1" t="s">
        <v>40548</v>
      </c>
      <c r="Y2097" s="1" t="s">
        <v>132</v>
      </c>
      <c r="Z2097" s="1" t="s">
        <v>40549</v>
      </c>
      <c r="AA2097" s="1" t="s">
        <v>40550</v>
      </c>
      <c r="AB2097" s="1" t="s">
        <v>132</v>
      </c>
      <c r="AC2097" s="1" t="s">
        <v>40551</v>
      </c>
      <c r="AD2097" s="1" t="s">
        <v>40552</v>
      </c>
      <c r="AE2097" s="1" t="s">
        <v>132</v>
      </c>
      <c r="AF2097" s="1" t="s">
        <v>40553</v>
      </c>
      <c r="AG2097" s="1" t="s">
        <v>40554</v>
      </c>
      <c r="AH2097" s="1" t="s">
        <v>132</v>
      </c>
      <c r="AI2097" s="1" t="s">
        <v>132</v>
      </c>
      <c r="AJ2097" s="1" t="s">
        <v>40555</v>
      </c>
      <c r="AK2097" s="1" t="s">
        <v>40556</v>
      </c>
      <c r="AL2097" s="1" t="s">
        <v>132</v>
      </c>
      <c r="AM2097" s="1" t="s">
        <v>40557</v>
      </c>
      <c r="AN2097" s="1" t="s">
        <v>40557</v>
      </c>
    </row>
    <row r="2098" ht="15.75" customHeight="1">
      <c r="A2098" s="1" t="s">
        <v>38</v>
      </c>
      <c r="B2098" s="1" t="s">
        <v>40558</v>
      </c>
      <c r="C2098" s="1" t="s">
        <v>40559</v>
      </c>
      <c r="D2098" s="8" t="s">
        <v>40560</v>
      </c>
      <c r="E2098" s="1" t="s">
        <v>40561</v>
      </c>
      <c r="F2098" s="1" t="s">
        <v>40562</v>
      </c>
      <c r="G2098" s="1" t="s">
        <v>132</v>
      </c>
      <c r="H2098" s="1" t="s">
        <v>132</v>
      </c>
      <c r="I2098" s="1" t="s">
        <v>40563</v>
      </c>
      <c r="J2098" s="1" t="s">
        <v>132</v>
      </c>
      <c r="K2098" s="1" t="s">
        <v>40564</v>
      </c>
      <c r="L2098" s="1" t="s">
        <v>132</v>
      </c>
      <c r="M2098" s="1" t="s">
        <v>40565</v>
      </c>
      <c r="N2098" s="1" t="s">
        <v>40566</v>
      </c>
      <c r="O2098" s="1" t="s">
        <v>132</v>
      </c>
      <c r="P2098" s="1" t="s">
        <v>40567</v>
      </c>
      <c r="Q2098" s="1" t="s">
        <v>132</v>
      </c>
      <c r="R2098" s="1" t="s">
        <v>132</v>
      </c>
      <c r="S2098" s="1" t="s">
        <v>40568</v>
      </c>
      <c r="T2098" s="1" t="s">
        <v>132</v>
      </c>
      <c r="U2098" s="1" t="s">
        <v>40569</v>
      </c>
      <c r="V2098" s="1" t="s">
        <v>132</v>
      </c>
      <c r="W2098" s="1" t="s">
        <v>132</v>
      </c>
      <c r="X2098" s="1" t="s">
        <v>40570</v>
      </c>
      <c r="Y2098" s="1" t="s">
        <v>132</v>
      </c>
      <c r="Z2098" s="1" t="s">
        <v>40571</v>
      </c>
      <c r="AA2098" s="1" t="s">
        <v>132</v>
      </c>
      <c r="AB2098" s="1" t="s">
        <v>132</v>
      </c>
      <c r="AC2098" s="1" t="s">
        <v>40572</v>
      </c>
      <c r="AD2098" s="1" t="s">
        <v>132</v>
      </c>
      <c r="AE2098" s="1" t="s">
        <v>132</v>
      </c>
      <c r="AF2098" s="1" t="s">
        <v>40573</v>
      </c>
      <c r="AG2098" s="1" t="s">
        <v>40574</v>
      </c>
      <c r="AH2098" s="1" t="s">
        <v>132</v>
      </c>
      <c r="AI2098" s="1" t="s">
        <v>132</v>
      </c>
      <c r="AJ2098" s="1" t="s">
        <v>40575</v>
      </c>
      <c r="AK2098" s="1" t="s">
        <v>132</v>
      </c>
      <c r="AL2098" s="1" t="s">
        <v>132</v>
      </c>
      <c r="AM2098" s="1" t="s">
        <v>40576</v>
      </c>
      <c r="AN2098" s="1" t="s">
        <v>40576</v>
      </c>
    </row>
    <row r="2099" ht="15.75" customHeight="1">
      <c r="A2099" s="1" t="s">
        <v>127</v>
      </c>
      <c r="B2099" s="1" t="s">
        <v>40577</v>
      </c>
      <c r="C2099" s="1" t="s">
        <v>40578</v>
      </c>
      <c r="D2099" s="8" t="s">
        <v>40579</v>
      </c>
      <c r="E2099" s="1" t="s">
        <v>40580</v>
      </c>
      <c r="F2099" s="1" t="s">
        <v>132</v>
      </c>
      <c r="G2099" s="1" t="s">
        <v>40581</v>
      </c>
      <c r="H2099" s="1" t="s">
        <v>40582</v>
      </c>
      <c r="I2099" s="1" t="s">
        <v>40583</v>
      </c>
      <c r="J2099" s="1" t="s">
        <v>40584</v>
      </c>
      <c r="K2099" s="1" t="s">
        <v>40585</v>
      </c>
      <c r="L2099" s="1" t="s">
        <v>40586</v>
      </c>
      <c r="M2099" s="1" t="s">
        <v>40587</v>
      </c>
      <c r="N2099" s="1" t="s">
        <v>132</v>
      </c>
      <c r="O2099" s="1" t="s">
        <v>40588</v>
      </c>
      <c r="P2099" s="1" t="s">
        <v>40589</v>
      </c>
      <c r="Q2099" s="1" t="s">
        <v>132</v>
      </c>
      <c r="R2099" s="1" t="s">
        <v>40590</v>
      </c>
      <c r="S2099" s="1" t="s">
        <v>40591</v>
      </c>
      <c r="T2099" s="8" t="s">
        <v>40592</v>
      </c>
      <c r="U2099" s="1" t="s">
        <v>40593</v>
      </c>
      <c r="V2099" s="1" t="s">
        <v>40594</v>
      </c>
      <c r="W2099" s="1" t="s">
        <v>40595</v>
      </c>
      <c r="X2099" s="1" t="s">
        <v>40596</v>
      </c>
      <c r="Y2099" s="1" t="s">
        <v>40582</v>
      </c>
      <c r="Z2099" s="1" t="s">
        <v>40597</v>
      </c>
      <c r="AA2099" s="1" t="s">
        <v>40585</v>
      </c>
      <c r="AB2099" s="1" t="s">
        <v>132</v>
      </c>
      <c r="AC2099" s="1" t="s">
        <v>40580</v>
      </c>
      <c r="AD2099" s="1" t="s">
        <v>40581</v>
      </c>
      <c r="AE2099" s="1" t="s">
        <v>40598</v>
      </c>
      <c r="AF2099" s="1" t="s">
        <v>40598</v>
      </c>
      <c r="AG2099" s="1" t="s">
        <v>40599</v>
      </c>
      <c r="AH2099" s="1" t="s">
        <v>40600</v>
      </c>
      <c r="AI2099" s="1" t="s">
        <v>40601</v>
      </c>
      <c r="AJ2099" s="1" t="s">
        <v>132</v>
      </c>
      <c r="AK2099" s="1" t="s">
        <v>40602</v>
      </c>
      <c r="AL2099" s="1" t="s">
        <v>40603</v>
      </c>
      <c r="AM2099" s="1" t="s">
        <v>40604</v>
      </c>
      <c r="AN2099" s="1" t="s">
        <v>40604</v>
      </c>
    </row>
    <row r="2100" ht="15.75" customHeight="1">
      <c r="A2100" s="1" t="s">
        <v>38</v>
      </c>
      <c r="B2100" s="1" t="s">
        <v>40605</v>
      </c>
      <c r="C2100" s="1" t="s">
        <v>40606</v>
      </c>
      <c r="D2100" s="8" t="s">
        <v>40607</v>
      </c>
      <c r="E2100" s="1" t="s">
        <v>40608</v>
      </c>
      <c r="F2100" s="1" t="s">
        <v>40609</v>
      </c>
      <c r="G2100" s="1" t="s">
        <v>132</v>
      </c>
      <c r="H2100" s="1" t="s">
        <v>132</v>
      </c>
      <c r="I2100" s="1" t="s">
        <v>40610</v>
      </c>
      <c r="J2100" s="1" t="s">
        <v>132</v>
      </c>
      <c r="K2100" s="1" t="s">
        <v>40611</v>
      </c>
      <c r="L2100" s="1" t="s">
        <v>132</v>
      </c>
      <c r="M2100" s="1" t="s">
        <v>40612</v>
      </c>
      <c r="N2100" s="1" t="s">
        <v>40613</v>
      </c>
      <c r="O2100" s="1" t="s">
        <v>132</v>
      </c>
      <c r="P2100" s="1" t="s">
        <v>40614</v>
      </c>
      <c r="Q2100" s="1" t="s">
        <v>132</v>
      </c>
      <c r="R2100" s="1" t="s">
        <v>132</v>
      </c>
      <c r="S2100" s="1" t="s">
        <v>40615</v>
      </c>
      <c r="T2100" s="1" t="s">
        <v>132</v>
      </c>
      <c r="U2100" s="1" t="s">
        <v>40616</v>
      </c>
      <c r="V2100" s="1" t="s">
        <v>132</v>
      </c>
      <c r="W2100" s="1" t="s">
        <v>132</v>
      </c>
      <c r="X2100" s="1" t="s">
        <v>40617</v>
      </c>
      <c r="Y2100" s="1" t="s">
        <v>132</v>
      </c>
      <c r="Z2100" s="1" t="s">
        <v>40618</v>
      </c>
      <c r="AA2100" s="1" t="s">
        <v>132</v>
      </c>
      <c r="AB2100" s="1" t="s">
        <v>132</v>
      </c>
      <c r="AC2100" s="1" t="s">
        <v>40619</v>
      </c>
      <c r="AD2100" s="1" t="s">
        <v>132</v>
      </c>
      <c r="AE2100" s="1" t="s">
        <v>132</v>
      </c>
      <c r="AF2100" s="1" t="s">
        <v>40620</v>
      </c>
      <c r="AG2100" s="1" t="s">
        <v>40621</v>
      </c>
      <c r="AH2100" s="1" t="s">
        <v>132</v>
      </c>
      <c r="AI2100" s="1" t="s">
        <v>132</v>
      </c>
      <c r="AJ2100" s="1" t="s">
        <v>40622</v>
      </c>
      <c r="AK2100" s="1" t="s">
        <v>132</v>
      </c>
      <c r="AL2100" s="1" t="s">
        <v>132</v>
      </c>
      <c r="AM2100" s="1" t="s">
        <v>40623</v>
      </c>
      <c r="AN2100" s="1" t="s">
        <v>40623</v>
      </c>
    </row>
    <row r="2101" ht="15.75" customHeight="1">
      <c r="A2101" s="1" t="s">
        <v>127</v>
      </c>
      <c r="B2101" s="1" t="s">
        <v>40624</v>
      </c>
      <c r="C2101" s="1" t="s">
        <v>40625</v>
      </c>
      <c r="D2101" s="8" t="s">
        <v>40626</v>
      </c>
      <c r="E2101" s="1" t="s">
        <v>40625</v>
      </c>
      <c r="F2101" s="1" t="s">
        <v>132</v>
      </c>
      <c r="G2101" s="1" t="s">
        <v>40627</v>
      </c>
      <c r="H2101" s="1" t="s">
        <v>40628</v>
      </c>
      <c r="I2101" s="1" t="s">
        <v>40629</v>
      </c>
      <c r="J2101" s="1" t="s">
        <v>40625</v>
      </c>
      <c r="K2101" s="1" t="s">
        <v>40625</v>
      </c>
      <c r="L2101" s="1" t="s">
        <v>40630</v>
      </c>
      <c r="M2101" s="1" t="s">
        <v>40625</v>
      </c>
      <c r="N2101" s="1" t="s">
        <v>132</v>
      </c>
      <c r="O2101" s="1" t="s">
        <v>40631</v>
      </c>
      <c r="P2101" s="1" t="s">
        <v>40625</v>
      </c>
      <c r="Q2101" s="1" t="s">
        <v>132</v>
      </c>
      <c r="R2101" s="1" t="s">
        <v>40632</v>
      </c>
      <c r="S2101" s="1" t="s">
        <v>40633</v>
      </c>
      <c r="T2101" s="8" t="s">
        <v>40634</v>
      </c>
      <c r="U2101" s="1" t="s">
        <v>40635</v>
      </c>
      <c r="V2101" s="1" t="s">
        <v>40636</v>
      </c>
      <c r="W2101" s="1" t="s">
        <v>40637</v>
      </c>
      <c r="X2101" s="1" t="s">
        <v>40638</v>
      </c>
      <c r="Y2101" s="1" t="s">
        <v>40628</v>
      </c>
      <c r="Z2101" s="1" t="s">
        <v>40639</v>
      </c>
      <c r="AA2101" s="1" t="s">
        <v>40625</v>
      </c>
      <c r="AB2101" s="1" t="s">
        <v>132</v>
      </c>
      <c r="AC2101" s="1" t="s">
        <v>40640</v>
      </c>
      <c r="AD2101" s="1" t="s">
        <v>40641</v>
      </c>
      <c r="AE2101" s="1" t="s">
        <v>40642</v>
      </c>
      <c r="AF2101" s="1" t="s">
        <v>40643</v>
      </c>
      <c r="AG2101" s="1" t="s">
        <v>40644</v>
      </c>
      <c r="AH2101" s="1" t="s">
        <v>40645</v>
      </c>
      <c r="AI2101" s="1" t="s">
        <v>40646</v>
      </c>
      <c r="AJ2101" s="1" t="s">
        <v>132</v>
      </c>
      <c r="AK2101" s="1" t="s">
        <v>40647</v>
      </c>
      <c r="AL2101" s="1" t="s">
        <v>40648</v>
      </c>
      <c r="AM2101" s="1" t="s">
        <v>40649</v>
      </c>
      <c r="AN2101" s="1" t="s">
        <v>40649</v>
      </c>
    </row>
    <row r="2102" ht="15.75" customHeight="1">
      <c r="A2102" s="1" t="s">
        <v>38</v>
      </c>
      <c r="B2102" s="1" t="s">
        <v>40650</v>
      </c>
      <c r="C2102" s="1" t="s">
        <v>40651</v>
      </c>
      <c r="D2102" s="8" t="s">
        <v>40652</v>
      </c>
      <c r="E2102" s="1" t="s">
        <v>40653</v>
      </c>
      <c r="F2102" s="1" t="s">
        <v>23337</v>
      </c>
      <c r="G2102" s="1" t="s">
        <v>132</v>
      </c>
      <c r="H2102" s="1" t="s">
        <v>132</v>
      </c>
      <c r="I2102" s="1" t="s">
        <v>40654</v>
      </c>
      <c r="J2102" s="1" t="s">
        <v>132</v>
      </c>
      <c r="K2102" s="1" t="s">
        <v>40655</v>
      </c>
      <c r="L2102" s="1" t="s">
        <v>132</v>
      </c>
      <c r="M2102" s="1" t="s">
        <v>40656</v>
      </c>
      <c r="N2102" s="1" t="s">
        <v>40657</v>
      </c>
      <c r="O2102" s="1" t="s">
        <v>132</v>
      </c>
      <c r="P2102" s="1" t="s">
        <v>40658</v>
      </c>
      <c r="Q2102" s="1" t="s">
        <v>23343</v>
      </c>
      <c r="R2102" s="1" t="s">
        <v>132</v>
      </c>
      <c r="S2102" s="1" t="s">
        <v>23344</v>
      </c>
      <c r="T2102" s="1" t="s">
        <v>132</v>
      </c>
      <c r="U2102" s="1" t="s">
        <v>23345</v>
      </c>
      <c r="V2102" s="1" t="s">
        <v>23346</v>
      </c>
      <c r="W2102" s="1" t="s">
        <v>132</v>
      </c>
      <c r="X2102" s="1" t="s">
        <v>40659</v>
      </c>
      <c r="Y2102" s="1" t="s">
        <v>132</v>
      </c>
      <c r="Z2102" s="1" t="s">
        <v>40660</v>
      </c>
      <c r="AA2102" s="1" t="s">
        <v>40661</v>
      </c>
      <c r="AB2102" s="1" t="s">
        <v>132</v>
      </c>
      <c r="AC2102" s="1" t="s">
        <v>40662</v>
      </c>
      <c r="AD2102" s="1" t="s">
        <v>40663</v>
      </c>
      <c r="AE2102" s="1" t="s">
        <v>132</v>
      </c>
      <c r="AF2102" s="1" t="s">
        <v>40664</v>
      </c>
      <c r="AG2102" s="1" t="s">
        <v>40665</v>
      </c>
      <c r="AH2102" s="1" t="s">
        <v>132</v>
      </c>
      <c r="AI2102" s="1" t="s">
        <v>132</v>
      </c>
      <c r="AJ2102" s="1" t="s">
        <v>23354</v>
      </c>
      <c r="AK2102" s="1" t="s">
        <v>40666</v>
      </c>
      <c r="AL2102" s="1" t="s">
        <v>132</v>
      </c>
      <c r="AM2102" s="1" t="s">
        <v>40667</v>
      </c>
      <c r="AN2102" s="1" t="s">
        <v>40667</v>
      </c>
    </row>
    <row r="2103" ht="15.75" customHeight="1">
      <c r="A2103" s="1" t="s">
        <v>38</v>
      </c>
      <c r="B2103" s="1" t="s">
        <v>40668</v>
      </c>
      <c r="C2103" s="1" t="s">
        <v>40669</v>
      </c>
      <c r="D2103" s="1" t="s">
        <v>132</v>
      </c>
      <c r="E2103" s="1" t="s">
        <v>132</v>
      </c>
      <c r="F2103" s="1" t="s">
        <v>132</v>
      </c>
      <c r="G2103" s="1" t="s">
        <v>132</v>
      </c>
      <c r="H2103" s="1" t="s">
        <v>132</v>
      </c>
      <c r="I2103" s="1" t="s">
        <v>40670</v>
      </c>
      <c r="J2103" s="1" t="s">
        <v>132</v>
      </c>
      <c r="K2103" s="1" t="s">
        <v>40671</v>
      </c>
      <c r="L2103" s="1" t="s">
        <v>132</v>
      </c>
      <c r="M2103" s="1" t="s">
        <v>40672</v>
      </c>
      <c r="N2103" s="1" t="s">
        <v>132</v>
      </c>
      <c r="O2103" s="1" t="s">
        <v>132</v>
      </c>
      <c r="P2103" s="1" t="s">
        <v>40669</v>
      </c>
      <c r="Q2103" s="1" t="s">
        <v>132</v>
      </c>
      <c r="R2103" s="1" t="s">
        <v>132</v>
      </c>
      <c r="S2103" s="1" t="s">
        <v>132</v>
      </c>
      <c r="T2103" s="1" t="s">
        <v>132</v>
      </c>
      <c r="U2103" s="1" t="s">
        <v>132</v>
      </c>
      <c r="V2103" s="1" t="s">
        <v>132</v>
      </c>
      <c r="W2103" s="1" t="s">
        <v>132</v>
      </c>
      <c r="X2103" s="1" t="s">
        <v>132</v>
      </c>
      <c r="Y2103" s="1" t="s">
        <v>132</v>
      </c>
      <c r="Z2103" s="1" t="s">
        <v>132</v>
      </c>
      <c r="AA2103" s="1" t="s">
        <v>132</v>
      </c>
      <c r="AB2103" s="1" t="s">
        <v>132</v>
      </c>
      <c r="AC2103" s="1" t="s">
        <v>40673</v>
      </c>
      <c r="AD2103" s="1" t="s">
        <v>132</v>
      </c>
      <c r="AE2103" s="1" t="s">
        <v>132</v>
      </c>
      <c r="AF2103" s="1" t="s">
        <v>40674</v>
      </c>
      <c r="AG2103" s="1" t="s">
        <v>132</v>
      </c>
      <c r="AH2103" s="1" t="s">
        <v>132</v>
      </c>
      <c r="AI2103" s="1" t="s">
        <v>132</v>
      </c>
      <c r="AJ2103" s="1" t="s">
        <v>132</v>
      </c>
      <c r="AK2103" s="1" t="s">
        <v>132</v>
      </c>
      <c r="AL2103" s="1" t="s">
        <v>132</v>
      </c>
      <c r="AM2103" s="1" t="s">
        <v>132</v>
      </c>
      <c r="AN2103" s="1" t="s">
        <v>132</v>
      </c>
    </row>
    <row r="2104" ht="15.75" customHeight="1">
      <c r="A2104" s="1" t="s">
        <v>127</v>
      </c>
      <c r="B2104" s="1" t="s">
        <v>40675</v>
      </c>
      <c r="C2104" s="1" t="s">
        <v>40676</v>
      </c>
      <c r="D2104" s="8" t="s">
        <v>40677</v>
      </c>
      <c r="E2104" s="1" t="s">
        <v>40678</v>
      </c>
      <c r="F2104" s="1" t="s">
        <v>132</v>
      </c>
      <c r="G2104" s="1" t="s">
        <v>40679</v>
      </c>
      <c r="H2104" s="1" t="s">
        <v>40680</v>
      </c>
      <c r="I2104" s="1" t="s">
        <v>40681</v>
      </c>
      <c r="J2104" s="1" t="s">
        <v>40682</v>
      </c>
      <c r="K2104" s="1" t="s">
        <v>40683</v>
      </c>
      <c r="L2104" s="1" t="s">
        <v>40684</v>
      </c>
      <c r="M2104" s="1" t="s">
        <v>40685</v>
      </c>
      <c r="N2104" s="1" t="s">
        <v>132</v>
      </c>
      <c r="O2104" s="1" t="s">
        <v>40686</v>
      </c>
      <c r="P2104" s="1" t="s">
        <v>40687</v>
      </c>
      <c r="Q2104" s="1" t="s">
        <v>132</v>
      </c>
      <c r="R2104" s="1" t="s">
        <v>40688</v>
      </c>
      <c r="S2104" s="1" t="s">
        <v>40689</v>
      </c>
      <c r="T2104" s="8" t="s">
        <v>40690</v>
      </c>
      <c r="U2104" s="1" t="s">
        <v>40691</v>
      </c>
      <c r="V2104" s="1" t="s">
        <v>40692</v>
      </c>
      <c r="W2104" s="1" t="s">
        <v>40688</v>
      </c>
      <c r="X2104" s="1" t="s">
        <v>40693</v>
      </c>
      <c r="Y2104" s="1" t="s">
        <v>40680</v>
      </c>
      <c r="Z2104" s="1" t="s">
        <v>40694</v>
      </c>
      <c r="AA2104" s="1" t="s">
        <v>40695</v>
      </c>
      <c r="AB2104" s="1" t="s">
        <v>132</v>
      </c>
      <c r="AC2104" s="1" t="s">
        <v>40696</v>
      </c>
      <c r="AD2104" s="1" t="s">
        <v>40697</v>
      </c>
      <c r="AE2104" s="1" t="s">
        <v>40698</v>
      </c>
      <c r="AF2104" s="1" t="s">
        <v>40699</v>
      </c>
      <c r="AG2104" s="1" t="s">
        <v>40700</v>
      </c>
      <c r="AH2104" s="1" t="s">
        <v>40701</v>
      </c>
      <c r="AI2104" s="1" t="s">
        <v>40702</v>
      </c>
      <c r="AJ2104" s="1" t="s">
        <v>132</v>
      </c>
      <c r="AK2104" s="1" t="s">
        <v>40703</v>
      </c>
      <c r="AL2104" s="1" t="s">
        <v>40704</v>
      </c>
      <c r="AM2104" s="1" t="s">
        <v>40705</v>
      </c>
      <c r="AN2104" s="1" t="s">
        <v>40705</v>
      </c>
    </row>
    <row r="2105" ht="15.75" customHeight="1">
      <c r="A2105" s="1" t="s">
        <v>38</v>
      </c>
      <c r="B2105" s="1" t="s">
        <v>40706</v>
      </c>
      <c r="C2105" s="1" t="s">
        <v>40707</v>
      </c>
      <c r="D2105" s="1" t="s">
        <v>132</v>
      </c>
      <c r="E2105" s="1" t="s">
        <v>40708</v>
      </c>
      <c r="F2105" s="1" t="s">
        <v>40709</v>
      </c>
      <c r="G2105" s="1" t="s">
        <v>132</v>
      </c>
      <c r="H2105" s="1" t="s">
        <v>132</v>
      </c>
      <c r="I2105" s="1" t="s">
        <v>40710</v>
      </c>
      <c r="J2105" s="1" t="s">
        <v>132</v>
      </c>
      <c r="K2105" s="1" t="s">
        <v>40709</v>
      </c>
      <c r="L2105" s="1" t="s">
        <v>132</v>
      </c>
      <c r="M2105" s="1" t="s">
        <v>40711</v>
      </c>
      <c r="N2105" s="1" t="s">
        <v>40709</v>
      </c>
      <c r="O2105" s="1" t="s">
        <v>132</v>
      </c>
      <c r="P2105" s="1" t="s">
        <v>40712</v>
      </c>
      <c r="Q2105" s="1" t="s">
        <v>40713</v>
      </c>
      <c r="R2105" s="1" t="s">
        <v>132</v>
      </c>
      <c r="S2105" s="1" t="s">
        <v>40707</v>
      </c>
      <c r="T2105" s="1" t="s">
        <v>132</v>
      </c>
      <c r="U2105" s="1" t="s">
        <v>40714</v>
      </c>
      <c r="V2105" s="1" t="s">
        <v>40715</v>
      </c>
      <c r="W2105" s="1" t="s">
        <v>132</v>
      </c>
      <c r="X2105" s="1" t="s">
        <v>40716</v>
      </c>
      <c r="Y2105" s="1" t="s">
        <v>132</v>
      </c>
      <c r="Z2105" s="1" t="s">
        <v>40717</v>
      </c>
      <c r="AA2105" s="1" t="s">
        <v>40718</v>
      </c>
      <c r="AB2105" s="1" t="s">
        <v>132</v>
      </c>
      <c r="AC2105" s="1" t="s">
        <v>40719</v>
      </c>
      <c r="AD2105" s="1" t="s">
        <v>132</v>
      </c>
      <c r="AE2105" s="1" t="s">
        <v>132</v>
      </c>
      <c r="AF2105" s="1" t="s">
        <v>40720</v>
      </c>
      <c r="AG2105" s="1" t="s">
        <v>40707</v>
      </c>
      <c r="AH2105" s="1" t="s">
        <v>132</v>
      </c>
      <c r="AI2105" s="1" t="s">
        <v>132</v>
      </c>
      <c r="AJ2105" s="1" t="s">
        <v>40721</v>
      </c>
      <c r="AK2105" s="1" t="s">
        <v>132</v>
      </c>
      <c r="AL2105" s="1" t="s">
        <v>132</v>
      </c>
      <c r="AM2105" s="1" t="s">
        <v>40722</v>
      </c>
      <c r="AN2105" s="1" t="s">
        <v>40722</v>
      </c>
    </row>
    <row r="2106" ht="15.75" customHeight="1">
      <c r="A2106" s="1" t="s">
        <v>43182</v>
      </c>
      <c r="B2106" s="1" t="s">
        <v>43319</v>
      </c>
      <c r="C2106" s="1" t="s">
        <v>43194</v>
      </c>
      <c r="D2106" s="1" t="s">
        <v>132</v>
      </c>
      <c r="E2106" s="1" t="s">
        <v>132</v>
      </c>
      <c r="F2106" s="1" t="s">
        <v>132</v>
      </c>
      <c r="G2106" s="1" t="s">
        <v>132</v>
      </c>
      <c r="H2106" s="1" t="s">
        <v>132</v>
      </c>
      <c r="I2106" s="1" t="s">
        <v>132</v>
      </c>
      <c r="J2106" s="1" t="s">
        <v>132</v>
      </c>
      <c r="K2106" s="1" t="s">
        <v>132</v>
      </c>
      <c r="L2106" s="1" t="s">
        <v>132</v>
      </c>
      <c r="M2106" s="1" t="s">
        <v>132</v>
      </c>
      <c r="N2106" s="1" t="s">
        <v>132</v>
      </c>
      <c r="O2106" s="1" t="s">
        <v>132</v>
      </c>
      <c r="P2106" s="1" t="s">
        <v>132</v>
      </c>
      <c r="Q2106" s="1" t="s">
        <v>132</v>
      </c>
      <c r="R2106" s="1" t="s">
        <v>132</v>
      </c>
      <c r="S2106" s="1" t="s">
        <v>132</v>
      </c>
      <c r="T2106" s="1" t="s">
        <v>132</v>
      </c>
      <c r="U2106" s="1" t="s">
        <v>132</v>
      </c>
      <c r="V2106" s="1" t="s">
        <v>132</v>
      </c>
      <c r="W2106" s="1" t="s">
        <v>132</v>
      </c>
      <c r="X2106" s="1" t="s">
        <v>132</v>
      </c>
      <c r="Y2106" s="1" t="s">
        <v>132</v>
      </c>
      <c r="Z2106" s="1" t="s">
        <v>132</v>
      </c>
      <c r="AA2106" s="1" t="s">
        <v>132</v>
      </c>
      <c r="AB2106" s="1" t="s">
        <v>132</v>
      </c>
      <c r="AC2106" s="1" t="s">
        <v>132</v>
      </c>
      <c r="AD2106" s="1" t="s">
        <v>132</v>
      </c>
      <c r="AE2106" s="1" t="s">
        <v>132</v>
      </c>
      <c r="AF2106" s="1" t="s">
        <v>132</v>
      </c>
      <c r="AG2106" s="1" t="s">
        <v>132</v>
      </c>
      <c r="AH2106" s="1" t="s">
        <v>132</v>
      </c>
      <c r="AI2106" s="1" t="s">
        <v>132</v>
      </c>
      <c r="AJ2106" s="1" t="s">
        <v>132</v>
      </c>
      <c r="AK2106" s="1" t="s">
        <v>132</v>
      </c>
      <c r="AL2106" s="1" t="s">
        <v>132</v>
      </c>
      <c r="AM2106" s="1" t="s">
        <v>132</v>
      </c>
      <c r="AN2106" s="1" t="s">
        <v>132</v>
      </c>
    </row>
    <row r="2107" ht="15.75" customHeight="1">
      <c r="A2107" s="1" t="s">
        <v>43182</v>
      </c>
      <c r="B2107" s="1" t="s">
        <v>43320</v>
      </c>
      <c r="C2107" s="1" t="s">
        <v>43198</v>
      </c>
      <c r="D2107" s="1" t="s">
        <v>132</v>
      </c>
      <c r="E2107" s="1" t="s">
        <v>132</v>
      </c>
      <c r="F2107" s="1" t="s">
        <v>132</v>
      </c>
      <c r="G2107" s="1" t="s">
        <v>132</v>
      </c>
      <c r="H2107" s="1" t="s">
        <v>132</v>
      </c>
      <c r="I2107" s="1" t="s">
        <v>132</v>
      </c>
      <c r="J2107" s="1" t="s">
        <v>132</v>
      </c>
      <c r="K2107" s="1" t="s">
        <v>132</v>
      </c>
      <c r="L2107" s="1" t="s">
        <v>132</v>
      </c>
      <c r="M2107" s="1" t="s">
        <v>132</v>
      </c>
      <c r="N2107" s="1" t="s">
        <v>132</v>
      </c>
      <c r="O2107" s="1" t="s">
        <v>132</v>
      </c>
      <c r="P2107" s="1" t="s">
        <v>132</v>
      </c>
      <c r="Q2107" s="1" t="s">
        <v>132</v>
      </c>
      <c r="R2107" s="1" t="s">
        <v>132</v>
      </c>
      <c r="S2107" s="1" t="s">
        <v>132</v>
      </c>
      <c r="T2107" s="1" t="s">
        <v>132</v>
      </c>
      <c r="U2107" s="1" t="s">
        <v>132</v>
      </c>
      <c r="V2107" s="1" t="s">
        <v>132</v>
      </c>
      <c r="W2107" s="1" t="s">
        <v>132</v>
      </c>
      <c r="X2107" s="1" t="s">
        <v>132</v>
      </c>
      <c r="Y2107" s="1" t="s">
        <v>132</v>
      </c>
      <c r="Z2107" s="1" t="s">
        <v>132</v>
      </c>
      <c r="AA2107" s="1" t="s">
        <v>132</v>
      </c>
      <c r="AB2107" s="1" t="s">
        <v>132</v>
      </c>
      <c r="AC2107" s="1" t="s">
        <v>132</v>
      </c>
      <c r="AD2107" s="1" t="s">
        <v>132</v>
      </c>
      <c r="AE2107" s="1" t="s">
        <v>132</v>
      </c>
      <c r="AF2107" s="1" t="s">
        <v>132</v>
      </c>
      <c r="AG2107" s="1" t="s">
        <v>132</v>
      </c>
      <c r="AH2107" s="1" t="s">
        <v>132</v>
      </c>
      <c r="AI2107" s="1" t="s">
        <v>132</v>
      </c>
      <c r="AJ2107" s="1" t="s">
        <v>132</v>
      </c>
      <c r="AK2107" s="1" t="s">
        <v>132</v>
      </c>
      <c r="AL2107" s="1" t="s">
        <v>132</v>
      </c>
      <c r="AM2107" s="1" t="s">
        <v>132</v>
      </c>
      <c r="AN2107" s="1" t="s">
        <v>132</v>
      </c>
    </row>
    <row r="2108" ht="15.75" customHeight="1">
      <c r="A2108" s="1" t="s">
        <v>43182</v>
      </c>
      <c r="B2108" s="1" t="s">
        <v>43321</v>
      </c>
      <c r="C2108" s="1" t="s">
        <v>538</v>
      </c>
      <c r="D2108" s="1" t="s">
        <v>132</v>
      </c>
      <c r="E2108" s="1" t="s">
        <v>132</v>
      </c>
      <c r="F2108" s="1" t="s">
        <v>132</v>
      </c>
      <c r="G2108" s="1" t="s">
        <v>132</v>
      </c>
      <c r="H2108" s="1" t="s">
        <v>132</v>
      </c>
      <c r="I2108" s="1" t="s">
        <v>132</v>
      </c>
      <c r="J2108" s="1" t="s">
        <v>132</v>
      </c>
      <c r="K2108" s="1" t="s">
        <v>132</v>
      </c>
      <c r="L2108" s="1" t="s">
        <v>132</v>
      </c>
      <c r="M2108" s="1" t="s">
        <v>132</v>
      </c>
      <c r="N2108" s="1" t="s">
        <v>132</v>
      </c>
      <c r="O2108" s="1" t="s">
        <v>132</v>
      </c>
      <c r="P2108" s="1" t="s">
        <v>132</v>
      </c>
      <c r="Q2108" s="1" t="s">
        <v>132</v>
      </c>
      <c r="R2108" s="1" t="s">
        <v>132</v>
      </c>
      <c r="S2108" s="1" t="s">
        <v>132</v>
      </c>
      <c r="T2108" s="1" t="s">
        <v>132</v>
      </c>
      <c r="U2108" s="1" t="s">
        <v>132</v>
      </c>
      <c r="V2108" s="1" t="s">
        <v>132</v>
      </c>
      <c r="W2108" s="1" t="s">
        <v>132</v>
      </c>
      <c r="X2108" s="1" t="s">
        <v>132</v>
      </c>
      <c r="Y2108" s="1" t="s">
        <v>132</v>
      </c>
      <c r="Z2108" s="1" t="s">
        <v>132</v>
      </c>
      <c r="AA2108" s="1" t="s">
        <v>132</v>
      </c>
      <c r="AB2108" s="1" t="s">
        <v>132</v>
      </c>
      <c r="AC2108" s="1" t="s">
        <v>132</v>
      </c>
      <c r="AD2108" s="1" t="s">
        <v>132</v>
      </c>
      <c r="AE2108" s="1" t="s">
        <v>132</v>
      </c>
      <c r="AF2108" s="1" t="s">
        <v>132</v>
      </c>
      <c r="AG2108" s="1" t="s">
        <v>132</v>
      </c>
      <c r="AH2108" s="1" t="s">
        <v>132</v>
      </c>
      <c r="AI2108" s="1" t="s">
        <v>132</v>
      </c>
      <c r="AJ2108" s="1" t="s">
        <v>132</v>
      </c>
      <c r="AK2108" s="1" t="s">
        <v>132</v>
      </c>
      <c r="AL2108" s="1" t="s">
        <v>132</v>
      </c>
      <c r="AM2108" s="1" t="s">
        <v>132</v>
      </c>
      <c r="AN2108" s="1" t="s">
        <v>132</v>
      </c>
    </row>
    <row r="2109" ht="15.75" customHeight="1">
      <c r="A2109" s="1" t="s">
        <v>43182</v>
      </c>
      <c r="B2109" s="1" t="s">
        <v>43322</v>
      </c>
      <c r="C2109" s="1" t="s">
        <v>43201</v>
      </c>
      <c r="D2109" s="1" t="s">
        <v>132</v>
      </c>
      <c r="E2109" s="1" t="s">
        <v>132</v>
      </c>
      <c r="F2109" s="1" t="s">
        <v>132</v>
      </c>
      <c r="G2109" s="1" t="s">
        <v>132</v>
      </c>
      <c r="H2109" s="1" t="s">
        <v>132</v>
      </c>
      <c r="I2109" s="1" t="s">
        <v>132</v>
      </c>
      <c r="J2109" s="1" t="s">
        <v>132</v>
      </c>
      <c r="K2109" s="1" t="s">
        <v>132</v>
      </c>
      <c r="L2109" s="1" t="s">
        <v>132</v>
      </c>
      <c r="M2109" s="1" t="s">
        <v>132</v>
      </c>
      <c r="N2109" s="1" t="s">
        <v>132</v>
      </c>
      <c r="O2109" s="1" t="s">
        <v>132</v>
      </c>
      <c r="P2109" s="1" t="s">
        <v>132</v>
      </c>
      <c r="Q2109" s="1" t="s">
        <v>132</v>
      </c>
      <c r="R2109" s="1" t="s">
        <v>132</v>
      </c>
      <c r="S2109" s="1" t="s">
        <v>132</v>
      </c>
      <c r="T2109" s="1" t="s">
        <v>132</v>
      </c>
      <c r="U2109" s="1" t="s">
        <v>132</v>
      </c>
      <c r="V2109" s="1" t="s">
        <v>132</v>
      </c>
      <c r="W2109" s="1" t="s">
        <v>132</v>
      </c>
      <c r="X2109" s="1" t="s">
        <v>132</v>
      </c>
      <c r="Y2109" s="1" t="s">
        <v>132</v>
      </c>
      <c r="Z2109" s="1" t="s">
        <v>132</v>
      </c>
      <c r="AA2109" s="1" t="s">
        <v>132</v>
      </c>
      <c r="AB2109" s="1" t="s">
        <v>132</v>
      </c>
      <c r="AC2109" s="1" t="s">
        <v>132</v>
      </c>
      <c r="AD2109" s="1" t="s">
        <v>132</v>
      </c>
      <c r="AE2109" s="1" t="s">
        <v>132</v>
      </c>
      <c r="AF2109" s="1" t="s">
        <v>132</v>
      </c>
      <c r="AG2109" s="1" t="s">
        <v>132</v>
      </c>
      <c r="AH2109" s="1" t="s">
        <v>132</v>
      </c>
      <c r="AI2109" s="1" t="s">
        <v>132</v>
      </c>
      <c r="AJ2109" s="1" t="s">
        <v>132</v>
      </c>
      <c r="AK2109" s="1" t="s">
        <v>132</v>
      </c>
      <c r="AL2109" s="1" t="s">
        <v>132</v>
      </c>
      <c r="AM2109" s="1" t="s">
        <v>132</v>
      </c>
      <c r="AN2109" s="1" t="s">
        <v>132</v>
      </c>
    </row>
    <row r="2110" ht="15.75" customHeight="1">
      <c r="A2110" s="1" t="s">
        <v>43182</v>
      </c>
      <c r="B2110" s="1" t="s">
        <v>43323</v>
      </c>
      <c r="C2110" s="1" t="s">
        <v>637</v>
      </c>
      <c r="D2110" s="1" t="s">
        <v>132</v>
      </c>
      <c r="E2110" s="1" t="s">
        <v>132</v>
      </c>
      <c r="F2110" s="1" t="s">
        <v>132</v>
      </c>
      <c r="G2110" s="1" t="s">
        <v>132</v>
      </c>
      <c r="H2110" s="1" t="s">
        <v>132</v>
      </c>
      <c r="I2110" s="1" t="s">
        <v>132</v>
      </c>
      <c r="J2110" s="1" t="s">
        <v>132</v>
      </c>
      <c r="K2110" s="1" t="s">
        <v>132</v>
      </c>
      <c r="L2110" s="1" t="s">
        <v>132</v>
      </c>
      <c r="M2110" s="1" t="s">
        <v>132</v>
      </c>
      <c r="N2110" s="1" t="s">
        <v>132</v>
      </c>
      <c r="O2110" s="1" t="s">
        <v>132</v>
      </c>
      <c r="P2110" s="1" t="s">
        <v>132</v>
      </c>
      <c r="Q2110" s="1" t="s">
        <v>132</v>
      </c>
      <c r="R2110" s="1" t="s">
        <v>132</v>
      </c>
      <c r="S2110" s="1" t="s">
        <v>132</v>
      </c>
      <c r="T2110" s="1" t="s">
        <v>132</v>
      </c>
      <c r="U2110" s="1" t="s">
        <v>132</v>
      </c>
      <c r="V2110" s="1" t="s">
        <v>132</v>
      </c>
      <c r="W2110" s="1" t="s">
        <v>132</v>
      </c>
      <c r="X2110" s="1" t="s">
        <v>132</v>
      </c>
      <c r="Y2110" s="1" t="s">
        <v>132</v>
      </c>
      <c r="Z2110" s="1" t="s">
        <v>132</v>
      </c>
      <c r="AA2110" s="1" t="s">
        <v>132</v>
      </c>
      <c r="AB2110" s="1" t="s">
        <v>132</v>
      </c>
      <c r="AC2110" s="1" t="s">
        <v>132</v>
      </c>
      <c r="AD2110" s="1" t="s">
        <v>132</v>
      </c>
      <c r="AE2110" s="1" t="s">
        <v>132</v>
      </c>
      <c r="AF2110" s="1" t="s">
        <v>132</v>
      </c>
      <c r="AG2110" s="1" t="s">
        <v>132</v>
      </c>
      <c r="AH2110" s="1" t="s">
        <v>132</v>
      </c>
      <c r="AI2110" s="1" t="s">
        <v>132</v>
      </c>
      <c r="AJ2110" s="1" t="s">
        <v>132</v>
      </c>
      <c r="AK2110" s="1" t="s">
        <v>132</v>
      </c>
      <c r="AL2110" s="1" t="s">
        <v>132</v>
      </c>
      <c r="AM2110" s="1" t="s">
        <v>132</v>
      </c>
      <c r="AN2110" s="1" t="s">
        <v>132</v>
      </c>
    </row>
    <row r="2111" ht="15.75" customHeight="1">
      <c r="A2111" s="1" t="s">
        <v>127</v>
      </c>
      <c r="B2111" s="1" t="s">
        <v>40723</v>
      </c>
      <c r="C2111" s="1" t="s">
        <v>40724</v>
      </c>
      <c r="D2111" s="8" t="s">
        <v>37142</v>
      </c>
      <c r="E2111" s="1" t="s">
        <v>40725</v>
      </c>
      <c r="F2111" s="1" t="s">
        <v>132</v>
      </c>
      <c r="G2111" s="1" t="s">
        <v>40726</v>
      </c>
      <c r="H2111" s="1" t="s">
        <v>40727</v>
      </c>
      <c r="I2111" s="1" t="s">
        <v>40728</v>
      </c>
      <c r="J2111" s="1" t="s">
        <v>40729</v>
      </c>
      <c r="K2111" s="1" t="s">
        <v>40730</v>
      </c>
      <c r="L2111" s="1" t="s">
        <v>40731</v>
      </c>
      <c r="M2111" s="1" t="s">
        <v>40732</v>
      </c>
      <c r="N2111" s="1" t="s">
        <v>132</v>
      </c>
      <c r="O2111" s="1" t="s">
        <v>40733</v>
      </c>
      <c r="P2111" s="1" t="s">
        <v>40734</v>
      </c>
      <c r="Q2111" s="1" t="s">
        <v>132</v>
      </c>
      <c r="R2111" s="1" t="s">
        <v>28562</v>
      </c>
      <c r="S2111" s="1" t="s">
        <v>40735</v>
      </c>
      <c r="T2111" s="8" t="s">
        <v>37146</v>
      </c>
      <c r="U2111" s="1" t="s">
        <v>21421</v>
      </c>
      <c r="V2111" s="1" t="s">
        <v>28565</v>
      </c>
      <c r="W2111" s="1" t="s">
        <v>28562</v>
      </c>
      <c r="X2111" s="1" t="s">
        <v>40736</v>
      </c>
      <c r="Y2111" s="1" t="s">
        <v>40727</v>
      </c>
      <c r="Z2111" s="1" t="s">
        <v>40737</v>
      </c>
      <c r="AA2111" s="1" t="s">
        <v>28557</v>
      </c>
      <c r="AB2111" s="1" t="s">
        <v>132</v>
      </c>
      <c r="AC2111" s="1" t="s">
        <v>40725</v>
      </c>
      <c r="AD2111" s="1" t="s">
        <v>40726</v>
      </c>
      <c r="AE2111" s="1" t="s">
        <v>40738</v>
      </c>
      <c r="AF2111" s="1" t="s">
        <v>40739</v>
      </c>
      <c r="AG2111" s="1" t="s">
        <v>40740</v>
      </c>
      <c r="AH2111" s="1" t="s">
        <v>28572</v>
      </c>
      <c r="AI2111" s="1" t="s">
        <v>21429</v>
      </c>
      <c r="AJ2111" s="1" t="s">
        <v>132</v>
      </c>
      <c r="AK2111" s="1" t="s">
        <v>28574</v>
      </c>
      <c r="AL2111" s="1" t="s">
        <v>28575</v>
      </c>
      <c r="AM2111" s="1" t="s">
        <v>28576</v>
      </c>
      <c r="AN2111" s="1" t="s">
        <v>28576</v>
      </c>
    </row>
    <row r="2112" ht="15.75" customHeight="1">
      <c r="A2112" s="1" t="s">
        <v>127</v>
      </c>
      <c r="B2112" s="1" t="s">
        <v>40741</v>
      </c>
      <c r="C2112" s="1" t="s">
        <v>40742</v>
      </c>
      <c r="D2112" s="8" t="s">
        <v>40743</v>
      </c>
      <c r="E2112" s="1" t="s">
        <v>40744</v>
      </c>
      <c r="F2112" s="1" t="s">
        <v>132</v>
      </c>
      <c r="G2112" s="1" t="s">
        <v>40745</v>
      </c>
      <c r="H2112" s="1" t="s">
        <v>40746</v>
      </c>
      <c r="I2112" s="1" t="s">
        <v>40747</v>
      </c>
      <c r="J2112" s="1" t="s">
        <v>40748</v>
      </c>
      <c r="K2112" s="1" t="s">
        <v>40749</v>
      </c>
      <c r="L2112" s="1" t="s">
        <v>40750</v>
      </c>
      <c r="M2112" s="1" t="s">
        <v>40751</v>
      </c>
      <c r="N2112" s="1" t="s">
        <v>132</v>
      </c>
      <c r="O2112" s="1" t="s">
        <v>40752</v>
      </c>
      <c r="P2112" s="1" t="s">
        <v>40753</v>
      </c>
      <c r="Q2112" s="1" t="s">
        <v>132</v>
      </c>
      <c r="R2112" s="1" t="s">
        <v>40754</v>
      </c>
      <c r="S2112" s="1" t="s">
        <v>40755</v>
      </c>
      <c r="T2112" s="8" t="s">
        <v>40756</v>
      </c>
      <c r="U2112" s="1" t="s">
        <v>40757</v>
      </c>
      <c r="V2112" s="1" t="s">
        <v>40758</v>
      </c>
      <c r="W2112" s="1" t="s">
        <v>40754</v>
      </c>
      <c r="X2112" s="1" t="s">
        <v>40759</v>
      </c>
      <c r="Y2112" s="1" t="s">
        <v>40760</v>
      </c>
      <c r="Z2112" s="1" t="s">
        <v>40761</v>
      </c>
      <c r="AA2112" s="1" t="s">
        <v>40762</v>
      </c>
      <c r="AB2112" s="1" t="s">
        <v>132</v>
      </c>
      <c r="AC2112" s="1" t="s">
        <v>40763</v>
      </c>
      <c r="AD2112" s="1" t="s">
        <v>40764</v>
      </c>
      <c r="AE2112" s="1" t="s">
        <v>40765</v>
      </c>
      <c r="AF2112" s="1" t="s">
        <v>40766</v>
      </c>
      <c r="AG2112" s="1" t="s">
        <v>40767</v>
      </c>
      <c r="AH2112" s="1" t="s">
        <v>40768</v>
      </c>
      <c r="AI2112" s="1" t="s">
        <v>40769</v>
      </c>
      <c r="AJ2112" s="1" t="s">
        <v>132</v>
      </c>
      <c r="AK2112" s="1" t="s">
        <v>40770</v>
      </c>
      <c r="AL2112" s="1" t="s">
        <v>40771</v>
      </c>
      <c r="AM2112" s="1" t="s">
        <v>40772</v>
      </c>
      <c r="AN2112" s="1" t="s">
        <v>40772</v>
      </c>
    </row>
    <row r="2113" ht="15.75" customHeight="1">
      <c r="A2113" s="1" t="s">
        <v>40773</v>
      </c>
      <c r="B2113" s="1" t="s">
        <v>40774</v>
      </c>
      <c r="C2113" s="1" t="s">
        <v>40775</v>
      </c>
      <c r="D2113" s="1" t="s">
        <v>40775</v>
      </c>
      <c r="E2113" s="1" t="s">
        <v>40776</v>
      </c>
      <c r="F2113" s="1" t="s">
        <v>40777</v>
      </c>
      <c r="G2113" s="1" t="s">
        <v>40778</v>
      </c>
      <c r="H2113" s="1" t="s">
        <v>40779</v>
      </c>
      <c r="I2113" s="1" t="s">
        <v>40780</v>
      </c>
      <c r="J2113" s="1" t="s">
        <v>40781</v>
      </c>
      <c r="K2113" s="1" t="s">
        <v>40777</v>
      </c>
      <c r="L2113" s="1" t="s">
        <v>40782</v>
      </c>
      <c r="M2113" s="1" t="s">
        <v>40783</v>
      </c>
      <c r="N2113" s="8" t="s">
        <v>40784</v>
      </c>
      <c r="O2113" s="1" t="s">
        <v>132</v>
      </c>
      <c r="P2113" s="1" t="s">
        <v>40785</v>
      </c>
      <c r="Q2113" s="1" t="s">
        <v>43324</v>
      </c>
      <c r="R2113" s="1" t="s">
        <v>40786</v>
      </c>
      <c r="S2113" s="1" t="s">
        <v>40787</v>
      </c>
      <c r="T2113" s="1" t="s">
        <v>132</v>
      </c>
      <c r="U2113" s="1" t="s">
        <v>40788</v>
      </c>
      <c r="V2113" s="1" t="s">
        <v>40789</v>
      </c>
      <c r="W2113" s="1" t="s">
        <v>40790</v>
      </c>
      <c r="X2113" s="1" t="s">
        <v>40791</v>
      </c>
      <c r="Y2113" s="1" t="s">
        <v>40779</v>
      </c>
      <c r="Z2113" s="1" t="s">
        <v>40792</v>
      </c>
      <c r="AA2113" s="1" t="s">
        <v>40793</v>
      </c>
      <c r="AB2113" s="1" t="s">
        <v>132</v>
      </c>
      <c r="AC2113" s="1" t="s">
        <v>40794</v>
      </c>
      <c r="AD2113" s="1" t="s">
        <v>40795</v>
      </c>
      <c r="AE2113" s="1" t="s">
        <v>40796</v>
      </c>
      <c r="AF2113" s="1" t="s">
        <v>40797</v>
      </c>
      <c r="AG2113" s="11" t="s">
        <v>40787</v>
      </c>
      <c r="AH2113" s="1" t="s">
        <v>132</v>
      </c>
      <c r="AI2113" s="1" t="s">
        <v>40797</v>
      </c>
      <c r="AJ2113" s="1" t="s">
        <v>132</v>
      </c>
      <c r="AK2113" s="1" t="s">
        <v>132</v>
      </c>
      <c r="AL2113" s="14" t="s">
        <v>40798</v>
      </c>
      <c r="AM2113" s="1" t="s">
        <v>132</v>
      </c>
      <c r="AN2113" s="1" t="s">
        <v>132</v>
      </c>
    </row>
    <row r="2114" ht="15.75" customHeight="1">
      <c r="A2114" s="1" t="s">
        <v>43182</v>
      </c>
      <c r="B2114" s="1" t="s">
        <v>43325</v>
      </c>
      <c r="C2114" s="1" t="s">
        <v>11434</v>
      </c>
      <c r="D2114" s="1" t="s">
        <v>132</v>
      </c>
      <c r="E2114" s="1" t="s">
        <v>132</v>
      </c>
      <c r="F2114" s="1" t="s">
        <v>132</v>
      </c>
      <c r="G2114" s="1" t="s">
        <v>132</v>
      </c>
      <c r="H2114" s="1" t="s">
        <v>132</v>
      </c>
      <c r="I2114" s="1" t="s">
        <v>132</v>
      </c>
      <c r="J2114" s="1" t="s">
        <v>132</v>
      </c>
      <c r="K2114" s="1" t="s">
        <v>132</v>
      </c>
      <c r="L2114" s="1" t="s">
        <v>132</v>
      </c>
      <c r="M2114" s="1" t="s">
        <v>132</v>
      </c>
      <c r="N2114" s="1" t="s">
        <v>132</v>
      </c>
      <c r="O2114" s="1" t="s">
        <v>132</v>
      </c>
      <c r="P2114" s="1" t="s">
        <v>132</v>
      </c>
      <c r="Q2114" s="1" t="s">
        <v>132</v>
      </c>
      <c r="R2114" s="1" t="s">
        <v>132</v>
      </c>
      <c r="S2114" s="1" t="s">
        <v>132</v>
      </c>
      <c r="T2114" s="1" t="s">
        <v>132</v>
      </c>
      <c r="U2114" s="1" t="s">
        <v>132</v>
      </c>
      <c r="V2114" s="1" t="s">
        <v>132</v>
      </c>
      <c r="W2114" s="1" t="s">
        <v>132</v>
      </c>
      <c r="X2114" s="1" t="s">
        <v>132</v>
      </c>
      <c r="Y2114" s="1" t="s">
        <v>132</v>
      </c>
      <c r="Z2114" s="1" t="s">
        <v>132</v>
      </c>
      <c r="AA2114" s="1" t="s">
        <v>132</v>
      </c>
      <c r="AB2114" s="1" t="s">
        <v>132</v>
      </c>
      <c r="AC2114" s="1" t="s">
        <v>132</v>
      </c>
      <c r="AD2114" s="1" t="s">
        <v>132</v>
      </c>
      <c r="AE2114" s="1" t="s">
        <v>132</v>
      </c>
      <c r="AF2114" s="1" t="s">
        <v>132</v>
      </c>
      <c r="AG2114" s="1" t="s">
        <v>132</v>
      </c>
      <c r="AH2114" s="1" t="s">
        <v>132</v>
      </c>
      <c r="AI2114" s="1" t="s">
        <v>132</v>
      </c>
      <c r="AJ2114" s="1" t="s">
        <v>132</v>
      </c>
      <c r="AK2114" s="1" t="s">
        <v>132</v>
      </c>
      <c r="AL2114" s="1" t="s">
        <v>132</v>
      </c>
      <c r="AM2114" s="1" t="s">
        <v>132</v>
      </c>
      <c r="AN2114" s="1" t="s">
        <v>132</v>
      </c>
    </row>
    <row r="2115" ht="15.75" customHeight="1">
      <c r="A2115" s="1" t="s">
        <v>43182</v>
      </c>
      <c r="B2115" s="1" t="s">
        <v>43326</v>
      </c>
      <c r="C2115" s="1" t="s">
        <v>43251</v>
      </c>
      <c r="D2115" s="1" t="s">
        <v>132</v>
      </c>
      <c r="E2115" s="1" t="s">
        <v>132</v>
      </c>
      <c r="F2115" s="1" t="s">
        <v>132</v>
      </c>
      <c r="G2115" s="1" t="s">
        <v>132</v>
      </c>
      <c r="H2115" s="1" t="s">
        <v>132</v>
      </c>
      <c r="I2115" s="1" t="s">
        <v>132</v>
      </c>
      <c r="J2115" s="1" t="s">
        <v>132</v>
      </c>
      <c r="K2115" s="1" t="s">
        <v>132</v>
      </c>
      <c r="L2115" s="1" t="s">
        <v>132</v>
      </c>
      <c r="M2115" s="1" t="s">
        <v>132</v>
      </c>
      <c r="N2115" s="1" t="s">
        <v>132</v>
      </c>
      <c r="O2115" s="1" t="s">
        <v>132</v>
      </c>
      <c r="P2115" s="1" t="s">
        <v>132</v>
      </c>
      <c r="Q2115" s="1" t="s">
        <v>132</v>
      </c>
      <c r="R2115" s="1" t="s">
        <v>132</v>
      </c>
      <c r="S2115" s="1" t="s">
        <v>132</v>
      </c>
      <c r="T2115" s="1" t="s">
        <v>132</v>
      </c>
      <c r="U2115" s="1" t="s">
        <v>132</v>
      </c>
      <c r="V2115" s="1" t="s">
        <v>132</v>
      </c>
      <c r="W2115" s="1" t="s">
        <v>132</v>
      </c>
      <c r="X2115" s="1" t="s">
        <v>132</v>
      </c>
      <c r="Y2115" s="1" t="s">
        <v>132</v>
      </c>
      <c r="Z2115" s="1" t="s">
        <v>132</v>
      </c>
      <c r="AA2115" s="1" t="s">
        <v>132</v>
      </c>
      <c r="AB2115" s="1" t="s">
        <v>132</v>
      </c>
      <c r="AC2115" s="1" t="s">
        <v>132</v>
      </c>
      <c r="AD2115" s="1" t="s">
        <v>132</v>
      </c>
      <c r="AE2115" s="1" t="s">
        <v>132</v>
      </c>
      <c r="AF2115" s="1" t="s">
        <v>132</v>
      </c>
      <c r="AG2115" s="1" t="s">
        <v>132</v>
      </c>
      <c r="AH2115" s="1" t="s">
        <v>132</v>
      </c>
      <c r="AI2115" s="1" t="s">
        <v>132</v>
      </c>
      <c r="AJ2115" s="1" t="s">
        <v>132</v>
      </c>
      <c r="AK2115" s="1" t="s">
        <v>132</v>
      </c>
      <c r="AL2115" s="1" t="s">
        <v>132</v>
      </c>
      <c r="AM2115" s="1" t="s">
        <v>132</v>
      </c>
      <c r="AN2115" s="1" t="s">
        <v>132</v>
      </c>
    </row>
    <row r="2116" ht="15.75" customHeight="1">
      <c r="A2116" s="1" t="s">
        <v>38</v>
      </c>
      <c r="B2116" s="1" t="s">
        <v>40799</v>
      </c>
      <c r="C2116" s="1" t="s">
        <v>40800</v>
      </c>
      <c r="D2116" s="8" t="s">
        <v>40801</v>
      </c>
      <c r="E2116" s="1" t="s">
        <v>40802</v>
      </c>
      <c r="F2116" s="1" t="s">
        <v>40803</v>
      </c>
      <c r="G2116" s="1" t="s">
        <v>132</v>
      </c>
      <c r="H2116" s="1" t="s">
        <v>132</v>
      </c>
      <c r="I2116" s="1" t="s">
        <v>40804</v>
      </c>
      <c r="J2116" s="1" t="s">
        <v>132</v>
      </c>
      <c r="K2116" s="1" t="s">
        <v>40805</v>
      </c>
      <c r="L2116" s="1" t="s">
        <v>132</v>
      </c>
      <c r="M2116" s="1" t="s">
        <v>40806</v>
      </c>
      <c r="N2116" s="1" t="s">
        <v>40807</v>
      </c>
      <c r="O2116" s="1" t="s">
        <v>132</v>
      </c>
      <c r="P2116" s="1" t="s">
        <v>40808</v>
      </c>
      <c r="Q2116" s="1" t="s">
        <v>40809</v>
      </c>
      <c r="R2116" s="1" t="s">
        <v>132</v>
      </c>
      <c r="S2116" s="1" t="s">
        <v>40810</v>
      </c>
      <c r="T2116" s="1" t="s">
        <v>132</v>
      </c>
      <c r="U2116" s="1" t="s">
        <v>40811</v>
      </c>
      <c r="V2116" s="1" t="s">
        <v>40812</v>
      </c>
      <c r="W2116" s="1" t="s">
        <v>132</v>
      </c>
      <c r="X2116" s="1" t="s">
        <v>40813</v>
      </c>
      <c r="Y2116" s="1" t="s">
        <v>132</v>
      </c>
      <c r="Z2116" s="1" t="s">
        <v>40814</v>
      </c>
      <c r="AA2116" s="1" t="s">
        <v>40815</v>
      </c>
      <c r="AB2116" s="1" t="s">
        <v>132</v>
      </c>
      <c r="AC2116" s="1" t="s">
        <v>40816</v>
      </c>
      <c r="AD2116" s="1" t="s">
        <v>40817</v>
      </c>
      <c r="AE2116" s="1" t="s">
        <v>132</v>
      </c>
      <c r="AF2116" s="1" t="s">
        <v>40818</v>
      </c>
      <c r="AG2116" s="1" t="s">
        <v>40819</v>
      </c>
      <c r="AH2116" s="1" t="s">
        <v>132</v>
      </c>
      <c r="AI2116" s="1" t="s">
        <v>132</v>
      </c>
      <c r="AJ2116" s="1" t="s">
        <v>40820</v>
      </c>
      <c r="AK2116" s="1" t="s">
        <v>40821</v>
      </c>
      <c r="AL2116" s="1" t="s">
        <v>132</v>
      </c>
      <c r="AM2116" s="1" t="s">
        <v>40822</v>
      </c>
      <c r="AN2116" s="1" t="s">
        <v>40822</v>
      </c>
    </row>
    <row r="2117" ht="15.75" customHeight="1">
      <c r="A2117" s="1" t="s">
        <v>127</v>
      </c>
      <c r="B2117" s="1" t="s">
        <v>40823</v>
      </c>
      <c r="C2117" s="1" t="s">
        <v>40824</v>
      </c>
      <c r="D2117" s="8" t="s">
        <v>40825</v>
      </c>
      <c r="E2117" s="1" t="s">
        <v>40826</v>
      </c>
      <c r="F2117" s="1" t="s">
        <v>132</v>
      </c>
      <c r="G2117" s="1" t="s">
        <v>40827</v>
      </c>
      <c r="H2117" s="1" t="s">
        <v>40824</v>
      </c>
      <c r="I2117" s="1" t="s">
        <v>40828</v>
      </c>
      <c r="J2117" s="1" t="s">
        <v>40829</v>
      </c>
      <c r="K2117" s="1" t="s">
        <v>40830</v>
      </c>
      <c r="L2117" s="1" t="s">
        <v>40831</v>
      </c>
      <c r="M2117" s="1" t="s">
        <v>40832</v>
      </c>
      <c r="N2117" s="1" t="s">
        <v>132</v>
      </c>
      <c r="O2117" s="1" t="s">
        <v>40833</v>
      </c>
      <c r="P2117" s="1" t="s">
        <v>40834</v>
      </c>
      <c r="Q2117" s="1" t="s">
        <v>132</v>
      </c>
      <c r="R2117" s="1" t="s">
        <v>40835</v>
      </c>
      <c r="S2117" s="1" t="s">
        <v>40824</v>
      </c>
      <c r="T2117" s="8" t="s">
        <v>40836</v>
      </c>
      <c r="U2117" s="1" t="s">
        <v>40837</v>
      </c>
      <c r="V2117" s="1" t="s">
        <v>40838</v>
      </c>
      <c r="W2117" s="1" t="s">
        <v>40839</v>
      </c>
      <c r="X2117" s="1" t="s">
        <v>40824</v>
      </c>
      <c r="Y2117" s="1" t="s">
        <v>40840</v>
      </c>
      <c r="Z2117" s="1" t="s">
        <v>40841</v>
      </c>
      <c r="AA2117" s="1" t="s">
        <v>40842</v>
      </c>
      <c r="AB2117" s="1" t="s">
        <v>132</v>
      </c>
      <c r="AC2117" s="1" t="s">
        <v>40843</v>
      </c>
      <c r="AD2117" s="1" t="s">
        <v>40844</v>
      </c>
      <c r="AE2117" s="1" t="s">
        <v>40845</v>
      </c>
      <c r="AF2117" s="1" t="s">
        <v>40846</v>
      </c>
      <c r="AG2117" s="1" t="s">
        <v>40847</v>
      </c>
      <c r="AH2117" s="1" t="s">
        <v>40848</v>
      </c>
      <c r="AI2117" s="1" t="s">
        <v>40849</v>
      </c>
      <c r="AJ2117" s="1" t="s">
        <v>132</v>
      </c>
      <c r="AK2117" s="1" t="s">
        <v>40850</v>
      </c>
      <c r="AL2117" s="1" t="s">
        <v>40851</v>
      </c>
      <c r="AM2117" s="1" t="s">
        <v>132</v>
      </c>
      <c r="AN2117" s="1" t="s">
        <v>132</v>
      </c>
    </row>
    <row r="2118" ht="15.75" customHeight="1">
      <c r="A2118" s="1" t="s">
        <v>127</v>
      </c>
      <c r="B2118" s="1" t="s">
        <v>40852</v>
      </c>
      <c r="C2118" s="1" t="s">
        <v>4396</v>
      </c>
      <c r="D2118" s="8" t="s">
        <v>24202</v>
      </c>
      <c r="E2118" s="1" t="s">
        <v>36860</v>
      </c>
      <c r="F2118" s="1" t="s">
        <v>132</v>
      </c>
      <c r="G2118" s="1" t="s">
        <v>4396</v>
      </c>
      <c r="H2118" s="1" t="s">
        <v>40853</v>
      </c>
      <c r="I2118" s="1" t="s">
        <v>4396</v>
      </c>
      <c r="J2118" s="1" t="s">
        <v>40854</v>
      </c>
      <c r="K2118" s="1" t="s">
        <v>4396</v>
      </c>
      <c r="L2118" s="1" t="s">
        <v>4396</v>
      </c>
      <c r="M2118" s="1" t="s">
        <v>4396</v>
      </c>
      <c r="N2118" s="1" t="s">
        <v>132</v>
      </c>
      <c r="O2118" s="1" t="s">
        <v>40855</v>
      </c>
      <c r="P2118" s="1" t="s">
        <v>4396</v>
      </c>
      <c r="Q2118" s="1" t="s">
        <v>132</v>
      </c>
      <c r="R2118" s="1" t="s">
        <v>4396</v>
      </c>
      <c r="S2118" s="1" t="s">
        <v>4396</v>
      </c>
      <c r="T2118" s="8" t="s">
        <v>40856</v>
      </c>
      <c r="U2118" s="1" t="s">
        <v>4396</v>
      </c>
      <c r="V2118" s="1" t="s">
        <v>24889</v>
      </c>
      <c r="W2118" s="1" t="s">
        <v>4396</v>
      </c>
      <c r="X2118" s="1" t="s">
        <v>40857</v>
      </c>
      <c r="Y2118" s="1" t="s">
        <v>4396</v>
      </c>
      <c r="Z2118" s="1" t="s">
        <v>4396</v>
      </c>
      <c r="AA2118" s="1" t="s">
        <v>4396</v>
      </c>
      <c r="AB2118" s="1" t="s">
        <v>132</v>
      </c>
      <c r="AC2118" s="1" t="s">
        <v>36866</v>
      </c>
      <c r="AD2118" s="1" t="s">
        <v>4396</v>
      </c>
      <c r="AE2118" s="1" t="s">
        <v>40858</v>
      </c>
      <c r="AF2118" s="1" t="s">
        <v>4396</v>
      </c>
      <c r="AG2118" s="1" t="s">
        <v>4396</v>
      </c>
      <c r="AH2118" s="1" t="s">
        <v>40859</v>
      </c>
      <c r="AI2118" s="1" t="s">
        <v>25958</v>
      </c>
      <c r="AJ2118" s="1" t="s">
        <v>132</v>
      </c>
      <c r="AK2118" s="1" t="s">
        <v>4396</v>
      </c>
      <c r="AL2118" s="1" t="s">
        <v>40860</v>
      </c>
      <c r="AM2118" s="1" t="s">
        <v>40861</v>
      </c>
      <c r="AN2118" s="1" t="s">
        <v>40861</v>
      </c>
    </row>
    <row r="2119" ht="15.75" customHeight="1">
      <c r="A2119" s="1" t="s">
        <v>38</v>
      </c>
      <c r="B2119" s="1" t="s">
        <v>40862</v>
      </c>
      <c r="C2119" s="1" t="s">
        <v>40863</v>
      </c>
      <c r="D2119" s="1" t="s">
        <v>132</v>
      </c>
      <c r="E2119" s="1" t="s">
        <v>132</v>
      </c>
      <c r="F2119" s="1" t="s">
        <v>132</v>
      </c>
      <c r="G2119" s="1" t="s">
        <v>132</v>
      </c>
      <c r="H2119" s="1" t="s">
        <v>132</v>
      </c>
      <c r="I2119" s="1" t="s">
        <v>40863</v>
      </c>
      <c r="J2119" s="1" t="s">
        <v>132</v>
      </c>
      <c r="K2119" s="1" t="s">
        <v>40863</v>
      </c>
      <c r="L2119" s="1" t="s">
        <v>132</v>
      </c>
      <c r="M2119" s="1" t="s">
        <v>40863</v>
      </c>
      <c r="N2119" s="1" t="s">
        <v>132</v>
      </c>
      <c r="O2119" s="1" t="s">
        <v>132</v>
      </c>
      <c r="P2119" s="1" t="s">
        <v>40863</v>
      </c>
      <c r="Q2119" s="1" t="s">
        <v>132</v>
      </c>
      <c r="R2119" s="1" t="s">
        <v>132</v>
      </c>
      <c r="S2119" s="1" t="s">
        <v>132</v>
      </c>
      <c r="T2119" s="1" t="s">
        <v>132</v>
      </c>
      <c r="U2119" s="1" t="s">
        <v>132</v>
      </c>
      <c r="V2119" s="1" t="s">
        <v>132</v>
      </c>
      <c r="W2119" s="1" t="s">
        <v>132</v>
      </c>
      <c r="X2119" s="1" t="s">
        <v>132</v>
      </c>
      <c r="Y2119" s="1" t="s">
        <v>132</v>
      </c>
      <c r="Z2119" s="1" t="s">
        <v>132</v>
      </c>
      <c r="AA2119" s="1" t="s">
        <v>132</v>
      </c>
      <c r="AB2119" s="1" t="s">
        <v>132</v>
      </c>
      <c r="AC2119" s="1" t="s">
        <v>40864</v>
      </c>
      <c r="AD2119" s="1" t="s">
        <v>132</v>
      </c>
      <c r="AE2119" s="1" t="s">
        <v>132</v>
      </c>
      <c r="AF2119" s="1" t="s">
        <v>40863</v>
      </c>
      <c r="AG2119" s="1" t="s">
        <v>132</v>
      </c>
      <c r="AH2119" s="1" t="s">
        <v>132</v>
      </c>
      <c r="AI2119" s="1" t="s">
        <v>132</v>
      </c>
      <c r="AJ2119" s="1" t="s">
        <v>132</v>
      </c>
      <c r="AK2119" s="1" t="s">
        <v>132</v>
      </c>
      <c r="AL2119" s="1" t="s">
        <v>132</v>
      </c>
      <c r="AM2119" s="1" t="s">
        <v>132</v>
      </c>
      <c r="AN2119" s="1" t="s">
        <v>132</v>
      </c>
    </row>
    <row r="2120" ht="15.75" customHeight="1">
      <c r="A2120" s="1" t="s">
        <v>38</v>
      </c>
      <c r="B2120" s="1" t="s">
        <v>40865</v>
      </c>
      <c r="C2120" s="1" t="s">
        <v>40866</v>
      </c>
      <c r="D2120" s="1" t="s">
        <v>132</v>
      </c>
      <c r="E2120" s="1" t="s">
        <v>40867</v>
      </c>
      <c r="F2120" s="1" t="s">
        <v>40868</v>
      </c>
      <c r="G2120" s="1" t="s">
        <v>132</v>
      </c>
      <c r="H2120" s="1" t="s">
        <v>132</v>
      </c>
      <c r="I2120" s="1" t="s">
        <v>40869</v>
      </c>
      <c r="J2120" s="1" t="s">
        <v>132</v>
      </c>
      <c r="K2120" s="1" t="s">
        <v>40870</v>
      </c>
      <c r="L2120" s="1" t="s">
        <v>132</v>
      </c>
      <c r="M2120" s="1" t="s">
        <v>40871</v>
      </c>
      <c r="N2120" s="1" t="s">
        <v>40872</v>
      </c>
      <c r="O2120" s="1" t="s">
        <v>132</v>
      </c>
      <c r="P2120" s="1" t="s">
        <v>40873</v>
      </c>
      <c r="Q2120" s="1" t="s">
        <v>132</v>
      </c>
      <c r="R2120" s="1" t="s">
        <v>132</v>
      </c>
      <c r="S2120" s="1" t="s">
        <v>40874</v>
      </c>
      <c r="T2120" s="1" t="s">
        <v>132</v>
      </c>
      <c r="U2120" s="1" t="s">
        <v>132</v>
      </c>
      <c r="V2120" s="1" t="s">
        <v>132</v>
      </c>
      <c r="W2120" s="1" t="s">
        <v>132</v>
      </c>
      <c r="X2120" s="1" t="s">
        <v>40875</v>
      </c>
      <c r="Y2120" s="1" t="s">
        <v>132</v>
      </c>
      <c r="Z2120" s="1" t="s">
        <v>40876</v>
      </c>
      <c r="AA2120" s="1" t="s">
        <v>132</v>
      </c>
      <c r="AB2120" s="1" t="s">
        <v>132</v>
      </c>
      <c r="AC2120" s="1" t="s">
        <v>132</v>
      </c>
      <c r="AD2120" s="1" t="s">
        <v>132</v>
      </c>
      <c r="AE2120" s="1" t="s">
        <v>132</v>
      </c>
      <c r="AF2120" s="1" t="s">
        <v>132</v>
      </c>
      <c r="AG2120" s="1" t="s">
        <v>132</v>
      </c>
      <c r="AH2120" s="1" t="s">
        <v>132</v>
      </c>
      <c r="AI2120" s="1" t="s">
        <v>132</v>
      </c>
      <c r="AJ2120" s="1" t="s">
        <v>132</v>
      </c>
      <c r="AK2120" s="1" t="s">
        <v>132</v>
      </c>
      <c r="AL2120" s="1" t="s">
        <v>132</v>
      </c>
      <c r="AM2120" s="1" t="s">
        <v>132</v>
      </c>
      <c r="AN2120" s="1" t="s">
        <v>132</v>
      </c>
    </row>
    <row r="2121" ht="15.75" customHeight="1">
      <c r="A2121" s="1" t="s">
        <v>127</v>
      </c>
      <c r="B2121" s="1" t="s">
        <v>40877</v>
      </c>
      <c r="C2121" s="1" t="s">
        <v>40878</v>
      </c>
      <c r="D2121" s="8" t="s">
        <v>40879</v>
      </c>
      <c r="E2121" s="1" t="s">
        <v>40880</v>
      </c>
      <c r="F2121" s="1" t="s">
        <v>132</v>
      </c>
      <c r="G2121" s="1" t="s">
        <v>40881</v>
      </c>
      <c r="H2121" s="1" t="s">
        <v>40882</v>
      </c>
      <c r="I2121" s="1" t="s">
        <v>40878</v>
      </c>
      <c r="J2121" s="1" t="s">
        <v>40883</v>
      </c>
      <c r="K2121" s="1" t="s">
        <v>40878</v>
      </c>
      <c r="L2121" s="1" t="s">
        <v>40884</v>
      </c>
      <c r="M2121" s="1" t="s">
        <v>40885</v>
      </c>
      <c r="N2121" s="1" t="s">
        <v>132</v>
      </c>
      <c r="O2121" s="1" t="s">
        <v>40886</v>
      </c>
      <c r="P2121" s="1" t="s">
        <v>40878</v>
      </c>
      <c r="Q2121" s="1" t="s">
        <v>132</v>
      </c>
      <c r="R2121" s="1" t="s">
        <v>40878</v>
      </c>
      <c r="S2121" s="1" t="s">
        <v>40878</v>
      </c>
      <c r="T2121" s="8" t="s">
        <v>40887</v>
      </c>
      <c r="U2121" s="1" t="s">
        <v>40888</v>
      </c>
      <c r="V2121" s="1" t="s">
        <v>40889</v>
      </c>
      <c r="W2121" s="1" t="s">
        <v>40878</v>
      </c>
      <c r="X2121" s="1" t="s">
        <v>40878</v>
      </c>
      <c r="Y2121" s="1" t="s">
        <v>40882</v>
      </c>
      <c r="Z2121" s="1" t="s">
        <v>40890</v>
      </c>
      <c r="AA2121" s="1" t="s">
        <v>40878</v>
      </c>
      <c r="AB2121" s="1" t="s">
        <v>132</v>
      </c>
      <c r="AC2121" s="1" t="s">
        <v>40891</v>
      </c>
      <c r="AD2121" s="1" t="s">
        <v>40892</v>
      </c>
      <c r="AE2121" s="1" t="s">
        <v>40893</v>
      </c>
      <c r="AF2121" s="1" t="s">
        <v>40894</v>
      </c>
      <c r="AG2121" s="1" t="s">
        <v>40895</v>
      </c>
      <c r="AH2121" s="1" t="s">
        <v>40896</v>
      </c>
      <c r="AI2121" s="1" t="s">
        <v>40897</v>
      </c>
      <c r="AJ2121" s="1" t="s">
        <v>132</v>
      </c>
      <c r="AK2121" s="1" t="s">
        <v>40898</v>
      </c>
      <c r="AL2121" s="1" t="s">
        <v>40899</v>
      </c>
      <c r="AM2121" s="1" t="s">
        <v>40900</v>
      </c>
      <c r="AN2121" s="1" t="s">
        <v>40900</v>
      </c>
    </row>
    <row r="2122" ht="15.75" customHeight="1">
      <c r="A2122" s="1" t="s">
        <v>38</v>
      </c>
      <c r="B2122" s="1" t="s">
        <v>40901</v>
      </c>
      <c r="C2122" s="1" t="s">
        <v>40901</v>
      </c>
      <c r="D2122" s="1" t="s">
        <v>132</v>
      </c>
      <c r="E2122" s="1" t="s">
        <v>31463</v>
      </c>
      <c r="F2122" s="1" t="s">
        <v>132</v>
      </c>
      <c r="G2122" s="1" t="s">
        <v>132</v>
      </c>
      <c r="H2122" s="1" t="s">
        <v>132</v>
      </c>
      <c r="I2122" s="1" t="s">
        <v>40902</v>
      </c>
      <c r="J2122" s="1" t="s">
        <v>132</v>
      </c>
      <c r="K2122" s="1" t="s">
        <v>31461</v>
      </c>
      <c r="L2122" s="1" t="s">
        <v>132</v>
      </c>
      <c r="M2122" s="1" t="s">
        <v>132</v>
      </c>
      <c r="N2122" s="1" t="s">
        <v>31461</v>
      </c>
      <c r="O2122" s="1" t="s">
        <v>132</v>
      </c>
      <c r="P2122" s="1" t="s">
        <v>40903</v>
      </c>
      <c r="Q2122" s="1" t="s">
        <v>132</v>
      </c>
      <c r="R2122" s="1" t="s">
        <v>132</v>
      </c>
      <c r="S2122" s="1" t="s">
        <v>40904</v>
      </c>
      <c r="T2122" s="1" t="s">
        <v>132</v>
      </c>
      <c r="U2122" s="1" t="s">
        <v>132</v>
      </c>
      <c r="V2122" s="1" t="s">
        <v>132</v>
      </c>
      <c r="W2122" s="1" t="s">
        <v>132</v>
      </c>
      <c r="X2122" s="1" t="s">
        <v>40905</v>
      </c>
      <c r="Y2122" s="1" t="s">
        <v>132</v>
      </c>
      <c r="Z2122" s="1" t="s">
        <v>40906</v>
      </c>
      <c r="AA2122" s="1" t="s">
        <v>132</v>
      </c>
      <c r="AB2122" s="1" t="s">
        <v>132</v>
      </c>
      <c r="AC2122" s="1" t="s">
        <v>132</v>
      </c>
      <c r="AD2122" s="1" t="s">
        <v>132</v>
      </c>
      <c r="AE2122" s="1" t="s">
        <v>132</v>
      </c>
      <c r="AF2122" s="1" t="s">
        <v>132</v>
      </c>
      <c r="AG2122" s="1" t="s">
        <v>132</v>
      </c>
      <c r="AH2122" s="1" t="s">
        <v>132</v>
      </c>
      <c r="AI2122" s="1" t="s">
        <v>132</v>
      </c>
      <c r="AJ2122" s="1" t="s">
        <v>132</v>
      </c>
      <c r="AK2122" s="1" t="s">
        <v>132</v>
      </c>
      <c r="AL2122" s="1" t="s">
        <v>132</v>
      </c>
      <c r="AM2122" s="1" t="s">
        <v>132</v>
      </c>
      <c r="AN2122" s="1" t="s">
        <v>132</v>
      </c>
    </row>
    <row r="2123" ht="15.75" customHeight="1">
      <c r="A2123" s="1" t="s">
        <v>127</v>
      </c>
      <c r="B2123" s="1" t="s">
        <v>40907</v>
      </c>
      <c r="C2123" s="1" t="s">
        <v>30046</v>
      </c>
      <c r="D2123" s="8" t="s">
        <v>40908</v>
      </c>
      <c r="E2123" s="1" t="s">
        <v>24730</v>
      </c>
      <c r="F2123" s="1" t="s">
        <v>132</v>
      </c>
      <c r="G2123" s="1" t="s">
        <v>24750</v>
      </c>
      <c r="H2123" s="1" t="s">
        <v>30048</v>
      </c>
      <c r="I2123" s="1" t="s">
        <v>30048</v>
      </c>
      <c r="J2123" s="1" t="s">
        <v>30049</v>
      </c>
      <c r="K2123" s="1" t="s">
        <v>30050</v>
      </c>
      <c r="L2123" s="1" t="s">
        <v>30051</v>
      </c>
      <c r="M2123" s="1" t="s">
        <v>30052</v>
      </c>
      <c r="N2123" s="1" t="s">
        <v>132</v>
      </c>
      <c r="O2123" s="1" t="s">
        <v>30053</v>
      </c>
      <c r="P2123" s="1" t="s">
        <v>30054</v>
      </c>
      <c r="Q2123" s="1" t="s">
        <v>132</v>
      </c>
      <c r="R2123" s="1" t="s">
        <v>24740</v>
      </c>
      <c r="S2123" s="1" t="s">
        <v>40909</v>
      </c>
      <c r="T2123" s="8" t="s">
        <v>30056</v>
      </c>
      <c r="U2123" s="1" t="s">
        <v>24743</v>
      </c>
      <c r="V2123" s="1" t="s">
        <v>24744</v>
      </c>
      <c r="W2123" s="1" t="s">
        <v>24740</v>
      </c>
      <c r="X2123" s="1" t="s">
        <v>30057</v>
      </c>
      <c r="Y2123" s="1" t="s">
        <v>30058</v>
      </c>
      <c r="Z2123" s="1" t="s">
        <v>24747</v>
      </c>
      <c r="AA2123" s="1" t="s">
        <v>30059</v>
      </c>
      <c r="AB2123" s="1" t="s">
        <v>132</v>
      </c>
      <c r="AC2123" s="1" t="s">
        <v>30061</v>
      </c>
      <c r="AD2123" s="1" t="s">
        <v>30062</v>
      </c>
      <c r="AE2123" s="1" t="s">
        <v>30063</v>
      </c>
      <c r="AF2123" s="1" t="s">
        <v>30064</v>
      </c>
      <c r="AG2123" s="1" t="s">
        <v>30048</v>
      </c>
      <c r="AH2123" s="1" t="s">
        <v>24753</v>
      </c>
      <c r="AI2123" s="1" t="s">
        <v>40910</v>
      </c>
      <c r="AJ2123" s="1" t="s">
        <v>132</v>
      </c>
      <c r="AK2123" s="1" t="s">
        <v>24755</v>
      </c>
      <c r="AL2123" s="1" t="s">
        <v>26449</v>
      </c>
      <c r="AM2123" s="1" t="s">
        <v>26450</v>
      </c>
      <c r="AN2123" s="1" t="s">
        <v>26450</v>
      </c>
    </row>
    <row r="2124" ht="15.75" customHeight="1">
      <c r="A2124" s="1" t="s">
        <v>127</v>
      </c>
      <c r="B2124" s="1" t="s">
        <v>40911</v>
      </c>
      <c r="C2124" s="1" t="s">
        <v>40912</v>
      </c>
      <c r="D2124" s="8" t="s">
        <v>40913</v>
      </c>
      <c r="E2124" s="1" t="s">
        <v>40914</v>
      </c>
      <c r="F2124" s="1" t="s">
        <v>132</v>
      </c>
      <c r="G2124" s="1" t="s">
        <v>40915</v>
      </c>
      <c r="H2124" s="1" t="s">
        <v>40916</v>
      </c>
      <c r="I2124" s="1" t="s">
        <v>40917</v>
      </c>
      <c r="J2124" s="1" t="s">
        <v>40918</v>
      </c>
      <c r="K2124" s="1" t="s">
        <v>40919</v>
      </c>
      <c r="L2124" s="1" t="s">
        <v>40920</v>
      </c>
      <c r="M2124" s="1" t="s">
        <v>40921</v>
      </c>
      <c r="N2124" s="1" t="s">
        <v>132</v>
      </c>
      <c r="O2124" s="1" t="s">
        <v>40922</v>
      </c>
      <c r="P2124" s="1" t="s">
        <v>40923</v>
      </c>
      <c r="Q2124" s="1" t="s">
        <v>132</v>
      </c>
      <c r="R2124" s="1" t="s">
        <v>40924</v>
      </c>
      <c r="S2124" s="1" t="s">
        <v>40925</v>
      </c>
      <c r="T2124" s="8" t="s">
        <v>40926</v>
      </c>
      <c r="U2124" s="1" t="s">
        <v>40927</v>
      </c>
      <c r="V2124" s="1" t="s">
        <v>40928</v>
      </c>
      <c r="W2124" s="1" t="s">
        <v>40929</v>
      </c>
      <c r="X2124" s="1" t="s">
        <v>40930</v>
      </c>
      <c r="Y2124" s="1" t="s">
        <v>40931</v>
      </c>
      <c r="Z2124" s="1" t="s">
        <v>40932</v>
      </c>
      <c r="AA2124" s="1" t="s">
        <v>40933</v>
      </c>
      <c r="AB2124" s="1" t="s">
        <v>132</v>
      </c>
      <c r="AC2124" s="1" t="s">
        <v>40934</v>
      </c>
      <c r="AD2124" s="1" t="s">
        <v>40935</v>
      </c>
      <c r="AE2124" s="1" t="s">
        <v>40936</v>
      </c>
      <c r="AF2124" s="1" t="s">
        <v>40937</v>
      </c>
      <c r="AG2124" s="1" t="s">
        <v>40938</v>
      </c>
      <c r="AH2124" s="1" t="s">
        <v>40939</v>
      </c>
      <c r="AI2124" s="1" t="s">
        <v>40940</v>
      </c>
      <c r="AJ2124" s="1" t="s">
        <v>132</v>
      </c>
      <c r="AK2124" s="1" t="s">
        <v>40941</v>
      </c>
      <c r="AL2124" s="1" t="s">
        <v>40942</v>
      </c>
      <c r="AM2124" s="1" t="s">
        <v>132</v>
      </c>
      <c r="AN2124" s="1" t="s">
        <v>132</v>
      </c>
    </row>
    <row r="2125" ht="15.75" customHeight="1">
      <c r="A2125" s="1" t="s">
        <v>11050</v>
      </c>
      <c r="B2125" s="1" t="s">
        <v>43327</v>
      </c>
      <c r="C2125" s="1" t="s">
        <v>132</v>
      </c>
      <c r="D2125" s="1" t="s">
        <v>132</v>
      </c>
      <c r="E2125" s="1" t="s">
        <v>43328</v>
      </c>
      <c r="F2125" s="1" t="s">
        <v>132</v>
      </c>
      <c r="G2125" s="1" t="s">
        <v>132</v>
      </c>
      <c r="H2125" s="1" t="s">
        <v>132</v>
      </c>
      <c r="I2125" s="1" t="s">
        <v>132</v>
      </c>
      <c r="J2125" s="1" t="s">
        <v>132</v>
      </c>
      <c r="K2125" s="1" t="s">
        <v>132</v>
      </c>
      <c r="L2125" s="1" t="s">
        <v>132</v>
      </c>
      <c r="M2125" s="1" t="s">
        <v>132</v>
      </c>
      <c r="N2125" s="1" t="s">
        <v>132</v>
      </c>
      <c r="O2125" s="1" t="s">
        <v>132</v>
      </c>
      <c r="P2125" s="1" t="s">
        <v>132</v>
      </c>
      <c r="Q2125" s="1" t="s">
        <v>132</v>
      </c>
      <c r="R2125" s="1" t="s">
        <v>132</v>
      </c>
      <c r="S2125" s="1" t="s">
        <v>132</v>
      </c>
      <c r="T2125" s="1" t="s">
        <v>132</v>
      </c>
      <c r="U2125" s="1" t="s">
        <v>132</v>
      </c>
      <c r="V2125" s="1" t="s">
        <v>132</v>
      </c>
      <c r="W2125" s="1" t="s">
        <v>132</v>
      </c>
      <c r="X2125" s="1" t="s">
        <v>132</v>
      </c>
      <c r="Y2125" s="1" t="s">
        <v>132</v>
      </c>
      <c r="Z2125" s="1" t="s">
        <v>132</v>
      </c>
      <c r="AA2125" s="1" t="s">
        <v>132</v>
      </c>
      <c r="AB2125" s="1" t="s">
        <v>132</v>
      </c>
      <c r="AC2125" s="1" t="s">
        <v>132</v>
      </c>
      <c r="AD2125" s="1" t="s">
        <v>132</v>
      </c>
      <c r="AE2125" s="1" t="s">
        <v>132</v>
      </c>
      <c r="AF2125" s="1" t="s">
        <v>132</v>
      </c>
      <c r="AG2125" s="1" t="s">
        <v>132</v>
      </c>
      <c r="AH2125" s="1" t="s">
        <v>132</v>
      </c>
      <c r="AI2125" s="1" t="s">
        <v>132</v>
      </c>
      <c r="AJ2125" s="1" t="s">
        <v>132</v>
      </c>
      <c r="AK2125" s="1" t="s">
        <v>132</v>
      </c>
      <c r="AL2125" s="1" t="s">
        <v>132</v>
      </c>
      <c r="AM2125" s="1" t="s">
        <v>132</v>
      </c>
      <c r="AN2125" s="1" t="s">
        <v>132</v>
      </c>
    </row>
    <row r="2126" ht="15.75" customHeight="1">
      <c r="A2126" s="1" t="s">
        <v>38</v>
      </c>
      <c r="B2126" s="1" t="s">
        <v>40943</v>
      </c>
      <c r="C2126" s="1" t="s">
        <v>40944</v>
      </c>
      <c r="D2126" s="8" t="s">
        <v>40945</v>
      </c>
      <c r="E2126" s="1" t="s">
        <v>40946</v>
      </c>
      <c r="F2126" s="1" t="s">
        <v>40947</v>
      </c>
      <c r="G2126" s="1" t="s">
        <v>132</v>
      </c>
      <c r="H2126" s="1" t="s">
        <v>132</v>
      </c>
      <c r="I2126" s="1" t="s">
        <v>40948</v>
      </c>
      <c r="J2126" s="1" t="s">
        <v>132</v>
      </c>
      <c r="K2126" s="1" t="s">
        <v>40949</v>
      </c>
      <c r="L2126" s="1" t="s">
        <v>132</v>
      </c>
      <c r="M2126" s="1" t="s">
        <v>40950</v>
      </c>
      <c r="N2126" s="1" t="s">
        <v>40951</v>
      </c>
      <c r="O2126" s="1" t="s">
        <v>132</v>
      </c>
      <c r="P2126" s="1" t="s">
        <v>40952</v>
      </c>
      <c r="Q2126" s="1" t="s">
        <v>40953</v>
      </c>
      <c r="R2126" s="1" t="s">
        <v>132</v>
      </c>
      <c r="S2126" s="1" t="s">
        <v>40954</v>
      </c>
      <c r="T2126" s="1" t="s">
        <v>132</v>
      </c>
      <c r="U2126" s="1" t="s">
        <v>40955</v>
      </c>
      <c r="V2126" s="1" t="s">
        <v>40956</v>
      </c>
      <c r="W2126" s="1" t="s">
        <v>132</v>
      </c>
      <c r="X2126" s="1" t="s">
        <v>40957</v>
      </c>
      <c r="Y2126" s="1" t="s">
        <v>132</v>
      </c>
      <c r="Z2126" s="1" t="s">
        <v>40958</v>
      </c>
      <c r="AA2126" s="1" t="s">
        <v>40959</v>
      </c>
      <c r="AB2126" s="1" t="s">
        <v>132</v>
      </c>
      <c r="AC2126" s="1" t="s">
        <v>40960</v>
      </c>
      <c r="AD2126" s="1" t="s">
        <v>40961</v>
      </c>
      <c r="AE2126" s="1" t="s">
        <v>132</v>
      </c>
      <c r="AF2126" s="1" t="s">
        <v>40962</v>
      </c>
      <c r="AG2126" s="1" t="s">
        <v>40963</v>
      </c>
      <c r="AH2126" s="1" t="s">
        <v>132</v>
      </c>
      <c r="AI2126" s="1" t="s">
        <v>132</v>
      </c>
      <c r="AJ2126" s="1" t="s">
        <v>40964</v>
      </c>
      <c r="AK2126" s="1" t="s">
        <v>40965</v>
      </c>
      <c r="AL2126" s="1" t="s">
        <v>132</v>
      </c>
      <c r="AM2126" s="1" t="s">
        <v>40966</v>
      </c>
      <c r="AN2126" s="1" t="s">
        <v>40966</v>
      </c>
    </row>
    <row r="2127" ht="15.75" customHeight="1">
      <c r="A2127" s="1" t="s">
        <v>38</v>
      </c>
      <c r="B2127" s="1" t="s">
        <v>40967</v>
      </c>
      <c r="C2127" s="1" t="s">
        <v>40968</v>
      </c>
      <c r="D2127" s="8" t="s">
        <v>40969</v>
      </c>
      <c r="E2127" s="1" t="s">
        <v>40970</v>
      </c>
      <c r="F2127" s="1" t="s">
        <v>40971</v>
      </c>
      <c r="G2127" s="1" t="s">
        <v>132</v>
      </c>
      <c r="H2127" s="1" t="s">
        <v>132</v>
      </c>
      <c r="I2127" s="1" t="s">
        <v>40972</v>
      </c>
      <c r="J2127" s="1" t="s">
        <v>132</v>
      </c>
      <c r="K2127" s="1" t="s">
        <v>40973</v>
      </c>
      <c r="L2127" s="1" t="s">
        <v>132</v>
      </c>
      <c r="M2127" s="1" t="s">
        <v>40974</v>
      </c>
      <c r="N2127" s="1" t="s">
        <v>40975</v>
      </c>
      <c r="O2127" s="1" t="s">
        <v>132</v>
      </c>
      <c r="P2127" s="1" t="s">
        <v>40976</v>
      </c>
      <c r="Q2127" s="1" t="s">
        <v>40977</v>
      </c>
      <c r="R2127" s="1" t="s">
        <v>132</v>
      </c>
      <c r="S2127" s="1" t="s">
        <v>40978</v>
      </c>
      <c r="T2127" s="1" t="s">
        <v>132</v>
      </c>
      <c r="U2127" s="1" t="s">
        <v>40979</v>
      </c>
      <c r="V2127" s="1" t="s">
        <v>40980</v>
      </c>
      <c r="W2127" s="1" t="s">
        <v>132</v>
      </c>
      <c r="X2127" s="1" t="s">
        <v>40981</v>
      </c>
      <c r="Y2127" s="1" t="s">
        <v>132</v>
      </c>
      <c r="Z2127" s="1" t="s">
        <v>40982</v>
      </c>
      <c r="AA2127" s="1" t="s">
        <v>40983</v>
      </c>
      <c r="AB2127" s="1" t="s">
        <v>132</v>
      </c>
      <c r="AC2127" s="1" t="s">
        <v>40984</v>
      </c>
      <c r="AD2127" s="1" t="s">
        <v>132</v>
      </c>
      <c r="AE2127" s="1" t="s">
        <v>132</v>
      </c>
      <c r="AF2127" s="1" t="s">
        <v>40985</v>
      </c>
      <c r="AG2127" s="1" t="s">
        <v>40986</v>
      </c>
      <c r="AH2127" s="1" t="s">
        <v>132</v>
      </c>
      <c r="AI2127" s="1" t="s">
        <v>132</v>
      </c>
      <c r="AJ2127" s="1" t="s">
        <v>40988</v>
      </c>
      <c r="AK2127" s="1" t="s">
        <v>40989</v>
      </c>
      <c r="AL2127" s="1" t="s">
        <v>132</v>
      </c>
      <c r="AM2127" s="1" t="s">
        <v>40990</v>
      </c>
      <c r="AN2127" s="1" t="s">
        <v>40990</v>
      </c>
    </row>
    <row r="2128" ht="15.75" customHeight="1">
      <c r="A2128" s="1" t="s">
        <v>38</v>
      </c>
      <c r="B2128" s="1" t="s">
        <v>40991</v>
      </c>
      <c r="C2128" s="1" t="s">
        <v>40992</v>
      </c>
      <c r="D2128" s="1" t="s">
        <v>132</v>
      </c>
      <c r="E2128" s="1" t="s">
        <v>132</v>
      </c>
      <c r="F2128" s="1" t="s">
        <v>132</v>
      </c>
      <c r="G2128" s="1" t="s">
        <v>132</v>
      </c>
      <c r="H2128" s="1" t="s">
        <v>132</v>
      </c>
      <c r="I2128" s="1" t="s">
        <v>40993</v>
      </c>
      <c r="J2128" s="1" t="s">
        <v>132</v>
      </c>
      <c r="K2128" s="1" t="s">
        <v>40994</v>
      </c>
      <c r="L2128" s="1" t="s">
        <v>132</v>
      </c>
      <c r="M2128" s="1" t="s">
        <v>40995</v>
      </c>
      <c r="N2128" s="1" t="s">
        <v>132</v>
      </c>
      <c r="O2128" s="1" t="s">
        <v>132</v>
      </c>
      <c r="P2128" s="1" t="s">
        <v>40996</v>
      </c>
      <c r="Q2128" s="1" t="s">
        <v>132</v>
      </c>
      <c r="R2128" s="1" t="s">
        <v>132</v>
      </c>
      <c r="S2128" s="1" t="s">
        <v>132</v>
      </c>
      <c r="T2128" s="1" t="s">
        <v>132</v>
      </c>
      <c r="U2128" s="1" t="s">
        <v>132</v>
      </c>
      <c r="V2128" s="1" t="s">
        <v>132</v>
      </c>
      <c r="W2128" s="1" t="s">
        <v>132</v>
      </c>
      <c r="X2128" s="1" t="s">
        <v>132</v>
      </c>
      <c r="Y2128" s="1" t="s">
        <v>132</v>
      </c>
      <c r="Z2128" s="1" t="s">
        <v>132</v>
      </c>
      <c r="AA2128" s="1" t="s">
        <v>132</v>
      </c>
      <c r="AB2128" s="1" t="s">
        <v>132</v>
      </c>
      <c r="AC2128" s="1" t="s">
        <v>40997</v>
      </c>
      <c r="AD2128" s="1" t="s">
        <v>132</v>
      </c>
      <c r="AE2128" s="1" t="s">
        <v>132</v>
      </c>
      <c r="AF2128" s="1" t="s">
        <v>40998</v>
      </c>
      <c r="AG2128" s="1" t="s">
        <v>132</v>
      </c>
      <c r="AH2128" s="1" t="s">
        <v>132</v>
      </c>
      <c r="AI2128" s="1" t="s">
        <v>132</v>
      </c>
      <c r="AJ2128" s="1" t="s">
        <v>132</v>
      </c>
      <c r="AK2128" s="1" t="s">
        <v>132</v>
      </c>
      <c r="AL2128" s="1" t="s">
        <v>132</v>
      </c>
      <c r="AM2128" s="1" t="s">
        <v>132</v>
      </c>
      <c r="AN2128" s="1" t="s">
        <v>132</v>
      </c>
    </row>
    <row r="2129" ht="15.75" customHeight="1">
      <c r="A2129" s="1" t="s">
        <v>127</v>
      </c>
      <c r="B2129" s="1" t="s">
        <v>40999</v>
      </c>
      <c r="C2129" s="1" t="s">
        <v>26728</v>
      </c>
      <c r="D2129" s="8" t="s">
        <v>26729</v>
      </c>
      <c r="E2129" s="1" t="s">
        <v>26730</v>
      </c>
      <c r="F2129" s="1" t="s">
        <v>132</v>
      </c>
      <c r="G2129" s="1" t="s">
        <v>26731</v>
      </c>
      <c r="H2129" s="1" t="s">
        <v>26732</v>
      </c>
      <c r="I2129" s="1" t="s">
        <v>26733</v>
      </c>
      <c r="J2129" s="1" t="s">
        <v>26734</v>
      </c>
      <c r="K2129" s="1" t="s">
        <v>41000</v>
      </c>
      <c r="L2129" s="1" t="s">
        <v>26736</v>
      </c>
      <c r="M2129" s="1" t="s">
        <v>26737</v>
      </c>
      <c r="N2129" s="1" t="s">
        <v>132</v>
      </c>
      <c r="O2129" s="1" t="s">
        <v>26738</v>
      </c>
      <c r="P2129" s="1" t="s">
        <v>26739</v>
      </c>
      <c r="Q2129" s="1" t="s">
        <v>132</v>
      </c>
      <c r="R2129" s="1" t="s">
        <v>41001</v>
      </c>
      <c r="S2129" s="1" t="s">
        <v>41002</v>
      </c>
      <c r="T2129" s="8" t="s">
        <v>26742</v>
      </c>
      <c r="U2129" s="1" t="s">
        <v>41003</v>
      </c>
      <c r="V2129" s="1" t="s">
        <v>26744</v>
      </c>
      <c r="W2129" s="1" t="s">
        <v>41001</v>
      </c>
      <c r="X2129" s="1" t="s">
        <v>41004</v>
      </c>
      <c r="Y2129" s="1" t="s">
        <v>26747</v>
      </c>
      <c r="Z2129" s="1" t="s">
        <v>26748</v>
      </c>
      <c r="AA2129" s="1" t="s">
        <v>41005</v>
      </c>
      <c r="AB2129" s="1" t="s">
        <v>132</v>
      </c>
      <c r="AC2129" s="1" t="s">
        <v>26751</v>
      </c>
      <c r="AD2129" s="1" t="s">
        <v>26752</v>
      </c>
      <c r="AE2129" s="1" t="s">
        <v>26753</v>
      </c>
      <c r="AF2129" s="1" t="s">
        <v>26754</v>
      </c>
      <c r="AG2129" s="1" t="s">
        <v>26755</v>
      </c>
      <c r="AH2129" s="1" t="s">
        <v>26756</v>
      </c>
      <c r="AI2129" s="1" t="s">
        <v>41006</v>
      </c>
      <c r="AJ2129" s="1" t="s">
        <v>132</v>
      </c>
      <c r="AK2129" s="1" t="s">
        <v>26758</v>
      </c>
      <c r="AL2129" s="1" t="s">
        <v>26759</v>
      </c>
      <c r="AM2129" s="1" t="s">
        <v>26760</v>
      </c>
      <c r="AN2129" s="1" t="s">
        <v>26760</v>
      </c>
    </row>
    <row r="2130" ht="15.75" customHeight="1">
      <c r="A2130" s="1" t="s">
        <v>127</v>
      </c>
      <c r="B2130" s="1" t="s">
        <v>41007</v>
      </c>
      <c r="C2130" s="1" t="s">
        <v>41008</v>
      </c>
      <c r="D2130" s="8" t="s">
        <v>41009</v>
      </c>
      <c r="E2130" s="1" t="s">
        <v>41010</v>
      </c>
      <c r="F2130" s="1" t="s">
        <v>132</v>
      </c>
      <c r="G2130" s="1" t="s">
        <v>41011</v>
      </c>
      <c r="H2130" s="1" t="s">
        <v>41012</v>
      </c>
      <c r="I2130" s="1" t="s">
        <v>41013</v>
      </c>
      <c r="J2130" s="1" t="s">
        <v>41014</v>
      </c>
      <c r="K2130" s="1" t="s">
        <v>41015</v>
      </c>
      <c r="L2130" s="1" t="s">
        <v>41016</v>
      </c>
      <c r="M2130" s="1" t="s">
        <v>41017</v>
      </c>
      <c r="N2130" s="1" t="s">
        <v>132</v>
      </c>
      <c r="O2130" s="1" t="s">
        <v>41018</v>
      </c>
      <c r="P2130" s="1" t="s">
        <v>41019</v>
      </c>
      <c r="Q2130" s="1" t="s">
        <v>132</v>
      </c>
      <c r="R2130" s="1" t="s">
        <v>41020</v>
      </c>
      <c r="S2130" s="1" t="s">
        <v>41021</v>
      </c>
      <c r="T2130" s="8" t="s">
        <v>41022</v>
      </c>
      <c r="U2130" s="1" t="s">
        <v>41023</v>
      </c>
      <c r="V2130" s="1" t="s">
        <v>41024</v>
      </c>
      <c r="W2130" s="1" t="s">
        <v>41025</v>
      </c>
      <c r="X2130" s="1" t="s">
        <v>41026</v>
      </c>
      <c r="Y2130" s="1" t="s">
        <v>41027</v>
      </c>
      <c r="Z2130" s="1" t="s">
        <v>41028</v>
      </c>
      <c r="AA2130" s="1" t="s">
        <v>41029</v>
      </c>
      <c r="AB2130" s="1" t="s">
        <v>132</v>
      </c>
      <c r="AC2130" s="1" t="s">
        <v>41030</v>
      </c>
      <c r="AD2130" s="1" t="s">
        <v>41031</v>
      </c>
      <c r="AE2130" s="1" t="s">
        <v>41032</v>
      </c>
      <c r="AF2130" s="1" t="s">
        <v>41033</v>
      </c>
      <c r="AG2130" s="1" t="s">
        <v>41034</v>
      </c>
      <c r="AH2130" s="1" t="s">
        <v>41035</v>
      </c>
      <c r="AI2130" s="1" t="s">
        <v>41036</v>
      </c>
      <c r="AJ2130" s="1" t="s">
        <v>132</v>
      </c>
      <c r="AK2130" s="1" t="s">
        <v>41037</v>
      </c>
      <c r="AL2130" s="1" t="s">
        <v>41038</v>
      </c>
      <c r="AM2130" s="1" t="s">
        <v>132</v>
      </c>
      <c r="AN2130" s="1" t="s">
        <v>132</v>
      </c>
    </row>
    <row r="2131" ht="15.75" customHeight="1">
      <c r="A2131" s="1" t="s">
        <v>127</v>
      </c>
      <c r="B2131" s="1" t="s">
        <v>41039</v>
      </c>
      <c r="C2131" s="1" t="s">
        <v>41040</v>
      </c>
      <c r="D2131" s="8" t="s">
        <v>41041</v>
      </c>
      <c r="E2131" s="1" t="s">
        <v>10763</v>
      </c>
      <c r="F2131" s="1" t="s">
        <v>132</v>
      </c>
      <c r="G2131" s="1" t="s">
        <v>41042</v>
      </c>
      <c r="H2131" s="1" t="s">
        <v>41043</v>
      </c>
      <c r="I2131" s="1" t="s">
        <v>41040</v>
      </c>
      <c r="J2131" s="1" t="s">
        <v>41044</v>
      </c>
      <c r="K2131" s="1" t="s">
        <v>41045</v>
      </c>
      <c r="L2131" s="1" t="s">
        <v>41046</v>
      </c>
      <c r="M2131" s="1" t="s">
        <v>41047</v>
      </c>
      <c r="N2131" s="1" t="s">
        <v>132</v>
      </c>
      <c r="O2131" s="1" t="s">
        <v>41048</v>
      </c>
      <c r="P2131" s="1" t="s">
        <v>41049</v>
      </c>
      <c r="Q2131" s="1" t="s">
        <v>132</v>
      </c>
      <c r="R2131" s="1" t="s">
        <v>41050</v>
      </c>
      <c r="S2131" s="1" t="s">
        <v>41051</v>
      </c>
      <c r="T2131" s="8" t="s">
        <v>41052</v>
      </c>
      <c r="U2131" s="1" t="s">
        <v>41053</v>
      </c>
      <c r="V2131" s="1" t="s">
        <v>41054</v>
      </c>
      <c r="W2131" s="1" t="s">
        <v>41050</v>
      </c>
      <c r="X2131" s="1" t="s">
        <v>41055</v>
      </c>
      <c r="Y2131" s="1" t="s">
        <v>41043</v>
      </c>
      <c r="Z2131" s="1" t="s">
        <v>41056</v>
      </c>
      <c r="AA2131" s="1" t="s">
        <v>41057</v>
      </c>
      <c r="AB2131" s="1" t="s">
        <v>132</v>
      </c>
      <c r="AC2131" s="1" t="s">
        <v>41058</v>
      </c>
      <c r="AD2131" s="1" t="s">
        <v>41059</v>
      </c>
      <c r="AE2131" s="1" t="s">
        <v>41060</v>
      </c>
      <c r="AF2131" s="1" t="s">
        <v>41061</v>
      </c>
      <c r="AG2131" s="1" t="s">
        <v>41062</v>
      </c>
      <c r="AH2131" s="1" t="s">
        <v>41063</v>
      </c>
      <c r="AI2131" s="1" t="s">
        <v>41064</v>
      </c>
      <c r="AJ2131" s="1" t="s">
        <v>132</v>
      </c>
      <c r="AK2131" s="1" t="s">
        <v>41065</v>
      </c>
      <c r="AL2131" s="1" t="s">
        <v>41066</v>
      </c>
      <c r="AM2131" s="1" t="s">
        <v>132</v>
      </c>
      <c r="AN2131" s="1" t="s">
        <v>132</v>
      </c>
    </row>
    <row r="2132" ht="15.75" customHeight="1">
      <c r="A2132" s="1" t="s">
        <v>127</v>
      </c>
      <c r="B2132" s="1" t="s">
        <v>41067</v>
      </c>
      <c r="C2132" s="1" t="s">
        <v>41068</v>
      </c>
      <c r="D2132" s="8" t="s">
        <v>41069</v>
      </c>
      <c r="E2132" s="1" t="s">
        <v>41070</v>
      </c>
      <c r="F2132" s="1" t="s">
        <v>132</v>
      </c>
      <c r="G2132" s="1" t="s">
        <v>41071</v>
      </c>
      <c r="H2132" s="1" t="s">
        <v>41072</v>
      </c>
      <c r="I2132" s="1" t="s">
        <v>41073</v>
      </c>
      <c r="J2132" s="1" t="s">
        <v>41074</v>
      </c>
      <c r="K2132" s="1" t="s">
        <v>41075</v>
      </c>
      <c r="L2132" s="1" t="s">
        <v>41076</v>
      </c>
      <c r="M2132" s="1" t="s">
        <v>41077</v>
      </c>
      <c r="N2132" s="1" t="s">
        <v>132</v>
      </c>
      <c r="O2132" s="1" t="s">
        <v>41078</v>
      </c>
      <c r="P2132" s="1" t="s">
        <v>41079</v>
      </c>
      <c r="Q2132" s="1" t="s">
        <v>132</v>
      </c>
      <c r="R2132" s="1" t="s">
        <v>41080</v>
      </c>
      <c r="S2132" s="1" t="s">
        <v>41081</v>
      </c>
      <c r="T2132" s="8" t="s">
        <v>41082</v>
      </c>
      <c r="U2132" s="1" t="s">
        <v>41083</v>
      </c>
      <c r="V2132" s="1" t="s">
        <v>41084</v>
      </c>
      <c r="W2132" s="1" t="s">
        <v>41085</v>
      </c>
      <c r="X2132" s="1" t="s">
        <v>41086</v>
      </c>
      <c r="Y2132" s="1" t="s">
        <v>41087</v>
      </c>
      <c r="Z2132" s="1" t="s">
        <v>41088</v>
      </c>
      <c r="AA2132" s="1" t="s">
        <v>41089</v>
      </c>
      <c r="AB2132" s="1" t="s">
        <v>132</v>
      </c>
      <c r="AC2132" s="1" t="s">
        <v>41090</v>
      </c>
      <c r="AD2132" s="1" t="s">
        <v>41091</v>
      </c>
      <c r="AE2132" s="1" t="s">
        <v>41092</v>
      </c>
      <c r="AF2132" s="1" t="s">
        <v>41093</v>
      </c>
      <c r="AG2132" s="1" t="s">
        <v>41094</v>
      </c>
      <c r="AH2132" s="1" t="s">
        <v>41095</v>
      </c>
      <c r="AI2132" s="1" t="s">
        <v>41096</v>
      </c>
      <c r="AJ2132" s="1" t="s">
        <v>132</v>
      </c>
      <c r="AK2132" s="1" t="s">
        <v>41097</v>
      </c>
      <c r="AL2132" s="1" t="s">
        <v>41098</v>
      </c>
      <c r="AM2132" s="1" t="s">
        <v>132</v>
      </c>
      <c r="AN2132" s="1" t="s">
        <v>132</v>
      </c>
    </row>
    <row r="2133" ht="15.75" customHeight="1">
      <c r="A2133" s="1" t="s">
        <v>127</v>
      </c>
      <c r="B2133" s="1" t="s">
        <v>41099</v>
      </c>
      <c r="C2133" s="1" t="s">
        <v>17676</v>
      </c>
      <c r="D2133" s="8" t="s">
        <v>41100</v>
      </c>
      <c r="E2133" s="1" t="s">
        <v>17678</v>
      </c>
      <c r="F2133" s="1" t="s">
        <v>132</v>
      </c>
      <c r="G2133" s="1" t="s">
        <v>17679</v>
      </c>
      <c r="H2133" s="1" t="s">
        <v>17680</v>
      </c>
      <c r="I2133" s="1" t="s">
        <v>17676</v>
      </c>
      <c r="J2133" s="1" t="s">
        <v>17681</v>
      </c>
      <c r="K2133" s="1" t="s">
        <v>41101</v>
      </c>
      <c r="L2133" s="1" t="s">
        <v>17682</v>
      </c>
      <c r="M2133" s="1" t="s">
        <v>41102</v>
      </c>
      <c r="N2133" s="1" t="s">
        <v>132</v>
      </c>
      <c r="O2133" s="1" t="s">
        <v>17683</v>
      </c>
      <c r="P2133" s="1" t="s">
        <v>41101</v>
      </c>
      <c r="Q2133" s="1" t="s">
        <v>132</v>
      </c>
      <c r="R2133" s="1" t="s">
        <v>41103</v>
      </c>
      <c r="S2133" s="1" t="s">
        <v>41104</v>
      </c>
      <c r="T2133" s="8" t="s">
        <v>17684</v>
      </c>
      <c r="U2133" s="1" t="s">
        <v>41101</v>
      </c>
      <c r="V2133" s="1" t="s">
        <v>41105</v>
      </c>
      <c r="W2133" s="1" t="s">
        <v>41106</v>
      </c>
      <c r="X2133" s="1" t="s">
        <v>41107</v>
      </c>
      <c r="Y2133" s="1" t="s">
        <v>17687</v>
      </c>
      <c r="Z2133" s="1" t="s">
        <v>41101</v>
      </c>
      <c r="AA2133" s="1" t="s">
        <v>41101</v>
      </c>
      <c r="AB2133" s="1" t="s">
        <v>132</v>
      </c>
      <c r="AC2133" s="1" t="s">
        <v>41101</v>
      </c>
      <c r="AD2133" s="1" t="s">
        <v>17679</v>
      </c>
      <c r="AE2133" s="1" t="s">
        <v>17689</v>
      </c>
      <c r="AF2133" s="1" t="s">
        <v>41101</v>
      </c>
      <c r="AG2133" s="1" t="s">
        <v>17690</v>
      </c>
      <c r="AH2133" s="1" t="s">
        <v>17691</v>
      </c>
      <c r="AI2133" s="1" t="s">
        <v>41108</v>
      </c>
      <c r="AJ2133" s="1" t="s">
        <v>132</v>
      </c>
      <c r="AK2133" s="1" t="s">
        <v>17692</v>
      </c>
      <c r="AL2133" s="1" t="s">
        <v>41109</v>
      </c>
      <c r="AM2133" s="1" t="s">
        <v>41110</v>
      </c>
      <c r="AN2133" s="1" t="s">
        <v>41110</v>
      </c>
    </row>
    <row r="2134" ht="15.75" customHeight="1">
      <c r="A2134" s="1" t="s">
        <v>38</v>
      </c>
      <c r="B2134" s="1" t="s">
        <v>41111</v>
      </c>
      <c r="C2134" s="1" t="s">
        <v>41112</v>
      </c>
      <c r="D2134" s="8" t="s">
        <v>41113</v>
      </c>
      <c r="E2134" s="1" t="s">
        <v>41114</v>
      </c>
      <c r="F2134" s="1" t="s">
        <v>41115</v>
      </c>
      <c r="G2134" s="1" t="s">
        <v>132</v>
      </c>
      <c r="H2134" s="1" t="s">
        <v>132</v>
      </c>
      <c r="I2134" s="1" t="s">
        <v>41116</v>
      </c>
      <c r="J2134" s="1" t="s">
        <v>132</v>
      </c>
      <c r="K2134" s="1" t="s">
        <v>41117</v>
      </c>
      <c r="L2134" s="1" t="s">
        <v>132</v>
      </c>
      <c r="M2134" s="1" t="s">
        <v>41118</v>
      </c>
      <c r="N2134" s="1" t="s">
        <v>41119</v>
      </c>
      <c r="O2134" s="1" t="s">
        <v>132</v>
      </c>
      <c r="P2134" s="1" t="s">
        <v>41120</v>
      </c>
      <c r="Q2134" s="1" t="s">
        <v>132</v>
      </c>
      <c r="R2134" s="1" t="s">
        <v>132</v>
      </c>
      <c r="S2134" s="1" t="s">
        <v>41121</v>
      </c>
      <c r="T2134" s="1" t="s">
        <v>132</v>
      </c>
      <c r="U2134" s="1" t="s">
        <v>41122</v>
      </c>
      <c r="V2134" s="1" t="s">
        <v>132</v>
      </c>
      <c r="W2134" s="1" t="s">
        <v>132</v>
      </c>
      <c r="X2134" s="1" t="s">
        <v>41123</v>
      </c>
      <c r="Y2134" s="1" t="s">
        <v>132</v>
      </c>
      <c r="Z2134" s="1" t="s">
        <v>41124</v>
      </c>
      <c r="AA2134" s="1" t="s">
        <v>132</v>
      </c>
      <c r="AB2134" s="1" t="s">
        <v>132</v>
      </c>
      <c r="AC2134" s="1" t="s">
        <v>41125</v>
      </c>
      <c r="AD2134" s="1" t="s">
        <v>132</v>
      </c>
      <c r="AE2134" s="1" t="s">
        <v>132</v>
      </c>
      <c r="AF2134" s="1" t="s">
        <v>132</v>
      </c>
      <c r="AG2134" s="1" t="s">
        <v>132</v>
      </c>
      <c r="AH2134" s="1" t="s">
        <v>132</v>
      </c>
      <c r="AI2134" s="1" t="s">
        <v>132</v>
      </c>
      <c r="AJ2134" s="1" t="s">
        <v>41126</v>
      </c>
      <c r="AK2134" s="1" t="s">
        <v>132</v>
      </c>
      <c r="AL2134" s="1" t="s">
        <v>132</v>
      </c>
      <c r="AM2134" s="1" t="s">
        <v>132</v>
      </c>
      <c r="AN2134" s="1" t="s">
        <v>132</v>
      </c>
    </row>
    <row r="2135" ht="15.75" customHeight="1">
      <c r="A2135" s="1" t="s">
        <v>127</v>
      </c>
      <c r="B2135" s="1" t="s">
        <v>41127</v>
      </c>
      <c r="C2135" s="1" t="s">
        <v>41128</v>
      </c>
      <c r="D2135" s="8" t="s">
        <v>41129</v>
      </c>
      <c r="E2135" s="1" t="s">
        <v>41130</v>
      </c>
      <c r="F2135" s="1" t="s">
        <v>132</v>
      </c>
      <c r="G2135" s="1" t="s">
        <v>41131</v>
      </c>
      <c r="H2135" s="1" t="s">
        <v>41132</v>
      </c>
      <c r="I2135" s="1" t="s">
        <v>41133</v>
      </c>
      <c r="J2135" s="1" t="s">
        <v>41134</v>
      </c>
      <c r="K2135" s="1" t="s">
        <v>41135</v>
      </c>
      <c r="L2135" s="1" t="s">
        <v>41136</v>
      </c>
      <c r="M2135" s="1" t="s">
        <v>41137</v>
      </c>
      <c r="N2135" s="1" t="s">
        <v>132</v>
      </c>
      <c r="O2135" s="1" t="s">
        <v>41138</v>
      </c>
      <c r="P2135" s="1" t="s">
        <v>41139</v>
      </c>
      <c r="Q2135" s="1" t="s">
        <v>132</v>
      </c>
      <c r="R2135" s="1" t="s">
        <v>41140</v>
      </c>
      <c r="S2135" s="1" t="s">
        <v>41141</v>
      </c>
      <c r="T2135" s="8" t="s">
        <v>41142</v>
      </c>
      <c r="U2135" s="1" t="s">
        <v>41143</v>
      </c>
      <c r="V2135" s="1" t="s">
        <v>41144</v>
      </c>
      <c r="W2135" s="1" t="s">
        <v>41145</v>
      </c>
      <c r="X2135" s="1" t="s">
        <v>41146</v>
      </c>
      <c r="Y2135" s="1" t="s">
        <v>41147</v>
      </c>
      <c r="Z2135" s="1" t="s">
        <v>41148</v>
      </c>
      <c r="AA2135" s="1" t="s">
        <v>41149</v>
      </c>
      <c r="AB2135" s="1" t="s">
        <v>132</v>
      </c>
      <c r="AC2135" s="1" t="s">
        <v>41150</v>
      </c>
      <c r="AD2135" s="1" t="s">
        <v>41151</v>
      </c>
      <c r="AE2135" s="1" t="s">
        <v>41152</v>
      </c>
      <c r="AF2135" s="1" t="s">
        <v>41153</v>
      </c>
      <c r="AG2135" s="1" t="s">
        <v>41154</v>
      </c>
      <c r="AH2135" s="1" t="s">
        <v>41155</v>
      </c>
      <c r="AI2135" s="1" t="s">
        <v>41156</v>
      </c>
      <c r="AJ2135" s="1" t="s">
        <v>132</v>
      </c>
      <c r="AK2135" s="1" t="s">
        <v>41157</v>
      </c>
      <c r="AL2135" s="1" t="s">
        <v>41158</v>
      </c>
      <c r="AM2135" s="1" t="s">
        <v>132</v>
      </c>
      <c r="AN2135" s="1" t="s">
        <v>132</v>
      </c>
    </row>
    <row r="2136" ht="15.75" customHeight="1">
      <c r="A2136" s="1" t="s">
        <v>127</v>
      </c>
      <c r="B2136" s="1" t="s">
        <v>41159</v>
      </c>
      <c r="C2136" s="1" t="s">
        <v>3338</v>
      </c>
      <c r="D2136" s="8" t="s">
        <v>41160</v>
      </c>
      <c r="E2136" s="1" t="s">
        <v>37155</v>
      </c>
      <c r="F2136" s="1" t="s">
        <v>132</v>
      </c>
      <c r="G2136" s="1" t="s">
        <v>41161</v>
      </c>
      <c r="H2136" s="1" t="s">
        <v>41162</v>
      </c>
      <c r="I2136" s="1" t="s">
        <v>37156</v>
      </c>
      <c r="J2136" s="1" t="s">
        <v>41163</v>
      </c>
      <c r="K2136" s="1" t="s">
        <v>3338</v>
      </c>
      <c r="L2136" s="1" t="s">
        <v>41164</v>
      </c>
      <c r="M2136" s="1" t="s">
        <v>37157</v>
      </c>
      <c r="N2136" s="1" t="s">
        <v>132</v>
      </c>
      <c r="O2136" s="1" t="s">
        <v>41165</v>
      </c>
      <c r="P2136" s="1" t="s">
        <v>37158</v>
      </c>
      <c r="Q2136" s="1" t="s">
        <v>132</v>
      </c>
      <c r="R2136" s="1" t="s">
        <v>41166</v>
      </c>
      <c r="S2136" s="1" t="s">
        <v>3338</v>
      </c>
      <c r="T2136" s="8" t="s">
        <v>41167</v>
      </c>
      <c r="U2136" s="1" t="s">
        <v>3613</v>
      </c>
      <c r="V2136" s="1" t="s">
        <v>41168</v>
      </c>
      <c r="W2136" s="1" t="s">
        <v>41166</v>
      </c>
      <c r="X2136" s="1" t="s">
        <v>37159</v>
      </c>
      <c r="Y2136" s="1" t="s">
        <v>41169</v>
      </c>
      <c r="Z2136" s="1" t="s">
        <v>37160</v>
      </c>
      <c r="AA2136" s="1" t="s">
        <v>41170</v>
      </c>
      <c r="AB2136" s="1" t="s">
        <v>132</v>
      </c>
      <c r="AC2136" s="1" t="s">
        <v>3338</v>
      </c>
      <c r="AD2136" s="1" t="s">
        <v>1942</v>
      </c>
      <c r="AE2136" s="1" t="s">
        <v>41161</v>
      </c>
      <c r="AF2136" s="1" t="s">
        <v>3338</v>
      </c>
      <c r="AG2136" s="1" t="s">
        <v>41171</v>
      </c>
      <c r="AH2136" s="1" t="s">
        <v>41172</v>
      </c>
      <c r="AI2136" s="1" t="s">
        <v>41173</v>
      </c>
      <c r="AJ2136" s="1" t="s">
        <v>132</v>
      </c>
      <c r="AK2136" s="1" t="s">
        <v>41174</v>
      </c>
      <c r="AL2136" s="1" t="s">
        <v>41175</v>
      </c>
      <c r="AM2136" s="1" t="s">
        <v>132</v>
      </c>
      <c r="AN2136" s="1" t="s">
        <v>132</v>
      </c>
    </row>
    <row r="2137" ht="15.75" customHeight="1">
      <c r="A2137" s="1" t="s">
        <v>127</v>
      </c>
      <c r="B2137" s="1" t="s">
        <v>41176</v>
      </c>
      <c r="C2137" s="1" t="s">
        <v>41177</v>
      </c>
      <c r="D2137" s="8" t="s">
        <v>41178</v>
      </c>
      <c r="E2137" s="1" t="s">
        <v>41179</v>
      </c>
      <c r="F2137" s="1" t="s">
        <v>132</v>
      </c>
      <c r="G2137" s="1" t="s">
        <v>41180</v>
      </c>
      <c r="H2137" s="1" t="s">
        <v>41181</v>
      </c>
      <c r="I2137" s="1" t="s">
        <v>41182</v>
      </c>
      <c r="J2137" s="1" t="s">
        <v>41183</v>
      </c>
      <c r="K2137" s="1" t="s">
        <v>41184</v>
      </c>
      <c r="L2137" s="1" t="s">
        <v>41185</v>
      </c>
      <c r="M2137" s="1" t="s">
        <v>41186</v>
      </c>
      <c r="N2137" s="1" t="s">
        <v>132</v>
      </c>
      <c r="O2137" s="1" t="s">
        <v>41187</v>
      </c>
      <c r="P2137" s="1" t="s">
        <v>41177</v>
      </c>
      <c r="Q2137" s="1" t="s">
        <v>132</v>
      </c>
      <c r="R2137" s="1" t="s">
        <v>41188</v>
      </c>
      <c r="S2137" s="1" t="s">
        <v>41189</v>
      </c>
      <c r="T2137" s="8" t="s">
        <v>41190</v>
      </c>
      <c r="U2137" s="1" t="s">
        <v>41191</v>
      </c>
      <c r="V2137" s="1" t="s">
        <v>41192</v>
      </c>
      <c r="W2137" s="1" t="s">
        <v>41193</v>
      </c>
      <c r="X2137" s="1" t="s">
        <v>41194</v>
      </c>
      <c r="Y2137" s="1" t="s">
        <v>41181</v>
      </c>
      <c r="Z2137" s="1" t="s">
        <v>41195</v>
      </c>
      <c r="AA2137" s="1" t="s">
        <v>41196</v>
      </c>
      <c r="AB2137" s="1" t="s">
        <v>132</v>
      </c>
      <c r="AC2137" s="1" t="s">
        <v>41197</v>
      </c>
      <c r="AD2137" s="1" t="s">
        <v>41198</v>
      </c>
      <c r="AE2137" s="1" t="s">
        <v>41199</v>
      </c>
      <c r="AF2137" s="1" t="s">
        <v>41200</v>
      </c>
      <c r="AG2137" s="1" t="s">
        <v>41201</v>
      </c>
      <c r="AH2137" s="1" t="s">
        <v>41202</v>
      </c>
      <c r="AI2137" s="1" t="s">
        <v>41203</v>
      </c>
      <c r="AJ2137" s="1" t="s">
        <v>132</v>
      </c>
      <c r="AK2137" s="1" t="s">
        <v>41204</v>
      </c>
      <c r="AL2137" s="1" t="s">
        <v>41205</v>
      </c>
      <c r="AM2137" s="1" t="s">
        <v>132</v>
      </c>
      <c r="AN2137" s="1" t="s">
        <v>132</v>
      </c>
    </row>
    <row r="2138" ht="15.75" customHeight="1">
      <c r="A2138" s="1" t="s">
        <v>127</v>
      </c>
      <c r="B2138" s="1" t="s">
        <v>41206</v>
      </c>
      <c r="C2138" s="1" t="s">
        <v>637</v>
      </c>
      <c r="D2138" s="8" t="s">
        <v>41207</v>
      </c>
      <c r="E2138" s="1" t="s">
        <v>41208</v>
      </c>
      <c r="F2138" s="1" t="s">
        <v>132</v>
      </c>
      <c r="G2138" s="1" t="s">
        <v>637</v>
      </c>
      <c r="H2138" s="1" t="s">
        <v>41209</v>
      </c>
      <c r="I2138" s="1" t="s">
        <v>41210</v>
      </c>
      <c r="J2138" s="1" t="s">
        <v>41211</v>
      </c>
      <c r="K2138" s="1" t="s">
        <v>41212</v>
      </c>
      <c r="L2138" s="1" t="s">
        <v>41213</v>
      </c>
      <c r="M2138" s="1" t="s">
        <v>33889</v>
      </c>
      <c r="N2138" s="1" t="s">
        <v>132</v>
      </c>
      <c r="O2138" s="1" t="s">
        <v>635</v>
      </c>
      <c r="P2138" s="1" t="s">
        <v>41214</v>
      </c>
      <c r="Q2138" s="1" t="s">
        <v>132</v>
      </c>
      <c r="R2138" s="1" t="s">
        <v>637</v>
      </c>
      <c r="S2138" s="1" t="s">
        <v>41215</v>
      </c>
      <c r="T2138" s="8" t="s">
        <v>41216</v>
      </c>
      <c r="U2138" s="1" t="s">
        <v>640</v>
      </c>
      <c r="V2138" s="1" t="s">
        <v>641</v>
      </c>
      <c r="W2138" s="1" t="s">
        <v>637</v>
      </c>
      <c r="X2138" s="1" t="s">
        <v>33889</v>
      </c>
      <c r="Y2138" s="1" t="s">
        <v>41209</v>
      </c>
      <c r="Z2138" s="1" t="s">
        <v>41217</v>
      </c>
      <c r="AA2138" s="1" t="s">
        <v>33890</v>
      </c>
      <c r="AB2138" s="1" t="s">
        <v>132</v>
      </c>
      <c r="AC2138" s="1" t="s">
        <v>41218</v>
      </c>
      <c r="AD2138" s="1" t="s">
        <v>41219</v>
      </c>
      <c r="AE2138" s="1" t="s">
        <v>41220</v>
      </c>
      <c r="AF2138" s="1" t="s">
        <v>41221</v>
      </c>
      <c r="AG2138" s="1" t="s">
        <v>41222</v>
      </c>
      <c r="AH2138" s="1" t="s">
        <v>650</v>
      </c>
      <c r="AI2138" s="1" t="s">
        <v>41223</v>
      </c>
      <c r="AJ2138" s="1" t="s">
        <v>132</v>
      </c>
      <c r="AK2138" s="1" t="s">
        <v>41224</v>
      </c>
      <c r="AL2138" s="1" t="s">
        <v>653</v>
      </c>
      <c r="AM2138" s="1" t="s">
        <v>41225</v>
      </c>
      <c r="AN2138" s="1" t="s">
        <v>41225</v>
      </c>
    </row>
    <row r="2139" ht="15.75" customHeight="1">
      <c r="A2139" s="1" t="s">
        <v>38</v>
      </c>
      <c r="B2139" s="1" t="s">
        <v>41226</v>
      </c>
      <c r="C2139" s="1" t="s">
        <v>41227</v>
      </c>
      <c r="D2139" s="1" t="s">
        <v>132</v>
      </c>
      <c r="E2139" s="1" t="s">
        <v>41228</v>
      </c>
      <c r="F2139" s="1" t="s">
        <v>41229</v>
      </c>
      <c r="G2139" s="1" t="s">
        <v>132</v>
      </c>
      <c r="H2139" s="1" t="s">
        <v>132</v>
      </c>
      <c r="I2139" s="1" t="s">
        <v>41230</v>
      </c>
      <c r="J2139" s="1" t="s">
        <v>132</v>
      </c>
      <c r="K2139" s="1" t="s">
        <v>41231</v>
      </c>
      <c r="L2139" s="1" t="s">
        <v>132</v>
      </c>
      <c r="M2139" s="1" t="s">
        <v>321</v>
      </c>
      <c r="N2139" s="1" t="s">
        <v>41232</v>
      </c>
      <c r="O2139" s="1" t="s">
        <v>132</v>
      </c>
      <c r="P2139" s="1" t="s">
        <v>41233</v>
      </c>
      <c r="Q2139" s="1" t="s">
        <v>132</v>
      </c>
      <c r="R2139" s="1" t="s">
        <v>132</v>
      </c>
      <c r="S2139" s="1" t="s">
        <v>41234</v>
      </c>
      <c r="T2139" s="1" t="s">
        <v>132</v>
      </c>
      <c r="U2139" s="1" t="s">
        <v>325</v>
      </c>
      <c r="V2139" s="1" t="s">
        <v>41235</v>
      </c>
      <c r="W2139" s="1" t="s">
        <v>132</v>
      </c>
      <c r="X2139" s="1" t="s">
        <v>41236</v>
      </c>
      <c r="Y2139" s="1" t="s">
        <v>132</v>
      </c>
      <c r="Z2139" s="1" t="s">
        <v>41237</v>
      </c>
      <c r="AA2139" s="1" t="s">
        <v>41238</v>
      </c>
      <c r="AB2139" s="1" t="s">
        <v>132</v>
      </c>
      <c r="AC2139" s="1" t="s">
        <v>41239</v>
      </c>
      <c r="AD2139" s="1" t="s">
        <v>132</v>
      </c>
      <c r="AE2139" s="1" t="s">
        <v>132</v>
      </c>
      <c r="AF2139" s="1" t="s">
        <v>41240</v>
      </c>
      <c r="AG2139" s="1" t="s">
        <v>41241</v>
      </c>
      <c r="AH2139" s="1" t="s">
        <v>132</v>
      </c>
      <c r="AI2139" s="1" t="s">
        <v>132</v>
      </c>
      <c r="AJ2139" s="1" t="s">
        <v>41242</v>
      </c>
      <c r="AK2139" s="1" t="s">
        <v>41243</v>
      </c>
      <c r="AL2139" s="1" t="s">
        <v>132</v>
      </c>
      <c r="AM2139" s="1" t="s">
        <v>41244</v>
      </c>
      <c r="AN2139" s="1" t="s">
        <v>41244</v>
      </c>
    </row>
    <row r="2140" ht="15.75" customHeight="1">
      <c r="A2140" s="1" t="s">
        <v>127</v>
      </c>
      <c r="B2140" s="1" t="s">
        <v>41245</v>
      </c>
      <c r="C2140" s="1" t="s">
        <v>14769</v>
      </c>
      <c r="D2140" s="8" t="s">
        <v>14770</v>
      </c>
      <c r="E2140" s="1" t="s">
        <v>14771</v>
      </c>
      <c r="F2140" s="1" t="s">
        <v>132</v>
      </c>
      <c r="G2140" s="1" t="s">
        <v>14772</v>
      </c>
      <c r="H2140" s="1" t="s">
        <v>14773</v>
      </c>
      <c r="I2140" s="1" t="s">
        <v>374</v>
      </c>
      <c r="J2140" s="1" t="s">
        <v>14774</v>
      </c>
      <c r="K2140" s="1" t="s">
        <v>14775</v>
      </c>
      <c r="L2140" s="1" t="s">
        <v>14776</v>
      </c>
      <c r="M2140" s="1" t="s">
        <v>14777</v>
      </c>
      <c r="N2140" s="1" t="s">
        <v>132</v>
      </c>
      <c r="O2140" s="1" t="s">
        <v>14778</v>
      </c>
      <c r="P2140" s="1" t="s">
        <v>14779</v>
      </c>
      <c r="Q2140" s="1" t="s">
        <v>132</v>
      </c>
      <c r="R2140" s="1" t="s">
        <v>14780</v>
      </c>
      <c r="S2140" s="1" t="s">
        <v>14781</v>
      </c>
      <c r="T2140" s="8" t="s">
        <v>14782</v>
      </c>
      <c r="U2140" s="1" t="s">
        <v>384</v>
      </c>
      <c r="V2140" s="1" t="s">
        <v>14783</v>
      </c>
      <c r="W2140" s="1" t="s">
        <v>14780</v>
      </c>
      <c r="X2140" s="1" t="s">
        <v>14784</v>
      </c>
      <c r="Y2140" s="1" t="s">
        <v>14773</v>
      </c>
      <c r="Z2140" s="1" t="s">
        <v>389</v>
      </c>
      <c r="AA2140" s="1" t="s">
        <v>390</v>
      </c>
      <c r="AB2140" s="1" t="s">
        <v>132</v>
      </c>
      <c r="AC2140" s="1" t="s">
        <v>14785</v>
      </c>
      <c r="AD2140" s="1" t="s">
        <v>14772</v>
      </c>
      <c r="AE2140" s="1" t="s">
        <v>14786</v>
      </c>
      <c r="AF2140" s="1" t="s">
        <v>395</v>
      </c>
      <c r="AG2140" s="1" t="s">
        <v>14773</v>
      </c>
      <c r="AH2140" s="1" t="s">
        <v>14787</v>
      </c>
      <c r="AI2140" s="1" t="s">
        <v>41246</v>
      </c>
      <c r="AJ2140" s="1" t="s">
        <v>132</v>
      </c>
      <c r="AK2140" s="1" t="s">
        <v>14788</v>
      </c>
      <c r="AL2140" s="1" t="s">
        <v>384</v>
      </c>
      <c r="AM2140" s="1" t="s">
        <v>400</v>
      </c>
      <c r="AN2140" s="1" t="s">
        <v>400</v>
      </c>
    </row>
    <row r="2141" ht="15.75" customHeight="1">
      <c r="A2141" s="1" t="s">
        <v>127</v>
      </c>
      <c r="B2141" s="1" t="s">
        <v>41247</v>
      </c>
      <c r="C2141" s="1" t="s">
        <v>41248</v>
      </c>
      <c r="D2141" s="8" t="s">
        <v>41249</v>
      </c>
      <c r="E2141" s="1" t="s">
        <v>41250</v>
      </c>
      <c r="F2141" s="1" t="s">
        <v>132</v>
      </c>
      <c r="G2141" s="1" t="s">
        <v>41251</v>
      </c>
      <c r="H2141" s="1" t="s">
        <v>41252</v>
      </c>
      <c r="I2141" s="1" t="s">
        <v>41253</v>
      </c>
      <c r="J2141" s="1" t="s">
        <v>41254</v>
      </c>
      <c r="K2141" s="1" t="s">
        <v>41255</v>
      </c>
      <c r="L2141" s="1" t="s">
        <v>41256</v>
      </c>
      <c r="M2141" s="1" t="s">
        <v>41257</v>
      </c>
      <c r="N2141" s="1" t="s">
        <v>132</v>
      </c>
      <c r="O2141" s="1" t="s">
        <v>41258</v>
      </c>
      <c r="P2141" s="1" t="s">
        <v>41259</v>
      </c>
      <c r="Q2141" s="1" t="s">
        <v>132</v>
      </c>
      <c r="R2141" s="1" t="s">
        <v>41260</v>
      </c>
      <c r="S2141" s="1" t="s">
        <v>41261</v>
      </c>
      <c r="T2141" s="8" t="s">
        <v>41262</v>
      </c>
      <c r="U2141" s="1" t="s">
        <v>41263</v>
      </c>
      <c r="V2141" s="1" t="s">
        <v>41264</v>
      </c>
      <c r="W2141" s="1" t="s">
        <v>41265</v>
      </c>
      <c r="X2141" s="1" t="s">
        <v>41266</v>
      </c>
      <c r="Y2141" s="1" t="s">
        <v>41252</v>
      </c>
      <c r="Z2141" s="1" t="s">
        <v>41267</v>
      </c>
      <c r="AA2141" s="1" t="s">
        <v>41268</v>
      </c>
      <c r="AB2141" s="1" t="s">
        <v>132</v>
      </c>
      <c r="AC2141" s="1" t="s">
        <v>41269</v>
      </c>
      <c r="AD2141" s="1" t="s">
        <v>41270</v>
      </c>
      <c r="AE2141" s="1" t="s">
        <v>41271</v>
      </c>
      <c r="AF2141" s="1" t="s">
        <v>41272</v>
      </c>
      <c r="AG2141" s="1" t="s">
        <v>41273</v>
      </c>
      <c r="AH2141" s="1" t="s">
        <v>41274</v>
      </c>
      <c r="AI2141" s="1" t="s">
        <v>41275</v>
      </c>
      <c r="AJ2141" s="1" t="s">
        <v>132</v>
      </c>
      <c r="AK2141" s="1" t="s">
        <v>41276</v>
      </c>
      <c r="AL2141" s="1" t="s">
        <v>41277</v>
      </c>
      <c r="AM2141" s="1" t="s">
        <v>41278</v>
      </c>
      <c r="AN2141" s="1" t="s">
        <v>41278</v>
      </c>
    </row>
    <row r="2142" ht="15.75" customHeight="1">
      <c r="A2142" s="1" t="s">
        <v>38</v>
      </c>
      <c r="B2142" s="1" t="s">
        <v>41279</v>
      </c>
      <c r="C2142" s="1" t="s">
        <v>41280</v>
      </c>
      <c r="D2142" s="1" t="s">
        <v>132</v>
      </c>
      <c r="E2142" s="1" t="s">
        <v>41281</v>
      </c>
      <c r="F2142" s="1" t="s">
        <v>41282</v>
      </c>
      <c r="G2142" s="1" t="s">
        <v>132</v>
      </c>
      <c r="H2142" s="1" t="s">
        <v>132</v>
      </c>
      <c r="I2142" s="1" t="s">
        <v>41283</v>
      </c>
      <c r="J2142" s="1" t="s">
        <v>132</v>
      </c>
      <c r="K2142" s="1" t="s">
        <v>41284</v>
      </c>
      <c r="L2142" s="1" t="s">
        <v>132</v>
      </c>
      <c r="M2142" s="1" t="s">
        <v>41285</v>
      </c>
      <c r="N2142" s="1" t="s">
        <v>41286</v>
      </c>
      <c r="O2142" s="1" t="s">
        <v>132</v>
      </c>
      <c r="P2142" s="1" t="s">
        <v>41287</v>
      </c>
      <c r="Q2142" s="1" t="s">
        <v>132</v>
      </c>
      <c r="R2142" s="1" t="s">
        <v>132</v>
      </c>
      <c r="S2142" s="1" t="s">
        <v>41288</v>
      </c>
      <c r="T2142" s="1" t="s">
        <v>132</v>
      </c>
      <c r="U2142" s="1" t="s">
        <v>41289</v>
      </c>
      <c r="V2142" s="1" t="s">
        <v>132</v>
      </c>
      <c r="W2142" s="1" t="s">
        <v>132</v>
      </c>
      <c r="X2142" s="1" t="s">
        <v>41290</v>
      </c>
      <c r="Y2142" s="1" t="s">
        <v>132</v>
      </c>
      <c r="Z2142" s="1" t="s">
        <v>41291</v>
      </c>
      <c r="AA2142" s="1" t="s">
        <v>132</v>
      </c>
      <c r="AB2142" s="1" t="s">
        <v>132</v>
      </c>
      <c r="AC2142" s="1" t="s">
        <v>41292</v>
      </c>
      <c r="AD2142" s="1" t="s">
        <v>132</v>
      </c>
      <c r="AE2142" s="1" t="s">
        <v>132</v>
      </c>
      <c r="AF2142" s="1" t="s">
        <v>41293</v>
      </c>
      <c r="AG2142" s="1" t="s">
        <v>132</v>
      </c>
      <c r="AH2142" s="1" t="s">
        <v>132</v>
      </c>
      <c r="AI2142" s="1" t="s">
        <v>132</v>
      </c>
      <c r="AJ2142" s="1" t="s">
        <v>132</v>
      </c>
      <c r="AK2142" s="1" t="s">
        <v>132</v>
      </c>
      <c r="AL2142" s="1" t="s">
        <v>132</v>
      </c>
      <c r="AM2142" s="1" t="s">
        <v>132</v>
      </c>
      <c r="AN2142" s="1" t="s">
        <v>132</v>
      </c>
    </row>
    <row r="2143" ht="15.75" customHeight="1">
      <c r="A2143" s="1" t="s">
        <v>38</v>
      </c>
      <c r="B2143" s="1" t="s">
        <v>41294</v>
      </c>
      <c r="C2143" s="1" t="s">
        <v>41295</v>
      </c>
      <c r="D2143" s="1" t="s">
        <v>132</v>
      </c>
      <c r="E2143" s="1" t="s">
        <v>132</v>
      </c>
      <c r="F2143" s="1" t="s">
        <v>132</v>
      </c>
      <c r="G2143" s="1" t="s">
        <v>132</v>
      </c>
      <c r="H2143" s="1" t="s">
        <v>132</v>
      </c>
      <c r="I2143" s="1" t="s">
        <v>41296</v>
      </c>
      <c r="J2143" s="1" t="s">
        <v>132</v>
      </c>
      <c r="K2143" s="1" t="s">
        <v>41296</v>
      </c>
      <c r="L2143" s="1" t="s">
        <v>132</v>
      </c>
      <c r="M2143" s="1" t="s">
        <v>41295</v>
      </c>
      <c r="N2143" s="1" t="s">
        <v>132</v>
      </c>
      <c r="O2143" s="1" t="s">
        <v>132</v>
      </c>
      <c r="P2143" s="1" t="s">
        <v>41295</v>
      </c>
      <c r="Q2143" s="1" t="s">
        <v>132</v>
      </c>
      <c r="R2143" s="1" t="s">
        <v>132</v>
      </c>
      <c r="S2143" s="1" t="s">
        <v>132</v>
      </c>
      <c r="T2143" s="1" t="s">
        <v>132</v>
      </c>
      <c r="U2143" s="1" t="s">
        <v>132</v>
      </c>
      <c r="V2143" s="1" t="s">
        <v>132</v>
      </c>
      <c r="W2143" s="1" t="s">
        <v>132</v>
      </c>
      <c r="X2143" s="1" t="s">
        <v>132</v>
      </c>
      <c r="Y2143" s="1" t="s">
        <v>132</v>
      </c>
      <c r="Z2143" s="1" t="s">
        <v>132</v>
      </c>
      <c r="AA2143" s="1" t="s">
        <v>132</v>
      </c>
      <c r="AB2143" s="1" t="s">
        <v>132</v>
      </c>
      <c r="AC2143" s="1" t="s">
        <v>41297</v>
      </c>
      <c r="AD2143" s="1" t="s">
        <v>132</v>
      </c>
      <c r="AE2143" s="1" t="s">
        <v>132</v>
      </c>
      <c r="AF2143" s="1" t="s">
        <v>41296</v>
      </c>
      <c r="AG2143" s="1" t="s">
        <v>132</v>
      </c>
      <c r="AH2143" s="1" t="s">
        <v>132</v>
      </c>
      <c r="AI2143" s="1" t="s">
        <v>132</v>
      </c>
      <c r="AJ2143" s="1" t="s">
        <v>132</v>
      </c>
      <c r="AK2143" s="1" t="s">
        <v>132</v>
      </c>
      <c r="AL2143" s="1" t="s">
        <v>132</v>
      </c>
      <c r="AM2143" s="1" t="s">
        <v>132</v>
      </c>
      <c r="AN2143" s="1" t="s">
        <v>132</v>
      </c>
    </row>
    <row r="2144" ht="15.75" customHeight="1">
      <c r="A2144" s="1" t="s">
        <v>38</v>
      </c>
      <c r="B2144" s="1" t="s">
        <v>41298</v>
      </c>
      <c r="C2144" s="1" t="s">
        <v>41299</v>
      </c>
      <c r="D2144" s="1" t="s">
        <v>132</v>
      </c>
      <c r="E2144" s="1" t="s">
        <v>132</v>
      </c>
      <c r="F2144" s="1" t="s">
        <v>132</v>
      </c>
      <c r="G2144" s="1" t="s">
        <v>132</v>
      </c>
      <c r="H2144" s="1" t="s">
        <v>132</v>
      </c>
      <c r="I2144" s="1" t="s">
        <v>41299</v>
      </c>
      <c r="J2144" s="1" t="s">
        <v>132</v>
      </c>
      <c r="K2144" s="1" t="s">
        <v>41300</v>
      </c>
      <c r="L2144" s="1" t="s">
        <v>132</v>
      </c>
      <c r="M2144" s="1" t="s">
        <v>41299</v>
      </c>
      <c r="N2144" s="1" t="s">
        <v>132</v>
      </c>
      <c r="O2144" s="1" t="s">
        <v>132</v>
      </c>
      <c r="P2144" s="1" t="s">
        <v>41299</v>
      </c>
      <c r="Q2144" s="1" t="s">
        <v>132</v>
      </c>
      <c r="R2144" s="1" t="s">
        <v>132</v>
      </c>
      <c r="S2144" s="1" t="s">
        <v>132</v>
      </c>
      <c r="T2144" s="1" t="s">
        <v>132</v>
      </c>
      <c r="U2144" s="1" t="s">
        <v>132</v>
      </c>
      <c r="V2144" s="1" t="s">
        <v>132</v>
      </c>
      <c r="W2144" s="1" t="s">
        <v>132</v>
      </c>
      <c r="X2144" s="1" t="s">
        <v>132</v>
      </c>
      <c r="Y2144" s="1" t="s">
        <v>132</v>
      </c>
      <c r="Z2144" s="1" t="s">
        <v>132</v>
      </c>
      <c r="AA2144" s="1" t="s">
        <v>132</v>
      </c>
      <c r="AB2144" s="1" t="s">
        <v>132</v>
      </c>
      <c r="AC2144" s="1" t="s">
        <v>41301</v>
      </c>
      <c r="AD2144" s="1" t="s">
        <v>132</v>
      </c>
      <c r="AE2144" s="1" t="s">
        <v>132</v>
      </c>
      <c r="AF2144" s="1" t="s">
        <v>41302</v>
      </c>
      <c r="AG2144" s="1" t="s">
        <v>132</v>
      </c>
      <c r="AH2144" s="1" t="s">
        <v>132</v>
      </c>
      <c r="AI2144" s="1" t="s">
        <v>132</v>
      </c>
      <c r="AJ2144" s="1" t="s">
        <v>132</v>
      </c>
      <c r="AK2144" s="1" t="s">
        <v>132</v>
      </c>
      <c r="AL2144" s="1" t="s">
        <v>132</v>
      </c>
      <c r="AM2144" s="1" t="s">
        <v>132</v>
      </c>
      <c r="AN2144" s="1" t="s">
        <v>132</v>
      </c>
    </row>
    <row r="2145" ht="15.75" customHeight="1">
      <c r="A2145" s="1" t="s">
        <v>127</v>
      </c>
      <c r="B2145" s="1" t="s">
        <v>41303</v>
      </c>
      <c r="C2145" s="1" t="s">
        <v>41304</v>
      </c>
      <c r="D2145" s="8" t="s">
        <v>41305</v>
      </c>
      <c r="E2145" s="1" t="s">
        <v>41306</v>
      </c>
      <c r="F2145" s="1" t="s">
        <v>132</v>
      </c>
      <c r="G2145" s="1" t="s">
        <v>41307</v>
      </c>
      <c r="H2145" s="1" t="s">
        <v>41308</v>
      </c>
      <c r="I2145" s="1" t="s">
        <v>41309</v>
      </c>
      <c r="J2145" s="1" t="s">
        <v>41310</v>
      </c>
      <c r="K2145" s="1" t="s">
        <v>41311</v>
      </c>
      <c r="L2145" s="1" t="s">
        <v>41312</v>
      </c>
      <c r="M2145" s="1" t="s">
        <v>41313</v>
      </c>
      <c r="N2145" s="1" t="s">
        <v>132</v>
      </c>
      <c r="O2145" s="1" t="s">
        <v>41314</v>
      </c>
      <c r="P2145" s="1" t="s">
        <v>41315</v>
      </c>
      <c r="Q2145" s="1" t="s">
        <v>132</v>
      </c>
      <c r="R2145" s="1" t="s">
        <v>41316</v>
      </c>
      <c r="S2145" s="1" t="s">
        <v>41317</v>
      </c>
      <c r="T2145" s="8" t="s">
        <v>41318</v>
      </c>
      <c r="U2145" s="1" t="s">
        <v>41319</v>
      </c>
      <c r="V2145" s="1" t="s">
        <v>41320</v>
      </c>
      <c r="W2145" s="1" t="s">
        <v>41316</v>
      </c>
      <c r="X2145" s="1" t="s">
        <v>41321</v>
      </c>
      <c r="Y2145" s="1" t="s">
        <v>41322</v>
      </c>
      <c r="Z2145" s="1" t="s">
        <v>41323</v>
      </c>
      <c r="AA2145" s="1" t="s">
        <v>41311</v>
      </c>
      <c r="AB2145" s="1" t="s">
        <v>132</v>
      </c>
      <c r="AC2145" s="1" t="s">
        <v>41324</v>
      </c>
      <c r="AD2145" s="1" t="s">
        <v>41325</v>
      </c>
      <c r="AE2145" s="1" t="s">
        <v>41326</v>
      </c>
      <c r="AF2145" s="1" t="s">
        <v>41326</v>
      </c>
      <c r="AG2145" s="1" t="s">
        <v>41327</v>
      </c>
      <c r="AH2145" s="1" t="s">
        <v>41328</v>
      </c>
      <c r="AI2145" s="1" t="s">
        <v>41329</v>
      </c>
      <c r="AJ2145" s="1" t="s">
        <v>132</v>
      </c>
      <c r="AK2145" s="1" t="s">
        <v>41330</v>
      </c>
      <c r="AL2145" s="1" t="s">
        <v>41331</v>
      </c>
      <c r="AM2145" s="1" t="s">
        <v>132</v>
      </c>
      <c r="AN2145" s="1" t="s">
        <v>132</v>
      </c>
    </row>
    <row r="2146" ht="15.75" customHeight="1">
      <c r="A2146" s="1" t="s">
        <v>127</v>
      </c>
      <c r="B2146" s="1" t="s">
        <v>41332</v>
      </c>
      <c r="C2146" s="1" t="s">
        <v>10058</v>
      </c>
      <c r="D2146" s="8" t="s">
        <v>10059</v>
      </c>
      <c r="E2146" s="1" t="s">
        <v>10060</v>
      </c>
      <c r="F2146" s="1" t="s">
        <v>132</v>
      </c>
      <c r="G2146" s="1" t="s">
        <v>10061</v>
      </c>
      <c r="H2146" s="1" t="s">
        <v>10062</v>
      </c>
      <c r="I2146" s="1" t="s">
        <v>32344</v>
      </c>
      <c r="J2146" s="1" t="s">
        <v>10064</v>
      </c>
      <c r="K2146" s="1" t="s">
        <v>10065</v>
      </c>
      <c r="L2146" s="1" t="s">
        <v>10066</v>
      </c>
      <c r="M2146" s="1" t="s">
        <v>10067</v>
      </c>
      <c r="N2146" s="1" t="s">
        <v>132</v>
      </c>
      <c r="O2146" s="1" t="s">
        <v>10068</v>
      </c>
      <c r="P2146" s="1" t="s">
        <v>10069</v>
      </c>
      <c r="Q2146" s="1" t="s">
        <v>132</v>
      </c>
      <c r="R2146" s="1" t="s">
        <v>10070</v>
      </c>
      <c r="S2146" s="1" t="s">
        <v>41333</v>
      </c>
      <c r="T2146" s="8" t="s">
        <v>10072</v>
      </c>
      <c r="U2146" s="1" t="s">
        <v>10073</v>
      </c>
      <c r="V2146" s="1" t="s">
        <v>10074</v>
      </c>
      <c r="W2146" s="1" t="s">
        <v>10070</v>
      </c>
      <c r="X2146" s="1" t="s">
        <v>10075</v>
      </c>
      <c r="Y2146" s="1" t="s">
        <v>10076</v>
      </c>
      <c r="Z2146" s="1" t="s">
        <v>32345</v>
      </c>
      <c r="AA2146" s="1" t="s">
        <v>10065</v>
      </c>
      <c r="AB2146" s="1" t="s">
        <v>132</v>
      </c>
      <c r="AC2146" s="1" t="s">
        <v>10079</v>
      </c>
      <c r="AD2146" s="1" t="s">
        <v>10080</v>
      </c>
      <c r="AE2146" s="1" t="s">
        <v>10081</v>
      </c>
      <c r="AF2146" s="1" t="s">
        <v>10082</v>
      </c>
      <c r="AG2146" s="1" t="s">
        <v>10083</v>
      </c>
      <c r="AH2146" s="1" t="s">
        <v>10084</v>
      </c>
      <c r="AI2146" s="1" t="s">
        <v>10085</v>
      </c>
      <c r="AJ2146" s="1" t="s">
        <v>132</v>
      </c>
      <c r="AK2146" s="1" t="s">
        <v>10086</v>
      </c>
      <c r="AL2146" s="1" t="s">
        <v>10087</v>
      </c>
      <c r="AM2146" s="1" t="s">
        <v>10088</v>
      </c>
      <c r="AN2146" s="1" t="s">
        <v>10088</v>
      </c>
    </row>
    <row r="2147" ht="15.75" customHeight="1">
      <c r="A2147" s="1" t="s">
        <v>127</v>
      </c>
      <c r="B2147" s="1" t="s">
        <v>41334</v>
      </c>
      <c r="C2147" s="1" t="s">
        <v>41335</v>
      </c>
      <c r="D2147" s="8" t="s">
        <v>41336</v>
      </c>
      <c r="E2147" s="1" t="s">
        <v>41337</v>
      </c>
      <c r="F2147" s="1" t="s">
        <v>132</v>
      </c>
      <c r="G2147" s="1" t="s">
        <v>41338</v>
      </c>
      <c r="H2147" s="1" t="s">
        <v>41339</v>
      </c>
      <c r="I2147" s="1" t="s">
        <v>41340</v>
      </c>
      <c r="J2147" s="1" t="s">
        <v>41341</v>
      </c>
      <c r="K2147" s="1" t="s">
        <v>41342</v>
      </c>
      <c r="L2147" s="1" t="s">
        <v>41343</v>
      </c>
      <c r="M2147" s="1" t="s">
        <v>41344</v>
      </c>
      <c r="N2147" s="1" t="s">
        <v>132</v>
      </c>
      <c r="O2147" s="1" t="s">
        <v>41345</v>
      </c>
      <c r="P2147" s="1" t="s">
        <v>41346</v>
      </c>
      <c r="Q2147" s="1" t="s">
        <v>132</v>
      </c>
      <c r="R2147" s="1" t="s">
        <v>41347</v>
      </c>
      <c r="S2147" s="1" t="s">
        <v>41348</v>
      </c>
      <c r="T2147" s="8" t="s">
        <v>41349</v>
      </c>
      <c r="U2147" s="1" t="s">
        <v>41350</v>
      </c>
      <c r="V2147" s="1" t="s">
        <v>41351</v>
      </c>
      <c r="W2147" s="1" t="s">
        <v>41352</v>
      </c>
      <c r="X2147" s="1" t="s">
        <v>41353</v>
      </c>
      <c r="Y2147" s="1" t="s">
        <v>41339</v>
      </c>
      <c r="Z2147" s="1" t="s">
        <v>41354</v>
      </c>
      <c r="AA2147" s="1" t="s">
        <v>41355</v>
      </c>
      <c r="AB2147" s="1" t="s">
        <v>132</v>
      </c>
      <c r="AC2147" s="1" t="s">
        <v>41356</v>
      </c>
      <c r="AD2147" s="1" t="s">
        <v>41357</v>
      </c>
      <c r="AE2147" s="1" t="s">
        <v>41358</v>
      </c>
      <c r="AF2147" s="1" t="s">
        <v>41359</v>
      </c>
      <c r="AG2147" s="1" t="s">
        <v>41360</v>
      </c>
      <c r="AH2147" s="1" t="s">
        <v>41361</v>
      </c>
      <c r="AI2147" s="1" t="s">
        <v>41362</v>
      </c>
      <c r="AJ2147" s="1" t="s">
        <v>132</v>
      </c>
      <c r="AK2147" s="1" t="s">
        <v>41363</v>
      </c>
      <c r="AL2147" s="1" t="s">
        <v>41364</v>
      </c>
      <c r="AM2147" s="1" t="s">
        <v>132</v>
      </c>
      <c r="AN2147" s="1" t="s">
        <v>132</v>
      </c>
    </row>
    <row r="2148" ht="15.75" customHeight="1">
      <c r="A2148" s="1" t="s">
        <v>127</v>
      </c>
      <c r="B2148" s="1" t="s">
        <v>41365</v>
      </c>
      <c r="C2148" s="1" t="s">
        <v>41366</v>
      </c>
      <c r="D2148" s="8" t="s">
        <v>41367</v>
      </c>
      <c r="E2148" s="1" t="s">
        <v>41368</v>
      </c>
      <c r="F2148" s="1" t="s">
        <v>132</v>
      </c>
      <c r="G2148" s="1" t="s">
        <v>41369</v>
      </c>
      <c r="H2148" s="1" t="s">
        <v>41370</v>
      </c>
      <c r="I2148" s="1" t="s">
        <v>41371</v>
      </c>
      <c r="J2148" s="1" t="s">
        <v>41372</v>
      </c>
      <c r="K2148" s="1" t="s">
        <v>41373</v>
      </c>
      <c r="L2148" s="1" t="s">
        <v>41374</v>
      </c>
      <c r="M2148" s="1" t="s">
        <v>41375</v>
      </c>
      <c r="N2148" s="1" t="s">
        <v>132</v>
      </c>
      <c r="O2148" s="1" t="s">
        <v>41376</v>
      </c>
      <c r="P2148" s="1" t="s">
        <v>41377</v>
      </c>
      <c r="Q2148" s="1" t="s">
        <v>132</v>
      </c>
      <c r="R2148" s="1" t="s">
        <v>41378</v>
      </c>
      <c r="S2148" s="1" t="s">
        <v>41379</v>
      </c>
      <c r="T2148" s="8" t="s">
        <v>41380</v>
      </c>
      <c r="U2148" s="1" t="s">
        <v>41381</v>
      </c>
      <c r="V2148" s="1" t="s">
        <v>41382</v>
      </c>
      <c r="W2148" s="1" t="s">
        <v>41378</v>
      </c>
      <c r="X2148" s="1" t="s">
        <v>41383</v>
      </c>
      <c r="Y2148" s="1" t="s">
        <v>41370</v>
      </c>
      <c r="Z2148" s="1" t="s">
        <v>41384</v>
      </c>
      <c r="AA2148" s="1" t="s">
        <v>41385</v>
      </c>
      <c r="AB2148" s="1" t="s">
        <v>132</v>
      </c>
      <c r="AC2148" s="1" t="s">
        <v>41386</v>
      </c>
      <c r="AD2148" s="1" t="s">
        <v>41387</v>
      </c>
      <c r="AE2148" s="1" t="s">
        <v>41388</v>
      </c>
      <c r="AF2148" s="1" t="s">
        <v>41388</v>
      </c>
      <c r="AG2148" s="1" t="s">
        <v>41389</v>
      </c>
      <c r="AH2148" s="1" t="s">
        <v>41390</v>
      </c>
      <c r="AI2148" s="1" t="s">
        <v>41391</v>
      </c>
      <c r="AJ2148" s="1" t="s">
        <v>132</v>
      </c>
      <c r="AK2148" s="1" t="s">
        <v>41392</v>
      </c>
      <c r="AL2148" s="1" t="s">
        <v>41393</v>
      </c>
      <c r="AM2148" s="1" t="s">
        <v>132</v>
      </c>
      <c r="AN2148" s="1" t="s">
        <v>132</v>
      </c>
    </row>
    <row r="2149" ht="15.75" customHeight="1">
      <c r="A2149" s="1" t="s">
        <v>38</v>
      </c>
      <c r="B2149" s="1" t="s">
        <v>41394</v>
      </c>
      <c r="C2149" s="1" t="s">
        <v>41395</v>
      </c>
      <c r="D2149" s="8" t="s">
        <v>20391</v>
      </c>
      <c r="E2149" s="1" t="s">
        <v>41395</v>
      </c>
      <c r="F2149" s="1" t="s">
        <v>41395</v>
      </c>
      <c r="G2149" s="1" t="s">
        <v>132</v>
      </c>
      <c r="H2149" s="1" t="s">
        <v>132</v>
      </c>
      <c r="I2149" s="1" t="s">
        <v>41395</v>
      </c>
      <c r="J2149" s="1" t="s">
        <v>132</v>
      </c>
      <c r="K2149" s="1" t="s">
        <v>41395</v>
      </c>
      <c r="L2149" s="1" t="s">
        <v>132</v>
      </c>
      <c r="M2149" s="1" t="s">
        <v>41395</v>
      </c>
      <c r="N2149" s="1" t="s">
        <v>41395</v>
      </c>
      <c r="O2149" s="1" t="s">
        <v>132</v>
      </c>
      <c r="P2149" s="1" t="s">
        <v>41395</v>
      </c>
      <c r="Q2149" s="1" t="s">
        <v>41395</v>
      </c>
      <c r="R2149" s="1" t="s">
        <v>132</v>
      </c>
      <c r="S2149" s="1" t="s">
        <v>41395</v>
      </c>
      <c r="T2149" s="1" t="s">
        <v>132</v>
      </c>
      <c r="U2149" s="1" t="s">
        <v>41395</v>
      </c>
      <c r="V2149" s="1" t="s">
        <v>41395</v>
      </c>
      <c r="W2149" s="1" t="s">
        <v>132</v>
      </c>
      <c r="X2149" s="1" t="s">
        <v>41395</v>
      </c>
      <c r="Y2149" s="1" t="s">
        <v>132</v>
      </c>
      <c r="Z2149" s="1" t="s">
        <v>41395</v>
      </c>
      <c r="AA2149" s="1" t="s">
        <v>41395</v>
      </c>
      <c r="AB2149" s="1" t="s">
        <v>132</v>
      </c>
      <c r="AC2149" s="1" t="s">
        <v>41395</v>
      </c>
      <c r="AD2149" s="1" t="s">
        <v>41395</v>
      </c>
      <c r="AE2149" s="1" t="s">
        <v>132</v>
      </c>
      <c r="AF2149" s="1" t="s">
        <v>41396</v>
      </c>
      <c r="AG2149" s="1" t="s">
        <v>41395</v>
      </c>
      <c r="AH2149" s="1" t="s">
        <v>132</v>
      </c>
      <c r="AI2149" s="1" t="s">
        <v>132</v>
      </c>
      <c r="AJ2149" s="1" t="s">
        <v>41395</v>
      </c>
      <c r="AK2149" s="1" t="s">
        <v>41395</v>
      </c>
      <c r="AL2149" s="1" t="s">
        <v>132</v>
      </c>
      <c r="AM2149" s="1" t="s">
        <v>41395</v>
      </c>
      <c r="AN2149" s="1" t="s">
        <v>41395</v>
      </c>
    </row>
    <row r="2150" ht="15.75" customHeight="1">
      <c r="A2150" s="1" t="s">
        <v>38</v>
      </c>
      <c r="B2150" s="1" t="s">
        <v>41397</v>
      </c>
      <c r="C2150" s="1" t="s">
        <v>41398</v>
      </c>
      <c r="D2150" s="8" t="s">
        <v>41399</v>
      </c>
      <c r="E2150" s="1" t="s">
        <v>41400</v>
      </c>
      <c r="F2150" s="1" t="s">
        <v>41401</v>
      </c>
      <c r="G2150" s="1" t="s">
        <v>132</v>
      </c>
      <c r="H2150" s="1" t="s">
        <v>132</v>
      </c>
      <c r="I2150" s="1" t="s">
        <v>41402</v>
      </c>
      <c r="J2150" s="1" t="s">
        <v>132</v>
      </c>
      <c r="K2150" s="1" t="s">
        <v>41403</v>
      </c>
      <c r="L2150" s="1" t="s">
        <v>132</v>
      </c>
      <c r="M2150" s="1" t="s">
        <v>41404</v>
      </c>
      <c r="N2150" s="1" t="s">
        <v>41405</v>
      </c>
      <c r="O2150" s="1" t="s">
        <v>132</v>
      </c>
      <c r="P2150" s="1" t="s">
        <v>41406</v>
      </c>
      <c r="Q2150" s="1" t="s">
        <v>132</v>
      </c>
      <c r="R2150" s="1" t="s">
        <v>132</v>
      </c>
      <c r="S2150" s="1" t="s">
        <v>41407</v>
      </c>
      <c r="T2150" s="1" t="s">
        <v>132</v>
      </c>
      <c r="U2150" s="1" t="s">
        <v>41408</v>
      </c>
      <c r="V2150" s="1" t="s">
        <v>132</v>
      </c>
      <c r="W2150" s="1" t="s">
        <v>132</v>
      </c>
      <c r="X2150" s="1" t="s">
        <v>41409</v>
      </c>
      <c r="Y2150" s="1" t="s">
        <v>132</v>
      </c>
      <c r="Z2150" s="1" t="s">
        <v>41410</v>
      </c>
      <c r="AA2150" s="1" t="s">
        <v>41411</v>
      </c>
      <c r="AB2150" s="1" t="s">
        <v>132</v>
      </c>
      <c r="AC2150" s="1" t="s">
        <v>41412</v>
      </c>
      <c r="AD2150" s="1" t="s">
        <v>132</v>
      </c>
      <c r="AE2150" s="1" t="s">
        <v>132</v>
      </c>
      <c r="AF2150" s="1" t="s">
        <v>41413</v>
      </c>
      <c r="AG2150" s="1" t="s">
        <v>132</v>
      </c>
      <c r="AH2150" s="1" t="s">
        <v>132</v>
      </c>
      <c r="AI2150" s="1" t="s">
        <v>132</v>
      </c>
      <c r="AJ2150" s="1" t="s">
        <v>132</v>
      </c>
      <c r="AK2150" s="1" t="s">
        <v>132</v>
      </c>
      <c r="AL2150" s="1" t="s">
        <v>132</v>
      </c>
      <c r="AM2150" s="1" t="s">
        <v>132</v>
      </c>
      <c r="AN2150" s="1" t="s">
        <v>132</v>
      </c>
    </row>
    <row r="2151" ht="15.75" customHeight="1">
      <c r="A2151" s="1" t="s">
        <v>38</v>
      </c>
      <c r="B2151" s="1" t="s">
        <v>41414</v>
      </c>
      <c r="C2151" s="1" t="s">
        <v>41415</v>
      </c>
      <c r="D2151" s="8" t="s">
        <v>41416</v>
      </c>
      <c r="E2151" s="1" t="s">
        <v>41417</v>
      </c>
      <c r="F2151" s="1" t="s">
        <v>41418</v>
      </c>
      <c r="G2151" s="1" t="s">
        <v>132</v>
      </c>
      <c r="H2151" s="1" t="s">
        <v>132</v>
      </c>
      <c r="I2151" s="1" t="s">
        <v>41419</v>
      </c>
      <c r="J2151" s="1" t="s">
        <v>132</v>
      </c>
      <c r="K2151" s="1" t="s">
        <v>41420</v>
      </c>
      <c r="L2151" s="1" t="s">
        <v>132</v>
      </c>
      <c r="M2151" s="1" t="s">
        <v>41421</v>
      </c>
      <c r="N2151" s="1" t="s">
        <v>41422</v>
      </c>
      <c r="O2151" s="1" t="s">
        <v>132</v>
      </c>
      <c r="P2151" s="1" t="s">
        <v>41423</v>
      </c>
      <c r="Q2151" s="1" t="s">
        <v>132</v>
      </c>
      <c r="R2151" s="1" t="s">
        <v>132</v>
      </c>
      <c r="S2151" s="1" t="s">
        <v>41424</v>
      </c>
      <c r="T2151" s="1" t="s">
        <v>132</v>
      </c>
      <c r="U2151" s="1" t="s">
        <v>41425</v>
      </c>
      <c r="V2151" s="1" t="s">
        <v>41426</v>
      </c>
      <c r="W2151" s="1" t="s">
        <v>132</v>
      </c>
      <c r="X2151" s="1" t="s">
        <v>41427</v>
      </c>
      <c r="Y2151" s="1" t="s">
        <v>132</v>
      </c>
      <c r="Z2151" s="1" t="s">
        <v>41428</v>
      </c>
      <c r="AA2151" s="1" t="s">
        <v>41429</v>
      </c>
      <c r="AB2151" s="1" t="s">
        <v>132</v>
      </c>
      <c r="AC2151" s="1" t="s">
        <v>41430</v>
      </c>
      <c r="AD2151" s="1" t="s">
        <v>132</v>
      </c>
      <c r="AE2151" s="1" t="s">
        <v>132</v>
      </c>
      <c r="AF2151" s="1" t="s">
        <v>41431</v>
      </c>
      <c r="AG2151" s="1" t="s">
        <v>41432</v>
      </c>
      <c r="AH2151" s="1" t="s">
        <v>132</v>
      </c>
      <c r="AI2151" s="1" t="s">
        <v>132</v>
      </c>
      <c r="AJ2151" s="1" t="s">
        <v>41433</v>
      </c>
      <c r="AK2151" s="1" t="s">
        <v>41434</v>
      </c>
      <c r="AL2151" s="1" t="s">
        <v>132</v>
      </c>
      <c r="AM2151" s="1" t="s">
        <v>41435</v>
      </c>
      <c r="AN2151" s="1" t="s">
        <v>41435</v>
      </c>
    </row>
    <row r="2152" ht="15.75" customHeight="1">
      <c r="A2152" s="1" t="s">
        <v>38</v>
      </c>
      <c r="B2152" s="1" t="s">
        <v>41436</v>
      </c>
      <c r="C2152" s="1" t="s">
        <v>41437</v>
      </c>
      <c r="D2152" s="8" t="s">
        <v>41438</v>
      </c>
      <c r="E2152" s="1" t="s">
        <v>41439</v>
      </c>
      <c r="F2152" s="1" t="s">
        <v>41440</v>
      </c>
      <c r="G2152" s="1" t="s">
        <v>132</v>
      </c>
      <c r="H2152" s="1" t="s">
        <v>132</v>
      </c>
      <c r="I2152" s="1" t="s">
        <v>41441</v>
      </c>
      <c r="J2152" s="1" t="s">
        <v>132</v>
      </c>
      <c r="K2152" s="1" t="s">
        <v>41442</v>
      </c>
      <c r="L2152" s="1" t="s">
        <v>132</v>
      </c>
      <c r="M2152" s="1" t="s">
        <v>41443</v>
      </c>
      <c r="N2152" s="1" t="s">
        <v>41444</v>
      </c>
      <c r="O2152" s="1" t="s">
        <v>132</v>
      </c>
      <c r="P2152" s="1" t="s">
        <v>41445</v>
      </c>
      <c r="Q2152" s="1" t="s">
        <v>41446</v>
      </c>
      <c r="R2152" s="1" t="s">
        <v>132</v>
      </c>
      <c r="S2152" s="1" t="s">
        <v>41447</v>
      </c>
      <c r="T2152" s="1" t="s">
        <v>132</v>
      </c>
      <c r="U2152" s="1" t="s">
        <v>41448</v>
      </c>
      <c r="V2152" s="1" t="s">
        <v>41449</v>
      </c>
      <c r="W2152" s="1" t="s">
        <v>132</v>
      </c>
      <c r="X2152" s="1" t="s">
        <v>41450</v>
      </c>
      <c r="Y2152" s="1" t="s">
        <v>132</v>
      </c>
      <c r="Z2152" s="1" t="s">
        <v>41451</v>
      </c>
      <c r="AA2152" s="1" t="s">
        <v>41452</v>
      </c>
      <c r="AB2152" s="1" t="s">
        <v>132</v>
      </c>
      <c r="AC2152" s="1" t="s">
        <v>41453</v>
      </c>
      <c r="AD2152" s="1" t="s">
        <v>132</v>
      </c>
      <c r="AE2152" s="1" t="s">
        <v>132</v>
      </c>
      <c r="AF2152" s="1" t="s">
        <v>41454</v>
      </c>
      <c r="AG2152" s="1" t="s">
        <v>41455</v>
      </c>
      <c r="AH2152" s="1" t="s">
        <v>132</v>
      </c>
      <c r="AI2152" s="1" t="s">
        <v>132</v>
      </c>
      <c r="AJ2152" s="1" t="s">
        <v>41456</v>
      </c>
      <c r="AK2152" s="1" t="s">
        <v>41457</v>
      </c>
      <c r="AL2152" s="1" t="s">
        <v>132</v>
      </c>
      <c r="AM2152" s="1" t="s">
        <v>41458</v>
      </c>
      <c r="AN2152" s="1" t="s">
        <v>41458</v>
      </c>
    </row>
    <row r="2153" ht="15.75" customHeight="1">
      <c r="A2153" s="1" t="s">
        <v>38</v>
      </c>
      <c r="B2153" s="1" t="s">
        <v>41459</v>
      </c>
      <c r="C2153" s="1" t="s">
        <v>41460</v>
      </c>
      <c r="D2153" s="1" t="s">
        <v>132</v>
      </c>
      <c r="E2153" s="1" t="s">
        <v>132</v>
      </c>
      <c r="F2153" s="1" t="s">
        <v>132</v>
      </c>
      <c r="G2153" s="1" t="s">
        <v>132</v>
      </c>
      <c r="H2153" s="1" t="s">
        <v>132</v>
      </c>
      <c r="I2153" s="1" t="s">
        <v>41461</v>
      </c>
      <c r="J2153" s="1" t="s">
        <v>132</v>
      </c>
      <c r="K2153" s="1" t="s">
        <v>41462</v>
      </c>
      <c r="L2153" s="1" t="s">
        <v>132</v>
      </c>
      <c r="M2153" s="1" t="s">
        <v>41463</v>
      </c>
      <c r="N2153" s="1" t="s">
        <v>132</v>
      </c>
      <c r="O2153" s="1" t="s">
        <v>132</v>
      </c>
      <c r="P2153" s="1" t="s">
        <v>41464</v>
      </c>
      <c r="Q2153" s="1" t="s">
        <v>132</v>
      </c>
      <c r="R2153" s="1" t="s">
        <v>132</v>
      </c>
      <c r="S2153" s="1" t="s">
        <v>132</v>
      </c>
      <c r="T2153" s="1" t="s">
        <v>132</v>
      </c>
      <c r="U2153" s="1" t="s">
        <v>132</v>
      </c>
      <c r="V2153" s="1" t="s">
        <v>132</v>
      </c>
      <c r="W2153" s="1" t="s">
        <v>132</v>
      </c>
      <c r="X2153" s="1" t="s">
        <v>132</v>
      </c>
      <c r="Y2153" s="1" t="s">
        <v>132</v>
      </c>
      <c r="Z2153" s="1" t="s">
        <v>132</v>
      </c>
      <c r="AA2153" s="1" t="s">
        <v>132</v>
      </c>
      <c r="AB2153" s="1" t="s">
        <v>132</v>
      </c>
      <c r="AC2153" s="1" t="s">
        <v>41465</v>
      </c>
      <c r="AD2153" s="1" t="s">
        <v>132</v>
      </c>
      <c r="AE2153" s="1" t="s">
        <v>132</v>
      </c>
      <c r="AF2153" s="1" t="s">
        <v>41466</v>
      </c>
      <c r="AG2153" s="1" t="s">
        <v>132</v>
      </c>
      <c r="AH2153" s="1" t="s">
        <v>132</v>
      </c>
      <c r="AI2153" s="1" t="s">
        <v>132</v>
      </c>
      <c r="AJ2153" s="1" t="s">
        <v>132</v>
      </c>
      <c r="AK2153" s="1" t="s">
        <v>132</v>
      </c>
      <c r="AL2153" s="1" t="s">
        <v>132</v>
      </c>
      <c r="AM2153" s="1" t="s">
        <v>132</v>
      </c>
      <c r="AN2153" s="1" t="s">
        <v>132</v>
      </c>
    </row>
    <row r="2154" ht="15.75" customHeight="1">
      <c r="A2154" s="1" t="s">
        <v>38</v>
      </c>
      <c r="B2154" s="1" t="s">
        <v>41467</v>
      </c>
      <c r="C2154" s="1" t="s">
        <v>41468</v>
      </c>
      <c r="D2154" s="8" t="s">
        <v>41469</v>
      </c>
      <c r="E2154" s="1" t="s">
        <v>41470</v>
      </c>
      <c r="F2154" s="1" t="s">
        <v>41471</v>
      </c>
      <c r="G2154" s="1" t="s">
        <v>132</v>
      </c>
      <c r="H2154" s="1" t="s">
        <v>132</v>
      </c>
      <c r="I2154" s="1" t="s">
        <v>41472</v>
      </c>
      <c r="J2154" s="1" t="s">
        <v>132</v>
      </c>
      <c r="K2154" s="1" t="s">
        <v>41473</v>
      </c>
      <c r="L2154" s="1" t="s">
        <v>132</v>
      </c>
      <c r="M2154" s="1" t="s">
        <v>41474</v>
      </c>
      <c r="N2154" s="1" t="s">
        <v>41475</v>
      </c>
      <c r="O2154" s="1" t="s">
        <v>132</v>
      </c>
      <c r="P2154" s="1" t="s">
        <v>41476</v>
      </c>
      <c r="Q2154" s="1" t="s">
        <v>41477</v>
      </c>
      <c r="R2154" s="1" t="s">
        <v>132</v>
      </c>
      <c r="S2154" s="1" t="s">
        <v>41478</v>
      </c>
      <c r="T2154" s="1" t="s">
        <v>132</v>
      </c>
      <c r="U2154" s="1" t="s">
        <v>41479</v>
      </c>
      <c r="V2154" s="1" t="s">
        <v>41480</v>
      </c>
      <c r="W2154" s="1" t="s">
        <v>132</v>
      </c>
      <c r="X2154" s="1" t="s">
        <v>41481</v>
      </c>
      <c r="Y2154" s="1" t="s">
        <v>132</v>
      </c>
      <c r="Z2154" s="1" t="s">
        <v>41482</v>
      </c>
      <c r="AA2154" s="1" t="s">
        <v>41483</v>
      </c>
      <c r="AB2154" s="1" t="s">
        <v>132</v>
      </c>
      <c r="AC2154" s="1" t="s">
        <v>41484</v>
      </c>
      <c r="AD2154" s="1" t="s">
        <v>132</v>
      </c>
      <c r="AE2154" s="1" t="s">
        <v>132</v>
      </c>
      <c r="AF2154" s="1" t="s">
        <v>41485</v>
      </c>
      <c r="AG2154" s="1" t="s">
        <v>41486</v>
      </c>
      <c r="AH2154" s="1" t="s">
        <v>132</v>
      </c>
      <c r="AI2154" s="1" t="s">
        <v>132</v>
      </c>
      <c r="AJ2154" s="1" t="s">
        <v>41487</v>
      </c>
      <c r="AK2154" s="1" t="s">
        <v>132</v>
      </c>
      <c r="AL2154" s="1" t="s">
        <v>132</v>
      </c>
      <c r="AM2154" s="1" t="s">
        <v>41488</v>
      </c>
      <c r="AN2154" s="1" t="s">
        <v>41488</v>
      </c>
    </row>
    <row r="2155" ht="15.75" customHeight="1">
      <c r="A2155" s="1" t="s">
        <v>38</v>
      </c>
      <c r="B2155" s="1" t="s">
        <v>41489</v>
      </c>
      <c r="C2155" s="1" t="s">
        <v>41490</v>
      </c>
      <c r="D2155" s="8" t="s">
        <v>41491</v>
      </c>
      <c r="E2155" s="1" t="s">
        <v>41492</v>
      </c>
      <c r="F2155" s="1" t="s">
        <v>41493</v>
      </c>
      <c r="G2155" s="1" t="s">
        <v>132</v>
      </c>
      <c r="H2155" s="1" t="s">
        <v>132</v>
      </c>
      <c r="I2155" s="1" t="s">
        <v>41494</v>
      </c>
      <c r="J2155" s="1" t="s">
        <v>132</v>
      </c>
      <c r="K2155" s="1" t="s">
        <v>41495</v>
      </c>
      <c r="L2155" s="1" t="s">
        <v>132</v>
      </c>
      <c r="M2155" s="1" t="s">
        <v>41496</v>
      </c>
      <c r="N2155" s="1" t="s">
        <v>41493</v>
      </c>
      <c r="O2155" s="1" t="s">
        <v>132</v>
      </c>
      <c r="P2155" s="1" t="s">
        <v>41497</v>
      </c>
      <c r="Q2155" s="1" t="s">
        <v>132</v>
      </c>
      <c r="R2155" s="1" t="s">
        <v>132</v>
      </c>
      <c r="S2155" s="1" t="s">
        <v>41498</v>
      </c>
      <c r="T2155" s="1" t="s">
        <v>132</v>
      </c>
      <c r="U2155" s="1" t="s">
        <v>41499</v>
      </c>
      <c r="V2155" s="1" t="s">
        <v>41500</v>
      </c>
      <c r="W2155" s="1" t="s">
        <v>132</v>
      </c>
      <c r="X2155" s="1" t="s">
        <v>41494</v>
      </c>
      <c r="Y2155" s="1" t="s">
        <v>132</v>
      </c>
      <c r="Z2155" s="1" t="s">
        <v>41501</v>
      </c>
      <c r="AA2155" s="1" t="s">
        <v>41498</v>
      </c>
      <c r="AB2155" s="1" t="s">
        <v>132</v>
      </c>
      <c r="AC2155" s="1" t="s">
        <v>41502</v>
      </c>
      <c r="AD2155" s="1" t="s">
        <v>132</v>
      </c>
      <c r="AE2155" s="1" t="s">
        <v>132</v>
      </c>
      <c r="AF2155" s="1" t="s">
        <v>41503</v>
      </c>
      <c r="AG2155" s="1" t="s">
        <v>41504</v>
      </c>
      <c r="AH2155" s="1" t="s">
        <v>132</v>
      </c>
      <c r="AI2155" s="1" t="s">
        <v>132</v>
      </c>
      <c r="AJ2155" s="1" t="s">
        <v>41505</v>
      </c>
      <c r="AK2155" s="1" t="s">
        <v>132</v>
      </c>
      <c r="AL2155" s="1" t="s">
        <v>132</v>
      </c>
      <c r="AM2155" s="1" t="s">
        <v>41506</v>
      </c>
      <c r="AN2155" s="1" t="s">
        <v>41506</v>
      </c>
    </row>
    <row r="2156" ht="15.75" customHeight="1">
      <c r="A2156" s="1" t="s">
        <v>38</v>
      </c>
      <c r="B2156" s="1" t="s">
        <v>41507</v>
      </c>
      <c r="C2156" s="1" t="s">
        <v>4391</v>
      </c>
      <c r="D2156" s="8" t="s">
        <v>4392</v>
      </c>
      <c r="E2156" s="1" t="s">
        <v>41508</v>
      </c>
      <c r="F2156" s="1" t="s">
        <v>41509</v>
      </c>
      <c r="G2156" s="1" t="s">
        <v>132</v>
      </c>
      <c r="H2156" s="1" t="s">
        <v>132</v>
      </c>
      <c r="I2156" s="1" t="s">
        <v>41510</v>
      </c>
      <c r="J2156" s="1" t="s">
        <v>132</v>
      </c>
      <c r="K2156" s="1" t="s">
        <v>41511</v>
      </c>
      <c r="L2156" s="1" t="s">
        <v>132</v>
      </c>
      <c r="M2156" s="1" t="s">
        <v>41512</v>
      </c>
      <c r="N2156" s="1" t="s">
        <v>41511</v>
      </c>
      <c r="O2156" s="1" t="s">
        <v>132</v>
      </c>
      <c r="P2156" s="1" t="s">
        <v>41513</v>
      </c>
      <c r="Q2156" s="1" t="s">
        <v>41514</v>
      </c>
      <c r="R2156" s="1" t="s">
        <v>132</v>
      </c>
      <c r="S2156" s="1" t="s">
        <v>4402</v>
      </c>
      <c r="T2156" s="1" t="s">
        <v>132</v>
      </c>
      <c r="U2156" s="1" t="s">
        <v>3019</v>
      </c>
      <c r="V2156" s="1" t="s">
        <v>3020</v>
      </c>
      <c r="W2156" s="1" t="s">
        <v>132</v>
      </c>
      <c r="X2156" s="1" t="s">
        <v>41515</v>
      </c>
      <c r="Y2156" s="1" t="s">
        <v>132</v>
      </c>
      <c r="Z2156" s="1" t="s">
        <v>4407</v>
      </c>
      <c r="AA2156" s="1" t="s">
        <v>4408</v>
      </c>
      <c r="AB2156" s="1" t="s">
        <v>132</v>
      </c>
      <c r="AC2156" s="1" t="s">
        <v>41516</v>
      </c>
      <c r="AD2156" s="1" t="s">
        <v>4411</v>
      </c>
      <c r="AE2156" s="1" t="s">
        <v>132</v>
      </c>
      <c r="AF2156" s="1" t="s">
        <v>41517</v>
      </c>
      <c r="AG2156" s="1" t="s">
        <v>41518</v>
      </c>
      <c r="AH2156" s="1" t="s">
        <v>132</v>
      </c>
      <c r="AI2156" s="1" t="s">
        <v>132</v>
      </c>
      <c r="AJ2156" s="1" t="s">
        <v>30837</v>
      </c>
      <c r="AK2156" s="1" t="s">
        <v>41519</v>
      </c>
      <c r="AL2156" s="1" t="s">
        <v>132</v>
      </c>
      <c r="AM2156" s="1" t="s">
        <v>8811</v>
      </c>
      <c r="AN2156" s="1" t="s">
        <v>8811</v>
      </c>
    </row>
    <row r="2157" ht="15.75" customHeight="1">
      <c r="A2157" s="1" t="s">
        <v>127</v>
      </c>
      <c r="B2157" s="1" t="s">
        <v>41520</v>
      </c>
      <c r="C2157" s="1" t="s">
        <v>41521</v>
      </c>
      <c r="D2157" s="8" t="s">
        <v>41522</v>
      </c>
      <c r="E2157" s="1" t="s">
        <v>41523</v>
      </c>
      <c r="F2157" s="1" t="s">
        <v>132</v>
      </c>
      <c r="G2157" s="1" t="s">
        <v>41524</v>
      </c>
      <c r="H2157" s="1" t="s">
        <v>41525</v>
      </c>
      <c r="I2157" s="1" t="s">
        <v>41521</v>
      </c>
      <c r="J2157" s="1" t="s">
        <v>41526</v>
      </c>
      <c r="K2157" s="1" t="s">
        <v>41521</v>
      </c>
      <c r="L2157" s="1" t="s">
        <v>41527</v>
      </c>
      <c r="M2157" s="1" t="s">
        <v>41528</v>
      </c>
      <c r="N2157" s="1" t="s">
        <v>132</v>
      </c>
      <c r="O2157" s="1" t="s">
        <v>41529</v>
      </c>
      <c r="P2157" s="1" t="s">
        <v>41521</v>
      </c>
      <c r="Q2157" s="1" t="s">
        <v>132</v>
      </c>
      <c r="R2157" s="1" t="s">
        <v>41530</v>
      </c>
      <c r="S2157" s="1" t="s">
        <v>41531</v>
      </c>
      <c r="T2157" s="8" t="s">
        <v>41532</v>
      </c>
      <c r="U2157" s="1" t="s">
        <v>29593</v>
      </c>
      <c r="V2157" s="1" t="s">
        <v>41533</v>
      </c>
      <c r="W2157" s="1" t="s">
        <v>41530</v>
      </c>
      <c r="X2157" s="1" t="s">
        <v>41534</v>
      </c>
      <c r="Y2157" s="1" t="s">
        <v>41535</v>
      </c>
      <c r="Z2157" s="1" t="s">
        <v>24747</v>
      </c>
      <c r="AA2157" s="1" t="s">
        <v>41521</v>
      </c>
      <c r="AB2157" s="1" t="s">
        <v>132</v>
      </c>
      <c r="AC2157" s="1" t="s">
        <v>43329</v>
      </c>
      <c r="AD2157" s="1" t="s">
        <v>41537</v>
      </c>
      <c r="AE2157" s="1" t="s">
        <v>41538</v>
      </c>
      <c r="AF2157" s="1" t="s">
        <v>41539</v>
      </c>
      <c r="AG2157" s="1" t="s">
        <v>41540</v>
      </c>
      <c r="AH2157" s="1" t="s">
        <v>17268</v>
      </c>
      <c r="AI2157" s="1" t="s">
        <v>41541</v>
      </c>
      <c r="AJ2157" s="1" t="s">
        <v>132</v>
      </c>
      <c r="AK2157" s="1" t="s">
        <v>41542</v>
      </c>
      <c r="AL2157" s="1" t="s">
        <v>41543</v>
      </c>
      <c r="AM2157" s="1" t="s">
        <v>41544</v>
      </c>
      <c r="AN2157" s="1" t="s">
        <v>41544</v>
      </c>
    </row>
    <row r="2158" ht="15.75" customHeight="1">
      <c r="A2158" s="1" t="s">
        <v>127</v>
      </c>
      <c r="B2158" s="1" t="s">
        <v>41545</v>
      </c>
      <c r="C2158" s="1" t="s">
        <v>41546</v>
      </c>
      <c r="D2158" s="8" t="s">
        <v>25080</v>
      </c>
      <c r="E2158" s="1" t="s">
        <v>41547</v>
      </c>
      <c r="F2158" s="1" t="s">
        <v>132</v>
      </c>
      <c r="G2158" s="1" t="s">
        <v>41548</v>
      </c>
      <c r="H2158" s="1" t="s">
        <v>41549</v>
      </c>
      <c r="I2158" s="1" t="s">
        <v>41550</v>
      </c>
      <c r="J2158" s="1" t="s">
        <v>41551</v>
      </c>
      <c r="K2158" s="1" t="s">
        <v>41552</v>
      </c>
      <c r="L2158" s="1" t="s">
        <v>41553</v>
      </c>
      <c r="M2158" s="1" t="s">
        <v>41554</v>
      </c>
      <c r="N2158" s="1" t="s">
        <v>132</v>
      </c>
      <c r="O2158" s="1" t="s">
        <v>41555</v>
      </c>
      <c r="P2158" s="13" t="s">
        <v>21637</v>
      </c>
      <c r="Q2158" s="1" t="s">
        <v>132</v>
      </c>
      <c r="R2158" s="1" t="s">
        <v>41556</v>
      </c>
      <c r="S2158" s="1" t="s">
        <v>41552</v>
      </c>
      <c r="T2158" s="8" t="s">
        <v>41557</v>
      </c>
      <c r="U2158" s="1" t="s">
        <v>41558</v>
      </c>
      <c r="V2158" s="1" t="s">
        <v>41559</v>
      </c>
      <c r="W2158" s="1" t="s">
        <v>41556</v>
      </c>
      <c r="X2158" s="1" t="s">
        <v>41560</v>
      </c>
      <c r="Y2158" s="1" t="s">
        <v>41561</v>
      </c>
      <c r="Z2158" s="1" t="s">
        <v>21637</v>
      </c>
      <c r="AA2158" s="13" t="s">
        <v>41562</v>
      </c>
      <c r="AB2158" s="1" t="s">
        <v>132</v>
      </c>
      <c r="AC2158" s="1" t="s">
        <v>25084</v>
      </c>
      <c r="AD2158" s="1" t="s">
        <v>41548</v>
      </c>
      <c r="AE2158" s="1" t="s">
        <v>41563</v>
      </c>
      <c r="AF2158" s="13" t="s">
        <v>21637</v>
      </c>
      <c r="AG2158" s="1" t="s">
        <v>41564</v>
      </c>
      <c r="AH2158" s="1" t="s">
        <v>25086</v>
      </c>
      <c r="AI2158" s="1" t="s">
        <v>41565</v>
      </c>
      <c r="AJ2158" s="1" t="s">
        <v>132</v>
      </c>
      <c r="AK2158" s="1" t="s">
        <v>25087</v>
      </c>
      <c r="AL2158" s="1" t="s">
        <v>41566</v>
      </c>
      <c r="AM2158" s="1" t="s">
        <v>41567</v>
      </c>
      <c r="AN2158" s="1" t="s">
        <v>41567</v>
      </c>
    </row>
    <row r="2159" ht="15.75" customHeight="1">
      <c r="A2159" s="1" t="s">
        <v>4051</v>
      </c>
      <c r="B2159" s="1" t="s">
        <v>41568</v>
      </c>
      <c r="C2159" s="1" t="s">
        <v>41569</v>
      </c>
      <c r="D2159" s="8" t="s">
        <v>41570</v>
      </c>
      <c r="E2159" s="1" t="s">
        <v>41571</v>
      </c>
      <c r="F2159" s="1" t="s">
        <v>132</v>
      </c>
      <c r="G2159" s="1" t="s">
        <v>41572</v>
      </c>
      <c r="H2159" s="1" t="s">
        <v>41573</v>
      </c>
      <c r="I2159" s="1" t="s">
        <v>132</v>
      </c>
      <c r="J2159" s="1" t="s">
        <v>41574</v>
      </c>
      <c r="K2159" s="1" t="s">
        <v>41575</v>
      </c>
      <c r="L2159" s="1" t="s">
        <v>41576</v>
      </c>
      <c r="M2159" s="1" t="s">
        <v>41577</v>
      </c>
      <c r="N2159" s="1" t="s">
        <v>132</v>
      </c>
      <c r="O2159" s="1" t="s">
        <v>41578</v>
      </c>
      <c r="P2159" s="1" t="s">
        <v>41579</v>
      </c>
      <c r="Q2159" s="1" t="s">
        <v>132</v>
      </c>
      <c r="R2159" s="1" t="s">
        <v>41580</v>
      </c>
      <c r="S2159" s="1" t="s">
        <v>41581</v>
      </c>
      <c r="T2159" s="8" t="s">
        <v>41582</v>
      </c>
      <c r="U2159" s="1" t="s">
        <v>41583</v>
      </c>
      <c r="V2159" s="1" t="s">
        <v>41584</v>
      </c>
      <c r="W2159" s="1" t="s">
        <v>41585</v>
      </c>
      <c r="X2159" s="1" t="s">
        <v>41586</v>
      </c>
      <c r="Y2159" s="1" t="s">
        <v>41587</v>
      </c>
      <c r="Z2159" s="11" t="s">
        <v>41588</v>
      </c>
      <c r="AA2159" s="1" t="s">
        <v>41589</v>
      </c>
      <c r="AB2159" s="1" t="s">
        <v>132</v>
      </c>
      <c r="AC2159" s="1" t="s">
        <v>41590</v>
      </c>
      <c r="AD2159" s="1" t="s">
        <v>41591</v>
      </c>
      <c r="AE2159" s="1" t="s">
        <v>41592</v>
      </c>
      <c r="AF2159" s="1" t="s">
        <v>132</v>
      </c>
      <c r="AG2159" s="1" t="s">
        <v>41593</v>
      </c>
      <c r="AH2159" s="1" t="s">
        <v>41594</v>
      </c>
      <c r="AI2159" s="1" t="s">
        <v>41595</v>
      </c>
      <c r="AJ2159" s="1" t="s">
        <v>132</v>
      </c>
      <c r="AK2159" s="1" t="s">
        <v>41596</v>
      </c>
      <c r="AL2159" s="14" t="s">
        <v>41597</v>
      </c>
      <c r="AM2159" s="1" t="s">
        <v>132</v>
      </c>
      <c r="AN2159" s="1" t="s">
        <v>132</v>
      </c>
    </row>
    <row r="2160" ht="15.75" customHeight="1">
      <c r="A2160" s="1" t="s">
        <v>127</v>
      </c>
      <c r="B2160" s="1" t="s">
        <v>41598</v>
      </c>
      <c r="C2160" s="1" t="s">
        <v>41599</v>
      </c>
      <c r="D2160" s="8" t="s">
        <v>41600</v>
      </c>
      <c r="E2160" s="1" t="s">
        <v>41601</v>
      </c>
      <c r="F2160" s="1" t="s">
        <v>132</v>
      </c>
      <c r="G2160" s="1" t="s">
        <v>41602</v>
      </c>
      <c r="H2160" s="1" t="s">
        <v>41603</v>
      </c>
      <c r="I2160" s="1" t="s">
        <v>41604</v>
      </c>
      <c r="J2160" s="1" t="s">
        <v>41605</v>
      </c>
      <c r="K2160" s="1" t="s">
        <v>41606</v>
      </c>
      <c r="L2160" s="1" t="s">
        <v>41607</v>
      </c>
      <c r="M2160" s="1" t="s">
        <v>41608</v>
      </c>
      <c r="N2160" s="1" t="s">
        <v>132</v>
      </c>
      <c r="O2160" s="1" t="s">
        <v>41609</v>
      </c>
      <c r="P2160" s="1" t="s">
        <v>41610</v>
      </c>
      <c r="Q2160" s="1" t="s">
        <v>132</v>
      </c>
      <c r="R2160" s="1" t="s">
        <v>41611</v>
      </c>
      <c r="S2160" s="1" t="s">
        <v>41612</v>
      </c>
      <c r="T2160" s="8" t="s">
        <v>41613</v>
      </c>
      <c r="U2160" s="1" t="s">
        <v>41614</v>
      </c>
      <c r="V2160" s="1" t="s">
        <v>41615</v>
      </c>
      <c r="W2160" s="1" t="s">
        <v>41616</v>
      </c>
      <c r="X2160" s="1" t="s">
        <v>41617</v>
      </c>
      <c r="Y2160" s="1" t="s">
        <v>41618</v>
      </c>
      <c r="Z2160" s="1" t="s">
        <v>41619</v>
      </c>
      <c r="AA2160" s="1" t="s">
        <v>41620</v>
      </c>
      <c r="AB2160" s="1" t="s">
        <v>132</v>
      </c>
      <c r="AC2160" s="1" t="s">
        <v>41621</v>
      </c>
      <c r="AD2160" s="1" t="s">
        <v>41622</v>
      </c>
      <c r="AE2160" s="1" t="s">
        <v>41623</v>
      </c>
      <c r="AF2160" s="1" t="s">
        <v>41624</v>
      </c>
      <c r="AG2160" s="1" t="s">
        <v>41625</v>
      </c>
      <c r="AH2160" s="1" t="s">
        <v>41626</v>
      </c>
      <c r="AI2160" s="1" t="s">
        <v>41627</v>
      </c>
      <c r="AJ2160" s="1" t="s">
        <v>132</v>
      </c>
      <c r="AK2160" s="1" t="s">
        <v>41628</v>
      </c>
      <c r="AL2160" s="1" t="s">
        <v>41629</v>
      </c>
      <c r="AM2160" s="1" t="s">
        <v>41630</v>
      </c>
      <c r="AN2160" s="1" t="s">
        <v>41630</v>
      </c>
    </row>
    <row r="2161" ht="15.75" customHeight="1">
      <c r="A2161" s="1" t="s">
        <v>127</v>
      </c>
      <c r="B2161" s="1" t="s">
        <v>41631</v>
      </c>
      <c r="C2161" s="1" t="s">
        <v>41632</v>
      </c>
      <c r="D2161" s="8" t="s">
        <v>41633</v>
      </c>
      <c r="E2161" s="1" t="s">
        <v>41634</v>
      </c>
      <c r="F2161" s="1" t="s">
        <v>132</v>
      </c>
      <c r="G2161" s="1" t="s">
        <v>41635</v>
      </c>
      <c r="H2161" s="1" t="s">
        <v>41636</v>
      </c>
      <c r="I2161" s="1" t="s">
        <v>41637</v>
      </c>
      <c r="J2161" s="1" t="s">
        <v>41638</v>
      </c>
      <c r="K2161" s="1" t="s">
        <v>41639</v>
      </c>
      <c r="L2161" s="1" t="s">
        <v>41640</v>
      </c>
      <c r="M2161" s="1" t="s">
        <v>41641</v>
      </c>
      <c r="N2161" s="1" t="s">
        <v>132</v>
      </c>
      <c r="O2161" s="1" t="s">
        <v>41642</v>
      </c>
      <c r="P2161" s="1" t="s">
        <v>41632</v>
      </c>
      <c r="Q2161" s="1" t="s">
        <v>132</v>
      </c>
      <c r="R2161" s="1" t="s">
        <v>41643</v>
      </c>
      <c r="S2161" s="1" t="s">
        <v>41644</v>
      </c>
      <c r="T2161" s="8" t="s">
        <v>41645</v>
      </c>
      <c r="U2161" s="1" t="s">
        <v>41646</v>
      </c>
      <c r="V2161" s="1" t="s">
        <v>41647</v>
      </c>
      <c r="W2161" s="1" t="s">
        <v>41643</v>
      </c>
      <c r="X2161" s="1" t="s">
        <v>41648</v>
      </c>
      <c r="Y2161" s="1" t="s">
        <v>41636</v>
      </c>
      <c r="Z2161" s="1" t="s">
        <v>41649</v>
      </c>
      <c r="AA2161" s="1" t="s">
        <v>41650</v>
      </c>
      <c r="AB2161" s="1" t="s">
        <v>132</v>
      </c>
      <c r="AC2161" s="1" t="s">
        <v>41651</v>
      </c>
      <c r="AD2161" s="1" t="s">
        <v>41652</v>
      </c>
      <c r="AE2161" s="1" t="s">
        <v>41653</v>
      </c>
      <c r="AF2161" s="1" t="s">
        <v>41654</v>
      </c>
      <c r="AG2161" s="1" t="s">
        <v>41655</v>
      </c>
      <c r="AH2161" s="1" t="s">
        <v>41656</v>
      </c>
      <c r="AI2161" s="1" t="s">
        <v>41657</v>
      </c>
      <c r="AJ2161" s="1" t="s">
        <v>132</v>
      </c>
      <c r="AK2161" s="1" t="s">
        <v>41658</v>
      </c>
      <c r="AL2161" s="1" t="s">
        <v>41659</v>
      </c>
      <c r="AM2161" s="1" t="s">
        <v>132</v>
      </c>
      <c r="AN2161" s="1" t="s">
        <v>132</v>
      </c>
    </row>
    <row r="2162" ht="15.75" customHeight="1">
      <c r="A2162" s="1" t="s">
        <v>127</v>
      </c>
      <c r="B2162" s="1" t="s">
        <v>41660</v>
      </c>
      <c r="C2162" s="1" t="s">
        <v>41661</v>
      </c>
      <c r="D2162" s="8" t="s">
        <v>41662</v>
      </c>
      <c r="E2162" s="1" t="s">
        <v>41663</v>
      </c>
      <c r="F2162" s="1" t="s">
        <v>132</v>
      </c>
      <c r="G2162" s="1" t="s">
        <v>41661</v>
      </c>
      <c r="H2162" s="1" t="s">
        <v>41661</v>
      </c>
      <c r="I2162" s="1" t="s">
        <v>41664</v>
      </c>
      <c r="J2162" s="1" t="s">
        <v>41661</v>
      </c>
      <c r="K2162" s="1" t="s">
        <v>41665</v>
      </c>
      <c r="L2162" s="1" t="s">
        <v>41661</v>
      </c>
      <c r="M2162" s="1" t="s">
        <v>41666</v>
      </c>
      <c r="N2162" s="1" t="s">
        <v>132</v>
      </c>
      <c r="O2162" s="1" t="s">
        <v>41667</v>
      </c>
      <c r="P2162" s="1" t="s">
        <v>41668</v>
      </c>
      <c r="Q2162" s="1" t="s">
        <v>132</v>
      </c>
      <c r="R2162" s="1" t="s">
        <v>41669</v>
      </c>
      <c r="S2162" s="1" t="s">
        <v>41661</v>
      </c>
      <c r="T2162" s="8" t="s">
        <v>41670</v>
      </c>
      <c r="U2162" s="1" t="s">
        <v>21969</v>
      </c>
      <c r="V2162" s="1" t="s">
        <v>41661</v>
      </c>
      <c r="W2162" s="1" t="s">
        <v>41669</v>
      </c>
      <c r="X2162" s="1" t="s">
        <v>41671</v>
      </c>
      <c r="Y2162" s="1" t="s">
        <v>41661</v>
      </c>
      <c r="Z2162" s="1" t="s">
        <v>41672</v>
      </c>
      <c r="AA2162" s="1" t="s">
        <v>41673</v>
      </c>
      <c r="AB2162" s="1" t="s">
        <v>132</v>
      </c>
      <c r="AC2162" s="1" t="s">
        <v>41674</v>
      </c>
      <c r="AD2162" s="1" t="s">
        <v>41675</v>
      </c>
      <c r="AE2162" s="1" t="s">
        <v>41661</v>
      </c>
      <c r="AF2162" s="1" t="s">
        <v>41671</v>
      </c>
      <c r="AG2162" s="1" t="s">
        <v>41661</v>
      </c>
      <c r="AH2162" s="1" t="s">
        <v>41676</v>
      </c>
      <c r="AI2162" s="1" t="s">
        <v>41677</v>
      </c>
      <c r="AJ2162" s="1" t="s">
        <v>132</v>
      </c>
      <c r="AK2162" s="1" t="s">
        <v>41678</v>
      </c>
      <c r="AL2162" s="1" t="s">
        <v>41679</v>
      </c>
      <c r="AM2162" s="1" t="s">
        <v>41680</v>
      </c>
      <c r="AN2162" s="1" t="s">
        <v>41680</v>
      </c>
    </row>
    <row r="2163" ht="15.75" customHeight="1">
      <c r="A2163" s="1" t="s">
        <v>38</v>
      </c>
      <c r="B2163" s="1" t="s">
        <v>41681</v>
      </c>
      <c r="C2163" s="1" t="s">
        <v>41682</v>
      </c>
      <c r="D2163" s="1" t="s">
        <v>132</v>
      </c>
      <c r="E2163" s="1" t="s">
        <v>132</v>
      </c>
      <c r="F2163" s="1" t="s">
        <v>132</v>
      </c>
      <c r="G2163" s="1" t="s">
        <v>132</v>
      </c>
      <c r="H2163" s="1" t="s">
        <v>132</v>
      </c>
      <c r="I2163" s="1" t="s">
        <v>41683</v>
      </c>
      <c r="J2163" s="1" t="s">
        <v>132</v>
      </c>
      <c r="K2163" s="1" t="s">
        <v>41682</v>
      </c>
      <c r="L2163" s="1" t="s">
        <v>132</v>
      </c>
      <c r="M2163" s="1" t="s">
        <v>41682</v>
      </c>
      <c r="N2163" s="1" t="s">
        <v>132</v>
      </c>
      <c r="O2163" s="1" t="s">
        <v>132</v>
      </c>
      <c r="P2163" s="1" t="s">
        <v>41682</v>
      </c>
      <c r="Q2163" s="1" t="s">
        <v>132</v>
      </c>
      <c r="R2163" s="1" t="s">
        <v>132</v>
      </c>
      <c r="S2163" s="1" t="s">
        <v>132</v>
      </c>
      <c r="T2163" s="1" t="s">
        <v>132</v>
      </c>
      <c r="U2163" s="1" t="s">
        <v>132</v>
      </c>
      <c r="V2163" s="1" t="s">
        <v>132</v>
      </c>
      <c r="W2163" s="1" t="s">
        <v>132</v>
      </c>
      <c r="X2163" s="1" t="s">
        <v>132</v>
      </c>
      <c r="Y2163" s="1" t="s">
        <v>132</v>
      </c>
      <c r="Z2163" s="1" t="s">
        <v>132</v>
      </c>
      <c r="AA2163" s="1" t="s">
        <v>132</v>
      </c>
      <c r="AB2163" s="1" t="s">
        <v>132</v>
      </c>
      <c r="AC2163" s="1" t="s">
        <v>41684</v>
      </c>
      <c r="AD2163" s="1" t="s">
        <v>132</v>
      </c>
      <c r="AE2163" s="1" t="s">
        <v>132</v>
      </c>
      <c r="AF2163" s="1" t="s">
        <v>41683</v>
      </c>
      <c r="AG2163" s="1" t="s">
        <v>132</v>
      </c>
      <c r="AH2163" s="1" t="s">
        <v>132</v>
      </c>
      <c r="AI2163" s="1" t="s">
        <v>132</v>
      </c>
      <c r="AJ2163" s="1" t="s">
        <v>132</v>
      </c>
      <c r="AK2163" s="1" t="s">
        <v>132</v>
      </c>
      <c r="AL2163" s="1" t="s">
        <v>132</v>
      </c>
      <c r="AM2163" s="1" t="s">
        <v>132</v>
      </c>
      <c r="AN2163" s="1" t="s">
        <v>132</v>
      </c>
    </row>
    <row r="2164" ht="15.75" customHeight="1">
      <c r="A2164" s="1" t="s">
        <v>127</v>
      </c>
      <c r="B2164" s="1" t="s">
        <v>41685</v>
      </c>
      <c r="C2164" s="1" t="s">
        <v>8467</v>
      </c>
      <c r="D2164" s="8" t="s">
        <v>8468</v>
      </c>
      <c r="E2164" s="1" t="s">
        <v>8469</v>
      </c>
      <c r="F2164" s="1" t="s">
        <v>132</v>
      </c>
      <c r="G2164" s="1" t="s">
        <v>8470</v>
      </c>
      <c r="H2164" s="1" t="s">
        <v>8471</v>
      </c>
      <c r="I2164" s="1" t="s">
        <v>41686</v>
      </c>
      <c r="J2164" s="1" t="s">
        <v>8473</v>
      </c>
      <c r="K2164" s="1" t="s">
        <v>8474</v>
      </c>
      <c r="L2164" s="1" t="s">
        <v>8475</v>
      </c>
      <c r="M2164" s="1" t="s">
        <v>8476</v>
      </c>
      <c r="N2164" s="1" t="s">
        <v>132</v>
      </c>
      <c r="O2164" s="1" t="s">
        <v>8477</v>
      </c>
      <c r="P2164" s="1" t="s">
        <v>23025</v>
      </c>
      <c r="Q2164" s="1" t="s">
        <v>132</v>
      </c>
      <c r="R2164" s="1" t="s">
        <v>23026</v>
      </c>
      <c r="S2164" s="1" t="s">
        <v>8480</v>
      </c>
      <c r="T2164" s="8" t="s">
        <v>41687</v>
      </c>
      <c r="U2164" s="1" t="s">
        <v>8482</v>
      </c>
      <c r="V2164" s="1" t="s">
        <v>8483</v>
      </c>
      <c r="W2164" s="1" t="s">
        <v>8484</v>
      </c>
      <c r="X2164" s="1" t="s">
        <v>8485</v>
      </c>
      <c r="Y2164" s="1" t="s">
        <v>8471</v>
      </c>
      <c r="Z2164" s="1" t="s">
        <v>8467</v>
      </c>
      <c r="AA2164" s="1" t="s">
        <v>23033</v>
      </c>
      <c r="AB2164" s="1" t="s">
        <v>132</v>
      </c>
      <c r="AC2164" s="1" t="s">
        <v>8489</v>
      </c>
      <c r="AD2164" s="1" t="s">
        <v>8490</v>
      </c>
      <c r="AE2164" s="1" t="s">
        <v>41688</v>
      </c>
      <c r="AF2164" s="1" t="s">
        <v>8491</v>
      </c>
      <c r="AG2164" s="1" t="s">
        <v>8492</v>
      </c>
      <c r="AH2164" s="1" t="s">
        <v>8493</v>
      </c>
      <c r="AI2164" s="1" t="s">
        <v>8494</v>
      </c>
      <c r="AJ2164" s="1" t="s">
        <v>132</v>
      </c>
      <c r="AK2164" s="1" t="s">
        <v>8495</v>
      </c>
      <c r="AL2164" s="1" t="s">
        <v>8496</v>
      </c>
      <c r="AM2164" s="1" t="s">
        <v>23041</v>
      </c>
      <c r="AN2164" s="1" t="s">
        <v>23041</v>
      </c>
    </row>
    <row r="2165" ht="15.75" customHeight="1">
      <c r="A2165" s="1" t="s">
        <v>38</v>
      </c>
      <c r="B2165" s="1" t="s">
        <v>41689</v>
      </c>
      <c r="C2165" s="1" t="s">
        <v>41690</v>
      </c>
      <c r="D2165" s="8" t="s">
        <v>41691</v>
      </c>
      <c r="E2165" s="1" t="s">
        <v>41692</v>
      </c>
      <c r="F2165" s="1" t="s">
        <v>41693</v>
      </c>
      <c r="G2165" s="1" t="s">
        <v>132</v>
      </c>
      <c r="H2165" s="1" t="s">
        <v>132</v>
      </c>
      <c r="I2165" s="1" t="s">
        <v>41694</v>
      </c>
      <c r="J2165" s="1" t="s">
        <v>132</v>
      </c>
      <c r="K2165" s="1" t="s">
        <v>41695</v>
      </c>
      <c r="L2165" s="1" t="s">
        <v>132</v>
      </c>
      <c r="M2165" s="1" t="s">
        <v>26040</v>
      </c>
      <c r="N2165" s="1" t="s">
        <v>41695</v>
      </c>
      <c r="O2165" s="1" t="s">
        <v>132</v>
      </c>
      <c r="P2165" s="1" t="s">
        <v>41696</v>
      </c>
      <c r="Q2165" s="1" t="s">
        <v>41697</v>
      </c>
      <c r="R2165" s="1" t="s">
        <v>132</v>
      </c>
      <c r="S2165" s="1" t="s">
        <v>41693</v>
      </c>
      <c r="T2165" s="1" t="s">
        <v>132</v>
      </c>
      <c r="U2165" s="1" t="s">
        <v>41698</v>
      </c>
      <c r="V2165" s="1" t="s">
        <v>41699</v>
      </c>
      <c r="W2165" s="1" t="s">
        <v>132</v>
      </c>
      <c r="X2165" s="1" t="s">
        <v>41700</v>
      </c>
      <c r="Y2165" s="1" t="s">
        <v>132</v>
      </c>
      <c r="Z2165" s="1" t="s">
        <v>41701</v>
      </c>
      <c r="AA2165" s="1" t="s">
        <v>41702</v>
      </c>
      <c r="AB2165" s="1" t="s">
        <v>132</v>
      </c>
      <c r="AC2165" s="1" t="s">
        <v>41703</v>
      </c>
      <c r="AD2165" s="1" t="s">
        <v>41704</v>
      </c>
      <c r="AE2165" s="1" t="s">
        <v>132</v>
      </c>
      <c r="AF2165" s="1" t="s">
        <v>41705</v>
      </c>
      <c r="AG2165" s="1" t="s">
        <v>41706</v>
      </c>
      <c r="AH2165" s="1" t="s">
        <v>132</v>
      </c>
      <c r="AI2165" s="1" t="s">
        <v>132</v>
      </c>
      <c r="AJ2165" s="1" t="s">
        <v>41707</v>
      </c>
      <c r="AK2165" s="1" t="s">
        <v>41708</v>
      </c>
      <c r="AL2165" s="1" t="s">
        <v>132</v>
      </c>
      <c r="AM2165" s="1" t="s">
        <v>41709</v>
      </c>
      <c r="AN2165" s="1" t="s">
        <v>41709</v>
      </c>
    </row>
    <row r="2166" ht="15.75" customHeight="1">
      <c r="A2166" s="1" t="s">
        <v>38</v>
      </c>
      <c r="B2166" s="1" t="s">
        <v>41710</v>
      </c>
      <c r="C2166" s="1" t="s">
        <v>41711</v>
      </c>
      <c r="D2166" s="8" t="s">
        <v>41712</v>
      </c>
      <c r="E2166" s="1" t="s">
        <v>41713</v>
      </c>
      <c r="F2166" s="1" t="s">
        <v>41714</v>
      </c>
      <c r="G2166" s="1" t="s">
        <v>132</v>
      </c>
      <c r="H2166" s="1" t="s">
        <v>132</v>
      </c>
      <c r="I2166" s="1" t="s">
        <v>41715</v>
      </c>
      <c r="J2166" s="1" t="s">
        <v>132</v>
      </c>
      <c r="K2166" s="1" t="s">
        <v>41716</v>
      </c>
      <c r="L2166" s="1" t="s">
        <v>132</v>
      </c>
      <c r="M2166" s="1" t="s">
        <v>41717</v>
      </c>
      <c r="N2166" s="1" t="s">
        <v>41718</v>
      </c>
      <c r="O2166" s="1" t="s">
        <v>132</v>
      </c>
      <c r="P2166" s="1" t="s">
        <v>41719</v>
      </c>
      <c r="Q2166" s="1" t="s">
        <v>132</v>
      </c>
      <c r="R2166" s="1" t="s">
        <v>132</v>
      </c>
      <c r="S2166" s="1" t="s">
        <v>41720</v>
      </c>
      <c r="T2166" s="1" t="s">
        <v>132</v>
      </c>
      <c r="U2166" s="1" t="s">
        <v>41721</v>
      </c>
      <c r="V2166" s="1" t="s">
        <v>41722</v>
      </c>
      <c r="W2166" s="1" t="s">
        <v>132</v>
      </c>
      <c r="X2166" s="1" t="s">
        <v>41723</v>
      </c>
      <c r="Y2166" s="1" t="s">
        <v>132</v>
      </c>
      <c r="Z2166" s="1" t="s">
        <v>41724</v>
      </c>
      <c r="AA2166" s="1" t="s">
        <v>41725</v>
      </c>
      <c r="AB2166" s="1" t="s">
        <v>132</v>
      </c>
      <c r="AC2166" s="1" t="s">
        <v>41726</v>
      </c>
      <c r="AD2166" s="1" t="s">
        <v>132</v>
      </c>
      <c r="AE2166" s="1" t="s">
        <v>132</v>
      </c>
      <c r="AF2166" s="1" t="s">
        <v>41727</v>
      </c>
      <c r="AG2166" s="1" t="s">
        <v>41728</v>
      </c>
      <c r="AH2166" s="1" t="s">
        <v>132</v>
      </c>
      <c r="AI2166" s="1" t="s">
        <v>132</v>
      </c>
      <c r="AJ2166" s="1" t="s">
        <v>41729</v>
      </c>
      <c r="AK2166" s="1" t="s">
        <v>41730</v>
      </c>
      <c r="AL2166" s="1" t="s">
        <v>132</v>
      </c>
      <c r="AM2166" s="1" t="s">
        <v>41731</v>
      </c>
      <c r="AN2166" s="1" t="s">
        <v>41731</v>
      </c>
    </row>
    <row r="2167" ht="15.75" customHeight="1">
      <c r="A2167" s="1" t="s">
        <v>38</v>
      </c>
      <c r="B2167" s="1" t="s">
        <v>41732</v>
      </c>
      <c r="C2167" s="1" t="s">
        <v>41733</v>
      </c>
      <c r="D2167" s="8" t="s">
        <v>41734</v>
      </c>
      <c r="E2167" s="1" t="s">
        <v>41735</v>
      </c>
      <c r="F2167" s="1" t="s">
        <v>41736</v>
      </c>
      <c r="G2167" s="1" t="s">
        <v>132</v>
      </c>
      <c r="H2167" s="1" t="s">
        <v>132</v>
      </c>
      <c r="I2167" s="1" t="s">
        <v>41737</v>
      </c>
      <c r="J2167" s="1" t="s">
        <v>132</v>
      </c>
      <c r="K2167" s="1" t="s">
        <v>41738</v>
      </c>
      <c r="L2167" s="1" t="s">
        <v>132</v>
      </c>
      <c r="M2167" s="1" t="s">
        <v>41739</v>
      </c>
      <c r="N2167" s="1" t="s">
        <v>41740</v>
      </c>
      <c r="O2167" s="1" t="s">
        <v>132</v>
      </c>
      <c r="P2167" s="1" t="s">
        <v>41741</v>
      </c>
      <c r="Q2167" s="1" t="s">
        <v>132</v>
      </c>
      <c r="R2167" s="1" t="s">
        <v>132</v>
      </c>
      <c r="S2167" s="1" t="s">
        <v>41742</v>
      </c>
      <c r="T2167" s="1" t="s">
        <v>132</v>
      </c>
      <c r="U2167" s="1" t="s">
        <v>132</v>
      </c>
      <c r="V2167" s="1" t="s">
        <v>132</v>
      </c>
      <c r="W2167" s="1" t="s">
        <v>132</v>
      </c>
      <c r="X2167" s="1" t="s">
        <v>41743</v>
      </c>
      <c r="Y2167" s="1" t="s">
        <v>132</v>
      </c>
      <c r="Z2167" s="1" t="s">
        <v>41744</v>
      </c>
      <c r="AA2167" s="1" t="s">
        <v>132</v>
      </c>
      <c r="AB2167" s="1" t="s">
        <v>132</v>
      </c>
      <c r="AC2167" s="1" t="s">
        <v>41745</v>
      </c>
      <c r="AD2167" s="1" t="s">
        <v>132</v>
      </c>
      <c r="AE2167" s="1" t="s">
        <v>132</v>
      </c>
      <c r="AF2167" s="1" t="s">
        <v>132</v>
      </c>
      <c r="AG2167" s="1" t="s">
        <v>132</v>
      </c>
      <c r="AH2167" s="1" t="s">
        <v>132</v>
      </c>
      <c r="AI2167" s="1" t="s">
        <v>132</v>
      </c>
      <c r="AJ2167" s="1" t="s">
        <v>132</v>
      </c>
      <c r="AK2167" s="1" t="s">
        <v>132</v>
      </c>
      <c r="AL2167" s="1" t="s">
        <v>132</v>
      </c>
      <c r="AM2167" s="1" t="s">
        <v>132</v>
      </c>
      <c r="AN2167" s="1" t="s">
        <v>132</v>
      </c>
    </row>
    <row r="2168" ht="15.75" customHeight="1">
      <c r="A2168" s="1" t="s">
        <v>38</v>
      </c>
      <c r="B2168" s="1" t="s">
        <v>41746</v>
      </c>
      <c r="C2168" s="1" t="s">
        <v>41747</v>
      </c>
      <c r="D2168" s="1" t="s">
        <v>132</v>
      </c>
      <c r="E2168" s="1" t="s">
        <v>132</v>
      </c>
      <c r="F2168" s="1" t="s">
        <v>132</v>
      </c>
      <c r="G2168" s="1" t="s">
        <v>132</v>
      </c>
      <c r="H2168" s="1" t="s">
        <v>132</v>
      </c>
      <c r="I2168" s="1" t="s">
        <v>41748</v>
      </c>
      <c r="J2168" s="1" t="s">
        <v>132</v>
      </c>
      <c r="K2168" s="1" t="s">
        <v>41747</v>
      </c>
      <c r="L2168" s="1" t="s">
        <v>132</v>
      </c>
      <c r="M2168" s="1" t="s">
        <v>41749</v>
      </c>
      <c r="N2168" s="1" t="s">
        <v>132</v>
      </c>
      <c r="O2168" s="1" t="s">
        <v>132</v>
      </c>
      <c r="P2168" s="1" t="s">
        <v>41747</v>
      </c>
      <c r="Q2168" s="1" t="s">
        <v>132</v>
      </c>
      <c r="R2168" s="1" t="s">
        <v>132</v>
      </c>
      <c r="S2168" s="1" t="s">
        <v>132</v>
      </c>
      <c r="T2168" s="1" t="s">
        <v>132</v>
      </c>
      <c r="U2168" s="1" t="s">
        <v>132</v>
      </c>
      <c r="V2168" s="1" t="s">
        <v>132</v>
      </c>
      <c r="W2168" s="1" t="s">
        <v>132</v>
      </c>
      <c r="X2168" s="1" t="s">
        <v>132</v>
      </c>
      <c r="Y2168" s="1" t="s">
        <v>132</v>
      </c>
      <c r="Z2168" s="1" t="s">
        <v>132</v>
      </c>
      <c r="AA2168" s="1" t="s">
        <v>132</v>
      </c>
      <c r="AB2168" s="1" t="s">
        <v>132</v>
      </c>
      <c r="AC2168" s="1" t="s">
        <v>41750</v>
      </c>
      <c r="AD2168" s="1" t="s">
        <v>132</v>
      </c>
      <c r="AE2168" s="1" t="s">
        <v>132</v>
      </c>
      <c r="AF2168" s="1" t="s">
        <v>41751</v>
      </c>
      <c r="AG2168" s="1" t="s">
        <v>132</v>
      </c>
      <c r="AH2168" s="1" t="s">
        <v>132</v>
      </c>
      <c r="AI2168" s="1" t="s">
        <v>132</v>
      </c>
      <c r="AJ2168" s="1" t="s">
        <v>132</v>
      </c>
      <c r="AK2168" s="1" t="s">
        <v>132</v>
      </c>
      <c r="AL2168" s="1" t="s">
        <v>132</v>
      </c>
      <c r="AM2168" s="1" t="s">
        <v>132</v>
      </c>
      <c r="AN2168" s="1" t="s">
        <v>132</v>
      </c>
    </row>
    <row r="2169" ht="15.75" customHeight="1">
      <c r="A2169" s="1" t="s">
        <v>127</v>
      </c>
      <c r="B2169" s="1" t="s">
        <v>41752</v>
      </c>
      <c r="C2169" s="1" t="s">
        <v>41753</v>
      </c>
      <c r="D2169" s="8" t="s">
        <v>13552</v>
      </c>
      <c r="E2169" s="1" t="s">
        <v>13567</v>
      </c>
      <c r="F2169" s="1" t="s">
        <v>132</v>
      </c>
      <c r="G2169" s="1" t="s">
        <v>21239</v>
      </c>
      <c r="H2169" s="1" t="s">
        <v>21240</v>
      </c>
      <c r="I2169" s="1" t="s">
        <v>41754</v>
      </c>
      <c r="J2169" s="1" t="s">
        <v>21979</v>
      </c>
      <c r="K2169" s="1" t="s">
        <v>132</v>
      </c>
      <c r="L2169" s="1" t="s">
        <v>21242</v>
      </c>
      <c r="M2169" s="1" t="s">
        <v>41755</v>
      </c>
      <c r="N2169" s="1" t="s">
        <v>132</v>
      </c>
      <c r="O2169" s="1" t="s">
        <v>132</v>
      </c>
      <c r="P2169" s="1" t="s">
        <v>41756</v>
      </c>
      <c r="Q2169" s="1" t="s">
        <v>132</v>
      </c>
      <c r="R2169" s="1" t="s">
        <v>41757</v>
      </c>
      <c r="S2169" s="1" t="s">
        <v>41758</v>
      </c>
      <c r="T2169" s="1" t="s">
        <v>132</v>
      </c>
      <c r="U2169" s="1" t="s">
        <v>41759</v>
      </c>
      <c r="V2169" s="1" t="s">
        <v>132</v>
      </c>
      <c r="W2169" s="1" t="s">
        <v>41760</v>
      </c>
      <c r="X2169" s="1" t="s">
        <v>41753</v>
      </c>
      <c r="Y2169" s="1" t="s">
        <v>21247</v>
      </c>
      <c r="Z2169" s="11" t="s">
        <v>41761</v>
      </c>
      <c r="AA2169" s="1" t="s">
        <v>41762</v>
      </c>
      <c r="AB2169" s="1" t="s">
        <v>132</v>
      </c>
      <c r="AC2169" s="1" t="s">
        <v>41763</v>
      </c>
      <c r="AD2169" s="1" t="s">
        <v>13568</v>
      </c>
      <c r="AE2169" s="1" t="s">
        <v>21250</v>
      </c>
      <c r="AF2169" s="1" t="s">
        <v>132</v>
      </c>
      <c r="AG2169" s="11" t="s">
        <v>41764</v>
      </c>
      <c r="AH2169" s="1" t="s">
        <v>132</v>
      </c>
      <c r="AI2169" s="1" t="s">
        <v>41765</v>
      </c>
      <c r="AJ2169" s="1" t="s">
        <v>132</v>
      </c>
      <c r="AK2169" s="1" t="s">
        <v>21254</v>
      </c>
      <c r="AL2169" s="14" t="s">
        <v>41766</v>
      </c>
      <c r="AM2169" s="1" t="s">
        <v>21255</v>
      </c>
      <c r="AN2169" s="1" t="s">
        <v>21255</v>
      </c>
    </row>
    <row r="2170" ht="15.75" customHeight="1">
      <c r="A2170" s="1" t="s">
        <v>127</v>
      </c>
      <c r="B2170" s="1" t="s">
        <v>41767</v>
      </c>
      <c r="C2170" s="1" t="s">
        <v>41768</v>
      </c>
      <c r="D2170" s="8" t="s">
        <v>41769</v>
      </c>
      <c r="E2170" s="1" t="s">
        <v>41770</v>
      </c>
      <c r="F2170" s="1" t="s">
        <v>132</v>
      </c>
      <c r="G2170" s="1" t="s">
        <v>41771</v>
      </c>
      <c r="H2170" s="1" t="s">
        <v>41772</v>
      </c>
      <c r="I2170" s="1" t="s">
        <v>41773</v>
      </c>
      <c r="J2170" s="1" t="s">
        <v>41774</v>
      </c>
      <c r="K2170" s="1" t="s">
        <v>41768</v>
      </c>
      <c r="L2170" s="1" t="s">
        <v>41775</v>
      </c>
      <c r="M2170" s="1" t="s">
        <v>41776</v>
      </c>
      <c r="N2170" s="1" t="s">
        <v>132</v>
      </c>
      <c r="O2170" s="1" t="s">
        <v>41777</v>
      </c>
      <c r="P2170" s="1" t="s">
        <v>41778</v>
      </c>
      <c r="Q2170" s="1" t="s">
        <v>132</v>
      </c>
      <c r="R2170" s="1" t="s">
        <v>41779</v>
      </c>
      <c r="S2170" s="1" t="s">
        <v>41780</v>
      </c>
      <c r="T2170" s="8" t="s">
        <v>41781</v>
      </c>
      <c r="U2170" s="1" t="s">
        <v>41768</v>
      </c>
      <c r="V2170" s="1" t="s">
        <v>41782</v>
      </c>
      <c r="W2170" s="1" t="s">
        <v>41783</v>
      </c>
      <c r="X2170" s="1" t="s">
        <v>41784</v>
      </c>
      <c r="Y2170" s="1" t="s">
        <v>41785</v>
      </c>
      <c r="Z2170" s="1" t="s">
        <v>41786</v>
      </c>
      <c r="AA2170" s="1" t="s">
        <v>41787</v>
      </c>
      <c r="AB2170" s="1" t="s">
        <v>132</v>
      </c>
      <c r="AC2170" s="1" t="s">
        <v>41788</v>
      </c>
      <c r="AD2170" s="1" t="s">
        <v>41789</v>
      </c>
      <c r="AE2170" s="1" t="s">
        <v>41790</v>
      </c>
      <c r="AF2170" s="1" t="s">
        <v>41791</v>
      </c>
      <c r="AG2170" s="1" t="s">
        <v>41792</v>
      </c>
      <c r="AH2170" s="1" t="s">
        <v>41793</v>
      </c>
      <c r="AI2170" s="1" t="s">
        <v>41794</v>
      </c>
      <c r="AJ2170" s="1" t="s">
        <v>132</v>
      </c>
      <c r="AK2170" s="1" t="s">
        <v>41795</v>
      </c>
      <c r="AL2170" s="1" t="s">
        <v>41796</v>
      </c>
      <c r="AM2170" s="1" t="s">
        <v>41797</v>
      </c>
      <c r="AN2170" s="1" t="s">
        <v>41797</v>
      </c>
    </row>
    <row r="2171" ht="15.75" customHeight="1">
      <c r="A2171" s="1" t="s">
        <v>38</v>
      </c>
      <c r="B2171" s="1" t="s">
        <v>41798</v>
      </c>
      <c r="C2171" s="1" t="s">
        <v>41799</v>
      </c>
      <c r="D2171" s="1" t="s">
        <v>132</v>
      </c>
      <c r="E2171" s="1" t="s">
        <v>132</v>
      </c>
      <c r="F2171" s="1" t="s">
        <v>132</v>
      </c>
      <c r="G2171" s="1" t="s">
        <v>132</v>
      </c>
      <c r="H2171" s="1" t="s">
        <v>132</v>
      </c>
      <c r="I2171" s="1" t="s">
        <v>41800</v>
      </c>
      <c r="J2171" s="1" t="s">
        <v>132</v>
      </c>
      <c r="K2171" s="1" t="s">
        <v>41799</v>
      </c>
      <c r="L2171" s="1" t="s">
        <v>132</v>
      </c>
      <c r="M2171" s="1" t="s">
        <v>41801</v>
      </c>
      <c r="N2171" s="1" t="s">
        <v>132</v>
      </c>
      <c r="O2171" s="1" t="s">
        <v>132</v>
      </c>
      <c r="P2171" s="1" t="s">
        <v>41799</v>
      </c>
      <c r="Q2171" s="1" t="s">
        <v>132</v>
      </c>
      <c r="R2171" s="1" t="s">
        <v>132</v>
      </c>
      <c r="S2171" s="1" t="s">
        <v>132</v>
      </c>
      <c r="T2171" s="1" t="s">
        <v>132</v>
      </c>
      <c r="U2171" s="1" t="s">
        <v>132</v>
      </c>
      <c r="V2171" s="1" t="s">
        <v>132</v>
      </c>
      <c r="W2171" s="1" t="s">
        <v>132</v>
      </c>
      <c r="X2171" s="1" t="s">
        <v>132</v>
      </c>
      <c r="Y2171" s="1" t="s">
        <v>132</v>
      </c>
      <c r="Z2171" s="1" t="s">
        <v>132</v>
      </c>
      <c r="AA2171" s="1" t="s">
        <v>132</v>
      </c>
      <c r="AB2171" s="1" t="s">
        <v>132</v>
      </c>
      <c r="AC2171" s="1" t="s">
        <v>41802</v>
      </c>
      <c r="AD2171" s="1" t="s">
        <v>132</v>
      </c>
      <c r="AE2171" s="1" t="s">
        <v>132</v>
      </c>
      <c r="AF2171" s="1" t="s">
        <v>41803</v>
      </c>
      <c r="AG2171" s="1" t="s">
        <v>132</v>
      </c>
      <c r="AH2171" s="1" t="s">
        <v>132</v>
      </c>
      <c r="AI2171" s="1" t="s">
        <v>132</v>
      </c>
      <c r="AJ2171" s="1" t="s">
        <v>132</v>
      </c>
      <c r="AK2171" s="1" t="s">
        <v>132</v>
      </c>
      <c r="AL2171" s="1" t="s">
        <v>132</v>
      </c>
      <c r="AM2171" s="1" t="s">
        <v>132</v>
      </c>
      <c r="AN2171" s="1" t="s">
        <v>132</v>
      </c>
    </row>
    <row r="2172" ht="15.75" customHeight="1">
      <c r="A2172" s="1" t="s">
        <v>127</v>
      </c>
      <c r="B2172" s="1" t="s">
        <v>41804</v>
      </c>
      <c r="C2172" s="1" t="s">
        <v>22800</v>
      </c>
      <c r="D2172" s="8" t="s">
        <v>22801</v>
      </c>
      <c r="E2172" s="1" t="s">
        <v>22802</v>
      </c>
      <c r="F2172" s="1" t="s">
        <v>132</v>
      </c>
      <c r="G2172" s="1" t="s">
        <v>22803</v>
      </c>
      <c r="H2172" s="1" t="s">
        <v>22804</v>
      </c>
      <c r="I2172" s="1" t="s">
        <v>41805</v>
      </c>
      <c r="J2172" s="1" t="s">
        <v>22806</v>
      </c>
      <c r="K2172" s="1" t="s">
        <v>41806</v>
      </c>
      <c r="L2172" s="1" t="s">
        <v>22808</v>
      </c>
      <c r="M2172" s="1" t="s">
        <v>22809</v>
      </c>
      <c r="N2172" s="1" t="s">
        <v>132</v>
      </c>
      <c r="O2172" s="1" t="s">
        <v>22810</v>
      </c>
      <c r="P2172" s="1" t="s">
        <v>6686</v>
      </c>
      <c r="Q2172" s="1" t="s">
        <v>132</v>
      </c>
      <c r="R2172" s="1" t="s">
        <v>22812</v>
      </c>
      <c r="S2172" s="1" t="s">
        <v>22813</v>
      </c>
      <c r="T2172" s="8" t="s">
        <v>22814</v>
      </c>
      <c r="U2172" s="1" t="s">
        <v>6690</v>
      </c>
      <c r="V2172" s="1" t="s">
        <v>22815</v>
      </c>
      <c r="W2172" s="1" t="s">
        <v>22816</v>
      </c>
      <c r="X2172" s="1" t="s">
        <v>41807</v>
      </c>
      <c r="Y2172" s="1" t="s">
        <v>22818</v>
      </c>
      <c r="Z2172" s="1" t="s">
        <v>22819</v>
      </c>
      <c r="AA2172" s="1" t="s">
        <v>22807</v>
      </c>
      <c r="AB2172" s="1" t="s">
        <v>132</v>
      </c>
      <c r="AC2172" s="1" t="s">
        <v>41808</v>
      </c>
      <c r="AD2172" s="1" t="s">
        <v>22822</v>
      </c>
      <c r="AE2172" s="1" t="s">
        <v>22823</v>
      </c>
      <c r="AF2172" s="1" t="s">
        <v>22824</v>
      </c>
      <c r="AG2172" s="1" t="s">
        <v>22825</v>
      </c>
      <c r="AH2172" s="1" t="s">
        <v>22826</v>
      </c>
      <c r="AI2172" s="1" t="s">
        <v>22827</v>
      </c>
      <c r="AJ2172" s="1" t="s">
        <v>132</v>
      </c>
      <c r="AK2172" s="1" t="s">
        <v>22828</v>
      </c>
      <c r="AL2172" s="1" t="s">
        <v>6690</v>
      </c>
      <c r="AM2172" s="1" t="s">
        <v>41809</v>
      </c>
      <c r="AN2172" s="1" t="s">
        <v>41809</v>
      </c>
    </row>
    <row r="2173" ht="15.75" customHeight="1">
      <c r="A2173" s="1" t="s">
        <v>38</v>
      </c>
      <c r="B2173" s="1" t="s">
        <v>41810</v>
      </c>
      <c r="C2173" s="1" t="s">
        <v>41811</v>
      </c>
      <c r="D2173" s="8" t="s">
        <v>41812</v>
      </c>
      <c r="E2173" s="1" t="s">
        <v>41813</v>
      </c>
      <c r="F2173" s="1" t="s">
        <v>41814</v>
      </c>
      <c r="G2173" s="1" t="s">
        <v>132</v>
      </c>
      <c r="H2173" s="1" t="s">
        <v>132</v>
      </c>
      <c r="I2173" s="1" t="s">
        <v>41815</v>
      </c>
      <c r="J2173" s="1" t="s">
        <v>132</v>
      </c>
      <c r="K2173" s="1" t="s">
        <v>41816</v>
      </c>
      <c r="L2173" s="1" t="s">
        <v>132</v>
      </c>
      <c r="M2173" s="1" t="s">
        <v>41817</v>
      </c>
      <c r="N2173" s="1" t="s">
        <v>41818</v>
      </c>
      <c r="O2173" s="1" t="s">
        <v>132</v>
      </c>
      <c r="P2173" s="1" t="s">
        <v>41819</v>
      </c>
      <c r="Q2173" s="1" t="s">
        <v>132</v>
      </c>
      <c r="R2173" s="1" t="s">
        <v>132</v>
      </c>
      <c r="S2173" s="1" t="s">
        <v>41820</v>
      </c>
      <c r="T2173" s="1" t="s">
        <v>132</v>
      </c>
      <c r="U2173" s="1" t="s">
        <v>41821</v>
      </c>
      <c r="V2173" s="1" t="s">
        <v>132</v>
      </c>
      <c r="W2173" s="1" t="s">
        <v>132</v>
      </c>
      <c r="X2173" s="1" t="s">
        <v>41822</v>
      </c>
      <c r="Y2173" s="1" t="s">
        <v>132</v>
      </c>
      <c r="Z2173" s="1" t="s">
        <v>41823</v>
      </c>
      <c r="AA2173" s="1" t="s">
        <v>132</v>
      </c>
      <c r="AB2173" s="1" t="s">
        <v>132</v>
      </c>
      <c r="AC2173" s="1" t="s">
        <v>41824</v>
      </c>
      <c r="AD2173" s="1" t="s">
        <v>132</v>
      </c>
      <c r="AE2173" s="1" t="s">
        <v>132</v>
      </c>
      <c r="AF2173" s="1" t="s">
        <v>41825</v>
      </c>
      <c r="AG2173" s="1" t="s">
        <v>41826</v>
      </c>
      <c r="AH2173" s="1" t="s">
        <v>132</v>
      </c>
      <c r="AI2173" s="1" t="s">
        <v>132</v>
      </c>
      <c r="AJ2173" s="1" t="s">
        <v>41827</v>
      </c>
      <c r="AK2173" s="1" t="s">
        <v>132</v>
      </c>
      <c r="AL2173" s="1" t="s">
        <v>132</v>
      </c>
      <c r="AM2173" s="1" t="s">
        <v>41828</v>
      </c>
      <c r="AN2173" s="1" t="s">
        <v>41828</v>
      </c>
    </row>
    <row r="2174" ht="15.75" customHeight="1">
      <c r="A2174" s="1" t="s">
        <v>127</v>
      </c>
      <c r="B2174" s="1" t="s">
        <v>41829</v>
      </c>
      <c r="C2174" s="1" t="s">
        <v>41830</v>
      </c>
      <c r="D2174" s="8" t="s">
        <v>41831</v>
      </c>
      <c r="E2174" s="1" t="s">
        <v>41832</v>
      </c>
      <c r="F2174" s="1" t="s">
        <v>132</v>
      </c>
      <c r="G2174" s="1" t="s">
        <v>41833</v>
      </c>
      <c r="H2174" s="1" t="s">
        <v>41834</v>
      </c>
      <c r="I2174" s="1" t="s">
        <v>41835</v>
      </c>
      <c r="J2174" s="1" t="s">
        <v>41836</v>
      </c>
      <c r="K2174" s="1" t="s">
        <v>41837</v>
      </c>
      <c r="L2174" s="1" t="s">
        <v>41838</v>
      </c>
      <c r="M2174" s="1" t="s">
        <v>41839</v>
      </c>
      <c r="N2174" s="1" t="s">
        <v>132</v>
      </c>
      <c r="O2174" s="1" t="s">
        <v>41840</v>
      </c>
      <c r="P2174" s="1" t="s">
        <v>41841</v>
      </c>
      <c r="Q2174" s="1" t="s">
        <v>132</v>
      </c>
      <c r="R2174" s="1" t="s">
        <v>41842</v>
      </c>
      <c r="S2174" s="1" t="s">
        <v>41843</v>
      </c>
      <c r="T2174" s="8" t="s">
        <v>41844</v>
      </c>
      <c r="U2174" s="1" t="s">
        <v>41845</v>
      </c>
      <c r="V2174" s="1" t="s">
        <v>41846</v>
      </c>
      <c r="W2174" s="1" t="s">
        <v>41847</v>
      </c>
      <c r="X2174" s="1" t="s">
        <v>41848</v>
      </c>
      <c r="Y2174" s="1" t="s">
        <v>41849</v>
      </c>
      <c r="Z2174" s="1" t="s">
        <v>41850</v>
      </c>
      <c r="AA2174" s="1" t="s">
        <v>41851</v>
      </c>
      <c r="AB2174" s="1" t="s">
        <v>132</v>
      </c>
      <c r="AC2174" s="1" t="s">
        <v>41852</v>
      </c>
      <c r="AD2174" s="1" t="s">
        <v>22339</v>
      </c>
      <c r="AE2174" s="1" t="s">
        <v>41853</v>
      </c>
      <c r="AF2174" s="1" t="s">
        <v>41854</v>
      </c>
      <c r="AG2174" s="1" t="s">
        <v>41855</v>
      </c>
      <c r="AH2174" s="1" t="s">
        <v>41856</v>
      </c>
      <c r="AI2174" s="1" t="s">
        <v>41857</v>
      </c>
      <c r="AJ2174" s="1" t="s">
        <v>132</v>
      </c>
      <c r="AK2174" s="1" t="s">
        <v>41858</v>
      </c>
      <c r="AL2174" s="1" t="s">
        <v>41859</v>
      </c>
      <c r="AM2174" s="1" t="s">
        <v>132</v>
      </c>
      <c r="AN2174" s="1" t="s">
        <v>132</v>
      </c>
    </row>
    <row r="2175" ht="15.75" customHeight="1">
      <c r="A2175" s="1" t="s">
        <v>127</v>
      </c>
      <c r="B2175" s="1" t="s">
        <v>41860</v>
      </c>
      <c r="C2175" s="1" t="s">
        <v>41861</v>
      </c>
      <c r="D2175" s="8" t="s">
        <v>41862</v>
      </c>
      <c r="E2175" s="1" t="s">
        <v>41863</v>
      </c>
      <c r="F2175" s="1" t="s">
        <v>132</v>
      </c>
      <c r="G2175" s="1" t="s">
        <v>41864</v>
      </c>
      <c r="H2175" s="1" t="s">
        <v>41865</v>
      </c>
      <c r="I2175" s="1" t="s">
        <v>41866</v>
      </c>
      <c r="J2175" s="1" t="s">
        <v>41867</v>
      </c>
      <c r="K2175" s="1" t="s">
        <v>41868</v>
      </c>
      <c r="L2175" s="1" t="s">
        <v>41869</v>
      </c>
      <c r="M2175" s="1" t="s">
        <v>41870</v>
      </c>
      <c r="N2175" s="1" t="s">
        <v>132</v>
      </c>
      <c r="O2175" s="1" t="s">
        <v>41871</v>
      </c>
      <c r="P2175" s="1" t="s">
        <v>41872</v>
      </c>
      <c r="Q2175" s="1" t="s">
        <v>132</v>
      </c>
      <c r="R2175" s="1" t="s">
        <v>41873</v>
      </c>
      <c r="S2175" s="1" t="s">
        <v>41874</v>
      </c>
      <c r="T2175" s="8" t="s">
        <v>41875</v>
      </c>
      <c r="U2175" s="1" t="s">
        <v>41876</v>
      </c>
      <c r="V2175" s="1" t="s">
        <v>41877</v>
      </c>
      <c r="W2175" s="1" t="s">
        <v>41878</v>
      </c>
      <c r="X2175" s="1" t="s">
        <v>41879</v>
      </c>
      <c r="Y2175" s="1" t="s">
        <v>41880</v>
      </c>
      <c r="Z2175" s="1" t="s">
        <v>41881</v>
      </c>
      <c r="AA2175" s="1" t="s">
        <v>41882</v>
      </c>
      <c r="AB2175" s="1" t="s">
        <v>132</v>
      </c>
      <c r="AC2175" s="1" t="s">
        <v>41883</v>
      </c>
      <c r="AD2175" s="1" t="s">
        <v>41884</v>
      </c>
      <c r="AE2175" s="1" t="s">
        <v>41885</v>
      </c>
      <c r="AF2175" s="1" t="s">
        <v>41886</v>
      </c>
      <c r="AG2175" s="1" t="s">
        <v>41887</v>
      </c>
      <c r="AH2175" s="1" t="s">
        <v>41888</v>
      </c>
      <c r="AI2175" s="1" t="s">
        <v>41889</v>
      </c>
      <c r="AJ2175" s="1" t="s">
        <v>132</v>
      </c>
      <c r="AK2175" s="1" t="s">
        <v>41890</v>
      </c>
      <c r="AL2175" s="1" t="s">
        <v>41891</v>
      </c>
      <c r="AM2175" s="1" t="s">
        <v>132</v>
      </c>
      <c r="AN2175" s="1" t="s">
        <v>132</v>
      </c>
    </row>
    <row r="2176" ht="15.75" customHeight="1">
      <c r="A2176" s="1" t="s">
        <v>127</v>
      </c>
      <c r="B2176" s="1" t="s">
        <v>41892</v>
      </c>
      <c r="C2176" s="1" t="s">
        <v>3004</v>
      </c>
      <c r="D2176" s="8" t="s">
        <v>3005</v>
      </c>
      <c r="E2176" s="1" t="s">
        <v>3006</v>
      </c>
      <c r="F2176" s="1" t="s">
        <v>132</v>
      </c>
      <c r="G2176" s="1" t="s">
        <v>3007</v>
      </c>
      <c r="H2176" s="1" t="s">
        <v>3008</v>
      </c>
      <c r="I2176" s="1" t="s">
        <v>3009</v>
      </c>
      <c r="J2176" s="1" t="s">
        <v>3010</v>
      </c>
      <c r="K2176" s="1" t="s">
        <v>3011</v>
      </c>
      <c r="L2176" s="1" t="s">
        <v>3012</v>
      </c>
      <c r="M2176" s="1" t="s">
        <v>3013</v>
      </c>
      <c r="N2176" s="1" t="s">
        <v>132</v>
      </c>
      <c r="O2176" s="1" t="s">
        <v>3014</v>
      </c>
      <c r="P2176" s="1" t="s">
        <v>3015</v>
      </c>
      <c r="Q2176" s="1" t="s">
        <v>132</v>
      </c>
      <c r="R2176" s="1" t="s">
        <v>3016</v>
      </c>
      <c r="S2176" s="1" t="s">
        <v>3017</v>
      </c>
      <c r="T2176" s="8" t="s">
        <v>3018</v>
      </c>
      <c r="U2176" s="1" t="s">
        <v>3019</v>
      </c>
      <c r="V2176" s="1" t="s">
        <v>3020</v>
      </c>
      <c r="W2176" s="1" t="s">
        <v>3021</v>
      </c>
      <c r="X2176" s="1" t="s">
        <v>3022</v>
      </c>
      <c r="Y2176" s="1" t="s">
        <v>3023</v>
      </c>
      <c r="Z2176" s="1" t="s">
        <v>3024</v>
      </c>
      <c r="AA2176" s="1" t="s">
        <v>3025</v>
      </c>
      <c r="AB2176" s="1" t="s">
        <v>132</v>
      </c>
      <c r="AC2176" s="1" t="s">
        <v>3006</v>
      </c>
      <c r="AD2176" s="1" t="s">
        <v>3027</v>
      </c>
      <c r="AE2176" s="1" t="s">
        <v>3028</v>
      </c>
      <c r="AF2176" s="1" t="s">
        <v>41893</v>
      </c>
      <c r="AG2176" s="1" t="s">
        <v>3030</v>
      </c>
      <c r="AH2176" s="1" t="s">
        <v>3031</v>
      </c>
      <c r="AI2176" s="1" t="s">
        <v>3032</v>
      </c>
      <c r="AJ2176" s="1" t="s">
        <v>132</v>
      </c>
      <c r="AK2176" s="1" t="s">
        <v>3033</v>
      </c>
      <c r="AL2176" s="1" t="s">
        <v>3034</v>
      </c>
      <c r="AM2176" s="1" t="s">
        <v>3035</v>
      </c>
      <c r="AN2176" s="1" t="s">
        <v>3035</v>
      </c>
    </row>
    <row r="2177" ht="15.75" customHeight="1">
      <c r="A2177" s="1" t="s">
        <v>127</v>
      </c>
      <c r="B2177" s="1" t="s">
        <v>41894</v>
      </c>
      <c r="C2177" s="1" t="s">
        <v>13067</v>
      </c>
      <c r="D2177" s="8" t="s">
        <v>13068</v>
      </c>
      <c r="E2177" s="1" t="s">
        <v>13069</v>
      </c>
      <c r="F2177" s="1" t="s">
        <v>132</v>
      </c>
      <c r="G2177" s="1" t="s">
        <v>39711</v>
      </c>
      <c r="H2177" s="1" t="s">
        <v>39712</v>
      </c>
      <c r="I2177" s="1" t="s">
        <v>39713</v>
      </c>
      <c r="J2177" s="1" t="s">
        <v>39714</v>
      </c>
      <c r="K2177" s="1" t="s">
        <v>13072</v>
      </c>
      <c r="L2177" s="1" t="s">
        <v>39715</v>
      </c>
      <c r="M2177" s="1" t="s">
        <v>39716</v>
      </c>
      <c r="N2177" s="1" t="s">
        <v>132</v>
      </c>
      <c r="O2177" s="1" t="s">
        <v>39717</v>
      </c>
      <c r="P2177" s="1" t="s">
        <v>13074</v>
      </c>
      <c r="Q2177" s="1" t="s">
        <v>132</v>
      </c>
      <c r="R2177" s="1" t="s">
        <v>13075</v>
      </c>
      <c r="S2177" s="1" t="s">
        <v>13070</v>
      </c>
      <c r="T2177" s="8" t="s">
        <v>39718</v>
      </c>
      <c r="U2177" s="1" t="s">
        <v>13076</v>
      </c>
      <c r="V2177" s="1" t="s">
        <v>13077</v>
      </c>
      <c r="W2177" s="1" t="s">
        <v>13075</v>
      </c>
      <c r="X2177" s="1" t="s">
        <v>39719</v>
      </c>
      <c r="Y2177" s="1" t="s">
        <v>39720</v>
      </c>
      <c r="Z2177" s="1" t="s">
        <v>13079</v>
      </c>
      <c r="AA2177" s="1" t="s">
        <v>13072</v>
      </c>
      <c r="AB2177" s="1" t="s">
        <v>132</v>
      </c>
      <c r="AC2177" s="1" t="s">
        <v>13081</v>
      </c>
      <c r="AD2177" s="1" t="s">
        <v>39721</v>
      </c>
      <c r="AE2177" s="1" t="s">
        <v>39722</v>
      </c>
      <c r="AF2177" s="1" t="s">
        <v>39723</v>
      </c>
      <c r="AG2177" s="1" t="s">
        <v>13084</v>
      </c>
      <c r="AH2177" s="1" t="s">
        <v>39724</v>
      </c>
      <c r="AI2177" s="1" t="s">
        <v>39725</v>
      </c>
      <c r="AJ2177" s="1" t="s">
        <v>132</v>
      </c>
      <c r="AK2177" s="1" t="s">
        <v>13086</v>
      </c>
      <c r="AL2177" s="1" t="s">
        <v>39726</v>
      </c>
      <c r="AM2177" s="1" t="s">
        <v>39727</v>
      </c>
      <c r="AN2177" s="1" t="s">
        <v>39727</v>
      </c>
    </row>
    <row r="2178" ht="15.75" customHeight="1">
      <c r="A2178" s="1" t="s">
        <v>38</v>
      </c>
      <c r="B2178" s="1" t="s">
        <v>41895</v>
      </c>
      <c r="C2178" s="1" t="s">
        <v>18922</v>
      </c>
      <c r="D2178" s="1" t="s">
        <v>132</v>
      </c>
      <c r="E2178" s="1" t="s">
        <v>18924</v>
      </c>
      <c r="F2178" s="1" t="s">
        <v>41896</v>
      </c>
      <c r="G2178" s="1" t="s">
        <v>132</v>
      </c>
      <c r="H2178" s="1" t="s">
        <v>132</v>
      </c>
      <c r="I2178" s="1" t="s">
        <v>18927</v>
      </c>
      <c r="J2178" s="1" t="s">
        <v>132</v>
      </c>
      <c r="K2178" s="1" t="s">
        <v>18929</v>
      </c>
      <c r="L2178" s="1" t="s">
        <v>132</v>
      </c>
      <c r="M2178" s="1" t="s">
        <v>41897</v>
      </c>
      <c r="N2178" s="1" t="s">
        <v>41898</v>
      </c>
      <c r="O2178" s="1" t="s">
        <v>132</v>
      </c>
      <c r="P2178" s="1" t="s">
        <v>16536</v>
      </c>
      <c r="Q2178" s="1" t="s">
        <v>132</v>
      </c>
      <c r="R2178" s="1" t="s">
        <v>132</v>
      </c>
      <c r="S2178" s="1" t="s">
        <v>18934</v>
      </c>
      <c r="T2178" s="1" t="s">
        <v>132</v>
      </c>
      <c r="U2178" s="1" t="s">
        <v>18936</v>
      </c>
      <c r="V2178" s="1" t="s">
        <v>132</v>
      </c>
      <c r="W2178" s="1" t="s">
        <v>132</v>
      </c>
      <c r="X2178" s="1" t="s">
        <v>18927</v>
      </c>
      <c r="Y2178" s="1" t="s">
        <v>132</v>
      </c>
      <c r="Z2178" s="1" t="s">
        <v>41899</v>
      </c>
      <c r="AA2178" s="1" t="s">
        <v>132</v>
      </c>
      <c r="AB2178" s="1" t="s">
        <v>132</v>
      </c>
      <c r="AC2178" s="1" t="s">
        <v>18942</v>
      </c>
      <c r="AD2178" s="1" t="s">
        <v>132</v>
      </c>
      <c r="AE2178" s="1" t="s">
        <v>132</v>
      </c>
      <c r="AF2178" s="1" t="s">
        <v>132</v>
      </c>
      <c r="AG2178" s="1" t="s">
        <v>132</v>
      </c>
      <c r="AH2178" s="1" t="s">
        <v>132</v>
      </c>
      <c r="AI2178" s="1" t="s">
        <v>132</v>
      </c>
      <c r="AJ2178" s="1" t="s">
        <v>132</v>
      </c>
      <c r="AK2178" s="1" t="s">
        <v>132</v>
      </c>
      <c r="AL2178" s="1" t="s">
        <v>132</v>
      </c>
      <c r="AM2178" s="1" t="s">
        <v>18936</v>
      </c>
      <c r="AN2178" s="1" t="s">
        <v>18936</v>
      </c>
    </row>
    <row r="2179" ht="15.75" customHeight="1">
      <c r="A2179" s="1" t="s">
        <v>127</v>
      </c>
      <c r="B2179" s="1" t="s">
        <v>41900</v>
      </c>
      <c r="C2179" s="1" t="s">
        <v>41901</v>
      </c>
      <c r="D2179" s="8" t="s">
        <v>41902</v>
      </c>
      <c r="E2179" s="1" t="s">
        <v>41903</v>
      </c>
      <c r="F2179" s="1" t="s">
        <v>132</v>
      </c>
      <c r="G2179" s="1" t="s">
        <v>41904</v>
      </c>
      <c r="H2179" s="1" t="s">
        <v>41905</v>
      </c>
      <c r="I2179" s="1" t="s">
        <v>41906</v>
      </c>
      <c r="J2179" s="1" t="s">
        <v>41907</v>
      </c>
      <c r="K2179" s="1" t="s">
        <v>41908</v>
      </c>
      <c r="L2179" s="1" t="s">
        <v>41909</v>
      </c>
      <c r="M2179" s="1" t="s">
        <v>41910</v>
      </c>
      <c r="N2179" s="1" t="s">
        <v>132</v>
      </c>
      <c r="O2179" s="1" t="s">
        <v>41911</v>
      </c>
      <c r="P2179" s="1" t="s">
        <v>41912</v>
      </c>
      <c r="Q2179" s="1" t="s">
        <v>132</v>
      </c>
      <c r="R2179" s="1" t="s">
        <v>41913</v>
      </c>
      <c r="S2179" s="1" t="s">
        <v>41914</v>
      </c>
      <c r="T2179" s="8" t="s">
        <v>41915</v>
      </c>
      <c r="U2179" s="1" t="s">
        <v>41916</v>
      </c>
      <c r="V2179" s="1" t="s">
        <v>41917</v>
      </c>
      <c r="W2179" s="1" t="s">
        <v>41918</v>
      </c>
      <c r="X2179" s="1" t="s">
        <v>41919</v>
      </c>
      <c r="Y2179" s="1" t="s">
        <v>41905</v>
      </c>
      <c r="Z2179" s="1" t="s">
        <v>41920</v>
      </c>
      <c r="AA2179" s="1" t="s">
        <v>41921</v>
      </c>
      <c r="AB2179" s="1" t="s">
        <v>132</v>
      </c>
      <c r="AC2179" s="1" t="s">
        <v>41922</v>
      </c>
      <c r="AD2179" s="1" t="s">
        <v>41923</v>
      </c>
      <c r="AE2179" s="1" t="s">
        <v>41924</v>
      </c>
      <c r="AF2179" s="1" t="s">
        <v>41925</v>
      </c>
      <c r="AG2179" s="1" t="s">
        <v>41926</v>
      </c>
      <c r="AH2179" s="1" t="s">
        <v>41927</v>
      </c>
      <c r="AI2179" s="1" t="s">
        <v>41928</v>
      </c>
      <c r="AJ2179" s="1" t="s">
        <v>132</v>
      </c>
      <c r="AK2179" s="1" t="s">
        <v>41929</v>
      </c>
      <c r="AL2179" s="1" t="s">
        <v>41930</v>
      </c>
      <c r="AM2179" s="1" t="s">
        <v>41931</v>
      </c>
      <c r="AN2179" s="1" t="s">
        <v>41931</v>
      </c>
    </row>
    <row r="2180" ht="15.75" customHeight="1">
      <c r="A2180" s="1" t="s">
        <v>127</v>
      </c>
      <c r="B2180" s="1" t="s">
        <v>41932</v>
      </c>
      <c r="C2180" s="1" t="s">
        <v>41933</v>
      </c>
      <c r="D2180" s="8" t="s">
        <v>41934</v>
      </c>
      <c r="E2180" s="1" t="s">
        <v>41935</v>
      </c>
      <c r="F2180" s="1" t="s">
        <v>132</v>
      </c>
      <c r="G2180" s="1" t="s">
        <v>41936</v>
      </c>
      <c r="H2180" s="1" t="s">
        <v>41937</v>
      </c>
      <c r="I2180" s="1" t="s">
        <v>41938</v>
      </c>
      <c r="J2180" s="1" t="s">
        <v>41939</v>
      </c>
      <c r="K2180" s="1" t="s">
        <v>41940</v>
      </c>
      <c r="L2180" s="1" t="s">
        <v>41941</v>
      </c>
      <c r="M2180" s="1" t="s">
        <v>41942</v>
      </c>
      <c r="N2180" s="1" t="s">
        <v>132</v>
      </c>
      <c r="O2180" s="1" t="s">
        <v>41943</v>
      </c>
      <c r="P2180" s="1" t="s">
        <v>41944</v>
      </c>
      <c r="Q2180" s="1" t="s">
        <v>132</v>
      </c>
      <c r="R2180" s="1" t="s">
        <v>29344</v>
      </c>
      <c r="S2180" s="1" t="s">
        <v>41945</v>
      </c>
      <c r="T2180" s="8" t="s">
        <v>41946</v>
      </c>
      <c r="U2180" s="1" t="s">
        <v>41947</v>
      </c>
      <c r="V2180" s="1" t="s">
        <v>41948</v>
      </c>
      <c r="W2180" s="1" t="s">
        <v>29344</v>
      </c>
      <c r="X2180" s="1" t="s">
        <v>41949</v>
      </c>
      <c r="Y2180" s="1" t="s">
        <v>41950</v>
      </c>
      <c r="Z2180" s="1" t="s">
        <v>41951</v>
      </c>
      <c r="AA2180" s="1" t="s">
        <v>41952</v>
      </c>
      <c r="AB2180" s="1" t="s">
        <v>132</v>
      </c>
      <c r="AC2180" s="1" t="s">
        <v>41953</v>
      </c>
      <c r="AD2180" s="1" t="s">
        <v>41954</v>
      </c>
      <c r="AE2180" s="1" t="s">
        <v>41955</v>
      </c>
      <c r="AF2180" s="1" t="s">
        <v>41956</v>
      </c>
      <c r="AG2180" s="1" t="s">
        <v>41957</v>
      </c>
      <c r="AH2180" s="1" t="s">
        <v>41958</v>
      </c>
      <c r="AI2180" s="1" t="s">
        <v>41959</v>
      </c>
      <c r="AJ2180" s="1" t="s">
        <v>132</v>
      </c>
      <c r="AK2180" s="1" t="s">
        <v>41960</v>
      </c>
      <c r="AL2180" s="1" t="s">
        <v>41961</v>
      </c>
      <c r="AM2180" s="1" t="s">
        <v>41962</v>
      </c>
      <c r="AN2180" s="1" t="s">
        <v>41962</v>
      </c>
    </row>
    <row r="2181" ht="15.75" customHeight="1">
      <c r="A2181" s="1" t="s">
        <v>38</v>
      </c>
      <c r="B2181" s="1" t="s">
        <v>41963</v>
      </c>
      <c r="C2181" s="1" t="s">
        <v>15312</v>
      </c>
      <c r="D2181" s="8" t="s">
        <v>41964</v>
      </c>
      <c r="E2181" s="1" t="s">
        <v>41965</v>
      </c>
      <c r="F2181" s="1" t="s">
        <v>41966</v>
      </c>
      <c r="G2181" s="1" t="s">
        <v>132</v>
      </c>
      <c r="H2181" s="1" t="s">
        <v>132</v>
      </c>
      <c r="I2181" s="1" t="s">
        <v>15312</v>
      </c>
      <c r="J2181" s="1" t="s">
        <v>132</v>
      </c>
      <c r="K2181" s="1" t="s">
        <v>41967</v>
      </c>
      <c r="L2181" s="1" t="s">
        <v>132</v>
      </c>
      <c r="M2181" s="1" t="s">
        <v>15313</v>
      </c>
      <c r="N2181" s="1" t="s">
        <v>41967</v>
      </c>
      <c r="O2181" s="1" t="s">
        <v>132</v>
      </c>
      <c r="P2181" s="1" t="s">
        <v>41968</v>
      </c>
      <c r="Q2181" s="1" t="s">
        <v>15312</v>
      </c>
      <c r="R2181" s="1" t="s">
        <v>132</v>
      </c>
      <c r="S2181" s="1" t="s">
        <v>15312</v>
      </c>
      <c r="T2181" s="1" t="s">
        <v>132</v>
      </c>
      <c r="U2181" s="1" t="s">
        <v>41969</v>
      </c>
      <c r="V2181" s="1" t="s">
        <v>41970</v>
      </c>
      <c r="W2181" s="1" t="s">
        <v>132</v>
      </c>
      <c r="X2181" s="1" t="s">
        <v>15312</v>
      </c>
      <c r="Y2181" s="1" t="s">
        <v>132</v>
      </c>
      <c r="Z2181" s="1" t="s">
        <v>41971</v>
      </c>
      <c r="AA2181" s="1" t="s">
        <v>15312</v>
      </c>
      <c r="AB2181" s="1" t="s">
        <v>132</v>
      </c>
      <c r="AC2181" s="1" t="s">
        <v>41972</v>
      </c>
      <c r="AD2181" s="1" t="s">
        <v>15312</v>
      </c>
      <c r="AE2181" s="1" t="s">
        <v>132</v>
      </c>
      <c r="AF2181" s="1" t="s">
        <v>41973</v>
      </c>
      <c r="AG2181" s="1" t="s">
        <v>15312</v>
      </c>
      <c r="AH2181" s="1" t="s">
        <v>132</v>
      </c>
      <c r="AI2181" s="1" t="s">
        <v>132</v>
      </c>
      <c r="AJ2181" s="1" t="s">
        <v>41974</v>
      </c>
      <c r="AK2181" s="1" t="s">
        <v>41975</v>
      </c>
      <c r="AL2181" s="1" t="s">
        <v>132</v>
      </c>
      <c r="AM2181" s="1" t="s">
        <v>41976</v>
      </c>
      <c r="AN2181" s="1" t="s">
        <v>41976</v>
      </c>
    </row>
    <row r="2182" ht="15.75" customHeight="1">
      <c r="A2182" s="1" t="s">
        <v>127</v>
      </c>
      <c r="B2182" s="1" t="s">
        <v>41977</v>
      </c>
      <c r="C2182" s="1" t="s">
        <v>41978</v>
      </c>
      <c r="D2182" s="8" t="s">
        <v>41979</v>
      </c>
      <c r="E2182" s="1" t="s">
        <v>41980</v>
      </c>
      <c r="F2182" s="1" t="s">
        <v>132</v>
      </c>
      <c r="G2182" s="1" t="s">
        <v>41981</v>
      </c>
      <c r="H2182" s="1" t="s">
        <v>41982</v>
      </c>
      <c r="I2182" s="1" t="s">
        <v>41983</v>
      </c>
      <c r="J2182" s="1" t="s">
        <v>41984</v>
      </c>
      <c r="K2182" s="1" t="s">
        <v>41985</v>
      </c>
      <c r="L2182" s="1" t="s">
        <v>41986</v>
      </c>
      <c r="M2182" s="1" t="s">
        <v>41987</v>
      </c>
      <c r="N2182" s="1" t="s">
        <v>132</v>
      </c>
      <c r="O2182" s="1" t="s">
        <v>41988</v>
      </c>
      <c r="P2182" s="1" t="s">
        <v>41989</v>
      </c>
      <c r="Q2182" s="1" t="s">
        <v>132</v>
      </c>
      <c r="R2182" s="1" t="s">
        <v>41990</v>
      </c>
      <c r="S2182" s="1" t="s">
        <v>41978</v>
      </c>
      <c r="T2182" s="8" t="s">
        <v>41991</v>
      </c>
      <c r="U2182" s="1" t="s">
        <v>41992</v>
      </c>
      <c r="V2182" s="1" t="s">
        <v>41993</v>
      </c>
      <c r="W2182" s="1" t="s">
        <v>41994</v>
      </c>
      <c r="X2182" s="1" t="s">
        <v>41995</v>
      </c>
      <c r="Y2182" s="1" t="s">
        <v>41996</v>
      </c>
      <c r="Z2182" s="1" t="s">
        <v>41997</v>
      </c>
      <c r="AA2182" s="1" t="s">
        <v>41998</v>
      </c>
      <c r="AB2182" s="1" t="s">
        <v>132</v>
      </c>
      <c r="AC2182" s="1" t="s">
        <v>41999</v>
      </c>
      <c r="AD2182" s="1" t="s">
        <v>42000</v>
      </c>
      <c r="AE2182" s="1" t="s">
        <v>42001</v>
      </c>
      <c r="AF2182" s="1" t="s">
        <v>42002</v>
      </c>
      <c r="AG2182" s="1" t="s">
        <v>42003</v>
      </c>
      <c r="AH2182" s="1" t="s">
        <v>42004</v>
      </c>
      <c r="AI2182" s="1" t="s">
        <v>42005</v>
      </c>
      <c r="AJ2182" s="1" t="s">
        <v>132</v>
      </c>
      <c r="AK2182" s="1" t="s">
        <v>42006</v>
      </c>
      <c r="AL2182" s="1" t="s">
        <v>42007</v>
      </c>
      <c r="AM2182" s="1" t="s">
        <v>42008</v>
      </c>
      <c r="AN2182" s="1" t="s">
        <v>42008</v>
      </c>
    </row>
    <row r="2183" ht="15.75" customHeight="1">
      <c r="A2183" s="1" t="s">
        <v>127</v>
      </c>
      <c r="B2183" s="1" t="s">
        <v>42009</v>
      </c>
      <c r="C2183" s="1" t="s">
        <v>42010</v>
      </c>
      <c r="D2183" s="1" t="s">
        <v>42010</v>
      </c>
      <c r="E2183" s="1" t="s">
        <v>42010</v>
      </c>
      <c r="F2183" s="1" t="s">
        <v>132</v>
      </c>
      <c r="G2183" s="1" t="s">
        <v>42010</v>
      </c>
      <c r="H2183" s="1" t="s">
        <v>42010</v>
      </c>
      <c r="I2183" s="1" t="s">
        <v>42010</v>
      </c>
      <c r="J2183" s="1" t="s">
        <v>42010</v>
      </c>
      <c r="K2183" s="1" t="s">
        <v>42010</v>
      </c>
      <c r="L2183" s="1" t="s">
        <v>42010</v>
      </c>
      <c r="M2183" s="1" t="s">
        <v>42010</v>
      </c>
      <c r="N2183" s="1" t="s">
        <v>132</v>
      </c>
      <c r="O2183" s="1" t="s">
        <v>42010</v>
      </c>
      <c r="P2183" s="1" t="s">
        <v>42010</v>
      </c>
      <c r="Q2183" s="1" t="s">
        <v>132</v>
      </c>
      <c r="R2183" s="1" t="s">
        <v>42010</v>
      </c>
      <c r="S2183" s="1" t="s">
        <v>42010</v>
      </c>
      <c r="T2183" s="1" t="s">
        <v>42010</v>
      </c>
      <c r="U2183" s="1" t="s">
        <v>42010</v>
      </c>
      <c r="V2183" s="1" t="s">
        <v>42010</v>
      </c>
      <c r="W2183" s="1" t="s">
        <v>42010</v>
      </c>
      <c r="X2183" s="1" t="s">
        <v>42010</v>
      </c>
      <c r="Y2183" s="1" t="s">
        <v>42010</v>
      </c>
      <c r="Z2183" s="1" t="s">
        <v>42010</v>
      </c>
      <c r="AA2183" s="1" t="s">
        <v>42010</v>
      </c>
      <c r="AB2183" s="1" t="s">
        <v>132</v>
      </c>
      <c r="AC2183" s="1" t="s">
        <v>42010</v>
      </c>
      <c r="AD2183" s="1" t="s">
        <v>42010</v>
      </c>
      <c r="AE2183" s="1" t="s">
        <v>42010</v>
      </c>
      <c r="AF2183" s="1" t="s">
        <v>42010</v>
      </c>
      <c r="AG2183" s="1" t="s">
        <v>42010</v>
      </c>
      <c r="AH2183" s="1" t="s">
        <v>42010</v>
      </c>
      <c r="AI2183" s="1" t="s">
        <v>42010</v>
      </c>
      <c r="AJ2183" s="1" t="s">
        <v>132</v>
      </c>
      <c r="AK2183" s="1" t="s">
        <v>42010</v>
      </c>
      <c r="AL2183" s="1" t="s">
        <v>42010</v>
      </c>
      <c r="AM2183" s="1" t="s">
        <v>132</v>
      </c>
      <c r="AN2183" s="1" t="s">
        <v>132</v>
      </c>
    </row>
    <row r="2184" ht="15.75" customHeight="1">
      <c r="A2184" s="1" t="s">
        <v>38</v>
      </c>
      <c r="B2184" s="1" t="s">
        <v>42011</v>
      </c>
      <c r="C2184" s="1" t="s">
        <v>42012</v>
      </c>
      <c r="D2184" s="1" t="s">
        <v>132</v>
      </c>
      <c r="E2184" s="1" t="s">
        <v>132</v>
      </c>
      <c r="F2184" s="1" t="s">
        <v>132</v>
      </c>
      <c r="G2184" s="1" t="s">
        <v>132</v>
      </c>
      <c r="H2184" s="1" t="s">
        <v>132</v>
      </c>
      <c r="I2184" s="1" t="s">
        <v>42012</v>
      </c>
      <c r="J2184" s="1" t="s">
        <v>132</v>
      </c>
      <c r="K2184" s="1" t="s">
        <v>42012</v>
      </c>
      <c r="L2184" s="1" t="s">
        <v>132</v>
      </c>
      <c r="M2184" s="1" t="s">
        <v>42012</v>
      </c>
      <c r="N2184" s="1" t="s">
        <v>132</v>
      </c>
      <c r="O2184" s="1" t="s">
        <v>132</v>
      </c>
      <c r="P2184" s="1" t="s">
        <v>42012</v>
      </c>
      <c r="Q2184" s="1" t="s">
        <v>132</v>
      </c>
      <c r="R2184" s="1" t="s">
        <v>132</v>
      </c>
      <c r="S2184" s="1" t="s">
        <v>132</v>
      </c>
      <c r="T2184" s="1" t="s">
        <v>132</v>
      </c>
      <c r="U2184" s="1" t="s">
        <v>132</v>
      </c>
      <c r="V2184" s="1" t="s">
        <v>132</v>
      </c>
      <c r="W2184" s="1" t="s">
        <v>132</v>
      </c>
      <c r="X2184" s="1" t="s">
        <v>132</v>
      </c>
      <c r="Y2184" s="1" t="s">
        <v>132</v>
      </c>
      <c r="Z2184" s="1" t="s">
        <v>132</v>
      </c>
      <c r="AA2184" s="1" t="s">
        <v>132</v>
      </c>
      <c r="AB2184" s="1" t="s">
        <v>132</v>
      </c>
      <c r="AC2184" s="1" t="s">
        <v>42013</v>
      </c>
      <c r="AD2184" s="1" t="s">
        <v>132</v>
      </c>
      <c r="AE2184" s="1" t="s">
        <v>132</v>
      </c>
      <c r="AF2184" s="1" t="s">
        <v>42014</v>
      </c>
      <c r="AG2184" s="1" t="s">
        <v>132</v>
      </c>
      <c r="AH2184" s="1" t="s">
        <v>132</v>
      </c>
      <c r="AI2184" s="1" t="s">
        <v>132</v>
      </c>
      <c r="AJ2184" s="1" t="s">
        <v>132</v>
      </c>
      <c r="AK2184" s="1" t="s">
        <v>132</v>
      </c>
      <c r="AL2184" s="1" t="s">
        <v>132</v>
      </c>
      <c r="AM2184" s="1" t="s">
        <v>132</v>
      </c>
      <c r="AN2184" s="1" t="s">
        <v>132</v>
      </c>
    </row>
    <row r="2185" ht="15.75" customHeight="1">
      <c r="A2185" s="1" t="s">
        <v>38</v>
      </c>
      <c r="B2185" s="1" t="s">
        <v>42015</v>
      </c>
      <c r="C2185" s="1" t="s">
        <v>42016</v>
      </c>
      <c r="D2185" s="8" t="s">
        <v>42017</v>
      </c>
      <c r="E2185" s="1" t="s">
        <v>42018</v>
      </c>
      <c r="F2185" s="1" t="s">
        <v>42019</v>
      </c>
      <c r="G2185" s="1" t="s">
        <v>132</v>
      </c>
      <c r="H2185" s="1" t="s">
        <v>132</v>
      </c>
      <c r="I2185" s="1" t="s">
        <v>42020</v>
      </c>
      <c r="J2185" s="1" t="s">
        <v>132</v>
      </c>
      <c r="K2185" s="1" t="s">
        <v>42021</v>
      </c>
      <c r="L2185" s="1" t="s">
        <v>132</v>
      </c>
      <c r="M2185" s="1" t="s">
        <v>40541</v>
      </c>
      <c r="N2185" s="1" t="s">
        <v>42022</v>
      </c>
      <c r="O2185" s="1" t="s">
        <v>132</v>
      </c>
      <c r="P2185" s="1" t="s">
        <v>42023</v>
      </c>
      <c r="Q2185" s="1" t="s">
        <v>42024</v>
      </c>
      <c r="R2185" s="1" t="s">
        <v>132</v>
      </c>
      <c r="S2185" s="1" t="s">
        <v>42025</v>
      </c>
      <c r="T2185" s="1" t="s">
        <v>132</v>
      </c>
      <c r="U2185" s="1" t="s">
        <v>42026</v>
      </c>
      <c r="V2185" s="1" t="s">
        <v>42027</v>
      </c>
      <c r="W2185" s="1" t="s">
        <v>132</v>
      </c>
      <c r="X2185" s="1" t="s">
        <v>42028</v>
      </c>
      <c r="Y2185" s="1" t="s">
        <v>132</v>
      </c>
      <c r="Z2185" s="1" t="s">
        <v>42029</v>
      </c>
      <c r="AA2185" s="1" t="s">
        <v>42030</v>
      </c>
      <c r="AB2185" s="1" t="s">
        <v>132</v>
      </c>
      <c r="AC2185" s="1" t="s">
        <v>42031</v>
      </c>
      <c r="AD2185" s="1" t="s">
        <v>42032</v>
      </c>
      <c r="AE2185" s="1" t="s">
        <v>132</v>
      </c>
      <c r="AF2185" s="1" t="s">
        <v>42033</v>
      </c>
      <c r="AG2185" s="1" t="s">
        <v>42034</v>
      </c>
      <c r="AH2185" s="1" t="s">
        <v>132</v>
      </c>
      <c r="AI2185" s="1" t="s">
        <v>132</v>
      </c>
      <c r="AJ2185" s="1" t="s">
        <v>42035</v>
      </c>
      <c r="AK2185" s="1" t="s">
        <v>42036</v>
      </c>
      <c r="AL2185" s="1" t="s">
        <v>132</v>
      </c>
      <c r="AM2185" s="1" t="s">
        <v>42037</v>
      </c>
      <c r="AN2185" s="1" t="s">
        <v>42037</v>
      </c>
    </row>
    <row r="2186" ht="15.75" customHeight="1">
      <c r="A2186" s="1" t="s">
        <v>38</v>
      </c>
      <c r="B2186" s="1" t="s">
        <v>42038</v>
      </c>
      <c r="C2186" s="1" t="s">
        <v>15312</v>
      </c>
      <c r="D2186" s="8" t="s">
        <v>41964</v>
      </c>
      <c r="E2186" s="1" t="s">
        <v>41965</v>
      </c>
      <c r="F2186" s="1" t="s">
        <v>41966</v>
      </c>
      <c r="G2186" s="1" t="s">
        <v>132</v>
      </c>
      <c r="H2186" s="1" t="s">
        <v>132</v>
      </c>
      <c r="I2186" s="1" t="s">
        <v>15312</v>
      </c>
      <c r="J2186" s="1" t="s">
        <v>132</v>
      </c>
      <c r="K2186" s="1" t="s">
        <v>8212</v>
      </c>
      <c r="L2186" s="1" t="s">
        <v>132</v>
      </c>
      <c r="M2186" s="1" t="s">
        <v>15313</v>
      </c>
      <c r="N2186" s="1" t="s">
        <v>42039</v>
      </c>
      <c r="O2186" s="1" t="s">
        <v>132</v>
      </c>
      <c r="P2186" s="1" t="s">
        <v>42040</v>
      </c>
      <c r="Q2186" s="1" t="s">
        <v>15312</v>
      </c>
      <c r="R2186" s="1" t="s">
        <v>132</v>
      </c>
      <c r="S2186" s="1" t="s">
        <v>15312</v>
      </c>
      <c r="T2186" s="1" t="s">
        <v>132</v>
      </c>
      <c r="U2186" s="1" t="s">
        <v>41969</v>
      </c>
      <c r="V2186" s="1" t="s">
        <v>41970</v>
      </c>
      <c r="W2186" s="1" t="s">
        <v>132</v>
      </c>
      <c r="X2186" s="1" t="s">
        <v>15312</v>
      </c>
      <c r="Y2186" s="1" t="s">
        <v>132</v>
      </c>
      <c r="Z2186" s="1" t="s">
        <v>42041</v>
      </c>
      <c r="AA2186" s="1" t="s">
        <v>15312</v>
      </c>
      <c r="AB2186" s="1" t="s">
        <v>132</v>
      </c>
      <c r="AC2186" s="1" t="s">
        <v>41972</v>
      </c>
      <c r="AD2186" s="1" t="s">
        <v>132</v>
      </c>
      <c r="AE2186" s="1" t="s">
        <v>132</v>
      </c>
      <c r="AF2186" s="1" t="s">
        <v>41973</v>
      </c>
      <c r="AG2186" s="1" t="s">
        <v>15312</v>
      </c>
      <c r="AH2186" s="1" t="s">
        <v>132</v>
      </c>
      <c r="AI2186" s="1" t="s">
        <v>132</v>
      </c>
      <c r="AJ2186" s="1" t="s">
        <v>41974</v>
      </c>
      <c r="AK2186" s="1" t="s">
        <v>132</v>
      </c>
      <c r="AL2186" s="1" t="s">
        <v>132</v>
      </c>
      <c r="AM2186" s="1" t="s">
        <v>41976</v>
      </c>
      <c r="AN2186" s="1" t="s">
        <v>41976</v>
      </c>
    </row>
    <row r="2187" ht="15.75" customHeight="1">
      <c r="A2187" s="1" t="s">
        <v>38</v>
      </c>
      <c r="B2187" s="1" t="s">
        <v>42042</v>
      </c>
      <c r="C2187" s="1" t="s">
        <v>42043</v>
      </c>
      <c r="D2187" s="1" t="s">
        <v>132</v>
      </c>
      <c r="E2187" s="1" t="s">
        <v>42044</v>
      </c>
      <c r="F2187" s="1" t="s">
        <v>42045</v>
      </c>
      <c r="G2187" s="1" t="s">
        <v>132</v>
      </c>
      <c r="H2187" s="1" t="s">
        <v>132</v>
      </c>
      <c r="I2187" s="1" t="s">
        <v>42046</v>
      </c>
      <c r="J2187" s="1" t="s">
        <v>132</v>
      </c>
      <c r="K2187" s="1" t="s">
        <v>42047</v>
      </c>
      <c r="L2187" s="1" t="s">
        <v>132</v>
      </c>
      <c r="M2187" s="1" t="s">
        <v>42048</v>
      </c>
      <c r="N2187" s="1" t="s">
        <v>42049</v>
      </c>
      <c r="O2187" s="1" t="s">
        <v>132</v>
      </c>
      <c r="P2187" s="1" t="s">
        <v>42050</v>
      </c>
      <c r="Q2187" s="1" t="s">
        <v>132</v>
      </c>
      <c r="R2187" s="1" t="s">
        <v>132</v>
      </c>
      <c r="S2187" s="1" t="s">
        <v>42051</v>
      </c>
      <c r="T2187" s="1" t="s">
        <v>132</v>
      </c>
      <c r="U2187" s="1" t="s">
        <v>42052</v>
      </c>
      <c r="V2187" s="1" t="s">
        <v>132</v>
      </c>
      <c r="W2187" s="1" t="s">
        <v>132</v>
      </c>
      <c r="X2187" s="1" t="s">
        <v>42053</v>
      </c>
      <c r="Y2187" s="1" t="s">
        <v>132</v>
      </c>
      <c r="Z2187" s="1" t="s">
        <v>42054</v>
      </c>
      <c r="AA2187" s="1" t="s">
        <v>132</v>
      </c>
      <c r="AB2187" s="1" t="s">
        <v>132</v>
      </c>
      <c r="AC2187" s="1" t="s">
        <v>132</v>
      </c>
      <c r="AD2187" s="1" t="s">
        <v>132</v>
      </c>
      <c r="AE2187" s="1" t="s">
        <v>132</v>
      </c>
      <c r="AF2187" s="1" t="s">
        <v>132</v>
      </c>
      <c r="AG2187" s="1" t="s">
        <v>132</v>
      </c>
      <c r="AH2187" s="1" t="s">
        <v>132</v>
      </c>
      <c r="AI2187" s="1" t="s">
        <v>132</v>
      </c>
      <c r="AJ2187" s="1" t="s">
        <v>132</v>
      </c>
      <c r="AK2187" s="1" t="s">
        <v>132</v>
      </c>
      <c r="AL2187" s="1" t="s">
        <v>132</v>
      </c>
      <c r="AM2187" s="1" t="s">
        <v>132</v>
      </c>
      <c r="AN2187" s="1" t="s">
        <v>132</v>
      </c>
    </row>
    <row r="2188" ht="15.75" customHeight="1">
      <c r="A2188" s="1" t="s">
        <v>127</v>
      </c>
      <c r="B2188" s="1" t="s">
        <v>42056</v>
      </c>
      <c r="C2188" s="1" t="s">
        <v>42057</v>
      </c>
      <c r="D2188" s="1" t="s">
        <v>42057</v>
      </c>
      <c r="E2188" s="1" t="s">
        <v>42058</v>
      </c>
      <c r="F2188" s="1" t="s">
        <v>132</v>
      </c>
      <c r="G2188" s="1" t="s">
        <v>42059</v>
      </c>
      <c r="H2188" s="1" t="s">
        <v>42057</v>
      </c>
      <c r="I2188" s="1" t="s">
        <v>42057</v>
      </c>
      <c r="J2188" s="1" t="s">
        <v>42060</v>
      </c>
      <c r="K2188" s="1" t="s">
        <v>42057</v>
      </c>
      <c r="L2188" s="1" t="s">
        <v>42061</v>
      </c>
      <c r="M2188" s="1" t="s">
        <v>42057</v>
      </c>
      <c r="N2188" s="1" t="s">
        <v>132</v>
      </c>
      <c r="O2188" s="1" t="s">
        <v>42062</v>
      </c>
      <c r="P2188" s="1" t="s">
        <v>42057</v>
      </c>
      <c r="Q2188" s="1" t="s">
        <v>132</v>
      </c>
      <c r="R2188" s="1" t="s">
        <v>42057</v>
      </c>
      <c r="S2188" s="1" t="s">
        <v>42057</v>
      </c>
      <c r="T2188" s="8" t="s">
        <v>36557</v>
      </c>
      <c r="U2188" s="1" t="s">
        <v>42057</v>
      </c>
      <c r="V2188" s="1" t="s">
        <v>42057</v>
      </c>
      <c r="W2188" s="1" t="s">
        <v>42057</v>
      </c>
      <c r="X2188" s="1" t="s">
        <v>42057</v>
      </c>
      <c r="Y2188" s="1" t="s">
        <v>42063</v>
      </c>
      <c r="Z2188" s="1" t="s">
        <v>42057</v>
      </c>
      <c r="AA2188" s="1" t="s">
        <v>42057</v>
      </c>
      <c r="AB2188" s="1" t="s">
        <v>132</v>
      </c>
      <c r="AC2188" s="1" t="s">
        <v>42010</v>
      </c>
      <c r="AD2188" s="1" t="s">
        <v>42064</v>
      </c>
      <c r="AE2188" s="1" t="s">
        <v>42065</v>
      </c>
      <c r="AF2188" s="1" t="s">
        <v>42057</v>
      </c>
      <c r="AG2188" s="1" t="s">
        <v>42066</v>
      </c>
      <c r="AH2188" s="1" t="s">
        <v>42057</v>
      </c>
      <c r="AI2188" s="1" t="s">
        <v>42057</v>
      </c>
      <c r="AJ2188" s="1" t="s">
        <v>132</v>
      </c>
      <c r="AK2188" s="1" t="s">
        <v>42067</v>
      </c>
      <c r="AL2188" s="1" t="s">
        <v>42068</v>
      </c>
      <c r="AM2188" s="1" t="s">
        <v>132</v>
      </c>
      <c r="AN2188" s="1" t="s">
        <v>132</v>
      </c>
    </row>
    <row r="2189" ht="15.75" customHeight="1">
      <c r="A2189" s="1" t="s">
        <v>38</v>
      </c>
      <c r="B2189" s="1" t="s">
        <v>42069</v>
      </c>
      <c r="C2189" s="1" t="s">
        <v>42070</v>
      </c>
      <c r="D2189" s="1" t="s">
        <v>132</v>
      </c>
      <c r="E2189" s="1" t="s">
        <v>132</v>
      </c>
      <c r="F2189" s="1" t="s">
        <v>132</v>
      </c>
      <c r="G2189" s="1" t="s">
        <v>132</v>
      </c>
      <c r="H2189" s="1" t="s">
        <v>132</v>
      </c>
      <c r="I2189" s="1" t="s">
        <v>42071</v>
      </c>
      <c r="J2189" s="1" t="s">
        <v>132</v>
      </c>
      <c r="K2189" s="1" t="s">
        <v>42072</v>
      </c>
      <c r="L2189" s="1" t="s">
        <v>132</v>
      </c>
      <c r="M2189" s="1" t="s">
        <v>42073</v>
      </c>
      <c r="N2189" s="1" t="s">
        <v>132</v>
      </c>
      <c r="O2189" s="1" t="s">
        <v>132</v>
      </c>
      <c r="P2189" s="1" t="s">
        <v>42070</v>
      </c>
      <c r="Q2189" s="1" t="s">
        <v>132</v>
      </c>
      <c r="R2189" s="1" t="s">
        <v>132</v>
      </c>
      <c r="S2189" s="1" t="s">
        <v>132</v>
      </c>
      <c r="T2189" s="1" t="s">
        <v>132</v>
      </c>
      <c r="U2189" s="1" t="s">
        <v>132</v>
      </c>
      <c r="V2189" s="1" t="s">
        <v>132</v>
      </c>
      <c r="W2189" s="1" t="s">
        <v>132</v>
      </c>
      <c r="X2189" s="1" t="s">
        <v>132</v>
      </c>
      <c r="Y2189" s="1" t="s">
        <v>132</v>
      </c>
      <c r="Z2189" s="1" t="s">
        <v>132</v>
      </c>
      <c r="AA2189" s="1" t="s">
        <v>132</v>
      </c>
      <c r="AB2189" s="1" t="s">
        <v>132</v>
      </c>
      <c r="AC2189" s="1" t="s">
        <v>42074</v>
      </c>
      <c r="AD2189" s="1" t="s">
        <v>132</v>
      </c>
      <c r="AE2189" s="1" t="s">
        <v>132</v>
      </c>
      <c r="AF2189" s="1" t="s">
        <v>42075</v>
      </c>
      <c r="AG2189" s="1" t="s">
        <v>132</v>
      </c>
      <c r="AH2189" s="1" t="s">
        <v>132</v>
      </c>
      <c r="AI2189" s="1" t="s">
        <v>132</v>
      </c>
      <c r="AJ2189" s="1" t="s">
        <v>132</v>
      </c>
      <c r="AK2189" s="1" t="s">
        <v>132</v>
      </c>
      <c r="AL2189" s="1" t="s">
        <v>132</v>
      </c>
      <c r="AM2189" s="1" t="s">
        <v>132</v>
      </c>
      <c r="AN2189" s="1" t="s">
        <v>132</v>
      </c>
    </row>
    <row r="2190" ht="15.75" customHeight="1">
      <c r="A2190" s="1" t="s">
        <v>38</v>
      </c>
      <c r="B2190" s="1" t="s">
        <v>42076</v>
      </c>
      <c r="C2190" s="1" t="s">
        <v>42077</v>
      </c>
      <c r="D2190" s="8" t="s">
        <v>42078</v>
      </c>
      <c r="E2190" s="1" t="s">
        <v>42079</v>
      </c>
      <c r="F2190" s="1" t="s">
        <v>42080</v>
      </c>
      <c r="G2190" s="1" t="s">
        <v>132</v>
      </c>
      <c r="H2190" s="1" t="s">
        <v>132</v>
      </c>
      <c r="I2190" s="1" t="s">
        <v>42081</v>
      </c>
      <c r="J2190" s="1" t="s">
        <v>132</v>
      </c>
      <c r="K2190" s="1" t="s">
        <v>42082</v>
      </c>
      <c r="L2190" s="1" t="s">
        <v>132</v>
      </c>
      <c r="M2190" s="1" t="s">
        <v>42083</v>
      </c>
      <c r="N2190" s="1" t="s">
        <v>42084</v>
      </c>
      <c r="O2190" s="1" t="s">
        <v>132</v>
      </c>
      <c r="P2190" s="1" t="s">
        <v>42085</v>
      </c>
      <c r="Q2190" s="1" t="s">
        <v>132</v>
      </c>
      <c r="R2190" s="1" t="s">
        <v>132</v>
      </c>
      <c r="S2190" s="1" t="s">
        <v>42086</v>
      </c>
      <c r="T2190" s="1" t="s">
        <v>132</v>
      </c>
      <c r="U2190" s="1" t="s">
        <v>42087</v>
      </c>
      <c r="V2190" s="1" t="s">
        <v>132</v>
      </c>
      <c r="W2190" s="1" t="s">
        <v>132</v>
      </c>
      <c r="X2190" s="1" t="s">
        <v>42088</v>
      </c>
      <c r="Y2190" s="1" t="s">
        <v>132</v>
      </c>
      <c r="Z2190" s="1" t="s">
        <v>42089</v>
      </c>
      <c r="AA2190" s="1" t="s">
        <v>42090</v>
      </c>
      <c r="AB2190" s="1" t="s">
        <v>132</v>
      </c>
      <c r="AC2190" s="1" t="s">
        <v>42091</v>
      </c>
      <c r="AD2190" s="1" t="s">
        <v>132</v>
      </c>
      <c r="AE2190" s="1" t="s">
        <v>132</v>
      </c>
      <c r="AF2190" s="1" t="s">
        <v>42092</v>
      </c>
      <c r="AG2190" s="1" t="s">
        <v>132</v>
      </c>
      <c r="AH2190" s="1" t="s">
        <v>132</v>
      </c>
      <c r="AI2190" s="1" t="s">
        <v>132</v>
      </c>
      <c r="AJ2190" s="1" t="s">
        <v>132</v>
      </c>
      <c r="AK2190" s="1" t="s">
        <v>132</v>
      </c>
      <c r="AL2190" s="1" t="s">
        <v>132</v>
      </c>
      <c r="AM2190" s="1" t="s">
        <v>132</v>
      </c>
      <c r="AN2190" s="1" t="s">
        <v>132</v>
      </c>
    </row>
    <row r="2191" ht="15.75" customHeight="1">
      <c r="A2191" s="1" t="s">
        <v>127</v>
      </c>
      <c r="B2191" s="1" t="s">
        <v>42093</v>
      </c>
      <c r="C2191" s="1" t="s">
        <v>42094</v>
      </c>
      <c r="D2191" s="8" t="s">
        <v>42095</v>
      </c>
      <c r="E2191" s="1" t="s">
        <v>42096</v>
      </c>
      <c r="F2191" s="1" t="s">
        <v>132</v>
      </c>
      <c r="G2191" s="1" t="s">
        <v>42097</v>
      </c>
      <c r="H2191" s="1" t="s">
        <v>42098</v>
      </c>
      <c r="I2191" s="1" t="s">
        <v>42099</v>
      </c>
      <c r="J2191" s="1" t="s">
        <v>42100</v>
      </c>
      <c r="K2191" s="1" t="s">
        <v>42101</v>
      </c>
      <c r="L2191" s="1" t="s">
        <v>42094</v>
      </c>
      <c r="M2191" s="1" t="s">
        <v>42102</v>
      </c>
      <c r="N2191" s="1" t="s">
        <v>132</v>
      </c>
      <c r="O2191" s="1" t="s">
        <v>42103</v>
      </c>
      <c r="P2191" s="1" t="s">
        <v>42104</v>
      </c>
      <c r="Q2191" s="1" t="s">
        <v>132</v>
      </c>
      <c r="R2191" s="1" t="s">
        <v>42105</v>
      </c>
      <c r="S2191" s="1" t="s">
        <v>42106</v>
      </c>
      <c r="T2191" s="8" t="s">
        <v>42107</v>
      </c>
      <c r="U2191" s="1" t="s">
        <v>42108</v>
      </c>
      <c r="V2191" s="1" t="s">
        <v>42109</v>
      </c>
      <c r="W2191" s="1" t="s">
        <v>42110</v>
      </c>
      <c r="X2191" s="1" t="s">
        <v>42098</v>
      </c>
      <c r="Y2191" s="1" t="s">
        <v>42111</v>
      </c>
      <c r="Z2191" s="1" t="s">
        <v>42112</v>
      </c>
      <c r="AA2191" s="1" t="s">
        <v>42113</v>
      </c>
      <c r="AB2191" s="1" t="s">
        <v>132</v>
      </c>
      <c r="AC2191" s="1" t="s">
        <v>42114</v>
      </c>
      <c r="AD2191" s="1" t="s">
        <v>42115</v>
      </c>
      <c r="AE2191" s="1" t="s">
        <v>42116</v>
      </c>
      <c r="AF2191" s="1" t="s">
        <v>42117</v>
      </c>
      <c r="AG2191" s="1" t="s">
        <v>42118</v>
      </c>
      <c r="AH2191" s="1" t="s">
        <v>42119</v>
      </c>
      <c r="AI2191" s="1" t="s">
        <v>42120</v>
      </c>
      <c r="AJ2191" s="1" t="s">
        <v>132</v>
      </c>
      <c r="AK2191" s="1" t="s">
        <v>42121</v>
      </c>
      <c r="AL2191" s="1" t="s">
        <v>42122</v>
      </c>
      <c r="AM2191" s="1" t="s">
        <v>132</v>
      </c>
      <c r="AN2191" s="1" t="s">
        <v>132</v>
      </c>
    </row>
    <row r="2192" ht="15.75" customHeight="1">
      <c r="A2192" s="1" t="s">
        <v>127</v>
      </c>
      <c r="B2192" s="1" t="s">
        <v>42123</v>
      </c>
      <c r="C2192" s="1" t="s">
        <v>42124</v>
      </c>
      <c r="D2192" s="8" t="s">
        <v>42125</v>
      </c>
      <c r="E2192" s="1" t="s">
        <v>42126</v>
      </c>
      <c r="F2192" s="1" t="s">
        <v>132</v>
      </c>
      <c r="G2192" s="1" t="s">
        <v>42127</v>
      </c>
      <c r="H2192" s="1" t="s">
        <v>42128</v>
      </c>
      <c r="I2192" s="1" t="s">
        <v>42129</v>
      </c>
      <c r="J2192" s="1" t="s">
        <v>42130</v>
      </c>
      <c r="K2192" s="1" t="s">
        <v>42131</v>
      </c>
      <c r="L2192" s="1" t="s">
        <v>42132</v>
      </c>
      <c r="M2192" s="1" t="s">
        <v>42124</v>
      </c>
      <c r="N2192" s="1" t="s">
        <v>132</v>
      </c>
      <c r="O2192" s="1" t="s">
        <v>42133</v>
      </c>
      <c r="P2192" s="1" t="s">
        <v>42134</v>
      </c>
      <c r="Q2192" s="1" t="s">
        <v>132</v>
      </c>
      <c r="R2192" s="1" t="s">
        <v>42135</v>
      </c>
      <c r="S2192" s="1" t="s">
        <v>42136</v>
      </c>
      <c r="T2192" s="8" t="s">
        <v>42137</v>
      </c>
      <c r="U2192" s="1" t="s">
        <v>42138</v>
      </c>
      <c r="V2192" s="1" t="s">
        <v>42139</v>
      </c>
      <c r="W2192" s="1" t="s">
        <v>42135</v>
      </c>
      <c r="X2192" s="1" t="s">
        <v>42140</v>
      </c>
      <c r="Y2192" s="1" t="s">
        <v>42141</v>
      </c>
      <c r="Z2192" s="1" t="s">
        <v>42142</v>
      </c>
      <c r="AA2192" s="1" t="s">
        <v>42143</v>
      </c>
      <c r="AB2192" s="1" t="s">
        <v>132</v>
      </c>
      <c r="AC2192" s="1" t="s">
        <v>42144</v>
      </c>
      <c r="AD2192" s="1" t="s">
        <v>42145</v>
      </c>
      <c r="AE2192" s="1" t="s">
        <v>42146</v>
      </c>
      <c r="AF2192" s="1" t="s">
        <v>42124</v>
      </c>
      <c r="AG2192" s="1" t="s">
        <v>42147</v>
      </c>
      <c r="AH2192" s="1" t="s">
        <v>25508</v>
      </c>
      <c r="AI2192" s="1" t="s">
        <v>42148</v>
      </c>
      <c r="AJ2192" s="1" t="s">
        <v>132</v>
      </c>
      <c r="AK2192" s="1" t="s">
        <v>42149</v>
      </c>
      <c r="AL2192" s="1" t="s">
        <v>42150</v>
      </c>
      <c r="AM2192" s="1" t="s">
        <v>42151</v>
      </c>
      <c r="AN2192" s="1" t="s">
        <v>42151</v>
      </c>
    </row>
    <row r="2193" ht="15.75" customHeight="1">
      <c r="A2193" s="1" t="s">
        <v>38</v>
      </c>
      <c r="B2193" s="1" t="s">
        <v>42152</v>
      </c>
      <c r="C2193" s="1" t="s">
        <v>42153</v>
      </c>
      <c r="D2193" s="1" t="s">
        <v>132</v>
      </c>
      <c r="E2193" s="1" t="s">
        <v>132</v>
      </c>
      <c r="F2193" s="1" t="s">
        <v>132</v>
      </c>
      <c r="G2193" s="1" t="s">
        <v>132</v>
      </c>
      <c r="H2193" s="1" t="s">
        <v>132</v>
      </c>
      <c r="I2193" s="1" t="s">
        <v>42154</v>
      </c>
      <c r="J2193" s="1" t="s">
        <v>132</v>
      </c>
      <c r="K2193" s="1" t="s">
        <v>42155</v>
      </c>
      <c r="L2193" s="1" t="s">
        <v>132</v>
      </c>
      <c r="M2193" s="1" t="s">
        <v>42156</v>
      </c>
      <c r="N2193" s="1" t="s">
        <v>132</v>
      </c>
      <c r="O2193" s="1" t="s">
        <v>132</v>
      </c>
      <c r="P2193" s="1" t="s">
        <v>42153</v>
      </c>
      <c r="Q2193" s="1" t="s">
        <v>132</v>
      </c>
      <c r="R2193" s="1" t="s">
        <v>132</v>
      </c>
      <c r="S2193" s="1" t="s">
        <v>132</v>
      </c>
      <c r="T2193" s="1" t="s">
        <v>132</v>
      </c>
      <c r="U2193" s="1" t="s">
        <v>132</v>
      </c>
      <c r="V2193" s="1" t="s">
        <v>132</v>
      </c>
      <c r="W2193" s="1" t="s">
        <v>132</v>
      </c>
      <c r="X2193" s="1" t="s">
        <v>132</v>
      </c>
      <c r="Y2193" s="1" t="s">
        <v>132</v>
      </c>
      <c r="Z2193" s="1" t="s">
        <v>132</v>
      </c>
      <c r="AA2193" s="1" t="s">
        <v>132</v>
      </c>
      <c r="AB2193" s="1" t="s">
        <v>132</v>
      </c>
      <c r="AC2193" s="1" t="s">
        <v>42157</v>
      </c>
      <c r="AD2193" s="1" t="s">
        <v>132</v>
      </c>
      <c r="AE2193" s="1" t="s">
        <v>132</v>
      </c>
      <c r="AF2193" s="1" t="s">
        <v>42158</v>
      </c>
      <c r="AG2193" s="1" t="s">
        <v>132</v>
      </c>
      <c r="AH2193" s="1" t="s">
        <v>132</v>
      </c>
      <c r="AI2193" s="1" t="s">
        <v>132</v>
      </c>
      <c r="AJ2193" s="1" t="s">
        <v>132</v>
      </c>
      <c r="AK2193" s="1" t="s">
        <v>132</v>
      </c>
      <c r="AL2193" s="1" t="s">
        <v>132</v>
      </c>
      <c r="AM2193" s="1" t="s">
        <v>132</v>
      </c>
      <c r="AN2193" s="1" t="s">
        <v>132</v>
      </c>
    </row>
    <row r="2194" ht="15.75" customHeight="1">
      <c r="A2194" s="1" t="s">
        <v>38</v>
      </c>
      <c r="B2194" s="1" t="s">
        <v>42159</v>
      </c>
      <c r="C2194" s="1" t="s">
        <v>42160</v>
      </c>
      <c r="D2194" s="8" t="s">
        <v>42161</v>
      </c>
      <c r="E2194" s="1" t="s">
        <v>42162</v>
      </c>
      <c r="F2194" s="1" t="s">
        <v>42163</v>
      </c>
      <c r="G2194" s="1" t="s">
        <v>132</v>
      </c>
      <c r="H2194" s="1" t="s">
        <v>132</v>
      </c>
      <c r="I2194" s="1" t="s">
        <v>42164</v>
      </c>
      <c r="J2194" s="1" t="s">
        <v>132</v>
      </c>
      <c r="K2194" s="1" t="s">
        <v>42165</v>
      </c>
      <c r="L2194" s="1" t="s">
        <v>132</v>
      </c>
      <c r="M2194" s="1" t="s">
        <v>42166</v>
      </c>
      <c r="N2194" s="1" t="s">
        <v>42167</v>
      </c>
      <c r="O2194" s="1" t="s">
        <v>132</v>
      </c>
      <c r="P2194" s="1" t="s">
        <v>42168</v>
      </c>
      <c r="Q2194" s="1" t="s">
        <v>132</v>
      </c>
      <c r="R2194" s="1" t="s">
        <v>132</v>
      </c>
      <c r="S2194" s="1" t="s">
        <v>42169</v>
      </c>
      <c r="T2194" s="1" t="s">
        <v>132</v>
      </c>
      <c r="U2194" s="1" t="s">
        <v>42170</v>
      </c>
      <c r="V2194" s="1" t="s">
        <v>42171</v>
      </c>
      <c r="W2194" s="1" t="s">
        <v>132</v>
      </c>
      <c r="X2194" s="1" t="s">
        <v>42172</v>
      </c>
      <c r="Y2194" s="1" t="s">
        <v>132</v>
      </c>
      <c r="Z2194" s="1" t="s">
        <v>42173</v>
      </c>
      <c r="AA2194" s="1" t="s">
        <v>132</v>
      </c>
      <c r="AB2194" s="1" t="s">
        <v>132</v>
      </c>
      <c r="AC2194" s="1" t="s">
        <v>42174</v>
      </c>
      <c r="AD2194" s="1" t="s">
        <v>132</v>
      </c>
      <c r="AE2194" s="1" t="s">
        <v>132</v>
      </c>
      <c r="AF2194" s="1" t="s">
        <v>42175</v>
      </c>
      <c r="AG2194" s="1" t="s">
        <v>42176</v>
      </c>
      <c r="AH2194" s="1" t="s">
        <v>132</v>
      </c>
      <c r="AI2194" s="1" t="s">
        <v>132</v>
      </c>
      <c r="AJ2194" s="1" t="s">
        <v>42177</v>
      </c>
      <c r="AK2194" s="1" t="s">
        <v>132</v>
      </c>
      <c r="AL2194" s="1" t="s">
        <v>132</v>
      </c>
      <c r="AM2194" s="1" t="s">
        <v>42178</v>
      </c>
      <c r="AN2194" s="1" t="s">
        <v>42178</v>
      </c>
    </row>
    <row r="2195" ht="15.75" customHeight="1">
      <c r="A2195" s="1" t="s">
        <v>38</v>
      </c>
      <c r="B2195" s="1" t="s">
        <v>42179</v>
      </c>
      <c r="C2195" s="1" t="s">
        <v>42180</v>
      </c>
      <c r="D2195" s="1" t="s">
        <v>132</v>
      </c>
      <c r="E2195" s="1" t="s">
        <v>132</v>
      </c>
      <c r="F2195" s="1" t="s">
        <v>132</v>
      </c>
      <c r="G2195" s="1" t="s">
        <v>132</v>
      </c>
      <c r="H2195" s="1" t="s">
        <v>132</v>
      </c>
      <c r="I2195" s="1" t="s">
        <v>42181</v>
      </c>
      <c r="J2195" s="1" t="s">
        <v>132</v>
      </c>
      <c r="K2195" s="1" t="s">
        <v>42182</v>
      </c>
      <c r="L2195" s="1" t="s">
        <v>132</v>
      </c>
      <c r="M2195" s="1" t="s">
        <v>42183</v>
      </c>
      <c r="N2195" s="1" t="s">
        <v>132</v>
      </c>
      <c r="O2195" s="1" t="s">
        <v>132</v>
      </c>
      <c r="P2195" s="1" t="s">
        <v>42184</v>
      </c>
      <c r="Q2195" s="1" t="s">
        <v>132</v>
      </c>
      <c r="R2195" s="1" t="s">
        <v>132</v>
      </c>
      <c r="S2195" s="1" t="s">
        <v>132</v>
      </c>
      <c r="T2195" s="1" t="s">
        <v>132</v>
      </c>
      <c r="U2195" s="1" t="s">
        <v>132</v>
      </c>
      <c r="V2195" s="1" t="s">
        <v>132</v>
      </c>
      <c r="W2195" s="1" t="s">
        <v>132</v>
      </c>
      <c r="X2195" s="1" t="s">
        <v>132</v>
      </c>
      <c r="Y2195" s="1" t="s">
        <v>132</v>
      </c>
      <c r="Z2195" s="1" t="s">
        <v>132</v>
      </c>
      <c r="AA2195" s="1" t="s">
        <v>132</v>
      </c>
      <c r="AB2195" s="1" t="s">
        <v>132</v>
      </c>
      <c r="AC2195" s="1" t="s">
        <v>42185</v>
      </c>
      <c r="AD2195" s="1" t="s">
        <v>132</v>
      </c>
      <c r="AE2195" s="1" t="s">
        <v>132</v>
      </c>
      <c r="AF2195" s="1" t="s">
        <v>42186</v>
      </c>
      <c r="AG2195" s="1" t="s">
        <v>132</v>
      </c>
      <c r="AH2195" s="1" t="s">
        <v>132</v>
      </c>
      <c r="AI2195" s="1" t="s">
        <v>132</v>
      </c>
      <c r="AJ2195" s="1" t="s">
        <v>132</v>
      </c>
      <c r="AK2195" s="1" t="s">
        <v>132</v>
      </c>
      <c r="AL2195" s="1" t="s">
        <v>132</v>
      </c>
      <c r="AM2195" s="1" t="s">
        <v>132</v>
      </c>
      <c r="AN2195" s="1" t="s">
        <v>132</v>
      </c>
    </row>
    <row r="2196" ht="15.75" customHeight="1">
      <c r="A2196" s="1" t="s">
        <v>38</v>
      </c>
      <c r="B2196" s="1" t="s">
        <v>42187</v>
      </c>
      <c r="C2196" s="1" t="s">
        <v>42188</v>
      </c>
      <c r="D2196" s="8" t="s">
        <v>42189</v>
      </c>
      <c r="E2196" s="1" t="s">
        <v>42190</v>
      </c>
      <c r="F2196" s="1" t="s">
        <v>42191</v>
      </c>
      <c r="G2196" s="1" t="s">
        <v>132</v>
      </c>
      <c r="H2196" s="1" t="s">
        <v>132</v>
      </c>
      <c r="I2196" s="1" t="s">
        <v>42192</v>
      </c>
      <c r="J2196" s="1" t="s">
        <v>132</v>
      </c>
      <c r="K2196" s="1" t="s">
        <v>42193</v>
      </c>
      <c r="L2196" s="1" t="s">
        <v>132</v>
      </c>
      <c r="M2196" s="1" t="s">
        <v>42194</v>
      </c>
      <c r="N2196" s="1" t="s">
        <v>42195</v>
      </c>
      <c r="O2196" s="1" t="s">
        <v>132</v>
      </c>
      <c r="P2196" s="1" t="s">
        <v>42196</v>
      </c>
      <c r="Q2196" s="1" t="s">
        <v>132</v>
      </c>
      <c r="R2196" s="1" t="s">
        <v>132</v>
      </c>
      <c r="S2196" s="1" t="s">
        <v>42197</v>
      </c>
      <c r="T2196" s="1" t="s">
        <v>132</v>
      </c>
      <c r="U2196" s="1" t="s">
        <v>42198</v>
      </c>
      <c r="V2196" s="1" t="s">
        <v>42199</v>
      </c>
      <c r="W2196" s="1" t="s">
        <v>132</v>
      </c>
      <c r="X2196" s="1" t="s">
        <v>42200</v>
      </c>
      <c r="Y2196" s="1" t="s">
        <v>132</v>
      </c>
      <c r="Z2196" s="1" t="s">
        <v>42201</v>
      </c>
      <c r="AA2196" s="1" t="s">
        <v>42202</v>
      </c>
      <c r="AB2196" s="1" t="s">
        <v>132</v>
      </c>
      <c r="AC2196" s="1" t="s">
        <v>42203</v>
      </c>
      <c r="AD2196" s="1" t="s">
        <v>42204</v>
      </c>
      <c r="AE2196" s="1" t="s">
        <v>132</v>
      </c>
      <c r="AF2196" s="1" t="s">
        <v>42205</v>
      </c>
      <c r="AG2196" s="1" t="s">
        <v>42206</v>
      </c>
      <c r="AH2196" s="1" t="s">
        <v>132</v>
      </c>
      <c r="AI2196" s="1" t="s">
        <v>132</v>
      </c>
      <c r="AJ2196" s="1" t="s">
        <v>42207</v>
      </c>
      <c r="AK2196" s="1" t="s">
        <v>42208</v>
      </c>
      <c r="AL2196" s="1" t="s">
        <v>132</v>
      </c>
      <c r="AM2196" s="1" t="s">
        <v>42209</v>
      </c>
      <c r="AN2196" s="1" t="s">
        <v>42209</v>
      </c>
    </row>
    <row r="2197" ht="15.75" customHeight="1">
      <c r="A2197" s="1" t="s">
        <v>38</v>
      </c>
      <c r="B2197" s="1" t="s">
        <v>42210</v>
      </c>
      <c r="C2197" s="1" t="s">
        <v>42211</v>
      </c>
      <c r="D2197" s="1" t="s">
        <v>132</v>
      </c>
      <c r="E2197" s="1" t="s">
        <v>42212</v>
      </c>
      <c r="F2197" s="1" t="s">
        <v>42213</v>
      </c>
      <c r="G2197" s="1" t="s">
        <v>132</v>
      </c>
      <c r="H2197" s="1" t="s">
        <v>132</v>
      </c>
      <c r="I2197" s="1" t="s">
        <v>42214</v>
      </c>
      <c r="J2197" s="1" t="s">
        <v>132</v>
      </c>
      <c r="K2197" s="1" t="s">
        <v>42215</v>
      </c>
      <c r="L2197" s="1" t="s">
        <v>132</v>
      </c>
      <c r="M2197" s="1" t="s">
        <v>42216</v>
      </c>
      <c r="N2197" s="1" t="s">
        <v>42217</v>
      </c>
      <c r="O2197" s="1" t="s">
        <v>132</v>
      </c>
      <c r="P2197" s="1" t="s">
        <v>42218</v>
      </c>
      <c r="Q2197" s="1" t="s">
        <v>132</v>
      </c>
      <c r="R2197" s="1" t="s">
        <v>132</v>
      </c>
      <c r="S2197" s="1" t="s">
        <v>42219</v>
      </c>
      <c r="T2197" s="1" t="s">
        <v>132</v>
      </c>
      <c r="U2197" s="1" t="s">
        <v>42220</v>
      </c>
      <c r="V2197" s="1" t="s">
        <v>42221</v>
      </c>
      <c r="W2197" s="1" t="s">
        <v>132</v>
      </c>
      <c r="X2197" s="1" t="s">
        <v>42222</v>
      </c>
      <c r="Y2197" s="1" t="s">
        <v>132</v>
      </c>
      <c r="Z2197" s="1" t="s">
        <v>42223</v>
      </c>
      <c r="AA2197" s="1" t="s">
        <v>42224</v>
      </c>
      <c r="AB2197" s="1" t="s">
        <v>132</v>
      </c>
      <c r="AC2197" s="1" t="s">
        <v>42225</v>
      </c>
      <c r="AD2197" s="1" t="s">
        <v>132</v>
      </c>
      <c r="AE2197" s="1" t="s">
        <v>132</v>
      </c>
      <c r="AF2197" s="1" t="s">
        <v>42226</v>
      </c>
      <c r="AG2197" s="1" t="s">
        <v>42227</v>
      </c>
      <c r="AH2197" s="1" t="s">
        <v>132</v>
      </c>
      <c r="AI2197" s="1" t="s">
        <v>132</v>
      </c>
      <c r="AJ2197" s="1" t="s">
        <v>42228</v>
      </c>
      <c r="AK2197" s="1" t="s">
        <v>132</v>
      </c>
      <c r="AL2197" s="1" t="s">
        <v>132</v>
      </c>
      <c r="AM2197" s="1" t="s">
        <v>42229</v>
      </c>
      <c r="AN2197" s="1" t="s">
        <v>42229</v>
      </c>
    </row>
    <row r="2198" ht="15.75" customHeight="1">
      <c r="A2198" s="1" t="s">
        <v>38</v>
      </c>
      <c r="B2198" s="1" t="s">
        <v>42230</v>
      </c>
      <c r="C2198" s="1" t="s">
        <v>42231</v>
      </c>
      <c r="D2198" s="1" t="s">
        <v>132</v>
      </c>
      <c r="E2198" s="1" t="s">
        <v>132</v>
      </c>
      <c r="F2198" s="1" t="s">
        <v>132</v>
      </c>
      <c r="G2198" s="1" t="s">
        <v>132</v>
      </c>
      <c r="H2198" s="1" t="s">
        <v>132</v>
      </c>
      <c r="I2198" s="1" t="s">
        <v>42232</v>
      </c>
      <c r="J2198" s="1" t="s">
        <v>132</v>
      </c>
      <c r="K2198" s="1" t="s">
        <v>42233</v>
      </c>
      <c r="L2198" s="1" t="s">
        <v>132</v>
      </c>
      <c r="M2198" s="1" t="s">
        <v>42234</v>
      </c>
      <c r="N2198" s="1" t="s">
        <v>132</v>
      </c>
      <c r="O2198" s="1" t="s">
        <v>132</v>
      </c>
      <c r="P2198" s="1" t="s">
        <v>42231</v>
      </c>
      <c r="Q2198" s="1" t="s">
        <v>132</v>
      </c>
      <c r="R2198" s="1" t="s">
        <v>132</v>
      </c>
      <c r="S2198" s="1" t="s">
        <v>132</v>
      </c>
      <c r="T2198" s="1" t="s">
        <v>132</v>
      </c>
      <c r="U2198" s="1" t="s">
        <v>132</v>
      </c>
      <c r="V2198" s="1" t="s">
        <v>132</v>
      </c>
      <c r="W2198" s="1" t="s">
        <v>132</v>
      </c>
      <c r="X2198" s="1" t="s">
        <v>132</v>
      </c>
      <c r="Y2198" s="1" t="s">
        <v>132</v>
      </c>
      <c r="Z2198" s="1" t="s">
        <v>132</v>
      </c>
      <c r="AA2198" s="1" t="s">
        <v>132</v>
      </c>
      <c r="AB2198" s="1" t="s">
        <v>132</v>
      </c>
      <c r="AC2198" s="1" t="s">
        <v>42235</v>
      </c>
      <c r="AD2198" s="1" t="s">
        <v>132</v>
      </c>
      <c r="AE2198" s="1" t="s">
        <v>132</v>
      </c>
      <c r="AF2198" s="1" t="s">
        <v>42236</v>
      </c>
      <c r="AG2198" s="1" t="s">
        <v>132</v>
      </c>
      <c r="AH2198" s="1" t="s">
        <v>132</v>
      </c>
      <c r="AI2198" s="1" t="s">
        <v>132</v>
      </c>
      <c r="AJ2198" s="1" t="s">
        <v>132</v>
      </c>
      <c r="AK2198" s="1" t="s">
        <v>132</v>
      </c>
      <c r="AL2198" s="1" t="s">
        <v>132</v>
      </c>
      <c r="AM2198" s="1" t="s">
        <v>132</v>
      </c>
      <c r="AN2198" s="1" t="s">
        <v>132</v>
      </c>
    </row>
    <row r="2199" ht="15.75" customHeight="1">
      <c r="A2199" s="1" t="s">
        <v>127</v>
      </c>
      <c r="B2199" s="1" t="s">
        <v>42237</v>
      </c>
      <c r="C2199" s="1" t="s">
        <v>42238</v>
      </c>
      <c r="D2199" s="8" t="s">
        <v>42239</v>
      </c>
      <c r="E2199" s="1" t="s">
        <v>42240</v>
      </c>
      <c r="F2199" s="1" t="s">
        <v>132</v>
      </c>
      <c r="G2199" s="1" t="s">
        <v>42241</v>
      </c>
      <c r="H2199" s="1" t="s">
        <v>42242</v>
      </c>
      <c r="I2199" s="1" t="s">
        <v>42243</v>
      </c>
      <c r="J2199" s="1" t="s">
        <v>42244</v>
      </c>
      <c r="K2199" s="1" t="s">
        <v>42245</v>
      </c>
      <c r="L2199" s="1" t="s">
        <v>42246</v>
      </c>
      <c r="M2199" s="1" t="s">
        <v>42247</v>
      </c>
      <c r="N2199" s="1" t="s">
        <v>132</v>
      </c>
      <c r="O2199" s="1" t="s">
        <v>42248</v>
      </c>
      <c r="P2199" s="1" t="s">
        <v>42238</v>
      </c>
      <c r="Q2199" s="1" t="s">
        <v>132</v>
      </c>
      <c r="R2199" s="1" t="s">
        <v>42249</v>
      </c>
      <c r="S2199" s="1" t="s">
        <v>42250</v>
      </c>
      <c r="T2199" s="8" t="s">
        <v>42251</v>
      </c>
      <c r="U2199" s="1" t="s">
        <v>42252</v>
      </c>
      <c r="V2199" s="1" t="s">
        <v>42253</v>
      </c>
      <c r="W2199" s="1" t="s">
        <v>42249</v>
      </c>
      <c r="X2199" s="1" t="s">
        <v>42254</v>
      </c>
      <c r="Y2199" s="1" t="s">
        <v>42255</v>
      </c>
      <c r="Z2199" s="1" t="s">
        <v>42256</v>
      </c>
      <c r="AA2199" s="1" t="s">
        <v>42257</v>
      </c>
      <c r="AB2199" s="1" t="s">
        <v>132</v>
      </c>
      <c r="AC2199" s="1" t="s">
        <v>42258</v>
      </c>
      <c r="AD2199" s="1" t="s">
        <v>42259</v>
      </c>
      <c r="AE2199" s="1" t="s">
        <v>42260</v>
      </c>
      <c r="AF2199" s="1" t="s">
        <v>42261</v>
      </c>
      <c r="AG2199" s="1" t="s">
        <v>42262</v>
      </c>
      <c r="AH2199" s="1" t="s">
        <v>42263</v>
      </c>
      <c r="AI2199" s="1" t="s">
        <v>42264</v>
      </c>
      <c r="AJ2199" s="1" t="s">
        <v>132</v>
      </c>
      <c r="AK2199" s="1" t="s">
        <v>42265</v>
      </c>
      <c r="AL2199" s="1" t="s">
        <v>42266</v>
      </c>
      <c r="AM2199" s="1" t="s">
        <v>132</v>
      </c>
      <c r="AN2199" s="1" t="s">
        <v>132</v>
      </c>
    </row>
    <row r="2200" ht="15.75" customHeight="1">
      <c r="A2200" s="1" t="s">
        <v>38</v>
      </c>
      <c r="B2200" s="1" t="s">
        <v>42267</v>
      </c>
      <c r="C2200" s="1" t="s">
        <v>42268</v>
      </c>
      <c r="D2200" s="1" t="s">
        <v>132</v>
      </c>
      <c r="E2200" s="1" t="s">
        <v>42269</v>
      </c>
      <c r="F2200" s="1" t="s">
        <v>132</v>
      </c>
      <c r="G2200" s="1" t="s">
        <v>132</v>
      </c>
      <c r="H2200" s="1" t="s">
        <v>132</v>
      </c>
      <c r="I2200" s="1" t="s">
        <v>42270</v>
      </c>
      <c r="J2200" s="1" t="s">
        <v>132</v>
      </c>
      <c r="K2200" s="1" t="s">
        <v>42271</v>
      </c>
      <c r="L2200" s="1" t="s">
        <v>132</v>
      </c>
      <c r="M2200" s="1" t="s">
        <v>132</v>
      </c>
      <c r="N2200" s="1" t="s">
        <v>42272</v>
      </c>
      <c r="O2200" s="1" t="s">
        <v>132</v>
      </c>
      <c r="P2200" s="1" t="s">
        <v>42273</v>
      </c>
      <c r="Q2200" s="1" t="s">
        <v>132</v>
      </c>
      <c r="R2200" s="1" t="s">
        <v>132</v>
      </c>
      <c r="S2200" s="1" t="s">
        <v>42274</v>
      </c>
      <c r="T2200" s="1" t="s">
        <v>132</v>
      </c>
      <c r="U2200" s="1" t="s">
        <v>132</v>
      </c>
      <c r="V2200" s="1" t="s">
        <v>132</v>
      </c>
      <c r="W2200" s="1" t="s">
        <v>132</v>
      </c>
      <c r="X2200" s="1" t="s">
        <v>42275</v>
      </c>
      <c r="Y2200" s="1" t="s">
        <v>132</v>
      </c>
      <c r="Z2200" s="1" t="s">
        <v>42276</v>
      </c>
      <c r="AA2200" s="1" t="s">
        <v>132</v>
      </c>
      <c r="AB2200" s="1" t="s">
        <v>132</v>
      </c>
      <c r="AC2200" s="1" t="s">
        <v>132</v>
      </c>
      <c r="AD2200" s="1" t="s">
        <v>132</v>
      </c>
      <c r="AE2200" s="1" t="s">
        <v>132</v>
      </c>
      <c r="AF2200" s="1" t="s">
        <v>132</v>
      </c>
      <c r="AG2200" s="1" t="s">
        <v>132</v>
      </c>
      <c r="AH2200" s="1" t="s">
        <v>132</v>
      </c>
      <c r="AI2200" s="1" t="s">
        <v>132</v>
      </c>
      <c r="AJ2200" s="1" t="s">
        <v>132</v>
      </c>
      <c r="AK2200" s="1" t="s">
        <v>132</v>
      </c>
      <c r="AL2200" s="1" t="s">
        <v>132</v>
      </c>
      <c r="AM2200" s="1" t="s">
        <v>132</v>
      </c>
      <c r="AN2200" s="1" t="s">
        <v>132</v>
      </c>
    </row>
    <row r="2201" ht="15.75" customHeight="1">
      <c r="A2201" s="1" t="s">
        <v>127</v>
      </c>
      <c r="B2201" s="1" t="s">
        <v>42277</v>
      </c>
      <c r="C2201" s="1" t="s">
        <v>42278</v>
      </c>
      <c r="D2201" s="8" t="s">
        <v>42279</v>
      </c>
      <c r="E2201" s="1" t="s">
        <v>42280</v>
      </c>
      <c r="F2201" s="1" t="s">
        <v>132</v>
      </c>
      <c r="G2201" s="1" t="s">
        <v>42281</v>
      </c>
      <c r="H2201" s="1" t="s">
        <v>42282</v>
      </c>
      <c r="I2201" s="1" t="s">
        <v>42283</v>
      </c>
      <c r="J2201" s="1" t="s">
        <v>42284</v>
      </c>
      <c r="K2201" s="1" t="s">
        <v>42285</v>
      </c>
      <c r="L2201" s="1" t="s">
        <v>42286</v>
      </c>
      <c r="M2201" s="1" t="s">
        <v>42287</v>
      </c>
      <c r="N2201" s="1" t="s">
        <v>132</v>
      </c>
      <c r="O2201" s="1" t="s">
        <v>42288</v>
      </c>
      <c r="P2201" s="1" t="s">
        <v>42289</v>
      </c>
      <c r="Q2201" s="1" t="s">
        <v>132</v>
      </c>
      <c r="R2201" s="1" t="s">
        <v>42290</v>
      </c>
      <c r="S2201" s="1" t="s">
        <v>42291</v>
      </c>
      <c r="T2201" s="8" t="s">
        <v>42292</v>
      </c>
      <c r="U2201" s="1" t="s">
        <v>42293</v>
      </c>
      <c r="V2201" s="1" t="s">
        <v>42294</v>
      </c>
      <c r="W2201" s="1" t="s">
        <v>42295</v>
      </c>
      <c r="X2201" s="1" t="s">
        <v>42296</v>
      </c>
      <c r="Y2201" s="1" t="s">
        <v>42297</v>
      </c>
      <c r="Z2201" s="1" t="s">
        <v>42298</v>
      </c>
      <c r="AA2201" s="1" t="s">
        <v>42299</v>
      </c>
      <c r="AB2201" s="1" t="s">
        <v>132</v>
      </c>
      <c r="AC2201" s="1" t="s">
        <v>42300</v>
      </c>
      <c r="AD2201" s="1" t="s">
        <v>42301</v>
      </c>
      <c r="AE2201" s="1" t="s">
        <v>42302</v>
      </c>
      <c r="AF2201" s="1" t="s">
        <v>42303</v>
      </c>
      <c r="AG2201" s="1" t="s">
        <v>42304</v>
      </c>
      <c r="AH2201" s="1" t="s">
        <v>42305</v>
      </c>
      <c r="AI2201" s="1" t="s">
        <v>42306</v>
      </c>
      <c r="AJ2201" s="1" t="s">
        <v>132</v>
      </c>
      <c r="AK2201" s="1" t="s">
        <v>42307</v>
      </c>
      <c r="AL2201" s="1" t="s">
        <v>42308</v>
      </c>
      <c r="AM2201" s="1" t="s">
        <v>42309</v>
      </c>
      <c r="AN2201" s="1" t="s">
        <v>42309</v>
      </c>
    </row>
    <row r="2202" ht="15.75" customHeight="1">
      <c r="A2202" s="1" t="s">
        <v>38</v>
      </c>
      <c r="B2202" s="1" t="s">
        <v>42310</v>
      </c>
      <c r="C2202" s="1" t="s">
        <v>42311</v>
      </c>
      <c r="D2202" s="8" t="s">
        <v>42312</v>
      </c>
      <c r="E2202" s="1" t="s">
        <v>42313</v>
      </c>
      <c r="F2202" s="1" t="s">
        <v>42314</v>
      </c>
      <c r="G2202" s="1" t="s">
        <v>132</v>
      </c>
      <c r="H2202" s="1" t="s">
        <v>132</v>
      </c>
      <c r="I2202" s="1" t="s">
        <v>42315</v>
      </c>
      <c r="J2202" s="1" t="s">
        <v>132</v>
      </c>
      <c r="K2202" s="1" t="s">
        <v>42316</v>
      </c>
      <c r="L2202" s="1" t="s">
        <v>132</v>
      </c>
      <c r="M2202" s="1" t="s">
        <v>42317</v>
      </c>
      <c r="N2202" s="1" t="s">
        <v>42316</v>
      </c>
      <c r="O2202" s="1" t="s">
        <v>132</v>
      </c>
      <c r="P2202" s="1" t="s">
        <v>42318</v>
      </c>
      <c r="Q2202" s="1" t="s">
        <v>42319</v>
      </c>
      <c r="R2202" s="1" t="s">
        <v>132</v>
      </c>
      <c r="S2202" s="1" t="s">
        <v>42320</v>
      </c>
      <c r="T2202" s="1" t="s">
        <v>132</v>
      </c>
      <c r="U2202" s="1" t="s">
        <v>42321</v>
      </c>
      <c r="V2202" s="1" t="s">
        <v>42322</v>
      </c>
      <c r="W2202" s="1" t="s">
        <v>132</v>
      </c>
      <c r="X2202" s="1" t="s">
        <v>42323</v>
      </c>
      <c r="Y2202" s="1" t="s">
        <v>132</v>
      </c>
      <c r="Z2202" s="1" t="s">
        <v>42324</v>
      </c>
      <c r="AA2202" s="1" t="s">
        <v>42316</v>
      </c>
      <c r="AB2202" s="1" t="s">
        <v>132</v>
      </c>
      <c r="AC2202" s="1" t="s">
        <v>42325</v>
      </c>
      <c r="AD2202" s="1" t="s">
        <v>42326</v>
      </c>
      <c r="AE2202" s="1" t="s">
        <v>132</v>
      </c>
      <c r="AF2202" s="1" t="s">
        <v>42327</v>
      </c>
      <c r="AG2202" s="1" t="s">
        <v>42328</v>
      </c>
      <c r="AH2202" s="1" t="s">
        <v>132</v>
      </c>
      <c r="AI2202" s="1" t="s">
        <v>132</v>
      </c>
      <c r="AJ2202" s="1" t="s">
        <v>42329</v>
      </c>
      <c r="AK2202" s="1" t="s">
        <v>42330</v>
      </c>
      <c r="AL2202" s="1" t="s">
        <v>132</v>
      </c>
      <c r="AM2202" s="1" t="s">
        <v>42331</v>
      </c>
      <c r="AN2202" s="1" t="s">
        <v>42331</v>
      </c>
    </row>
    <row r="2203" ht="15.75" customHeight="1">
      <c r="A2203" s="1" t="s">
        <v>38</v>
      </c>
      <c r="B2203" s="1" t="s">
        <v>42332</v>
      </c>
      <c r="C2203" s="1" t="s">
        <v>42333</v>
      </c>
      <c r="D2203" s="8" t="s">
        <v>42334</v>
      </c>
      <c r="E2203" s="1" t="s">
        <v>42335</v>
      </c>
      <c r="F2203" s="1" t="s">
        <v>42336</v>
      </c>
      <c r="G2203" s="1" t="s">
        <v>132</v>
      </c>
      <c r="H2203" s="1" t="s">
        <v>132</v>
      </c>
      <c r="I2203" s="1" t="s">
        <v>28598</v>
      </c>
      <c r="J2203" s="1" t="s">
        <v>132</v>
      </c>
      <c r="K2203" s="1" t="s">
        <v>42337</v>
      </c>
      <c r="L2203" s="1" t="s">
        <v>132</v>
      </c>
      <c r="M2203" s="1" t="s">
        <v>42338</v>
      </c>
      <c r="N2203" s="1" t="s">
        <v>42339</v>
      </c>
      <c r="O2203" s="1" t="s">
        <v>132</v>
      </c>
      <c r="P2203" s="1" t="s">
        <v>42340</v>
      </c>
      <c r="Q2203" s="1" t="s">
        <v>42341</v>
      </c>
      <c r="R2203" s="1" t="s">
        <v>132</v>
      </c>
      <c r="S2203" s="1" t="s">
        <v>42342</v>
      </c>
      <c r="T2203" s="1" t="s">
        <v>132</v>
      </c>
      <c r="U2203" s="1" t="s">
        <v>42343</v>
      </c>
      <c r="V2203" s="1" t="s">
        <v>42344</v>
      </c>
      <c r="W2203" s="1" t="s">
        <v>132</v>
      </c>
      <c r="X2203" s="1" t="s">
        <v>42345</v>
      </c>
      <c r="Y2203" s="1" t="s">
        <v>132</v>
      </c>
      <c r="Z2203" s="1" t="s">
        <v>42346</v>
      </c>
      <c r="AA2203" s="1" t="s">
        <v>42347</v>
      </c>
      <c r="AB2203" s="1" t="s">
        <v>132</v>
      </c>
      <c r="AC2203" s="1" t="s">
        <v>42348</v>
      </c>
      <c r="AD2203" s="1" t="s">
        <v>42349</v>
      </c>
      <c r="AE2203" s="1" t="s">
        <v>132</v>
      </c>
      <c r="AF2203" s="1" t="s">
        <v>42350</v>
      </c>
      <c r="AG2203" s="1" t="s">
        <v>42351</v>
      </c>
      <c r="AH2203" s="1" t="s">
        <v>132</v>
      </c>
      <c r="AI2203" s="1" t="s">
        <v>132</v>
      </c>
      <c r="AJ2203" s="1" t="s">
        <v>42352</v>
      </c>
      <c r="AK2203" s="1" t="s">
        <v>42353</v>
      </c>
      <c r="AL2203" s="1" t="s">
        <v>132</v>
      </c>
      <c r="AM2203" s="1" t="s">
        <v>42354</v>
      </c>
      <c r="AN2203" s="1" t="s">
        <v>42354</v>
      </c>
    </row>
    <row r="2204" ht="15.75" customHeight="1">
      <c r="A2204" s="1" t="s">
        <v>127</v>
      </c>
      <c r="B2204" s="1" t="s">
        <v>42355</v>
      </c>
      <c r="C2204" s="1" t="s">
        <v>6808</v>
      </c>
      <c r="D2204" s="8" t="s">
        <v>6809</v>
      </c>
      <c r="E2204" s="1" t="s">
        <v>6810</v>
      </c>
      <c r="F2204" s="1" t="s">
        <v>132</v>
      </c>
      <c r="G2204" s="1" t="s">
        <v>6808</v>
      </c>
      <c r="H2204" s="1" t="s">
        <v>6808</v>
      </c>
      <c r="I2204" s="1" t="s">
        <v>6808</v>
      </c>
      <c r="J2204" s="1" t="s">
        <v>6811</v>
      </c>
      <c r="K2204" s="1" t="s">
        <v>6812</v>
      </c>
      <c r="L2204" s="1" t="s">
        <v>6808</v>
      </c>
      <c r="M2204" s="1" t="s">
        <v>6808</v>
      </c>
      <c r="N2204" s="1" t="s">
        <v>132</v>
      </c>
      <c r="O2204" s="1" t="s">
        <v>6813</v>
      </c>
      <c r="P2204" s="1" t="s">
        <v>6814</v>
      </c>
      <c r="Q2204" s="1" t="s">
        <v>132</v>
      </c>
      <c r="R2204" s="1" t="s">
        <v>6808</v>
      </c>
      <c r="S2204" s="1" t="s">
        <v>6815</v>
      </c>
      <c r="T2204" s="8" t="s">
        <v>6816</v>
      </c>
      <c r="U2204" s="1" t="s">
        <v>6817</v>
      </c>
      <c r="V2204" s="1" t="s">
        <v>6818</v>
      </c>
      <c r="W2204" s="1" t="s">
        <v>6808</v>
      </c>
      <c r="X2204" s="1" t="s">
        <v>6808</v>
      </c>
      <c r="Y2204" s="1" t="s">
        <v>6808</v>
      </c>
      <c r="Z2204" s="1" t="s">
        <v>6819</v>
      </c>
      <c r="AA2204" s="1" t="s">
        <v>6820</v>
      </c>
      <c r="AB2204" s="1" t="s">
        <v>132</v>
      </c>
      <c r="AC2204" s="1" t="s">
        <v>6822</v>
      </c>
      <c r="AD2204" s="1" t="s">
        <v>6823</v>
      </c>
      <c r="AE2204" s="1" t="s">
        <v>6824</v>
      </c>
      <c r="AF2204" s="1" t="s">
        <v>6825</v>
      </c>
      <c r="AG2204" s="1" t="s">
        <v>6808</v>
      </c>
      <c r="AH2204" s="1" t="s">
        <v>6826</v>
      </c>
      <c r="AI2204" s="1" t="s">
        <v>6827</v>
      </c>
      <c r="AJ2204" s="1" t="s">
        <v>132</v>
      </c>
      <c r="AK2204" s="1" t="s">
        <v>6828</v>
      </c>
      <c r="AL2204" s="1" t="s">
        <v>6829</v>
      </c>
      <c r="AM2204" s="1" t="s">
        <v>6830</v>
      </c>
      <c r="AN2204" s="1" t="s">
        <v>6830</v>
      </c>
    </row>
    <row r="2205" ht="15.75" customHeight="1">
      <c r="A2205" s="1" t="s">
        <v>127</v>
      </c>
      <c r="B2205" s="1" t="s">
        <v>42356</v>
      </c>
      <c r="C2205" s="1" t="s">
        <v>42357</v>
      </c>
      <c r="D2205" s="8" t="s">
        <v>42358</v>
      </c>
      <c r="E2205" s="1" t="s">
        <v>42359</v>
      </c>
      <c r="F2205" s="1" t="s">
        <v>132</v>
      </c>
      <c r="G2205" s="1" t="s">
        <v>42360</v>
      </c>
      <c r="H2205" s="1" t="s">
        <v>42361</v>
      </c>
      <c r="I2205" s="1" t="s">
        <v>42362</v>
      </c>
      <c r="J2205" s="1" t="s">
        <v>42363</v>
      </c>
      <c r="K2205" s="1" t="s">
        <v>42364</v>
      </c>
      <c r="L2205" s="1" t="s">
        <v>42365</v>
      </c>
      <c r="M2205" s="1" t="s">
        <v>42366</v>
      </c>
      <c r="N2205" s="1" t="s">
        <v>132</v>
      </c>
      <c r="O2205" s="1" t="s">
        <v>42367</v>
      </c>
      <c r="P2205" s="1" t="s">
        <v>42368</v>
      </c>
      <c r="Q2205" s="1" t="s">
        <v>132</v>
      </c>
      <c r="R2205" s="1" t="s">
        <v>42369</v>
      </c>
      <c r="S2205" s="1" t="s">
        <v>42370</v>
      </c>
      <c r="T2205" s="8" t="s">
        <v>42371</v>
      </c>
      <c r="U2205" s="1" t="s">
        <v>42372</v>
      </c>
      <c r="V2205" s="1" t="s">
        <v>42373</v>
      </c>
      <c r="W2205" s="1" t="s">
        <v>42374</v>
      </c>
      <c r="X2205" s="1" t="s">
        <v>42375</v>
      </c>
      <c r="Y2205" s="1" t="s">
        <v>42376</v>
      </c>
      <c r="Z2205" s="1" t="s">
        <v>42377</v>
      </c>
      <c r="AA2205" s="1" t="s">
        <v>42378</v>
      </c>
      <c r="AB2205" s="1" t="s">
        <v>132</v>
      </c>
      <c r="AC2205" s="1" t="s">
        <v>42379</v>
      </c>
      <c r="AD2205" s="1" t="s">
        <v>42380</v>
      </c>
      <c r="AE2205" s="1" t="s">
        <v>42381</v>
      </c>
      <c r="AF2205" s="1" t="s">
        <v>42382</v>
      </c>
      <c r="AG2205" s="1" t="s">
        <v>42383</v>
      </c>
      <c r="AH2205" s="1" t="s">
        <v>42384</v>
      </c>
      <c r="AI2205" s="1" t="s">
        <v>42385</v>
      </c>
      <c r="AJ2205" s="1" t="s">
        <v>132</v>
      </c>
      <c r="AK2205" s="1" t="s">
        <v>42386</v>
      </c>
      <c r="AL2205" s="1" t="s">
        <v>42387</v>
      </c>
      <c r="AM2205" s="1" t="s">
        <v>132</v>
      </c>
      <c r="AN2205" s="1" t="s">
        <v>132</v>
      </c>
    </row>
    <row r="2206" ht="15.75" customHeight="1">
      <c r="A2206" s="1" t="s">
        <v>38</v>
      </c>
      <c r="B2206" s="1" t="s">
        <v>42388</v>
      </c>
      <c r="C2206" s="1" t="s">
        <v>42389</v>
      </c>
      <c r="D2206" s="8" t="s">
        <v>42390</v>
      </c>
      <c r="E2206" s="1" t="s">
        <v>42391</v>
      </c>
      <c r="F2206" s="1" t="s">
        <v>42392</v>
      </c>
      <c r="G2206" s="1" t="s">
        <v>132</v>
      </c>
      <c r="H2206" s="1" t="s">
        <v>132</v>
      </c>
      <c r="I2206" s="1" t="s">
        <v>42393</v>
      </c>
      <c r="J2206" s="1" t="s">
        <v>132</v>
      </c>
      <c r="K2206" s="1" t="s">
        <v>42394</v>
      </c>
      <c r="L2206" s="1" t="s">
        <v>132</v>
      </c>
      <c r="M2206" s="1" t="s">
        <v>42395</v>
      </c>
      <c r="N2206" s="1" t="s">
        <v>42396</v>
      </c>
      <c r="O2206" s="1" t="s">
        <v>132</v>
      </c>
      <c r="P2206" s="1" t="s">
        <v>42397</v>
      </c>
      <c r="Q2206" s="1" t="s">
        <v>132</v>
      </c>
      <c r="R2206" s="1" t="s">
        <v>132</v>
      </c>
      <c r="S2206" s="1" t="s">
        <v>42398</v>
      </c>
      <c r="T2206" s="1" t="s">
        <v>132</v>
      </c>
      <c r="U2206" s="1" t="s">
        <v>42399</v>
      </c>
      <c r="V2206" s="1" t="s">
        <v>132</v>
      </c>
      <c r="W2206" s="1" t="s">
        <v>132</v>
      </c>
      <c r="X2206" s="1" t="s">
        <v>42400</v>
      </c>
      <c r="Y2206" s="1" t="s">
        <v>132</v>
      </c>
      <c r="Z2206" s="1" t="s">
        <v>42401</v>
      </c>
      <c r="AA2206" s="1" t="s">
        <v>132</v>
      </c>
      <c r="AB2206" s="1" t="s">
        <v>132</v>
      </c>
      <c r="AC2206" s="1" t="s">
        <v>42402</v>
      </c>
      <c r="AD2206" s="1" t="s">
        <v>132</v>
      </c>
      <c r="AE2206" s="1" t="s">
        <v>132</v>
      </c>
      <c r="AF2206" s="1" t="s">
        <v>42403</v>
      </c>
      <c r="AG2206" s="1" t="s">
        <v>42404</v>
      </c>
      <c r="AH2206" s="1" t="s">
        <v>132</v>
      </c>
      <c r="AI2206" s="1" t="s">
        <v>132</v>
      </c>
      <c r="AJ2206" s="1" t="s">
        <v>42405</v>
      </c>
      <c r="AK2206" s="1" t="s">
        <v>132</v>
      </c>
      <c r="AL2206" s="1" t="s">
        <v>132</v>
      </c>
      <c r="AM2206" s="1" t="s">
        <v>42406</v>
      </c>
      <c r="AN2206" s="1" t="s">
        <v>42406</v>
      </c>
    </row>
    <row r="2207" ht="15.75" customHeight="1">
      <c r="A2207" s="1" t="s">
        <v>127</v>
      </c>
      <c r="B2207" s="1" t="s">
        <v>42407</v>
      </c>
      <c r="C2207" s="1" t="s">
        <v>42408</v>
      </c>
      <c r="D2207" s="8" t="s">
        <v>42409</v>
      </c>
      <c r="E2207" s="1" t="s">
        <v>42410</v>
      </c>
      <c r="F2207" s="1" t="s">
        <v>132</v>
      </c>
      <c r="G2207" s="1" t="s">
        <v>42411</v>
      </c>
      <c r="H2207" s="1" t="s">
        <v>42412</v>
      </c>
      <c r="I2207" s="1" t="s">
        <v>42413</v>
      </c>
      <c r="J2207" s="1" t="s">
        <v>42414</v>
      </c>
      <c r="K2207" s="1" t="s">
        <v>42415</v>
      </c>
      <c r="L2207" s="1" t="s">
        <v>42416</v>
      </c>
      <c r="M2207" s="1" t="s">
        <v>42417</v>
      </c>
      <c r="N2207" s="1" t="s">
        <v>132</v>
      </c>
      <c r="O2207" s="1" t="s">
        <v>42418</v>
      </c>
      <c r="P2207" s="1" t="s">
        <v>42419</v>
      </c>
      <c r="Q2207" s="1" t="s">
        <v>132</v>
      </c>
      <c r="R2207" s="1" t="s">
        <v>42420</v>
      </c>
      <c r="S2207" s="1" t="s">
        <v>42408</v>
      </c>
      <c r="T2207" s="8" t="s">
        <v>42421</v>
      </c>
      <c r="U2207" s="1" t="s">
        <v>42422</v>
      </c>
      <c r="V2207" s="1" t="s">
        <v>42423</v>
      </c>
      <c r="W2207" s="1" t="s">
        <v>42424</v>
      </c>
      <c r="X2207" s="1" t="s">
        <v>42425</v>
      </c>
      <c r="Y2207" s="1" t="s">
        <v>42426</v>
      </c>
      <c r="Z2207" s="1" t="s">
        <v>42427</v>
      </c>
      <c r="AA2207" s="1" t="s">
        <v>42428</v>
      </c>
      <c r="AB2207" s="1" t="s">
        <v>132</v>
      </c>
      <c r="AC2207" s="1" t="s">
        <v>42429</v>
      </c>
      <c r="AD2207" s="1" t="s">
        <v>42430</v>
      </c>
      <c r="AE2207" s="1" t="s">
        <v>42431</v>
      </c>
      <c r="AF2207" s="1" t="s">
        <v>42408</v>
      </c>
      <c r="AG2207" s="1" t="s">
        <v>42432</v>
      </c>
      <c r="AH2207" s="1" t="s">
        <v>42433</v>
      </c>
      <c r="AI2207" s="1" t="s">
        <v>42434</v>
      </c>
      <c r="AJ2207" s="1" t="s">
        <v>132</v>
      </c>
      <c r="AK2207" s="1" t="s">
        <v>42435</v>
      </c>
      <c r="AL2207" s="1" t="s">
        <v>42436</v>
      </c>
      <c r="AM2207" s="1" t="s">
        <v>132</v>
      </c>
      <c r="AN2207" s="1" t="s">
        <v>132</v>
      </c>
    </row>
    <row r="2208" ht="15.75" customHeight="1">
      <c r="A2208" s="1" t="s">
        <v>127</v>
      </c>
      <c r="B2208" s="1" t="s">
        <v>42437</v>
      </c>
      <c r="C2208" s="1" t="s">
        <v>42438</v>
      </c>
      <c r="D2208" s="8" t="s">
        <v>42439</v>
      </c>
      <c r="E2208" s="1" t="s">
        <v>42440</v>
      </c>
      <c r="F2208" s="1" t="s">
        <v>132</v>
      </c>
      <c r="G2208" s="1" t="s">
        <v>42441</v>
      </c>
      <c r="H2208" s="1" t="s">
        <v>42442</v>
      </c>
      <c r="I2208" s="1" t="s">
        <v>42443</v>
      </c>
      <c r="J2208" s="1" t="s">
        <v>42444</v>
      </c>
      <c r="K2208" s="1" t="s">
        <v>42445</v>
      </c>
      <c r="L2208" s="1" t="s">
        <v>42446</v>
      </c>
      <c r="M2208" s="1" t="s">
        <v>42447</v>
      </c>
      <c r="N2208" s="1" t="s">
        <v>132</v>
      </c>
      <c r="O2208" s="1" t="s">
        <v>42448</v>
      </c>
      <c r="P2208" s="1" t="s">
        <v>42438</v>
      </c>
      <c r="Q2208" s="1" t="s">
        <v>132</v>
      </c>
      <c r="R2208" s="1" t="s">
        <v>42449</v>
      </c>
      <c r="S2208" s="1" t="s">
        <v>42450</v>
      </c>
      <c r="T2208" s="8" t="s">
        <v>42451</v>
      </c>
      <c r="U2208" s="1" t="s">
        <v>42452</v>
      </c>
      <c r="V2208" s="1" t="s">
        <v>42453</v>
      </c>
      <c r="W2208" s="1" t="s">
        <v>42449</v>
      </c>
      <c r="X2208" s="1" t="s">
        <v>42454</v>
      </c>
      <c r="Y2208" s="1" t="s">
        <v>42455</v>
      </c>
      <c r="Z2208" s="1" t="s">
        <v>42456</v>
      </c>
      <c r="AA2208" s="1" t="s">
        <v>42457</v>
      </c>
      <c r="AB2208" s="1" t="s">
        <v>132</v>
      </c>
      <c r="AC2208" s="1" t="s">
        <v>42458</v>
      </c>
      <c r="AD2208" s="1" t="s">
        <v>42459</v>
      </c>
      <c r="AE2208" s="1" t="s">
        <v>42460</v>
      </c>
      <c r="AF2208" s="1" t="s">
        <v>42461</v>
      </c>
      <c r="AG2208" s="1" t="s">
        <v>42462</v>
      </c>
      <c r="AH2208" s="1" t="s">
        <v>42463</v>
      </c>
      <c r="AI2208" s="1" t="s">
        <v>42464</v>
      </c>
      <c r="AJ2208" s="1" t="s">
        <v>132</v>
      </c>
      <c r="AK2208" s="1" t="s">
        <v>42465</v>
      </c>
      <c r="AL2208" s="1" t="s">
        <v>42466</v>
      </c>
      <c r="AM2208" s="1" t="s">
        <v>132</v>
      </c>
      <c r="AN2208" s="1" t="s">
        <v>132</v>
      </c>
    </row>
    <row r="2209" ht="15.75" customHeight="1">
      <c r="A2209" s="1" t="s">
        <v>38</v>
      </c>
      <c r="B2209" s="1" t="s">
        <v>42467</v>
      </c>
      <c r="C2209" s="1" t="s">
        <v>42468</v>
      </c>
      <c r="D2209" s="1" t="s">
        <v>132</v>
      </c>
      <c r="E2209" s="1" t="s">
        <v>132</v>
      </c>
      <c r="F2209" s="1" t="s">
        <v>132</v>
      </c>
      <c r="G2209" s="1" t="s">
        <v>132</v>
      </c>
      <c r="H2209" s="1" t="s">
        <v>132</v>
      </c>
      <c r="I2209" s="1" t="s">
        <v>42469</v>
      </c>
      <c r="J2209" s="1" t="s">
        <v>132</v>
      </c>
      <c r="K2209" s="1" t="s">
        <v>42470</v>
      </c>
      <c r="L2209" s="1" t="s">
        <v>132</v>
      </c>
      <c r="M2209" s="1" t="s">
        <v>42468</v>
      </c>
      <c r="N2209" s="1" t="s">
        <v>132</v>
      </c>
      <c r="O2209" s="1" t="s">
        <v>132</v>
      </c>
      <c r="P2209" s="1" t="s">
        <v>42468</v>
      </c>
      <c r="Q2209" s="1" t="s">
        <v>132</v>
      </c>
      <c r="R2209" s="1" t="s">
        <v>132</v>
      </c>
      <c r="S2209" s="1" t="s">
        <v>132</v>
      </c>
      <c r="T2209" s="1" t="s">
        <v>132</v>
      </c>
      <c r="U2209" s="1" t="s">
        <v>132</v>
      </c>
      <c r="V2209" s="1" t="s">
        <v>132</v>
      </c>
      <c r="W2209" s="1" t="s">
        <v>132</v>
      </c>
      <c r="X2209" s="1" t="s">
        <v>132</v>
      </c>
      <c r="Y2209" s="1" t="s">
        <v>132</v>
      </c>
      <c r="Z2209" s="1" t="s">
        <v>132</v>
      </c>
      <c r="AA2209" s="1" t="s">
        <v>132</v>
      </c>
      <c r="AB2209" s="1" t="s">
        <v>132</v>
      </c>
      <c r="AC2209" s="1" t="s">
        <v>42471</v>
      </c>
      <c r="AD2209" s="1" t="s">
        <v>132</v>
      </c>
      <c r="AE2209" s="1" t="s">
        <v>132</v>
      </c>
      <c r="AF2209" s="1" t="s">
        <v>42469</v>
      </c>
      <c r="AG2209" s="1" t="s">
        <v>132</v>
      </c>
      <c r="AH2209" s="1" t="s">
        <v>132</v>
      </c>
      <c r="AI2209" s="1" t="s">
        <v>132</v>
      </c>
      <c r="AJ2209" s="1" t="s">
        <v>132</v>
      </c>
      <c r="AK2209" s="1" t="s">
        <v>132</v>
      </c>
      <c r="AL2209" s="1" t="s">
        <v>132</v>
      </c>
      <c r="AM2209" s="1" t="s">
        <v>132</v>
      </c>
      <c r="AN2209" s="1" t="s">
        <v>132</v>
      </c>
    </row>
    <row r="2210" ht="15.75" customHeight="1">
      <c r="A2210" s="1" t="s">
        <v>127</v>
      </c>
      <c r="B2210" s="1" t="s">
        <v>42472</v>
      </c>
      <c r="C2210" s="1" t="s">
        <v>42473</v>
      </c>
      <c r="D2210" s="8" t="s">
        <v>42474</v>
      </c>
      <c r="E2210" s="1" t="s">
        <v>42475</v>
      </c>
      <c r="F2210" s="1" t="s">
        <v>132</v>
      </c>
      <c r="G2210" s="1" t="s">
        <v>42476</v>
      </c>
      <c r="H2210" s="1" t="s">
        <v>42477</v>
      </c>
      <c r="I2210" s="1" t="s">
        <v>42478</v>
      </c>
      <c r="J2210" s="1" t="s">
        <v>42479</v>
      </c>
      <c r="K2210" s="1" t="s">
        <v>42480</v>
      </c>
      <c r="L2210" s="1" t="s">
        <v>42481</v>
      </c>
      <c r="M2210" s="1" t="s">
        <v>39934</v>
      </c>
      <c r="N2210" s="1" t="s">
        <v>132</v>
      </c>
      <c r="O2210" s="1" t="s">
        <v>42482</v>
      </c>
      <c r="P2210" s="1" t="s">
        <v>42483</v>
      </c>
      <c r="Q2210" s="1" t="s">
        <v>132</v>
      </c>
      <c r="R2210" s="1" t="s">
        <v>42484</v>
      </c>
      <c r="S2210" s="1" t="s">
        <v>42485</v>
      </c>
      <c r="T2210" s="8" t="s">
        <v>42486</v>
      </c>
      <c r="U2210" s="1" t="s">
        <v>8794</v>
      </c>
      <c r="V2210" s="1" t="s">
        <v>42487</v>
      </c>
      <c r="W2210" s="1" t="s">
        <v>42484</v>
      </c>
      <c r="X2210" s="1" t="s">
        <v>42473</v>
      </c>
      <c r="Y2210" s="1" t="s">
        <v>42488</v>
      </c>
      <c r="Z2210" s="1" t="s">
        <v>42489</v>
      </c>
      <c r="AA2210" s="1" t="s">
        <v>41967</v>
      </c>
      <c r="AB2210" s="1" t="s">
        <v>132</v>
      </c>
      <c r="AC2210" s="1" t="s">
        <v>42490</v>
      </c>
      <c r="AD2210" s="1" t="s">
        <v>42491</v>
      </c>
      <c r="AE2210" s="1" t="s">
        <v>42492</v>
      </c>
      <c r="AF2210" s="1" t="s">
        <v>42493</v>
      </c>
      <c r="AG2210" s="1" t="s">
        <v>42494</v>
      </c>
      <c r="AH2210" s="1" t="s">
        <v>42495</v>
      </c>
      <c r="AI2210" s="1" t="s">
        <v>42496</v>
      </c>
      <c r="AJ2210" s="1" t="s">
        <v>132</v>
      </c>
      <c r="AK2210" s="1" t="s">
        <v>42497</v>
      </c>
      <c r="AL2210" s="1" t="s">
        <v>42498</v>
      </c>
      <c r="AM2210" s="1" t="s">
        <v>42499</v>
      </c>
      <c r="AN2210" s="1" t="s">
        <v>42499</v>
      </c>
    </row>
    <row r="2211" ht="15.75" customHeight="1">
      <c r="A2211" s="1" t="s">
        <v>38</v>
      </c>
      <c r="B2211" s="1" t="s">
        <v>42500</v>
      </c>
      <c r="C2211" s="1" t="s">
        <v>42501</v>
      </c>
      <c r="D2211" s="8" t="s">
        <v>42502</v>
      </c>
      <c r="E2211" s="1" t="s">
        <v>42503</v>
      </c>
      <c r="F2211" s="1" t="s">
        <v>42504</v>
      </c>
      <c r="G2211" s="1" t="s">
        <v>132</v>
      </c>
      <c r="H2211" s="1" t="s">
        <v>132</v>
      </c>
      <c r="I2211" s="1" t="s">
        <v>42505</v>
      </c>
      <c r="J2211" s="1" t="s">
        <v>132</v>
      </c>
      <c r="K2211" s="1" t="s">
        <v>42506</v>
      </c>
      <c r="L2211" s="1" t="s">
        <v>132</v>
      </c>
      <c r="M2211" s="1" t="s">
        <v>42507</v>
      </c>
      <c r="N2211" s="1" t="s">
        <v>42508</v>
      </c>
      <c r="O2211" s="1" t="s">
        <v>132</v>
      </c>
      <c r="P2211" s="1" t="s">
        <v>42509</v>
      </c>
      <c r="Q2211" s="1" t="s">
        <v>42510</v>
      </c>
      <c r="R2211" s="1" t="s">
        <v>132</v>
      </c>
      <c r="S2211" s="1" t="s">
        <v>42511</v>
      </c>
      <c r="T2211" s="1" t="s">
        <v>132</v>
      </c>
      <c r="U2211" s="1" t="s">
        <v>42512</v>
      </c>
      <c r="V2211" s="1" t="s">
        <v>42501</v>
      </c>
      <c r="W2211" s="1" t="s">
        <v>132</v>
      </c>
      <c r="X2211" s="1" t="s">
        <v>42513</v>
      </c>
      <c r="Y2211" s="1" t="s">
        <v>132</v>
      </c>
      <c r="Z2211" s="1" t="s">
        <v>42514</v>
      </c>
      <c r="AA2211" s="1" t="s">
        <v>42508</v>
      </c>
      <c r="AB2211" s="1" t="s">
        <v>132</v>
      </c>
      <c r="AC2211" s="1" t="s">
        <v>42515</v>
      </c>
      <c r="AD2211" s="1" t="s">
        <v>42516</v>
      </c>
      <c r="AE2211" s="1" t="s">
        <v>132</v>
      </c>
      <c r="AF2211" s="1" t="s">
        <v>42517</v>
      </c>
      <c r="AG2211" s="1" t="s">
        <v>42518</v>
      </c>
      <c r="AH2211" s="1" t="s">
        <v>132</v>
      </c>
      <c r="AI2211" s="1" t="s">
        <v>132</v>
      </c>
      <c r="AJ2211" s="1" t="s">
        <v>42519</v>
      </c>
      <c r="AK2211" s="1" t="s">
        <v>42520</v>
      </c>
      <c r="AL2211" s="1" t="s">
        <v>132</v>
      </c>
      <c r="AM2211" s="1" t="s">
        <v>42521</v>
      </c>
      <c r="AN2211" s="1" t="s">
        <v>42521</v>
      </c>
    </row>
    <row r="2212" ht="15.75" customHeight="1">
      <c r="A2212" s="1" t="s">
        <v>132</v>
      </c>
      <c r="B2212" s="1" t="s">
        <v>132</v>
      </c>
      <c r="C2212" s="1" t="s">
        <v>132</v>
      </c>
      <c r="D2212" s="1" t="s">
        <v>132</v>
      </c>
      <c r="E2212" s="1" t="s">
        <v>132</v>
      </c>
      <c r="F2212" s="1" t="s">
        <v>132</v>
      </c>
      <c r="G2212" s="1" t="s">
        <v>132</v>
      </c>
      <c r="H2212" s="1" t="s">
        <v>132</v>
      </c>
      <c r="I2212" s="1" t="s">
        <v>132</v>
      </c>
      <c r="J2212" s="1" t="s">
        <v>132</v>
      </c>
      <c r="K2212" s="1" t="s">
        <v>132</v>
      </c>
      <c r="L2212" s="1" t="s">
        <v>132</v>
      </c>
      <c r="M2212" s="1" t="s">
        <v>132</v>
      </c>
      <c r="N2212" s="1" t="s">
        <v>132</v>
      </c>
      <c r="O2212" s="1" t="s">
        <v>132</v>
      </c>
      <c r="P2212" s="1" t="s">
        <v>132</v>
      </c>
      <c r="Q2212" s="1" t="s">
        <v>132</v>
      </c>
      <c r="R2212" s="1" t="s">
        <v>132</v>
      </c>
      <c r="S2212" s="1" t="s">
        <v>132</v>
      </c>
      <c r="T2212" s="1" t="s">
        <v>132</v>
      </c>
      <c r="U2212" s="1" t="s">
        <v>132</v>
      </c>
      <c r="V2212" s="1" t="s">
        <v>132</v>
      </c>
      <c r="W2212" s="1" t="s">
        <v>132</v>
      </c>
      <c r="X2212" s="1" t="s">
        <v>132</v>
      </c>
      <c r="Y2212" s="1" t="s">
        <v>132</v>
      </c>
      <c r="Z2212" s="1" t="s">
        <v>132</v>
      </c>
      <c r="AA2212" s="1" t="s">
        <v>132</v>
      </c>
      <c r="AB2212" s="1" t="s">
        <v>132</v>
      </c>
      <c r="AC2212" s="1" t="s">
        <v>132</v>
      </c>
      <c r="AD2212" s="1" t="s">
        <v>132</v>
      </c>
      <c r="AE2212" s="1" t="s">
        <v>132</v>
      </c>
      <c r="AF2212" s="1" t="s">
        <v>132</v>
      </c>
      <c r="AG2212" s="1" t="s">
        <v>132</v>
      </c>
      <c r="AH2212" s="1" t="s">
        <v>132</v>
      </c>
      <c r="AI2212" s="1" t="s">
        <v>132</v>
      </c>
      <c r="AJ2212" s="1" t="s">
        <v>132</v>
      </c>
      <c r="AK2212" s="1" t="s">
        <v>132</v>
      </c>
      <c r="AL2212" s="1" t="s">
        <v>132</v>
      </c>
      <c r="AM2212" s="1" t="s">
        <v>132</v>
      </c>
      <c r="AN2212" s="1" t="s">
        <v>132</v>
      </c>
    </row>
    <row r="2213" ht="15.75" customHeight="1">
      <c r="A2213" s="1" t="s">
        <v>38</v>
      </c>
      <c r="B2213" s="1" t="s">
        <v>42522</v>
      </c>
      <c r="C2213" s="1" t="s">
        <v>42523</v>
      </c>
      <c r="D2213" s="8" t="s">
        <v>42524</v>
      </c>
      <c r="E2213" s="1" t="s">
        <v>42525</v>
      </c>
      <c r="F2213" s="1" t="s">
        <v>42526</v>
      </c>
      <c r="G2213" s="1" t="s">
        <v>132</v>
      </c>
      <c r="H2213" s="1" t="s">
        <v>132</v>
      </c>
      <c r="I2213" s="1" t="s">
        <v>42527</v>
      </c>
      <c r="J2213" s="1" t="s">
        <v>132</v>
      </c>
      <c r="K2213" s="1" t="s">
        <v>42528</v>
      </c>
      <c r="L2213" s="1" t="s">
        <v>132</v>
      </c>
      <c r="M2213" s="1" t="s">
        <v>42529</v>
      </c>
      <c r="N2213" s="1" t="s">
        <v>42530</v>
      </c>
      <c r="O2213" s="1" t="s">
        <v>132</v>
      </c>
      <c r="P2213" s="1" t="s">
        <v>42531</v>
      </c>
      <c r="Q2213" s="1" t="s">
        <v>42532</v>
      </c>
      <c r="R2213" s="1" t="s">
        <v>132</v>
      </c>
      <c r="S2213" s="1" t="s">
        <v>42533</v>
      </c>
      <c r="T2213" s="1" t="s">
        <v>132</v>
      </c>
      <c r="U2213" s="1" t="s">
        <v>42534</v>
      </c>
      <c r="V2213" s="1" t="s">
        <v>42535</v>
      </c>
      <c r="W2213" s="1" t="s">
        <v>132</v>
      </c>
      <c r="X2213" s="1" t="s">
        <v>42536</v>
      </c>
      <c r="Y2213" s="1" t="s">
        <v>132</v>
      </c>
      <c r="Z2213" s="1" t="s">
        <v>42537</v>
      </c>
      <c r="AA2213" s="1" t="s">
        <v>42538</v>
      </c>
      <c r="AB2213" s="1" t="s">
        <v>132</v>
      </c>
      <c r="AC2213" s="1" t="s">
        <v>42539</v>
      </c>
      <c r="AD2213" s="1" t="s">
        <v>42540</v>
      </c>
      <c r="AE2213" s="1" t="s">
        <v>132</v>
      </c>
      <c r="AF2213" s="1" t="s">
        <v>42541</v>
      </c>
      <c r="AG2213" s="1" t="s">
        <v>42542</v>
      </c>
      <c r="AH2213" s="1" t="s">
        <v>132</v>
      </c>
      <c r="AI2213" s="1" t="s">
        <v>132</v>
      </c>
      <c r="AJ2213" s="1" t="s">
        <v>42543</v>
      </c>
      <c r="AK2213" s="1" t="s">
        <v>42544</v>
      </c>
      <c r="AL2213" s="1" t="s">
        <v>132</v>
      </c>
      <c r="AM2213" s="1" t="s">
        <v>42545</v>
      </c>
      <c r="AN2213" s="1" t="s">
        <v>42545</v>
      </c>
    </row>
    <row r="2214" ht="15.75" customHeight="1">
      <c r="A2214" s="1" t="s">
        <v>127</v>
      </c>
      <c r="B2214" s="1" t="s">
        <v>42546</v>
      </c>
      <c r="C2214" s="1" t="s">
        <v>42547</v>
      </c>
      <c r="D2214" s="8" t="s">
        <v>42548</v>
      </c>
      <c r="E2214" s="1" t="s">
        <v>42549</v>
      </c>
      <c r="F2214" s="1" t="s">
        <v>132</v>
      </c>
      <c r="G2214" s="1" t="s">
        <v>42550</v>
      </c>
      <c r="H2214" s="1" t="s">
        <v>42551</v>
      </c>
      <c r="I2214" s="1" t="s">
        <v>42552</v>
      </c>
      <c r="J2214" s="1" t="s">
        <v>42553</v>
      </c>
      <c r="K2214" s="1" t="s">
        <v>42554</v>
      </c>
      <c r="L2214" s="1" t="s">
        <v>42555</v>
      </c>
      <c r="M2214" s="1" t="s">
        <v>42556</v>
      </c>
      <c r="N2214" s="1" t="s">
        <v>132</v>
      </c>
      <c r="O2214" s="1" t="s">
        <v>42557</v>
      </c>
      <c r="P2214" s="1" t="s">
        <v>42558</v>
      </c>
      <c r="Q2214" s="1" t="s">
        <v>132</v>
      </c>
      <c r="R2214" s="1" t="s">
        <v>42559</v>
      </c>
      <c r="S2214" s="1" t="s">
        <v>42560</v>
      </c>
      <c r="T2214" s="8" t="s">
        <v>42561</v>
      </c>
      <c r="U2214" s="1" t="s">
        <v>42562</v>
      </c>
      <c r="V2214" s="1" t="s">
        <v>42563</v>
      </c>
      <c r="W2214" s="1" t="s">
        <v>42564</v>
      </c>
      <c r="X2214" s="1" t="s">
        <v>42565</v>
      </c>
      <c r="Y2214" s="1" t="s">
        <v>42551</v>
      </c>
      <c r="Z2214" s="1" t="s">
        <v>42566</v>
      </c>
      <c r="AA2214" s="1" t="s">
        <v>42567</v>
      </c>
      <c r="AB2214" s="1" t="s">
        <v>132</v>
      </c>
      <c r="AC2214" s="1" t="s">
        <v>42568</v>
      </c>
      <c r="AD2214" s="1" t="s">
        <v>42569</v>
      </c>
      <c r="AE2214" s="1" t="s">
        <v>42570</v>
      </c>
      <c r="AF2214" s="1" t="s">
        <v>42571</v>
      </c>
      <c r="AG2214" s="1" t="s">
        <v>42572</v>
      </c>
      <c r="AH2214" s="1" t="s">
        <v>42573</v>
      </c>
      <c r="AI2214" s="1" t="s">
        <v>42574</v>
      </c>
      <c r="AJ2214" s="1" t="s">
        <v>132</v>
      </c>
      <c r="AK2214" s="1" t="s">
        <v>42575</v>
      </c>
      <c r="AL2214" s="1" t="s">
        <v>42576</v>
      </c>
      <c r="AM2214" s="1" t="s">
        <v>42577</v>
      </c>
      <c r="AN2214" s="1" t="s">
        <v>42577</v>
      </c>
    </row>
    <row r="2215" ht="15.75" customHeight="1">
      <c r="A2215" s="1" t="s">
        <v>38</v>
      </c>
      <c r="B2215" s="1" t="s">
        <v>42578</v>
      </c>
      <c r="C2215" s="1" t="s">
        <v>42579</v>
      </c>
      <c r="D2215" s="1" t="s">
        <v>132</v>
      </c>
      <c r="E2215" s="1" t="s">
        <v>132</v>
      </c>
      <c r="F2215" s="1" t="s">
        <v>132</v>
      </c>
      <c r="G2215" s="1" t="s">
        <v>132</v>
      </c>
      <c r="H2215" s="1" t="s">
        <v>132</v>
      </c>
      <c r="I2215" s="1" t="s">
        <v>42580</v>
      </c>
      <c r="J2215" s="1" t="s">
        <v>132</v>
      </c>
      <c r="K2215" s="1" t="s">
        <v>42581</v>
      </c>
      <c r="L2215" s="1" t="s">
        <v>132</v>
      </c>
      <c r="M2215" s="1" t="s">
        <v>42582</v>
      </c>
      <c r="N2215" s="1" t="s">
        <v>132</v>
      </c>
      <c r="O2215" s="1" t="s">
        <v>132</v>
      </c>
      <c r="P2215" s="1" t="s">
        <v>42579</v>
      </c>
      <c r="Q2215" s="1" t="s">
        <v>132</v>
      </c>
      <c r="R2215" s="1" t="s">
        <v>132</v>
      </c>
      <c r="S2215" s="1" t="s">
        <v>132</v>
      </c>
      <c r="T2215" s="1" t="s">
        <v>132</v>
      </c>
      <c r="U2215" s="1" t="s">
        <v>132</v>
      </c>
      <c r="V2215" s="1" t="s">
        <v>132</v>
      </c>
      <c r="W2215" s="1" t="s">
        <v>132</v>
      </c>
      <c r="X2215" s="1" t="s">
        <v>132</v>
      </c>
      <c r="Y2215" s="1" t="s">
        <v>132</v>
      </c>
      <c r="Z2215" s="1" t="s">
        <v>132</v>
      </c>
      <c r="AA2215" s="1" t="s">
        <v>132</v>
      </c>
      <c r="AB2215" s="1" t="s">
        <v>132</v>
      </c>
      <c r="AC2215" s="1" t="s">
        <v>42583</v>
      </c>
      <c r="AD2215" s="1" t="s">
        <v>132</v>
      </c>
      <c r="AE2215" s="1" t="s">
        <v>132</v>
      </c>
      <c r="AF2215" s="1" t="s">
        <v>42584</v>
      </c>
      <c r="AG2215" s="1" t="s">
        <v>132</v>
      </c>
      <c r="AH2215" s="1" t="s">
        <v>132</v>
      </c>
      <c r="AI2215" s="1" t="s">
        <v>132</v>
      </c>
      <c r="AJ2215" s="1" t="s">
        <v>132</v>
      </c>
      <c r="AK2215" s="1" t="s">
        <v>132</v>
      </c>
      <c r="AL2215" s="1" t="s">
        <v>132</v>
      </c>
      <c r="AM2215" s="1" t="s">
        <v>132</v>
      </c>
      <c r="AN2215" s="1" t="s">
        <v>132</v>
      </c>
    </row>
    <row r="2216" ht="15.75" customHeight="1">
      <c r="A2216" s="1" t="s">
        <v>38</v>
      </c>
      <c r="B2216" s="1" t="s">
        <v>42585</v>
      </c>
      <c r="C2216" s="1" t="s">
        <v>42586</v>
      </c>
      <c r="D2216" s="8" t="s">
        <v>42587</v>
      </c>
      <c r="E2216" s="1" t="s">
        <v>42588</v>
      </c>
      <c r="F2216" s="1" t="s">
        <v>42589</v>
      </c>
      <c r="G2216" s="1" t="s">
        <v>132</v>
      </c>
      <c r="H2216" s="1" t="s">
        <v>132</v>
      </c>
      <c r="I2216" s="1" t="s">
        <v>42590</v>
      </c>
      <c r="J2216" s="1" t="s">
        <v>132</v>
      </c>
      <c r="K2216" s="1" t="s">
        <v>42591</v>
      </c>
      <c r="L2216" s="1" t="s">
        <v>132</v>
      </c>
      <c r="M2216" s="1" t="s">
        <v>42592</v>
      </c>
      <c r="N2216" s="1" t="s">
        <v>42593</v>
      </c>
      <c r="O2216" s="1" t="s">
        <v>132</v>
      </c>
      <c r="P2216" s="1" t="s">
        <v>42594</v>
      </c>
      <c r="Q2216" s="1" t="s">
        <v>42595</v>
      </c>
      <c r="R2216" s="1" t="s">
        <v>132</v>
      </c>
      <c r="S2216" s="1" t="s">
        <v>42596</v>
      </c>
      <c r="T2216" s="1" t="s">
        <v>132</v>
      </c>
      <c r="U2216" s="1" t="s">
        <v>42597</v>
      </c>
      <c r="V2216" s="1" t="s">
        <v>42598</v>
      </c>
      <c r="W2216" s="1" t="s">
        <v>132</v>
      </c>
      <c r="X2216" s="1" t="s">
        <v>42599</v>
      </c>
      <c r="Y2216" s="1" t="s">
        <v>132</v>
      </c>
      <c r="Z2216" s="1" t="s">
        <v>42600</v>
      </c>
      <c r="AA2216" s="1" t="s">
        <v>42601</v>
      </c>
      <c r="AB2216" s="1" t="s">
        <v>132</v>
      </c>
      <c r="AC2216" s="1" t="s">
        <v>42602</v>
      </c>
      <c r="AD2216" s="1" t="s">
        <v>42603</v>
      </c>
      <c r="AE2216" s="1" t="s">
        <v>132</v>
      </c>
      <c r="AF2216" s="1" t="s">
        <v>42604</v>
      </c>
      <c r="AG2216" s="1" t="s">
        <v>42605</v>
      </c>
      <c r="AH2216" s="1" t="s">
        <v>132</v>
      </c>
      <c r="AI2216" s="1" t="s">
        <v>132</v>
      </c>
      <c r="AJ2216" s="1" t="s">
        <v>42606</v>
      </c>
      <c r="AK2216" s="1" t="s">
        <v>42607</v>
      </c>
      <c r="AL2216" s="1" t="s">
        <v>132</v>
      </c>
      <c r="AM2216" s="1" t="s">
        <v>42608</v>
      </c>
      <c r="AN2216" s="1" t="s">
        <v>42608</v>
      </c>
    </row>
    <row r="2217" ht="15.75" customHeight="1">
      <c r="A2217" s="1" t="s">
        <v>127</v>
      </c>
      <c r="B2217" s="1" t="s">
        <v>42609</v>
      </c>
      <c r="C2217" s="1" t="s">
        <v>42610</v>
      </c>
      <c r="D2217" s="8" t="s">
        <v>42611</v>
      </c>
      <c r="E2217" s="1" t="s">
        <v>42612</v>
      </c>
      <c r="F2217" s="1" t="s">
        <v>132</v>
      </c>
      <c r="G2217" s="1" t="s">
        <v>42613</v>
      </c>
      <c r="H2217" s="1" t="s">
        <v>42614</v>
      </c>
      <c r="I2217" s="1" t="s">
        <v>42615</v>
      </c>
      <c r="J2217" s="1" t="s">
        <v>42616</v>
      </c>
      <c r="K2217" s="1" t="s">
        <v>42617</v>
      </c>
      <c r="L2217" s="1" t="s">
        <v>42618</v>
      </c>
      <c r="M2217" s="1" t="s">
        <v>42619</v>
      </c>
      <c r="N2217" s="1" t="s">
        <v>132</v>
      </c>
      <c r="O2217" s="1" t="s">
        <v>42620</v>
      </c>
      <c r="P2217" s="1" t="s">
        <v>42621</v>
      </c>
      <c r="Q2217" s="1" t="s">
        <v>132</v>
      </c>
      <c r="R2217" s="1" t="s">
        <v>42622</v>
      </c>
      <c r="S2217" s="1" t="s">
        <v>42623</v>
      </c>
      <c r="T2217" s="8" t="s">
        <v>42624</v>
      </c>
      <c r="U2217" s="1" t="s">
        <v>42625</v>
      </c>
      <c r="V2217" s="1" t="s">
        <v>42626</v>
      </c>
      <c r="W2217" s="1" t="s">
        <v>42622</v>
      </c>
      <c r="X2217" s="1" t="s">
        <v>42627</v>
      </c>
      <c r="Y2217" s="1" t="s">
        <v>42628</v>
      </c>
      <c r="Z2217" s="1" t="s">
        <v>42629</v>
      </c>
      <c r="AA2217" s="1" t="s">
        <v>42630</v>
      </c>
      <c r="AB2217" s="1" t="s">
        <v>132</v>
      </c>
      <c r="AC2217" s="1" t="s">
        <v>42631</v>
      </c>
      <c r="AD2217" s="1" t="s">
        <v>42632</v>
      </c>
      <c r="AE2217" s="1" t="s">
        <v>42633</v>
      </c>
      <c r="AF2217" s="1" t="s">
        <v>42634</v>
      </c>
      <c r="AG2217" s="1" t="s">
        <v>42635</v>
      </c>
      <c r="AH2217" s="1" t="s">
        <v>42636</v>
      </c>
      <c r="AI2217" s="1" t="s">
        <v>42637</v>
      </c>
      <c r="AJ2217" s="1" t="s">
        <v>132</v>
      </c>
      <c r="AK2217" s="1" t="s">
        <v>42638</v>
      </c>
      <c r="AL2217" s="1" t="s">
        <v>42639</v>
      </c>
      <c r="AM2217" s="1" t="s">
        <v>132</v>
      </c>
      <c r="AN2217" s="1" t="s">
        <v>132</v>
      </c>
    </row>
    <row r="2218" ht="15.75" customHeight="1">
      <c r="A2218" s="1" t="s">
        <v>127</v>
      </c>
      <c r="B2218" s="1" t="s">
        <v>42640</v>
      </c>
      <c r="C2218" s="1" t="s">
        <v>42641</v>
      </c>
      <c r="D2218" s="8" t="s">
        <v>42642</v>
      </c>
      <c r="E2218" s="1" t="s">
        <v>42643</v>
      </c>
      <c r="F2218" s="1" t="s">
        <v>132</v>
      </c>
      <c r="G2218" s="1" t="s">
        <v>42644</v>
      </c>
      <c r="H2218" s="1" t="s">
        <v>42645</v>
      </c>
      <c r="I2218" s="1" t="s">
        <v>42646</v>
      </c>
      <c r="J2218" s="1" t="s">
        <v>42647</v>
      </c>
      <c r="K2218" s="1" t="s">
        <v>42648</v>
      </c>
      <c r="L2218" s="1" t="s">
        <v>42649</v>
      </c>
      <c r="M2218" s="1" t="s">
        <v>42641</v>
      </c>
      <c r="N2218" s="1" t="s">
        <v>132</v>
      </c>
      <c r="O2218" s="1" t="s">
        <v>42650</v>
      </c>
      <c r="P2218" s="1" t="s">
        <v>42651</v>
      </c>
      <c r="Q2218" s="1" t="s">
        <v>132</v>
      </c>
      <c r="R2218" s="1" t="s">
        <v>42652</v>
      </c>
      <c r="S2218" s="1" t="s">
        <v>42653</v>
      </c>
      <c r="T2218" s="8" t="s">
        <v>42654</v>
      </c>
      <c r="U2218" s="1" t="s">
        <v>42655</v>
      </c>
      <c r="V2218" s="1" t="s">
        <v>42656</v>
      </c>
      <c r="W2218" s="1" t="s">
        <v>42652</v>
      </c>
      <c r="X2218" s="1" t="s">
        <v>42657</v>
      </c>
      <c r="Y2218" s="1" t="s">
        <v>42658</v>
      </c>
      <c r="Z2218" s="1" t="s">
        <v>42659</v>
      </c>
      <c r="AA2218" s="1" t="s">
        <v>42660</v>
      </c>
      <c r="AB2218" s="1" t="s">
        <v>132</v>
      </c>
      <c r="AC2218" s="1" t="s">
        <v>42661</v>
      </c>
      <c r="AD2218" s="1" t="s">
        <v>42662</v>
      </c>
      <c r="AE2218" s="1" t="s">
        <v>42663</v>
      </c>
      <c r="AF2218" s="1" t="s">
        <v>42664</v>
      </c>
      <c r="AG2218" s="1" t="s">
        <v>42665</v>
      </c>
      <c r="AH2218" s="1" t="s">
        <v>42666</v>
      </c>
      <c r="AI2218" s="1" t="s">
        <v>42667</v>
      </c>
      <c r="AJ2218" s="1" t="s">
        <v>132</v>
      </c>
      <c r="AK2218" s="1" t="s">
        <v>42668</v>
      </c>
      <c r="AL2218" s="1" t="s">
        <v>42669</v>
      </c>
      <c r="AM2218" s="1" t="s">
        <v>42670</v>
      </c>
      <c r="AN2218" s="1" t="s">
        <v>42670</v>
      </c>
    </row>
    <row r="2219" ht="15.75" customHeight="1">
      <c r="A2219" s="1" t="s">
        <v>38</v>
      </c>
      <c r="B2219" s="1" t="s">
        <v>42671</v>
      </c>
      <c r="C2219" s="1" t="s">
        <v>42672</v>
      </c>
      <c r="D2219" s="1" t="s">
        <v>132</v>
      </c>
      <c r="E2219" s="1" t="s">
        <v>132</v>
      </c>
      <c r="F2219" s="1" t="s">
        <v>132</v>
      </c>
      <c r="G2219" s="1" t="s">
        <v>132</v>
      </c>
      <c r="H2219" s="1" t="s">
        <v>132</v>
      </c>
      <c r="I2219" s="1" t="s">
        <v>42673</v>
      </c>
      <c r="J2219" s="1" t="s">
        <v>132</v>
      </c>
      <c r="K2219" s="1" t="s">
        <v>42672</v>
      </c>
      <c r="L2219" s="1" t="s">
        <v>132</v>
      </c>
      <c r="M2219" s="1" t="s">
        <v>42672</v>
      </c>
      <c r="N2219" s="1" t="s">
        <v>132</v>
      </c>
      <c r="O2219" s="1" t="s">
        <v>132</v>
      </c>
      <c r="P2219" s="1" t="s">
        <v>42672</v>
      </c>
      <c r="Q2219" s="1" t="s">
        <v>132</v>
      </c>
      <c r="R2219" s="1" t="s">
        <v>132</v>
      </c>
      <c r="S2219" s="1" t="s">
        <v>132</v>
      </c>
      <c r="T2219" s="1" t="s">
        <v>132</v>
      </c>
      <c r="U2219" s="1" t="s">
        <v>132</v>
      </c>
      <c r="V2219" s="1" t="s">
        <v>132</v>
      </c>
      <c r="W2219" s="1" t="s">
        <v>132</v>
      </c>
      <c r="X2219" s="1" t="s">
        <v>132</v>
      </c>
      <c r="Y2219" s="1" t="s">
        <v>132</v>
      </c>
      <c r="Z2219" s="1" t="s">
        <v>132</v>
      </c>
      <c r="AA2219" s="1" t="s">
        <v>132</v>
      </c>
      <c r="AB2219" s="1" t="s">
        <v>132</v>
      </c>
      <c r="AC2219" s="1" t="s">
        <v>42674</v>
      </c>
      <c r="AD2219" s="1" t="s">
        <v>132</v>
      </c>
      <c r="AE2219" s="1" t="s">
        <v>132</v>
      </c>
      <c r="AF2219" s="1" t="s">
        <v>42673</v>
      </c>
      <c r="AG2219" s="1" t="s">
        <v>132</v>
      </c>
      <c r="AH2219" s="1" t="s">
        <v>132</v>
      </c>
      <c r="AI2219" s="1" t="s">
        <v>132</v>
      </c>
      <c r="AJ2219" s="1" t="s">
        <v>132</v>
      </c>
      <c r="AK2219" s="1" t="s">
        <v>132</v>
      </c>
      <c r="AL2219" s="1" t="s">
        <v>132</v>
      </c>
      <c r="AM2219" s="1" t="s">
        <v>132</v>
      </c>
      <c r="AN2219" s="1" t="s">
        <v>132</v>
      </c>
    </row>
    <row r="2220" ht="15.75" customHeight="1">
      <c r="A2220" s="1" t="s">
        <v>127</v>
      </c>
      <c r="B2220" s="1" t="s">
        <v>42675</v>
      </c>
      <c r="C2220" s="1" t="s">
        <v>42676</v>
      </c>
      <c r="D2220" s="8" t="s">
        <v>42677</v>
      </c>
      <c r="E2220" s="1" t="s">
        <v>42678</v>
      </c>
      <c r="F2220" s="1" t="s">
        <v>132</v>
      </c>
      <c r="G2220" s="1" t="s">
        <v>42679</v>
      </c>
      <c r="H2220" s="1" t="s">
        <v>42680</v>
      </c>
      <c r="I2220" s="1" t="s">
        <v>42676</v>
      </c>
      <c r="J2220" s="1" t="s">
        <v>42681</v>
      </c>
      <c r="K2220" s="1" t="s">
        <v>42682</v>
      </c>
      <c r="L2220" s="1" t="s">
        <v>42683</v>
      </c>
      <c r="M2220" s="1" t="s">
        <v>42684</v>
      </c>
      <c r="N2220" s="1" t="s">
        <v>132</v>
      </c>
      <c r="O2220" s="1" t="s">
        <v>42685</v>
      </c>
      <c r="P2220" s="1" t="s">
        <v>42686</v>
      </c>
      <c r="Q2220" s="1" t="s">
        <v>132</v>
      </c>
      <c r="R2220" s="1" t="s">
        <v>42687</v>
      </c>
      <c r="S2220" s="1" t="s">
        <v>42688</v>
      </c>
      <c r="T2220" s="8" t="s">
        <v>42689</v>
      </c>
      <c r="U2220" s="1" t="s">
        <v>42690</v>
      </c>
      <c r="V2220" s="1" t="s">
        <v>42691</v>
      </c>
      <c r="W2220" s="1" t="s">
        <v>42692</v>
      </c>
      <c r="X2220" s="1" t="s">
        <v>42693</v>
      </c>
      <c r="Y2220" s="1" t="s">
        <v>42694</v>
      </c>
      <c r="Z2220" s="1" t="s">
        <v>42695</v>
      </c>
      <c r="AA2220" s="1" t="s">
        <v>42696</v>
      </c>
      <c r="AB2220" s="1" t="s">
        <v>132</v>
      </c>
      <c r="AC2220" s="1" t="s">
        <v>42697</v>
      </c>
      <c r="AD2220" s="1" t="s">
        <v>42698</v>
      </c>
      <c r="AE2220" s="1" t="s">
        <v>42699</v>
      </c>
      <c r="AF2220" s="1" t="s">
        <v>42700</v>
      </c>
      <c r="AG2220" s="1" t="s">
        <v>42701</v>
      </c>
      <c r="AH2220" s="1" t="s">
        <v>42702</v>
      </c>
      <c r="AI2220" s="1" t="s">
        <v>42703</v>
      </c>
      <c r="AJ2220" s="1" t="s">
        <v>132</v>
      </c>
      <c r="AK2220" s="1" t="s">
        <v>42704</v>
      </c>
      <c r="AL2220" s="1" t="s">
        <v>42705</v>
      </c>
      <c r="AM2220" s="1" t="s">
        <v>42706</v>
      </c>
      <c r="AN2220" s="1" t="s">
        <v>42706</v>
      </c>
    </row>
    <row r="2221" ht="15.75" customHeight="1">
      <c r="A2221" s="1" t="s">
        <v>38</v>
      </c>
      <c r="B2221" s="1" t="s">
        <v>42707</v>
      </c>
      <c r="C2221" s="1" t="s">
        <v>42708</v>
      </c>
      <c r="D2221" s="8" t="s">
        <v>42709</v>
      </c>
      <c r="E2221" s="1" t="s">
        <v>42710</v>
      </c>
      <c r="F2221" s="1" t="s">
        <v>42711</v>
      </c>
      <c r="G2221" s="1" t="s">
        <v>132</v>
      </c>
      <c r="H2221" s="1" t="s">
        <v>132</v>
      </c>
      <c r="I2221" s="1" t="s">
        <v>42712</v>
      </c>
      <c r="J2221" s="1" t="s">
        <v>132</v>
      </c>
      <c r="K2221" s="1" t="s">
        <v>42713</v>
      </c>
      <c r="L2221" s="1" t="s">
        <v>132</v>
      </c>
      <c r="M2221" s="1" t="s">
        <v>42714</v>
      </c>
      <c r="N2221" s="1" t="s">
        <v>42715</v>
      </c>
      <c r="O2221" s="1" t="s">
        <v>132</v>
      </c>
      <c r="P2221" s="1" t="s">
        <v>42716</v>
      </c>
      <c r="Q2221" s="1" t="s">
        <v>42717</v>
      </c>
      <c r="R2221" s="1" t="s">
        <v>132</v>
      </c>
      <c r="S2221" s="1" t="s">
        <v>42718</v>
      </c>
      <c r="T2221" s="1" t="s">
        <v>132</v>
      </c>
      <c r="U2221" s="1" t="s">
        <v>42719</v>
      </c>
      <c r="V2221" s="1" t="s">
        <v>42720</v>
      </c>
      <c r="W2221" s="1" t="s">
        <v>132</v>
      </c>
      <c r="X2221" s="1" t="s">
        <v>42721</v>
      </c>
      <c r="Y2221" s="1" t="s">
        <v>132</v>
      </c>
      <c r="Z2221" s="1" t="s">
        <v>42722</v>
      </c>
      <c r="AA2221" s="1" t="s">
        <v>42723</v>
      </c>
      <c r="AB2221" s="1" t="s">
        <v>132</v>
      </c>
      <c r="AC2221" s="1" t="s">
        <v>42724</v>
      </c>
      <c r="AD2221" s="1" t="s">
        <v>132</v>
      </c>
      <c r="AE2221" s="1" t="s">
        <v>132</v>
      </c>
      <c r="AF2221" s="1" t="s">
        <v>42725</v>
      </c>
      <c r="AG2221" s="1" t="s">
        <v>42726</v>
      </c>
      <c r="AH2221" s="1" t="s">
        <v>132</v>
      </c>
      <c r="AI2221" s="1" t="s">
        <v>132</v>
      </c>
      <c r="AJ2221" s="1" t="s">
        <v>42727</v>
      </c>
      <c r="AK2221" s="1" t="s">
        <v>132</v>
      </c>
      <c r="AL2221" s="1" t="s">
        <v>132</v>
      </c>
      <c r="AM2221" s="1" t="s">
        <v>42728</v>
      </c>
      <c r="AN2221" s="1" t="s">
        <v>42728</v>
      </c>
    </row>
    <row r="2222" ht="15.75" customHeight="1">
      <c r="A2222" s="1" t="s">
        <v>38</v>
      </c>
      <c r="B2222" s="1" t="s">
        <v>42729</v>
      </c>
      <c r="C2222" s="1" t="s">
        <v>42730</v>
      </c>
      <c r="D2222" s="1" t="s">
        <v>132</v>
      </c>
      <c r="E2222" s="1" t="s">
        <v>132</v>
      </c>
      <c r="F2222" s="1" t="s">
        <v>132</v>
      </c>
      <c r="G2222" s="1" t="s">
        <v>132</v>
      </c>
      <c r="H2222" s="1" t="s">
        <v>132</v>
      </c>
      <c r="I2222" s="1" t="s">
        <v>42730</v>
      </c>
      <c r="J2222" s="1" t="s">
        <v>132</v>
      </c>
      <c r="K2222" s="1" t="s">
        <v>42730</v>
      </c>
      <c r="L2222" s="1" t="s">
        <v>132</v>
      </c>
      <c r="M2222" s="1" t="s">
        <v>42730</v>
      </c>
      <c r="N2222" s="1" t="s">
        <v>132</v>
      </c>
      <c r="O2222" s="1" t="s">
        <v>132</v>
      </c>
      <c r="P2222" s="1" t="s">
        <v>42730</v>
      </c>
      <c r="Q2222" s="1" t="s">
        <v>132</v>
      </c>
      <c r="R2222" s="1" t="s">
        <v>132</v>
      </c>
      <c r="S2222" s="1" t="s">
        <v>132</v>
      </c>
      <c r="T2222" s="1" t="s">
        <v>132</v>
      </c>
      <c r="U2222" s="1" t="s">
        <v>132</v>
      </c>
      <c r="V2222" s="1" t="s">
        <v>132</v>
      </c>
      <c r="W2222" s="1" t="s">
        <v>132</v>
      </c>
      <c r="X2222" s="1" t="s">
        <v>132</v>
      </c>
      <c r="Y2222" s="1" t="s">
        <v>132</v>
      </c>
      <c r="Z2222" s="1" t="s">
        <v>132</v>
      </c>
      <c r="AA2222" s="1" t="s">
        <v>132</v>
      </c>
      <c r="AB2222" s="1" t="s">
        <v>132</v>
      </c>
      <c r="AC2222" s="1" t="s">
        <v>42731</v>
      </c>
      <c r="AD2222" s="1" t="s">
        <v>132</v>
      </c>
      <c r="AE2222" s="1" t="s">
        <v>132</v>
      </c>
      <c r="AF2222" s="1" t="s">
        <v>42730</v>
      </c>
      <c r="AG2222" s="1" t="s">
        <v>132</v>
      </c>
      <c r="AH2222" s="1" t="s">
        <v>132</v>
      </c>
      <c r="AI2222" s="1" t="s">
        <v>132</v>
      </c>
      <c r="AJ2222" s="1" t="s">
        <v>132</v>
      </c>
      <c r="AK2222" s="1" t="s">
        <v>132</v>
      </c>
      <c r="AL2222" s="1" t="s">
        <v>132</v>
      </c>
      <c r="AM2222" s="1" t="s">
        <v>132</v>
      </c>
      <c r="AN2222" s="1" t="s">
        <v>132</v>
      </c>
    </row>
    <row r="2223" ht="15.75" customHeight="1">
      <c r="A2223" s="1" t="s">
        <v>38</v>
      </c>
      <c r="B2223" s="1" t="s">
        <v>42732</v>
      </c>
      <c r="C2223" s="1" t="s">
        <v>42733</v>
      </c>
      <c r="D2223" s="1" t="s">
        <v>132</v>
      </c>
      <c r="E2223" s="1" t="s">
        <v>132</v>
      </c>
      <c r="F2223" s="1" t="s">
        <v>132</v>
      </c>
      <c r="G2223" s="1" t="s">
        <v>132</v>
      </c>
      <c r="H2223" s="1" t="s">
        <v>132</v>
      </c>
      <c r="I2223" s="1" t="s">
        <v>42734</v>
      </c>
      <c r="J2223" s="1" t="s">
        <v>132</v>
      </c>
      <c r="K2223" s="1" t="s">
        <v>42735</v>
      </c>
      <c r="L2223" s="1" t="s">
        <v>132</v>
      </c>
      <c r="M2223" s="1" t="s">
        <v>42736</v>
      </c>
      <c r="N2223" s="1" t="s">
        <v>132</v>
      </c>
      <c r="O2223" s="1" t="s">
        <v>132</v>
      </c>
      <c r="P2223" s="1" t="s">
        <v>42737</v>
      </c>
      <c r="Q2223" s="1" t="s">
        <v>132</v>
      </c>
      <c r="R2223" s="1" t="s">
        <v>132</v>
      </c>
      <c r="S2223" s="1" t="s">
        <v>132</v>
      </c>
      <c r="T2223" s="1" t="s">
        <v>132</v>
      </c>
      <c r="U2223" s="1" t="s">
        <v>132</v>
      </c>
      <c r="V2223" s="1" t="s">
        <v>132</v>
      </c>
      <c r="W2223" s="1" t="s">
        <v>132</v>
      </c>
      <c r="X2223" s="1" t="s">
        <v>132</v>
      </c>
      <c r="Y2223" s="1" t="s">
        <v>132</v>
      </c>
      <c r="Z2223" s="1" t="s">
        <v>132</v>
      </c>
      <c r="AA2223" s="1" t="s">
        <v>132</v>
      </c>
      <c r="AB2223" s="1" t="s">
        <v>132</v>
      </c>
      <c r="AC2223" s="1" t="s">
        <v>42738</v>
      </c>
      <c r="AD2223" s="1" t="s">
        <v>132</v>
      </c>
      <c r="AE2223" s="1" t="s">
        <v>132</v>
      </c>
      <c r="AF2223" s="1" t="s">
        <v>42739</v>
      </c>
      <c r="AG2223" s="1" t="s">
        <v>132</v>
      </c>
      <c r="AH2223" s="1" t="s">
        <v>132</v>
      </c>
      <c r="AI2223" s="1" t="s">
        <v>132</v>
      </c>
      <c r="AJ2223" s="1" t="s">
        <v>132</v>
      </c>
      <c r="AK2223" s="1" t="s">
        <v>132</v>
      </c>
      <c r="AL2223" s="1" t="s">
        <v>132</v>
      </c>
      <c r="AM2223" s="1" t="s">
        <v>132</v>
      </c>
      <c r="AN2223" s="1" t="s">
        <v>132</v>
      </c>
    </row>
    <row r="2224" ht="15.75" customHeight="1">
      <c r="A2224" s="1" t="s">
        <v>38</v>
      </c>
      <c r="B2224" s="1" t="s">
        <v>42740</v>
      </c>
      <c r="C2224" s="1" t="s">
        <v>42741</v>
      </c>
      <c r="D2224" s="8" t="s">
        <v>42742</v>
      </c>
      <c r="E2224" s="1" t="s">
        <v>42743</v>
      </c>
      <c r="F2224" s="1" t="s">
        <v>42744</v>
      </c>
      <c r="G2224" s="1" t="s">
        <v>132</v>
      </c>
      <c r="H2224" s="1" t="s">
        <v>132</v>
      </c>
      <c r="I2224" s="1" t="s">
        <v>42745</v>
      </c>
      <c r="J2224" s="1" t="s">
        <v>132</v>
      </c>
      <c r="K2224" s="1" t="s">
        <v>42746</v>
      </c>
      <c r="L2224" s="1" t="s">
        <v>132</v>
      </c>
      <c r="M2224" s="1" t="s">
        <v>42747</v>
      </c>
      <c r="N2224" s="1" t="s">
        <v>42748</v>
      </c>
      <c r="O2224" s="1" t="s">
        <v>132</v>
      </c>
      <c r="P2224" s="1" t="s">
        <v>42749</v>
      </c>
      <c r="Q2224" s="1" t="s">
        <v>132</v>
      </c>
      <c r="R2224" s="1" t="s">
        <v>132</v>
      </c>
      <c r="S2224" s="1" t="s">
        <v>42750</v>
      </c>
      <c r="T2224" s="1" t="s">
        <v>132</v>
      </c>
      <c r="U2224" s="1" t="s">
        <v>42751</v>
      </c>
      <c r="V2224" s="1" t="s">
        <v>42752</v>
      </c>
      <c r="W2224" s="1" t="s">
        <v>132</v>
      </c>
      <c r="X2224" s="1" t="s">
        <v>42753</v>
      </c>
      <c r="Y2224" s="1" t="s">
        <v>132</v>
      </c>
      <c r="Z2224" s="1" t="s">
        <v>42754</v>
      </c>
      <c r="AA2224" s="1" t="s">
        <v>132</v>
      </c>
      <c r="AB2224" s="1" t="s">
        <v>132</v>
      </c>
      <c r="AC2224" s="1" t="s">
        <v>42755</v>
      </c>
      <c r="AD2224" s="1" t="s">
        <v>132</v>
      </c>
      <c r="AE2224" s="1" t="s">
        <v>132</v>
      </c>
      <c r="AF2224" s="1" t="s">
        <v>42756</v>
      </c>
      <c r="AG2224" s="1" t="s">
        <v>42757</v>
      </c>
      <c r="AH2224" s="1" t="s">
        <v>132</v>
      </c>
      <c r="AI2224" s="1" t="s">
        <v>132</v>
      </c>
      <c r="AJ2224" s="1" t="s">
        <v>42758</v>
      </c>
      <c r="AK2224" s="1" t="s">
        <v>132</v>
      </c>
      <c r="AL2224" s="1" t="s">
        <v>132</v>
      </c>
      <c r="AM2224" s="1" t="s">
        <v>42759</v>
      </c>
      <c r="AN2224" s="1" t="s">
        <v>42759</v>
      </c>
    </row>
    <row r="2225" ht="15.75" customHeight="1">
      <c r="A2225" s="1" t="s">
        <v>38</v>
      </c>
      <c r="B2225" s="1" t="s">
        <v>42760</v>
      </c>
      <c r="C2225" s="1" t="s">
        <v>42761</v>
      </c>
      <c r="D2225" s="8" t="s">
        <v>42762</v>
      </c>
      <c r="E2225" s="1" t="s">
        <v>42763</v>
      </c>
      <c r="F2225" s="1" t="s">
        <v>42764</v>
      </c>
      <c r="G2225" s="1" t="s">
        <v>132</v>
      </c>
      <c r="H2225" s="1" t="s">
        <v>132</v>
      </c>
      <c r="I2225" s="1" t="s">
        <v>42765</v>
      </c>
      <c r="J2225" s="1" t="s">
        <v>132</v>
      </c>
      <c r="K2225" s="1" t="s">
        <v>42766</v>
      </c>
      <c r="L2225" s="1" t="s">
        <v>132</v>
      </c>
      <c r="M2225" s="1" t="s">
        <v>42767</v>
      </c>
      <c r="N2225" s="1" t="s">
        <v>42768</v>
      </c>
      <c r="O2225" s="1" t="s">
        <v>132</v>
      </c>
      <c r="P2225" s="1" t="s">
        <v>42769</v>
      </c>
      <c r="Q2225" s="1" t="s">
        <v>132</v>
      </c>
      <c r="R2225" s="1" t="s">
        <v>132</v>
      </c>
      <c r="S2225" s="1" t="s">
        <v>42770</v>
      </c>
      <c r="T2225" s="1" t="s">
        <v>132</v>
      </c>
      <c r="U2225" s="1" t="s">
        <v>42771</v>
      </c>
      <c r="V2225" s="1" t="s">
        <v>42772</v>
      </c>
      <c r="W2225" s="1" t="s">
        <v>132</v>
      </c>
      <c r="X2225" s="1" t="s">
        <v>42773</v>
      </c>
      <c r="Y2225" s="1" t="s">
        <v>132</v>
      </c>
      <c r="Z2225" s="1" t="s">
        <v>42774</v>
      </c>
      <c r="AA2225" s="1" t="s">
        <v>132</v>
      </c>
      <c r="AB2225" s="1" t="s">
        <v>132</v>
      </c>
      <c r="AC2225" s="1" t="s">
        <v>42775</v>
      </c>
      <c r="AD2225" s="1" t="s">
        <v>132</v>
      </c>
      <c r="AE2225" s="1" t="s">
        <v>132</v>
      </c>
      <c r="AF2225" s="1" t="s">
        <v>42776</v>
      </c>
      <c r="AG2225" s="1" t="s">
        <v>42777</v>
      </c>
      <c r="AH2225" s="1" t="s">
        <v>132</v>
      </c>
      <c r="AI2225" s="1" t="s">
        <v>132</v>
      </c>
      <c r="AJ2225" s="1" t="s">
        <v>42778</v>
      </c>
      <c r="AK2225" s="1" t="s">
        <v>132</v>
      </c>
      <c r="AL2225" s="1" t="s">
        <v>132</v>
      </c>
      <c r="AM2225" s="1" t="s">
        <v>42779</v>
      </c>
      <c r="AN2225" s="1" t="s">
        <v>42779</v>
      </c>
    </row>
    <row r="2226" ht="15.75" customHeight="1">
      <c r="A2226" s="1" t="s">
        <v>38</v>
      </c>
      <c r="B2226" s="1" t="s">
        <v>42780</v>
      </c>
      <c r="C2226" s="1" t="s">
        <v>42781</v>
      </c>
      <c r="D2226" s="8" t="s">
        <v>42782</v>
      </c>
      <c r="E2226" s="1" t="s">
        <v>42783</v>
      </c>
      <c r="F2226" s="1" t="s">
        <v>42784</v>
      </c>
      <c r="G2226" s="1" t="s">
        <v>132</v>
      </c>
      <c r="H2226" s="1" t="s">
        <v>132</v>
      </c>
      <c r="I2226" s="1" t="s">
        <v>42785</v>
      </c>
      <c r="J2226" s="1" t="s">
        <v>132</v>
      </c>
      <c r="K2226" s="1" t="s">
        <v>42786</v>
      </c>
      <c r="L2226" s="1" t="s">
        <v>132</v>
      </c>
      <c r="M2226" s="1" t="s">
        <v>42787</v>
      </c>
      <c r="N2226" s="1" t="s">
        <v>42788</v>
      </c>
      <c r="O2226" s="1" t="s">
        <v>132</v>
      </c>
      <c r="P2226" s="1" t="s">
        <v>42789</v>
      </c>
      <c r="Q2226" s="1" t="s">
        <v>132</v>
      </c>
      <c r="R2226" s="1" t="s">
        <v>132</v>
      </c>
      <c r="S2226" s="1" t="s">
        <v>42790</v>
      </c>
      <c r="T2226" s="1" t="s">
        <v>132</v>
      </c>
      <c r="U2226" s="1" t="s">
        <v>42791</v>
      </c>
      <c r="V2226" s="1" t="s">
        <v>132</v>
      </c>
      <c r="W2226" s="1" t="s">
        <v>132</v>
      </c>
      <c r="X2226" s="1" t="s">
        <v>42792</v>
      </c>
      <c r="Y2226" s="1" t="s">
        <v>132</v>
      </c>
      <c r="Z2226" s="1" t="s">
        <v>42793</v>
      </c>
      <c r="AA2226" s="1" t="s">
        <v>132</v>
      </c>
      <c r="AB2226" s="1" t="s">
        <v>132</v>
      </c>
      <c r="AC2226" s="1" t="s">
        <v>42794</v>
      </c>
      <c r="AD2226" s="1" t="s">
        <v>132</v>
      </c>
      <c r="AE2226" s="1" t="s">
        <v>132</v>
      </c>
      <c r="AF2226" s="1" t="s">
        <v>132</v>
      </c>
      <c r="AG2226" s="1" t="s">
        <v>132</v>
      </c>
      <c r="AH2226" s="1" t="s">
        <v>132</v>
      </c>
      <c r="AI2226" s="1" t="s">
        <v>132</v>
      </c>
      <c r="AJ2226" s="1" t="s">
        <v>132</v>
      </c>
      <c r="AK2226" s="1" t="s">
        <v>132</v>
      </c>
      <c r="AL2226" s="1" t="s">
        <v>132</v>
      </c>
      <c r="AM2226" s="1" t="s">
        <v>132</v>
      </c>
      <c r="AN2226" s="1" t="s">
        <v>132</v>
      </c>
    </row>
    <row r="2227" ht="15.75" customHeight="1">
      <c r="A2227" s="1" t="s">
        <v>38</v>
      </c>
      <c r="B2227" s="1" t="s">
        <v>42795</v>
      </c>
      <c r="C2227" s="1" t="s">
        <v>42796</v>
      </c>
      <c r="D2227" s="1" t="s">
        <v>132</v>
      </c>
      <c r="E2227" s="1" t="s">
        <v>132</v>
      </c>
      <c r="F2227" s="1" t="s">
        <v>132</v>
      </c>
      <c r="G2227" s="1" t="s">
        <v>132</v>
      </c>
      <c r="H2227" s="1" t="s">
        <v>132</v>
      </c>
      <c r="I2227" s="1" t="s">
        <v>42797</v>
      </c>
      <c r="J2227" s="1" t="s">
        <v>132</v>
      </c>
      <c r="K2227" s="1" t="s">
        <v>42798</v>
      </c>
      <c r="L2227" s="1" t="s">
        <v>132</v>
      </c>
      <c r="M2227" s="1" t="s">
        <v>42799</v>
      </c>
      <c r="N2227" s="1" t="s">
        <v>132</v>
      </c>
      <c r="O2227" s="1" t="s">
        <v>132</v>
      </c>
      <c r="P2227" s="1" t="s">
        <v>42800</v>
      </c>
      <c r="Q2227" s="1" t="s">
        <v>132</v>
      </c>
      <c r="R2227" s="1" t="s">
        <v>132</v>
      </c>
      <c r="S2227" s="1" t="s">
        <v>132</v>
      </c>
      <c r="T2227" s="1" t="s">
        <v>132</v>
      </c>
      <c r="U2227" s="1" t="s">
        <v>132</v>
      </c>
      <c r="V2227" s="1" t="s">
        <v>132</v>
      </c>
      <c r="W2227" s="1" t="s">
        <v>132</v>
      </c>
      <c r="X2227" s="1" t="s">
        <v>132</v>
      </c>
      <c r="Y2227" s="1" t="s">
        <v>132</v>
      </c>
      <c r="Z2227" s="1" t="s">
        <v>132</v>
      </c>
      <c r="AA2227" s="1" t="s">
        <v>132</v>
      </c>
      <c r="AB2227" s="1" t="s">
        <v>132</v>
      </c>
      <c r="AC2227" s="1" t="s">
        <v>42801</v>
      </c>
      <c r="AD2227" s="1" t="s">
        <v>132</v>
      </c>
      <c r="AE2227" s="1" t="s">
        <v>132</v>
      </c>
      <c r="AF2227" s="1" t="s">
        <v>42802</v>
      </c>
      <c r="AG2227" s="1" t="s">
        <v>132</v>
      </c>
      <c r="AH2227" s="1" t="s">
        <v>132</v>
      </c>
      <c r="AI2227" s="1" t="s">
        <v>132</v>
      </c>
      <c r="AJ2227" s="1" t="s">
        <v>132</v>
      </c>
      <c r="AK2227" s="1" t="s">
        <v>132</v>
      </c>
      <c r="AL2227" s="1" t="s">
        <v>132</v>
      </c>
      <c r="AM2227" s="1" t="s">
        <v>132</v>
      </c>
      <c r="AN2227" s="1" t="s">
        <v>132</v>
      </c>
    </row>
    <row r="2228" ht="15.75" customHeight="1">
      <c r="A2228" s="1" t="s">
        <v>38</v>
      </c>
      <c r="B2228" s="1" t="s">
        <v>42803</v>
      </c>
      <c r="C2228" s="1" t="s">
        <v>42804</v>
      </c>
      <c r="D2228" s="8" t="s">
        <v>42805</v>
      </c>
      <c r="E2228" s="1" t="s">
        <v>42806</v>
      </c>
      <c r="F2228" s="1" t="s">
        <v>42807</v>
      </c>
      <c r="G2228" s="1" t="s">
        <v>132</v>
      </c>
      <c r="H2228" s="1" t="s">
        <v>132</v>
      </c>
      <c r="I2228" s="1" t="s">
        <v>42808</v>
      </c>
      <c r="J2228" s="1" t="s">
        <v>132</v>
      </c>
      <c r="K2228" s="1" t="s">
        <v>42809</v>
      </c>
      <c r="L2228" s="1" t="s">
        <v>132</v>
      </c>
      <c r="M2228" s="1" t="s">
        <v>42810</v>
      </c>
      <c r="N2228" s="1" t="s">
        <v>42811</v>
      </c>
      <c r="O2228" s="1" t="s">
        <v>132</v>
      </c>
      <c r="P2228" s="1" t="s">
        <v>42812</v>
      </c>
      <c r="Q2228" s="1" t="s">
        <v>42813</v>
      </c>
      <c r="R2228" s="1" t="s">
        <v>132</v>
      </c>
      <c r="S2228" s="1" t="s">
        <v>42814</v>
      </c>
      <c r="T2228" s="1" t="s">
        <v>132</v>
      </c>
      <c r="U2228" s="1" t="s">
        <v>42815</v>
      </c>
      <c r="V2228" s="1" t="s">
        <v>42816</v>
      </c>
      <c r="W2228" s="1" t="s">
        <v>132</v>
      </c>
      <c r="X2228" s="1" t="s">
        <v>42817</v>
      </c>
      <c r="Y2228" s="1" t="s">
        <v>132</v>
      </c>
      <c r="Z2228" s="1" t="s">
        <v>42818</v>
      </c>
      <c r="AA2228" s="1" t="s">
        <v>42819</v>
      </c>
      <c r="AB2228" s="1" t="s">
        <v>132</v>
      </c>
      <c r="AC2228" s="1" t="s">
        <v>42820</v>
      </c>
      <c r="AD2228" s="1" t="s">
        <v>42821</v>
      </c>
      <c r="AE2228" s="1" t="s">
        <v>132</v>
      </c>
      <c r="AF2228" s="1" t="s">
        <v>42822</v>
      </c>
      <c r="AG2228" s="1" t="s">
        <v>42823</v>
      </c>
      <c r="AH2228" s="1" t="s">
        <v>132</v>
      </c>
      <c r="AI2228" s="1" t="s">
        <v>132</v>
      </c>
      <c r="AJ2228" s="1" t="s">
        <v>42824</v>
      </c>
      <c r="AK2228" s="1" t="s">
        <v>42825</v>
      </c>
      <c r="AL2228" s="1" t="s">
        <v>132</v>
      </c>
      <c r="AM2228" s="1" t="s">
        <v>42826</v>
      </c>
      <c r="AN2228" s="1" t="s">
        <v>42826</v>
      </c>
    </row>
    <row r="2229" ht="15.75" customHeight="1">
      <c r="A2229" s="1" t="s">
        <v>38</v>
      </c>
      <c r="B2229" s="1" t="s">
        <v>42827</v>
      </c>
      <c r="C2229" s="1" t="s">
        <v>42828</v>
      </c>
      <c r="D2229" s="8" t="s">
        <v>42829</v>
      </c>
      <c r="E2229" s="1" t="s">
        <v>42830</v>
      </c>
      <c r="F2229" s="1" t="s">
        <v>42831</v>
      </c>
      <c r="G2229" s="1" t="s">
        <v>132</v>
      </c>
      <c r="H2229" s="1" t="s">
        <v>132</v>
      </c>
      <c r="I2229" s="1" t="s">
        <v>42832</v>
      </c>
      <c r="J2229" s="1" t="s">
        <v>132</v>
      </c>
      <c r="K2229" s="1" t="s">
        <v>21439</v>
      </c>
      <c r="L2229" s="1" t="s">
        <v>132</v>
      </c>
      <c r="M2229" s="1" t="s">
        <v>42833</v>
      </c>
      <c r="N2229" s="1" t="s">
        <v>42834</v>
      </c>
      <c r="O2229" s="1" t="s">
        <v>132</v>
      </c>
      <c r="P2229" s="1" t="s">
        <v>42835</v>
      </c>
      <c r="Q2229" s="1" t="s">
        <v>42836</v>
      </c>
      <c r="R2229" s="1" t="s">
        <v>132</v>
      </c>
      <c r="S2229" s="1" t="s">
        <v>42837</v>
      </c>
      <c r="T2229" s="1" t="s">
        <v>132</v>
      </c>
      <c r="U2229" s="1" t="s">
        <v>42838</v>
      </c>
      <c r="V2229" s="1" t="s">
        <v>42839</v>
      </c>
      <c r="W2229" s="1" t="s">
        <v>132</v>
      </c>
      <c r="X2229" s="1" t="s">
        <v>42840</v>
      </c>
      <c r="Y2229" s="1" t="s">
        <v>132</v>
      </c>
      <c r="Z2229" s="1" t="s">
        <v>42841</v>
      </c>
      <c r="AA2229" s="1" t="s">
        <v>42842</v>
      </c>
      <c r="AB2229" s="1" t="s">
        <v>132</v>
      </c>
      <c r="AC2229" s="1" t="s">
        <v>42843</v>
      </c>
      <c r="AD2229" s="1" t="s">
        <v>42844</v>
      </c>
      <c r="AE2229" s="1" t="s">
        <v>132</v>
      </c>
      <c r="AF2229" s="1" t="s">
        <v>42845</v>
      </c>
      <c r="AG2229" s="1" t="s">
        <v>42846</v>
      </c>
      <c r="AH2229" s="1" t="s">
        <v>132</v>
      </c>
      <c r="AI2229" s="1" t="s">
        <v>132</v>
      </c>
      <c r="AJ2229" s="1" t="s">
        <v>42847</v>
      </c>
      <c r="AK2229" s="1" t="s">
        <v>42848</v>
      </c>
      <c r="AL2229" s="1" t="s">
        <v>132</v>
      </c>
      <c r="AM2229" s="1" t="s">
        <v>42849</v>
      </c>
      <c r="AN2229" s="1" t="s">
        <v>42849</v>
      </c>
    </row>
    <row r="2230" ht="15.75" customHeight="1">
      <c r="A2230" s="1" t="s">
        <v>127</v>
      </c>
      <c r="B2230" s="1" t="s">
        <v>42850</v>
      </c>
      <c r="C2230" s="1" t="s">
        <v>42851</v>
      </c>
      <c r="D2230" s="8" t="s">
        <v>42852</v>
      </c>
      <c r="E2230" s="1" t="s">
        <v>42853</v>
      </c>
      <c r="F2230" s="1" t="s">
        <v>132</v>
      </c>
      <c r="G2230" s="1" t="s">
        <v>42854</v>
      </c>
      <c r="H2230" s="1" t="s">
        <v>42855</v>
      </c>
      <c r="I2230" s="1" t="s">
        <v>42856</v>
      </c>
      <c r="J2230" s="1" t="s">
        <v>42857</v>
      </c>
      <c r="K2230" s="1" t="s">
        <v>42858</v>
      </c>
      <c r="L2230" s="1" t="s">
        <v>42859</v>
      </c>
      <c r="M2230" s="1" t="s">
        <v>42860</v>
      </c>
      <c r="N2230" s="1" t="s">
        <v>132</v>
      </c>
      <c r="O2230" s="1" t="s">
        <v>42861</v>
      </c>
      <c r="P2230" s="1" t="s">
        <v>42851</v>
      </c>
      <c r="Q2230" s="1" t="s">
        <v>132</v>
      </c>
      <c r="R2230" s="1" t="s">
        <v>42862</v>
      </c>
      <c r="S2230" s="1" t="s">
        <v>42863</v>
      </c>
      <c r="T2230" s="8" t="s">
        <v>42864</v>
      </c>
      <c r="U2230" s="1" t="s">
        <v>42865</v>
      </c>
      <c r="V2230" s="1" t="s">
        <v>42866</v>
      </c>
      <c r="W2230" s="1" t="s">
        <v>42867</v>
      </c>
      <c r="X2230" s="1" t="s">
        <v>42868</v>
      </c>
      <c r="Y2230" s="1" t="s">
        <v>42869</v>
      </c>
      <c r="Z2230" s="1" t="s">
        <v>42870</v>
      </c>
      <c r="AA2230" s="1" t="s">
        <v>42871</v>
      </c>
      <c r="AB2230" s="1" t="s">
        <v>132</v>
      </c>
      <c r="AC2230" s="1" t="s">
        <v>42872</v>
      </c>
      <c r="AD2230" s="1" t="s">
        <v>42873</v>
      </c>
      <c r="AE2230" s="1" t="s">
        <v>42874</v>
      </c>
      <c r="AF2230" s="1" t="s">
        <v>42875</v>
      </c>
      <c r="AG2230" s="1" t="s">
        <v>42876</v>
      </c>
      <c r="AH2230" s="1" t="s">
        <v>42877</v>
      </c>
      <c r="AI2230" s="1" t="s">
        <v>42878</v>
      </c>
      <c r="AJ2230" s="1" t="s">
        <v>132</v>
      </c>
      <c r="AK2230" s="1" t="s">
        <v>42879</v>
      </c>
      <c r="AL2230" s="1" t="s">
        <v>42880</v>
      </c>
      <c r="AM2230" s="1" t="s">
        <v>132</v>
      </c>
      <c r="AN2230" s="1" t="s">
        <v>132</v>
      </c>
    </row>
    <row r="2231" ht="15.75" customHeight="1">
      <c r="A2231" s="13" t="s">
        <v>127</v>
      </c>
      <c r="B2231" s="13" t="s">
        <v>42881</v>
      </c>
      <c r="C2231" s="24" t="s">
        <v>42882</v>
      </c>
      <c r="D2231" s="8"/>
      <c r="I2231" s="13" t="s">
        <v>42886</v>
      </c>
      <c r="K2231" s="24" t="s">
        <v>43330</v>
      </c>
      <c r="M2231" s="24" t="s">
        <v>43331</v>
      </c>
      <c r="P2231" s="24" t="s">
        <v>43332</v>
      </c>
      <c r="R2231" s="24" t="s">
        <v>42892</v>
      </c>
      <c r="S2231" s="24" t="s">
        <v>43333</v>
      </c>
      <c r="T2231" s="8"/>
      <c r="U2231" s="44" t="s">
        <v>43334</v>
      </c>
      <c r="V2231" s="29" t="s">
        <v>42895</v>
      </c>
      <c r="W2231" s="24" t="s">
        <v>42892</v>
      </c>
      <c r="X2231" s="24" t="s">
        <v>43335</v>
      </c>
      <c r="Z2231" s="24" t="s">
        <v>42898</v>
      </c>
      <c r="AA2231" s="24" t="s">
        <v>43336</v>
      </c>
      <c r="AC2231" s="24" t="s">
        <v>42901</v>
      </c>
      <c r="AF2231" s="24" t="s">
        <v>42904</v>
      </c>
      <c r="AG2231" s="24" t="s">
        <v>42897</v>
      </c>
      <c r="AI2231" s="24" t="s">
        <v>42905</v>
      </c>
      <c r="AL2231" s="44" t="s">
        <v>43337</v>
      </c>
    </row>
    <row r="2232" ht="15.75" customHeight="1">
      <c r="D2232" s="8"/>
      <c r="T2232" s="8"/>
    </row>
    <row r="2233" ht="15.75" customHeight="1">
      <c r="D2233" s="8"/>
      <c r="T2233" s="8"/>
    </row>
    <row r="2234" ht="15.75" customHeight="1">
      <c r="D2234" s="8"/>
      <c r="T2234" s="8"/>
    </row>
    <row r="2235" ht="15.75" customHeight="1">
      <c r="D2235" s="8"/>
      <c r="T2235" s="8"/>
    </row>
    <row r="2236" ht="15.75" customHeight="1">
      <c r="D2236" s="8"/>
      <c r="T2236" s="8"/>
    </row>
    <row r="2237" ht="15.75" customHeight="1">
      <c r="D2237" s="8"/>
      <c r="T2237" s="8"/>
    </row>
    <row r="2238" ht="15.75" customHeight="1">
      <c r="D2238" s="8"/>
      <c r="T2238" s="8"/>
    </row>
    <row r="2239" ht="15.75" customHeight="1">
      <c r="D2239" s="8"/>
      <c r="T2239" s="8"/>
    </row>
    <row r="2240" ht="15.75" customHeight="1">
      <c r="D2240" s="8"/>
      <c r="T2240" s="8"/>
    </row>
    <row r="2241" ht="15.75" customHeight="1">
      <c r="D2241" s="8"/>
      <c r="T2241" s="8"/>
    </row>
    <row r="2242" ht="15.75" customHeight="1">
      <c r="D2242" s="8"/>
      <c r="T2242" s="8"/>
    </row>
    <row r="2243" ht="15.75" customHeight="1">
      <c r="D2243" s="8"/>
      <c r="T2243" s="8"/>
    </row>
    <row r="2244" ht="15.75" customHeight="1">
      <c r="D2244" s="8"/>
      <c r="T2244" s="8"/>
    </row>
    <row r="2245" ht="15.75" customHeight="1">
      <c r="D2245" s="8"/>
      <c r="T2245" s="8"/>
    </row>
    <row r="2246" ht="15.75" customHeight="1">
      <c r="D2246" s="8"/>
      <c r="T2246" s="8"/>
    </row>
    <row r="2247" ht="15.75" customHeight="1">
      <c r="D2247" s="8"/>
      <c r="T2247" s="8"/>
    </row>
    <row r="2248" ht="15.75" customHeight="1">
      <c r="D2248" s="8"/>
      <c r="T2248" s="8"/>
    </row>
    <row r="2249" ht="15.75" customHeight="1">
      <c r="D2249" s="8"/>
      <c r="T2249" s="8"/>
    </row>
    <row r="2250" ht="15.75" customHeight="1">
      <c r="D2250" s="8"/>
      <c r="T2250" s="8"/>
    </row>
    <row r="2251" ht="15.75" customHeight="1">
      <c r="D2251" s="8"/>
      <c r="T2251" s="8"/>
    </row>
    <row r="2252" ht="15.75" customHeight="1">
      <c r="D2252" s="8"/>
      <c r="T2252" s="8"/>
    </row>
    <row r="2253" ht="15.75" customHeight="1">
      <c r="D2253" s="8"/>
      <c r="T2253" s="8"/>
    </row>
    <row r="2254" ht="15.75" customHeight="1">
      <c r="D2254" s="8"/>
      <c r="T2254" s="8"/>
    </row>
    <row r="2255" ht="15.75" customHeight="1">
      <c r="D2255" s="8"/>
      <c r="T2255" s="8"/>
    </row>
    <row r="2256" ht="15.75" customHeight="1">
      <c r="D2256" s="8"/>
      <c r="T2256" s="8"/>
    </row>
    <row r="2257" ht="15.75" customHeight="1">
      <c r="D2257" s="8"/>
      <c r="T2257" s="8"/>
    </row>
    <row r="2258" ht="15.75" customHeight="1">
      <c r="D2258" s="8"/>
      <c r="T2258" s="8"/>
    </row>
    <row r="2259" ht="15.75" customHeight="1">
      <c r="D2259" s="8"/>
      <c r="T2259" s="8"/>
    </row>
    <row r="2260" ht="15.75" customHeight="1">
      <c r="D2260" s="8"/>
      <c r="T2260" s="8"/>
    </row>
    <row r="2261" ht="15.75" customHeight="1">
      <c r="D2261" s="8"/>
      <c r="T2261" s="8"/>
    </row>
    <row r="2262" ht="15.75" customHeight="1">
      <c r="D2262" s="8"/>
      <c r="T2262" s="8"/>
    </row>
    <row r="2263" ht="15.75" customHeight="1">
      <c r="D2263" s="8"/>
      <c r="T2263" s="8"/>
    </row>
    <row r="2264" ht="15.75" customHeight="1">
      <c r="D2264" s="8"/>
      <c r="T2264" s="8"/>
    </row>
    <row r="2265" ht="15.75" customHeight="1">
      <c r="D2265" s="8"/>
      <c r="T2265" s="8"/>
    </row>
    <row r="2266" ht="15.75" customHeight="1">
      <c r="D2266" s="8"/>
      <c r="T2266" s="8"/>
    </row>
    <row r="2267" ht="15.75" customHeight="1">
      <c r="D2267" s="8"/>
      <c r="T2267" s="8"/>
    </row>
    <row r="2268" ht="15.75" customHeight="1">
      <c r="D2268" s="8"/>
      <c r="T2268" s="8"/>
    </row>
    <row r="2269" ht="15.75" customHeight="1">
      <c r="D2269" s="8"/>
      <c r="T2269" s="8"/>
    </row>
    <row r="2270" ht="15.75" customHeight="1">
      <c r="D2270" s="8"/>
      <c r="T2270" s="8"/>
    </row>
    <row r="2271" ht="15.75" customHeight="1">
      <c r="D2271" s="8"/>
      <c r="T2271" s="8"/>
    </row>
    <row r="2272" ht="15.75" customHeight="1">
      <c r="D2272" s="8"/>
      <c r="T2272" s="8"/>
    </row>
    <row r="2273" ht="15.75" customHeight="1">
      <c r="D2273" s="8"/>
      <c r="T2273" s="8"/>
    </row>
    <row r="2274" ht="15.75" customHeight="1">
      <c r="D2274" s="8"/>
      <c r="T2274" s="8"/>
    </row>
    <row r="2275" ht="15.75" customHeight="1">
      <c r="D2275" s="8"/>
      <c r="T2275" s="8"/>
    </row>
    <row r="2276" ht="15.75" customHeight="1">
      <c r="D2276" s="8"/>
      <c r="T2276" s="8"/>
    </row>
    <row r="2277" ht="15.75" customHeight="1">
      <c r="D2277" s="8"/>
      <c r="T2277" s="8"/>
    </row>
    <row r="2278" ht="15.75" customHeight="1">
      <c r="D2278" s="8"/>
      <c r="T2278" s="8"/>
    </row>
    <row r="2279" ht="15.75" customHeight="1">
      <c r="D2279" s="8"/>
      <c r="T2279" s="8"/>
    </row>
    <row r="2280" ht="15.75" customHeight="1">
      <c r="D2280" s="8"/>
      <c r="T2280" s="8"/>
    </row>
    <row r="2281" ht="15.75" customHeight="1">
      <c r="C2281" s="45"/>
      <c r="D2281" s="8"/>
      <c r="T2281" s="8"/>
    </row>
    <row r="2282" ht="15.75" customHeight="1">
      <c r="D2282" s="8"/>
      <c r="T2282" s="8"/>
    </row>
    <row r="2283" ht="15.75" customHeight="1">
      <c r="D2283" s="8"/>
      <c r="T2283" s="8"/>
    </row>
    <row r="2284" ht="15.75" customHeight="1">
      <c r="D2284" s="8"/>
      <c r="T2284" s="8"/>
    </row>
    <row r="2285" ht="15.75" customHeight="1">
      <c r="D2285" s="8"/>
      <c r="T2285" s="8"/>
    </row>
    <row r="2286" ht="15.75" customHeight="1">
      <c r="D2286" s="8"/>
      <c r="T2286" s="8"/>
    </row>
    <row r="2287" ht="15.75" customHeight="1">
      <c r="D2287" s="8"/>
      <c r="T2287" s="8"/>
    </row>
    <row r="2288" ht="15.75" customHeight="1">
      <c r="D2288" s="8"/>
      <c r="T2288" s="8"/>
    </row>
    <row r="2289" ht="15.75" customHeight="1">
      <c r="D2289" s="8"/>
      <c r="T2289" s="8"/>
    </row>
    <row r="2290" ht="15.75" customHeight="1">
      <c r="D2290" s="8"/>
      <c r="T2290" s="8"/>
    </row>
  </sheetData>
  <autoFilter ref="$A$1:$A$2281"/>
  <printOptions/>
  <pageMargins bottom="0.75" footer="0.0" header="0.0" left="0.7" right="0.7" top="0.75"/>
  <pageSetup orientation="landscape"/>
  <drawing r:id="rId1"/>
</worksheet>
</file>